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diagrams/layout1.xml" ContentType="application/vnd.openxmlformats-officedocument.drawingml.diagramLayout+xml"/>
  <Override PartName="/xl/diagrams/quickStyle1.xml" ContentType="application/vnd.openxmlformats-officedocument.drawingml.diagramStyle+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harts/chart18.xml" ContentType="application/vnd.openxmlformats-officedocument.drawingml.char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iagrams/data1.xml" ContentType="application/vnd.openxmlformats-officedocument.drawingml.diagramData+xml"/>
  <Override PartName="/xl/diagrams/colors1.xml" ContentType="application/vnd.openxmlformats-officedocument.drawingml.diagramColors+xml"/>
  <Override PartName="/xl/charts/chart3.xml" ContentType="application/vnd.openxmlformats-officedocument.drawingml.char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iagrams/drawing1.xml" ContentType="application/vnd.ms-office.drawingml.diagram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harts/chart19.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updateLinks="never" codeName="ThisWorkbook" autoCompressPictures="0" defaultThemeVersion="124226"/>
  <bookViews>
    <workbookView xWindow="2325" yWindow="345" windowWidth="5085" windowHeight="6135" tabRatio="831" activeTab="2"/>
  </bookViews>
  <sheets>
    <sheet name="Home" sheetId="21" r:id="rId1"/>
    <sheet name="TBL ORG Chart" sheetId="3" r:id="rId2"/>
    <sheet name="TBL Scoring Summary" sheetId="1" r:id="rId3"/>
    <sheet name="Econ - NPV Results Summary" sheetId="8" r:id="rId4"/>
    <sheet name="Econ - Engineering Criteria" sheetId="77" r:id="rId5"/>
    <sheet name="Env - RC - Nutrients" sheetId="99" r:id="rId6"/>
    <sheet name="Env - RC - Fixed Carbon" sheetId="100" r:id="rId7"/>
    <sheet name="Env - RC - Water Conservation" sheetId="101" r:id="rId8"/>
    <sheet name="Env - Land Impacts" sheetId="102" r:id="rId9"/>
    <sheet name="Env - Air Impacts" sheetId="103" r:id="rId10"/>
    <sheet name="Env - Water Impacts" sheetId="104" r:id="rId11"/>
    <sheet name="Env - Regulatory Flexibility" sheetId="105" r:id="rId12"/>
    <sheet name="Soc - Nuisance" sheetId="108" r:id="rId13"/>
    <sheet name="Soc - Workplace" sheetId="106" r:id="rId14"/>
    <sheet name="Soc - Public" sheetId="107" r:id="rId15"/>
    <sheet name="Assumptions" sheetId="11" r:id="rId16"/>
    <sheet name="1X" sheetId="28" r:id="rId17"/>
    <sheet name="1Y" sheetId="116" r:id="rId18"/>
    <sheet name="2X" sheetId="117" r:id="rId19"/>
    <sheet name="2Y" sheetId="118" r:id="rId20"/>
    <sheet name="3Y" sheetId="119" r:id="rId21"/>
    <sheet name="4Y" sheetId="120" r:id="rId22"/>
    <sheet name="Custom" sheetId="121" r:id="rId23"/>
    <sheet name="Capital Cost Summary" sheetId="43" r:id="rId24"/>
    <sheet name="O&amp;M Cost Summary" sheetId="42" r:id="rId25"/>
    <sheet name="Survey 09-12" sheetId="75" r:id="rId26"/>
    <sheet name="Chart Data" sheetId="109" r:id="rId27"/>
    <sheet name="Lookups" sheetId="2" r:id="rId28"/>
  </sheets>
  <externalReferences>
    <externalReference r:id="rId29"/>
    <externalReference r:id="rId30"/>
    <externalReference r:id="rId31"/>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6" hidden="1">'1X'!$E$92:$AU$509</definedName>
    <definedName name="_xlnm._FilterDatabase" localSheetId="17" hidden="1">'1Y'!$E$92:$AU$509</definedName>
    <definedName name="_xlnm._FilterDatabase" localSheetId="18" hidden="1">'2X'!$E$92:$AU$509</definedName>
    <definedName name="_xlnm._FilterDatabase" localSheetId="19" hidden="1">'2Y'!$E$92:$AU$509</definedName>
    <definedName name="_xlnm._FilterDatabase" localSheetId="20" hidden="1">'3Y'!$E$92:$AU$509</definedName>
    <definedName name="_xlnm._FilterDatabase" localSheetId="21" hidden="1">'4Y'!$E$92:$AU$509</definedName>
    <definedName name="_xlnm._FilterDatabase" localSheetId="22" hidden="1">Custom!$E$92:$AU$509</definedName>
    <definedName name="analysis_period">Assumptions!$I$14</definedName>
    <definedName name="CapExEsc">Assumptions!$I$16</definedName>
    <definedName name="CapexSummary">'Capital Cost Summary'!$A$6:$G$86</definedName>
    <definedName name="CapitalCosts">Assumptions!$E$65:$O$85</definedName>
    <definedName name="ConfigDropdown">Lookups!$B$30:$B$36</definedName>
    <definedName name="ConfigLookup">Lookups!$B$30:$C$36</definedName>
    <definedName name="Configurations">Assumptions!$I$62:$O$62</definedName>
    <definedName name="CostBaseYr">Assumptions!$I$13</definedName>
    <definedName name="CustomON">Home!$D$93</definedName>
    <definedName name="Data">[1]Projects!$B$8:$H$102</definedName>
    <definedName name="DiscountRt">Assumptions!$I$15</definedName>
    <definedName name="FirstYr">Assumptions!$I$11</definedName>
    <definedName name="GHGCost">Assumptions!$M$56:$AP$56</definedName>
    <definedName name="GHGEsc">Assumptions!$I$54</definedName>
    <definedName name="InServiceYr">Assumptions!$I$12</definedName>
    <definedName name="LaborCost">Assumptions!$I$20</definedName>
    <definedName name="LaborEsc">Assumptions!$I$18</definedName>
    <definedName name="OandM">Assumptions!$D$89:$O$183</definedName>
    <definedName name="OMEsc">Assumptions!$I$17</definedName>
    <definedName name="OnOff">Lookups!$C$38:$C$39</definedName>
    <definedName name="Pal_Workbook_GUID" hidden="1">"CXPJE8Q9FIN583CGJBP644CY"</definedName>
    <definedName name="_xlnm.Print_Area" localSheetId="16">'1X'!$R$8:$AU$90</definedName>
    <definedName name="_xlnm.Print_Area" localSheetId="17">'1Y'!$R$8:$AU$90</definedName>
    <definedName name="_xlnm.Print_Area" localSheetId="18">'2X'!$R$8:$AU$90</definedName>
    <definedName name="_xlnm.Print_Area" localSheetId="19">'2Y'!$R$8:$AU$90</definedName>
    <definedName name="_xlnm.Print_Area" localSheetId="20">'3Y'!$R$8:$AU$90</definedName>
    <definedName name="_xlnm.Print_Area" localSheetId="21">'4Y'!$R$8:$AU$90</definedName>
    <definedName name="_xlnm.Print_Area" localSheetId="15">Assumptions!$I$7:$I$21,Assumptions!$I$24:$AM$57,Assumptions!$I$62:$N$183</definedName>
    <definedName name="_xlnm.Print_Area" localSheetId="23">'Capital Cost Summary'!$B$1:$H$87</definedName>
    <definedName name="_xlnm.Print_Area" localSheetId="22">Custom!$R$8:$AU$90</definedName>
    <definedName name="_xlnm.Print_Area" localSheetId="4">'Econ - Engineering Criteria'!$B$1:$I$15</definedName>
    <definedName name="_xlnm.Print_Area" localSheetId="3">'Econ - NPV Results Summary'!$C$6:$K$61</definedName>
    <definedName name="_xlnm.Print_Area" localSheetId="9">'Env - Air Impacts'!$A$1:$I$21</definedName>
    <definedName name="_xlnm.Print_Area" localSheetId="8">'Env - Land Impacts'!$A$1:$C$17</definedName>
    <definedName name="_xlnm.Print_Area" localSheetId="6">'Env - RC - Fixed Carbon'!$A$1:$I$129</definedName>
    <definedName name="_xlnm.Print_Area" localSheetId="7">'Env - RC - Water Conservation'!$A$1:$H$39</definedName>
    <definedName name="_xlnm.Print_Area" localSheetId="0">Home!$A$1:$H$118</definedName>
    <definedName name="_xlnm.Print_Area" localSheetId="24">'O&amp;M Cost Summary'!$D$1:$H$199</definedName>
    <definedName name="_xlnm.Print_Area" localSheetId="12">'Soc - Nuisance'!$A$1:$V$22</definedName>
    <definedName name="_xlnm.Print_Area" localSheetId="14">'Soc - Public'!$A$1:$E$18</definedName>
    <definedName name="_xlnm.Print_Area" localSheetId="1">'TBL ORG Chart'!$H$9:$Z$38</definedName>
    <definedName name="_xlnm.Print_Area" localSheetId="2">'TBL Scoring Summary'!$A$1:$Y$72</definedName>
    <definedName name="_xlnm.Print_Titles" localSheetId="16">'1X'!$E:$P,'1X'!$2:$4</definedName>
    <definedName name="_xlnm.Print_Titles" localSheetId="17">'1Y'!$E:$P,'1Y'!$2:$4</definedName>
    <definedName name="_xlnm.Print_Titles" localSheetId="18">'2X'!$E:$P,'2X'!$2:$4</definedName>
    <definedName name="_xlnm.Print_Titles" localSheetId="19">'2Y'!$E:$P,'2Y'!$2:$4</definedName>
    <definedName name="_xlnm.Print_Titles" localSheetId="20">'3Y'!$E:$P,'3Y'!$2:$4</definedName>
    <definedName name="_xlnm.Print_Titles" localSheetId="21">'4Y'!$E:$P,'4Y'!$2:$4</definedName>
    <definedName name="_xlnm.Print_Titles" localSheetId="15">Assumptions!$E:$G,Assumptions!$2:$4</definedName>
    <definedName name="_xlnm.Print_Titles" localSheetId="22">Custom!$E:$P,Custom!$2:$4</definedName>
    <definedName name="_xlnm.Print_Titles" localSheetId="3">'Econ - NPV Results Summary'!$6:$8</definedName>
    <definedName name="_xlnm.Print_Titles" localSheetId="6">'Env - RC - Fixed Carbon'!$1:$1</definedName>
    <definedName name="_xlnm.Print_Titles" localSheetId="7">'Env - RC - Water Conservation'!$1:$1</definedName>
    <definedName name="_xlnm.Print_Titles" localSheetId="0">Home!$1:$12</definedName>
    <definedName name="_xlnm.Print_Titles" localSheetId="2">'TBL Scoring Summary'!$B:$G,'TBL Scoring Summary'!$1:$9</definedName>
    <definedName name="PROJ">[1]Project!$B$5:$IV$65536</definedName>
    <definedName name="PROJPH">[1]Project!$B$5:$IV$65536</definedName>
    <definedName name="PROJPH_0">[1]ProjectP0!$B$5:$IV$65536</definedName>
    <definedName name="PROJT">[1]Project!$B$45:$IV$65536</definedName>
    <definedName name="PROJT_0">[1]ProjectP0!$B$45:$IV$65536</definedName>
    <definedName name="RiskAfterRecalcMacro" hidden="1">""</definedName>
    <definedName name="RiskAfterSimMacro" hidden="1">"refreshpivotdata"</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TSTbaselineRequested">TRUE</definedName>
    <definedName name="riskATSTboxGraph">TRUE</definedName>
    <definedName name="riskATSTcomparisonGraph">TRUE</definedName>
    <definedName name="riskATSThistogramGraph">FALSE</definedName>
    <definedName name="riskATSToutputStatistic">4</definedName>
    <definedName name="riskATSTprintReport">FALSE</definedName>
    <definedName name="riskATSTreportsInActiveBook">FALSE</definedName>
    <definedName name="riskATSTreportsSelected">TRUE</definedName>
    <definedName name="riskATSTsequentialStress">TRUE</definedName>
    <definedName name="riskATSTsummaryReport">TRUE</definedName>
    <definedName name="RiskAutoStopPercChange">1.5</definedName>
    <definedName name="RiskBeforeRecalcMacro" hidden="1">""</definedName>
    <definedName name="RiskBeforeSimMacro" hidden="1">""</definedName>
    <definedName name="RiskCollectDistributionSamples" hidden="1">0</definedName>
    <definedName name="RiskExcelReportsGoInNewWorkbook">TRUE</definedName>
    <definedName name="RiskExcelReportsToGenerate">5120</definedName>
    <definedName name="RiskFixedSeed" hidden="1">1</definedName>
    <definedName name="RiskGenerateExcelReportsAtEndOfSimulation">TRUE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TRUE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1</definedName>
    <definedName name="RiskTemplateSheetName">"Summary @Risk"</definedName>
    <definedName name="RiskUpdateDisplay" hidden="1">TRUE</definedName>
    <definedName name="RiskUseDifferentSeedForEachSim" hidden="1">FALSE</definedName>
    <definedName name="RiskUseFixedSeed" hidden="1">FALSE</definedName>
    <definedName name="RiskUseMultipleCPUs" hidden="1">TRUE</definedName>
    <definedName name="scenario_1">'TBL Scoring Summary'!$H$2</definedName>
    <definedName name="scenario_1X" localSheetId="4">[2]TBL!$I$2</definedName>
    <definedName name="scenario_1X">[3]TBL!$H$2</definedName>
    <definedName name="scenario_1Y" localSheetId="4">[2]TBL!$L$2</definedName>
    <definedName name="scenario_1Y">[3]TBL!$K$2</definedName>
    <definedName name="scenario_2">'TBL Scoring Summary'!$K$2</definedName>
    <definedName name="scenario_2X" localSheetId="4">[2]TBL!$O$2</definedName>
    <definedName name="scenario_2X">[3]TBL!$N$2</definedName>
    <definedName name="scenario_2Y" localSheetId="4">[2]TBL!$R$2</definedName>
    <definedName name="scenario_2Y">[3]TBL!$Q$2</definedName>
    <definedName name="scenario_3">'TBL Scoring Summary'!$N$2</definedName>
    <definedName name="scenario_3X" localSheetId="4">[2]TBL!$U$2</definedName>
    <definedName name="scenario_3X">[3]TBL!$T$2</definedName>
    <definedName name="scenario_4">'TBL Scoring Summary'!$Q$2</definedName>
    <definedName name="scenario_4X" localSheetId="4">[2]TBL!$X$2</definedName>
    <definedName name="scenario_4X">[3]TBL!$W$2</definedName>
    <definedName name="scenario_5">'TBL Scoring Summary'!$T$2</definedName>
    <definedName name="scenario_6">'TBL Scoring Summary'!$W$2</definedName>
    <definedName name="scenario_7">'TBL Scoring Summary'!$Z$2</definedName>
    <definedName name="ScoringMethod" localSheetId="4">[2]Lookups!$B$4:$B$7</definedName>
    <definedName name="ScoringMethod">Lookups!$B$4:$B$7</definedName>
    <definedName name="table_1X" localSheetId="17">'1Y'!$G$45:$N$88</definedName>
    <definedName name="table_1X" localSheetId="19">'2Y'!$G$45:$N$88</definedName>
    <definedName name="table_1X" localSheetId="20">'3Y'!$G$45:$N$88</definedName>
    <definedName name="table_1X" localSheetId="22">Custom!$G$45:$N$88</definedName>
    <definedName name="table_1X">'1X'!$G$45:$N$88</definedName>
    <definedName name="WeightsSelection">Lookups!$B$19:$B$24</definedName>
  </definedNames>
  <calcPr calcId="125725"/>
  <extLst>
    <ext xmlns:mx="http://schemas.microsoft.com/office/mac/excel/2008/main" uri="http://schemas.microsoft.com/office/mac/excel/2008/main">
      <mx:ArchID Flags="2"/>
    </ext>
  </extLst>
</workbook>
</file>

<file path=xl/calcChain.xml><?xml version="1.0" encoding="utf-8"?>
<calcChain xmlns="http://schemas.openxmlformats.org/spreadsheetml/2006/main">
  <c r="A129" i="100"/>
  <c r="J120" i="11" l="1"/>
  <c r="N102" i="116" s="1"/>
  <c r="N123"/>
  <c r="J121" i="11"/>
  <c r="N144" i="116" s="1"/>
  <c r="J123" i="11"/>
  <c r="N165" i="116" s="1"/>
  <c r="J137" i="11"/>
  <c r="N103" i="116" s="1"/>
  <c r="N104"/>
  <c r="N105"/>
  <c r="J112" i="11"/>
  <c r="N106" i="116" s="1"/>
  <c r="M33" i="11"/>
  <c r="M30" s="1"/>
  <c r="J90"/>
  <c r="N107" i="116" s="1"/>
  <c r="I43" i="11"/>
  <c r="AL43" s="1"/>
  <c r="AL29" s="1"/>
  <c r="AQ501" i="117" s="1"/>
  <c r="N108" i="116"/>
  <c r="J180" i="11"/>
  <c r="N111" i="116"/>
  <c r="N112"/>
  <c r="J138" i="11"/>
  <c r="N124" i="116" s="1"/>
  <c r="N125"/>
  <c r="J164" i="11"/>
  <c r="J165"/>
  <c r="N127" i="116"/>
  <c r="N128"/>
  <c r="N129"/>
  <c r="N130"/>
  <c r="N132"/>
  <c r="N133"/>
  <c r="J139" i="11"/>
  <c r="N145" i="116" s="1"/>
  <c r="J155" i="11"/>
  <c r="N146" i="116" s="1"/>
  <c r="N147"/>
  <c r="N148"/>
  <c r="J91" i="11"/>
  <c r="N149" i="116" s="1"/>
  <c r="N150"/>
  <c r="N151"/>
  <c r="N153"/>
  <c r="N154"/>
  <c r="J141" i="11"/>
  <c r="N166" i="116" s="1"/>
  <c r="N167"/>
  <c r="N168"/>
  <c r="N169"/>
  <c r="J92" i="11"/>
  <c r="N170" i="116" s="1"/>
  <c r="N171"/>
  <c r="N172"/>
  <c r="N174"/>
  <c r="N175"/>
  <c r="J122" i="11"/>
  <c r="J140"/>
  <c r="N187" i="116" s="1"/>
  <c r="N188"/>
  <c r="N189"/>
  <c r="N190"/>
  <c r="J93" i="11"/>
  <c r="N191" i="116" s="1"/>
  <c r="N192"/>
  <c r="N193"/>
  <c r="N195"/>
  <c r="N196"/>
  <c r="J124" i="11"/>
  <c r="J142"/>
  <c r="N208" i="116" s="1"/>
  <c r="N209"/>
  <c r="N210"/>
  <c r="N211"/>
  <c r="J94" i="11"/>
  <c r="N212" i="116" s="1"/>
  <c r="N214"/>
  <c r="J106" i="11"/>
  <c r="N216" i="116" s="1"/>
  <c r="N217"/>
  <c r="N228"/>
  <c r="N229"/>
  <c r="N230"/>
  <c r="N231"/>
  <c r="J113" i="11"/>
  <c r="N232" i="116" s="1"/>
  <c r="N233"/>
  <c r="N234"/>
  <c r="N235"/>
  <c r="N237"/>
  <c r="N238"/>
  <c r="J129" i="11"/>
  <c r="N249" i="116" s="1"/>
  <c r="J147" i="11"/>
  <c r="N250" i="116" s="1"/>
  <c r="N251"/>
  <c r="N252"/>
  <c r="J114" i="11"/>
  <c r="J116"/>
  <c r="J95"/>
  <c r="J100"/>
  <c r="N255" i="116"/>
  <c r="N256"/>
  <c r="N258"/>
  <c r="N259"/>
  <c r="J125" i="11"/>
  <c r="N270" i="116" s="1"/>
  <c r="J143" i="11"/>
  <c r="N271" i="116" s="1"/>
  <c r="N272"/>
  <c r="N273"/>
  <c r="N274"/>
  <c r="J96" i="11"/>
  <c r="N275" i="116" s="1"/>
  <c r="N276"/>
  <c r="N277"/>
  <c r="N279"/>
  <c r="N280"/>
  <c r="J126" i="11"/>
  <c r="N291" i="116" s="1"/>
  <c r="J144" i="11"/>
  <c r="N292" i="116" s="1"/>
  <c r="J156" i="11"/>
  <c r="J166"/>
  <c r="J167"/>
  <c r="J115"/>
  <c r="J97"/>
  <c r="N296" i="116" s="1"/>
  <c r="N297"/>
  <c r="N298"/>
  <c r="J107" i="11"/>
  <c r="N300" i="116" s="1"/>
  <c r="N301"/>
  <c r="J127" i="11"/>
  <c r="N312" i="116" s="1"/>
  <c r="J145" i="11"/>
  <c r="N313" i="116" s="1"/>
  <c r="N314"/>
  <c r="N315"/>
  <c r="N316"/>
  <c r="J98" i="11"/>
  <c r="N317" i="116" s="1"/>
  <c r="N318"/>
  <c r="N319"/>
  <c r="N321"/>
  <c r="J183" i="11"/>
  <c r="N322" i="116" s="1"/>
  <c r="J128" i="11"/>
  <c r="N333" i="116" s="1"/>
  <c r="J146" i="11"/>
  <c r="N334" i="116" s="1"/>
  <c r="N335"/>
  <c r="J168" i="11"/>
  <c r="J171"/>
  <c r="N337" i="116"/>
  <c r="J99" i="11"/>
  <c r="N338" i="116" s="1"/>
  <c r="N339"/>
  <c r="N340"/>
  <c r="N342"/>
  <c r="N343"/>
  <c r="J130" i="11"/>
  <c r="N354" i="116" s="1"/>
  <c r="J148" i="11"/>
  <c r="N355" i="116" s="1"/>
  <c r="J157" i="11"/>
  <c r="N356" i="116" s="1"/>
  <c r="N357"/>
  <c r="N358"/>
  <c r="J101" i="11"/>
  <c r="N359" i="116" s="1"/>
  <c r="N360"/>
  <c r="N361"/>
  <c r="N363"/>
  <c r="N364"/>
  <c r="J131" i="11"/>
  <c r="N375" i="116" s="1"/>
  <c r="J149" i="11"/>
  <c r="N376" i="116" s="1"/>
  <c r="N377"/>
  <c r="N378"/>
  <c r="N379"/>
  <c r="J102" i="11"/>
  <c r="N380" i="116" s="1"/>
  <c r="N381"/>
  <c r="N382"/>
  <c r="N384"/>
  <c r="N385"/>
  <c r="J132" i="11"/>
  <c r="N396" i="116" s="1"/>
  <c r="J150" i="11"/>
  <c r="N397" i="116" s="1"/>
  <c r="J159" i="11"/>
  <c r="N398" i="116" s="1"/>
  <c r="N399"/>
  <c r="N400"/>
  <c r="J103" i="11"/>
  <c r="N401" i="116" s="1"/>
  <c r="N402"/>
  <c r="N403"/>
  <c r="N405"/>
  <c r="N406"/>
  <c r="J133" i="11"/>
  <c r="N417" i="116" s="1"/>
  <c r="J151" i="11"/>
  <c r="N418" i="116" s="1"/>
  <c r="J160" i="11"/>
  <c r="N419" i="116" s="1"/>
  <c r="N420"/>
  <c r="N421"/>
  <c r="J104" i="11"/>
  <c r="N422" i="116" s="1"/>
  <c r="N423"/>
  <c r="N424"/>
  <c r="N426"/>
  <c r="N427"/>
  <c r="N453"/>
  <c r="N454"/>
  <c r="N455"/>
  <c r="N456"/>
  <c r="N457"/>
  <c r="N458"/>
  <c r="N459"/>
  <c r="N460"/>
  <c r="N462"/>
  <c r="N463"/>
  <c r="N469"/>
  <c r="N470"/>
  <c r="N471"/>
  <c r="J170" i="11"/>
  <c r="N472" i="116" s="1"/>
  <c r="N473"/>
  <c r="N474"/>
  <c r="N475"/>
  <c r="N476"/>
  <c r="N478"/>
  <c r="N479"/>
  <c r="N485"/>
  <c r="N486"/>
  <c r="J158" i="11"/>
  <c r="N487" i="116" s="1"/>
  <c r="N488"/>
  <c r="N489"/>
  <c r="N490"/>
  <c r="N491"/>
  <c r="N492"/>
  <c r="N494"/>
  <c r="N495"/>
  <c r="N33" i="11"/>
  <c r="N30" s="1"/>
  <c r="S505" i="121" s="1"/>
  <c r="O33" i="11"/>
  <c r="O30"/>
  <c r="T505" i="121" s="1"/>
  <c r="P33" i="11"/>
  <c r="P30" s="1"/>
  <c r="U505" i="121" s="1"/>
  <c r="Q33" i="11"/>
  <c r="Q30" s="1"/>
  <c r="R33"/>
  <c r="R30" s="1"/>
  <c r="S33"/>
  <c r="S30" s="1"/>
  <c r="T33"/>
  <c r="T30" s="1"/>
  <c r="Y505" i="120" s="1"/>
  <c r="U33" i="11"/>
  <c r="U30" s="1"/>
  <c r="V33"/>
  <c r="V30" s="1"/>
  <c r="W33"/>
  <c r="W30" s="1"/>
  <c r="AB505" i="116" s="1"/>
  <c r="X33" i="11"/>
  <c r="X30" s="1"/>
  <c r="Y33"/>
  <c r="Y30" s="1"/>
  <c r="Z33"/>
  <c r="Z30" s="1"/>
  <c r="AA33"/>
  <c r="AA30" s="1"/>
  <c r="AF505" i="28" s="1"/>
  <c r="AB33" i="11"/>
  <c r="AB30" s="1"/>
  <c r="AC33"/>
  <c r="AC30" s="1"/>
  <c r="AH505" i="119" s="1"/>
  <c r="AD33" i="11"/>
  <c r="AD30" s="1"/>
  <c r="AE33"/>
  <c r="AE30" s="1"/>
  <c r="AJ505" i="119" s="1"/>
  <c r="AF33" i="11"/>
  <c r="AF30" s="1"/>
  <c r="AK505" i="118" s="1"/>
  <c r="K120" i="11"/>
  <c r="N123" i="117"/>
  <c r="K121" i="11"/>
  <c r="N144" i="117" s="1"/>
  <c r="K123" i="11"/>
  <c r="N165" i="117" s="1"/>
  <c r="K137" i="11"/>
  <c r="N103" i="117" s="1"/>
  <c r="N104"/>
  <c r="N105"/>
  <c r="K112" i="11"/>
  <c r="K90"/>
  <c r="N107" i="117" s="1"/>
  <c r="N108"/>
  <c r="K180" i="11"/>
  <c r="N109" i="117" s="1"/>
  <c r="N111"/>
  <c r="N112"/>
  <c r="K138" i="11"/>
  <c r="N124" i="117" s="1"/>
  <c r="N125"/>
  <c r="K164" i="11"/>
  <c r="K165"/>
  <c r="N127" i="117"/>
  <c r="N128"/>
  <c r="N129"/>
  <c r="N130"/>
  <c r="N132"/>
  <c r="N133"/>
  <c r="K139" i="11"/>
  <c r="N145" i="117" s="1"/>
  <c r="K155" i="11"/>
  <c r="N146" i="117" s="1"/>
  <c r="N147"/>
  <c r="N148"/>
  <c r="K91" i="11"/>
  <c r="N149" i="117" s="1"/>
  <c r="N150"/>
  <c r="N151"/>
  <c r="N153"/>
  <c r="N154"/>
  <c r="K141" i="11"/>
  <c r="N166" i="117" s="1"/>
  <c r="N167"/>
  <c r="N168"/>
  <c r="N169"/>
  <c r="K92" i="11"/>
  <c r="N170" i="117" s="1"/>
  <c r="N171"/>
  <c r="N172"/>
  <c r="N174"/>
  <c r="N175"/>
  <c r="K122" i="11"/>
  <c r="N186" i="117" s="1"/>
  <c r="K140" i="11"/>
  <c r="N187" i="117" s="1"/>
  <c r="N188"/>
  <c r="N189"/>
  <c r="N190"/>
  <c r="K93" i="11"/>
  <c r="N191" i="117" s="1"/>
  <c r="N192"/>
  <c r="N193"/>
  <c r="N195"/>
  <c r="N196"/>
  <c r="K124" i="11"/>
  <c r="N207" i="117" s="1"/>
  <c r="K142" i="11"/>
  <c r="N208" i="117" s="1"/>
  <c r="N209"/>
  <c r="N210"/>
  <c r="N211"/>
  <c r="K94" i="11"/>
  <c r="N212" i="117" s="1"/>
  <c r="N214"/>
  <c r="K106" i="11"/>
  <c r="N217" i="117"/>
  <c r="N228"/>
  <c r="N229"/>
  <c r="N230"/>
  <c r="N231"/>
  <c r="K113" i="11"/>
  <c r="N232" i="117" s="1"/>
  <c r="N233"/>
  <c r="N234"/>
  <c r="N235"/>
  <c r="N237"/>
  <c r="N238"/>
  <c r="K129" i="11"/>
  <c r="N249" i="117" s="1"/>
  <c r="K147" i="11"/>
  <c r="N250" i="117" s="1"/>
  <c r="N251"/>
  <c r="N252"/>
  <c r="K114" i="11"/>
  <c r="K116"/>
  <c r="K95"/>
  <c r="K100"/>
  <c r="O100" s="1"/>
  <c r="N255" i="117"/>
  <c r="N256"/>
  <c r="N258"/>
  <c r="N259"/>
  <c r="K125" i="11"/>
  <c r="N270" i="117" s="1"/>
  <c r="K143" i="11"/>
  <c r="N271" i="117" s="1"/>
  <c r="N272"/>
  <c r="N273"/>
  <c r="N274"/>
  <c r="K96" i="11"/>
  <c r="N276" i="117"/>
  <c r="N277"/>
  <c r="N279"/>
  <c r="N280"/>
  <c r="K126" i="11"/>
  <c r="N291" i="117" s="1"/>
  <c r="K144" i="11"/>
  <c r="N292" i="117" s="1"/>
  <c r="K156" i="11"/>
  <c r="N293" i="117" s="1"/>
  <c r="K166" i="11"/>
  <c r="K167"/>
  <c r="K115"/>
  <c r="N295" i="117" s="1"/>
  <c r="K97" i="11"/>
  <c r="N297" i="117"/>
  <c r="N298"/>
  <c r="K107" i="11"/>
  <c r="N300" i="117" s="1"/>
  <c r="N301"/>
  <c r="K127" i="11"/>
  <c r="N312" i="117" s="1"/>
  <c r="K145" i="11"/>
  <c r="N314" i="117"/>
  <c r="N315"/>
  <c r="N316"/>
  <c r="K98" i="11"/>
  <c r="N318" i="117"/>
  <c r="N319"/>
  <c r="N321"/>
  <c r="K183" i="11"/>
  <c r="N322" i="117" s="1"/>
  <c r="K128" i="11"/>
  <c r="N333" i="117" s="1"/>
  <c r="K146" i="11"/>
  <c r="N334" i="117" s="1"/>
  <c r="N335"/>
  <c r="K168" i="11"/>
  <c r="K171"/>
  <c r="O171" s="1"/>
  <c r="N337" i="117"/>
  <c r="K99" i="11"/>
  <c r="N338" i="117" s="1"/>
  <c r="N339"/>
  <c r="N340"/>
  <c r="N342"/>
  <c r="N343"/>
  <c r="K130" i="11"/>
  <c r="N354" i="117" s="1"/>
  <c r="K148" i="11"/>
  <c r="N355" i="117" s="1"/>
  <c r="K157" i="11"/>
  <c r="N356" i="117" s="1"/>
  <c r="N357"/>
  <c r="N358"/>
  <c r="K101" i="11"/>
  <c r="N359" i="117" s="1"/>
  <c r="N360"/>
  <c r="N361"/>
  <c r="N363"/>
  <c r="N364"/>
  <c r="K131" i="11"/>
  <c r="N375" i="117" s="1"/>
  <c r="K149" i="11"/>
  <c r="N376" i="117" s="1"/>
  <c r="N377"/>
  <c r="N378"/>
  <c r="N379"/>
  <c r="K102" i="11"/>
  <c r="N380" i="117" s="1"/>
  <c r="N381"/>
  <c r="N382"/>
  <c r="N384"/>
  <c r="N385"/>
  <c r="K132" i="11"/>
  <c r="N396" i="117" s="1"/>
  <c r="K150" i="11"/>
  <c r="N397" i="117" s="1"/>
  <c r="K159" i="11"/>
  <c r="N398" i="117" s="1"/>
  <c r="N399"/>
  <c r="N400"/>
  <c r="K103" i="11"/>
  <c r="N401" i="117" s="1"/>
  <c r="N402"/>
  <c r="N403"/>
  <c r="N405"/>
  <c r="N406"/>
  <c r="K133" i="11"/>
  <c r="N417" i="117" s="1"/>
  <c r="K151" i="11"/>
  <c r="N418" i="117" s="1"/>
  <c r="K160" i="11"/>
  <c r="N420" i="117"/>
  <c r="N421"/>
  <c r="K104" i="11"/>
  <c r="N422" i="117" s="1"/>
  <c r="N423"/>
  <c r="N424"/>
  <c r="N426"/>
  <c r="N427"/>
  <c r="N453"/>
  <c r="N454"/>
  <c r="N455"/>
  <c r="K169" i="11"/>
  <c r="N457" i="117"/>
  <c r="N458"/>
  <c r="N459"/>
  <c r="N460"/>
  <c r="N462"/>
  <c r="N463"/>
  <c r="N469"/>
  <c r="N470"/>
  <c r="N471"/>
  <c r="N472"/>
  <c r="N473"/>
  <c r="N474"/>
  <c r="N475"/>
  <c r="N476"/>
  <c r="N478"/>
  <c r="N479"/>
  <c r="N485"/>
  <c r="N486"/>
  <c r="K158" i="11"/>
  <c r="N487" i="117" s="1"/>
  <c r="N488"/>
  <c r="N489"/>
  <c r="N490"/>
  <c r="N491"/>
  <c r="N492"/>
  <c r="N494"/>
  <c r="N495"/>
  <c r="Z505"/>
  <c r="L120" i="11"/>
  <c r="N102" i="118" s="1"/>
  <c r="N123"/>
  <c r="L121" i="11"/>
  <c r="N144" i="118" s="1"/>
  <c r="L123" i="11"/>
  <c r="N165" i="118" s="1"/>
  <c r="L137" i="11"/>
  <c r="N103" i="118" s="1"/>
  <c r="N104"/>
  <c r="N105"/>
  <c r="L112" i="11"/>
  <c r="L90"/>
  <c r="N107" i="118" s="1"/>
  <c r="N108"/>
  <c r="L180" i="11"/>
  <c r="N109" i="118" s="1"/>
  <c r="N111"/>
  <c r="N112"/>
  <c r="L138" i="11"/>
  <c r="N124" i="118" s="1"/>
  <c r="N125"/>
  <c r="L164" i="11"/>
  <c r="L165"/>
  <c r="N127" i="118"/>
  <c r="N128"/>
  <c r="N129"/>
  <c r="N130"/>
  <c r="N132"/>
  <c r="N133"/>
  <c r="L139" i="11"/>
  <c r="N145" i="118" s="1"/>
  <c r="L155" i="11"/>
  <c r="N146" i="118" s="1"/>
  <c r="N147"/>
  <c r="N148"/>
  <c r="L91" i="11"/>
  <c r="N149" i="118" s="1"/>
  <c r="N150"/>
  <c r="N151"/>
  <c r="N153"/>
  <c r="N154"/>
  <c r="L141" i="11"/>
  <c r="N166" i="118" s="1"/>
  <c r="N167"/>
  <c r="N168"/>
  <c r="N169"/>
  <c r="L92" i="11"/>
  <c r="N170" i="118" s="1"/>
  <c r="N171"/>
  <c r="N172"/>
  <c r="N174"/>
  <c r="N175"/>
  <c r="L122" i="11"/>
  <c r="L140"/>
  <c r="N187" i="118" s="1"/>
  <c r="N188"/>
  <c r="N189"/>
  <c r="N190"/>
  <c r="L93" i="11"/>
  <c r="N191" i="118" s="1"/>
  <c r="N192"/>
  <c r="N193"/>
  <c r="N195"/>
  <c r="N196"/>
  <c r="L124" i="11"/>
  <c r="N207" i="118" s="1"/>
  <c r="L142" i="11"/>
  <c r="N209" i="118"/>
  <c r="N210"/>
  <c r="N211"/>
  <c r="L94" i="11"/>
  <c r="N212" i="118" s="1"/>
  <c r="N214"/>
  <c r="L106" i="11"/>
  <c r="N216" i="118" s="1"/>
  <c r="N217"/>
  <c r="N228"/>
  <c r="N229"/>
  <c r="N230"/>
  <c r="N231"/>
  <c r="L113" i="11"/>
  <c r="N232" i="118" s="1"/>
  <c r="N233"/>
  <c r="N234"/>
  <c r="N235"/>
  <c r="N237"/>
  <c r="N238"/>
  <c r="L129" i="11"/>
  <c r="N249" i="118" s="1"/>
  <c r="L147" i="11"/>
  <c r="N250" i="118" s="1"/>
  <c r="N251"/>
  <c r="N252"/>
  <c r="L114" i="11"/>
  <c r="L116"/>
  <c r="L95"/>
  <c r="L100"/>
  <c r="N255" i="118"/>
  <c r="N256"/>
  <c r="N258"/>
  <c r="N259"/>
  <c r="L125" i="11"/>
  <c r="N270" i="118" s="1"/>
  <c r="L143" i="11"/>
  <c r="N271" i="118" s="1"/>
  <c r="N272"/>
  <c r="N273"/>
  <c r="N274"/>
  <c r="L96" i="11"/>
  <c r="N275" i="118" s="1"/>
  <c r="N276"/>
  <c r="N277"/>
  <c r="N279"/>
  <c r="N280"/>
  <c r="L126" i="11"/>
  <c r="N291" i="118" s="1"/>
  <c r="L144" i="11"/>
  <c r="N292" i="118" s="1"/>
  <c r="L156" i="11"/>
  <c r="L166"/>
  <c r="L167"/>
  <c r="L115"/>
  <c r="N295" i="118" s="1"/>
  <c r="L97" i="11"/>
  <c r="N296" i="118" s="1"/>
  <c r="N297"/>
  <c r="N298"/>
  <c r="L107" i="11"/>
  <c r="N300" i="118" s="1"/>
  <c r="N301"/>
  <c r="L127" i="11"/>
  <c r="N312" i="118" s="1"/>
  <c r="L145" i="11"/>
  <c r="N313" i="118" s="1"/>
  <c r="N314"/>
  <c r="N315"/>
  <c r="N316"/>
  <c r="L98" i="11"/>
  <c r="N317" i="118" s="1"/>
  <c r="N318"/>
  <c r="N319"/>
  <c r="N321"/>
  <c r="L183" i="11"/>
  <c r="N322" i="118" s="1"/>
  <c r="L128" i="11"/>
  <c r="N333" i="118" s="1"/>
  <c r="L146" i="11"/>
  <c r="N334" i="118" s="1"/>
  <c r="N335"/>
  <c r="L168" i="11"/>
  <c r="L171"/>
  <c r="N337" i="118"/>
  <c r="L99" i="11"/>
  <c r="N338" i="118" s="1"/>
  <c r="N339"/>
  <c r="N340"/>
  <c r="N342"/>
  <c r="N343"/>
  <c r="L130" i="11"/>
  <c r="N354" i="118" s="1"/>
  <c r="L148" i="11"/>
  <c r="N355" i="118" s="1"/>
  <c r="L157" i="11"/>
  <c r="N356" i="118" s="1"/>
  <c r="N357"/>
  <c r="N358"/>
  <c r="L101" i="11"/>
  <c r="N359" i="118" s="1"/>
  <c r="N360"/>
  <c r="N361"/>
  <c r="N363"/>
  <c r="N364"/>
  <c r="L131" i="11"/>
  <c r="N375" i="118" s="1"/>
  <c r="L149" i="11"/>
  <c r="N376" i="118" s="1"/>
  <c r="N377"/>
  <c r="N378"/>
  <c r="N379"/>
  <c r="L102" i="11"/>
  <c r="N380" i="118" s="1"/>
  <c r="N381"/>
  <c r="N382"/>
  <c r="N384"/>
  <c r="N385"/>
  <c r="L132" i="11"/>
  <c r="N396" i="118" s="1"/>
  <c r="L150" i="11"/>
  <c r="N397" i="118" s="1"/>
  <c r="L159" i="11"/>
  <c r="N398" i="118" s="1"/>
  <c r="N399"/>
  <c r="N400"/>
  <c r="L103" i="11"/>
  <c r="N401" i="118" s="1"/>
  <c r="N402"/>
  <c r="N403"/>
  <c r="N405"/>
  <c r="N406"/>
  <c r="L133" i="11"/>
  <c r="N417" i="118" s="1"/>
  <c r="L151" i="11"/>
  <c r="N418" i="118" s="1"/>
  <c r="L160" i="11"/>
  <c r="N419" i="118" s="1"/>
  <c r="N420"/>
  <c r="N421"/>
  <c r="L104" i="11"/>
  <c r="N422" i="118" s="1"/>
  <c r="N423"/>
  <c r="N424"/>
  <c r="N426"/>
  <c r="N427"/>
  <c r="N453"/>
  <c r="N454"/>
  <c r="N455"/>
  <c r="N456"/>
  <c r="N457"/>
  <c r="N458"/>
  <c r="N459"/>
  <c r="N460"/>
  <c r="N462"/>
  <c r="N463"/>
  <c r="N469"/>
  <c r="N470"/>
  <c r="N471"/>
  <c r="L170" i="11"/>
  <c r="N472" i="118" s="1"/>
  <c r="N473"/>
  <c r="N474"/>
  <c r="N475"/>
  <c r="N476"/>
  <c r="N478"/>
  <c r="N479"/>
  <c r="N485"/>
  <c r="N486"/>
  <c r="L158" i="11"/>
  <c r="N487" i="118" s="1"/>
  <c r="N488"/>
  <c r="N489"/>
  <c r="N490"/>
  <c r="N491"/>
  <c r="N492"/>
  <c r="N494"/>
  <c r="N495"/>
  <c r="Y505"/>
  <c r="Z505"/>
  <c r="AB505"/>
  <c r="M120" i="11"/>
  <c r="N102" i="119" s="1"/>
  <c r="N123"/>
  <c r="M121" i="11"/>
  <c r="M123"/>
  <c r="N165" i="119" s="1"/>
  <c r="M137" i="11"/>
  <c r="N103" i="119" s="1"/>
  <c r="N104"/>
  <c r="N105"/>
  <c r="M112" i="11"/>
  <c r="N106" i="119" s="1"/>
  <c r="M90" i="11"/>
  <c r="N107" i="119" s="1"/>
  <c r="N108"/>
  <c r="M180" i="11"/>
  <c r="N109" i="119" s="1"/>
  <c r="N111"/>
  <c r="N112"/>
  <c r="M138" i="11"/>
  <c r="N125" i="119"/>
  <c r="M164" i="11"/>
  <c r="O164" s="1"/>
  <c r="M165"/>
  <c r="O165" s="1"/>
  <c r="N127" i="119"/>
  <c r="N128"/>
  <c r="N129"/>
  <c r="N130"/>
  <c r="N132"/>
  <c r="N133"/>
  <c r="M139" i="11"/>
  <c r="N145" i="119" s="1"/>
  <c r="M155" i="11"/>
  <c r="N146" i="119" s="1"/>
  <c r="N147"/>
  <c r="N148"/>
  <c r="M91" i="11"/>
  <c r="N149" i="119" s="1"/>
  <c r="N150"/>
  <c r="N151"/>
  <c r="N153"/>
  <c r="N154"/>
  <c r="M141" i="11"/>
  <c r="N167" i="119"/>
  <c r="N168"/>
  <c r="N169"/>
  <c r="M92" i="11"/>
  <c r="N170" i="119" s="1"/>
  <c r="N171"/>
  <c r="N172"/>
  <c r="N174"/>
  <c r="N175"/>
  <c r="M122" i="11"/>
  <c r="N186" i="119" s="1"/>
  <c r="M140" i="11"/>
  <c r="N187" i="119" s="1"/>
  <c r="N188"/>
  <c r="N189"/>
  <c r="N190"/>
  <c r="M93" i="11"/>
  <c r="N191" i="119" s="1"/>
  <c r="N192"/>
  <c r="N193"/>
  <c r="N195"/>
  <c r="N196"/>
  <c r="M124" i="11"/>
  <c r="N207" i="119" s="1"/>
  <c r="M142" i="11"/>
  <c r="N208" i="119" s="1"/>
  <c r="N209"/>
  <c r="N210"/>
  <c r="N211"/>
  <c r="M94" i="11"/>
  <c r="N212" i="119" s="1"/>
  <c r="N213"/>
  <c r="N214"/>
  <c r="M106" i="11"/>
  <c r="N216" i="119" s="1"/>
  <c r="N217"/>
  <c r="N228"/>
  <c r="N229"/>
  <c r="N230"/>
  <c r="N231"/>
  <c r="M113" i="11"/>
  <c r="N233" i="119"/>
  <c r="N234"/>
  <c r="N235"/>
  <c r="N237"/>
  <c r="N238"/>
  <c r="M129" i="11"/>
  <c r="N249" i="119" s="1"/>
  <c r="M147" i="11"/>
  <c r="N250" i="119" s="1"/>
  <c r="N251"/>
  <c r="N252"/>
  <c r="M114" i="11"/>
  <c r="M116"/>
  <c r="M95"/>
  <c r="M100"/>
  <c r="N255" i="119"/>
  <c r="N256"/>
  <c r="N258"/>
  <c r="N259"/>
  <c r="M125" i="11"/>
  <c r="M143"/>
  <c r="N272" i="119"/>
  <c r="N273"/>
  <c r="N274"/>
  <c r="M96" i="11"/>
  <c r="N275" i="119" s="1"/>
  <c r="N276"/>
  <c r="N277"/>
  <c r="N279"/>
  <c r="N280"/>
  <c r="M126" i="11"/>
  <c r="M144"/>
  <c r="N292" i="119" s="1"/>
  <c r="M156" i="11"/>
  <c r="M166"/>
  <c r="O166" s="1"/>
  <c r="M167"/>
  <c r="O167" s="1"/>
  <c r="M115"/>
  <c r="M97"/>
  <c r="N296" i="119" s="1"/>
  <c r="N298"/>
  <c r="M107" i="11"/>
  <c r="N301" i="119"/>
  <c r="M127" i="11"/>
  <c r="N312" i="119" s="1"/>
  <c r="M145" i="11"/>
  <c r="N313" i="119" s="1"/>
  <c r="N314"/>
  <c r="N315"/>
  <c r="N316"/>
  <c r="M98" i="11"/>
  <c r="N317" i="119" s="1"/>
  <c r="N318"/>
  <c r="N319"/>
  <c r="N321"/>
  <c r="M183" i="11"/>
  <c r="N322" i="119" s="1"/>
  <c r="M128" i="11"/>
  <c r="N333" i="119" s="1"/>
  <c r="M146" i="11"/>
  <c r="N334" i="119" s="1"/>
  <c r="N335"/>
  <c r="M168" i="11"/>
  <c r="M171"/>
  <c r="N337" i="119"/>
  <c r="M99" i="11"/>
  <c r="N338" i="119" s="1"/>
  <c r="N339"/>
  <c r="N340"/>
  <c r="N342"/>
  <c r="N343"/>
  <c r="M130" i="11"/>
  <c r="N354" i="119" s="1"/>
  <c r="M148" i="11"/>
  <c r="N355" i="119" s="1"/>
  <c r="M157" i="11"/>
  <c r="N356" i="119" s="1"/>
  <c r="N357"/>
  <c r="N358"/>
  <c r="M101" i="11"/>
  <c r="N359" i="119" s="1"/>
  <c r="N360"/>
  <c r="N361"/>
  <c r="N363"/>
  <c r="N364"/>
  <c r="M131" i="11"/>
  <c r="N375" i="119" s="1"/>
  <c r="M149" i="11"/>
  <c r="N376" i="119" s="1"/>
  <c r="N377"/>
  <c r="N378"/>
  <c r="N379"/>
  <c r="M102" i="11"/>
  <c r="N380" i="119" s="1"/>
  <c r="N381"/>
  <c r="N382"/>
  <c r="N384"/>
  <c r="N385"/>
  <c r="M132" i="11"/>
  <c r="N396" i="119" s="1"/>
  <c r="M150" i="11"/>
  <c r="N397" i="119" s="1"/>
  <c r="M159" i="11"/>
  <c r="N398" i="119" s="1"/>
  <c r="N399"/>
  <c r="N400"/>
  <c r="M103" i="11"/>
  <c r="N401" i="119" s="1"/>
  <c r="N402"/>
  <c r="N403"/>
  <c r="N405"/>
  <c r="N406"/>
  <c r="M133" i="11"/>
  <c r="N417" i="119" s="1"/>
  <c r="M151" i="11"/>
  <c r="N418" i="119" s="1"/>
  <c r="M160" i="11"/>
  <c r="N419" i="119" s="1"/>
  <c r="N420"/>
  <c r="N421"/>
  <c r="M104" i="11"/>
  <c r="N422" i="119" s="1"/>
  <c r="N423"/>
  <c r="N424"/>
  <c r="N426"/>
  <c r="N427"/>
  <c r="N453"/>
  <c r="N454"/>
  <c r="N455"/>
  <c r="M169" i="11"/>
  <c r="N456" i="119" s="1"/>
  <c r="N457"/>
  <c r="N458"/>
  <c r="N459"/>
  <c r="N460"/>
  <c r="N462"/>
  <c r="N463"/>
  <c r="N469"/>
  <c r="N470"/>
  <c r="N471"/>
  <c r="M170" i="11"/>
  <c r="N472" i="119" s="1"/>
  <c r="N473"/>
  <c r="N474"/>
  <c r="N475"/>
  <c r="N476"/>
  <c r="N478"/>
  <c r="N479"/>
  <c r="N485"/>
  <c r="N486"/>
  <c r="M158" i="11"/>
  <c r="N487" i="119" s="1"/>
  <c r="N488"/>
  <c r="N489"/>
  <c r="N490"/>
  <c r="N491"/>
  <c r="N492"/>
  <c r="N494"/>
  <c r="N495"/>
  <c r="AG505"/>
  <c r="N120" i="11"/>
  <c r="N102" i="120" s="1"/>
  <c r="N123"/>
  <c r="N121" i="11"/>
  <c r="N144" i="120" s="1"/>
  <c r="N123" i="11"/>
  <c r="N165" i="120" s="1"/>
  <c r="N137" i="11"/>
  <c r="N103" i="120" s="1"/>
  <c r="N104"/>
  <c r="N105"/>
  <c r="N112" i="11"/>
  <c r="N106" i="120" s="1"/>
  <c r="N90" i="11"/>
  <c r="N107" i="120" s="1"/>
  <c r="N108"/>
  <c r="N180" i="11"/>
  <c r="N109" i="120" s="1"/>
  <c r="N111"/>
  <c r="N112"/>
  <c r="N138" i="11"/>
  <c r="N124" i="120" s="1"/>
  <c r="N125"/>
  <c r="N164" i="11"/>
  <c r="N165"/>
  <c r="N127" i="120"/>
  <c r="N128"/>
  <c r="N129"/>
  <c r="N130"/>
  <c r="N132"/>
  <c r="N133"/>
  <c r="N139" i="11"/>
  <c r="N145" i="120" s="1"/>
  <c r="N155" i="11"/>
  <c r="N147" i="120"/>
  <c r="N148"/>
  <c r="N91" i="11"/>
  <c r="N149" i="120" s="1"/>
  <c r="N150"/>
  <c r="N151"/>
  <c r="N153"/>
  <c r="N154"/>
  <c r="N141" i="11"/>
  <c r="N166" i="120" s="1"/>
  <c r="N167"/>
  <c r="N168"/>
  <c r="N169"/>
  <c r="N92" i="11"/>
  <c r="N171" i="120"/>
  <c r="N172"/>
  <c r="N174"/>
  <c r="N175"/>
  <c r="N122" i="11"/>
  <c r="N186" i="120" s="1"/>
  <c r="N140" i="11"/>
  <c r="N187" i="120" s="1"/>
  <c r="N188"/>
  <c r="N189"/>
  <c r="N190"/>
  <c r="N93" i="11"/>
  <c r="N191" i="120" s="1"/>
  <c r="N192"/>
  <c r="N193"/>
  <c r="N195"/>
  <c r="N196"/>
  <c r="N124" i="11"/>
  <c r="N207" i="120" s="1"/>
  <c r="N142" i="11"/>
  <c r="N208" i="120" s="1"/>
  <c r="N209"/>
  <c r="N210"/>
  <c r="N211"/>
  <c r="N94" i="11"/>
  <c r="N212" i="120" s="1"/>
  <c r="N213"/>
  <c r="N214"/>
  <c r="N106" i="11"/>
  <c r="N216" i="120" s="1"/>
  <c r="N217"/>
  <c r="N228"/>
  <c r="N229"/>
  <c r="N230"/>
  <c r="N231"/>
  <c r="N113" i="11"/>
  <c r="N232" i="120" s="1"/>
  <c r="N233"/>
  <c r="N234"/>
  <c r="N235"/>
  <c r="N237"/>
  <c r="N238"/>
  <c r="N129" i="11"/>
  <c r="N249" i="120" s="1"/>
  <c r="N147" i="11"/>
  <c r="N250" i="120" s="1"/>
  <c r="N251"/>
  <c r="N252"/>
  <c r="N114" i="11"/>
  <c r="O114" s="1"/>
  <c r="N116"/>
  <c r="O116" s="1"/>
  <c r="N95"/>
  <c r="O95" s="1"/>
  <c r="N100"/>
  <c r="N256" i="120"/>
  <c r="N258"/>
  <c r="N259"/>
  <c r="N125" i="11"/>
  <c r="N270" i="120" s="1"/>
  <c r="N143" i="11"/>
  <c r="N272" i="120"/>
  <c r="N273"/>
  <c r="N274"/>
  <c r="N96" i="11"/>
  <c r="N275" i="120" s="1"/>
  <c r="N276"/>
  <c r="N277"/>
  <c r="N279"/>
  <c r="N280"/>
  <c r="N126" i="11"/>
  <c r="N291" i="120" s="1"/>
  <c r="N144" i="11"/>
  <c r="N292" i="120" s="1"/>
  <c r="N156" i="11"/>
  <c r="N293" i="120" s="1"/>
  <c r="N166" i="11"/>
  <c r="N167"/>
  <c r="N115"/>
  <c r="N295" i="120" s="1"/>
  <c r="N97" i="11"/>
  <c r="N296" i="120" s="1"/>
  <c r="N297"/>
  <c r="N298"/>
  <c r="N107" i="11"/>
  <c r="N300" i="120" s="1"/>
  <c r="N301"/>
  <c r="N127" i="11"/>
  <c r="N312" i="120" s="1"/>
  <c r="N145" i="11"/>
  <c r="N313" i="120" s="1"/>
  <c r="N314"/>
  <c r="N315"/>
  <c r="N316"/>
  <c r="N98" i="11"/>
  <c r="N317" i="120" s="1"/>
  <c r="N318"/>
  <c r="N319"/>
  <c r="N321"/>
  <c r="N183" i="11"/>
  <c r="N322" i="120" s="1"/>
  <c r="N128" i="11"/>
  <c r="N333" i="120" s="1"/>
  <c r="N146" i="11"/>
  <c r="N334" i="120" s="1"/>
  <c r="N335"/>
  <c r="N168" i="11"/>
  <c r="N171"/>
  <c r="N337" i="120"/>
  <c r="N99" i="11"/>
  <c r="N338" i="120" s="1"/>
  <c r="N339"/>
  <c r="N340"/>
  <c r="N342"/>
  <c r="N343"/>
  <c r="N130" i="11"/>
  <c r="N354" i="120" s="1"/>
  <c r="N148" i="11"/>
  <c r="N355" i="120" s="1"/>
  <c r="N157" i="11"/>
  <c r="N356" i="120" s="1"/>
  <c r="N357"/>
  <c r="N358"/>
  <c r="N101" i="11"/>
  <c r="N359" i="120" s="1"/>
  <c r="N360"/>
  <c r="N361"/>
  <c r="N363"/>
  <c r="N364"/>
  <c r="N131" i="11"/>
  <c r="N375" i="120" s="1"/>
  <c r="N149" i="11"/>
  <c r="N376" i="120" s="1"/>
  <c r="N377"/>
  <c r="N378"/>
  <c r="N379"/>
  <c r="N102" i="11"/>
  <c r="N380" i="120" s="1"/>
  <c r="N381"/>
  <c r="N382"/>
  <c r="N384"/>
  <c r="N385"/>
  <c r="N132" i="11"/>
  <c r="N150"/>
  <c r="N397" i="120" s="1"/>
  <c r="N159" i="11"/>
  <c r="N398" i="120" s="1"/>
  <c r="N399"/>
  <c r="N400"/>
  <c r="N103" i="11"/>
  <c r="N401" i="120" s="1"/>
  <c r="N402"/>
  <c r="N403"/>
  <c r="N405"/>
  <c r="N406"/>
  <c r="N133" i="11"/>
  <c r="N417" i="120" s="1"/>
  <c r="N151" i="11"/>
  <c r="N418" i="120" s="1"/>
  <c r="N160" i="11"/>
  <c r="N419" i="120" s="1"/>
  <c r="N420"/>
  <c r="N421"/>
  <c r="N104" i="11"/>
  <c r="N422" i="120" s="1"/>
  <c r="N423"/>
  <c r="N424"/>
  <c r="N426"/>
  <c r="N427"/>
  <c r="N453"/>
  <c r="N454"/>
  <c r="N455"/>
  <c r="N169" i="11"/>
  <c r="N456" i="120" s="1"/>
  <c r="N457"/>
  <c r="N458"/>
  <c r="N459"/>
  <c r="N460"/>
  <c r="N462"/>
  <c r="N463"/>
  <c r="N469"/>
  <c r="N470"/>
  <c r="N471"/>
  <c r="N170" i="11"/>
  <c r="N472" i="120" s="1"/>
  <c r="N473"/>
  <c r="N474"/>
  <c r="N475"/>
  <c r="N476"/>
  <c r="N478"/>
  <c r="N479"/>
  <c r="N485"/>
  <c r="N486"/>
  <c r="N158" i="11"/>
  <c r="N487" i="120" s="1"/>
  <c r="N488"/>
  <c r="N489"/>
  <c r="N490"/>
  <c r="N491"/>
  <c r="N492"/>
  <c r="N494"/>
  <c r="N495"/>
  <c r="Z505"/>
  <c r="AD505"/>
  <c r="AI505"/>
  <c r="AK505"/>
  <c r="I120" i="11"/>
  <c r="N102" i="28" s="1"/>
  <c r="N123"/>
  <c r="I121" i="11"/>
  <c r="N144" i="28" s="1"/>
  <c r="I123" i="11"/>
  <c r="I137"/>
  <c r="N103" i="28" s="1"/>
  <c r="N104"/>
  <c r="N105"/>
  <c r="I112" i="11"/>
  <c r="N106" i="28" s="1"/>
  <c r="I90" i="11"/>
  <c r="N107" i="28" s="1"/>
  <c r="N108"/>
  <c r="I180" i="11"/>
  <c r="N109" i="28" s="1"/>
  <c r="N111"/>
  <c r="N112"/>
  <c r="I138" i="11"/>
  <c r="N124" i="28" s="1"/>
  <c r="N125"/>
  <c r="I164" i="11"/>
  <c r="I165"/>
  <c r="N127" i="28"/>
  <c r="N128"/>
  <c r="N129"/>
  <c r="N130"/>
  <c r="N132"/>
  <c r="N133"/>
  <c r="I139" i="11"/>
  <c r="N145" i="28" s="1"/>
  <c r="I155" i="11"/>
  <c r="N146" i="28" s="1"/>
  <c r="N147"/>
  <c r="N148"/>
  <c r="I91" i="11"/>
  <c r="N149" i="28" s="1"/>
  <c r="N150"/>
  <c r="N151"/>
  <c r="N153"/>
  <c r="N154"/>
  <c r="I141" i="11"/>
  <c r="N167" i="28"/>
  <c r="N168"/>
  <c r="N169"/>
  <c r="I92" i="11"/>
  <c r="N171" i="28"/>
  <c r="N172"/>
  <c r="N174"/>
  <c r="N175"/>
  <c r="I122" i="11"/>
  <c r="N186" i="28" s="1"/>
  <c r="I140" i="11"/>
  <c r="N187" i="28" s="1"/>
  <c r="N188"/>
  <c r="N189"/>
  <c r="N190"/>
  <c r="I93" i="11"/>
  <c r="N191" i="28" s="1"/>
  <c r="N192"/>
  <c r="N193"/>
  <c r="N195"/>
  <c r="N196"/>
  <c r="I124" i="11"/>
  <c r="N207" i="28" s="1"/>
  <c r="I142" i="11"/>
  <c r="N208" i="28" s="1"/>
  <c r="N209"/>
  <c r="N210"/>
  <c r="N211"/>
  <c r="I94" i="11"/>
  <c r="N212" i="28" s="1"/>
  <c r="N214"/>
  <c r="I106" i="11"/>
  <c r="N216" i="28" s="1"/>
  <c r="N217"/>
  <c r="N228"/>
  <c r="N229"/>
  <c r="N230"/>
  <c r="N231"/>
  <c r="I113" i="11"/>
  <c r="N232" i="28" s="1"/>
  <c r="N233"/>
  <c r="N234"/>
  <c r="N235"/>
  <c r="N237"/>
  <c r="N238"/>
  <c r="I129" i="11"/>
  <c r="N249" i="28" s="1"/>
  <c r="I147" i="11"/>
  <c r="N250" i="28" s="1"/>
  <c r="N251"/>
  <c r="N252"/>
  <c r="I114" i="11"/>
  <c r="I116"/>
  <c r="I95"/>
  <c r="I100"/>
  <c r="N255" i="28"/>
  <c r="N256"/>
  <c r="N258"/>
  <c r="N259"/>
  <c r="I125" i="11"/>
  <c r="N270" i="28" s="1"/>
  <c r="I143" i="11"/>
  <c r="N271" i="28" s="1"/>
  <c r="N272"/>
  <c r="N273"/>
  <c r="N274"/>
  <c r="I96" i="11"/>
  <c r="N275" i="28" s="1"/>
  <c r="N276"/>
  <c r="N277"/>
  <c r="N279"/>
  <c r="N280"/>
  <c r="I126" i="11"/>
  <c r="N291" i="28" s="1"/>
  <c r="I144" i="11"/>
  <c r="N292" i="28" s="1"/>
  <c r="I156" i="11"/>
  <c r="N293" i="28" s="1"/>
  <c r="I166" i="11"/>
  <c r="I167"/>
  <c r="I115"/>
  <c r="N295" i="28" s="1"/>
  <c r="I97" i="11"/>
  <c r="N296" i="28" s="1"/>
  <c r="N297"/>
  <c r="N298"/>
  <c r="I107" i="11"/>
  <c r="N300" i="28" s="1"/>
  <c r="N301"/>
  <c r="I127" i="11"/>
  <c r="N312" i="28" s="1"/>
  <c r="I145" i="11"/>
  <c r="N313" i="28" s="1"/>
  <c r="N314"/>
  <c r="N315"/>
  <c r="N316"/>
  <c r="I98" i="11"/>
  <c r="N317" i="28" s="1"/>
  <c r="N318"/>
  <c r="N319"/>
  <c r="N321"/>
  <c r="I183" i="11"/>
  <c r="N322" i="28" s="1"/>
  <c r="I128" i="11"/>
  <c r="N333" i="28" s="1"/>
  <c r="I146" i="11"/>
  <c r="N334" i="28" s="1"/>
  <c r="N335"/>
  <c r="I168" i="11"/>
  <c r="O168" s="1"/>
  <c r="I171"/>
  <c r="N337" i="28"/>
  <c r="I99" i="11"/>
  <c r="N338" i="28" s="1"/>
  <c r="N339"/>
  <c r="N340"/>
  <c r="N342"/>
  <c r="N343"/>
  <c r="I130" i="11"/>
  <c r="N354" i="28" s="1"/>
  <c r="I148" i="11"/>
  <c r="N355" i="28" s="1"/>
  <c r="I157" i="11"/>
  <c r="N356" i="28" s="1"/>
  <c r="N357"/>
  <c r="N358"/>
  <c r="I101" i="11"/>
  <c r="N359" i="28" s="1"/>
  <c r="N360"/>
  <c r="N361"/>
  <c r="N363"/>
  <c r="N364"/>
  <c r="I131" i="11"/>
  <c r="N375" i="28" s="1"/>
  <c r="I149" i="11"/>
  <c r="N376" i="28" s="1"/>
  <c r="N377"/>
  <c r="N378"/>
  <c r="N379"/>
  <c r="I102" i="11"/>
  <c r="N380" i="28" s="1"/>
  <c r="N381"/>
  <c r="N382"/>
  <c r="N384"/>
  <c r="N385"/>
  <c r="I132" i="11"/>
  <c r="I150"/>
  <c r="I159"/>
  <c r="N399" i="28"/>
  <c r="N400"/>
  <c r="I103" i="11"/>
  <c r="O103" s="1"/>
  <c r="N402" i="28"/>
  <c r="N403"/>
  <c r="N405"/>
  <c r="N406"/>
  <c r="I133" i="11"/>
  <c r="N417" i="28" s="1"/>
  <c r="I151" i="11"/>
  <c r="I160"/>
  <c r="N420" i="28"/>
  <c r="N421"/>
  <c r="I104" i="11"/>
  <c r="N423" i="28"/>
  <c r="N424"/>
  <c r="N426"/>
  <c r="N427"/>
  <c r="N453"/>
  <c r="N454"/>
  <c r="N455"/>
  <c r="I169" i="11"/>
  <c r="N457" i="28"/>
  <c r="N458"/>
  <c r="N459"/>
  <c r="N460"/>
  <c r="N462"/>
  <c r="N463"/>
  <c r="N469"/>
  <c r="N470"/>
  <c r="N471"/>
  <c r="N472"/>
  <c r="N473"/>
  <c r="N474"/>
  <c r="N475"/>
  <c r="N476"/>
  <c r="N478"/>
  <c r="N479"/>
  <c r="N485"/>
  <c r="N486"/>
  <c r="I158" i="11"/>
  <c r="N487" i="28" s="1"/>
  <c r="N488"/>
  <c r="N489"/>
  <c r="N490"/>
  <c r="N491"/>
  <c r="N492"/>
  <c r="N494"/>
  <c r="N495"/>
  <c r="U505"/>
  <c r="V505"/>
  <c r="W505"/>
  <c r="Y505"/>
  <c r="Z505"/>
  <c r="AA505"/>
  <c r="AC505"/>
  <c r="AI505"/>
  <c r="F151" i="109"/>
  <c r="F153" s="1"/>
  <c r="J151"/>
  <c r="J153" s="1"/>
  <c r="F146"/>
  <c r="G146"/>
  <c r="G151" s="1"/>
  <c r="G153" s="1"/>
  <c r="H146"/>
  <c r="H151" s="1"/>
  <c r="H153" s="1"/>
  <c r="I146"/>
  <c r="I151" s="1"/>
  <c r="I153" s="1"/>
  <c r="J146"/>
  <c r="E146"/>
  <c r="E151" s="1"/>
  <c r="E153" s="1"/>
  <c r="F192" i="42"/>
  <c r="F193"/>
  <c r="A114" i="100"/>
  <c r="F153" i="42"/>
  <c r="G153"/>
  <c r="E217" i="109"/>
  <c r="E216"/>
  <c r="E208"/>
  <c r="E207"/>
  <c r="G172"/>
  <c r="F172"/>
  <c r="E172"/>
  <c r="G171"/>
  <c r="F171"/>
  <c r="E171"/>
  <c r="G170"/>
  <c r="F170"/>
  <c r="E170"/>
  <c r="G169"/>
  <c r="F169"/>
  <c r="E169"/>
  <c r="G168"/>
  <c r="F168"/>
  <c r="E168"/>
  <c r="G167"/>
  <c r="F167"/>
  <c r="E167"/>
  <c r="D151"/>
  <c r="J148"/>
  <c r="I148"/>
  <c r="H148"/>
  <c r="G148"/>
  <c r="F148"/>
  <c r="E148"/>
  <c r="K47"/>
  <c r="W47" s="1"/>
  <c r="K46"/>
  <c r="W46" s="1"/>
  <c r="K45"/>
  <c r="W45" s="1"/>
  <c r="G44"/>
  <c r="W44" s="1"/>
  <c r="G43"/>
  <c r="W43" s="1"/>
  <c r="AH24" i="75"/>
  <c r="AG24"/>
  <c r="AF24"/>
  <c r="AC24"/>
  <c r="AB24"/>
  <c r="AA24"/>
  <c r="X24"/>
  <c r="W24"/>
  <c r="U24"/>
  <c r="T24"/>
  <c r="S24"/>
  <c r="AH23"/>
  <c r="AG23"/>
  <c r="AF23"/>
  <c r="AC23"/>
  <c r="AB23"/>
  <c r="AA23"/>
  <c r="X23"/>
  <c r="W23"/>
  <c r="U23"/>
  <c r="T23"/>
  <c r="S23"/>
  <c r="I23"/>
  <c r="AH22"/>
  <c r="AG22"/>
  <c r="AF22"/>
  <c r="AC22"/>
  <c r="AB22"/>
  <c r="AA22"/>
  <c r="X22"/>
  <c r="W22"/>
  <c r="U22"/>
  <c r="T22"/>
  <c r="S22"/>
  <c r="Q22"/>
  <c r="P22"/>
  <c r="O22"/>
  <c r="O23"/>
  <c r="N22"/>
  <c r="L22"/>
  <c r="L23"/>
  <c r="K22"/>
  <c r="K23"/>
  <c r="J22"/>
  <c r="J23"/>
  <c r="I22"/>
  <c r="G22"/>
  <c r="F22"/>
  <c r="F23"/>
  <c r="E22"/>
  <c r="E23"/>
  <c r="D22"/>
  <c r="AH20"/>
  <c r="AG20"/>
  <c r="AF20"/>
  <c r="AC20"/>
  <c r="AB20"/>
  <c r="AA20"/>
  <c r="X20"/>
  <c r="W20"/>
  <c r="U20"/>
  <c r="T20"/>
  <c r="S20"/>
  <c r="J199" i="42"/>
  <c r="J198"/>
  <c r="C198"/>
  <c r="J197"/>
  <c r="C197"/>
  <c r="J196"/>
  <c r="J195"/>
  <c r="G194"/>
  <c r="J194"/>
  <c r="C194"/>
  <c r="G193"/>
  <c r="J193"/>
  <c r="C193"/>
  <c r="G192"/>
  <c r="J192"/>
  <c r="C192"/>
  <c r="J191"/>
  <c r="J190"/>
  <c r="J189"/>
  <c r="C189"/>
  <c r="J188"/>
  <c r="C188"/>
  <c r="J187"/>
  <c r="J186"/>
  <c r="J185"/>
  <c r="C185"/>
  <c r="G184"/>
  <c r="J184"/>
  <c r="C184"/>
  <c r="G183"/>
  <c r="J183"/>
  <c r="C183"/>
  <c r="G182"/>
  <c r="J182"/>
  <c r="C182"/>
  <c r="J181"/>
  <c r="J180"/>
  <c r="G179"/>
  <c r="J179"/>
  <c r="C179"/>
  <c r="G178"/>
  <c r="J178"/>
  <c r="C178"/>
  <c r="G177"/>
  <c r="J177"/>
  <c r="C177"/>
  <c r="J176"/>
  <c r="G176"/>
  <c r="C176"/>
  <c r="J175"/>
  <c r="J174"/>
  <c r="G173"/>
  <c r="J173"/>
  <c r="C173"/>
  <c r="G172"/>
  <c r="J172"/>
  <c r="C172"/>
  <c r="J171"/>
  <c r="G171"/>
  <c r="C171"/>
  <c r="J170"/>
  <c r="G170"/>
  <c r="C170"/>
  <c r="J169"/>
  <c r="J168"/>
  <c r="J167"/>
  <c r="J166"/>
  <c r="J165"/>
  <c r="J164"/>
  <c r="J163"/>
  <c r="G162"/>
  <c r="J162"/>
  <c r="C162"/>
  <c r="J161"/>
  <c r="J160"/>
  <c r="J159"/>
  <c r="C159"/>
  <c r="J158"/>
  <c r="C158"/>
  <c r="J157"/>
  <c r="C157"/>
  <c r="J156"/>
  <c r="C156"/>
  <c r="J155"/>
  <c r="J154"/>
  <c r="J153"/>
  <c r="C153"/>
  <c r="G152"/>
  <c r="J152"/>
  <c r="C152"/>
  <c r="J151"/>
  <c r="J150"/>
  <c r="J149"/>
  <c r="C149"/>
  <c r="J148"/>
  <c r="C148"/>
  <c r="J147"/>
  <c r="C147"/>
  <c r="J146"/>
  <c r="C146"/>
  <c r="J145"/>
  <c r="C145"/>
  <c r="J144"/>
  <c r="C144"/>
  <c r="J143"/>
  <c r="J142"/>
  <c r="G141"/>
  <c r="J141"/>
  <c r="C141"/>
  <c r="J140"/>
  <c r="G140"/>
  <c r="C140"/>
  <c r="J139"/>
  <c r="G139"/>
  <c r="C139"/>
  <c r="J138"/>
  <c r="G138"/>
  <c r="C138"/>
  <c r="G137"/>
  <c r="J137"/>
  <c r="C137"/>
  <c r="J136"/>
  <c r="G136"/>
  <c r="C136"/>
  <c r="G135"/>
  <c r="J135"/>
  <c r="C135"/>
  <c r="J134"/>
  <c r="J133"/>
  <c r="G132"/>
  <c r="J132"/>
  <c r="C132"/>
  <c r="G131"/>
  <c r="J131"/>
  <c r="C131"/>
  <c r="G130"/>
  <c r="J130"/>
  <c r="C130"/>
  <c r="G129"/>
  <c r="J129"/>
  <c r="C129"/>
  <c r="J128"/>
  <c r="G128"/>
  <c r="C128"/>
  <c r="J127"/>
  <c r="G127"/>
  <c r="C127"/>
  <c r="J126"/>
  <c r="J125"/>
  <c r="J124"/>
  <c r="C124"/>
  <c r="G123"/>
  <c r="J123"/>
  <c r="C123"/>
  <c r="J122"/>
  <c r="G122"/>
  <c r="F122"/>
  <c r="C122"/>
  <c r="G121"/>
  <c r="J121"/>
  <c r="C121"/>
  <c r="G120"/>
  <c r="J120"/>
  <c r="C120"/>
  <c r="G119"/>
  <c r="J119"/>
  <c r="C119"/>
  <c r="J118"/>
  <c r="J117"/>
  <c r="J116"/>
  <c r="J115"/>
  <c r="J114"/>
  <c r="J113"/>
  <c r="J112"/>
  <c r="G112"/>
  <c r="C112"/>
  <c r="J111"/>
  <c r="C111"/>
  <c r="J110"/>
  <c r="J109"/>
  <c r="J108"/>
  <c r="C108"/>
  <c r="J107"/>
  <c r="C107"/>
  <c r="J106"/>
  <c r="C106"/>
  <c r="J105"/>
  <c r="J104"/>
  <c r="J103"/>
  <c r="C103"/>
  <c r="J102"/>
  <c r="J101"/>
  <c r="J100"/>
  <c r="C100"/>
  <c r="J99"/>
  <c r="J98"/>
  <c r="J97"/>
  <c r="C97"/>
  <c r="J96"/>
  <c r="C96"/>
  <c r="J95"/>
  <c r="C95"/>
  <c r="J94"/>
  <c r="J93"/>
  <c r="G92"/>
  <c r="J92"/>
  <c r="C92"/>
  <c r="G91"/>
  <c r="J91"/>
  <c r="C91"/>
  <c r="G90"/>
  <c r="J90"/>
  <c r="C90"/>
  <c r="J89"/>
  <c r="G89"/>
  <c r="C89"/>
  <c r="G88"/>
  <c r="J88"/>
  <c r="C88"/>
  <c r="J87"/>
  <c r="G87"/>
  <c r="C87"/>
  <c r="G86"/>
  <c r="J86"/>
  <c r="C86"/>
  <c r="G85"/>
  <c r="J85"/>
  <c r="C85"/>
  <c r="J84"/>
  <c r="J83"/>
  <c r="G82"/>
  <c r="J82"/>
  <c r="C82"/>
  <c r="G81"/>
  <c r="J81"/>
  <c r="C81"/>
  <c r="G80"/>
  <c r="J80"/>
  <c r="C80"/>
  <c r="G79"/>
  <c r="J79"/>
  <c r="C79"/>
  <c r="J78"/>
  <c r="G78"/>
  <c r="C78"/>
  <c r="J77"/>
  <c r="G77"/>
  <c r="C77"/>
  <c r="J76"/>
  <c r="G76"/>
  <c r="C76"/>
  <c r="J75"/>
  <c r="G75"/>
  <c r="C75"/>
  <c r="J74"/>
  <c r="J73"/>
  <c r="J72"/>
  <c r="G72"/>
  <c r="F72"/>
  <c r="C72"/>
  <c r="G71"/>
  <c r="J71"/>
  <c r="C71"/>
  <c r="J70"/>
  <c r="C70"/>
  <c r="J69"/>
  <c r="G69"/>
  <c r="C69"/>
  <c r="G68"/>
  <c r="J68"/>
  <c r="C68"/>
  <c r="G67"/>
  <c r="J67"/>
  <c r="C67"/>
  <c r="G66"/>
  <c r="J66"/>
  <c r="C66"/>
  <c r="J65"/>
  <c r="G65"/>
  <c r="C65"/>
  <c r="J64"/>
  <c r="J63"/>
  <c r="J62"/>
  <c r="J61"/>
  <c r="J60"/>
  <c r="J59"/>
  <c r="G58"/>
  <c r="J58"/>
  <c r="C58"/>
  <c r="J57"/>
  <c r="J56"/>
  <c r="J55"/>
  <c r="C55"/>
  <c r="J54"/>
  <c r="C54"/>
  <c r="J53"/>
  <c r="C53"/>
  <c r="J52"/>
  <c r="J51"/>
  <c r="J50"/>
  <c r="C50"/>
  <c r="J49"/>
  <c r="J48"/>
  <c r="J47"/>
  <c r="C47"/>
  <c r="J46"/>
  <c r="C46"/>
  <c r="J45"/>
  <c r="J44"/>
  <c r="J43"/>
  <c r="C43"/>
  <c r="J42"/>
  <c r="C42"/>
  <c r="J41"/>
  <c r="C41"/>
  <c r="J40"/>
  <c r="C40"/>
  <c r="J39"/>
  <c r="C39"/>
  <c r="J38"/>
  <c r="G36"/>
  <c r="J36"/>
  <c r="C36"/>
  <c r="J35"/>
  <c r="G35"/>
  <c r="C35"/>
  <c r="J34"/>
  <c r="G34"/>
  <c r="C34"/>
  <c r="J33"/>
  <c r="G33"/>
  <c r="C33"/>
  <c r="G32"/>
  <c r="J32"/>
  <c r="C32"/>
  <c r="G31"/>
  <c r="J31"/>
  <c r="C31"/>
  <c r="G30"/>
  <c r="J30"/>
  <c r="C30"/>
  <c r="J29"/>
  <c r="G29"/>
  <c r="C29"/>
  <c r="J28"/>
  <c r="G28"/>
  <c r="C28"/>
  <c r="J27"/>
  <c r="J26"/>
  <c r="J25"/>
  <c r="G25"/>
  <c r="C25"/>
  <c r="J24"/>
  <c r="G24"/>
  <c r="C24"/>
  <c r="J23"/>
  <c r="G23"/>
  <c r="C23"/>
  <c r="G22"/>
  <c r="J22"/>
  <c r="C22"/>
  <c r="J21"/>
  <c r="G21"/>
  <c r="C21"/>
  <c r="G20"/>
  <c r="J20"/>
  <c r="C20"/>
  <c r="G19"/>
  <c r="J19"/>
  <c r="C19"/>
  <c r="G18"/>
  <c r="J18"/>
  <c r="C18"/>
  <c r="J17"/>
  <c r="G17"/>
  <c r="C17"/>
  <c r="J16"/>
  <c r="J15"/>
  <c r="G14"/>
  <c r="J14"/>
  <c r="F14"/>
  <c r="C14"/>
  <c r="G13"/>
  <c r="J13"/>
  <c r="C13"/>
  <c r="C12"/>
  <c r="J11"/>
  <c r="G11"/>
  <c r="C11"/>
  <c r="J10"/>
  <c r="G10"/>
  <c r="C10"/>
  <c r="G9"/>
  <c r="J9"/>
  <c r="C9"/>
  <c r="J8"/>
  <c r="G8"/>
  <c r="C8"/>
  <c r="G7"/>
  <c r="J7"/>
  <c r="C7"/>
  <c r="G6"/>
  <c r="J6"/>
  <c r="C6"/>
  <c r="A86" i="43"/>
  <c r="A85"/>
  <c r="A84"/>
  <c r="A83"/>
  <c r="A82"/>
  <c r="A81"/>
  <c r="F80"/>
  <c r="F81"/>
  <c r="J81"/>
  <c r="N81" i="11"/>
  <c r="N432" i="120" s="1"/>
  <c r="A80" i="43"/>
  <c r="J79"/>
  <c r="A79"/>
  <c r="J78"/>
  <c r="A78"/>
  <c r="J77"/>
  <c r="A77"/>
  <c r="J76"/>
  <c r="N71" i="11"/>
  <c r="N222" i="120" s="1"/>
  <c r="A76" i="43"/>
  <c r="J75"/>
  <c r="A75"/>
  <c r="J74"/>
  <c r="A74"/>
  <c r="J73"/>
  <c r="J71"/>
  <c r="J70"/>
  <c r="J69"/>
  <c r="J68"/>
  <c r="J67"/>
  <c r="J66"/>
  <c r="J65"/>
  <c r="J64"/>
  <c r="J63"/>
  <c r="A62"/>
  <c r="A61"/>
  <c r="A60"/>
  <c r="A59"/>
  <c r="A58"/>
  <c r="A57"/>
  <c r="F56"/>
  <c r="A56"/>
  <c r="J55"/>
  <c r="A55"/>
  <c r="J54"/>
  <c r="A54"/>
  <c r="J53"/>
  <c r="A53"/>
  <c r="J52"/>
  <c r="A52"/>
  <c r="J51"/>
  <c r="A51"/>
  <c r="J50"/>
  <c r="A50"/>
  <c r="J49"/>
  <c r="A49"/>
  <c r="J48"/>
  <c r="J46"/>
  <c r="J45"/>
  <c r="J44"/>
  <c r="J43"/>
  <c r="A42"/>
  <c r="A41"/>
  <c r="A40"/>
  <c r="A39"/>
  <c r="A38"/>
  <c r="A37"/>
  <c r="F36"/>
  <c r="A36"/>
  <c r="J35"/>
  <c r="A35"/>
  <c r="J34"/>
  <c r="A34"/>
  <c r="J33"/>
  <c r="A33"/>
  <c r="J32"/>
  <c r="A32"/>
  <c r="J31"/>
  <c r="A31"/>
  <c r="J30"/>
  <c r="A30"/>
  <c r="J29"/>
  <c r="A29"/>
  <c r="J28"/>
  <c r="A28"/>
  <c r="J27"/>
  <c r="J25"/>
  <c r="J24"/>
  <c r="J23"/>
  <c r="J22"/>
  <c r="A20"/>
  <c r="A19"/>
  <c r="A18"/>
  <c r="A17"/>
  <c r="F16"/>
  <c r="J16"/>
  <c r="A16"/>
  <c r="J15"/>
  <c r="F15"/>
  <c r="F17"/>
  <c r="A15"/>
  <c r="J14"/>
  <c r="A14"/>
  <c r="J13"/>
  <c r="A13"/>
  <c r="J12"/>
  <c r="A12"/>
  <c r="J11"/>
  <c r="A11"/>
  <c r="J10"/>
  <c r="A10"/>
  <c r="J9"/>
  <c r="A9"/>
  <c r="J8"/>
  <c r="A8"/>
  <c r="J7"/>
  <c r="A7"/>
  <c r="J6"/>
  <c r="A6"/>
  <c r="L505" i="121"/>
  <c r="L501"/>
  <c r="L495"/>
  <c r="C495"/>
  <c r="N495"/>
  <c r="A495"/>
  <c r="N494"/>
  <c r="C494"/>
  <c r="A494"/>
  <c r="L492"/>
  <c r="A492"/>
  <c r="D491"/>
  <c r="A491"/>
  <c r="A490"/>
  <c r="A489"/>
  <c r="N488"/>
  <c r="L488"/>
  <c r="D488"/>
  <c r="C488"/>
  <c r="C489"/>
  <c r="A488"/>
  <c r="N487"/>
  <c r="L487"/>
  <c r="D487"/>
  <c r="C487"/>
  <c r="A487"/>
  <c r="N486"/>
  <c r="L486"/>
  <c r="D486"/>
  <c r="C486"/>
  <c r="A486"/>
  <c r="N485"/>
  <c r="A485"/>
  <c r="G482"/>
  <c r="N479"/>
  <c r="L479"/>
  <c r="C479"/>
  <c r="A479"/>
  <c r="C478"/>
  <c r="N478"/>
  <c r="A478"/>
  <c r="L476"/>
  <c r="A476"/>
  <c r="D475"/>
  <c r="A475"/>
  <c r="A474"/>
  <c r="A473"/>
  <c r="L472"/>
  <c r="D472"/>
  <c r="A472"/>
  <c r="L471"/>
  <c r="D471"/>
  <c r="A471"/>
  <c r="L470"/>
  <c r="D470"/>
  <c r="C470"/>
  <c r="A470"/>
  <c r="N469"/>
  <c r="A469"/>
  <c r="G466"/>
  <c r="L463"/>
  <c r="C463"/>
  <c r="N463"/>
  <c r="A463"/>
  <c r="N462"/>
  <c r="C462"/>
  <c r="A462"/>
  <c r="L460"/>
  <c r="A460"/>
  <c r="D459"/>
  <c r="A459"/>
  <c r="A458"/>
  <c r="A457"/>
  <c r="L456"/>
  <c r="D456"/>
  <c r="A456"/>
  <c r="L455"/>
  <c r="D455"/>
  <c r="A455"/>
  <c r="L454"/>
  <c r="D454"/>
  <c r="C454"/>
  <c r="A454"/>
  <c r="N453"/>
  <c r="A453"/>
  <c r="G450"/>
  <c r="L447"/>
  <c r="D447"/>
  <c r="A447"/>
  <c r="G445"/>
  <c r="L442"/>
  <c r="D442"/>
  <c r="A442"/>
  <c r="G440"/>
  <c r="L437"/>
  <c r="D437"/>
  <c r="A437"/>
  <c r="G435"/>
  <c r="L432"/>
  <c r="D432"/>
  <c r="A432"/>
  <c r="G430"/>
  <c r="L427"/>
  <c r="C427"/>
  <c r="A427"/>
  <c r="A426"/>
  <c r="L424"/>
  <c r="A424"/>
  <c r="D423"/>
  <c r="A423"/>
  <c r="A422"/>
  <c r="A421"/>
  <c r="L420"/>
  <c r="D420"/>
  <c r="A420"/>
  <c r="L419"/>
  <c r="D419"/>
  <c r="A419"/>
  <c r="L418"/>
  <c r="D418"/>
  <c r="A418"/>
  <c r="C417"/>
  <c r="A417"/>
  <c r="G414"/>
  <c r="L411"/>
  <c r="D411"/>
  <c r="A411"/>
  <c r="G409"/>
  <c r="L406"/>
  <c r="A406"/>
  <c r="A405"/>
  <c r="L403"/>
  <c r="A403"/>
  <c r="D402"/>
  <c r="A402"/>
  <c r="A401"/>
  <c r="A400"/>
  <c r="L399"/>
  <c r="D399"/>
  <c r="A399"/>
  <c r="L398"/>
  <c r="D398"/>
  <c r="A398"/>
  <c r="L397"/>
  <c r="D397"/>
  <c r="C397"/>
  <c r="A397"/>
  <c r="C396"/>
  <c r="A396"/>
  <c r="G393"/>
  <c r="L390"/>
  <c r="D390"/>
  <c r="A390"/>
  <c r="G388"/>
  <c r="L385"/>
  <c r="A385"/>
  <c r="A384"/>
  <c r="L382"/>
  <c r="A382"/>
  <c r="D381"/>
  <c r="A381"/>
  <c r="A380"/>
  <c r="A379"/>
  <c r="L378"/>
  <c r="D378"/>
  <c r="A378"/>
  <c r="L377"/>
  <c r="D377"/>
  <c r="A377"/>
  <c r="L376"/>
  <c r="D376"/>
  <c r="A376"/>
  <c r="C375"/>
  <c r="A375"/>
  <c r="G372"/>
  <c r="L369"/>
  <c r="D369"/>
  <c r="A369"/>
  <c r="G367"/>
  <c r="L364"/>
  <c r="A364"/>
  <c r="C363"/>
  <c r="A363"/>
  <c r="L361"/>
  <c r="A361"/>
  <c r="D360"/>
  <c r="A360"/>
  <c r="A359"/>
  <c r="A358"/>
  <c r="L357"/>
  <c r="D357"/>
  <c r="A357"/>
  <c r="L356"/>
  <c r="D356"/>
  <c r="A356"/>
  <c r="L355"/>
  <c r="D355"/>
  <c r="A355"/>
  <c r="C354"/>
  <c r="A354"/>
  <c r="G351"/>
  <c r="L348"/>
  <c r="D348"/>
  <c r="A348"/>
  <c r="G346"/>
  <c r="L343"/>
  <c r="A343"/>
  <c r="C342"/>
  <c r="A342"/>
  <c r="L340"/>
  <c r="A340"/>
  <c r="D339"/>
  <c r="A339"/>
  <c r="A338"/>
  <c r="A337"/>
  <c r="L336"/>
  <c r="D336"/>
  <c r="A336"/>
  <c r="L335"/>
  <c r="D335"/>
  <c r="A335"/>
  <c r="L334"/>
  <c r="D334"/>
  <c r="C334"/>
  <c r="C335"/>
  <c r="A334"/>
  <c r="C333"/>
  <c r="C343"/>
  <c r="A333"/>
  <c r="G330"/>
  <c r="L327"/>
  <c r="D327"/>
  <c r="A327"/>
  <c r="G325"/>
  <c r="L322"/>
  <c r="C322"/>
  <c r="A322"/>
  <c r="A321"/>
  <c r="L319"/>
  <c r="A319"/>
  <c r="D318"/>
  <c r="A318"/>
  <c r="A317"/>
  <c r="A316"/>
  <c r="L315"/>
  <c r="D315"/>
  <c r="A315"/>
  <c r="L314"/>
  <c r="D314"/>
  <c r="A314"/>
  <c r="L313"/>
  <c r="D313"/>
  <c r="A313"/>
  <c r="C312"/>
  <c r="A312"/>
  <c r="G309"/>
  <c r="L306"/>
  <c r="D306"/>
  <c r="A306"/>
  <c r="G304"/>
  <c r="L301"/>
  <c r="A301"/>
  <c r="C300"/>
  <c r="A300"/>
  <c r="L298"/>
  <c r="A298"/>
  <c r="D297"/>
  <c r="A297"/>
  <c r="A296"/>
  <c r="A295"/>
  <c r="L294"/>
  <c r="D294"/>
  <c r="A294"/>
  <c r="L293"/>
  <c r="D293"/>
  <c r="A293"/>
  <c r="L292"/>
  <c r="D292"/>
  <c r="C292"/>
  <c r="A292"/>
  <c r="C291"/>
  <c r="C301"/>
  <c r="N301"/>
  <c r="A291"/>
  <c r="G288"/>
  <c r="N285"/>
  <c r="L285"/>
  <c r="D285"/>
  <c r="A285"/>
  <c r="G283"/>
  <c r="L280"/>
  <c r="A280"/>
  <c r="A279"/>
  <c r="L277"/>
  <c r="A277"/>
  <c r="D276"/>
  <c r="A276"/>
  <c r="A275"/>
  <c r="A274"/>
  <c r="L273"/>
  <c r="D273"/>
  <c r="A273"/>
  <c r="L272"/>
  <c r="D272"/>
  <c r="A272"/>
  <c r="L271"/>
  <c r="D271"/>
  <c r="A271"/>
  <c r="C270"/>
  <c r="A270"/>
  <c r="G267"/>
  <c r="L264"/>
  <c r="D264"/>
  <c r="A264"/>
  <c r="G262"/>
  <c r="L259"/>
  <c r="C259"/>
  <c r="A259"/>
  <c r="C258"/>
  <c r="A258"/>
  <c r="L256"/>
  <c r="A256"/>
  <c r="D255"/>
  <c r="A255"/>
  <c r="A254"/>
  <c r="A253"/>
  <c r="L252"/>
  <c r="D252"/>
  <c r="A252"/>
  <c r="L251"/>
  <c r="D251"/>
  <c r="A251"/>
  <c r="L250"/>
  <c r="D250"/>
  <c r="C250"/>
  <c r="A250"/>
  <c r="C249"/>
  <c r="A249"/>
  <c r="G246"/>
  <c r="L243"/>
  <c r="D243"/>
  <c r="A243"/>
  <c r="G241"/>
  <c r="L238"/>
  <c r="A238"/>
  <c r="A237"/>
  <c r="L235"/>
  <c r="A235"/>
  <c r="D234"/>
  <c r="A234"/>
  <c r="A233"/>
  <c r="A232"/>
  <c r="L231"/>
  <c r="D231"/>
  <c r="A231"/>
  <c r="L230"/>
  <c r="D230"/>
  <c r="A230"/>
  <c r="L229"/>
  <c r="D229"/>
  <c r="A229"/>
  <c r="C228"/>
  <c r="A228"/>
  <c r="G225"/>
  <c r="L222"/>
  <c r="D222"/>
  <c r="A222"/>
  <c r="G220"/>
  <c r="L217"/>
  <c r="C217"/>
  <c r="A217"/>
  <c r="C216"/>
  <c r="A216"/>
  <c r="L214"/>
  <c r="A214"/>
  <c r="D213"/>
  <c r="A213"/>
  <c r="A212"/>
  <c r="A211"/>
  <c r="L210"/>
  <c r="D210"/>
  <c r="A210"/>
  <c r="L209"/>
  <c r="D209"/>
  <c r="A209"/>
  <c r="L208"/>
  <c r="D208"/>
  <c r="C208"/>
  <c r="A208"/>
  <c r="C207"/>
  <c r="A207"/>
  <c r="G204"/>
  <c r="L201"/>
  <c r="D201"/>
  <c r="A201"/>
  <c r="G199"/>
  <c r="L196"/>
  <c r="C196"/>
  <c r="A196"/>
  <c r="A195"/>
  <c r="L193"/>
  <c r="A193"/>
  <c r="D192"/>
  <c r="A192"/>
  <c r="A191"/>
  <c r="A190"/>
  <c r="L189"/>
  <c r="D189"/>
  <c r="A189"/>
  <c r="L188"/>
  <c r="D188"/>
  <c r="A188"/>
  <c r="L187"/>
  <c r="D187"/>
  <c r="A187"/>
  <c r="C186"/>
  <c r="A186"/>
  <c r="G183"/>
  <c r="L180"/>
  <c r="D180"/>
  <c r="A180"/>
  <c r="G178"/>
  <c r="L175"/>
  <c r="C175"/>
  <c r="N175"/>
  <c r="A175"/>
  <c r="A174"/>
  <c r="L172"/>
  <c r="A172"/>
  <c r="D171"/>
  <c r="A171"/>
  <c r="A170"/>
  <c r="A169"/>
  <c r="L168"/>
  <c r="D168"/>
  <c r="A168"/>
  <c r="L167"/>
  <c r="D167"/>
  <c r="C167"/>
  <c r="A167"/>
  <c r="N166"/>
  <c r="L166"/>
  <c r="D166"/>
  <c r="C166"/>
  <c r="A166"/>
  <c r="C165"/>
  <c r="C174"/>
  <c r="N174"/>
  <c r="A165"/>
  <c r="G162"/>
  <c r="N159"/>
  <c r="L159"/>
  <c r="D159"/>
  <c r="A159"/>
  <c r="G157"/>
  <c r="L154"/>
  <c r="A154"/>
  <c r="A153"/>
  <c r="L151"/>
  <c r="A151"/>
  <c r="D150"/>
  <c r="A150"/>
  <c r="A149"/>
  <c r="A148"/>
  <c r="L147"/>
  <c r="D147"/>
  <c r="A147"/>
  <c r="L146"/>
  <c r="D146"/>
  <c r="A146"/>
  <c r="L145"/>
  <c r="D145"/>
  <c r="A145"/>
  <c r="C144"/>
  <c r="A144"/>
  <c r="G141"/>
  <c r="L138"/>
  <c r="D138"/>
  <c r="A138"/>
  <c r="G136"/>
  <c r="L133"/>
  <c r="C133"/>
  <c r="A133"/>
  <c r="C132"/>
  <c r="N132"/>
  <c r="A132"/>
  <c r="L130"/>
  <c r="A130"/>
  <c r="D129"/>
  <c r="A129"/>
  <c r="A128"/>
  <c r="A127"/>
  <c r="L126"/>
  <c r="D126"/>
  <c r="A126"/>
  <c r="L125"/>
  <c r="D125"/>
  <c r="A125"/>
  <c r="L124"/>
  <c r="D124"/>
  <c r="C124"/>
  <c r="A124"/>
  <c r="C123"/>
  <c r="A123"/>
  <c r="G120"/>
  <c r="L117"/>
  <c r="D117"/>
  <c r="A117"/>
  <c r="G115"/>
  <c r="L112"/>
  <c r="A112"/>
  <c r="C111"/>
  <c r="N111"/>
  <c r="A111"/>
  <c r="L109"/>
  <c r="A109"/>
  <c r="D108"/>
  <c r="A108"/>
  <c r="A107"/>
  <c r="A106"/>
  <c r="L105"/>
  <c r="D105"/>
  <c r="A105"/>
  <c r="L104"/>
  <c r="D104"/>
  <c r="A104"/>
  <c r="L103"/>
  <c r="D103"/>
  <c r="A103"/>
  <c r="C102"/>
  <c r="A102"/>
  <c r="G99"/>
  <c r="N96"/>
  <c r="L96"/>
  <c r="D96"/>
  <c r="A96"/>
  <c r="G94"/>
  <c r="J84"/>
  <c r="N411"/>
  <c r="J83"/>
  <c r="N390"/>
  <c r="J82"/>
  <c r="N369"/>
  <c r="J81"/>
  <c r="N348"/>
  <c r="J80"/>
  <c r="J79"/>
  <c r="N306"/>
  <c r="J78"/>
  <c r="N291"/>
  <c r="J77"/>
  <c r="N264"/>
  <c r="J76"/>
  <c r="N258"/>
  <c r="J75"/>
  <c r="N222"/>
  <c r="J74"/>
  <c r="N216"/>
  <c r="J73"/>
  <c r="N180"/>
  <c r="J72"/>
  <c r="N165"/>
  <c r="J71"/>
  <c r="N138"/>
  <c r="J70"/>
  <c r="N123"/>
  <c r="J69"/>
  <c r="N42"/>
  <c r="N35"/>
  <c r="L35"/>
  <c r="N34"/>
  <c r="L34"/>
  <c r="N33"/>
  <c r="L33"/>
  <c r="L32"/>
  <c r="L31"/>
  <c r="N29"/>
  <c r="L29"/>
  <c r="N28"/>
  <c r="L28"/>
  <c r="N27"/>
  <c r="L27"/>
  <c r="L26"/>
  <c r="L25"/>
  <c r="L24"/>
  <c r="L23"/>
  <c r="L22"/>
  <c r="L21"/>
  <c r="L20"/>
  <c r="L19"/>
  <c r="N16"/>
  <c r="N13"/>
  <c r="L13"/>
  <c r="N12"/>
  <c r="L12"/>
  <c r="N11"/>
  <c r="L11"/>
  <c r="L10"/>
  <c r="R8"/>
  <c r="R94" s="1"/>
  <c r="N8"/>
  <c r="L505" i="120"/>
  <c r="L501"/>
  <c r="L495"/>
  <c r="C495"/>
  <c r="A495"/>
  <c r="C494"/>
  <c r="A494"/>
  <c r="L492"/>
  <c r="A492"/>
  <c r="D491"/>
  <c r="A491"/>
  <c r="A490"/>
  <c r="A489"/>
  <c r="L488"/>
  <c r="D488"/>
  <c r="C488"/>
  <c r="A488"/>
  <c r="L487"/>
  <c r="D487"/>
  <c r="A487"/>
  <c r="L486"/>
  <c r="D486"/>
  <c r="C486"/>
  <c r="C487"/>
  <c r="A486"/>
  <c r="A485"/>
  <c r="G482"/>
  <c r="L479"/>
  <c r="C479"/>
  <c r="A479"/>
  <c r="C478"/>
  <c r="A478"/>
  <c r="L476"/>
  <c r="A476"/>
  <c r="D475"/>
  <c r="A475"/>
  <c r="A474"/>
  <c r="A473"/>
  <c r="L472"/>
  <c r="D472"/>
  <c r="A472"/>
  <c r="L471"/>
  <c r="D471"/>
  <c r="A471"/>
  <c r="L470"/>
  <c r="D470"/>
  <c r="C470"/>
  <c r="A470"/>
  <c r="A469"/>
  <c r="G466"/>
  <c r="L463"/>
  <c r="C463"/>
  <c r="A463"/>
  <c r="C462"/>
  <c r="A462"/>
  <c r="L460"/>
  <c r="A460"/>
  <c r="D459"/>
  <c r="A459"/>
  <c r="A458"/>
  <c r="A457"/>
  <c r="L456"/>
  <c r="D456"/>
  <c r="A456"/>
  <c r="L455"/>
  <c r="D455"/>
  <c r="C455"/>
  <c r="A455"/>
  <c r="L454"/>
  <c r="D454"/>
  <c r="C454"/>
  <c r="A454"/>
  <c r="A453"/>
  <c r="G450"/>
  <c r="L447"/>
  <c r="D447"/>
  <c r="A447"/>
  <c r="G445"/>
  <c r="L442"/>
  <c r="D442"/>
  <c r="A442"/>
  <c r="G440"/>
  <c r="L437"/>
  <c r="D437"/>
  <c r="A437"/>
  <c r="G435"/>
  <c r="L432"/>
  <c r="D432"/>
  <c r="A432"/>
  <c r="G430"/>
  <c r="L427"/>
  <c r="A427"/>
  <c r="C426"/>
  <c r="A426"/>
  <c r="L424"/>
  <c r="A424"/>
  <c r="D423"/>
  <c r="A423"/>
  <c r="A422"/>
  <c r="A421"/>
  <c r="L420"/>
  <c r="D420"/>
  <c r="A420"/>
  <c r="L419"/>
  <c r="D419"/>
  <c r="A419"/>
  <c r="L418"/>
  <c r="D418"/>
  <c r="C418"/>
  <c r="A418"/>
  <c r="C417"/>
  <c r="C427"/>
  <c r="A417"/>
  <c r="G414"/>
  <c r="L411"/>
  <c r="D411"/>
  <c r="A411"/>
  <c r="G409"/>
  <c r="L406"/>
  <c r="A406"/>
  <c r="C405"/>
  <c r="A405"/>
  <c r="L403"/>
  <c r="A403"/>
  <c r="D402"/>
  <c r="A402"/>
  <c r="A401"/>
  <c r="A400"/>
  <c r="L399"/>
  <c r="D399"/>
  <c r="A399"/>
  <c r="L398"/>
  <c r="D398"/>
  <c r="A398"/>
  <c r="L397"/>
  <c r="D397"/>
  <c r="A397"/>
  <c r="C396"/>
  <c r="C406"/>
  <c r="A396"/>
  <c r="G393"/>
  <c r="L390"/>
  <c r="D390"/>
  <c r="A390"/>
  <c r="G388"/>
  <c r="L385"/>
  <c r="C385"/>
  <c r="A385"/>
  <c r="A384"/>
  <c r="L382"/>
  <c r="A382"/>
  <c r="D381"/>
  <c r="C381"/>
  <c r="A381"/>
  <c r="A380"/>
  <c r="A379"/>
  <c r="L378"/>
  <c r="D378"/>
  <c r="A378"/>
  <c r="L377"/>
  <c r="D377"/>
  <c r="C377"/>
  <c r="C378"/>
  <c r="C379"/>
  <c r="C380"/>
  <c r="A377"/>
  <c r="L376"/>
  <c r="D376"/>
  <c r="C376"/>
  <c r="A376"/>
  <c r="C375"/>
  <c r="C384"/>
  <c r="A375"/>
  <c r="G372"/>
  <c r="L369"/>
  <c r="D369"/>
  <c r="A369"/>
  <c r="G367"/>
  <c r="L364"/>
  <c r="C364"/>
  <c r="A364"/>
  <c r="A363"/>
  <c r="L361"/>
  <c r="A361"/>
  <c r="D360"/>
  <c r="A360"/>
  <c r="A359"/>
  <c r="A358"/>
  <c r="L357"/>
  <c r="D357"/>
  <c r="A357"/>
  <c r="L356"/>
  <c r="D356"/>
  <c r="A356"/>
  <c r="L355"/>
  <c r="D355"/>
  <c r="A355"/>
  <c r="C354"/>
  <c r="A354"/>
  <c r="G351"/>
  <c r="L348"/>
  <c r="D348"/>
  <c r="A348"/>
  <c r="G346"/>
  <c r="L343"/>
  <c r="C343"/>
  <c r="A343"/>
  <c r="C342"/>
  <c r="A342"/>
  <c r="L340"/>
  <c r="A340"/>
  <c r="D339"/>
  <c r="A339"/>
  <c r="A338"/>
  <c r="A337"/>
  <c r="L336"/>
  <c r="D336"/>
  <c r="A336"/>
  <c r="L335"/>
  <c r="D335"/>
  <c r="C335"/>
  <c r="C336"/>
  <c r="A335"/>
  <c r="L334"/>
  <c r="D334"/>
  <c r="C334"/>
  <c r="A334"/>
  <c r="C333"/>
  <c r="A333"/>
  <c r="G330"/>
  <c r="L327"/>
  <c r="D327"/>
  <c r="A327"/>
  <c r="G325"/>
  <c r="L322"/>
  <c r="C322"/>
  <c r="A322"/>
  <c r="A321"/>
  <c r="L319"/>
  <c r="A319"/>
  <c r="D318"/>
  <c r="A318"/>
  <c r="A317"/>
  <c r="A316"/>
  <c r="L315"/>
  <c r="D315"/>
  <c r="A315"/>
  <c r="L314"/>
  <c r="D314"/>
  <c r="A314"/>
  <c r="L313"/>
  <c r="D313"/>
  <c r="A313"/>
  <c r="C312"/>
  <c r="C321"/>
  <c r="A312"/>
  <c r="G309"/>
  <c r="L306"/>
  <c r="D306"/>
  <c r="A306"/>
  <c r="G304"/>
  <c r="L301"/>
  <c r="C301"/>
  <c r="A301"/>
  <c r="A300"/>
  <c r="L298"/>
  <c r="A298"/>
  <c r="D297"/>
  <c r="A297"/>
  <c r="A296"/>
  <c r="C295"/>
  <c r="C296"/>
  <c r="C297"/>
  <c r="A295"/>
  <c r="L294"/>
  <c r="D294"/>
  <c r="A294"/>
  <c r="L293"/>
  <c r="D293"/>
  <c r="C293"/>
  <c r="C294"/>
  <c r="A293"/>
  <c r="L292"/>
  <c r="D292"/>
  <c r="C292"/>
  <c r="A292"/>
  <c r="C291"/>
  <c r="C300"/>
  <c r="A291"/>
  <c r="G288"/>
  <c r="L285"/>
  <c r="D285"/>
  <c r="A285"/>
  <c r="G283"/>
  <c r="L280"/>
  <c r="C280"/>
  <c r="A280"/>
  <c r="A279"/>
  <c r="L277"/>
  <c r="A277"/>
  <c r="D276"/>
  <c r="A276"/>
  <c r="A275"/>
  <c r="A274"/>
  <c r="L273"/>
  <c r="D273"/>
  <c r="A273"/>
  <c r="L272"/>
  <c r="D272"/>
  <c r="A272"/>
  <c r="L271"/>
  <c r="D271"/>
  <c r="A271"/>
  <c r="C270"/>
  <c r="A270"/>
  <c r="G267"/>
  <c r="L264"/>
  <c r="D264"/>
  <c r="A264"/>
  <c r="G262"/>
  <c r="L259"/>
  <c r="C259"/>
  <c r="A259"/>
  <c r="C258"/>
  <c r="A258"/>
  <c r="L256"/>
  <c r="C256"/>
  <c r="A256"/>
  <c r="D255"/>
  <c r="A255"/>
  <c r="A254"/>
  <c r="A253"/>
  <c r="L252"/>
  <c r="D252"/>
  <c r="A252"/>
  <c r="L251"/>
  <c r="D251"/>
  <c r="A251"/>
  <c r="L250"/>
  <c r="D250"/>
  <c r="C250"/>
  <c r="C251"/>
  <c r="C252"/>
  <c r="C253"/>
  <c r="C254"/>
  <c r="C255"/>
  <c r="A250"/>
  <c r="C249"/>
  <c r="A249"/>
  <c r="G246"/>
  <c r="L243"/>
  <c r="D243"/>
  <c r="A243"/>
  <c r="G241"/>
  <c r="L238"/>
  <c r="C238"/>
  <c r="A238"/>
  <c r="A237"/>
  <c r="L235"/>
  <c r="A235"/>
  <c r="D234"/>
  <c r="A234"/>
  <c r="A233"/>
  <c r="A232"/>
  <c r="L231"/>
  <c r="D231"/>
  <c r="A231"/>
  <c r="L230"/>
  <c r="D230"/>
  <c r="A230"/>
  <c r="L229"/>
  <c r="D229"/>
  <c r="A229"/>
  <c r="C228"/>
  <c r="A228"/>
  <c r="G225"/>
  <c r="L222"/>
  <c r="D222"/>
  <c r="A222"/>
  <c r="G220"/>
  <c r="L217"/>
  <c r="C217"/>
  <c r="A217"/>
  <c r="A216"/>
  <c r="L214"/>
  <c r="A214"/>
  <c r="D213"/>
  <c r="A213"/>
  <c r="A212"/>
  <c r="A211"/>
  <c r="L210"/>
  <c r="D210"/>
  <c r="A210"/>
  <c r="L209"/>
  <c r="D209"/>
  <c r="A209"/>
  <c r="L208"/>
  <c r="D208"/>
  <c r="A208"/>
  <c r="C207"/>
  <c r="C216"/>
  <c r="A207"/>
  <c r="G204"/>
  <c r="L201"/>
  <c r="D201"/>
  <c r="A201"/>
  <c r="G199"/>
  <c r="L196"/>
  <c r="A196"/>
  <c r="C195"/>
  <c r="A195"/>
  <c r="L193"/>
  <c r="A193"/>
  <c r="D192"/>
  <c r="A192"/>
  <c r="A191"/>
  <c r="A190"/>
  <c r="L189"/>
  <c r="D189"/>
  <c r="A189"/>
  <c r="L188"/>
  <c r="D188"/>
  <c r="A188"/>
  <c r="L187"/>
  <c r="D187"/>
  <c r="C187"/>
  <c r="A187"/>
  <c r="C186"/>
  <c r="C196"/>
  <c r="A186"/>
  <c r="G183"/>
  <c r="L180"/>
  <c r="D180"/>
  <c r="A180"/>
  <c r="G178"/>
  <c r="L175"/>
  <c r="A175"/>
  <c r="A174"/>
  <c r="L172"/>
  <c r="A172"/>
  <c r="D171"/>
  <c r="A171"/>
  <c r="A170"/>
  <c r="A169"/>
  <c r="L168"/>
  <c r="D168"/>
  <c r="A168"/>
  <c r="L167"/>
  <c r="D167"/>
  <c r="A167"/>
  <c r="L166"/>
  <c r="D166"/>
  <c r="A166"/>
  <c r="C165"/>
  <c r="C166"/>
  <c r="C167"/>
  <c r="C168"/>
  <c r="A165"/>
  <c r="G162"/>
  <c r="L159"/>
  <c r="D159"/>
  <c r="A159"/>
  <c r="G157"/>
  <c r="L154"/>
  <c r="C154"/>
  <c r="A154"/>
  <c r="C153"/>
  <c r="A153"/>
  <c r="L151"/>
  <c r="A151"/>
  <c r="D150"/>
  <c r="A150"/>
  <c r="A149"/>
  <c r="A148"/>
  <c r="L147"/>
  <c r="D147"/>
  <c r="A147"/>
  <c r="L146"/>
  <c r="D146"/>
  <c r="A146"/>
  <c r="L145"/>
  <c r="D145"/>
  <c r="C145"/>
  <c r="A145"/>
  <c r="C144"/>
  <c r="A144"/>
  <c r="G141"/>
  <c r="L138"/>
  <c r="D138"/>
  <c r="A138"/>
  <c r="G136"/>
  <c r="L133"/>
  <c r="A133"/>
  <c r="A132"/>
  <c r="L130"/>
  <c r="A130"/>
  <c r="D129"/>
  <c r="A129"/>
  <c r="A128"/>
  <c r="A127"/>
  <c r="L126"/>
  <c r="D126"/>
  <c r="A126"/>
  <c r="L125"/>
  <c r="D125"/>
  <c r="A125"/>
  <c r="L124"/>
  <c r="D124"/>
  <c r="A124"/>
  <c r="C123"/>
  <c r="A123"/>
  <c r="G120"/>
  <c r="L117"/>
  <c r="D117"/>
  <c r="A117"/>
  <c r="G115"/>
  <c r="L112"/>
  <c r="A112"/>
  <c r="C111"/>
  <c r="A111"/>
  <c r="L109"/>
  <c r="C109"/>
  <c r="A109"/>
  <c r="D108"/>
  <c r="A108"/>
  <c r="A107"/>
  <c r="A106"/>
  <c r="L105"/>
  <c r="D105"/>
  <c r="A105"/>
  <c r="L104"/>
  <c r="D104"/>
  <c r="A104"/>
  <c r="L103"/>
  <c r="D103"/>
  <c r="C103"/>
  <c r="C104"/>
  <c r="C105"/>
  <c r="C106"/>
  <c r="C107"/>
  <c r="C108"/>
  <c r="A103"/>
  <c r="C102"/>
  <c r="C112"/>
  <c r="A102"/>
  <c r="G99"/>
  <c r="L96"/>
  <c r="D96"/>
  <c r="A96"/>
  <c r="G94"/>
  <c r="N42"/>
  <c r="N35"/>
  <c r="L35"/>
  <c r="N34"/>
  <c r="L34"/>
  <c r="N33"/>
  <c r="L33"/>
  <c r="L32"/>
  <c r="L31"/>
  <c r="N29"/>
  <c r="L29"/>
  <c r="N28"/>
  <c r="L28"/>
  <c r="N27"/>
  <c r="L27"/>
  <c r="L26"/>
  <c r="L25"/>
  <c r="L24"/>
  <c r="L23"/>
  <c r="L22"/>
  <c r="L21"/>
  <c r="L20"/>
  <c r="L19"/>
  <c r="N16"/>
  <c r="N13"/>
  <c r="L13"/>
  <c r="N12"/>
  <c r="L12"/>
  <c r="N11"/>
  <c r="L11"/>
  <c r="L10"/>
  <c r="R8"/>
  <c r="R94" s="1"/>
  <c r="N8"/>
  <c r="L505" i="119"/>
  <c r="L501"/>
  <c r="L495"/>
  <c r="C495"/>
  <c r="A495"/>
  <c r="C494"/>
  <c r="A494"/>
  <c r="L492"/>
  <c r="A492"/>
  <c r="D491"/>
  <c r="A491"/>
  <c r="A490"/>
  <c r="A489"/>
  <c r="L488"/>
  <c r="D488"/>
  <c r="A488"/>
  <c r="L487"/>
  <c r="D487"/>
  <c r="A487"/>
  <c r="L486"/>
  <c r="D486"/>
  <c r="C486"/>
  <c r="A486"/>
  <c r="A485"/>
  <c r="G482"/>
  <c r="L479"/>
  <c r="C479"/>
  <c r="A479"/>
  <c r="C478"/>
  <c r="A478"/>
  <c r="L476"/>
  <c r="A476"/>
  <c r="D475"/>
  <c r="A475"/>
  <c r="A474"/>
  <c r="A473"/>
  <c r="L472"/>
  <c r="D472"/>
  <c r="A472"/>
  <c r="L471"/>
  <c r="D471"/>
  <c r="A471"/>
  <c r="L470"/>
  <c r="D470"/>
  <c r="C470"/>
  <c r="C471"/>
  <c r="C472"/>
  <c r="A470"/>
  <c r="A469"/>
  <c r="G466"/>
  <c r="L463"/>
  <c r="C463"/>
  <c r="A463"/>
  <c r="C462"/>
  <c r="A462"/>
  <c r="L460"/>
  <c r="A460"/>
  <c r="D459"/>
  <c r="A459"/>
  <c r="A458"/>
  <c r="A457"/>
  <c r="L456"/>
  <c r="D456"/>
  <c r="A456"/>
  <c r="L455"/>
  <c r="D455"/>
  <c r="C455"/>
  <c r="C456"/>
  <c r="C457"/>
  <c r="A455"/>
  <c r="L454"/>
  <c r="D454"/>
  <c r="C454"/>
  <c r="A454"/>
  <c r="A453"/>
  <c r="G450"/>
  <c r="L447"/>
  <c r="D447"/>
  <c r="A447"/>
  <c r="G445"/>
  <c r="L442"/>
  <c r="D442"/>
  <c r="A442"/>
  <c r="G440"/>
  <c r="L437"/>
  <c r="D437"/>
  <c r="A437"/>
  <c r="G435"/>
  <c r="L432"/>
  <c r="D432"/>
  <c r="A432"/>
  <c r="G430"/>
  <c r="L427"/>
  <c r="C427"/>
  <c r="A427"/>
  <c r="A426"/>
  <c r="L424"/>
  <c r="A424"/>
  <c r="D423"/>
  <c r="A423"/>
  <c r="A422"/>
  <c r="A421"/>
  <c r="L420"/>
  <c r="D420"/>
  <c r="A420"/>
  <c r="L419"/>
  <c r="D419"/>
  <c r="A419"/>
  <c r="L418"/>
  <c r="D418"/>
  <c r="A418"/>
  <c r="C417"/>
  <c r="C426"/>
  <c r="A417"/>
  <c r="G414"/>
  <c r="L411"/>
  <c r="D411"/>
  <c r="A411"/>
  <c r="G409"/>
  <c r="L406"/>
  <c r="A406"/>
  <c r="A405"/>
  <c r="L403"/>
  <c r="A403"/>
  <c r="D402"/>
  <c r="A402"/>
  <c r="A401"/>
  <c r="A400"/>
  <c r="L399"/>
  <c r="D399"/>
  <c r="A399"/>
  <c r="L398"/>
  <c r="D398"/>
  <c r="A398"/>
  <c r="L397"/>
  <c r="D397"/>
  <c r="A397"/>
  <c r="C396"/>
  <c r="A396"/>
  <c r="G393"/>
  <c r="L390"/>
  <c r="D390"/>
  <c r="A390"/>
  <c r="G388"/>
  <c r="L385"/>
  <c r="C385"/>
  <c r="A385"/>
  <c r="C384"/>
  <c r="A384"/>
  <c r="L382"/>
  <c r="A382"/>
  <c r="D381"/>
  <c r="A381"/>
  <c r="A380"/>
  <c r="A379"/>
  <c r="L378"/>
  <c r="D378"/>
  <c r="A378"/>
  <c r="L377"/>
  <c r="D377"/>
  <c r="A377"/>
  <c r="L376"/>
  <c r="D376"/>
  <c r="C376"/>
  <c r="A376"/>
  <c r="C375"/>
  <c r="A375"/>
  <c r="G372"/>
  <c r="L369"/>
  <c r="D369"/>
  <c r="A369"/>
  <c r="G367"/>
  <c r="L364"/>
  <c r="C364"/>
  <c r="A364"/>
  <c r="C363"/>
  <c r="A363"/>
  <c r="L361"/>
  <c r="A361"/>
  <c r="D360"/>
  <c r="C360"/>
  <c r="A360"/>
  <c r="A359"/>
  <c r="A358"/>
  <c r="L357"/>
  <c r="D357"/>
  <c r="A357"/>
  <c r="L356"/>
  <c r="D356"/>
  <c r="C356"/>
  <c r="C357"/>
  <c r="C358"/>
  <c r="C359"/>
  <c r="C361"/>
  <c r="A356"/>
  <c r="L355"/>
  <c r="D355"/>
  <c r="C355"/>
  <c r="A355"/>
  <c r="C354"/>
  <c r="A354"/>
  <c r="G351"/>
  <c r="L348"/>
  <c r="D348"/>
  <c r="A348"/>
  <c r="G346"/>
  <c r="L343"/>
  <c r="C343"/>
  <c r="A343"/>
  <c r="A342"/>
  <c r="L340"/>
  <c r="A340"/>
  <c r="D339"/>
  <c r="A339"/>
  <c r="A338"/>
  <c r="A337"/>
  <c r="L336"/>
  <c r="D336"/>
  <c r="A336"/>
  <c r="L335"/>
  <c r="D335"/>
  <c r="A335"/>
  <c r="L334"/>
  <c r="D334"/>
  <c r="A334"/>
  <c r="C333"/>
  <c r="C342"/>
  <c r="A333"/>
  <c r="G330"/>
  <c r="L327"/>
  <c r="D327"/>
  <c r="A327"/>
  <c r="G325"/>
  <c r="L322"/>
  <c r="A322"/>
  <c r="A321"/>
  <c r="L319"/>
  <c r="A319"/>
  <c r="D318"/>
  <c r="A318"/>
  <c r="A317"/>
  <c r="A316"/>
  <c r="L315"/>
  <c r="D315"/>
  <c r="A315"/>
  <c r="L314"/>
  <c r="D314"/>
  <c r="A314"/>
  <c r="L313"/>
  <c r="D313"/>
  <c r="A313"/>
  <c r="C312"/>
  <c r="A312"/>
  <c r="G309"/>
  <c r="L306"/>
  <c r="D306"/>
  <c r="A306"/>
  <c r="G304"/>
  <c r="L301"/>
  <c r="C301"/>
  <c r="A301"/>
  <c r="A300"/>
  <c r="L298"/>
  <c r="A298"/>
  <c r="D297"/>
  <c r="A297"/>
  <c r="A296"/>
  <c r="A295"/>
  <c r="L294"/>
  <c r="D294"/>
  <c r="A294"/>
  <c r="L293"/>
  <c r="D293"/>
  <c r="C293"/>
  <c r="A293"/>
  <c r="L292"/>
  <c r="D292"/>
  <c r="C292"/>
  <c r="A292"/>
  <c r="C291"/>
  <c r="A291"/>
  <c r="G288"/>
  <c r="L285"/>
  <c r="D285"/>
  <c r="A285"/>
  <c r="G283"/>
  <c r="L280"/>
  <c r="C280"/>
  <c r="A280"/>
  <c r="C279"/>
  <c r="A279"/>
  <c r="L277"/>
  <c r="A277"/>
  <c r="D276"/>
  <c r="A276"/>
  <c r="A275"/>
  <c r="A274"/>
  <c r="L273"/>
  <c r="D273"/>
  <c r="A273"/>
  <c r="L272"/>
  <c r="D272"/>
  <c r="A272"/>
  <c r="L271"/>
  <c r="D271"/>
  <c r="C271"/>
  <c r="A271"/>
  <c r="C270"/>
  <c r="A270"/>
  <c r="G267"/>
  <c r="L264"/>
  <c r="D264"/>
  <c r="A264"/>
  <c r="G262"/>
  <c r="L259"/>
  <c r="C259"/>
  <c r="A259"/>
  <c r="A258"/>
  <c r="L256"/>
  <c r="A256"/>
  <c r="D255"/>
  <c r="A255"/>
  <c r="A254"/>
  <c r="A253"/>
  <c r="L252"/>
  <c r="D252"/>
  <c r="A252"/>
  <c r="L251"/>
  <c r="D251"/>
  <c r="A251"/>
  <c r="L250"/>
  <c r="D250"/>
  <c r="A250"/>
  <c r="C249"/>
  <c r="A249"/>
  <c r="G246"/>
  <c r="L243"/>
  <c r="D243"/>
  <c r="A243"/>
  <c r="G241"/>
  <c r="L238"/>
  <c r="C238"/>
  <c r="A238"/>
  <c r="C237"/>
  <c r="A237"/>
  <c r="L235"/>
  <c r="A235"/>
  <c r="D234"/>
  <c r="A234"/>
  <c r="A233"/>
  <c r="A232"/>
  <c r="L231"/>
  <c r="D231"/>
  <c r="A231"/>
  <c r="L230"/>
  <c r="D230"/>
  <c r="C230"/>
  <c r="C231"/>
  <c r="C232"/>
  <c r="A230"/>
  <c r="L229"/>
  <c r="D229"/>
  <c r="C229"/>
  <c r="A229"/>
  <c r="C228"/>
  <c r="A228"/>
  <c r="G225"/>
  <c r="L222"/>
  <c r="D222"/>
  <c r="A222"/>
  <c r="G220"/>
  <c r="L217"/>
  <c r="C217"/>
  <c r="A217"/>
  <c r="A216"/>
  <c r="L214"/>
  <c r="A214"/>
  <c r="D213"/>
  <c r="A213"/>
  <c r="A212"/>
  <c r="A211"/>
  <c r="L210"/>
  <c r="D210"/>
  <c r="A210"/>
  <c r="L209"/>
  <c r="D209"/>
  <c r="A209"/>
  <c r="L208"/>
  <c r="D208"/>
  <c r="A208"/>
  <c r="C207"/>
  <c r="A207"/>
  <c r="G204"/>
  <c r="L201"/>
  <c r="D201"/>
  <c r="A201"/>
  <c r="G199"/>
  <c r="L196"/>
  <c r="C196"/>
  <c r="A196"/>
  <c r="C195"/>
  <c r="A195"/>
  <c r="L193"/>
  <c r="A193"/>
  <c r="D192"/>
  <c r="A192"/>
  <c r="A191"/>
  <c r="A190"/>
  <c r="L189"/>
  <c r="D189"/>
  <c r="A189"/>
  <c r="L188"/>
  <c r="D188"/>
  <c r="A188"/>
  <c r="L187"/>
  <c r="D187"/>
  <c r="C187"/>
  <c r="C188"/>
  <c r="A187"/>
  <c r="C186"/>
  <c r="A186"/>
  <c r="G183"/>
  <c r="L180"/>
  <c r="D180"/>
  <c r="A180"/>
  <c r="G178"/>
  <c r="L175"/>
  <c r="C175"/>
  <c r="A175"/>
  <c r="C174"/>
  <c r="A174"/>
  <c r="L172"/>
  <c r="A172"/>
  <c r="D171"/>
  <c r="A171"/>
  <c r="C170"/>
  <c r="C171"/>
  <c r="A170"/>
  <c r="C169"/>
  <c r="A169"/>
  <c r="L168"/>
  <c r="D168"/>
  <c r="A168"/>
  <c r="L167"/>
  <c r="D167"/>
  <c r="C167"/>
  <c r="C168"/>
  <c r="A167"/>
  <c r="L166"/>
  <c r="D166"/>
  <c r="C166"/>
  <c r="A166"/>
  <c r="C165"/>
  <c r="A165"/>
  <c r="G162"/>
  <c r="L159"/>
  <c r="D159"/>
  <c r="A159"/>
  <c r="G157"/>
  <c r="L154"/>
  <c r="C154"/>
  <c r="A154"/>
  <c r="A153"/>
  <c r="L151"/>
  <c r="A151"/>
  <c r="D150"/>
  <c r="A150"/>
  <c r="A149"/>
  <c r="A148"/>
  <c r="L147"/>
  <c r="D147"/>
  <c r="A147"/>
  <c r="L146"/>
  <c r="D146"/>
  <c r="C146"/>
  <c r="C147"/>
  <c r="C148"/>
  <c r="A146"/>
  <c r="L145"/>
  <c r="D145"/>
  <c r="C145"/>
  <c r="A145"/>
  <c r="C144"/>
  <c r="C153"/>
  <c r="A144"/>
  <c r="G141"/>
  <c r="L138"/>
  <c r="D138"/>
  <c r="A138"/>
  <c r="G136"/>
  <c r="L133"/>
  <c r="A133"/>
  <c r="A132"/>
  <c r="L130"/>
  <c r="A130"/>
  <c r="D129"/>
  <c r="A129"/>
  <c r="A128"/>
  <c r="A127"/>
  <c r="L126"/>
  <c r="D126"/>
  <c r="A126"/>
  <c r="L125"/>
  <c r="D125"/>
  <c r="A125"/>
  <c r="L124"/>
  <c r="D124"/>
  <c r="A124"/>
  <c r="C123"/>
  <c r="A123"/>
  <c r="G120"/>
  <c r="L117"/>
  <c r="D117"/>
  <c r="A117"/>
  <c r="G115"/>
  <c r="L112"/>
  <c r="C112"/>
  <c r="A112"/>
  <c r="C111"/>
  <c r="A111"/>
  <c r="L109"/>
  <c r="A109"/>
  <c r="D108"/>
  <c r="A108"/>
  <c r="A107"/>
  <c r="A106"/>
  <c r="L105"/>
  <c r="D105"/>
  <c r="A105"/>
  <c r="L104"/>
  <c r="D104"/>
  <c r="A104"/>
  <c r="L103"/>
  <c r="D103"/>
  <c r="C103"/>
  <c r="C104"/>
  <c r="A103"/>
  <c r="C102"/>
  <c r="A102"/>
  <c r="G99"/>
  <c r="L96"/>
  <c r="D96"/>
  <c r="A96"/>
  <c r="G94"/>
  <c r="N42"/>
  <c r="N35"/>
  <c r="L35"/>
  <c r="N34"/>
  <c r="L34"/>
  <c r="N33"/>
  <c r="L33"/>
  <c r="L32"/>
  <c r="L31"/>
  <c r="N29"/>
  <c r="L29"/>
  <c r="N28"/>
  <c r="L28"/>
  <c r="N27"/>
  <c r="L27"/>
  <c r="L26"/>
  <c r="L25"/>
  <c r="L24"/>
  <c r="L23"/>
  <c r="L22"/>
  <c r="L21"/>
  <c r="L20"/>
  <c r="L19"/>
  <c r="N16"/>
  <c r="N13"/>
  <c r="L13"/>
  <c r="N12"/>
  <c r="L12"/>
  <c r="N11"/>
  <c r="L11"/>
  <c r="L10"/>
  <c r="R8"/>
  <c r="R430" s="1"/>
  <c r="N8"/>
  <c r="L505" i="118"/>
  <c r="L501"/>
  <c r="L495"/>
  <c r="C495"/>
  <c r="A495"/>
  <c r="C494"/>
  <c r="A494"/>
  <c r="L492"/>
  <c r="A492"/>
  <c r="D491"/>
  <c r="A491"/>
  <c r="A490"/>
  <c r="A489"/>
  <c r="L488"/>
  <c r="D488"/>
  <c r="A488"/>
  <c r="L487"/>
  <c r="D487"/>
  <c r="A487"/>
  <c r="L486"/>
  <c r="D486"/>
  <c r="C486"/>
  <c r="A486"/>
  <c r="A485"/>
  <c r="G482"/>
  <c r="L479"/>
  <c r="C479"/>
  <c r="A479"/>
  <c r="C478"/>
  <c r="A478"/>
  <c r="L476"/>
  <c r="A476"/>
  <c r="D475"/>
  <c r="A475"/>
  <c r="A474"/>
  <c r="A473"/>
  <c r="L472"/>
  <c r="D472"/>
  <c r="C472"/>
  <c r="C473"/>
  <c r="C474"/>
  <c r="C476"/>
  <c r="A472"/>
  <c r="L471"/>
  <c r="D471"/>
  <c r="A471"/>
  <c r="L470"/>
  <c r="D470"/>
  <c r="C470"/>
  <c r="C471"/>
  <c r="A470"/>
  <c r="A469"/>
  <c r="G466"/>
  <c r="L463"/>
  <c r="C463"/>
  <c r="A463"/>
  <c r="C462"/>
  <c r="A462"/>
  <c r="L460"/>
  <c r="A460"/>
  <c r="D459"/>
  <c r="A459"/>
  <c r="A458"/>
  <c r="A457"/>
  <c r="L456"/>
  <c r="D456"/>
  <c r="A456"/>
  <c r="L455"/>
  <c r="D455"/>
  <c r="A455"/>
  <c r="L454"/>
  <c r="D454"/>
  <c r="C454"/>
  <c r="C455"/>
  <c r="C456"/>
  <c r="C457"/>
  <c r="C458"/>
  <c r="A454"/>
  <c r="A453"/>
  <c r="G450"/>
  <c r="L447"/>
  <c r="D447"/>
  <c r="A447"/>
  <c r="G445"/>
  <c r="L442"/>
  <c r="D442"/>
  <c r="A442"/>
  <c r="G440"/>
  <c r="L437"/>
  <c r="D437"/>
  <c r="A437"/>
  <c r="G435"/>
  <c r="L432"/>
  <c r="D432"/>
  <c r="A432"/>
  <c r="G430"/>
  <c r="L427"/>
  <c r="C427"/>
  <c r="A427"/>
  <c r="C426"/>
  <c r="A426"/>
  <c r="L424"/>
  <c r="A424"/>
  <c r="D423"/>
  <c r="A423"/>
  <c r="A422"/>
  <c r="A421"/>
  <c r="L420"/>
  <c r="D420"/>
  <c r="A420"/>
  <c r="L419"/>
  <c r="D419"/>
  <c r="A419"/>
  <c r="L418"/>
  <c r="D418"/>
  <c r="C418"/>
  <c r="C419"/>
  <c r="C420"/>
  <c r="C421"/>
  <c r="A418"/>
  <c r="C417"/>
  <c r="A417"/>
  <c r="G414"/>
  <c r="L411"/>
  <c r="D411"/>
  <c r="A411"/>
  <c r="G409"/>
  <c r="L406"/>
  <c r="A406"/>
  <c r="A405"/>
  <c r="L403"/>
  <c r="A403"/>
  <c r="D402"/>
  <c r="A402"/>
  <c r="A401"/>
  <c r="A400"/>
  <c r="L399"/>
  <c r="D399"/>
  <c r="A399"/>
  <c r="L398"/>
  <c r="D398"/>
  <c r="A398"/>
  <c r="L397"/>
  <c r="D397"/>
  <c r="A397"/>
  <c r="C396"/>
  <c r="A396"/>
  <c r="G393"/>
  <c r="L390"/>
  <c r="D390"/>
  <c r="A390"/>
  <c r="G388"/>
  <c r="L385"/>
  <c r="A385"/>
  <c r="A384"/>
  <c r="L382"/>
  <c r="A382"/>
  <c r="D381"/>
  <c r="A381"/>
  <c r="A380"/>
  <c r="A379"/>
  <c r="L378"/>
  <c r="D378"/>
  <c r="A378"/>
  <c r="L377"/>
  <c r="D377"/>
  <c r="A377"/>
  <c r="L376"/>
  <c r="D376"/>
  <c r="A376"/>
  <c r="C375"/>
  <c r="A375"/>
  <c r="G372"/>
  <c r="L369"/>
  <c r="D369"/>
  <c r="A369"/>
  <c r="G367"/>
  <c r="L364"/>
  <c r="A364"/>
  <c r="A363"/>
  <c r="L361"/>
  <c r="A361"/>
  <c r="D360"/>
  <c r="A360"/>
  <c r="A359"/>
  <c r="A358"/>
  <c r="L357"/>
  <c r="D357"/>
  <c r="A357"/>
  <c r="L356"/>
  <c r="D356"/>
  <c r="A356"/>
  <c r="L355"/>
  <c r="D355"/>
  <c r="A355"/>
  <c r="C354"/>
  <c r="A354"/>
  <c r="G351"/>
  <c r="L348"/>
  <c r="D348"/>
  <c r="A348"/>
  <c r="G346"/>
  <c r="L343"/>
  <c r="C343"/>
  <c r="A343"/>
  <c r="C342"/>
  <c r="A342"/>
  <c r="L340"/>
  <c r="A340"/>
  <c r="D339"/>
  <c r="A339"/>
  <c r="A338"/>
  <c r="A337"/>
  <c r="L336"/>
  <c r="D336"/>
  <c r="A336"/>
  <c r="L335"/>
  <c r="D335"/>
  <c r="A335"/>
  <c r="L334"/>
  <c r="D334"/>
  <c r="C334"/>
  <c r="C335"/>
  <c r="C336"/>
  <c r="C337"/>
  <c r="C338"/>
  <c r="A334"/>
  <c r="C333"/>
  <c r="A333"/>
  <c r="G330"/>
  <c r="L327"/>
  <c r="D327"/>
  <c r="A327"/>
  <c r="G325"/>
  <c r="L322"/>
  <c r="A322"/>
  <c r="A321"/>
  <c r="L319"/>
  <c r="A319"/>
  <c r="D318"/>
  <c r="A318"/>
  <c r="A317"/>
  <c r="A316"/>
  <c r="L315"/>
  <c r="D315"/>
  <c r="A315"/>
  <c r="L314"/>
  <c r="D314"/>
  <c r="A314"/>
  <c r="L313"/>
  <c r="D313"/>
  <c r="A313"/>
  <c r="C312"/>
  <c r="A312"/>
  <c r="G309"/>
  <c r="L306"/>
  <c r="D306"/>
  <c r="A306"/>
  <c r="G304"/>
  <c r="L301"/>
  <c r="A301"/>
  <c r="A300"/>
  <c r="L298"/>
  <c r="A298"/>
  <c r="D297"/>
  <c r="A297"/>
  <c r="A296"/>
  <c r="A295"/>
  <c r="L294"/>
  <c r="D294"/>
  <c r="A294"/>
  <c r="L293"/>
  <c r="D293"/>
  <c r="A293"/>
  <c r="L292"/>
  <c r="D292"/>
  <c r="C292"/>
  <c r="A292"/>
  <c r="C291"/>
  <c r="C301"/>
  <c r="A291"/>
  <c r="G288"/>
  <c r="L285"/>
  <c r="D285"/>
  <c r="A285"/>
  <c r="G283"/>
  <c r="L280"/>
  <c r="A280"/>
  <c r="C279"/>
  <c r="A279"/>
  <c r="L277"/>
  <c r="A277"/>
  <c r="D276"/>
  <c r="A276"/>
  <c r="A275"/>
  <c r="A274"/>
  <c r="L273"/>
  <c r="D273"/>
  <c r="A273"/>
  <c r="L272"/>
  <c r="D272"/>
  <c r="A272"/>
  <c r="L271"/>
  <c r="D271"/>
  <c r="A271"/>
  <c r="C270"/>
  <c r="A270"/>
  <c r="G267"/>
  <c r="L264"/>
  <c r="D264"/>
  <c r="A264"/>
  <c r="G262"/>
  <c r="L259"/>
  <c r="D259"/>
  <c r="C259"/>
  <c r="A259"/>
  <c r="C258"/>
  <c r="A258"/>
  <c r="L256"/>
  <c r="A256"/>
  <c r="D255"/>
  <c r="A255"/>
  <c r="A254"/>
  <c r="A253"/>
  <c r="L252"/>
  <c r="D252"/>
  <c r="A252"/>
  <c r="L251"/>
  <c r="D251"/>
  <c r="A251"/>
  <c r="L250"/>
  <c r="D250"/>
  <c r="C250"/>
  <c r="C251"/>
  <c r="A250"/>
  <c r="C249"/>
  <c r="A249"/>
  <c r="G246"/>
  <c r="L243"/>
  <c r="D243"/>
  <c r="A243"/>
  <c r="G241"/>
  <c r="L238"/>
  <c r="A238"/>
  <c r="A237"/>
  <c r="L235"/>
  <c r="A235"/>
  <c r="D234"/>
  <c r="A234"/>
  <c r="A233"/>
  <c r="A232"/>
  <c r="L231"/>
  <c r="D231"/>
  <c r="A231"/>
  <c r="L230"/>
  <c r="D230"/>
  <c r="A230"/>
  <c r="L229"/>
  <c r="D229"/>
  <c r="A229"/>
  <c r="C228"/>
  <c r="A228"/>
  <c r="G225"/>
  <c r="L222"/>
  <c r="D222"/>
  <c r="A222"/>
  <c r="G220"/>
  <c r="L217"/>
  <c r="A217"/>
  <c r="C216"/>
  <c r="A216"/>
  <c r="L214"/>
  <c r="A214"/>
  <c r="D213"/>
  <c r="A213"/>
  <c r="A212"/>
  <c r="A211"/>
  <c r="L210"/>
  <c r="D210"/>
  <c r="A210"/>
  <c r="L209"/>
  <c r="D209"/>
  <c r="A209"/>
  <c r="L208"/>
  <c r="D208"/>
  <c r="C208"/>
  <c r="A208"/>
  <c r="C207"/>
  <c r="C217"/>
  <c r="A207"/>
  <c r="G204"/>
  <c r="L201"/>
  <c r="D201"/>
  <c r="A201"/>
  <c r="G199"/>
  <c r="L196"/>
  <c r="A196"/>
  <c r="C195"/>
  <c r="A195"/>
  <c r="L193"/>
  <c r="A193"/>
  <c r="D192"/>
  <c r="A192"/>
  <c r="A191"/>
  <c r="A190"/>
  <c r="L189"/>
  <c r="D189"/>
  <c r="A189"/>
  <c r="L188"/>
  <c r="D188"/>
  <c r="A188"/>
  <c r="L187"/>
  <c r="D187"/>
  <c r="C187"/>
  <c r="A187"/>
  <c r="C186"/>
  <c r="C196"/>
  <c r="A186"/>
  <c r="G183"/>
  <c r="L180"/>
  <c r="D180"/>
  <c r="A180"/>
  <c r="G178"/>
  <c r="L175"/>
  <c r="A175"/>
  <c r="C174"/>
  <c r="A174"/>
  <c r="L172"/>
  <c r="A172"/>
  <c r="D171"/>
  <c r="A171"/>
  <c r="A170"/>
  <c r="A169"/>
  <c r="L168"/>
  <c r="D168"/>
  <c r="A168"/>
  <c r="L167"/>
  <c r="D167"/>
  <c r="C167"/>
  <c r="C168"/>
  <c r="C169"/>
  <c r="A167"/>
  <c r="L166"/>
  <c r="D166"/>
  <c r="C166"/>
  <c r="A166"/>
  <c r="C165"/>
  <c r="C175"/>
  <c r="A165"/>
  <c r="G162"/>
  <c r="L159"/>
  <c r="D159"/>
  <c r="A159"/>
  <c r="G157"/>
  <c r="L154"/>
  <c r="C154"/>
  <c r="A154"/>
  <c r="C153"/>
  <c r="A153"/>
  <c r="L151"/>
  <c r="A151"/>
  <c r="D150"/>
  <c r="A150"/>
  <c r="A149"/>
  <c r="A148"/>
  <c r="L147"/>
  <c r="D147"/>
  <c r="A147"/>
  <c r="L146"/>
  <c r="D146"/>
  <c r="A146"/>
  <c r="L145"/>
  <c r="D145"/>
  <c r="C145"/>
  <c r="C146"/>
  <c r="C147"/>
  <c r="C148"/>
  <c r="C149"/>
  <c r="A145"/>
  <c r="C144"/>
  <c r="A144"/>
  <c r="G141"/>
  <c r="L138"/>
  <c r="D138"/>
  <c r="A138"/>
  <c r="G136"/>
  <c r="L133"/>
  <c r="A133"/>
  <c r="A132"/>
  <c r="L130"/>
  <c r="A130"/>
  <c r="D129"/>
  <c r="A129"/>
  <c r="A128"/>
  <c r="A127"/>
  <c r="L126"/>
  <c r="D126"/>
  <c r="A126"/>
  <c r="L125"/>
  <c r="D125"/>
  <c r="A125"/>
  <c r="L124"/>
  <c r="D124"/>
  <c r="A124"/>
  <c r="C123"/>
  <c r="A123"/>
  <c r="G120"/>
  <c r="L117"/>
  <c r="D117"/>
  <c r="A117"/>
  <c r="G115"/>
  <c r="L112"/>
  <c r="A112"/>
  <c r="C111"/>
  <c r="A111"/>
  <c r="L109"/>
  <c r="A109"/>
  <c r="D108"/>
  <c r="A108"/>
  <c r="A107"/>
  <c r="A106"/>
  <c r="L105"/>
  <c r="D105"/>
  <c r="A105"/>
  <c r="L104"/>
  <c r="D104"/>
  <c r="A104"/>
  <c r="L103"/>
  <c r="D103"/>
  <c r="C103"/>
  <c r="A103"/>
  <c r="C102"/>
  <c r="C112"/>
  <c r="A102"/>
  <c r="G99"/>
  <c r="L96"/>
  <c r="D96"/>
  <c r="A96"/>
  <c r="G94"/>
  <c r="N42"/>
  <c r="N35"/>
  <c r="L35"/>
  <c r="N34"/>
  <c r="L34"/>
  <c r="N33"/>
  <c r="L33"/>
  <c r="L32"/>
  <c r="L31"/>
  <c r="N29"/>
  <c r="L29"/>
  <c r="N28"/>
  <c r="L28"/>
  <c r="N27"/>
  <c r="L27"/>
  <c r="L26"/>
  <c r="L25"/>
  <c r="L24"/>
  <c r="L23"/>
  <c r="L22"/>
  <c r="L21"/>
  <c r="L20"/>
  <c r="L19"/>
  <c r="N16"/>
  <c r="N13"/>
  <c r="L13"/>
  <c r="N12"/>
  <c r="L12"/>
  <c r="N11"/>
  <c r="L11"/>
  <c r="L10"/>
  <c r="R8"/>
  <c r="R351" s="1"/>
  <c r="N8"/>
  <c r="L505" i="117"/>
  <c r="L501"/>
  <c r="L495"/>
  <c r="C495"/>
  <c r="A495"/>
  <c r="C494"/>
  <c r="A494"/>
  <c r="L492"/>
  <c r="A492"/>
  <c r="D491"/>
  <c r="A491"/>
  <c r="A490"/>
  <c r="A489"/>
  <c r="L488"/>
  <c r="D488"/>
  <c r="A488"/>
  <c r="L487"/>
  <c r="D487"/>
  <c r="A487"/>
  <c r="L486"/>
  <c r="D486"/>
  <c r="C486"/>
  <c r="C487"/>
  <c r="A486"/>
  <c r="A485"/>
  <c r="G482"/>
  <c r="L479"/>
  <c r="C479"/>
  <c r="A479"/>
  <c r="C478"/>
  <c r="A478"/>
  <c r="L476"/>
  <c r="A476"/>
  <c r="D475"/>
  <c r="A475"/>
  <c r="A474"/>
  <c r="A473"/>
  <c r="L472"/>
  <c r="D472"/>
  <c r="C472"/>
  <c r="A472"/>
  <c r="L471"/>
  <c r="D471"/>
  <c r="C471"/>
  <c r="A471"/>
  <c r="L470"/>
  <c r="D470"/>
  <c r="C470"/>
  <c r="A470"/>
  <c r="A469"/>
  <c r="G466"/>
  <c r="L463"/>
  <c r="C463"/>
  <c r="A463"/>
  <c r="C462"/>
  <c r="A462"/>
  <c r="L460"/>
  <c r="A460"/>
  <c r="D459"/>
  <c r="A459"/>
  <c r="A458"/>
  <c r="A457"/>
  <c r="L456"/>
  <c r="D456"/>
  <c r="A456"/>
  <c r="L455"/>
  <c r="D455"/>
  <c r="A455"/>
  <c r="L454"/>
  <c r="D454"/>
  <c r="C454"/>
  <c r="A454"/>
  <c r="A453"/>
  <c r="G450"/>
  <c r="L447"/>
  <c r="D447"/>
  <c r="A447"/>
  <c r="G445"/>
  <c r="L442"/>
  <c r="D442"/>
  <c r="A442"/>
  <c r="G440"/>
  <c r="L437"/>
  <c r="D437"/>
  <c r="A437"/>
  <c r="G435"/>
  <c r="L432"/>
  <c r="D432"/>
  <c r="A432"/>
  <c r="G430"/>
  <c r="L427"/>
  <c r="A427"/>
  <c r="A426"/>
  <c r="L424"/>
  <c r="D424"/>
  <c r="A424"/>
  <c r="D423"/>
  <c r="A423"/>
  <c r="A422"/>
  <c r="A421"/>
  <c r="L420"/>
  <c r="D420"/>
  <c r="A420"/>
  <c r="L419"/>
  <c r="D419"/>
  <c r="A419"/>
  <c r="L418"/>
  <c r="D418"/>
  <c r="A418"/>
  <c r="C417"/>
  <c r="A417"/>
  <c r="G414"/>
  <c r="L411"/>
  <c r="D411"/>
  <c r="A411"/>
  <c r="G409"/>
  <c r="L406"/>
  <c r="C406"/>
  <c r="A406"/>
  <c r="A405"/>
  <c r="L403"/>
  <c r="A403"/>
  <c r="D402"/>
  <c r="A402"/>
  <c r="A401"/>
  <c r="A400"/>
  <c r="L399"/>
  <c r="D399"/>
  <c r="A399"/>
  <c r="L398"/>
  <c r="D398"/>
  <c r="A398"/>
  <c r="L397"/>
  <c r="D397"/>
  <c r="A397"/>
  <c r="C396"/>
  <c r="A396"/>
  <c r="G393"/>
  <c r="L390"/>
  <c r="D390"/>
  <c r="A390"/>
  <c r="G388"/>
  <c r="L385"/>
  <c r="A385"/>
  <c r="C384"/>
  <c r="A384"/>
  <c r="L382"/>
  <c r="A382"/>
  <c r="D381"/>
  <c r="A381"/>
  <c r="A380"/>
  <c r="A379"/>
  <c r="L378"/>
  <c r="D378"/>
  <c r="A378"/>
  <c r="L377"/>
  <c r="D377"/>
  <c r="A377"/>
  <c r="L376"/>
  <c r="D376"/>
  <c r="C376"/>
  <c r="A376"/>
  <c r="C375"/>
  <c r="C385"/>
  <c r="A375"/>
  <c r="G372"/>
  <c r="L369"/>
  <c r="D369"/>
  <c r="A369"/>
  <c r="G367"/>
  <c r="L364"/>
  <c r="C364"/>
  <c r="A364"/>
  <c r="A363"/>
  <c r="L361"/>
  <c r="A361"/>
  <c r="D360"/>
  <c r="A360"/>
  <c r="A359"/>
  <c r="A358"/>
  <c r="L357"/>
  <c r="D357"/>
  <c r="A357"/>
  <c r="L356"/>
  <c r="D356"/>
  <c r="A356"/>
  <c r="L355"/>
  <c r="D355"/>
  <c r="A355"/>
  <c r="C354"/>
  <c r="C363"/>
  <c r="A354"/>
  <c r="G351"/>
  <c r="L348"/>
  <c r="D348"/>
  <c r="A348"/>
  <c r="G346"/>
  <c r="L343"/>
  <c r="C343"/>
  <c r="A343"/>
  <c r="A342"/>
  <c r="L340"/>
  <c r="A340"/>
  <c r="D339"/>
  <c r="A339"/>
  <c r="A338"/>
  <c r="A337"/>
  <c r="L336"/>
  <c r="D336"/>
  <c r="A336"/>
  <c r="L335"/>
  <c r="D335"/>
  <c r="A335"/>
  <c r="L334"/>
  <c r="D334"/>
  <c r="A334"/>
  <c r="C333"/>
  <c r="A333"/>
  <c r="G330"/>
  <c r="L327"/>
  <c r="D327"/>
  <c r="A327"/>
  <c r="G325"/>
  <c r="L322"/>
  <c r="C322"/>
  <c r="A322"/>
  <c r="A321"/>
  <c r="L319"/>
  <c r="A319"/>
  <c r="D318"/>
  <c r="A318"/>
  <c r="A317"/>
  <c r="A316"/>
  <c r="L315"/>
  <c r="D315"/>
  <c r="A315"/>
  <c r="L314"/>
  <c r="D314"/>
  <c r="C314"/>
  <c r="A314"/>
  <c r="L313"/>
  <c r="D313"/>
  <c r="C313"/>
  <c r="A313"/>
  <c r="C312"/>
  <c r="C321"/>
  <c r="A312"/>
  <c r="G309"/>
  <c r="L306"/>
  <c r="D306"/>
  <c r="A306"/>
  <c r="G304"/>
  <c r="L301"/>
  <c r="A301"/>
  <c r="C300"/>
  <c r="A300"/>
  <c r="L298"/>
  <c r="A298"/>
  <c r="D297"/>
  <c r="C297"/>
  <c r="A297"/>
  <c r="A296"/>
  <c r="A295"/>
  <c r="L294"/>
  <c r="D294"/>
  <c r="A294"/>
  <c r="L293"/>
  <c r="D293"/>
  <c r="C293"/>
  <c r="C294"/>
  <c r="C295"/>
  <c r="C296"/>
  <c r="C298"/>
  <c r="A293"/>
  <c r="L292"/>
  <c r="D292"/>
  <c r="C292"/>
  <c r="A292"/>
  <c r="C291"/>
  <c r="C301"/>
  <c r="A291"/>
  <c r="G288"/>
  <c r="L285"/>
  <c r="D285"/>
  <c r="A285"/>
  <c r="G283"/>
  <c r="L280"/>
  <c r="A280"/>
  <c r="A279"/>
  <c r="L277"/>
  <c r="A277"/>
  <c r="D276"/>
  <c r="A276"/>
  <c r="A275"/>
  <c r="A274"/>
  <c r="L273"/>
  <c r="D273"/>
  <c r="A273"/>
  <c r="L272"/>
  <c r="D272"/>
  <c r="A272"/>
  <c r="L271"/>
  <c r="D271"/>
  <c r="A271"/>
  <c r="C270"/>
  <c r="A270"/>
  <c r="G267"/>
  <c r="L264"/>
  <c r="D264"/>
  <c r="A264"/>
  <c r="G262"/>
  <c r="L259"/>
  <c r="A259"/>
  <c r="A258"/>
  <c r="L256"/>
  <c r="A256"/>
  <c r="D255"/>
  <c r="A255"/>
  <c r="A254"/>
  <c r="A253"/>
  <c r="L252"/>
  <c r="D252"/>
  <c r="A252"/>
  <c r="L251"/>
  <c r="D251"/>
  <c r="A251"/>
  <c r="L250"/>
  <c r="D250"/>
  <c r="C250"/>
  <c r="C251"/>
  <c r="A250"/>
  <c r="C249"/>
  <c r="C259"/>
  <c r="A249"/>
  <c r="G246"/>
  <c r="L243"/>
  <c r="D243"/>
  <c r="A243"/>
  <c r="G241"/>
  <c r="L238"/>
  <c r="A238"/>
  <c r="A237"/>
  <c r="L235"/>
  <c r="A235"/>
  <c r="D234"/>
  <c r="A234"/>
  <c r="A233"/>
  <c r="A232"/>
  <c r="L231"/>
  <c r="D231"/>
  <c r="A231"/>
  <c r="L230"/>
  <c r="D230"/>
  <c r="A230"/>
  <c r="L229"/>
  <c r="D229"/>
  <c r="A229"/>
  <c r="C228"/>
  <c r="C238"/>
  <c r="A228"/>
  <c r="G225"/>
  <c r="L222"/>
  <c r="D222"/>
  <c r="A222"/>
  <c r="G220"/>
  <c r="L217"/>
  <c r="C217"/>
  <c r="A217"/>
  <c r="C216"/>
  <c r="A216"/>
  <c r="L214"/>
  <c r="A214"/>
  <c r="D213"/>
  <c r="A213"/>
  <c r="A212"/>
  <c r="A211"/>
  <c r="L210"/>
  <c r="D210"/>
  <c r="A210"/>
  <c r="L209"/>
  <c r="D209"/>
  <c r="A209"/>
  <c r="L208"/>
  <c r="D208"/>
  <c r="C208"/>
  <c r="C209"/>
  <c r="A208"/>
  <c r="C207"/>
  <c r="A207"/>
  <c r="G204"/>
  <c r="L201"/>
  <c r="D201"/>
  <c r="A201"/>
  <c r="G199"/>
  <c r="L196"/>
  <c r="A196"/>
  <c r="A195"/>
  <c r="L193"/>
  <c r="A193"/>
  <c r="D192"/>
  <c r="A192"/>
  <c r="A191"/>
  <c r="A190"/>
  <c r="L189"/>
  <c r="D189"/>
  <c r="A189"/>
  <c r="L188"/>
  <c r="D188"/>
  <c r="A188"/>
  <c r="L187"/>
  <c r="D187"/>
  <c r="A187"/>
  <c r="C186"/>
  <c r="A186"/>
  <c r="G183"/>
  <c r="L180"/>
  <c r="D180"/>
  <c r="A180"/>
  <c r="G178"/>
  <c r="L175"/>
  <c r="C175"/>
  <c r="A175"/>
  <c r="C174"/>
  <c r="A174"/>
  <c r="L172"/>
  <c r="A172"/>
  <c r="D171"/>
  <c r="A171"/>
  <c r="A170"/>
  <c r="A169"/>
  <c r="L168"/>
  <c r="D168"/>
  <c r="A168"/>
  <c r="L167"/>
  <c r="D167"/>
  <c r="A167"/>
  <c r="L166"/>
  <c r="D166"/>
  <c r="C166"/>
  <c r="C167"/>
  <c r="C168"/>
  <c r="C169"/>
  <c r="C170"/>
  <c r="C171"/>
  <c r="A166"/>
  <c r="D165"/>
  <c r="C165"/>
  <c r="A165"/>
  <c r="G162"/>
  <c r="L159"/>
  <c r="D159"/>
  <c r="A159"/>
  <c r="G157"/>
  <c r="L154"/>
  <c r="A154"/>
  <c r="A153"/>
  <c r="L151"/>
  <c r="A151"/>
  <c r="D150"/>
  <c r="A150"/>
  <c r="A149"/>
  <c r="A148"/>
  <c r="L147"/>
  <c r="D147"/>
  <c r="A147"/>
  <c r="L146"/>
  <c r="D146"/>
  <c r="A146"/>
  <c r="L145"/>
  <c r="D145"/>
  <c r="A145"/>
  <c r="C144"/>
  <c r="A144"/>
  <c r="G141"/>
  <c r="L138"/>
  <c r="D138"/>
  <c r="A138"/>
  <c r="G136"/>
  <c r="L133"/>
  <c r="C133"/>
  <c r="A133"/>
  <c r="C132"/>
  <c r="A132"/>
  <c r="L130"/>
  <c r="A130"/>
  <c r="D129"/>
  <c r="A129"/>
  <c r="A128"/>
  <c r="A127"/>
  <c r="L126"/>
  <c r="D126"/>
  <c r="A126"/>
  <c r="L125"/>
  <c r="D125"/>
  <c r="A125"/>
  <c r="L124"/>
  <c r="D124"/>
  <c r="C124"/>
  <c r="A124"/>
  <c r="C123"/>
  <c r="A123"/>
  <c r="G120"/>
  <c r="L117"/>
  <c r="D117"/>
  <c r="A117"/>
  <c r="G115"/>
  <c r="L112"/>
  <c r="A112"/>
  <c r="A111"/>
  <c r="L109"/>
  <c r="A109"/>
  <c r="D108"/>
  <c r="A108"/>
  <c r="A107"/>
  <c r="A106"/>
  <c r="L105"/>
  <c r="D105"/>
  <c r="A105"/>
  <c r="L104"/>
  <c r="D104"/>
  <c r="A104"/>
  <c r="L103"/>
  <c r="D103"/>
  <c r="A103"/>
  <c r="D102"/>
  <c r="C102"/>
  <c r="A102"/>
  <c r="G99"/>
  <c r="L96"/>
  <c r="D96"/>
  <c r="A96"/>
  <c r="G94"/>
  <c r="N42"/>
  <c r="N35"/>
  <c r="L35"/>
  <c r="N34"/>
  <c r="L34"/>
  <c r="N33"/>
  <c r="L33"/>
  <c r="L32"/>
  <c r="L31"/>
  <c r="N29"/>
  <c r="L29"/>
  <c r="N28"/>
  <c r="L28"/>
  <c r="N27"/>
  <c r="L27"/>
  <c r="L26"/>
  <c r="L25"/>
  <c r="L24"/>
  <c r="L23"/>
  <c r="L22"/>
  <c r="L21"/>
  <c r="L20"/>
  <c r="L19"/>
  <c r="N16"/>
  <c r="N13"/>
  <c r="L13"/>
  <c r="N12"/>
  <c r="L12"/>
  <c r="N11"/>
  <c r="L11"/>
  <c r="L10"/>
  <c r="S8"/>
  <c r="S388" s="1"/>
  <c r="R8"/>
  <c r="R445" s="1"/>
  <c r="N8"/>
  <c r="L505" i="116"/>
  <c r="L501"/>
  <c r="L495"/>
  <c r="C495"/>
  <c r="A495"/>
  <c r="C494"/>
  <c r="A494"/>
  <c r="L492"/>
  <c r="D492"/>
  <c r="A492"/>
  <c r="D491"/>
  <c r="A491"/>
  <c r="A490"/>
  <c r="A489"/>
  <c r="L488"/>
  <c r="D488"/>
  <c r="A488"/>
  <c r="L487"/>
  <c r="D487"/>
  <c r="A487"/>
  <c r="L486"/>
  <c r="D486"/>
  <c r="C486"/>
  <c r="A486"/>
  <c r="A485"/>
  <c r="G482"/>
  <c r="L479"/>
  <c r="D479"/>
  <c r="C479"/>
  <c r="A479"/>
  <c r="C478"/>
  <c r="A478"/>
  <c r="L476"/>
  <c r="A476"/>
  <c r="D475"/>
  <c r="A475"/>
  <c r="C474"/>
  <c r="A474"/>
  <c r="A473"/>
  <c r="L472"/>
  <c r="D472"/>
  <c r="A472"/>
  <c r="L471"/>
  <c r="D471"/>
  <c r="C471"/>
  <c r="C472"/>
  <c r="C473"/>
  <c r="A471"/>
  <c r="L470"/>
  <c r="D470"/>
  <c r="C470"/>
  <c r="A470"/>
  <c r="A469"/>
  <c r="G466"/>
  <c r="L463"/>
  <c r="C463"/>
  <c r="A463"/>
  <c r="C462"/>
  <c r="A462"/>
  <c r="L460"/>
  <c r="A460"/>
  <c r="D459"/>
  <c r="A459"/>
  <c r="A458"/>
  <c r="C457"/>
  <c r="A457"/>
  <c r="L456"/>
  <c r="D456"/>
  <c r="C456"/>
  <c r="A456"/>
  <c r="L455"/>
  <c r="D455"/>
  <c r="C455"/>
  <c r="A455"/>
  <c r="L454"/>
  <c r="D454"/>
  <c r="C454"/>
  <c r="A454"/>
  <c r="A453"/>
  <c r="G450"/>
  <c r="L447"/>
  <c r="D447"/>
  <c r="A447"/>
  <c r="G445"/>
  <c r="L442"/>
  <c r="D442"/>
  <c r="A442"/>
  <c r="G440"/>
  <c r="L437"/>
  <c r="D437"/>
  <c r="A437"/>
  <c r="G435"/>
  <c r="L432"/>
  <c r="D432"/>
  <c r="A432"/>
  <c r="G430"/>
  <c r="L427"/>
  <c r="C427"/>
  <c r="A427"/>
  <c r="C426"/>
  <c r="A426"/>
  <c r="L424"/>
  <c r="A424"/>
  <c r="D423"/>
  <c r="A423"/>
  <c r="C422"/>
  <c r="C424"/>
  <c r="A422"/>
  <c r="A421"/>
  <c r="L420"/>
  <c r="D420"/>
  <c r="A420"/>
  <c r="L419"/>
  <c r="D419"/>
  <c r="C419"/>
  <c r="C420"/>
  <c r="C421"/>
  <c r="A419"/>
  <c r="L418"/>
  <c r="D418"/>
  <c r="C418"/>
  <c r="A418"/>
  <c r="D417"/>
  <c r="C417"/>
  <c r="A417"/>
  <c r="G414"/>
  <c r="L411"/>
  <c r="D411"/>
  <c r="A411"/>
  <c r="G409"/>
  <c r="L406"/>
  <c r="D406"/>
  <c r="C406"/>
  <c r="A406"/>
  <c r="A405"/>
  <c r="L403"/>
  <c r="A403"/>
  <c r="D402"/>
  <c r="A402"/>
  <c r="A401"/>
  <c r="A400"/>
  <c r="L399"/>
  <c r="D399"/>
  <c r="A399"/>
  <c r="L398"/>
  <c r="D398"/>
  <c r="A398"/>
  <c r="L397"/>
  <c r="D397"/>
  <c r="A397"/>
  <c r="C396"/>
  <c r="C405"/>
  <c r="A396"/>
  <c r="G393"/>
  <c r="L390"/>
  <c r="D390"/>
  <c r="A390"/>
  <c r="G388"/>
  <c r="L385"/>
  <c r="A385"/>
  <c r="A384"/>
  <c r="L382"/>
  <c r="D382"/>
  <c r="A382"/>
  <c r="D381"/>
  <c r="A381"/>
  <c r="A380"/>
  <c r="A379"/>
  <c r="L378"/>
  <c r="D378"/>
  <c r="A378"/>
  <c r="L377"/>
  <c r="D377"/>
  <c r="A377"/>
  <c r="L376"/>
  <c r="D376"/>
  <c r="A376"/>
  <c r="D375"/>
  <c r="C375"/>
  <c r="A375"/>
  <c r="G372"/>
  <c r="L369"/>
  <c r="D369"/>
  <c r="A369"/>
  <c r="G367"/>
  <c r="L364"/>
  <c r="C364"/>
  <c r="A364"/>
  <c r="A363"/>
  <c r="L361"/>
  <c r="D361"/>
  <c r="A361"/>
  <c r="D360"/>
  <c r="A360"/>
  <c r="A359"/>
  <c r="A358"/>
  <c r="L357"/>
  <c r="D357"/>
  <c r="A357"/>
  <c r="L356"/>
  <c r="D356"/>
  <c r="A356"/>
  <c r="L355"/>
  <c r="D355"/>
  <c r="A355"/>
  <c r="C354"/>
  <c r="A354"/>
  <c r="G351"/>
  <c r="L348"/>
  <c r="D348"/>
  <c r="A348"/>
  <c r="G346"/>
  <c r="L343"/>
  <c r="D343"/>
  <c r="A343"/>
  <c r="C342"/>
  <c r="A342"/>
  <c r="L340"/>
  <c r="A340"/>
  <c r="D339"/>
  <c r="A339"/>
  <c r="A338"/>
  <c r="A337"/>
  <c r="L336"/>
  <c r="D336"/>
  <c r="A336"/>
  <c r="L335"/>
  <c r="D335"/>
  <c r="A335"/>
  <c r="L334"/>
  <c r="D334"/>
  <c r="C334"/>
  <c r="A334"/>
  <c r="C333"/>
  <c r="C343"/>
  <c r="A333"/>
  <c r="G330"/>
  <c r="L327"/>
  <c r="D327"/>
  <c r="A327"/>
  <c r="G325"/>
  <c r="L322"/>
  <c r="C322"/>
  <c r="A322"/>
  <c r="A321"/>
  <c r="L319"/>
  <c r="A319"/>
  <c r="D318"/>
  <c r="A318"/>
  <c r="A317"/>
  <c r="A316"/>
  <c r="L315"/>
  <c r="D315"/>
  <c r="A315"/>
  <c r="L314"/>
  <c r="D314"/>
  <c r="A314"/>
  <c r="L313"/>
  <c r="D313"/>
  <c r="A313"/>
  <c r="C312"/>
  <c r="C321"/>
  <c r="A312"/>
  <c r="G309"/>
  <c r="L306"/>
  <c r="D306"/>
  <c r="A306"/>
  <c r="G304"/>
  <c r="L301"/>
  <c r="A301"/>
  <c r="A300"/>
  <c r="L298"/>
  <c r="A298"/>
  <c r="D297"/>
  <c r="A297"/>
  <c r="A296"/>
  <c r="A295"/>
  <c r="L294"/>
  <c r="D294"/>
  <c r="A294"/>
  <c r="L293"/>
  <c r="D293"/>
  <c r="A293"/>
  <c r="L292"/>
  <c r="D292"/>
  <c r="A292"/>
  <c r="C291"/>
  <c r="A291"/>
  <c r="G288"/>
  <c r="L285"/>
  <c r="D285"/>
  <c r="A285"/>
  <c r="G283"/>
  <c r="L280"/>
  <c r="A280"/>
  <c r="C279"/>
  <c r="A279"/>
  <c r="L277"/>
  <c r="A277"/>
  <c r="D276"/>
  <c r="A276"/>
  <c r="A275"/>
  <c r="A274"/>
  <c r="L273"/>
  <c r="D273"/>
  <c r="A273"/>
  <c r="L272"/>
  <c r="D272"/>
  <c r="A272"/>
  <c r="L271"/>
  <c r="D271"/>
  <c r="C271"/>
  <c r="A271"/>
  <c r="C270"/>
  <c r="C280"/>
  <c r="A270"/>
  <c r="G267"/>
  <c r="L264"/>
  <c r="D264"/>
  <c r="A264"/>
  <c r="G262"/>
  <c r="L259"/>
  <c r="A259"/>
  <c r="C258"/>
  <c r="A258"/>
  <c r="L256"/>
  <c r="A256"/>
  <c r="D255"/>
  <c r="C255"/>
  <c r="A255"/>
  <c r="A254"/>
  <c r="A253"/>
  <c r="L252"/>
  <c r="D252"/>
  <c r="A252"/>
  <c r="L251"/>
  <c r="D251"/>
  <c r="C251"/>
  <c r="C252"/>
  <c r="C253"/>
  <c r="C254"/>
  <c r="C256"/>
  <c r="A251"/>
  <c r="L250"/>
  <c r="D250"/>
  <c r="C250"/>
  <c r="A250"/>
  <c r="D249"/>
  <c r="C249"/>
  <c r="C259"/>
  <c r="A249"/>
  <c r="G246"/>
  <c r="L243"/>
  <c r="D243"/>
  <c r="A243"/>
  <c r="G241"/>
  <c r="L238"/>
  <c r="D238"/>
  <c r="C238"/>
  <c r="A238"/>
  <c r="A237"/>
  <c r="L235"/>
  <c r="A235"/>
  <c r="D234"/>
  <c r="A234"/>
  <c r="A233"/>
  <c r="A232"/>
  <c r="L231"/>
  <c r="D231"/>
  <c r="A231"/>
  <c r="L230"/>
  <c r="D230"/>
  <c r="A230"/>
  <c r="L229"/>
  <c r="D229"/>
  <c r="A229"/>
  <c r="C228"/>
  <c r="C237"/>
  <c r="A228"/>
  <c r="G225"/>
  <c r="L222"/>
  <c r="D222"/>
  <c r="A222"/>
  <c r="G220"/>
  <c r="L217"/>
  <c r="A217"/>
  <c r="A216"/>
  <c r="L214"/>
  <c r="A214"/>
  <c r="D213"/>
  <c r="A213"/>
  <c r="A212"/>
  <c r="A211"/>
  <c r="L210"/>
  <c r="D210"/>
  <c r="A210"/>
  <c r="L209"/>
  <c r="D209"/>
  <c r="A209"/>
  <c r="L208"/>
  <c r="D208"/>
  <c r="A208"/>
  <c r="C207"/>
  <c r="A207"/>
  <c r="G204"/>
  <c r="L201"/>
  <c r="D201"/>
  <c r="A201"/>
  <c r="G199"/>
  <c r="L196"/>
  <c r="C196"/>
  <c r="A196"/>
  <c r="A195"/>
  <c r="L193"/>
  <c r="D193"/>
  <c r="A193"/>
  <c r="D192"/>
  <c r="A192"/>
  <c r="A191"/>
  <c r="A190"/>
  <c r="L189"/>
  <c r="D189"/>
  <c r="A189"/>
  <c r="L188"/>
  <c r="D188"/>
  <c r="A188"/>
  <c r="L187"/>
  <c r="D187"/>
  <c r="A187"/>
  <c r="C186"/>
  <c r="C187"/>
  <c r="A186"/>
  <c r="G183"/>
  <c r="L180"/>
  <c r="D180"/>
  <c r="A180"/>
  <c r="G178"/>
  <c r="L175"/>
  <c r="A175"/>
  <c r="C174"/>
  <c r="A174"/>
  <c r="L172"/>
  <c r="A172"/>
  <c r="D171"/>
  <c r="A171"/>
  <c r="C170"/>
  <c r="A170"/>
  <c r="A169"/>
  <c r="L168"/>
  <c r="D168"/>
  <c r="A168"/>
  <c r="L167"/>
  <c r="D167"/>
  <c r="C167"/>
  <c r="C168"/>
  <c r="C169"/>
  <c r="A167"/>
  <c r="L166"/>
  <c r="D166"/>
  <c r="C166"/>
  <c r="A166"/>
  <c r="C165"/>
  <c r="C175"/>
  <c r="A165"/>
  <c r="G162"/>
  <c r="L159"/>
  <c r="D159"/>
  <c r="A159"/>
  <c r="G157"/>
  <c r="L154"/>
  <c r="C154"/>
  <c r="A154"/>
  <c r="A153"/>
  <c r="L151"/>
  <c r="A151"/>
  <c r="D150"/>
  <c r="A150"/>
  <c r="A149"/>
  <c r="A148"/>
  <c r="L147"/>
  <c r="D147"/>
  <c r="A147"/>
  <c r="L146"/>
  <c r="D146"/>
  <c r="A146"/>
  <c r="L145"/>
  <c r="D145"/>
  <c r="A145"/>
  <c r="C144"/>
  <c r="C153"/>
  <c r="A144"/>
  <c r="G141"/>
  <c r="L138"/>
  <c r="D138"/>
  <c r="A138"/>
  <c r="G136"/>
  <c r="L133"/>
  <c r="A133"/>
  <c r="A132"/>
  <c r="L130"/>
  <c r="D130"/>
  <c r="A130"/>
  <c r="D129"/>
  <c r="A129"/>
  <c r="A128"/>
  <c r="A127"/>
  <c r="L126"/>
  <c r="D126"/>
  <c r="A126"/>
  <c r="L125"/>
  <c r="D125"/>
  <c r="A125"/>
  <c r="L124"/>
  <c r="D124"/>
  <c r="A124"/>
  <c r="D123"/>
  <c r="C123"/>
  <c r="A123"/>
  <c r="G120"/>
  <c r="L117"/>
  <c r="D117"/>
  <c r="A117"/>
  <c r="G115"/>
  <c r="L112"/>
  <c r="C112"/>
  <c r="A112"/>
  <c r="C111"/>
  <c r="A111"/>
  <c r="L109"/>
  <c r="A109"/>
  <c r="D108"/>
  <c r="A108"/>
  <c r="A107"/>
  <c r="A106"/>
  <c r="L105"/>
  <c r="D105"/>
  <c r="A105"/>
  <c r="L104"/>
  <c r="D104"/>
  <c r="A104"/>
  <c r="L103"/>
  <c r="D103"/>
  <c r="C103"/>
  <c r="A103"/>
  <c r="C102"/>
  <c r="A102"/>
  <c r="G99"/>
  <c r="L96"/>
  <c r="D96"/>
  <c r="A96"/>
  <c r="G94"/>
  <c r="N42"/>
  <c r="N35"/>
  <c r="L35"/>
  <c r="N34"/>
  <c r="L34"/>
  <c r="N33"/>
  <c r="L33"/>
  <c r="L32"/>
  <c r="L31"/>
  <c r="N29"/>
  <c r="L29"/>
  <c r="N28"/>
  <c r="L28"/>
  <c r="N27"/>
  <c r="L27"/>
  <c r="L26"/>
  <c r="L25"/>
  <c r="L24"/>
  <c r="L23"/>
  <c r="L22"/>
  <c r="L21"/>
  <c r="L20"/>
  <c r="L19"/>
  <c r="N16"/>
  <c r="N13"/>
  <c r="L13"/>
  <c r="N12"/>
  <c r="L12"/>
  <c r="N11"/>
  <c r="L11"/>
  <c r="L10"/>
  <c r="R8"/>
  <c r="R503" s="1"/>
  <c r="R372"/>
  <c r="N8"/>
  <c r="L505" i="28"/>
  <c r="L501"/>
  <c r="L495"/>
  <c r="C495"/>
  <c r="A495"/>
  <c r="C494"/>
  <c r="A494"/>
  <c r="L492"/>
  <c r="A492"/>
  <c r="D491"/>
  <c r="A491"/>
  <c r="A490"/>
  <c r="A489"/>
  <c r="L488"/>
  <c r="D488"/>
  <c r="A488"/>
  <c r="L487"/>
  <c r="D487"/>
  <c r="A487"/>
  <c r="L486"/>
  <c r="D486"/>
  <c r="C486"/>
  <c r="C487"/>
  <c r="A486"/>
  <c r="A485"/>
  <c r="G482"/>
  <c r="L479"/>
  <c r="C479"/>
  <c r="A479"/>
  <c r="C478"/>
  <c r="A478"/>
  <c r="L476"/>
  <c r="D476"/>
  <c r="A476"/>
  <c r="D475"/>
  <c r="A475"/>
  <c r="A474"/>
  <c r="A473"/>
  <c r="L472"/>
  <c r="D472"/>
  <c r="A472"/>
  <c r="L471"/>
  <c r="D471"/>
  <c r="C471"/>
  <c r="A471"/>
  <c r="L470"/>
  <c r="D470"/>
  <c r="C470"/>
  <c r="A470"/>
  <c r="A469"/>
  <c r="G466"/>
  <c r="L463"/>
  <c r="C463"/>
  <c r="A463"/>
  <c r="C462"/>
  <c r="A462"/>
  <c r="L460"/>
  <c r="C460"/>
  <c r="A460"/>
  <c r="D459"/>
  <c r="A459"/>
  <c r="A458"/>
  <c r="A457"/>
  <c r="L456"/>
  <c r="D456"/>
  <c r="A456"/>
  <c r="L455"/>
  <c r="D455"/>
  <c r="A455"/>
  <c r="L454"/>
  <c r="D454"/>
  <c r="C454"/>
  <c r="C455"/>
  <c r="C456"/>
  <c r="C457"/>
  <c r="C458"/>
  <c r="C459"/>
  <c r="A454"/>
  <c r="A453"/>
  <c r="G450"/>
  <c r="L447"/>
  <c r="D447"/>
  <c r="A447"/>
  <c r="G445"/>
  <c r="L442"/>
  <c r="D442"/>
  <c r="A442"/>
  <c r="G440"/>
  <c r="L437"/>
  <c r="D437"/>
  <c r="A437"/>
  <c r="G435"/>
  <c r="L432"/>
  <c r="D432"/>
  <c r="A432"/>
  <c r="G430"/>
  <c r="L427"/>
  <c r="D427"/>
  <c r="A427"/>
  <c r="A426"/>
  <c r="L424"/>
  <c r="D424"/>
  <c r="A424"/>
  <c r="D423"/>
  <c r="A423"/>
  <c r="A422"/>
  <c r="A421"/>
  <c r="L420"/>
  <c r="D420"/>
  <c r="C420"/>
  <c r="C421"/>
  <c r="C422"/>
  <c r="C423"/>
  <c r="A420"/>
  <c r="L419"/>
  <c r="D419"/>
  <c r="C419"/>
  <c r="A419"/>
  <c r="L418"/>
  <c r="D418"/>
  <c r="C418"/>
  <c r="A418"/>
  <c r="C417"/>
  <c r="A417"/>
  <c r="G414"/>
  <c r="L411"/>
  <c r="D411"/>
  <c r="A411"/>
  <c r="G409"/>
  <c r="L406"/>
  <c r="C406"/>
  <c r="A406"/>
  <c r="C405"/>
  <c r="A405"/>
  <c r="L403"/>
  <c r="A403"/>
  <c r="D402"/>
  <c r="A402"/>
  <c r="A401"/>
  <c r="A400"/>
  <c r="L399"/>
  <c r="D399"/>
  <c r="A399"/>
  <c r="L398"/>
  <c r="D398"/>
  <c r="A398"/>
  <c r="L397"/>
  <c r="D397"/>
  <c r="C397"/>
  <c r="C398"/>
  <c r="C399"/>
  <c r="C400"/>
  <c r="A397"/>
  <c r="D396"/>
  <c r="C396"/>
  <c r="A396"/>
  <c r="G393"/>
  <c r="L390"/>
  <c r="D390"/>
  <c r="A390"/>
  <c r="G388"/>
  <c r="L385"/>
  <c r="C385"/>
  <c r="A385"/>
  <c r="A384"/>
  <c r="L382"/>
  <c r="A382"/>
  <c r="D381"/>
  <c r="A381"/>
  <c r="A380"/>
  <c r="A379"/>
  <c r="L378"/>
  <c r="D378"/>
  <c r="A378"/>
  <c r="L377"/>
  <c r="D377"/>
  <c r="A377"/>
  <c r="L376"/>
  <c r="D376"/>
  <c r="A376"/>
  <c r="D375"/>
  <c r="C375"/>
  <c r="A375"/>
  <c r="G372"/>
  <c r="L369"/>
  <c r="D369"/>
  <c r="A369"/>
  <c r="G367"/>
  <c r="L364"/>
  <c r="C364"/>
  <c r="A364"/>
  <c r="A363"/>
  <c r="L361"/>
  <c r="A361"/>
  <c r="D360"/>
  <c r="A360"/>
  <c r="A359"/>
  <c r="A358"/>
  <c r="L357"/>
  <c r="D357"/>
  <c r="A357"/>
  <c r="L356"/>
  <c r="D356"/>
  <c r="A356"/>
  <c r="L355"/>
  <c r="D355"/>
  <c r="A355"/>
  <c r="C354"/>
  <c r="C355"/>
  <c r="C356"/>
  <c r="A354"/>
  <c r="G351"/>
  <c r="L348"/>
  <c r="D348"/>
  <c r="A348"/>
  <c r="G346"/>
  <c r="L343"/>
  <c r="C343"/>
  <c r="A343"/>
  <c r="C342"/>
  <c r="A342"/>
  <c r="L340"/>
  <c r="A340"/>
  <c r="D339"/>
  <c r="A339"/>
  <c r="A338"/>
  <c r="A337"/>
  <c r="L336"/>
  <c r="D336"/>
  <c r="A336"/>
  <c r="L335"/>
  <c r="D335"/>
  <c r="A335"/>
  <c r="L334"/>
  <c r="D334"/>
  <c r="C334"/>
  <c r="C335"/>
  <c r="A334"/>
  <c r="C333"/>
  <c r="A333"/>
  <c r="G330"/>
  <c r="L327"/>
  <c r="D327"/>
  <c r="A327"/>
  <c r="G325"/>
  <c r="L322"/>
  <c r="D322"/>
  <c r="A322"/>
  <c r="A321"/>
  <c r="L319"/>
  <c r="D319"/>
  <c r="A319"/>
  <c r="D318"/>
  <c r="A318"/>
  <c r="A317"/>
  <c r="A316"/>
  <c r="L315"/>
  <c r="D315"/>
  <c r="A315"/>
  <c r="L314"/>
  <c r="D314"/>
  <c r="A314"/>
  <c r="L313"/>
  <c r="D313"/>
  <c r="A313"/>
  <c r="C312"/>
  <c r="A312"/>
  <c r="G309"/>
  <c r="L306"/>
  <c r="D306"/>
  <c r="A306"/>
  <c r="G304"/>
  <c r="L301"/>
  <c r="C301"/>
  <c r="A301"/>
  <c r="C300"/>
  <c r="A300"/>
  <c r="L298"/>
  <c r="A298"/>
  <c r="D297"/>
  <c r="A297"/>
  <c r="A296"/>
  <c r="A295"/>
  <c r="L294"/>
  <c r="D294"/>
  <c r="A294"/>
  <c r="L293"/>
  <c r="D293"/>
  <c r="A293"/>
  <c r="L292"/>
  <c r="D292"/>
  <c r="C292"/>
  <c r="C293"/>
  <c r="C294"/>
  <c r="C295"/>
  <c r="C296"/>
  <c r="C297"/>
  <c r="A292"/>
  <c r="D291"/>
  <c r="C291"/>
  <c r="A291"/>
  <c r="G288"/>
  <c r="L285"/>
  <c r="D285"/>
  <c r="A285"/>
  <c r="G283"/>
  <c r="L280"/>
  <c r="D280"/>
  <c r="C280"/>
  <c r="A280"/>
  <c r="A279"/>
  <c r="L277"/>
  <c r="D277"/>
  <c r="A277"/>
  <c r="D276"/>
  <c r="A276"/>
  <c r="A275"/>
  <c r="A274"/>
  <c r="L273"/>
  <c r="D273"/>
  <c r="A273"/>
  <c r="L272"/>
  <c r="D272"/>
  <c r="A272"/>
  <c r="L271"/>
  <c r="D271"/>
  <c r="A271"/>
  <c r="D270"/>
  <c r="C270"/>
  <c r="A270"/>
  <c r="G267"/>
  <c r="L264"/>
  <c r="D264"/>
  <c r="A264"/>
  <c r="G262"/>
  <c r="L259"/>
  <c r="C259"/>
  <c r="A259"/>
  <c r="C258"/>
  <c r="A258"/>
  <c r="L256"/>
  <c r="A256"/>
  <c r="D255"/>
  <c r="A255"/>
  <c r="A254"/>
  <c r="A253"/>
  <c r="L252"/>
  <c r="D252"/>
  <c r="A252"/>
  <c r="L251"/>
  <c r="D251"/>
  <c r="C251"/>
  <c r="A251"/>
  <c r="L250"/>
  <c r="D250"/>
  <c r="C250"/>
  <c r="A250"/>
  <c r="C249"/>
  <c r="A249"/>
  <c r="G246"/>
  <c r="L243"/>
  <c r="D243"/>
  <c r="A243"/>
  <c r="G241"/>
  <c r="L238"/>
  <c r="D238"/>
  <c r="A238"/>
  <c r="A237"/>
  <c r="L235"/>
  <c r="D235"/>
  <c r="A235"/>
  <c r="D234"/>
  <c r="A234"/>
  <c r="A233"/>
  <c r="A232"/>
  <c r="L231"/>
  <c r="D231"/>
  <c r="A231"/>
  <c r="L230"/>
  <c r="D230"/>
  <c r="A230"/>
  <c r="L229"/>
  <c r="D229"/>
  <c r="A229"/>
  <c r="C228"/>
  <c r="A228"/>
  <c r="G225"/>
  <c r="L222"/>
  <c r="D222"/>
  <c r="A222"/>
  <c r="G220"/>
  <c r="L217"/>
  <c r="C217"/>
  <c r="A217"/>
  <c r="C216"/>
  <c r="A216"/>
  <c r="L214"/>
  <c r="A214"/>
  <c r="D213"/>
  <c r="A213"/>
  <c r="A212"/>
  <c r="A211"/>
  <c r="L210"/>
  <c r="D210"/>
  <c r="A210"/>
  <c r="L209"/>
  <c r="D209"/>
  <c r="A209"/>
  <c r="L208"/>
  <c r="D208"/>
  <c r="C208"/>
  <c r="C209"/>
  <c r="C210"/>
  <c r="C211"/>
  <c r="C212"/>
  <c r="C213"/>
  <c r="A208"/>
  <c r="D207"/>
  <c r="C207"/>
  <c r="A207"/>
  <c r="G204"/>
  <c r="L201"/>
  <c r="D201"/>
  <c r="A201"/>
  <c r="G199"/>
  <c r="L196"/>
  <c r="D196"/>
  <c r="C196"/>
  <c r="A196"/>
  <c r="A195"/>
  <c r="L193"/>
  <c r="D193"/>
  <c r="A193"/>
  <c r="D192"/>
  <c r="A192"/>
  <c r="A191"/>
  <c r="A190"/>
  <c r="L189"/>
  <c r="D189"/>
  <c r="A189"/>
  <c r="L188"/>
  <c r="D188"/>
  <c r="A188"/>
  <c r="L187"/>
  <c r="D187"/>
  <c r="A187"/>
  <c r="D186"/>
  <c r="C186"/>
  <c r="A186"/>
  <c r="G183"/>
  <c r="L180"/>
  <c r="D180"/>
  <c r="A180"/>
  <c r="G178"/>
  <c r="L175"/>
  <c r="C175"/>
  <c r="A175"/>
  <c r="C174"/>
  <c r="A174"/>
  <c r="L172"/>
  <c r="A172"/>
  <c r="D171"/>
  <c r="A171"/>
  <c r="A170"/>
  <c r="A169"/>
  <c r="L168"/>
  <c r="D168"/>
  <c r="A168"/>
  <c r="L167"/>
  <c r="D167"/>
  <c r="A167"/>
  <c r="L166"/>
  <c r="D166"/>
  <c r="C166"/>
  <c r="A166"/>
  <c r="C165"/>
  <c r="A165"/>
  <c r="G162"/>
  <c r="L159"/>
  <c r="D159"/>
  <c r="A159"/>
  <c r="G157"/>
  <c r="L154"/>
  <c r="D154"/>
  <c r="A154"/>
  <c r="A153"/>
  <c r="L151"/>
  <c r="D151"/>
  <c r="A151"/>
  <c r="D150"/>
  <c r="A150"/>
  <c r="A149"/>
  <c r="A148"/>
  <c r="L147"/>
  <c r="D147"/>
  <c r="A147"/>
  <c r="L146"/>
  <c r="D146"/>
  <c r="A146"/>
  <c r="L145"/>
  <c r="D145"/>
  <c r="A145"/>
  <c r="C144"/>
  <c r="A144"/>
  <c r="G141"/>
  <c r="L138"/>
  <c r="D138"/>
  <c r="A138"/>
  <c r="G136"/>
  <c r="L133"/>
  <c r="C133"/>
  <c r="A133"/>
  <c r="C132"/>
  <c r="A132"/>
  <c r="L130"/>
  <c r="C130"/>
  <c r="A130"/>
  <c r="D129"/>
  <c r="A129"/>
  <c r="A128"/>
  <c r="A127"/>
  <c r="L126"/>
  <c r="D126"/>
  <c r="A126"/>
  <c r="L125"/>
  <c r="D125"/>
  <c r="A125"/>
  <c r="L124"/>
  <c r="D124"/>
  <c r="C124"/>
  <c r="C125"/>
  <c r="C126"/>
  <c r="C127"/>
  <c r="C128"/>
  <c r="C129"/>
  <c r="A124"/>
  <c r="D123"/>
  <c r="C123"/>
  <c r="A123"/>
  <c r="G120"/>
  <c r="L117"/>
  <c r="D117"/>
  <c r="A117"/>
  <c r="G115"/>
  <c r="L112"/>
  <c r="D112"/>
  <c r="A112"/>
  <c r="A111"/>
  <c r="L109"/>
  <c r="D109"/>
  <c r="A109"/>
  <c r="D108"/>
  <c r="A108"/>
  <c r="A107"/>
  <c r="A106"/>
  <c r="L105"/>
  <c r="D105"/>
  <c r="A105"/>
  <c r="L104"/>
  <c r="D104"/>
  <c r="A104"/>
  <c r="L103"/>
  <c r="D103"/>
  <c r="A103"/>
  <c r="D102"/>
  <c r="C102"/>
  <c r="C112"/>
  <c r="A102"/>
  <c r="G99"/>
  <c r="L96"/>
  <c r="D96"/>
  <c r="A96"/>
  <c r="G94"/>
  <c r="N42"/>
  <c r="N35"/>
  <c r="L35"/>
  <c r="N34"/>
  <c r="L34"/>
  <c r="N33"/>
  <c r="L33"/>
  <c r="L32"/>
  <c r="L31"/>
  <c r="N29"/>
  <c r="L29"/>
  <c r="N28"/>
  <c r="L28"/>
  <c r="N27"/>
  <c r="L27"/>
  <c r="L26"/>
  <c r="L25"/>
  <c r="L24"/>
  <c r="L23"/>
  <c r="L22"/>
  <c r="L21"/>
  <c r="L20"/>
  <c r="L19"/>
  <c r="N16"/>
  <c r="N13"/>
  <c r="L13"/>
  <c r="N12"/>
  <c r="L12"/>
  <c r="N11"/>
  <c r="L11"/>
  <c r="L10"/>
  <c r="S8"/>
  <c r="S482" s="1"/>
  <c r="R8"/>
  <c r="R430" s="1"/>
  <c r="R288"/>
  <c r="N8"/>
  <c r="D183" i="11"/>
  <c r="D180"/>
  <c r="D177"/>
  <c r="D176"/>
  <c r="K175"/>
  <c r="N213" i="117" s="1"/>
  <c r="J175" i="11"/>
  <c r="N213" i="116" s="1"/>
  <c r="D175" i="11"/>
  <c r="D171"/>
  <c r="D170"/>
  <c r="D169"/>
  <c r="D168"/>
  <c r="D167"/>
  <c r="D166"/>
  <c r="D165"/>
  <c r="D164"/>
  <c r="D160"/>
  <c r="D159"/>
  <c r="D158"/>
  <c r="D157"/>
  <c r="D156"/>
  <c r="D155"/>
  <c r="D151"/>
  <c r="D150"/>
  <c r="D149"/>
  <c r="D148"/>
  <c r="D147"/>
  <c r="D146"/>
  <c r="D145"/>
  <c r="D144"/>
  <c r="D143"/>
  <c r="D142"/>
  <c r="D141"/>
  <c r="D140"/>
  <c r="D139"/>
  <c r="D138"/>
  <c r="D137"/>
  <c r="D133"/>
  <c r="D132"/>
  <c r="D131"/>
  <c r="D130"/>
  <c r="D129"/>
  <c r="D128"/>
  <c r="D127"/>
  <c r="D126"/>
  <c r="D125"/>
  <c r="D124"/>
  <c r="D123"/>
  <c r="D122"/>
  <c r="D121"/>
  <c r="D120"/>
  <c r="D116"/>
  <c r="D115"/>
  <c r="D114"/>
  <c r="D113"/>
  <c r="D112"/>
  <c r="D107"/>
  <c r="D106"/>
  <c r="D104"/>
  <c r="D103"/>
  <c r="D102"/>
  <c r="D101"/>
  <c r="D100"/>
  <c r="D99"/>
  <c r="D98"/>
  <c r="D97"/>
  <c r="D96"/>
  <c r="D95"/>
  <c r="D94"/>
  <c r="D93"/>
  <c r="D92"/>
  <c r="D91"/>
  <c r="D90"/>
  <c r="J81"/>
  <c r="N432" i="116" s="1"/>
  <c r="I81" i="11"/>
  <c r="N432" i="28" s="1"/>
  <c r="N80" i="11"/>
  <c r="N411" i="120" s="1"/>
  <c r="M80" i="11"/>
  <c r="N411" i="119" s="1"/>
  <c r="L80" i="11"/>
  <c r="N411" i="118" s="1"/>
  <c r="K80" i="11"/>
  <c r="N411" i="117" s="1"/>
  <c r="J80" i="11"/>
  <c r="N411" i="116" s="1"/>
  <c r="I80" i="11"/>
  <c r="N411" i="28" s="1"/>
  <c r="O80" i="11"/>
  <c r="N79"/>
  <c r="N390" i="120" s="1"/>
  <c r="M79" i="11"/>
  <c r="N390" i="119" s="1"/>
  <c r="L79" i="11"/>
  <c r="N390" i="118" s="1"/>
  <c r="K79" i="11"/>
  <c r="N390" i="117" s="1"/>
  <c r="J79" i="11"/>
  <c r="N390" i="116" s="1"/>
  <c r="I79" i="11"/>
  <c r="N390" i="28" s="1"/>
  <c r="N78" i="11"/>
  <c r="N369" i="120" s="1"/>
  <c r="M78" i="11"/>
  <c r="N369" i="119" s="1"/>
  <c r="L78" i="11"/>
  <c r="N369" i="118" s="1"/>
  <c r="K78" i="11"/>
  <c r="N369" i="117" s="1"/>
  <c r="J78" i="11"/>
  <c r="N369" i="116" s="1"/>
  <c r="I78" i="11"/>
  <c r="N369" i="28" s="1"/>
  <c r="N77" i="11"/>
  <c r="N348" i="120" s="1"/>
  <c r="M77" i="11"/>
  <c r="N348" i="119" s="1"/>
  <c r="L77" i="11"/>
  <c r="N348" i="118" s="1"/>
  <c r="K77" i="11"/>
  <c r="N348" i="117" s="1"/>
  <c r="J77" i="11"/>
  <c r="N348" i="116" s="1"/>
  <c r="I77" i="11"/>
  <c r="N348" i="28" s="1"/>
  <c r="N76" i="11"/>
  <c r="N327" i="120" s="1"/>
  <c r="M76" i="11"/>
  <c r="N327" i="119" s="1"/>
  <c r="L76" i="11"/>
  <c r="N327" i="118" s="1"/>
  <c r="K76" i="11"/>
  <c r="N327" i="117" s="1"/>
  <c r="J76" i="11"/>
  <c r="N327" i="116" s="1"/>
  <c r="I76" i="11"/>
  <c r="N327" i="28" s="1"/>
  <c r="N75" i="11"/>
  <c r="N306" i="120" s="1"/>
  <c r="M75" i="11"/>
  <c r="N306" i="119" s="1"/>
  <c r="L75" i="11"/>
  <c r="N306" i="118" s="1"/>
  <c r="K75" i="11"/>
  <c r="N306" i="117" s="1"/>
  <c r="J75" i="11"/>
  <c r="N306" i="116" s="1"/>
  <c r="I75" i="11"/>
  <c r="N306" i="28" s="1"/>
  <c r="N74" i="11"/>
  <c r="N285" i="120" s="1"/>
  <c r="M74" i="11"/>
  <c r="N285" i="119" s="1"/>
  <c r="L74" i="11"/>
  <c r="N285" i="118" s="1"/>
  <c r="K74" i="11"/>
  <c r="N285" i="117" s="1"/>
  <c r="J74" i="11"/>
  <c r="N285" i="116" s="1"/>
  <c r="I74" i="11"/>
  <c r="N285" i="28" s="1"/>
  <c r="N73" i="11"/>
  <c r="N264" i="120" s="1"/>
  <c r="M73" i="11"/>
  <c r="N264" i="119" s="1"/>
  <c r="L73" i="11"/>
  <c r="N264" i="118" s="1"/>
  <c r="K73" i="11"/>
  <c r="N264" i="117" s="1"/>
  <c r="J73" i="11"/>
  <c r="N264" i="116" s="1"/>
  <c r="I73" i="11"/>
  <c r="N264" i="28" s="1"/>
  <c r="N72" i="11"/>
  <c r="N243" i="120" s="1"/>
  <c r="M72" i="11"/>
  <c r="N243" i="119" s="1"/>
  <c r="L72" i="11"/>
  <c r="N243" i="118" s="1"/>
  <c r="K72" i="11"/>
  <c r="N243" i="117" s="1"/>
  <c r="J72" i="11"/>
  <c r="N243" i="116" s="1"/>
  <c r="I72" i="11"/>
  <c r="N243" i="28" s="1"/>
  <c r="M71" i="11"/>
  <c r="N222" i="119" s="1"/>
  <c r="L71" i="11"/>
  <c r="N222" i="118" s="1"/>
  <c r="K71" i="11"/>
  <c r="N222" i="117" s="1"/>
  <c r="J71" i="11"/>
  <c r="N222" i="116" s="1"/>
  <c r="I71" i="11"/>
  <c r="N222" i="28" s="1"/>
  <c r="N70" i="11"/>
  <c r="N201" i="120" s="1"/>
  <c r="M70" i="11"/>
  <c r="N201" i="119" s="1"/>
  <c r="L70" i="11"/>
  <c r="N201" i="118" s="1"/>
  <c r="K70" i="11"/>
  <c r="N201" i="117" s="1"/>
  <c r="J70" i="11"/>
  <c r="N201" i="116" s="1"/>
  <c r="I70" i="11"/>
  <c r="N201" i="28" s="1"/>
  <c r="N69" i="11"/>
  <c r="N180" i="120" s="1"/>
  <c r="M69" i="11"/>
  <c r="N180" i="119" s="1"/>
  <c r="L69" i="11"/>
  <c r="N180" i="118" s="1"/>
  <c r="K69" i="11"/>
  <c r="N180" i="117" s="1"/>
  <c r="J69" i="11"/>
  <c r="N180" i="116" s="1"/>
  <c r="I69" i="11"/>
  <c r="N180" i="28" s="1"/>
  <c r="N68" i="11"/>
  <c r="N159" i="120" s="1"/>
  <c r="M68" i="11"/>
  <c r="N159" i="119" s="1"/>
  <c r="L68" i="11"/>
  <c r="N159" i="118" s="1"/>
  <c r="K68" i="11"/>
  <c r="N159" i="117" s="1"/>
  <c r="J68" i="11"/>
  <c r="N159" i="116" s="1"/>
  <c r="I68" i="11"/>
  <c r="N159" i="28" s="1"/>
  <c r="N67" i="11"/>
  <c r="N138" i="120" s="1"/>
  <c r="M67" i="11"/>
  <c r="N138" i="119" s="1"/>
  <c r="L67" i="11"/>
  <c r="N138" i="118" s="1"/>
  <c r="K67" i="11"/>
  <c r="N138" i="117" s="1"/>
  <c r="O67" i="11"/>
  <c r="J67"/>
  <c r="N138" i="116" s="1"/>
  <c r="I67" i="11"/>
  <c r="N138" i="28" s="1"/>
  <c r="N66" i="11"/>
  <c r="N117" i="120" s="1"/>
  <c r="O66" i="11"/>
  <c r="M66"/>
  <c r="N117" i="119" s="1"/>
  <c r="L66" i="11"/>
  <c r="N117" i="118" s="1"/>
  <c r="K66" i="11"/>
  <c r="N117" i="117" s="1"/>
  <c r="J66" i="11"/>
  <c r="N117" i="116" s="1"/>
  <c r="I66" i="11"/>
  <c r="N117" i="28" s="1"/>
  <c r="N65" i="11"/>
  <c r="N96" i="120" s="1"/>
  <c r="M65" i="11"/>
  <c r="N96" i="119" s="1"/>
  <c r="L65" i="11"/>
  <c r="N96" i="118" s="1"/>
  <c r="K65" i="11"/>
  <c r="N96" i="117" s="1"/>
  <c r="J65" i="11"/>
  <c r="N96" i="116" s="1"/>
  <c r="I65" i="11"/>
  <c r="N96" i="28" s="1"/>
  <c r="I34" i="11"/>
  <c r="AM33"/>
  <c r="AL33"/>
  <c r="AL30" s="1"/>
  <c r="AQ505" i="116" s="1"/>
  <c r="AK33" i="11"/>
  <c r="AK30" s="1"/>
  <c r="AP505" i="119" s="1"/>
  <c r="AJ33" i="11"/>
  <c r="AJ30" s="1"/>
  <c r="AO505" i="117" s="1"/>
  <c r="AI33" i="11"/>
  <c r="AI30" s="1"/>
  <c r="AH33"/>
  <c r="AH30" s="1"/>
  <c r="AM505" i="118" s="1"/>
  <c r="AG33" i="11"/>
  <c r="AG30" s="1"/>
  <c r="AL505" i="117" s="1"/>
  <c r="I18" i="11"/>
  <c r="D322" i="117"/>
  <c r="M7" i="11"/>
  <c r="N7" s="1"/>
  <c r="M58"/>
  <c r="M60" s="1"/>
  <c r="D6" i="107"/>
  <c r="E215" i="109"/>
  <c r="D5" i="107"/>
  <c r="E214" i="109"/>
  <c r="D4" i="107"/>
  <c r="D3"/>
  <c r="E212" i="109"/>
  <c r="D6" i="106"/>
  <c r="D5"/>
  <c r="E205" i="109"/>
  <c r="D4" i="106"/>
  <c r="E204" i="109"/>
  <c r="D3" i="106"/>
  <c r="E203" i="109"/>
  <c r="V9" i="108"/>
  <c r="AB58" i="1" s="1"/>
  <c r="S9" i="108"/>
  <c r="Y58" i="1"/>
  <c r="M9" i="108"/>
  <c r="S58" i="1"/>
  <c r="D9" i="108"/>
  <c r="V8"/>
  <c r="S8"/>
  <c r="P8"/>
  <c r="P9"/>
  <c r="V58" i="1"/>
  <c r="M8" i="108"/>
  <c r="J8"/>
  <c r="J9"/>
  <c r="P58" i="1"/>
  <c r="G8" i="108"/>
  <c r="G9"/>
  <c r="M58" i="1"/>
  <c r="D8" i="108"/>
  <c r="M6"/>
  <c r="J6"/>
  <c r="G6"/>
  <c r="M59" i="1"/>
  <c r="D6" i="108"/>
  <c r="J59" i="1"/>
  <c r="M5" i="108"/>
  <c r="J5"/>
  <c r="P57" i="1"/>
  <c r="G5" i="108"/>
  <c r="M57" i="1"/>
  <c r="D5" i="108"/>
  <c r="M4"/>
  <c r="J4"/>
  <c r="G4"/>
  <c r="D4"/>
  <c r="C9" i="105"/>
  <c r="C8"/>
  <c r="C7"/>
  <c r="C6"/>
  <c r="C5"/>
  <c r="C4"/>
  <c r="C3"/>
  <c r="A84" i="103"/>
  <c r="A81"/>
  <c r="A82"/>
  <c r="A85"/>
  <c r="H6"/>
  <c r="A75"/>
  <c r="A66"/>
  <c r="A65"/>
  <c r="A62"/>
  <c r="G5"/>
  <c r="A61"/>
  <c r="A60"/>
  <c r="A54"/>
  <c r="A55"/>
  <c r="A56"/>
  <c r="E45"/>
  <c r="D45"/>
  <c r="D44"/>
  <c r="C44"/>
  <c r="E43"/>
  <c r="C42"/>
  <c r="C6"/>
  <c r="E41"/>
  <c r="E5"/>
  <c r="D41"/>
  <c r="D5"/>
  <c r="D40"/>
  <c r="D4"/>
  <c r="C40"/>
  <c r="C4"/>
  <c r="F39"/>
  <c r="F44"/>
  <c r="E39"/>
  <c r="D39"/>
  <c r="D43"/>
  <c r="C39"/>
  <c r="C45"/>
  <c r="A36"/>
  <c r="I13"/>
  <c r="AB42" i="1"/>
  <c r="I12" i="103"/>
  <c r="I10"/>
  <c r="I8"/>
  <c r="G6"/>
  <c r="A6"/>
  <c r="H5"/>
  <c r="G4"/>
  <c r="C31" i="101"/>
  <c r="C30"/>
  <c r="C29"/>
  <c r="C28"/>
  <c r="C27"/>
  <c r="C3"/>
  <c r="C5"/>
  <c r="C26"/>
  <c r="B3"/>
  <c r="B5"/>
  <c r="A23"/>
  <c r="A21"/>
  <c r="H7"/>
  <c r="AB37" i="1" s="1"/>
  <c r="H6" i="101"/>
  <c r="H5"/>
  <c r="G5"/>
  <c r="E5"/>
  <c r="D5"/>
  <c r="G4"/>
  <c r="F4"/>
  <c r="F5"/>
  <c r="E4"/>
  <c r="D4"/>
  <c r="C4"/>
  <c r="B4"/>
  <c r="G3"/>
  <c r="F3"/>
  <c r="E3"/>
  <c r="D3"/>
  <c r="A123" i="100"/>
  <c r="H5" s="1"/>
  <c r="A115"/>
  <c r="A111"/>
  <c r="G5" s="1"/>
  <c r="A104"/>
  <c r="A97"/>
  <c r="F5"/>
  <c r="F7"/>
  <c r="A88"/>
  <c r="E6"/>
  <c r="A81"/>
  <c r="A72"/>
  <c r="A64"/>
  <c r="A54"/>
  <c r="A46"/>
  <c r="I22"/>
  <c r="AB36" i="1" s="1"/>
  <c r="I20" i="100"/>
  <c r="I19"/>
  <c r="I18"/>
  <c r="I17"/>
  <c r="I16"/>
  <c r="H16"/>
  <c r="N177" i="11"/>
  <c r="N255" i="120" s="1"/>
  <c r="O177" i="11"/>
  <c r="E16" i="100"/>
  <c r="D16"/>
  <c r="C16"/>
  <c r="I15"/>
  <c r="H15"/>
  <c r="G15"/>
  <c r="G16" s="1"/>
  <c r="M176" i="11" s="1"/>
  <c r="F15" i="100"/>
  <c r="F16"/>
  <c r="L175" i="11"/>
  <c r="N213" i="118" s="1"/>
  <c r="E15" i="100"/>
  <c r="D15"/>
  <c r="C15"/>
  <c r="I10"/>
  <c r="I9"/>
  <c r="I8"/>
  <c r="I7"/>
  <c r="H6"/>
  <c r="H7" s="1"/>
  <c r="G6"/>
  <c r="F6"/>
  <c r="D6"/>
  <c r="C6"/>
  <c r="E5"/>
  <c r="E7"/>
  <c r="D5"/>
  <c r="C5"/>
  <c r="H9" i="99"/>
  <c r="AB35" i="1"/>
  <c r="H8" i="99"/>
  <c r="J7"/>
  <c r="H7"/>
  <c r="G7"/>
  <c r="F7"/>
  <c r="E7"/>
  <c r="D7"/>
  <c r="C7"/>
  <c r="B7"/>
  <c r="K61" i="8"/>
  <c r="K60"/>
  <c r="BA71" i="1"/>
  <c r="AW71"/>
  <c r="AS71"/>
  <c r="AO71"/>
  <c r="AK71"/>
  <c r="AG71"/>
  <c r="G70"/>
  <c r="G69"/>
  <c r="I67" s="1"/>
  <c r="AB68"/>
  <c r="Y68"/>
  <c r="V68"/>
  <c r="S68"/>
  <c r="J68"/>
  <c r="G68"/>
  <c r="AV67"/>
  <c r="AN67"/>
  <c r="AF67"/>
  <c r="BA65"/>
  <c r="AW65"/>
  <c r="AS65"/>
  <c r="AO65"/>
  <c r="AK65"/>
  <c r="AG65"/>
  <c r="G64"/>
  <c r="G63"/>
  <c r="G62"/>
  <c r="AB62"/>
  <c r="Y62"/>
  <c r="V62"/>
  <c r="P62"/>
  <c r="AJ61"/>
  <c r="F61"/>
  <c r="BA59"/>
  <c r="AW59"/>
  <c r="AW55"/>
  <c r="AS59"/>
  <c r="AO59"/>
  <c r="AO55"/>
  <c r="AK59"/>
  <c r="AG59"/>
  <c r="AB59"/>
  <c r="Y59"/>
  <c r="V59"/>
  <c r="S59"/>
  <c r="P59"/>
  <c r="J58"/>
  <c r="G58"/>
  <c r="AB57"/>
  <c r="Y57"/>
  <c r="V57"/>
  <c r="S57"/>
  <c r="J57"/>
  <c r="G57"/>
  <c r="AB56"/>
  <c r="Y56"/>
  <c r="V56"/>
  <c r="S56"/>
  <c r="P56"/>
  <c r="M56"/>
  <c r="J56"/>
  <c r="G56"/>
  <c r="AK55"/>
  <c r="AJ55"/>
  <c r="M48" i="109"/>
  <c r="U48" s="1"/>
  <c r="AG55" i="1"/>
  <c r="F55"/>
  <c r="AY54"/>
  <c r="AQ54"/>
  <c r="AI54"/>
  <c r="BA50"/>
  <c r="AW50"/>
  <c r="AS50"/>
  <c r="AO50"/>
  <c r="AK50"/>
  <c r="AG50"/>
  <c r="G49"/>
  <c r="G50" s="1"/>
  <c r="G48"/>
  <c r="AB47"/>
  <c r="Y47"/>
  <c r="V47"/>
  <c r="S47"/>
  <c r="P47"/>
  <c r="M47"/>
  <c r="J47"/>
  <c r="G47"/>
  <c r="AN46"/>
  <c r="AF46"/>
  <c r="BA44"/>
  <c r="AW44"/>
  <c r="AS44"/>
  <c r="AO44"/>
  <c r="AK44"/>
  <c r="AG44"/>
  <c r="AB43"/>
  <c r="Y43"/>
  <c r="V43"/>
  <c r="S43"/>
  <c r="P43"/>
  <c r="M43"/>
  <c r="J43"/>
  <c r="G43"/>
  <c r="G42"/>
  <c r="AB41"/>
  <c r="Y41"/>
  <c r="V41"/>
  <c r="S41"/>
  <c r="P41"/>
  <c r="M41"/>
  <c r="J41"/>
  <c r="G41"/>
  <c r="AV40"/>
  <c r="AJ40"/>
  <c r="AJ46" s="1"/>
  <c r="I47" i="109" s="1"/>
  <c r="U47" s="1"/>
  <c r="F40" i="1"/>
  <c r="BA38"/>
  <c r="AW38"/>
  <c r="AW34"/>
  <c r="AS38"/>
  <c r="AO38"/>
  <c r="AK38"/>
  <c r="AG38"/>
  <c r="AG34"/>
  <c r="G37"/>
  <c r="G36"/>
  <c r="G35"/>
  <c r="AV34"/>
  <c r="AV46"/>
  <c r="AO34"/>
  <c r="AK34"/>
  <c r="AJ34"/>
  <c r="I45" i="109" s="1"/>
  <c r="U45" s="1"/>
  <c r="F34" i="1"/>
  <c r="AU33"/>
  <c r="AM33"/>
  <c r="AI33"/>
  <c r="AE33"/>
  <c r="E33"/>
  <c r="BA29"/>
  <c r="AW29"/>
  <c r="AS29"/>
  <c r="AO29"/>
  <c r="AK29"/>
  <c r="AG29"/>
  <c r="G28"/>
  <c r="G27"/>
  <c r="G26"/>
  <c r="AV25"/>
  <c r="BA23"/>
  <c r="AW23"/>
  <c r="AS23"/>
  <c r="AO23"/>
  <c r="AK23"/>
  <c r="AG23"/>
  <c r="AB22"/>
  <c r="Y22"/>
  <c r="V22"/>
  <c r="S22"/>
  <c r="P22"/>
  <c r="M22"/>
  <c r="J22"/>
  <c r="G22"/>
  <c r="AB21"/>
  <c r="Y21"/>
  <c r="V21"/>
  <c r="S21"/>
  <c r="P21"/>
  <c r="M21"/>
  <c r="J21"/>
  <c r="G21"/>
  <c r="AB20"/>
  <c r="Y20"/>
  <c r="V20"/>
  <c r="S20"/>
  <c r="P20"/>
  <c r="M20"/>
  <c r="J20"/>
  <c r="G20"/>
  <c r="O19" s="1"/>
  <c r="O7" i="109" s="1"/>
  <c r="AW19" i="1"/>
  <c r="AV19"/>
  <c r="AO19"/>
  <c r="AN19"/>
  <c r="AK19"/>
  <c r="AJ19"/>
  <c r="AG19"/>
  <c r="AF19"/>
  <c r="F19"/>
  <c r="BA17"/>
  <c r="AW17"/>
  <c r="AS17"/>
  <c r="AO17"/>
  <c r="AK17"/>
  <c r="AG17"/>
  <c r="G14"/>
  <c r="G15"/>
  <c r="G16"/>
  <c r="G17"/>
  <c r="AB14"/>
  <c r="AV13"/>
  <c r="AJ13"/>
  <c r="E43" i="109"/>
  <c r="U43" s="1"/>
  <c r="AU12" i="1"/>
  <c r="AU54"/>
  <c r="AM12"/>
  <c r="AI12"/>
  <c r="AI11" s="1"/>
  <c r="AE12"/>
  <c r="E12"/>
  <c r="AA8"/>
  <c r="F8"/>
  <c r="Z2"/>
  <c r="A9" i="107" s="1"/>
  <c r="A9" i="106"/>
  <c r="W2" i="1"/>
  <c r="A8" i="104" s="1"/>
  <c r="T2" i="1"/>
  <c r="R2" i="108" s="1"/>
  <c r="A7" i="104"/>
  <c r="Q2" i="1"/>
  <c r="K2" i="108" s="1"/>
  <c r="N2" i="1"/>
  <c r="A28" i="101"/>
  <c r="K2" i="1"/>
  <c r="A4" i="102" s="1"/>
  <c r="H2" i="1"/>
  <c r="A26" i="101" s="1"/>
  <c r="O71" i="11"/>
  <c r="F82" i="43"/>
  <c r="J82"/>
  <c r="N82" i="11"/>
  <c r="N437" i="120" s="1"/>
  <c r="O72" i="11"/>
  <c r="O77"/>
  <c r="O68"/>
  <c r="O76"/>
  <c r="O79"/>
  <c r="AM43"/>
  <c r="AM29" s="1"/>
  <c r="AR501" i="118" s="1"/>
  <c r="D7" i="103"/>
  <c r="D8"/>
  <c r="R443" i="121"/>
  <c r="R442"/>
  <c r="R433"/>
  <c r="R432" s="1"/>
  <c r="R391"/>
  <c r="R370"/>
  <c r="R412"/>
  <c r="R286"/>
  <c r="R349"/>
  <c r="R265"/>
  <c r="R181"/>
  <c r="R223"/>
  <c r="R202"/>
  <c r="R139"/>
  <c r="R160"/>
  <c r="R448" i="120"/>
  <c r="R438"/>
  <c r="R433"/>
  <c r="R307"/>
  <c r="R370"/>
  <c r="R286"/>
  <c r="R349"/>
  <c r="R265"/>
  <c r="R223"/>
  <c r="R244"/>
  <c r="R118"/>
  <c r="R328"/>
  <c r="R443"/>
  <c r="R139"/>
  <c r="R443" i="119"/>
  <c r="R438"/>
  <c r="R412"/>
  <c r="R328"/>
  <c r="R391"/>
  <c r="R307"/>
  <c r="R181" i="120"/>
  <c r="R244" i="119"/>
  <c r="R160"/>
  <c r="R349"/>
  <c r="R433"/>
  <c r="R223"/>
  <c r="R139"/>
  <c r="R202"/>
  <c r="R118"/>
  <c r="R448" i="118"/>
  <c r="R391"/>
  <c r="R448" i="119"/>
  <c r="R370"/>
  <c r="R433" i="118"/>
  <c r="R202"/>
  <c r="R370"/>
  <c r="R265"/>
  <c r="R244"/>
  <c r="R118"/>
  <c r="R181"/>
  <c r="R97"/>
  <c r="R433" i="117"/>
  <c r="R438"/>
  <c r="R307" i="118"/>
  <c r="R443" i="117"/>
  <c r="R328"/>
  <c r="R223" i="118"/>
  <c r="R160"/>
  <c r="R448" i="117"/>
  <c r="R181"/>
  <c r="R97"/>
  <c r="R443" i="118"/>
  <c r="R223" i="117"/>
  <c r="R139"/>
  <c r="R307" i="116"/>
  <c r="R223"/>
  <c r="R139"/>
  <c r="R438" i="28"/>
  <c r="R443"/>
  <c r="R286" i="118"/>
  <c r="R118" i="117"/>
  <c r="R370" i="116"/>
  <c r="R286"/>
  <c r="R202"/>
  <c r="R118"/>
  <c r="R448" i="28"/>
  <c r="R265" i="117"/>
  <c r="R438" i="116"/>
  <c r="R370" i="28"/>
  <c r="R448" i="116"/>
  <c r="R265"/>
  <c r="R391" i="28"/>
  <c r="R349" i="118"/>
  <c r="R244" i="117"/>
  <c r="R412" i="116"/>
  <c r="R433" i="28"/>
  <c r="R307"/>
  <c r="R223"/>
  <c r="R139"/>
  <c r="R443" i="116"/>
  <c r="R349"/>
  <c r="R349" i="28"/>
  <c r="R391" i="117"/>
  <c r="R244" i="116"/>
  <c r="R265" i="28"/>
  <c r="R181"/>
  <c r="R97"/>
  <c r="R370" i="117"/>
  <c r="R160"/>
  <c r="R202" i="28"/>
  <c r="R181" i="116"/>
  <c r="R160"/>
  <c r="R160" i="28"/>
  <c r="R412"/>
  <c r="R286"/>
  <c r="R433" i="116"/>
  <c r="R244" i="28"/>
  <c r="R286" i="117"/>
  <c r="R97" i="116"/>
  <c r="R328"/>
  <c r="R118" i="28"/>
  <c r="R328"/>
  <c r="R202" i="117"/>
  <c r="AC505" i="121"/>
  <c r="C401" i="28"/>
  <c r="C336"/>
  <c r="J47" i="109"/>
  <c r="V47" s="1"/>
  <c r="F46" i="1"/>
  <c r="E206" i="109"/>
  <c r="F204"/>
  <c r="S62" i="1"/>
  <c r="Y505" i="121"/>
  <c r="AO505" i="119"/>
  <c r="S204" i="28"/>
  <c r="C104" i="116"/>
  <c r="C335"/>
  <c r="F2" i="103"/>
  <c r="S42" i="28"/>
  <c r="S67"/>
  <c r="S120"/>
  <c r="S262"/>
  <c r="C279"/>
  <c r="C271"/>
  <c r="C272"/>
  <c r="C273"/>
  <c r="S325"/>
  <c r="S414"/>
  <c r="C472"/>
  <c r="C473"/>
  <c r="C423" i="116"/>
  <c r="D44" i="109"/>
  <c r="T44" s="1"/>
  <c r="AF25" i="1"/>
  <c r="M62"/>
  <c r="D9" i="103"/>
  <c r="D10"/>
  <c r="AI505" i="121"/>
  <c r="R157" i="28"/>
  <c r="S178"/>
  <c r="R183"/>
  <c r="C195"/>
  <c r="C187"/>
  <c r="S241"/>
  <c r="C322"/>
  <c r="C321"/>
  <c r="C313"/>
  <c r="C172" i="116"/>
  <c r="C171"/>
  <c r="C363"/>
  <c r="C355"/>
  <c r="C252" i="118"/>
  <c r="A74" i="100"/>
  <c r="B9" i="77"/>
  <c r="P2" i="108"/>
  <c r="H2"/>
  <c r="A5" i="105"/>
  <c r="A36" i="101"/>
  <c r="A5" i="104"/>
  <c r="E37" i="103"/>
  <c r="E3" i="100"/>
  <c r="D3" i="99"/>
  <c r="G8" i="8"/>
  <c r="D2" i="101"/>
  <c r="D2" i="108"/>
  <c r="S507" i="28"/>
  <c r="S508" s="1"/>
  <c r="S509" s="1"/>
  <c r="B10" i="77"/>
  <c r="E213" i="109"/>
  <c r="F217" s="1"/>
  <c r="M68" i="1"/>
  <c r="AK505" i="121"/>
  <c r="AB505"/>
  <c r="S330" i="28"/>
  <c r="A5" i="107"/>
  <c r="V505" i="121"/>
  <c r="S246" i="28"/>
  <c r="C188" i="116"/>
  <c r="AJ67" i="1"/>
  <c r="M50" i="109" s="1"/>
  <c r="U50" s="1"/>
  <c r="C7" i="100"/>
  <c r="D42" i="103"/>
  <c r="D6"/>
  <c r="Z505" i="121"/>
  <c r="O74" i="11"/>
  <c r="S16" i="28"/>
  <c r="S162"/>
  <c r="R283"/>
  <c r="R346"/>
  <c r="C125" i="117"/>
  <c r="G71" i="1"/>
  <c r="F67"/>
  <c r="E2" i="103"/>
  <c r="AD505" i="121"/>
  <c r="AG505"/>
  <c r="S503" i="28"/>
  <c r="S466"/>
  <c r="S440"/>
  <c r="S409"/>
  <c r="S445"/>
  <c r="S450"/>
  <c r="S499"/>
  <c r="S372"/>
  <c r="S435"/>
  <c r="S388"/>
  <c r="S304"/>
  <c r="S220"/>
  <c r="S136"/>
  <c r="S309"/>
  <c r="S225"/>
  <c r="S141"/>
  <c r="S430"/>
  <c r="S351"/>
  <c r="S346"/>
  <c r="S283"/>
  <c r="S199"/>
  <c r="S115"/>
  <c r="T8"/>
  <c r="S367"/>
  <c r="S267"/>
  <c r="S183"/>
  <c r="S99"/>
  <c r="A37" i="101"/>
  <c r="E3" i="99"/>
  <c r="H8" i="8"/>
  <c r="A6" i="104"/>
  <c r="F37" i="103"/>
  <c r="E2" i="101"/>
  <c r="A6" i="102"/>
  <c r="A6" i="107"/>
  <c r="A29" i="101"/>
  <c r="F3" i="100"/>
  <c r="A90"/>
  <c r="I7" i="99"/>
  <c r="N58" i="11"/>
  <c r="N60"/>
  <c r="O7"/>
  <c r="N9"/>
  <c r="S157" i="28"/>
  <c r="C238"/>
  <c r="C237"/>
  <c r="C229"/>
  <c r="C252"/>
  <c r="J2" i="108"/>
  <c r="C154" i="28"/>
  <c r="C153"/>
  <c r="C145"/>
  <c r="C167"/>
  <c r="C424"/>
  <c r="C272" i="116"/>
  <c r="C271" i="117"/>
  <c r="C280"/>
  <c r="D43" i="109"/>
  <c r="T43"/>
  <c r="AE11" i="1"/>
  <c r="AJ25"/>
  <c r="AE54"/>
  <c r="A5" i="102"/>
  <c r="A5" i="106"/>
  <c r="A3"/>
  <c r="B7" i="77"/>
  <c r="A3" i="105"/>
  <c r="A3" i="102"/>
  <c r="F44" i="109"/>
  <c r="V44" s="1"/>
  <c r="AN13" i="1"/>
  <c r="E8" i="8"/>
  <c r="D7" i="100"/>
  <c r="E44" i="103"/>
  <c r="E42"/>
  <c r="E6"/>
  <c r="E40"/>
  <c r="E4"/>
  <c r="A83"/>
  <c r="H4"/>
  <c r="AA505" i="121"/>
  <c r="W505"/>
  <c r="R199" i="28"/>
  <c r="C357"/>
  <c r="C358"/>
  <c r="C359"/>
  <c r="C363"/>
  <c r="S393"/>
  <c r="C301" i="116"/>
  <c r="C300"/>
  <c r="C292"/>
  <c r="J5" i="101"/>
  <c r="I5"/>
  <c r="E6" s="1"/>
  <c r="E7" s="1"/>
  <c r="S37" i="1" s="1"/>
  <c r="F6" i="101"/>
  <c r="F7" s="1"/>
  <c r="V37" i="1" s="1"/>
  <c r="O65" i="11"/>
  <c r="C133" i="116"/>
  <c r="C132"/>
  <c r="C124"/>
  <c r="C125"/>
  <c r="D8" i="99"/>
  <c r="D9" s="1"/>
  <c r="P35" i="1" s="1"/>
  <c r="S94" i="28"/>
  <c r="C111"/>
  <c r="C103"/>
  <c r="C298"/>
  <c r="C214"/>
  <c r="I175" i="11"/>
  <c r="N213" i="28" s="1"/>
  <c r="D6" i="101"/>
  <c r="D7" s="1"/>
  <c r="P37" i="1" s="1"/>
  <c r="A6" i="106"/>
  <c r="AN505" i="119"/>
  <c r="R435" i="28"/>
  <c r="R351"/>
  <c r="R503"/>
  <c r="R466"/>
  <c r="R440"/>
  <c r="R445"/>
  <c r="R414"/>
  <c r="R367"/>
  <c r="R482"/>
  <c r="R393"/>
  <c r="R330"/>
  <c r="R246"/>
  <c r="R162"/>
  <c r="R42"/>
  <c r="R67" s="1"/>
  <c r="R16"/>
  <c r="R388"/>
  <c r="R304"/>
  <c r="R220"/>
  <c r="R136"/>
  <c r="R450"/>
  <c r="R309"/>
  <c r="R225"/>
  <c r="R141"/>
  <c r="R499"/>
  <c r="R372"/>
  <c r="R262"/>
  <c r="R178"/>
  <c r="R94"/>
  <c r="R115"/>
  <c r="R204"/>
  <c r="S288"/>
  <c r="C488"/>
  <c r="R507"/>
  <c r="R508" s="1"/>
  <c r="R509" s="1"/>
  <c r="C195" i="116"/>
  <c r="C458"/>
  <c r="C476"/>
  <c r="C475"/>
  <c r="C252" i="117"/>
  <c r="C279"/>
  <c r="C315"/>
  <c r="C385" i="118"/>
  <c r="C384"/>
  <c r="C376"/>
  <c r="E44" i="109"/>
  <c r="U44"/>
  <c r="A27" i="101"/>
  <c r="D2" i="103"/>
  <c r="F41"/>
  <c r="F5"/>
  <c r="F43"/>
  <c r="F45"/>
  <c r="A7" i="105"/>
  <c r="L2" i="108"/>
  <c r="F205" i="109"/>
  <c r="A4" i="107"/>
  <c r="D130" i="28"/>
  <c r="D175"/>
  <c r="D214"/>
  <c r="D259"/>
  <c r="D298"/>
  <c r="D343"/>
  <c r="C384"/>
  <c r="C376"/>
  <c r="C377"/>
  <c r="D382"/>
  <c r="R94" i="116"/>
  <c r="D109"/>
  <c r="D154"/>
  <c r="R246"/>
  <c r="D333"/>
  <c r="C385"/>
  <c r="C384"/>
  <c r="C376"/>
  <c r="C377"/>
  <c r="D427"/>
  <c r="C487"/>
  <c r="S503" i="117"/>
  <c r="S499"/>
  <c r="S435"/>
  <c r="S351"/>
  <c r="S466"/>
  <c r="S440"/>
  <c r="S409"/>
  <c r="S445"/>
  <c r="S414"/>
  <c r="S330"/>
  <c r="S367"/>
  <c r="S283"/>
  <c r="S450"/>
  <c r="S430"/>
  <c r="S309"/>
  <c r="S304"/>
  <c r="S267"/>
  <c r="S178"/>
  <c r="S94"/>
  <c r="S482"/>
  <c r="S183"/>
  <c r="S99"/>
  <c r="S507"/>
  <c r="S508" s="1"/>
  <c r="S509" s="1"/>
  <c r="S225"/>
  <c r="S141"/>
  <c r="S325"/>
  <c r="S199"/>
  <c r="S42"/>
  <c r="S67" s="1"/>
  <c r="S393"/>
  <c r="S262"/>
  <c r="S136"/>
  <c r="S372"/>
  <c r="S346"/>
  <c r="S246"/>
  <c r="S204"/>
  <c r="S162"/>
  <c r="S120"/>
  <c r="D151"/>
  <c r="D249"/>
  <c r="D259"/>
  <c r="D291"/>
  <c r="D403" i="118"/>
  <c r="C460"/>
  <c r="C459"/>
  <c r="D123" i="119"/>
  <c r="C377" i="117"/>
  <c r="C378"/>
  <c r="G2" i="103"/>
  <c r="D144" i="28"/>
  <c r="D228"/>
  <c r="D312"/>
  <c r="D361"/>
  <c r="D453"/>
  <c r="R450" i="116"/>
  <c r="R388"/>
  <c r="R304"/>
  <c r="R220"/>
  <c r="R136"/>
  <c r="R507"/>
  <c r="R508" s="1"/>
  <c r="R509" s="1"/>
  <c r="R393"/>
  <c r="R309"/>
  <c r="R225"/>
  <c r="R141"/>
  <c r="R367"/>
  <c r="R283"/>
  <c r="R199"/>
  <c r="R115"/>
  <c r="S8"/>
  <c r="R435"/>
  <c r="R351"/>
  <c r="R267"/>
  <c r="R183"/>
  <c r="R99"/>
  <c r="D259"/>
  <c r="D291"/>
  <c r="D298"/>
  <c r="R409"/>
  <c r="R445"/>
  <c r="D463"/>
  <c r="R499"/>
  <c r="S115" i="117"/>
  <c r="C172"/>
  <c r="C210"/>
  <c r="C237"/>
  <c r="C229"/>
  <c r="C342"/>
  <c r="C334"/>
  <c r="D460"/>
  <c r="D165" i="118"/>
  <c r="C238"/>
  <c r="C237"/>
  <c r="C229"/>
  <c r="F8" i="8"/>
  <c r="A106" i="100"/>
  <c r="A35" i="101"/>
  <c r="F214" i="109"/>
  <c r="AM54" i="1"/>
  <c r="A7" i="102"/>
  <c r="F40" i="103"/>
  <c r="F4"/>
  <c r="D133" i="28"/>
  <c r="D172"/>
  <c r="D217"/>
  <c r="D256"/>
  <c r="D301"/>
  <c r="D340"/>
  <c r="D385"/>
  <c r="D479"/>
  <c r="D165" i="116"/>
  <c r="R204"/>
  <c r="C217"/>
  <c r="C216"/>
  <c r="C208"/>
  <c r="R262"/>
  <c r="D277"/>
  <c r="D322"/>
  <c r="R414"/>
  <c r="R466"/>
  <c r="D469"/>
  <c r="S157" i="117"/>
  <c r="H46" i="109"/>
  <c r="T46" s="1"/>
  <c r="H45"/>
  <c r="T45" s="1"/>
  <c r="M49"/>
  <c r="U49" s="1"/>
  <c r="C3" i="99"/>
  <c r="O2" i="108"/>
  <c r="A7" i="106"/>
  <c r="I46" i="109"/>
  <c r="U46"/>
  <c r="P68" i="1"/>
  <c r="B8" i="77"/>
  <c r="H2" i="103"/>
  <c r="F42"/>
  <c r="F6"/>
  <c r="F207" i="109"/>
  <c r="A8" i="106"/>
  <c r="J46" i="109"/>
  <c r="V46" s="1"/>
  <c r="J45"/>
  <c r="V45" s="1"/>
  <c r="H47"/>
  <c r="T47" s="1"/>
  <c r="O48"/>
  <c r="W48" s="1"/>
  <c r="O49"/>
  <c r="W49" s="1"/>
  <c r="O50"/>
  <c r="W50" s="1"/>
  <c r="J62" i="1"/>
  <c r="G3" i="100"/>
  <c r="F2" i="101"/>
  <c r="A8" i="102"/>
  <c r="I2" i="103"/>
  <c r="C41"/>
  <c r="C5"/>
  <c r="G9"/>
  <c r="G10"/>
  <c r="C43"/>
  <c r="I2" i="108"/>
  <c r="F215" i="109"/>
  <c r="D492" i="121"/>
  <c r="D485"/>
  <c r="D495"/>
  <c r="D469"/>
  <c r="D479"/>
  <c r="D453"/>
  <c r="D463"/>
  <c r="D460"/>
  <c r="D427"/>
  <c r="D417"/>
  <c r="D406"/>
  <c r="D354"/>
  <c r="D476"/>
  <c r="D385"/>
  <c r="D364"/>
  <c r="D375"/>
  <c r="D340"/>
  <c r="D301"/>
  <c r="D396"/>
  <c r="D382"/>
  <c r="D403"/>
  <c r="D343"/>
  <c r="D333"/>
  <c r="D361"/>
  <c r="D424"/>
  <c r="D322"/>
  <c r="D319"/>
  <c r="D298"/>
  <c r="D291"/>
  <c r="D256"/>
  <c r="D249"/>
  <c r="D280"/>
  <c r="D270"/>
  <c r="D259"/>
  <c r="D214"/>
  <c r="D312"/>
  <c r="D277"/>
  <c r="D165"/>
  <c r="D207"/>
  <c r="D186"/>
  <c r="D172"/>
  <c r="D235"/>
  <c r="D228"/>
  <c r="D217"/>
  <c r="D238"/>
  <c r="D175"/>
  <c r="D130"/>
  <c r="D123"/>
  <c r="D102"/>
  <c r="D151"/>
  <c r="D144"/>
  <c r="D109"/>
  <c r="D469" i="120"/>
  <c r="D417"/>
  <c r="D476"/>
  <c r="D196" i="121"/>
  <c r="D133"/>
  <c r="D112"/>
  <c r="D453" i="120"/>
  <c r="D403"/>
  <c r="D385"/>
  <c r="D340"/>
  <c r="D301"/>
  <c r="D427"/>
  <c r="D396"/>
  <c r="D193" i="121"/>
  <c r="D463" i="120"/>
  <c r="D364"/>
  <c r="D319"/>
  <c r="D280"/>
  <c r="D382"/>
  <c r="D343"/>
  <c r="D298"/>
  <c r="D375"/>
  <c r="D207"/>
  <c r="D154" i="121"/>
  <c r="D492" i="120"/>
  <c r="D485"/>
  <c r="D270"/>
  <c r="D259"/>
  <c r="D214"/>
  <c r="D479"/>
  <c r="D460"/>
  <c r="D495"/>
  <c r="D322"/>
  <c r="D291"/>
  <c r="D256"/>
  <c r="D217"/>
  <c r="D172"/>
  <c r="D312"/>
  <c r="D144"/>
  <c r="D151"/>
  <c r="D112"/>
  <c r="D277"/>
  <c r="D238"/>
  <c r="D123"/>
  <c r="D406"/>
  <c r="D354"/>
  <c r="D196"/>
  <c r="D193"/>
  <c r="D186"/>
  <c r="D175"/>
  <c r="D154"/>
  <c r="D109"/>
  <c r="D492" i="119"/>
  <c r="D463"/>
  <c r="D249" i="120"/>
  <c r="D333"/>
  <c r="D102"/>
  <c r="D476" i="119"/>
  <c r="D228" i="120"/>
  <c r="D165"/>
  <c r="D424"/>
  <c r="D130"/>
  <c r="D406" i="119"/>
  <c r="D361"/>
  <c r="D322"/>
  <c r="D277"/>
  <c r="D469"/>
  <c r="D417"/>
  <c r="D333"/>
  <c r="D460"/>
  <c r="D424"/>
  <c r="D385"/>
  <c r="D340"/>
  <c r="D301"/>
  <c r="D361" i="120"/>
  <c r="D235"/>
  <c r="D485" i="119"/>
  <c r="D375"/>
  <c r="D291"/>
  <c r="D479"/>
  <c r="D270"/>
  <c r="D256"/>
  <c r="D238"/>
  <c r="D193"/>
  <c r="D154"/>
  <c r="D109"/>
  <c r="D133" i="120"/>
  <c r="D165" i="119"/>
  <c r="D280"/>
  <c r="D217"/>
  <c r="D172"/>
  <c r="D133"/>
  <c r="D485" i="118"/>
  <c r="D495" i="119"/>
  <c r="D427"/>
  <c r="D382"/>
  <c r="D319"/>
  <c r="D259"/>
  <c r="D235"/>
  <c r="D196"/>
  <c r="D151"/>
  <c r="D112"/>
  <c r="D469" i="118"/>
  <c r="D492"/>
  <c r="D417"/>
  <c r="D333"/>
  <c r="D249"/>
  <c r="D453" i="119"/>
  <c r="D343"/>
  <c r="D175"/>
  <c r="D102"/>
  <c r="D479" i="118"/>
  <c r="D460"/>
  <c r="D424"/>
  <c r="D385"/>
  <c r="D340"/>
  <c r="D396" i="119"/>
  <c r="D354"/>
  <c r="D453" i="118"/>
  <c r="D396"/>
  <c r="D312"/>
  <c r="D228"/>
  <c r="D312" i="119"/>
  <c r="D228"/>
  <c r="D214"/>
  <c r="D375" i="118"/>
  <c r="D291"/>
  <c r="D207"/>
  <c r="D463"/>
  <c r="D406"/>
  <c r="D361"/>
  <c r="D256"/>
  <c r="D235"/>
  <c r="D172"/>
  <c r="D133"/>
  <c r="D495"/>
  <c r="D476"/>
  <c r="D277"/>
  <c r="D214"/>
  <c r="D144"/>
  <c r="D249" i="119"/>
  <c r="D427" i="118"/>
  <c r="D298"/>
  <c r="D270"/>
  <c r="D151"/>
  <c r="D112"/>
  <c r="D403" i="119"/>
  <c r="D298"/>
  <c r="D144"/>
  <c r="D364" i="118"/>
  <c r="D322"/>
  <c r="D186"/>
  <c r="D102"/>
  <c r="D495" i="117"/>
  <c r="D301" i="118"/>
  <c r="D479" i="117"/>
  <c r="D427"/>
  <c r="D382"/>
  <c r="D343"/>
  <c r="D298"/>
  <c r="D186" i="119"/>
  <c r="D382" i="118"/>
  <c r="D354"/>
  <c r="D238"/>
  <c r="D193"/>
  <c r="D109"/>
  <c r="D354" i="117"/>
  <c r="D207" i="119"/>
  <c r="D217" i="118"/>
  <c r="D175"/>
  <c r="D130"/>
  <c r="D123"/>
  <c r="D463" i="117"/>
  <c r="D406"/>
  <c r="D361"/>
  <c r="D130" i="119"/>
  <c r="D343" i="118"/>
  <c r="D280"/>
  <c r="D196"/>
  <c r="D453" i="117"/>
  <c r="D396"/>
  <c r="D312"/>
  <c r="D319"/>
  <c r="D280"/>
  <c r="D256"/>
  <c r="D207"/>
  <c r="D123"/>
  <c r="D364"/>
  <c r="D214"/>
  <c r="D175"/>
  <c r="D130"/>
  <c r="D469"/>
  <c r="D375"/>
  <c r="D270"/>
  <c r="D217"/>
  <c r="D172"/>
  <c r="D133"/>
  <c r="D492"/>
  <c r="D154"/>
  <c r="D144"/>
  <c r="D109"/>
  <c r="D476" i="116"/>
  <c r="D424"/>
  <c r="D385"/>
  <c r="D340"/>
  <c r="D301"/>
  <c r="D256"/>
  <c r="D217"/>
  <c r="D172"/>
  <c r="D133"/>
  <c r="D485" i="28"/>
  <c r="D354"/>
  <c r="D364" i="119"/>
  <c r="D319" i="118"/>
  <c r="D340" i="117"/>
  <c r="D301"/>
  <c r="D235"/>
  <c r="D186"/>
  <c r="D453" i="116"/>
  <c r="D396"/>
  <c r="D312"/>
  <c r="D228"/>
  <c r="D144"/>
  <c r="D492" i="28"/>
  <c r="D463"/>
  <c r="D485" i="117"/>
  <c r="D417"/>
  <c r="D403"/>
  <c r="D333"/>
  <c r="D277"/>
  <c r="D196"/>
  <c r="D495" i="116"/>
  <c r="D460"/>
  <c r="D403"/>
  <c r="D364"/>
  <c r="D319"/>
  <c r="D280"/>
  <c r="D235"/>
  <c r="D196"/>
  <c r="D151"/>
  <c r="D112"/>
  <c r="D469" i="28"/>
  <c r="D417"/>
  <c r="D476" i="117"/>
  <c r="D385"/>
  <c r="D238"/>
  <c r="D228"/>
  <c r="D193"/>
  <c r="D112"/>
  <c r="D485" i="116"/>
  <c r="D354"/>
  <c r="D270"/>
  <c r="D186"/>
  <c r="D102"/>
  <c r="D495" i="28"/>
  <c r="D460"/>
  <c r="D403"/>
  <c r="D364"/>
  <c r="O73" i="11"/>
  <c r="D165" i="28"/>
  <c r="D249"/>
  <c r="D333"/>
  <c r="D406"/>
  <c r="C427"/>
  <c r="C426"/>
  <c r="R42" i="116"/>
  <c r="R67"/>
  <c r="D175"/>
  <c r="D207"/>
  <c r="D214"/>
  <c r="R325"/>
  <c r="S241" i="117"/>
  <c r="C473"/>
  <c r="C474"/>
  <c r="C104" i="118"/>
  <c r="D154"/>
  <c r="C112" i="117"/>
  <c r="C111"/>
  <c r="C103"/>
  <c r="R141"/>
  <c r="R183"/>
  <c r="R241"/>
  <c r="C150" i="118"/>
  <c r="C151"/>
  <c r="C196" i="117"/>
  <c r="C195"/>
  <c r="C187"/>
  <c r="R225"/>
  <c r="R262"/>
  <c r="R42"/>
  <c r="R67"/>
  <c r="C153"/>
  <c r="C145"/>
  <c r="C146"/>
  <c r="C147"/>
  <c r="C154"/>
  <c r="R199"/>
  <c r="C209" i="118"/>
  <c r="C145" i="116"/>
  <c r="C146"/>
  <c r="C147"/>
  <c r="C229"/>
  <c r="C313"/>
  <c r="C314"/>
  <c r="C397"/>
  <c r="C398"/>
  <c r="C399"/>
  <c r="R430" i="117"/>
  <c r="R346"/>
  <c r="R435"/>
  <c r="R351"/>
  <c r="R499"/>
  <c r="R466"/>
  <c r="R440"/>
  <c r="R409"/>
  <c r="R507"/>
  <c r="R508"/>
  <c r="R509" s="1"/>
  <c r="R482"/>
  <c r="R393"/>
  <c r="R309"/>
  <c r="R367"/>
  <c r="R246"/>
  <c r="R204"/>
  <c r="R120"/>
  <c r="R503"/>
  <c r="R450"/>
  <c r="R304"/>
  <c r="R267"/>
  <c r="R178"/>
  <c r="R94"/>
  <c r="R414"/>
  <c r="R220"/>
  <c r="R136"/>
  <c r="R99"/>
  <c r="R157"/>
  <c r="C258"/>
  <c r="R283"/>
  <c r="R330"/>
  <c r="R388"/>
  <c r="C405"/>
  <c r="C397"/>
  <c r="C427"/>
  <c r="C426"/>
  <c r="C418"/>
  <c r="C419"/>
  <c r="C133" i="118"/>
  <c r="C132"/>
  <c r="C124"/>
  <c r="C189" i="119"/>
  <c r="C188" i="118"/>
  <c r="C293"/>
  <c r="C294"/>
  <c r="C295"/>
  <c r="C340"/>
  <c r="C339"/>
  <c r="C488" i="117"/>
  <c r="C170" i="118"/>
  <c r="C455" i="117"/>
  <c r="C406" i="118"/>
  <c r="C405"/>
  <c r="C397"/>
  <c r="C280"/>
  <c r="C271"/>
  <c r="C272"/>
  <c r="C273"/>
  <c r="C274"/>
  <c r="C322"/>
  <c r="C321"/>
  <c r="C313"/>
  <c r="C322" i="119"/>
  <c r="C321"/>
  <c r="C313"/>
  <c r="C300" i="118"/>
  <c r="C364"/>
  <c r="C355"/>
  <c r="C356"/>
  <c r="C357"/>
  <c r="C358"/>
  <c r="C363"/>
  <c r="C422"/>
  <c r="C487"/>
  <c r="C488"/>
  <c r="R499"/>
  <c r="R445"/>
  <c r="R414"/>
  <c r="R330"/>
  <c r="R246"/>
  <c r="R388"/>
  <c r="R393"/>
  <c r="R309"/>
  <c r="R225"/>
  <c r="R503"/>
  <c r="R372"/>
  <c r="R288"/>
  <c r="R204"/>
  <c r="R136"/>
  <c r="R466"/>
  <c r="R430"/>
  <c r="R141"/>
  <c r="R482"/>
  <c r="R435"/>
  <c r="R262"/>
  <c r="R199"/>
  <c r="R115"/>
  <c r="S8"/>
  <c r="R220"/>
  <c r="R183"/>
  <c r="R99"/>
  <c r="R94"/>
  <c r="R178"/>
  <c r="R304"/>
  <c r="R409"/>
  <c r="R440"/>
  <c r="R507"/>
  <c r="R508" s="1"/>
  <c r="C355" i="117"/>
  <c r="C356"/>
  <c r="C357"/>
  <c r="R267" i="118"/>
  <c r="R367"/>
  <c r="C132" i="119"/>
  <c r="C124"/>
  <c r="C125"/>
  <c r="C133"/>
  <c r="C172"/>
  <c r="C272"/>
  <c r="C406"/>
  <c r="C405"/>
  <c r="C397"/>
  <c r="C398"/>
  <c r="C487"/>
  <c r="C488"/>
  <c r="C489"/>
  <c r="C490"/>
  <c r="C233"/>
  <c r="C473"/>
  <c r="C475" i="118"/>
  <c r="C105" i="119"/>
  <c r="C216"/>
  <c r="C208"/>
  <c r="R503"/>
  <c r="R466"/>
  <c r="R450"/>
  <c r="R499"/>
  <c r="R435"/>
  <c r="R409"/>
  <c r="R325"/>
  <c r="R440"/>
  <c r="R414"/>
  <c r="R330"/>
  <c r="R388"/>
  <c r="R304"/>
  <c r="R507"/>
  <c r="R508" s="1"/>
  <c r="R509" s="1"/>
  <c r="R482"/>
  <c r="R372"/>
  <c r="R288"/>
  <c r="R241"/>
  <c r="R157"/>
  <c r="R445"/>
  <c r="R351"/>
  <c r="R283"/>
  <c r="R267"/>
  <c r="R246"/>
  <c r="R162"/>
  <c r="R42"/>
  <c r="R67" s="1"/>
  <c r="R346"/>
  <c r="R309"/>
  <c r="R220"/>
  <c r="R136"/>
  <c r="R367"/>
  <c r="R262"/>
  <c r="R199"/>
  <c r="R115"/>
  <c r="S8"/>
  <c r="C149"/>
  <c r="R178"/>
  <c r="C294"/>
  <c r="C295"/>
  <c r="C296"/>
  <c r="C169" i="120"/>
  <c r="R141" i="119"/>
  <c r="R183"/>
  <c r="C456" i="120"/>
  <c r="C258" i="119"/>
  <c r="C250"/>
  <c r="C251"/>
  <c r="C300"/>
  <c r="C458"/>
  <c r="C146" i="120"/>
  <c r="C337"/>
  <c r="C338"/>
  <c r="C377" i="119"/>
  <c r="C174" i="120"/>
  <c r="C175"/>
  <c r="C334" i="119"/>
  <c r="C335"/>
  <c r="C418"/>
  <c r="C419"/>
  <c r="C420"/>
  <c r="C188" i="120"/>
  <c r="R178"/>
  <c r="C382"/>
  <c r="R445"/>
  <c r="R414"/>
  <c r="R507"/>
  <c r="R508" s="1"/>
  <c r="R509" s="1"/>
  <c r="R499"/>
  <c r="R440"/>
  <c r="R430"/>
  <c r="R388"/>
  <c r="R304"/>
  <c r="R435"/>
  <c r="R393"/>
  <c r="R367"/>
  <c r="R283"/>
  <c r="R482"/>
  <c r="R409"/>
  <c r="R346"/>
  <c r="R351"/>
  <c r="R330"/>
  <c r="R309"/>
  <c r="R204"/>
  <c r="R262"/>
  <c r="R288"/>
  <c r="R466"/>
  <c r="R372"/>
  <c r="R325"/>
  <c r="R220"/>
  <c r="R246"/>
  <c r="R141"/>
  <c r="R450"/>
  <c r="R267"/>
  <c r="R241"/>
  <c r="R115"/>
  <c r="R162"/>
  <c r="R120"/>
  <c r="R225"/>
  <c r="R183"/>
  <c r="R157"/>
  <c r="R136"/>
  <c r="C133"/>
  <c r="C132"/>
  <c r="C124"/>
  <c r="C208"/>
  <c r="C237"/>
  <c r="C229"/>
  <c r="C230"/>
  <c r="C363"/>
  <c r="C355"/>
  <c r="C279"/>
  <c r="C271"/>
  <c r="C298"/>
  <c r="C489"/>
  <c r="C280" i="121"/>
  <c r="N280"/>
  <c r="C271"/>
  <c r="N270"/>
  <c r="C279"/>
  <c r="N279"/>
  <c r="C471" i="120"/>
  <c r="C419"/>
  <c r="C112" i="121"/>
  <c r="N112"/>
  <c r="C103"/>
  <c r="C313" i="120"/>
  <c r="C397"/>
  <c r="N102" i="121"/>
  <c r="C168"/>
  <c r="N167"/>
  <c r="R507"/>
  <c r="R503"/>
  <c r="R499"/>
  <c r="R482"/>
  <c r="R450"/>
  <c r="R351"/>
  <c r="R435"/>
  <c r="R414"/>
  <c r="R388"/>
  <c r="R367"/>
  <c r="R304"/>
  <c r="R372"/>
  <c r="R445"/>
  <c r="R440"/>
  <c r="R466"/>
  <c r="R393"/>
  <c r="R330"/>
  <c r="R325"/>
  <c r="R409"/>
  <c r="R283"/>
  <c r="R430"/>
  <c r="R309"/>
  <c r="R288"/>
  <c r="R246"/>
  <c r="R346"/>
  <c r="R262"/>
  <c r="R267"/>
  <c r="R162"/>
  <c r="R220"/>
  <c r="R225"/>
  <c r="R204"/>
  <c r="R183"/>
  <c r="R178"/>
  <c r="R99"/>
  <c r="R136"/>
  <c r="R241"/>
  <c r="R141"/>
  <c r="R199"/>
  <c r="R157"/>
  <c r="S8"/>
  <c r="N217"/>
  <c r="C238"/>
  <c r="N238"/>
  <c r="C237"/>
  <c r="N237"/>
  <c r="C229"/>
  <c r="N228"/>
  <c r="N124"/>
  <c r="C125"/>
  <c r="C154"/>
  <c r="N154"/>
  <c r="C145"/>
  <c r="N144"/>
  <c r="C153"/>
  <c r="N153"/>
  <c r="N133"/>
  <c r="N117"/>
  <c r="N207"/>
  <c r="N201"/>
  <c r="N249"/>
  <c r="N243"/>
  <c r="N327"/>
  <c r="N334"/>
  <c r="N333"/>
  <c r="N292"/>
  <c r="C293"/>
  <c r="N196"/>
  <c r="N300"/>
  <c r="C195"/>
  <c r="N195"/>
  <c r="C187"/>
  <c r="N186"/>
  <c r="N259"/>
  <c r="C209"/>
  <c r="N208"/>
  <c r="N322"/>
  <c r="C364"/>
  <c r="N364"/>
  <c r="C355"/>
  <c r="N354"/>
  <c r="N343"/>
  <c r="N342"/>
  <c r="N363"/>
  <c r="C251"/>
  <c r="N250"/>
  <c r="C321"/>
  <c r="N321"/>
  <c r="C313"/>
  <c r="N312"/>
  <c r="C336"/>
  <c r="N335"/>
  <c r="N427"/>
  <c r="C418"/>
  <c r="C426"/>
  <c r="N426"/>
  <c r="N417"/>
  <c r="C398"/>
  <c r="N397"/>
  <c r="J17" i="43"/>
  <c r="F18"/>
  <c r="C455" i="121"/>
  <c r="N454"/>
  <c r="N470"/>
  <c r="C471"/>
  <c r="C405"/>
  <c r="N405"/>
  <c r="C406"/>
  <c r="N406"/>
  <c r="N396"/>
  <c r="C384"/>
  <c r="N384"/>
  <c r="C376"/>
  <c r="N375"/>
  <c r="C385"/>
  <c r="N385"/>
  <c r="C490"/>
  <c r="N489"/>
  <c r="F38" i="43"/>
  <c r="J38"/>
  <c r="F37"/>
  <c r="J37"/>
  <c r="J36"/>
  <c r="F39"/>
  <c r="F58"/>
  <c r="J58"/>
  <c r="M82" i="11"/>
  <c r="N437" i="119" s="1"/>
  <c r="F57" i="43"/>
  <c r="J57"/>
  <c r="M81" i="11"/>
  <c r="N432" i="119" s="1"/>
  <c r="J56" i="43"/>
  <c r="F59"/>
  <c r="D23" i="75"/>
  <c r="N23"/>
  <c r="G23"/>
  <c r="P23"/>
  <c r="Q23"/>
  <c r="J80" i="43"/>
  <c r="F83"/>
  <c r="C189" i="120"/>
  <c r="C315" i="116"/>
  <c r="D11" i="103"/>
  <c r="D12"/>
  <c r="H11"/>
  <c r="H12"/>
  <c r="G11"/>
  <c r="G12"/>
  <c r="I11"/>
  <c r="C492" i="121"/>
  <c r="N492"/>
  <c r="N490"/>
  <c r="C491"/>
  <c r="N491"/>
  <c r="C489" i="28"/>
  <c r="C378" i="119"/>
  <c r="C273" i="116"/>
  <c r="C168" i="28"/>
  <c r="C230"/>
  <c r="F8" i="99"/>
  <c r="F9" s="1"/>
  <c r="V35" i="1" s="1"/>
  <c r="E8" i="99"/>
  <c r="E9" s="1"/>
  <c r="S35" i="1" s="1"/>
  <c r="K7" i="99"/>
  <c r="C8"/>
  <c r="C9" s="1"/>
  <c r="M35" i="1" s="1"/>
  <c r="B8" i="99"/>
  <c r="B9"/>
  <c r="J35" i="1" s="1"/>
  <c r="C421" i="119"/>
  <c r="C457" i="120"/>
  <c r="C273" i="119"/>
  <c r="C314"/>
  <c r="F208" i="109"/>
  <c r="F43"/>
  <c r="V43"/>
  <c r="F13" i="1"/>
  <c r="AN25"/>
  <c r="F25"/>
  <c r="C253" i="118"/>
  <c r="D13" i="103"/>
  <c r="S503" i="121"/>
  <c r="S507"/>
  <c r="S499"/>
  <c r="S466"/>
  <c r="S445"/>
  <c r="S482"/>
  <c r="S440"/>
  <c r="S430"/>
  <c r="S435"/>
  <c r="S414"/>
  <c r="S409"/>
  <c r="S372"/>
  <c r="S309"/>
  <c r="S450"/>
  <c r="S367"/>
  <c r="S388"/>
  <c r="S325"/>
  <c r="S346"/>
  <c r="S330"/>
  <c r="S393"/>
  <c r="S262"/>
  <c r="S351"/>
  <c r="S220"/>
  <c r="S267"/>
  <c r="S283"/>
  <c r="S288"/>
  <c r="S183"/>
  <c r="S136"/>
  <c r="S225"/>
  <c r="S204"/>
  <c r="S199"/>
  <c r="S162"/>
  <c r="S241"/>
  <c r="S141"/>
  <c r="S246"/>
  <c r="S157"/>
  <c r="S120"/>
  <c r="S115"/>
  <c r="S304"/>
  <c r="S99"/>
  <c r="S94"/>
  <c r="S42"/>
  <c r="S67"/>
  <c r="S16"/>
  <c r="S178"/>
  <c r="T8"/>
  <c r="T445" i="28"/>
  <c r="T414"/>
  <c r="T450"/>
  <c r="T507"/>
  <c r="T508"/>
  <c r="T509" s="1"/>
  <c r="T482"/>
  <c r="T430"/>
  <c r="T346"/>
  <c r="T466"/>
  <c r="T309"/>
  <c r="T225"/>
  <c r="T141"/>
  <c r="T351"/>
  <c r="T283"/>
  <c r="T199"/>
  <c r="T115"/>
  <c r="U8"/>
  <c r="T288"/>
  <c r="T204"/>
  <c r="T120"/>
  <c r="T503"/>
  <c r="T325"/>
  <c r="T241"/>
  <c r="T157"/>
  <c r="T435"/>
  <c r="T393"/>
  <c r="T330"/>
  <c r="T94"/>
  <c r="T136"/>
  <c r="T388"/>
  <c r="T162"/>
  <c r="T16"/>
  <c r="T440"/>
  <c r="T178"/>
  <c r="T409"/>
  <c r="T367"/>
  <c r="T246"/>
  <c r="T99"/>
  <c r="T183"/>
  <c r="T372"/>
  <c r="T267"/>
  <c r="T262"/>
  <c r="T220"/>
  <c r="T42"/>
  <c r="T67" s="1"/>
  <c r="T499"/>
  <c r="T304"/>
  <c r="C337"/>
  <c r="C490" i="120"/>
  <c r="F40" i="43"/>
  <c r="J40"/>
  <c r="J39"/>
  <c r="F41"/>
  <c r="J41"/>
  <c r="C336" i="119"/>
  <c r="C340" i="120"/>
  <c r="C339"/>
  <c r="C209" i="119"/>
  <c r="C424" i="118"/>
  <c r="C423"/>
  <c r="N229" i="121"/>
  <c r="C230"/>
  <c r="C314" i="120"/>
  <c r="C231"/>
  <c r="C125"/>
  <c r="C170"/>
  <c r="C474" i="119"/>
  <c r="S482" i="118"/>
  <c r="S503"/>
  <c r="S466"/>
  <c r="S440"/>
  <c r="S450"/>
  <c r="S388"/>
  <c r="S304"/>
  <c r="S220"/>
  <c r="S445"/>
  <c r="S393"/>
  <c r="S367"/>
  <c r="S283"/>
  <c r="S430"/>
  <c r="S346"/>
  <c r="S262"/>
  <c r="S225"/>
  <c r="S141"/>
  <c r="S435"/>
  <c r="S330"/>
  <c r="S199"/>
  <c r="S115"/>
  <c r="S372"/>
  <c r="S241"/>
  <c r="S120"/>
  <c r="S204"/>
  <c r="S157"/>
  <c r="S507"/>
  <c r="S508"/>
  <c r="S409"/>
  <c r="S309"/>
  <c r="S183"/>
  <c r="S178"/>
  <c r="S99"/>
  <c r="S94"/>
  <c r="T8"/>
  <c r="S351"/>
  <c r="S499"/>
  <c r="S414"/>
  <c r="S288"/>
  <c r="S246"/>
  <c r="S16"/>
  <c r="S162"/>
  <c r="S136"/>
  <c r="S42"/>
  <c r="S67" s="1"/>
  <c r="S267"/>
  <c r="S325"/>
  <c r="C275"/>
  <c r="F11" i="103"/>
  <c r="F12"/>
  <c r="N37" i="11"/>
  <c r="N56" s="1"/>
  <c r="N24"/>
  <c r="C314" i="28"/>
  <c r="C188"/>
  <c r="F60" i="43"/>
  <c r="J60"/>
  <c r="M83" i="11"/>
  <c r="N442" i="119" s="1"/>
  <c r="J59" i="43"/>
  <c r="N398" i="121"/>
  <c r="C399"/>
  <c r="C314"/>
  <c r="N313"/>
  <c r="C356"/>
  <c r="N355"/>
  <c r="C146"/>
  <c r="N145"/>
  <c r="N48" i="109"/>
  <c r="V48"/>
  <c r="N49"/>
  <c r="V49" s="1"/>
  <c r="E54" i="1"/>
  <c r="C316" i="117"/>
  <c r="J83" i="43"/>
  <c r="F84"/>
  <c r="J84"/>
  <c r="N83" i="11"/>
  <c r="N442" i="120" s="1"/>
  <c r="N471" i="121"/>
  <c r="C472"/>
  <c r="C296" i="118"/>
  <c r="C230" i="116"/>
  <c r="C188" i="117"/>
  <c r="C377" i="121"/>
  <c r="N376"/>
  <c r="C456"/>
  <c r="N455"/>
  <c r="C210"/>
  <c r="N209"/>
  <c r="C398" i="120"/>
  <c r="C456" i="117"/>
  <c r="C125" i="118"/>
  <c r="C488" i="116"/>
  <c r="F19" i="43"/>
  <c r="J19"/>
  <c r="J18"/>
  <c r="L81" i="11"/>
  <c r="N432" i="118" s="1"/>
  <c r="K81" i="11"/>
  <c r="N432" i="117" s="1"/>
  <c r="J82" i="11"/>
  <c r="N437" i="116" s="1"/>
  <c r="I82" i="11"/>
  <c r="N437" i="28" s="1"/>
  <c r="C337" i="121"/>
  <c r="N336"/>
  <c r="C104"/>
  <c r="N103"/>
  <c r="C151" i="119"/>
  <c r="C150"/>
  <c r="C398" i="118"/>
  <c r="I9" i="103"/>
  <c r="C9"/>
  <c r="C10"/>
  <c r="H9"/>
  <c r="H10"/>
  <c r="AM11" i="1"/>
  <c r="G8" i="99"/>
  <c r="G9"/>
  <c r="Y35" i="1" s="1"/>
  <c r="C272" i="117"/>
  <c r="C11" i="103"/>
  <c r="C12"/>
  <c r="C336" i="116"/>
  <c r="E9" i="103"/>
  <c r="E10"/>
  <c r="C190" i="119"/>
  <c r="C378" i="116"/>
  <c r="C377" i="118"/>
  <c r="C126" i="116"/>
  <c r="H7" i="103"/>
  <c r="H8"/>
  <c r="I7"/>
  <c r="N50" i="109"/>
  <c r="V50"/>
  <c r="C126" i="119"/>
  <c r="G7" i="103"/>
  <c r="G8"/>
  <c r="G13"/>
  <c r="C172" i="118"/>
  <c r="C171"/>
  <c r="C398" i="117"/>
  <c r="F206" i="109"/>
  <c r="F203"/>
  <c r="C420" i="120"/>
  <c r="C472"/>
  <c r="C272" i="121"/>
  <c r="N271"/>
  <c r="C356" i="120"/>
  <c r="S445" i="119"/>
  <c r="S507"/>
  <c r="S508" s="1"/>
  <c r="S509" s="1"/>
  <c r="S482"/>
  <c r="S430"/>
  <c r="S440"/>
  <c r="S414"/>
  <c r="S330"/>
  <c r="S388"/>
  <c r="S450"/>
  <c r="S393"/>
  <c r="S309"/>
  <c r="S503"/>
  <c r="S466"/>
  <c r="S346"/>
  <c r="S351"/>
  <c r="S325"/>
  <c r="S283"/>
  <c r="S267"/>
  <c r="S246"/>
  <c r="S162"/>
  <c r="S42"/>
  <c r="S67"/>
  <c r="S16"/>
  <c r="S409"/>
  <c r="S220"/>
  <c r="S136"/>
  <c r="S225"/>
  <c r="S141"/>
  <c r="S288"/>
  <c r="S204"/>
  <c r="S120"/>
  <c r="S178"/>
  <c r="S262"/>
  <c r="T8"/>
  <c r="S435"/>
  <c r="S372"/>
  <c r="S99"/>
  <c r="S499"/>
  <c r="S367"/>
  <c r="S157"/>
  <c r="S199"/>
  <c r="S304"/>
  <c r="S94"/>
  <c r="S241"/>
  <c r="S115"/>
  <c r="S183"/>
  <c r="C399"/>
  <c r="C489" i="118"/>
  <c r="C489" i="117"/>
  <c r="C210" i="118"/>
  <c r="C379" i="117"/>
  <c r="C104" i="28"/>
  <c r="L49" i="109"/>
  <c r="T49"/>
  <c r="L48"/>
  <c r="T48" s="1"/>
  <c r="L50"/>
  <c r="T50"/>
  <c r="C189" i="118"/>
  <c r="C420" i="117"/>
  <c r="C148"/>
  <c r="C476"/>
  <c r="C475"/>
  <c r="F9" i="103"/>
  <c r="F10"/>
  <c r="B6" i="101"/>
  <c r="B7"/>
  <c r="J37" i="1" s="1"/>
  <c r="C402" i="28"/>
  <c r="C403"/>
  <c r="C7" i="103"/>
  <c r="C8"/>
  <c r="K82" i="11"/>
  <c r="N437" i="117" s="1"/>
  <c r="L82" i="11"/>
  <c r="N437" i="118" s="1"/>
  <c r="N187" i="121"/>
  <c r="C188"/>
  <c r="R509"/>
  <c r="C272" i="120"/>
  <c r="C147"/>
  <c r="C359" i="118"/>
  <c r="C400" i="116"/>
  <c r="C230" i="117"/>
  <c r="S507" i="116"/>
  <c r="S508" s="1"/>
  <c r="S509" s="1"/>
  <c r="S393"/>
  <c r="S309"/>
  <c r="S225"/>
  <c r="S141"/>
  <c r="S367"/>
  <c r="S283"/>
  <c r="S199"/>
  <c r="S115"/>
  <c r="T8"/>
  <c r="S499"/>
  <c r="S372"/>
  <c r="S288"/>
  <c r="S204"/>
  <c r="S120"/>
  <c r="S503"/>
  <c r="S466"/>
  <c r="S440"/>
  <c r="S409"/>
  <c r="S325"/>
  <c r="S241"/>
  <c r="S157"/>
  <c r="S414"/>
  <c r="S388"/>
  <c r="S267"/>
  <c r="S262"/>
  <c r="S445"/>
  <c r="S351"/>
  <c r="S346"/>
  <c r="S162"/>
  <c r="S136"/>
  <c r="S16"/>
  <c r="S482"/>
  <c r="S220"/>
  <c r="S330"/>
  <c r="S246"/>
  <c r="S99"/>
  <c r="S42"/>
  <c r="S67" s="1"/>
  <c r="S183"/>
  <c r="S178"/>
  <c r="S94"/>
  <c r="S435"/>
  <c r="S450"/>
  <c r="S430"/>
  <c r="S304"/>
  <c r="C459"/>
  <c r="C460"/>
  <c r="C189"/>
  <c r="C356"/>
  <c r="C126" i="121"/>
  <c r="N125"/>
  <c r="N168"/>
  <c r="C169"/>
  <c r="C209" i="120"/>
  <c r="C460" i="119"/>
  <c r="C459"/>
  <c r="C252"/>
  <c r="C106"/>
  <c r="C492"/>
  <c r="C491"/>
  <c r="C148" i="116"/>
  <c r="F7" i="103"/>
  <c r="F8"/>
  <c r="F13"/>
  <c r="C230" i="118"/>
  <c r="C335" i="117"/>
  <c r="C293" i="116"/>
  <c r="C360" i="28"/>
  <c r="C361"/>
  <c r="E7" i="103"/>
  <c r="E8"/>
  <c r="C146" i="28"/>
  <c r="O58" i="11"/>
  <c r="O60" s="1"/>
  <c r="P7"/>
  <c r="O9"/>
  <c r="C474" i="28"/>
  <c r="C274"/>
  <c r="C105" i="116"/>
  <c r="N418" i="121"/>
  <c r="C419"/>
  <c r="C252"/>
  <c r="N251"/>
  <c r="C294"/>
  <c r="N293"/>
  <c r="C298" i="119"/>
  <c r="C297"/>
  <c r="C234"/>
  <c r="C235"/>
  <c r="C358" i="117"/>
  <c r="C314" i="118"/>
  <c r="C104" i="117"/>
  <c r="C105" i="118"/>
  <c r="C209" i="116"/>
  <c r="C211" i="117"/>
  <c r="C378" i="28"/>
  <c r="C253" i="117"/>
  <c r="K5" i="101"/>
  <c r="E11" i="103"/>
  <c r="E12"/>
  <c r="C253" i="28"/>
  <c r="S443" i="121"/>
  <c r="S442"/>
  <c r="S438"/>
  <c r="S437" s="1"/>
  <c r="S433"/>
  <c r="S432"/>
  <c r="S448"/>
  <c r="S447" s="1"/>
  <c r="S412"/>
  <c r="S370"/>
  <c r="S328"/>
  <c r="S307"/>
  <c r="S391"/>
  <c r="S349"/>
  <c r="S265"/>
  <c r="S223"/>
  <c r="S181"/>
  <c r="S139"/>
  <c r="S244"/>
  <c r="S202"/>
  <c r="S118"/>
  <c r="S286"/>
  <c r="S160"/>
  <c r="S97"/>
  <c r="S433" i="120"/>
  <c r="S448"/>
  <c r="S412"/>
  <c r="S181"/>
  <c r="S370"/>
  <c r="S244"/>
  <c r="S391"/>
  <c r="S438"/>
  <c r="S265"/>
  <c r="S118"/>
  <c r="S328"/>
  <c r="S443"/>
  <c r="S349"/>
  <c r="S202"/>
  <c r="S97"/>
  <c r="S448" i="119"/>
  <c r="S286" i="120"/>
  <c r="S160"/>
  <c r="S433" i="119"/>
  <c r="S223" i="120"/>
  <c r="S391" i="119"/>
  <c r="S307" i="120"/>
  <c r="S349" i="119"/>
  <c r="S265"/>
  <c r="S223"/>
  <c r="S139"/>
  <c r="S438"/>
  <c r="S370"/>
  <c r="S443" i="118"/>
  <c r="S139" i="120"/>
  <c r="S307" i="119"/>
  <c r="S160"/>
  <c r="S448" i="118"/>
  <c r="S391"/>
  <c r="S307"/>
  <c r="S223"/>
  <c r="S412" i="119"/>
  <c r="S286"/>
  <c r="S202"/>
  <c r="S97"/>
  <c r="S438" i="118"/>
  <c r="S370"/>
  <c r="S286"/>
  <c r="S328" i="119"/>
  <c r="S244"/>
  <c r="S433" i="118"/>
  <c r="S349"/>
  <c r="S265"/>
  <c r="S443" i="119"/>
  <c r="S202" i="118"/>
  <c r="S328"/>
  <c r="S244"/>
  <c r="S118"/>
  <c r="S160"/>
  <c r="S438" i="117"/>
  <c r="S118" i="119"/>
  <c r="S443" i="117"/>
  <c r="S412"/>
  <c r="S448"/>
  <c r="S370"/>
  <c r="S286"/>
  <c r="S181" i="119"/>
  <c r="S181" i="117"/>
  <c r="S97"/>
  <c r="S391"/>
  <c r="S433"/>
  <c r="S139"/>
  <c r="S443" i="28"/>
  <c r="S412"/>
  <c r="S412" i="118"/>
  <c r="S307" i="117"/>
  <c r="S118"/>
  <c r="S370" i="116"/>
  <c r="S286"/>
  <c r="S202"/>
  <c r="S118"/>
  <c r="S448" i="28"/>
  <c r="S223" i="117"/>
  <c r="S443" i="116"/>
  <c r="S412"/>
  <c r="S328"/>
  <c r="S244"/>
  <c r="S160"/>
  <c r="S328" i="117"/>
  <c r="S244"/>
  <c r="S433" i="28"/>
  <c r="S307"/>
  <c r="S223"/>
  <c r="S139"/>
  <c r="S97" i="118"/>
  <c r="S349" i="116"/>
  <c r="S223"/>
  <c r="S349" i="28"/>
  <c r="S181" i="118"/>
  <c r="S139"/>
  <c r="S202" i="117"/>
  <c r="S438" i="116"/>
  <c r="S433"/>
  <c r="S286" i="28"/>
  <c r="S202"/>
  <c r="S118"/>
  <c r="S265" i="117"/>
  <c r="S391" i="116"/>
  <c r="S181"/>
  <c r="S438" i="28"/>
  <c r="S349" i="117"/>
  <c r="S139" i="116"/>
  <c r="S328" i="28"/>
  <c r="S181"/>
  <c r="S265" i="116"/>
  <c r="S97"/>
  <c r="S370" i="28"/>
  <c r="S160" i="117"/>
  <c r="S307" i="116"/>
  <c r="S160" i="28"/>
  <c r="S244"/>
  <c r="S97"/>
  <c r="S265"/>
  <c r="S448" i="116"/>
  <c r="S391" i="28"/>
  <c r="C126" i="117"/>
  <c r="F212" i="109"/>
  <c r="C147" i="28"/>
  <c r="C421" i="117"/>
  <c r="C473" i="120"/>
  <c r="C273" i="117"/>
  <c r="C378" i="121"/>
  <c r="N377"/>
  <c r="U450" i="28"/>
  <c r="U388"/>
  <c r="U507"/>
  <c r="U508" s="1"/>
  <c r="U509" s="1"/>
  <c r="U435"/>
  <c r="U351"/>
  <c r="U283"/>
  <c r="U199"/>
  <c r="U115"/>
  <c r="V8"/>
  <c r="U430"/>
  <c r="U346"/>
  <c r="U288"/>
  <c r="U204"/>
  <c r="U120"/>
  <c r="U445"/>
  <c r="U414"/>
  <c r="U262"/>
  <c r="U178"/>
  <c r="U94"/>
  <c r="U409"/>
  <c r="U393"/>
  <c r="U330"/>
  <c r="U246"/>
  <c r="U162"/>
  <c r="U42"/>
  <c r="U67" s="1"/>
  <c r="U16"/>
  <c r="U183"/>
  <c r="U267"/>
  <c r="U482"/>
  <c r="U367"/>
  <c r="U440"/>
  <c r="U225"/>
  <c r="U157"/>
  <c r="U136"/>
  <c r="U241"/>
  <c r="U220"/>
  <c r="U141"/>
  <c r="U99"/>
  <c r="U466"/>
  <c r="U372"/>
  <c r="U309"/>
  <c r="U499"/>
  <c r="U325"/>
  <c r="U304"/>
  <c r="U503"/>
  <c r="N294" i="121"/>
  <c r="C295"/>
  <c r="T367" i="116"/>
  <c r="T283"/>
  <c r="T199"/>
  <c r="T115"/>
  <c r="U8"/>
  <c r="T499"/>
  <c r="T372"/>
  <c r="T288"/>
  <c r="T204"/>
  <c r="T120"/>
  <c r="T482"/>
  <c r="T430"/>
  <c r="T346"/>
  <c r="T262"/>
  <c r="T178"/>
  <c r="T94"/>
  <c r="T445"/>
  <c r="T414"/>
  <c r="T330"/>
  <c r="T246"/>
  <c r="T162"/>
  <c r="T42"/>
  <c r="T67"/>
  <c r="T16"/>
  <c r="T466"/>
  <c r="T225"/>
  <c r="T409"/>
  <c r="T351"/>
  <c r="T136"/>
  <c r="T503"/>
  <c r="T440"/>
  <c r="T435"/>
  <c r="T309"/>
  <c r="T304"/>
  <c r="T241"/>
  <c r="T183"/>
  <c r="T388"/>
  <c r="T99"/>
  <c r="T450"/>
  <c r="T393"/>
  <c r="T157"/>
  <c r="T141"/>
  <c r="T220"/>
  <c r="T507"/>
  <c r="T508" s="1"/>
  <c r="T325"/>
  <c r="T267"/>
  <c r="H13" i="103"/>
  <c r="C422" i="119"/>
  <c r="C490" i="118"/>
  <c r="C127" i="116"/>
  <c r="C399" i="120"/>
  <c r="C315" i="121"/>
  <c r="N314"/>
  <c r="C277" i="118"/>
  <c r="C276"/>
  <c r="C475" i="119"/>
  <c r="C476"/>
  <c r="F42" i="43"/>
  <c r="J42"/>
  <c r="C338" i="28"/>
  <c r="T507" i="121"/>
  <c r="T499"/>
  <c r="T503"/>
  <c r="T466"/>
  <c r="T450"/>
  <c r="T445"/>
  <c r="T440"/>
  <c r="T409"/>
  <c r="T435"/>
  <c r="T414"/>
  <c r="T482"/>
  <c r="T393"/>
  <c r="T346"/>
  <c r="T372"/>
  <c r="T367"/>
  <c r="T430"/>
  <c r="T351"/>
  <c r="T330"/>
  <c r="T309"/>
  <c r="T304"/>
  <c r="T267"/>
  <c r="T262"/>
  <c r="T225"/>
  <c r="T283"/>
  <c r="T241"/>
  <c r="T220"/>
  <c r="T204"/>
  <c r="T141"/>
  <c r="T199"/>
  <c r="T325"/>
  <c r="T288"/>
  <c r="T157"/>
  <c r="T136"/>
  <c r="T246"/>
  <c r="T183"/>
  <c r="T388"/>
  <c r="T162"/>
  <c r="T99"/>
  <c r="T94"/>
  <c r="T42"/>
  <c r="T67"/>
  <c r="T178"/>
  <c r="T115"/>
  <c r="T16"/>
  <c r="T120"/>
  <c r="U8"/>
  <c r="C315" i="119"/>
  <c r="C231" i="28"/>
  <c r="C253" i="121"/>
  <c r="N252"/>
  <c r="E13" i="103"/>
  <c r="C148" i="120"/>
  <c r="C190" i="118"/>
  <c r="T450" i="119"/>
  <c r="T507"/>
  <c r="T508" s="1"/>
  <c r="T435"/>
  <c r="T388"/>
  <c r="T304"/>
  <c r="T393"/>
  <c r="T499"/>
  <c r="T430"/>
  <c r="T367"/>
  <c r="T283"/>
  <c r="T351"/>
  <c r="T445"/>
  <c r="T409"/>
  <c r="T220"/>
  <c r="T136"/>
  <c r="T466"/>
  <c r="T346"/>
  <c r="T309"/>
  <c r="T225"/>
  <c r="T141"/>
  <c r="T372"/>
  <c r="T262"/>
  <c r="T199"/>
  <c r="T115"/>
  <c r="U8"/>
  <c r="T330"/>
  <c r="T178"/>
  <c r="T94"/>
  <c r="T16"/>
  <c r="T414"/>
  <c r="T267"/>
  <c r="T99"/>
  <c r="T204"/>
  <c r="T157"/>
  <c r="T440"/>
  <c r="T482"/>
  <c r="T325"/>
  <c r="T288"/>
  <c r="T42"/>
  <c r="T67" s="1"/>
  <c r="T183"/>
  <c r="T241"/>
  <c r="T162"/>
  <c r="T246"/>
  <c r="T120"/>
  <c r="T503"/>
  <c r="C357" i="120"/>
  <c r="C126" i="118"/>
  <c r="C189" i="117"/>
  <c r="C473" i="121"/>
  <c r="N472"/>
  <c r="C400"/>
  <c r="N399"/>
  <c r="C189" i="28"/>
  <c r="C232" i="120"/>
  <c r="C254" i="118"/>
  <c r="C379" i="119"/>
  <c r="C316" i="116"/>
  <c r="I83" i="11"/>
  <c r="N442" i="28" s="1"/>
  <c r="J83" i="11"/>
  <c r="N442" i="116" s="1"/>
  <c r="C297" i="118"/>
  <c r="C298"/>
  <c r="C357" i="121"/>
  <c r="N356"/>
  <c r="C231"/>
  <c r="N230"/>
  <c r="C337" i="119"/>
  <c r="N337" i="121"/>
  <c r="C338"/>
  <c r="C190" i="120"/>
  <c r="C212" i="117"/>
  <c r="C315" i="118"/>
  <c r="C273" i="120"/>
  <c r="C13" i="103"/>
  <c r="C400" i="119"/>
  <c r="C421" i="120"/>
  <c r="O81" i="11"/>
  <c r="C211" i="121"/>
  <c r="N210"/>
  <c r="C169" i="28"/>
  <c r="C401" i="116"/>
  <c r="N188" i="121"/>
  <c r="C189"/>
  <c r="V42" i="1"/>
  <c r="G14" i="103"/>
  <c r="C378" i="118"/>
  <c r="C379" i="116"/>
  <c r="F61" i="43"/>
  <c r="J61"/>
  <c r="M84" i="11"/>
  <c r="N447" i="119" s="1"/>
  <c r="C315" i="28"/>
  <c r="F14" i="103"/>
  <c r="S42" i="1"/>
  <c r="O82" i="11"/>
  <c r="C490" i="28"/>
  <c r="F20" i="43"/>
  <c r="J20"/>
  <c r="S513" i="121"/>
  <c r="C210" i="119"/>
  <c r="C254" i="28"/>
  <c r="C149" i="116"/>
  <c r="N419" i="121"/>
  <c r="C420"/>
  <c r="C106" i="116"/>
  <c r="O37" i="11"/>
  <c r="O56" s="1"/>
  <c r="O24"/>
  <c r="C357" i="116"/>
  <c r="C231" i="117"/>
  <c r="C171" i="120"/>
  <c r="C172"/>
  <c r="L83" i="11"/>
  <c r="N442" i="118" s="1"/>
  <c r="K83" i="11"/>
  <c r="N442" i="117" s="1"/>
  <c r="C274" i="119"/>
  <c r="C254" i="117"/>
  <c r="C275" i="28"/>
  <c r="C231" i="118"/>
  <c r="C253" i="119"/>
  <c r="C105" i="28"/>
  <c r="C490" i="117"/>
  <c r="C273" i="121"/>
  <c r="N272"/>
  <c r="C399" i="117"/>
  <c r="F21" i="43"/>
  <c r="J21"/>
  <c r="C457" i="121"/>
  <c r="N456"/>
  <c r="C231" i="116"/>
  <c r="F85" i="43"/>
  <c r="C147" i="121"/>
  <c r="N146"/>
  <c r="T445" i="118"/>
  <c r="T507"/>
  <c r="T508" s="1"/>
  <c r="T509" s="1"/>
  <c r="T393"/>
  <c r="T309"/>
  <c r="T225"/>
  <c r="T367"/>
  <c r="T499"/>
  <c r="T466"/>
  <c r="T372"/>
  <c r="T288"/>
  <c r="T450"/>
  <c r="T435"/>
  <c r="T351"/>
  <c r="T267"/>
  <c r="T430"/>
  <c r="T330"/>
  <c r="T199"/>
  <c r="T115"/>
  <c r="U8"/>
  <c r="T482"/>
  <c r="T262"/>
  <c r="T241"/>
  <c r="T120"/>
  <c r="T440"/>
  <c r="T325"/>
  <c r="T178"/>
  <c r="T94"/>
  <c r="T409"/>
  <c r="T346"/>
  <c r="T246"/>
  <c r="T162"/>
  <c r="T42"/>
  <c r="T67" s="1"/>
  <c r="T16"/>
  <c r="T304"/>
  <c r="T141"/>
  <c r="T283"/>
  <c r="T157"/>
  <c r="T136"/>
  <c r="T204"/>
  <c r="T99"/>
  <c r="T503"/>
  <c r="T183"/>
  <c r="T220"/>
  <c r="T414"/>
  <c r="T388"/>
  <c r="C458" i="120"/>
  <c r="C274" i="116"/>
  <c r="C191" i="119"/>
  <c r="C379" i="28"/>
  <c r="C105" i="117"/>
  <c r="C210" i="120"/>
  <c r="C190" i="116"/>
  <c r="C380" i="117"/>
  <c r="C126" i="120"/>
  <c r="L84" i="11"/>
  <c r="N447" i="118" s="1"/>
  <c r="K84" i="11"/>
  <c r="N447" i="117" s="1"/>
  <c r="C107" i="119"/>
  <c r="C127" i="117"/>
  <c r="C210" i="116"/>
  <c r="C336" i="117"/>
  <c r="C170" i="121"/>
  <c r="N169"/>
  <c r="C211" i="118"/>
  <c r="C399"/>
  <c r="C457" i="117"/>
  <c r="Q7" i="11"/>
  <c r="Q9" s="1"/>
  <c r="P58"/>
  <c r="P60" s="1"/>
  <c r="P9"/>
  <c r="C106" i="118"/>
  <c r="C359" i="117"/>
  <c r="C476" i="28"/>
  <c r="C475"/>
  <c r="C294" i="116"/>
  <c r="C127" i="121"/>
  <c r="N126"/>
  <c r="C361" i="118"/>
  <c r="C360"/>
  <c r="C149" i="117"/>
  <c r="C127" i="119"/>
  <c r="C337" i="116"/>
  <c r="C105" i="121"/>
  <c r="N104"/>
  <c r="C489" i="116"/>
  <c r="C317" i="117"/>
  <c r="C315" i="120"/>
  <c r="C492"/>
  <c r="C491"/>
  <c r="S509" i="121"/>
  <c r="M42" i="1"/>
  <c r="K85" i="11"/>
  <c r="C400" i="120"/>
  <c r="R7" i="11"/>
  <c r="Q58"/>
  <c r="Q60" s="1"/>
  <c r="C337" i="117"/>
  <c r="C109" i="119"/>
  <c r="C108"/>
  <c r="C211" i="120"/>
  <c r="C275" i="116"/>
  <c r="J85" i="43"/>
  <c r="N84" i="11"/>
  <c r="N447" i="120" s="1"/>
  <c r="F86" i="43"/>
  <c r="J86"/>
  <c r="C106" i="28"/>
  <c r="C150" i="116"/>
  <c r="C151"/>
  <c r="C379" i="118"/>
  <c r="C14" i="103"/>
  <c r="J42" i="1"/>
  <c r="C127" i="118"/>
  <c r="C316" i="119"/>
  <c r="T509" i="121"/>
  <c r="U499" i="116"/>
  <c r="U372"/>
  <c r="U288"/>
  <c r="U204"/>
  <c r="U120"/>
  <c r="U482"/>
  <c r="U430"/>
  <c r="U346"/>
  <c r="U262"/>
  <c r="U178"/>
  <c r="U94"/>
  <c r="U435"/>
  <c r="U351"/>
  <c r="U267"/>
  <c r="U183"/>
  <c r="U99"/>
  <c r="U450"/>
  <c r="U388"/>
  <c r="U304"/>
  <c r="U220"/>
  <c r="U136"/>
  <c r="U445"/>
  <c r="U409"/>
  <c r="U503"/>
  <c r="U440"/>
  <c r="U309"/>
  <c r="U199"/>
  <c r="U162"/>
  <c r="U16"/>
  <c r="V8"/>
  <c r="U507"/>
  <c r="U508"/>
  <c r="U157"/>
  <c r="U367"/>
  <c r="U330"/>
  <c r="U141"/>
  <c r="U246"/>
  <c r="U225"/>
  <c r="U42"/>
  <c r="U67"/>
  <c r="U393"/>
  <c r="U325"/>
  <c r="U283"/>
  <c r="U241"/>
  <c r="U115"/>
  <c r="U414"/>
  <c r="U466"/>
  <c r="C316" i="120"/>
  <c r="F62" i="43"/>
  <c r="J62"/>
  <c r="C382" i="117"/>
  <c r="C381"/>
  <c r="C400"/>
  <c r="C358" i="116"/>
  <c r="J84" i="11"/>
  <c r="N447" i="116" s="1"/>
  <c r="I84" i="11"/>
  <c r="N447" i="28" s="1"/>
  <c r="C338" i="119"/>
  <c r="E14" i="103"/>
  <c r="P42" i="1"/>
  <c r="U499" i="121"/>
  <c r="U503"/>
  <c r="U507"/>
  <c r="U450"/>
  <c r="U466"/>
  <c r="U430"/>
  <c r="U482"/>
  <c r="U388"/>
  <c r="U435"/>
  <c r="U414"/>
  <c r="U409"/>
  <c r="U351"/>
  <c r="U393"/>
  <c r="U346"/>
  <c r="U304"/>
  <c r="U325"/>
  <c r="U440"/>
  <c r="U367"/>
  <c r="U288"/>
  <c r="U330"/>
  <c r="U283"/>
  <c r="U267"/>
  <c r="U199"/>
  <c r="U309"/>
  <c r="U372"/>
  <c r="U246"/>
  <c r="U445"/>
  <c r="U225"/>
  <c r="U241"/>
  <c r="U178"/>
  <c r="U162"/>
  <c r="U204"/>
  <c r="U183"/>
  <c r="U141"/>
  <c r="U262"/>
  <c r="U120"/>
  <c r="U115"/>
  <c r="U220"/>
  <c r="U94"/>
  <c r="U99"/>
  <c r="U157"/>
  <c r="U42"/>
  <c r="U67"/>
  <c r="U16"/>
  <c r="U136"/>
  <c r="V8"/>
  <c r="C423" i="119"/>
  <c r="C424"/>
  <c r="C422" i="117"/>
  <c r="C106" i="121"/>
  <c r="N105"/>
  <c r="C358" i="120"/>
  <c r="C460"/>
  <c r="C459"/>
  <c r="C256" i="28"/>
  <c r="C255"/>
  <c r="C316" i="118"/>
  <c r="C339" i="121"/>
  <c r="N339"/>
  <c r="C340"/>
  <c r="N340"/>
  <c r="N338"/>
  <c r="C148" i="28"/>
  <c r="C256" i="118"/>
  <c r="C255"/>
  <c r="C128" i="116"/>
  <c r="C128" i="119"/>
  <c r="C128" i="121"/>
  <c r="N127"/>
  <c r="C360" i="117"/>
  <c r="C361"/>
  <c r="C400" i="118"/>
  <c r="C211" i="116"/>
  <c r="O84" i="11"/>
  <c r="C458" i="121"/>
  <c r="N457"/>
  <c r="C274"/>
  <c r="N273"/>
  <c r="C232" i="118"/>
  <c r="C277" i="28"/>
  <c r="C276"/>
  <c r="C275" i="119"/>
  <c r="T513" i="121"/>
  <c r="C492" i="28"/>
  <c r="C491"/>
  <c r="L85" i="11"/>
  <c r="C274" i="120"/>
  <c r="C213" i="117"/>
  <c r="C214"/>
  <c r="C317" i="116"/>
  <c r="C474" i="121"/>
  <c r="N473"/>
  <c r="U507" i="119"/>
  <c r="U508"/>
  <c r="U499"/>
  <c r="U503"/>
  <c r="U466"/>
  <c r="U440"/>
  <c r="U393"/>
  <c r="U309"/>
  <c r="U450"/>
  <c r="U430"/>
  <c r="U367"/>
  <c r="U372"/>
  <c r="U288"/>
  <c r="U445"/>
  <c r="U409"/>
  <c r="U325"/>
  <c r="U346"/>
  <c r="U225"/>
  <c r="U141"/>
  <c r="U262"/>
  <c r="U199"/>
  <c r="U115"/>
  <c r="U204"/>
  <c r="U120"/>
  <c r="U435"/>
  <c r="U414"/>
  <c r="U183"/>
  <c r="U99"/>
  <c r="U267"/>
  <c r="V8"/>
  <c r="U157"/>
  <c r="U246"/>
  <c r="U136"/>
  <c r="U94"/>
  <c r="U388"/>
  <c r="U351"/>
  <c r="U42"/>
  <c r="U67"/>
  <c r="U330"/>
  <c r="U220"/>
  <c r="U178"/>
  <c r="U241"/>
  <c r="U16"/>
  <c r="U283"/>
  <c r="U162"/>
  <c r="U304"/>
  <c r="U482"/>
  <c r="C149" i="120"/>
  <c r="C254" i="121"/>
  <c r="N253"/>
  <c r="C274" i="117"/>
  <c r="C172" i="121"/>
  <c r="N172"/>
  <c r="N170"/>
  <c r="C171"/>
  <c r="N171"/>
  <c r="C127" i="120"/>
  <c r="C380" i="28"/>
  <c r="U503" i="118"/>
  <c r="U466"/>
  <c r="U440"/>
  <c r="U450"/>
  <c r="U445"/>
  <c r="U367"/>
  <c r="U283"/>
  <c r="U499"/>
  <c r="U372"/>
  <c r="U430"/>
  <c r="U346"/>
  <c r="U262"/>
  <c r="U507"/>
  <c r="U508" s="1"/>
  <c r="U409"/>
  <c r="U325"/>
  <c r="U241"/>
  <c r="U482"/>
  <c r="U435"/>
  <c r="U120"/>
  <c r="U178"/>
  <c r="U94"/>
  <c r="U414"/>
  <c r="U304"/>
  <c r="U183"/>
  <c r="U99"/>
  <c r="U388"/>
  <c r="U351"/>
  <c r="U267"/>
  <c r="U136"/>
  <c r="U393"/>
  <c r="U330"/>
  <c r="U141"/>
  <c r="U225"/>
  <c r="U42"/>
  <c r="U67"/>
  <c r="U16"/>
  <c r="U204"/>
  <c r="U157"/>
  <c r="U246"/>
  <c r="U220"/>
  <c r="V8"/>
  <c r="U162"/>
  <c r="U115"/>
  <c r="U199"/>
  <c r="U309"/>
  <c r="U288"/>
  <c r="N357" i="121"/>
  <c r="C358"/>
  <c r="C190" i="28"/>
  <c r="C151" i="117"/>
  <c r="C150"/>
  <c r="C232" i="116"/>
  <c r="C401" i="121"/>
  <c r="N400"/>
  <c r="C379"/>
  <c r="N378"/>
  <c r="C319" i="117"/>
  <c r="C318"/>
  <c r="M85" i="11"/>
  <c r="D14" i="103"/>
  <c r="C490" i="116"/>
  <c r="C295"/>
  <c r="O83" i="11"/>
  <c r="C316" i="28"/>
  <c r="C212" i="121"/>
  <c r="N211"/>
  <c r="C401" i="119"/>
  <c r="C232" i="28"/>
  <c r="C316" i="121"/>
  <c r="N315"/>
  <c r="C492" i="118"/>
  <c r="C491"/>
  <c r="V507" i="28"/>
  <c r="V508"/>
  <c r="V509" s="1"/>
  <c r="V393"/>
  <c r="V499"/>
  <c r="V503"/>
  <c r="V466"/>
  <c r="V440"/>
  <c r="V409"/>
  <c r="V430"/>
  <c r="V351"/>
  <c r="V346"/>
  <c r="V288"/>
  <c r="V204"/>
  <c r="V120"/>
  <c r="V450"/>
  <c r="V445"/>
  <c r="V414"/>
  <c r="V262"/>
  <c r="V178"/>
  <c r="V94"/>
  <c r="V372"/>
  <c r="V367"/>
  <c r="V267"/>
  <c r="V183"/>
  <c r="V99"/>
  <c r="V482"/>
  <c r="V304"/>
  <c r="V220"/>
  <c r="V136"/>
  <c r="V388"/>
  <c r="V199"/>
  <c r="V162"/>
  <c r="V16"/>
  <c r="V42"/>
  <c r="V67" s="1"/>
  <c r="V435"/>
  <c r="V283"/>
  <c r="V246"/>
  <c r="V141"/>
  <c r="V241"/>
  <c r="V330"/>
  <c r="V225"/>
  <c r="V157"/>
  <c r="V309"/>
  <c r="V325"/>
  <c r="W8"/>
  <c r="V115"/>
  <c r="C148" i="121"/>
  <c r="N147"/>
  <c r="C232" i="117"/>
  <c r="N420" i="121"/>
  <c r="C421"/>
  <c r="C340" i="28"/>
  <c r="C339"/>
  <c r="C338" i="116"/>
  <c r="C458" i="117"/>
  <c r="C212" i="118"/>
  <c r="C254" i="119"/>
  <c r="C191" i="118"/>
  <c r="N189" i="121"/>
  <c r="C190"/>
  <c r="C402" i="116"/>
  <c r="C403"/>
  <c r="C422" i="120"/>
  <c r="C232" i="121"/>
  <c r="N231"/>
  <c r="C106" i="117"/>
  <c r="C107" i="118"/>
  <c r="P24" i="11"/>
  <c r="P37"/>
  <c r="P56" s="1"/>
  <c r="C128" i="117"/>
  <c r="C191" i="116"/>
  <c r="C193" i="119"/>
  <c r="C192"/>
  <c r="C492" i="117"/>
  <c r="C491"/>
  <c r="C256"/>
  <c r="C255"/>
  <c r="C107" i="116"/>
  <c r="C211" i="119"/>
  <c r="C380" i="116"/>
  <c r="C170" i="28"/>
  <c r="C191" i="120"/>
  <c r="C380" i="119"/>
  <c r="C233" i="120"/>
  <c r="C190" i="117"/>
  <c r="Y42" i="1"/>
  <c r="H14" i="103"/>
  <c r="C296" i="121"/>
  <c r="N295"/>
  <c r="C474" i="120"/>
  <c r="C129" i="119"/>
  <c r="C130"/>
  <c r="C401" i="120"/>
  <c r="C233" i="28"/>
  <c r="C191"/>
  <c r="N274" i="121"/>
  <c r="C275"/>
  <c r="C149" i="28"/>
  <c r="N106" i="121"/>
  <c r="C107"/>
  <c r="C212" i="120"/>
  <c r="C381" i="119"/>
  <c r="C382"/>
  <c r="C192" i="120"/>
  <c r="C193"/>
  <c r="C192" i="116"/>
  <c r="C193"/>
  <c r="C191" i="121"/>
  <c r="N190"/>
  <c r="C459" i="117"/>
  <c r="C460"/>
  <c r="C233"/>
  <c r="C317" i="28"/>
  <c r="C233" i="116"/>
  <c r="C382" i="28"/>
  <c r="C381"/>
  <c r="C255" i="121"/>
  <c r="N255"/>
  <c r="N254"/>
  <c r="C256"/>
  <c r="N256"/>
  <c r="C359" i="120"/>
  <c r="U509" i="121"/>
  <c r="R9" i="11"/>
  <c r="R58"/>
  <c r="R60" s="1"/>
  <c r="S7"/>
  <c r="C213" i="118"/>
  <c r="C214"/>
  <c r="V445"/>
  <c r="V507"/>
  <c r="V508"/>
  <c r="V509" s="1"/>
  <c r="V499"/>
  <c r="V372"/>
  <c r="V288"/>
  <c r="V466"/>
  <c r="V430"/>
  <c r="V346"/>
  <c r="V503"/>
  <c r="V435"/>
  <c r="V351"/>
  <c r="V267"/>
  <c r="V482"/>
  <c r="V440"/>
  <c r="V414"/>
  <c r="V330"/>
  <c r="V246"/>
  <c r="V262"/>
  <c r="V241"/>
  <c r="V178"/>
  <c r="V94"/>
  <c r="V325"/>
  <c r="V304"/>
  <c r="V183"/>
  <c r="V99"/>
  <c r="V450"/>
  <c r="V367"/>
  <c r="V283"/>
  <c r="V220"/>
  <c r="V204"/>
  <c r="V157"/>
  <c r="V309"/>
  <c r="V141"/>
  <c r="V225"/>
  <c r="V42"/>
  <c r="V67"/>
  <c r="V388"/>
  <c r="V162"/>
  <c r="V120"/>
  <c r="V115"/>
  <c r="V136"/>
  <c r="V199"/>
  <c r="V393"/>
  <c r="V409"/>
  <c r="W8"/>
  <c r="V16"/>
  <c r="C318" i="116"/>
  <c r="C319"/>
  <c r="C108" i="118"/>
  <c r="C109"/>
  <c r="N379" i="121"/>
  <c r="C380"/>
  <c r="C235" i="120"/>
  <c r="C234"/>
  <c r="C107" i="117"/>
  <c r="C403" i="121"/>
  <c r="N403"/>
  <c r="N401"/>
  <c r="C402"/>
  <c r="N402"/>
  <c r="C233" i="118"/>
  <c r="C317" i="120"/>
  <c r="C212" i="119"/>
  <c r="C423" i="120"/>
  <c r="C424"/>
  <c r="C192" i="118"/>
  <c r="C193"/>
  <c r="C491" i="116"/>
  <c r="C492"/>
  <c r="V499" i="119"/>
  <c r="V482"/>
  <c r="V445"/>
  <c r="V450"/>
  <c r="V430"/>
  <c r="V367"/>
  <c r="V283"/>
  <c r="V372"/>
  <c r="V346"/>
  <c r="V435"/>
  <c r="V414"/>
  <c r="V330"/>
  <c r="V466"/>
  <c r="V309"/>
  <c r="V262"/>
  <c r="V199"/>
  <c r="V115"/>
  <c r="W8"/>
  <c r="V204"/>
  <c r="V120"/>
  <c r="V507"/>
  <c r="V508"/>
  <c r="V509" s="1"/>
  <c r="V503"/>
  <c r="V288"/>
  <c r="V178"/>
  <c r="V94"/>
  <c r="V440"/>
  <c r="V304"/>
  <c r="V241"/>
  <c r="V157"/>
  <c r="V99"/>
  <c r="V246"/>
  <c r="V136"/>
  <c r="V393"/>
  <c r="V225"/>
  <c r="V267"/>
  <c r="V220"/>
  <c r="V42"/>
  <c r="V67"/>
  <c r="V162"/>
  <c r="V388"/>
  <c r="V351"/>
  <c r="V325"/>
  <c r="V141"/>
  <c r="V409"/>
  <c r="V16"/>
  <c r="V183"/>
  <c r="I85" i="11"/>
  <c r="C276" i="116"/>
  <c r="C277"/>
  <c r="C382"/>
  <c r="C381"/>
  <c r="U513" i="121"/>
  <c r="N232"/>
  <c r="C233"/>
  <c r="C340" i="116"/>
  <c r="C339"/>
  <c r="C403" i="119"/>
  <c r="C402"/>
  <c r="C128" i="120"/>
  <c r="C275" i="117"/>
  <c r="C151" i="120"/>
  <c r="C150"/>
  <c r="C275"/>
  <c r="C401" i="117"/>
  <c r="C476" i="120"/>
  <c r="C475"/>
  <c r="C172" i="28"/>
  <c r="C171"/>
  <c r="C130" i="117"/>
  <c r="C129"/>
  <c r="C256" i="119"/>
  <c r="C255"/>
  <c r="C213" i="121"/>
  <c r="N213"/>
  <c r="N212"/>
  <c r="C214"/>
  <c r="N214"/>
  <c r="C359"/>
  <c r="N358"/>
  <c r="C191" i="117"/>
  <c r="N148" i="121"/>
  <c r="C149"/>
  <c r="C317" i="119"/>
  <c r="W367" i="28"/>
  <c r="W499"/>
  <c r="W482"/>
  <c r="W430"/>
  <c r="W445"/>
  <c r="W414"/>
  <c r="W450"/>
  <c r="W262"/>
  <c r="W178"/>
  <c r="W94"/>
  <c r="W372"/>
  <c r="W267"/>
  <c r="W183"/>
  <c r="W99"/>
  <c r="W440"/>
  <c r="W325"/>
  <c r="W241"/>
  <c r="W157"/>
  <c r="W507"/>
  <c r="W508"/>
  <c r="W509"/>
  <c r="W435"/>
  <c r="W388"/>
  <c r="W309"/>
  <c r="W225"/>
  <c r="W141"/>
  <c r="W283"/>
  <c r="W246"/>
  <c r="W466"/>
  <c r="W220"/>
  <c r="W304"/>
  <c r="W16"/>
  <c r="W409"/>
  <c r="W346"/>
  <c r="W330"/>
  <c r="W288"/>
  <c r="W136"/>
  <c r="W42"/>
  <c r="W67"/>
  <c r="W351"/>
  <c r="W393"/>
  <c r="W503"/>
  <c r="W120"/>
  <c r="X8"/>
  <c r="W204"/>
  <c r="W115"/>
  <c r="W199"/>
  <c r="W162"/>
  <c r="C296" i="116"/>
  <c r="N474" i="121"/>
  <c r="C475"/>
  <c r="N475"/>
  <c r="C476"/>
  <c r="N476"/>
  <c r="C459"/>
  <c r="N459"/>
  <c r="N458"/>
  <c r="C460"/>
  <c r="N460"/>
  <c r="N85" i="11"/>
  <c r="C298" i="121"/>
  <c r="N298"/>
  <c r="N296"/>
  <c r="C297"/>
  <c r="N297"/>
  <c r="C108" i="116"/>
  <c r="C109"/>
  <c r="N421" i="121"/>
  <c r="C422"/>
  <c r="C317"/>
  <c r="N316"/>
  <c r="C276" i="119"/>
  <c r="C277"/>
  <c r="C317" i="118"/>
  <c r="C359" i="116"/>
  <c r="V482"/>
  <c r="V430"/>
  <c r="V346"/>
  <c r="V262"/>
  <c r="V178"/>
  <c r="V94"/>
  <c r="V435"/>
  <c r="V351"/>
  <c r="V267"/>
  <c r="V183"/>
  <c r="V99"/>
  <c r="V503"/>
  <c r="V466"/>
  <c r="V440"/>
  <c r="V409"/>
  <c r="V325"/>
  <c r="V241"/>
  <c r="V157"/>
  <c r="V507"/>
  <c r="V508"/>
  <c r="V509"/>
  <c r="V393"/>
  <c r="V309"/>
  <c r="V225"/>
  <c r="V141"/>
  <c r="V204"/>
  <c r="V199"/>
  <c r="V162"/>
  <c r="V136"/>
  <c r="V16"/>
  <c r="W8"/>
  <c r="V499"/>
  <c r="V288"/>
  <c r="V283"/>
  <c r="V246"/>
  <c r="V220"/>
  <c r="V450"/>
  <c r="V42"/>
  <c r="V67" s="1"/>
  <c r="V330"/>
  <c r="V414"/>
  <c r="V304"/>
  <c r="V388"/>
  <c r="V445"/>
  <c r="V367"/>
  <c r="V115"/>
  <c r="V372"/>
  <c r="V120"/>
  <c r="C212"/>
  <c r="C130"/>
  <c r="C129"/>
  <c r="C424" i="117"/>
  <c r="C423"/>
  <c r="N128" i="121"/>
  <c r="C130"/>
  <c r="N130"/>
  <c r="C129"/>
  <c r="N129"/>
  <c r="C380" i="118"/>
  <c r="C338" i="117"/>
  <c r="C401" i="118"/>
  <c r="V507" i="121"/>
  <c r="V499"/>
  <c r="V503"/>
  <c r="V466"/>
  <c r="V482"/>
  <c r="V430"/>
  <c r="V445"/>
  <c r="V435"/>
  <c r="V393"/>
  <c r="V409"/>
  <c r="V450"/>
  <c r="V440"/>
  <c r="V309"/>
  <c r="V414"/>
  <c r="V367"/>
  <c r="V372"/>
  <c r="V304"/>
  <c r="V388"/>
  <c r="V346"/>
  <c r="V325"/>
  <c r="V262"/>
  <c r="V283"/>
  <c r="V204"/>
  <c r="V351"/>
  <c r="V330"/>
  <c r="V220"/>
  <c r="V199"/>
  <c r="V267"/>
  <c r="V241"/>
  <c r="V178"/>
  <c r="V183"/>
  <c r="V246"/>
  <c r="V136"/>
  <c r="V157"/>
  <c r="V288"/>
  <c r="V99"/>
  <c r="V225"/>
  <c r="V115"/>
  <c r="V94"/>
  <c r="V42"/>
  <c r="V67"/>
  <c r="V162"/>
  <c r="V16"/>
  <c r="W8"/>
  <c r="V141"/>
  <c r="V120"/>
  <c r="C339" i="119"/>
  <c r="C340"/>
  <c r="C128" i="118"/>
  <c r="C107" i="28"/>
  <c r="C424" i="121"/>
  <c r="N424"/>
  <c r="C423"/>
  <c r="N423"/>
  <c r="N422"/>
  <c r="C319" i="119"/>
  <c r="C318"/>
  <c r="C192" i="117"/>
  <c r="C193"/>
  <c r="C235" i="118"/>
  <c r="C234"/>
  <c r="C213" i="119"/>
  <c r="C214"/>
  <c r="C214" i="120"/>
  <c r="C213"/>
  <c r="C109" i="121"/>
  <c r="N109"/>
  <c r="C108"/>
  <c r="N108"/>
  <c r="N107"/>
  <c r="C360" i="116"/>
  <c r="C361"/>
  <c r="C150" i="121"/>
  <c r="N150"/>
  <c r="C151"/>
  <c r="N151"/>
  <c r="N149"/>
  <c r="C277" i="120"/>
  <c r="C276"/>
  <c r="W499" i="119"/>
  <c r="W482"/>
  <c r="W435"/>
  <c r="W450"/>
  <c r="W372"/>
  <c r="W288"/>
  <c r="W346"/>
  <c r="W503"/>
  <c r="W466"/>
  <c r="W351"/>
  <c r="W267"/>
  <c r="W440"/>
  <c r="W388"/>
  <c r="W304"/>
  <c r="W204"/>
  <c r="W120"/>
  <c r="W507"/>
  <c r="W508"/>
  <c r="W509" s="1"/>
  <c r="W178"/>
  <c r="W94"/>
  <c r="W367"/>
  <c r="W330"/>
  <c r="W183"/>
  <c r="W99"/>
  <c r="W430"/>
  <c r="W393"/>
  <c r="W246"/>
  <c r="W162"/>
  <c r="W42"/>
  <c r="W67" s="1"/>
  <c r="W16"/>
  <c r="W414"/>
  <c r="W262"/>
  <c r="W157"/>
  <c r="W136"/>
  <c r="W199"/>
  <c r="W409"/>
  <c r="W241"/>
  <c r="W220"/>
  <c r="W445"/>
  <c r="W115"/>
  <c r="W325"/>
  <c r="W141"/>
  <c r="W225"/>
  <c r="X8"/>
  <c r="W309"/>
  <c r="W283"/>
  <c r="C193" i="121"/>
  <c r="N193"/>
  <c r="C192"/>
  <c r="N192"/>
  <c r="N191"/>
  <c r="C403" i="120"/>
  <c r="C402"/>
  <c r="C318" i="121"/>
  <c r="N318"/>
  <c r="N317"/>
  <c r="C319"/>
  <c r="N319"/>
  <c r="N233"/>
  <c r="C235"/>
  <c r="N235"/>
  <c r="R235" s="1"/>
  <c r="C234"/>
  <c r="N234"/>
  <c r="C318" i="120"/>
  <c r="C319"/>
  <c r="S9" i="11"/>
  <c r="T7"/>
  <c r="S58"/>
  <c r="S60" s="1"/>
  <c r="C318" i="28"/>
  <c r="C319"/>
  <c r="W435" i="116"/>
  <c r="W351"/>
  <c r="W267"/>
  <c r="W183"/>
  <c r="W99"/>
  <c r="W503"/>
  <c r="W466"/>
  <c r="W440"/>
  <c r="W409"/>
  <c r="W325"/>
  <c r="W241"/>
  <c r="W157"/>
  <c r="W445"/>
  <c r="W414"/>
  <c r="W330"/>
  <c r="W246"/>
  <c r="W162"/>
  <c r="W42"/>
  <c r="W67" s="1"/>
  <c r="W16"/>
  <c r="W367"/>
  <c r="W283"/>
  <c r="W199"/>
  <c r="W115"/>
  <c r="X8"/>
  <c r="W499"/>
  <c r="W309"/>
  <c r="W507"/>
  <c r="W508"/>
  <c r="W509" s="1"/>
  <c r="W346"/>
  <c r="W288"/>
  <c r="W220"/>
  <c r="W430"/>
  <c r="W393"/>
  <c r="W388"/>
  <c r="W178"/>
  <c r="W120"/>
  <c r="W204"/>
  <c r="W225"/>
  <c r="W262"/>
  <c r="W94"/>
  <c r="W450"/>
  <c r="W304"/>
  <c r="W136"/>
  <c r="W372"/>
  <c r="W482"/>
  <c r="W141"/>
  <c r="C319" i="118"/>
  <c r="C318"/>
  <c r="C235" i="28"/>
  <c r="C234"/>
  <c r="C130" i="120"/>
  <c r="C129"/>
  <c r="C382" i="121"/>
  <c r="N382"/>
  <c r="N380"/>
  <c r="C381"/>
  <c r="N381"/>
  <c r="C403" i="118"/>
  <c r="C402"/>
  <c r="C298" i="116"/>
  <c r="C297"/>
  <c r="X499" i="28"/>
  <c r="X372"/>
  <c r="X482"/>
  <c r="X430"/>
  <c r="X435"/>
  <c r="X450"/>
  <c r="X388"/>
  <c r="X445"/>
  <c r="X414"/>
  <c r="X267"/>
  <c r="X183"/>
  <c r="X99"/>
  <c r="X440"/>
  <c r="X367"/>
  <c r="X325"/>
  <c r="X241"/>
  <c r="X157"/>
  <c r="X503"/>
  <c r="X330"/>
  <c r="X246"/>
  <c r="X162"/>
  <c r="X42"/>
  <c r="X67" s="1"/>
  <c r="X16"/>
  <c r="X466"/>
  <c r="X283"/>
  <c r="X199"/>
  <c r="X115"/>
  <c r="Y8"/>
  <c r="X409"/>
  <c r="X346"/>
  <c r="X141"/>
  <c r="X351"/>
  <c r="X304"/>
  <c r="X262"/>
  <c r="X120"/>
  <c r="X225"/>
  <c r="X136"/>
  <c r="X178"/>
  <c r="X309"/>
  <c r="X220"/>
  <c r="X94"/>
  <c r="X204"/>
  <c r="X507"/>
  <c r="X508"/>
  <c r="X509" s="1"/>
  <c r="X393"/>
  <c r="X288"/>
  <c r="N275" i="121"/>
  <c r="C277"/>
  <c r="N277"/>
  <c r="C276"/>
  <c r="N276"/>
  <c r="C214" i="116"/>
  <c r="C213"/>
  <c r="C402" i="117"/>
  <c r="C403"/>
  <c r="C235"/>
  <c r="C234"/>
  <c r="C151" i="28"/>
  <c r="C150"/>
  <c r="C193"/>
  <c r="C192"/>
  <c r="W450" i="118"/>
  <c r="W482"/>
  <c r="W499"/>
  <c r="W466"/>
  <c r="W430"/>
  <c r="W346"/>
  <c r="W262"/>
  <c r="W503"/>
  <c r="W435"/>
  <c r="W351"/>
  <c r="W409"/>
  <c r="W325"/>
  <c r="W241"/>
  <c r="W388"/>
  <c r="W304"/>
  <c r="W220"/>
  <c r="W183"/>
  <c r="W99"/>
  <c r="W445"/>
  <c r="W440"/>
  <c r="W414"/>
  <c r="W372"/>
  <c r="W367"/>
  <c r="W283"/>
  <c r="W204"/>
  <c r="W157"/>
  <c r="W507"/>
  <c r="W508"/>
  <c r="W509"/>
  <c r="W393"/>
  <c r="W162"/>
  <c r="W42"/>
  <c r="W67"/>
  <c r="W16"/>
  <c r="W288"/>
  <c r="W225"/>
  <c r="W199"/>
  <c r="W115"/>
  <c r="X8"/>
  <c r="W141"/>
  <c r="W120"/>
  <c r="W246"/>
  <c r="W178"/>
  <c r="W330"/>
  <c r="W309"/>
  <c r="W267"/>
  <c r="W94"/>
  <c r="W136"/>
  <c r="C381"/>
  <c r="C382"/>
  <c r="C340" i="117"/>
  <c r="C339"/>
  <c r="C361" i="120"/>
  <c r="C360"/>
  <c r="C234" i="116"/>
  <c r="C235"/>
  <c r="C109" i="28"/>
  <c r="C108"/>
  <c r="V509" i="121"/>
  <c r="C130" i="118"/>
  <c r="C129"/>
  <c r="W507" i="121"/>
  <c r="W445"/>
  <c r="W435"/>
  <c r="W409"/>
  <c r="W499"/>
  <c r="W450"/>
  <c r="W482"/>
  <c r="W440"/>
  <c r="W414"/>
  <c r="W367"/>
  <c r="W503"/>
  <c r="W430"/>
  <c r="W388"/>
  <c r="W466"/>
  <c r="W372"/>
  <c r="W283"/>
  <c r="W288"/>
  <c r="W304"/>
  <c r="W267"/>
  <c r="W346"/>
  <c r="W309"/>
  <c r="W351"/>
  <c r="W330"/>
  <c r="W225"/>
  <c r="W393"/>
  <c r="W241"/>
  <c r="W178"/>
  <c r="W183"/>
  <c r="W157"/>
  <c r="W141"/>
  <c r="W262"/>
  <c r="W246"/>
  <c r="W120"/>
  <c r="W115"/>
  <c r="W325"/>
  <c r="W94"/>
  <c r="W199"/>
  <c r="W136"/>
  <c r="W42"/>
  <c r="W67"/>
  <c r="W204"/>
  <c r="W162"/>
  <c r="W99"/>
  <c r="W16"/>
  <c r="W220"/>
  <c r="X8"/>
  <c r="C360"/>
  <c r="N360"/>
  <c r="U360" s="1"/>
  <c r="N359"/>
  <c r="C361"/>
  <c r="N361"/>
  <c r="C276" i="117"/>
  <c r="C277"/>
  <c r="C108"/>
  <c r="C109"/>
  <c r="R24" i="11"/>
  <c r="R37"/>
  <c r="R56" s="1"/>
  <c r="X503" i="116"/>
  <c r="X466"/>
  <c r="X440"/>
  <c r="X409"/>
  <c r="X325"/>
  <c r="X241"/>
  <c r="X157"/>
  <c r="X445"/>
  <c r="X414"/>
  <c r="X330"/>
  <c r="X246"/>
  <c r="X162"/>
  <c r="X42"/>
  <c r="X67"/>
  <c r="X16"/>
  <c r="X450"/>
  <c r="X388"/>
  <c r="X304"/>
  <c r="X220"/>
  <c r="X136"/>
  <c r="X499"/>
  <c r="X372"/>
  <c r="X288"/>
  <c r="X204"/>
  <c r="X120"/>
  <c r="X507"/>
  <c r="X508"/>
  <c r="X509"/>
  <c r="X351"/>
  <c r="X346"/>
  <c r="X435"/>
  <c r="X430"/>
  <c r="X393"/>
  <c r="X283"/>
  <c r="X99"/>
  <c r="X94"/>
  <c r="X225"/>
  <c r="X115"/>
  <c r="X178"/>
  <c r="X199"/>
  <c r="X309"/>
  <c r="X262"/>
  <c r="X183"/>
  <c r="Y8"/>
  <c r="X482"/>
  <c r="X267"/>
  <c r="X141"/>
  <c r="X367"/>
  <c r="X507" i="118"/>
  <c r="X508"/>
  <c r="X509"/>
  <c r="X499"/>
  <c r="X503"/>
  <c r="X435"/>
  <c r="X351"/>
  <c r="X267"/>
  <c r="X409"/>
  <c r="X325"/>
  <c r="X450"/>
  <c r="X440"/>
  <c r="X414"/>
  <c r="X330"/>
  <c r="X246"/>
  <c r="X393"/>
  <c r="X309"/>
  <c r="X225"/>
  <c r="X466"/>
  <c r="X445"/>
  <c r="X372"/>
  <c r="X367"/>
  <c r="X304"/>
  <c r="X283"/>
  <c r="X204"/>
  <c r="X157"/>
  <c r="X220"/>
  <c r="X162"/>
  <c r="X42"/>
  <c r="X67"/>
  <c r="X136"/>
  <c r="X120"/>
  <c r="X430"/>
  <c r="X388"/>
  <c r="X115"/>
  <c r="X16"/>
  <c r="X482"/>
  <c r="X199"/>
  <c r="Y8"/>
  <c r="X346"/>
  <c r="X262"/>
  <c r="X178"/>
  <c r="X99"/>
  <c r="X288"/>
  <c r="X141"/>
  <c r="X94"/>
  <c r="X183"/>
  <c r="X241"/>
  <c r="X499" i="121"/>
  <c r="X503"/>
  <c r="X507"/>
  <c r="X482"/>
  <c r="X414"/>
  <c r="X466"/>
  <c r="X435"/>
  <c r="X450"/>
  <c r="X409"/>
  <c r="X388"/>
  <c r="X372"/>
  <c r="X445"/>
  <c r="X393"/>
  <c r="X325"/>
  <c r="X440"/>
  <c r="X367"/>
  <c r="X288"/>
  <c r="X351"/>
  <c r="X346"/>
  <c r="X330"/>
  <c r="X304"/>
  <c r="X309"/>
  <c r="X241"/>
  <c r="X246"/>
  <c r="X262"/>
  <c r="X199"/>
  <c r="X267"/>
  <c r="X183"/>
  <c r="X430"/>
  <c r="X283"/>
  <c r="X162"/>
  <c r="X220"/>
  <c r="X204"/>
  <c r="X157"/>
  <c r="X99"/>
  <c r="X178"/>
  <c r="X225"/>
  <c r="X136"/>
  <c r="X42"/>
  <c r="X67" s="1"/>
  <c r="X141"/>
  <c r="X120"/>
  <c r="X94"/>
  <c r="Y8"/>
  <c r="X16"/>
  <c r="X115"/>
  <c r="U7" i="11"/>
  <c r="T58"/>
  <c r="T60"/>
  <c r="T9"/>
  <c r="X482" i="119"/>
  <c r="X503"/>
  <c r="X466"/>
  <c r="X440"/>
  <c r="X507"/>
  <c r="X508" s="1"/>
  <c r="X509" s="1"/>
  <c r="X346"/>
  <c r="X262"/>
  <c r="X499"/>
  <c r="X351"/>
  <c r="X409"/>
  <c r="X325"/>
  <c r="X393"/>
  <c r="X309"/>
  <c r="X450"/>
  <c r="X178"/>
  <c r="X94"/>
  <c r="X372"/>
  <c r="X367"/>
  <c r="X330"/>
  <c r="X288"/>
  <c r="X183"/>
  <c r="X99"/>
  <c r="X414"/>
  <c r="X241"/>
  <c r="X157"/>
  <c r="X388"/>
  <c r="X267"/>
  <c r="X220"/>
  <c r="X136"/>
  <c r="X246"/>
  <c r="X435"/>
  <c r="X204"/>
  <c r="X199"/>
  <c r="X225"/>
  <c r="X42"/>
  <c r="X67" s="1"/>
  <c r="X162"/>
  <c r="X120"/>
  <c r="X115"/>
  <c r="X430"/>
  <c r="X283"/>
  <c r="X141"/>
  <c r="X304"/>
  <c r="X445"/>
  <c r="X16"/>
  <c r="Y8"/>
  <c r="W509" i="121"/>
  <c r="Y482" i="28"/>
  <c r="Y430"/>
  <c r="Y346"/>
  <c r="Y435"/>
  <c r="Y503"/>
  <c r="Y466"/>
  <c r="Y440"/>
  <c r="Y507"/>
  <c r="Y508" s="1"/>
  <c r="Y509" s="1"/>
  <c r="Y393"/>
  <c r="Y372"/>
  <c r="Y367"/>
  <c r="Y325"/>
  <c r="Y241"/>
  <c r="Y157"/>
  <c r="Y330"/>
  <c r="Y246"/>
  <c r="Y162"/>
  <c r="Y42"/>
  <c r="Y67" s="1"/>
  <c r="Y16"/>
  <c r="Y499"/>
  <c r="Y409"/>
  <c r="Y304"/>
  <c r="Y220"/>
  <c r="Y136"/>
  <c r="Y351"/>
  <c r="Y288"/>
  <c r="Y204"/>
  <c r="Y120"/>
  <c r="Y450"/>
  <c r="Y225"/>
  <c r="Y445"/>
  <c r="Y309"/>
  <c r="Y99"/>
  <c r="Y94"/>
  <c r="Y267"/>
  <c r="Z8"/>
  <c r="Y141"/>
  <c r="Y183"/>
  <c r="Y178"/>
  <c r="Y262"/>
  <c r="Y388"/>
  <c r="Y414"/>
  <c r="Y115"/>
  <c r="Y199"/>
  <c r="Y283"/>
  <c r="S37" i="11"/>
  <c r="S56" s="1"/>
  <c r="S24"/>
  <c r="U58"/>
  <c r="U60"/>
  <c r="V7"/>
  <c r="U9"/>
  <c r="Y438" i="121"/>
  <c r="Y437"/>
  <c r="Y448"/>
  <c r="Y447" s="1"/>
  <c r="Y412"/>
  <c r="Y443"/>
  <c r="Y442" s="1"/>
  <c r="Y391"/>
  <c r="Y328"/>
  <c r="Y286"/>
  <c r="Y307"/>
  <c r="Y244"/>
  <c r="Y433"/>
  <c r="Y432"/>
  <c r="Y160"/>
  <c r="Y181"/>
  <c r="Y202"/>
  <c r="Y370"/>
  <c r="Y223"/>
  <c r="Y97"/>
  <c r="Y265"/>
  <c r="Y139"/>
  <c r="Y443" i="120"/>
  <c r="Y412"/>
  <c r="Y349" i="121"/>
  <c r="Y118"/>
  <c r="Y391" i="120"/>
  <c r="Y328"/>
  <c r="Y307"/>
  <c r="Y202"/>
  <c r="Y265"/>
  <c r="Y286"/>
  <c r="Y370"/>
  <c r="Y139"/>
  <c r="Y349"/>
  <c r="Y223"/>
  <c r="Y118"/>
  <c r="Y244"/>
  <c r="Y97"/>
  <c r="Y433"/>
  <c r="Y181"/>
  <c r="Y448" i="119"/>
  <c r="Y448" i="120"/>
  <c r="Y160"/>
  <c r="Y412" i="119"/>
  <c r="Y328"/>
  <c r="Y433"/>
  <c r="Y370"/>
  <c r="Y286"/>
  <c r="Y307"/>
  <c r="Y244"/>
  <c r="Y160"/>
  <c r="Y443"/>
  <c r="Y391"/>
  <c r="Y265"/>
  <c r="Y443" i="118"/>
  <c r="Y97" i="119"/>
  <c r="Y412" i="118"/>
  <c r="Y328"/>
  <c r="Y244"/>
  <c r="Y438" i="119"/>
  <c r="Y223"/>
  <c r="Y118"/>
  <c r="Y391" i="118"/>
  <c r="Y307"/>
  <c r="Y223"/>
  <c r="Y349" i="119"/>
  <c r="Y448" i="118"/>
  <c r="Y370"/>
  <c r="Y286"/>
  <c r="Y202"/>
  <c r="Y438" i="120"/>
  <c r="Y139" i="118"/>
  <c r="Y181" i="119"/>
  <c r="Y181" i="118"/>
  <c r="Y97"/>
  <c r="Y265"/>
  <c r="Y349"/>
  <c r="Y433" i="117"/>
  <c r="Y349"/>
  <c r="Y160" i="118"/>
  <c r="Y438" i="117"/>
  <c r="Y202" i="119"/>
  <c r="Y139"/>
  <c r="Y438" i="118"/>
  <c r="Y433"/>
  <c r="Y391" i="117"/>
  <c r="Y307"/>
  <c r="Y202"/>
  <c r="Y118"/>
  <c r="Y412"/>
  <c r="Y244"/>
  <c r="Y118" i="118"/>
  <c r="Y448" i="116"/>
  <c r="Y433" i="28"/>
  <c r="Y349"/>
  <c r="Y328" i="117"/>
  <c r="Y265"/>
  <c r="Y223"/>
  <c r="Y391" i="116"/>
  <c r="Y307"/>
  <c r="Y223"/>
  <c r="Y139"/>
  <c r="Y438" i="28"/>
  <c r="Y443"/>
  <c r="Y412"/>
  <c r="Y433" i="116"/>
  <c r="Y349"/>
  <c r="Y265"/>
  <c r="Y181"/>
  <c r="Y97"/>
  <c r="Y448" i="117"/>
  <c r="Y443"/>
  <c r="Y160" i="116"/>
  <c r="Y328" i="28"/>
  <c r="Y244"/>
  <c r="Y160"/>
  <c r="Y160" i="117"/>
  <c r="Y370" i="116"/>
  <c r="Y244"/>
  <c r="Y307" i="28"/>
  <c r="Y223"/>
  <c r="Y139"/>
  <c r="Y286" i="117"/>
  <c r="Y202" i="116"/>
  <c r="Y286"/>
  <c r="Y97" i="28"/>
  <c r="Y391"/>
  <c r="Y118"/>
  <c r="Y448"/>
  <c r="Y443" i="116"/>
  <c r="Y328"/>
  <c r="Y181" i="28"/>
  <c r="Y97" i="117"/>
  <c r="Y412" i="116"/>
  <c r="Y370" i="117"/>
  <c r="Y370" i="28"/>
  <c r="Y438" i="116"/>
  <c r="Y265" i="28"/>
  <c r="Y181" i="117"/>
  <c r="Y139"/>
  <c r="Y202" i="28"/>
  <c r="Y118" i="116"/>
  <c r="Y286" i="28"/>
  <c r="X513" i="121"/>
  <c r="Y445" i="116"/>
  <c r="Y414"/>
  <c r="Y330"/>
  <c r="Y246"/>
  <c r="Y162"/>
  <c r="Y42"/>
  <c r="Y67" s="1"/>
  <c r="Y16"/>
  <c r="Y450"/>
  <c r="Y388"/>
  <c r="Y304"/>
  <c r="Y220"/>
  <c r="Y136"/>
  <c r="Y507"/>
  <c r="Y508" s="1"/>
  <c r="Y509" s="1"/>
  <c r="Y393"/>
  <c r="Y309"/>
  <c r="Y225"/>
  <c r="Y141"/>
  <c r="Y482"/>
  <c r="Y430"/>
  <c r="Y346"/>
  <c r="Y262"/>
  <c r="Y178"/>
  <c r="Y94"/>
  <c r="Y503"/>
  <c r="Y440"/>
  <c r="Y435"/>
  <c r="Y288"/>
  <c r="Y283"/>
  <c r="Y157"/>
  <c r="Y99"/>
  <c r="Y372"/>
  <c r="Y367"/>
  <c r="Y325"/>
  <c r="Y267"/>
  <c r="Y204"/>
  <c r="Y351"/>
  <c r="Y499"/>
  <c r="Y241"/>
  <c r="Y183"/>
  <c r="Y115"/>
  <c r="Y199"/>
  <c r="Y409"/>
  <c r="Y466"/>
  <c r="Y120"/>
  <c r="Z8"/>
  <c r="Z435" i="28"/>
  <c r="Z351"/>
  <c r="Z503"/>
  <c r="Z466"/>
  <c r="Z440"/>
  <c r="Z445"/>
  <c r="Z414"/>
  <c r="Z367"/>
  <c r="Z330"/>
  <c r="Z246"/>
  <c r="Z162"/>
  <c r="Z42"/>
  <c r="Z67"/>
  <c r="Z16"/>
  <c r="Z499"/>
  <c r="Z409"/>
  <c r="Z304"/>
  <c r="Z220"/>
  <c r="Z136"/>
  <c r="Z393"/>
  <c r="Z309"/>
  <c r="Z225"/>
  <c r="Z141"/>
  <c r="Z346"/>
  <c r="Z262"/>
  <c r="Z178"/>
  <c r="Z94"/>
  <c r="Z482"/>
  <c r="Z99"/>
  <c r="Z372"/>
  <c r="Z204"/>
  <c r="Z115"/>
  <c r="Z183"/>
  <c r="Z157"/>
  <c r="Z430"/>
  <c r="Z325"/>
  <c r="Z267"/>
  <c r="Z241"/>
  <c r="Z120"/>
  <c r="AA8"/>
  <c r="Z450"/>
  <c r="Z507"/>
  <c r="Z508"/>
  <c r="Z509" s="1"/>
  <c r="Z288"/>
  <c r="Z199"/>
  <c r="Z388"/>
  <c r="Z283"/>
  <c r="Y503" i="121"/>
  <c r="Y507"/>
  <c r="Y482"/>
  <c r="Y440"/>
  <c r="Y499"/>
  <c r="Y430"/>
  <c r="Y445"/>
  <c r="Y466"/>
  <c r="Y450"/>
  <c r="Y330"/>
  <c r="Y388"/>
  <c r="Y435"/>
  <c r="Y409"/>
  <c r="Y367"/>
  <c r="Y393"/>
  <c r="Y351"/>
  <c r="Y325"/>
  <c r="Y309"/>
  <c r="Y304"/>
  <c r="Y414"/>
  <c r="Y283"/>
  <c r="Y372"/>
  <c r="Y241"/>
  <c r="Y246"/>
  <c r="Y288"/>
  <c r="Y267"/>
  <c r="Y204"/>
  <c r="Y157"/>
  <c r="Y346"/>
  <c r="Y262"/>
  <c r="Y225"/>
  <c r="Y120"/>
  <c r="Y94"/>
  <c r="Y220"/>
  <c r="Y199"/>
  <c r="Y162"/>
  <c r="Y136"/>
  <c r="Y42"/>
  <c r="Y67"/>
  <c r="Y115"/>
  <c r="Y178"/>
  <c r="Y183"/>
  <c r="Z8"/>
  <c r="Y141"/>
  <c r="Y99"/>
  <c r="Y16"/>
  <c r="X509"/>
  <c r="Y503" i="119"/>
  <c r="Y445"/>
  <c r="Y499"/>
  <c r="Y351"/>
  <c r="Y267"/>
  <c r="Y466"/>
  <c r="Y409"/>
  <c r="Y325"/>
  <c r="Y507"/>
  <c r="Y508"/>
  <c r="Y509" s="1"/>
  <c r="Y482"/>
  <c r="Y414"/>
  <c r="Y330"/>
  <c r="Y430"/>
  <c r="Y367"/>
  <c r="Y283"/>
  <c r="Y372"/>
  <c r="Y288"/>
  <c r="Y183"/>
  <c r="Y99"/>
  <c r="Y241"/>
  <c r="Y157"/>
  <c r="Y435"/>
  <c r="Y304"/>
  <c r="Y246"/>
  <c r="Y162"/>
  <c r="Y42"/>
  <c r="Y67" s="1"/>
  <c r="Y16"/>
  <c r="Y225"/>
  <c r="Y141"/>
  <c r="Y204"/>
  <c r="Y199"/>
  <c r="Y393"/>
  <c r="Y94"/>
  <c r="Y388"/>
  <c r="Y220"/>
  <c r="Y440"/>
  <c r="Y178"/>
  <c r="Y450"/>
  <c r="Y309"/>
  <c r="Y136"/>
  <c r="Z8"/>
  <c r="Y346"/>
  <c r="Y115"/>
  <c r="Y262"/>
  <c r="Y120"/>
  <c r="T37" i="11"/>
  <c r="T56" s="1"/>
  <c r="T24"/>
  <c r="Y482" i="118"/>
  <c r="Y503"/>
  <c r="Y466"/>
  <c r="Y440"/>
  <c r="Y409"/>
  <c r="Y325"/>
  <c r="Y241"/>
  <c r="Y450"/>
  <c r="Y414"/>
  <c r="Y330"/>
  <c r="Y507"/>
  <c r="Y508"/>
  <c r="Y509" s="1"/>
  <c r="Y388"/>
  <c r="Y304"/>
  <c r="Y220"/>
  <c r="Y367"/>
  <c r="Y283"/>
  <c r="Y199"/>
  <c r="Y162"/>
  <c r="Y42"/>
  <c r="Y67"/>
  <c r="Y16"/>
  <c r="Y393"/>
  <c r="Y136"/>
  <c r="Y246"/>
  <c r="Y141"/>
  <c r="Y178"/>
  <c r="Y94"/>
  <c r="Y225"/>
  <c r="Y120"/>
  <c r="Y115"/>
  <c r="Y351"/>
  <c r="Y346"/>
  <c r="Y288"/>
  <c r="Y204"/>
  <c r="Y445"/>
  <c r="Y309"/>
  <c r="Y267"/>
  <c r="Y262"/>
  <c r="Y183"/>
  <c r="Y99"/>
  <c r="Y430"/>
  <c r="Y372"/>
  <c r="Y157"/>
  <c r="Y435"/>
  <c r="Y499"/>
  <c r="Z8"/>
  <c r="Z503" i="119"/>
  <c r="Z466"/>
  <c r="Z450"/>
  <c r="Z499"/>
  <c r="Z409"/>
  <c r="Z325"/>
  <c r="Z507"/>
  <c r="Z508"/>
  <c r="Z509" s="1"/>
  <c r="Z482"/>
  <c r="Z414"/>
  <c r="Z330"/>
  <c r="Z445"/>
  <c r="Z435"/>
  <c r="Z388"/>
  <c r="Z304"/>
  <c r="Z372"/>
  <c r="Z288"/>
  <c r="Z367"/>
  <c r="Z241"/>
  <c r="Z157"/>
  <c r="Z246"/>
  <c r="Z162"/>
  <c r="Z42"/>
  <c r="Z67" s="1"/>
  <c r="Z440"/>
  <c r="Z430"/>
  <c r="Z393"/>
  <c r="Z220"/>
  <c r="Z136"/>
  <c r="Z283"/>
  <c r="Z199"/>
  <c r="Z115"/>
  <c r="AA8"/>
  <c r="Z94"/>
  <c r="Z225"/>
  <c r="Z351"/>
  <c r="Z120"/>
  <c r="Z309"/>
  <c r="Z183"/>
  <c r="Z141"/>
  <c r="Z16"/>
  <c r="Z178"/>
  <c r="Z346"/>
  <c r="Z99"/>
  <c r="Z262"/>
  <c r="Z267"/>
  <c r="Z204"/>
  <c r="U37" i="11"/>
  <c r="U56" s="1"/>
  <c r="U24"/>
  <c r="Z450" i="116"/>
  <c r="Z388"/>
  <c r="Z304"/>
  <c r="Z220"/>
  <c r="Z136"/>
  <c r="Z507"/>
  <c r="Z508"/>
  <c r="Z509" s="1"/>
  <c r="Z393"/>
  <c r="Z309"/>
  <c r="Z225"/>
  <c r="Z141"/>
  <c r="Z367"/>
  <c r="Z283"/>
  <c r="Z199"/>
  <c r="Z115"/>
  <c r="AA8"/>
  <c r="Z435"/>
  <c r="Z351"/>
  <c r="Z267"/>
  <c r="Z183"/>
  <c r="Z99"/>
  <c r="Z430"/>
  <c r="Z157"/>
  <c r="Z372"/>
  <c r="Z246"/>
  <c r="Z94"/>
  <c r="Z482"/>
  <c r="Z241"/>
  <c r="Z466"/>
  <c r="Z414"/>
  <c r="Z262"/>
  <c r="Z204"/>
  <c r="Z499"/>
  <c r="Z445"/>
  <c r="Z288"/>
  <c r="Z503"/>
  <c r="Z16"/>
  <c r="Z440"/>
  <c r="Z178"/>
  <c r="Z162"/>
  <c r="Z325"/>
  <c r="Z42"/>
  <c r="Z67" s="1"/>
  <c r="Z346"/>
  <c r="Z120"/>
  <c r="Z409"/>
  <c r="Z330"/>
  <c r="W7" i="11"/>
  <c r="V58"/>
  <c r="V60"/>
  <c r="V9"/>
  <c r="Z443" i="121"/>
  <c r="Z442"/>
  <c r="Z433"/>
  <c r="Z432" s="1"/>
  <c r="Z412"/>
  <c r="Z438"/>
  <c r="Z437" s="1"/>
  <c r="Z370"/>
  <c r="Z349"/>
  <c r="Z307"/>
  <c r="Z391"/>
  <c r="Z328"/>
  <c r="Z448"/>
  <c r="Z447"/>
  <c r="Z286"/>
  <c r="Z181"/>
  <c r="Z265"/>
  <c r="Z244"/>
  <c r="Z202"/>
  <c r="Z118"/>
  <c r="Z160"/>
  <c r="Z97"/>
  <c r="Z448" i="120"/>
  <c r="Z223" i="121"/>
  <c r="Z139"/>
  <c r="Z391" i="120"/>
  <c r="Z307"/>
  <c r="Z443"/>
  <c r="Z438"/>
  <c r="Z433"/>
  <c r="Z370"/>
  <c r="Z286"/>
  <c r="Z349"/>
  <c r="Z265"/>
  <c r="Z412"/>
  <c r="Z223"/>
  <c r="Z328"/>
  <c r="Z118"/>
  <c r="Z443" i="119"/>
  <c r="Z181" i="120"/>
  <c r="Z244"/>
  <c r="Z160"/>
  <c r="Z412" i="119"/>
  <c r="Z328"/>
  <c r="Z97" i="120"/>
  <c r="Z448" i="119"/>
  <c r="Z433"/>
  <c r="Z438"/>
  <c r="Z391"/>
  <c r="Z307"/>
  <c r="Z139" i="120"/>
  <c r="Z244" i="119"/>
  <c r="Z160"/>
  <c r="Z202" i="120"/>
  <c r="Z223" i="119"/>
  <c r="Z139"/>
  <c r="Z438" i="118"/>
  <c r="Z202" i="119"/>
  <c r="Z118"/>
  <c r="Z448" i="118"/>
  <c r="Z443"/>
  <c r="Z391"/>
  <c r="Z370" i="119"/>
  <c r="Z181"/>
  <c r="Z139" i="118"/>
  <c r="Z412"/>
  <c r="Z349"/>
  <c r="Z202"/>
  <c r="Z118"/>
  <c r="Z433"/>
  <c r="Z265"/>
  <c r="Z244"/>
  <c r="Z328"/>
  <c r="Z307"/>
  <c r="Z433" i="117"/>
  <c r="Z349"/>
  <c r="Z286" i="119"/>
  <c r="Z160" i="118"/>
  <c r="Z438" i="117"/>
  <c r="Z443"/>
  <c r="Z412"/>
  <c r="Z328"/>
  <c r="Z97" i="119"/>
  <c r="Z370" i="118"/>
  <c r="Z286"/>
  <c r="Z97"/>
  <c r="Z181" i="117"/>
  <c r="Z97"/>
  <c r="Z265" i="119"/>
  <c r="Z448" i="117"/>
  <c r="Z286"/>
  <c r="Z265"/>
  <c r="Z223"/>
  <c r="Z139"/>
  <c r="Z244"/>
  <c r="Z391" i="116"/>
  <c r="Z307"/>
  <c r="Z223"/>
  <c r="Z139"/>
  <c r="Z438" i="28"/>
  <c r="Z391" i="117"/>
  <c r="Z443" i="28"/>
  <c r="Z223" i="118"/>
  <c r="Z202" i="117"/>
  <c r="Z160"/>
  <c r="Z370" i="116"/>
  <c r="Z286"/>
  <c r="Z202"/>
  <c r="Z118"/>
  <c r="Z448" i="28"/>
  <c r="Z307" i="117"/>
  <c r="Z118"/>
  <c r="Z438" i="116"/>
  <c r="Z370" i="28"/>
  <c r="Z97" i="116"/>
  <c r="Z244"/>
  <c r="Z307" i="28"/>
  <c r="Z223"/>
  <c r="Z139"/>
  <c r="Z181" i="118"/>
  <c r="Z181" i="116"/>
  <c r="Z412" i="28"/>
  <c r="Z391"/>
  <c r="Z370" i="117"/>
  <c r="Z412" i="116"/>
  <c r="Z433" i="28"/>
  <c r="Z265"/>
  <c r="Z181"/>
  <c r="Z97"/>
  <c r="Z443" i="116"/>
  <c r="Z328"/>
  <c r="Z244" i="28"/>
  <c r="Z118"/>
  <c r="Z328"/>
  <c r="Z433" i="116"/>
  <c r="Z349"/>
  <c r="Z448"/>
  <c r="Z349" i="119"/>
  <c r="Z160" i="116"/>
  <c r="Z202" i="28"/>
  <c r="Z265" i="116"/>
  <c r="Z286" i="28"/>
  <c r="Z349"/>
  <c r="Z160"/>
  <c r="Z499" i="118"/>
  <c r="Z445"/>
  <c r="Z450"/>
  <c r="Z414"/>
  <c r="Z330"/>
  <c r="Z246"/>
  <c r="Z507"/>
  <c r="Z508" s="1"/>
  <c r="Z440"/>
  <c r="Z388"/>
  <c r="Z482"/>
  <c r="Z393"/>
  <c r="Z309"/>
  <c r="Z225"/>
  <c r="Z372"/>
  <c r="Z288"/>
  <c r="Z204"/>
  <c r="Z325"/>
  <c r="Z220"/>
  <c r="Z136"/>
  <c r="Z141"/>
  <c r="Z346"/>
  <c r="Z267"/>
  <c r="Z115"/>
  <c r="AA8"/>
  <c r="Z430"/>
  <c r="Z262"/>
  <c r="Z183"/>
  <c r="Z99"/>
  <c r="Z351"/>
  <c r="Z42"/>
  <c r="Z67" s="1"/>
  <c r="Z162"/>
  <c r="Z16"/>
  <c r="Z503"/>
  <c r="Z241"/>
  <c r="Z157"/>
  <c r="Z435"/>
  <c r="Z178"/>
  <c r="Z94"/>
  <c r="Z199"/>
  <c r="Z409"/>
  <c r="Z304"/>
  <c r="Z283"/>
  <c r="Z367"/>
  <c r="Z120"/>
  <c r="Z466"/>
  <c r="Y509" i="121"/>
  <c r="Y513"/>
  <c r="AA503" i="28"/>
  <c r="AA466"/>
  <c r="AA440"/>
  <c r="AA409"/>
  <c r="AA445"/>
  <c r="AA450"/>
  <c r="AA499"/>
  <c r="AA372"/>
  <c r="AA304"/>
  <c r="AA220"/>
  <c r="AA136"/>
  <c r="AA393"/>
  <c r="AA309"/>
  <c r="AA225"/>
  <c r="AA141"/>
  <c r="AA507"/>
  <c r="AA508"/>
  <c r="AA509" s="1"/>
  <c r="AA388"/>
  <c r="AA283"/>
  <c r="AA199"/>
  <c r="AA115"/>
  <c r="AB8"/>
  <c r="AA267"/>
  <c r="AA183"/>
  <c r="AA99"/>
  <c r="AA367"/>
  <c r="AA330"/>
  <c r="AA157"/>
  <c r="AA94"/>
  <c r="AA204"/>
  <c r="AA482"/>
  <c r="AA241"/>
  <c r="AA178"/>
  <c r="AA414"/>
  <c r="AA246"/>
  <c r="AA430"/>
  <c r="AA351"/>
  <c r="AA325"/>
  <c r="AA262"/>
  <c r="AA120"/>
  <c r="AA42"/>
  <c r="AA67"/>
  <c r="AA288"/>
  <c r="AA346"/>
  <c r="AA435"/>
  <c r="AA162"/>
  <c r="AA16"/>
  <c r="Z482" i="121"/>
  <c r="Z507"/>
  <c r="Z440"/>
  <c r="Z414"/>
  <c r="Z450"/>
  <c r="Z445"/>
  <c r="Z503"/>
  <c r="Z351"/>
  <c r="Z499"/>
  <c r="Z466"/>
  <c r="Z367"/>
  <c r="Z388"/>
  <c r="Z346"/>
  <c r="Z304"/>
  <c r="Z393"/>
  <c r="Z430"/>
  <c r="Z435"/>
  <c r="Z409"/>
  <c r="Z372"/>
  <c r="Z309"/>
  <c r="Z330"/>
  <c r="Z246"/>
  <c r="Z288"/>
  <c r="Z325"/>
  <c r="Z162"/>
  <c r="Z283"/>
  <c r="Z199"/>
  <c r="Z178"/>
  <c r="Z241"/>
  <c r="Z157"/>
  <c r="Z99"/>
  <c r="Z220"/>
  <c r="Z225"/>
  <c r="Z141"/>
  <c r="Z136"/>
  <c r="Z115"/>
  <c r="Z94"/>
  <c r="Z183"/>
  <c r="AA8"/>
  <c r="Z120"/>
  <c r="Z267"/>
  <c r="Z262"/>
  <c r="Z42"/>
  <c r="Z67"/>
  <c r="Z204"/>
  <c r="Z16"/>
  <c r="W58" i="11"/>
  <c r="W60"/>
  <c r="X7"/>
  <c r="W9"/>
  <c r="AA503" i="121"/>
  <c r="AA507"/>
  <c r="AA466"/>
  <c r="AA445"/>
  <c r="AA482"/>
  <c r="AA435"/>
  <c r="AA430"/>
  <c r="AA409"/>
  <c r="AA499"/>
  <c r="AA414"/>
  <c r="AA388"/>
  <c r="AA372"/>
  <c r="AA351"/>
  <c r="AA309"/>
  <c r="AA393"/>
  <c r="AA325"/>
  <c r="AA440"/>
  <c r="AA450"/>
  <c r="AA283"/>
  <c r="AA262"/>
  <c r="AA367"/>
  <c r="AA330"/>
  <c r="AA346"/>
  <c r="AA288"/>
  <c r="AA220"/>
  <c r="AA304"/>
  <c r="AA183"/>
  <c r="AA136"/>
  <c r="AA267"/>
  <c r="AA178"/>
  <c r="AA115"/>
  <c r="AA246"/>
  <c r="AA199"/>
  <c r="AA157"/>
  <c r="AA241"/>
  <c r="AA94"/>
  <c r="AA204"/>
  <c r="AA141"/>
  <c r="AA120"/>
  <c r="AA16"/>
  <c r="AA225"/>
  <c r="AA42"/>
  <c r="AA67" s="1"/>
  <c r="AB8"/>
  <c r="AA162"/>
  <c r="AA99"/>
  <c r="Z509"/>
  <c r="AA482" i="118"/>
  <c r="AA503"/>
  <c r="AA466"/>
  <c r="AA440"/>
  <c r="AA450"/>
  <c r="AA507"/>
  <c r="AA508"/>
  <c r="AA388"/>
  <c r="AA304"/>
  <c r="AA220"/>
  <c r="AA393"/>
  <c r="AA367"/>
  <c r="AA283"/>
  <c r="AA445"/>
  <c r="AA430"/>
  <c r="AA346"/>
  <c r="AA262"/>
  <c r="AA414"/>
  <c r="AA141"/>
  <c r="AA267"/>
  <c r="AA246"/>
  <c r="AA115"/>
  <c r="AA499"/>
  <c r="AA409"/>
  <c r="AA351"/>
  <c r="AA309"/>
  <c r="AA288"/>
  <c r="AA199"/>
  <c r="AA120"/>
  <c r="AA435"/>
  <c r="AA330"/>
  <c r="AA241"/>
  <c r="AA157"/>
  <c r="AA162"/>
  <c r="AA16"/>
  <c r="AA204"/>
  <c r="AA325"/>
  <c r="AA136"/>
  <c r="AA372"/>
  <c r="AA99"/>
  <c r="AA225"/>
  <c r="AA183"/>
  <c r="AA42"/>
  <c r="AA67" s="1"/>
  <c r="AA178"/>
  <c r="AB8"/>
  <c r="AA94"/>
  <c r="AA445" i="119"/>
  <c r="AA507"/>
  <c r="AA508"/>
  <c r="AA509" s="1"/>
  <c r="AA482"/>
  <c r="AA430"/>
  <c r="AA466"/>
  <c r="AA414"/>
  <c r="AA330"/>
  <c r="AA503"/>
  <c r="AA435"/>
  <c r="AA388"/>
  <c r="AA440"/>
  <c r="AA393"/>
  <c r="AA309"/>
  <c r="AA450"/>
  <c r="AA346"/>
  <c r="AA246"/>
  <c r="AA162"/>
  <c r="AA42"/>
  <c r="AA67" s="1"/>
  <c r="AA16"/>
  <c r="AA304"/>
  <c r="AA220"/>
  <c r="AA136"/>
  <c r="AA499"/>
  <c r="AA267"/>
  <c r="AA225"/>
  <c r="AA141"/>
  <c r="AA351"/>
  <c r="AA325"/>
  <c r="AA262"/>
  <c r="AA204"/>
  <c r="AA120"/>
  <c r="AA372"/>
  <c r="AA115"/>
  <c r="AA283"/>
  <c r="AA178"/>
  <c r="AB8"/>
  <c r="AA199"/>
  <c r="AA367"/>
  <c r="AA288"/>
  <c r="AA99"/>
  <c r="AA241"/>
  <c r="AA157"/>
  <c r="AA183"/>
  <c r="AA94"/>
  <c r="AA409"/>
  <c r="AB445" i="28"/>
  <c r="AB414"/>
  <c r="AB450"/>
  <c r="AB507"/>
  <c r="AB508" s="1"/>
  <c r="AB509" s="1"/>
  <c r="AB482"/>
  <c r="AB430"/>
  <c r="AB346"/>
  <c r="AB499"/>
  <c r="AB440"/>
  <c r="AB409"/>
  <c r="AB393"/>
  <c r="AB309"/>
  <c r="AB225"/>
  <c r="AB141"/>
  <c r="AB503"/>
  <c r="AB388"/>
  <c r="AB283"/>
  <c r="AB199"/>
  <c r="AB115"/>
  <c r="AC8"/>
  <c r="AB288"/>
  <c r="AB204"/>
  <c r="AB120"/>
  <c r="AB325"/>
  <c r="AB241"/>
  <c r="AB157"/>
  <c r="AB183"/>
  <c r="AB178"/>
  <c r="AB136"/>
  <c r="AB351"/>
  <c r="AB267"/>
  <c r="AB262"/>
  <c r="AB220"/>
  <c r="AB42"/>
  <c r="AB67"/>
  <c r="AB367"/>
  <c r="AB330"/>
  <c r="AB466"/>
  <c r="AB372"/>
  <c r="AB304"/>
  <c r="AB99"/>
  <c r="AB435"/>
  <c r="AB162"/>
  <c r="AB16"/>
  <c r="AB246"/>
  <c r="AB94"/>
  <c r="V24" i="11"/>
  <c r="V37"/>
  <c r="V56" s="1"/>
  <c r="Z513" i="121"/>
  <c r="AA443"/>
  <c r="AA442" s="1"/>
  <c r="AA433"/>
  <c r="AA432"/>
  <c r="AA438"/>
  <c r="AA437"/>
  <c r="AA448"/>
  <c r="AA447"/>
  <c r="AA391"/>
  <c r="AA370"/>
  <c r="AA328"/>
  <c r="AA349"/>
  <c r="AA412"/>
  <c r="AA286"/>
  <c r="AA265"/>
  <c r="AA307"/>
  <c r="AA223"/>
  <c r="AA139"/>
  <c r="AA181"/>
  <c r="AA244"/>
  <c r="AA202"/>
  <c r="AA160"/>
  <c r="AA97"/>
  <c r="AA118"/>
  <c r="AA433" i="120"/>
  <c r="AA443"/>
  <c r="AA438"/>
  <c r="AA412"/>
  <c r="AA265"/>
  <c r="AA181"/>
  <c r="AA391"/>
  <c r="AA286"/>
  <c r="AA244"/>
  <c r="AA349"/>
  <c r="AA223"/>
  <c r="AA118"/>
  <c r="AA370"/>
  <c r="AA97"/>
  <c r="AA448"/>
  <c r="AA307"/>
  <c r="AA202"/>
  <c r="AA160"/>
  <c r="AA448" i="119"/>
  <c r="AA433"/>
  <c r="AA328" i="120"/>
  <c r="AA438" i="119"/>
  <c r="AA391"/>
  <c r="AA349"/>
  <c r="AA307"/>
  <c r="AA443"/>
  <c r="AA328"/>
  <c r="AA223"/>
  <c r="AA139"/>
  <c r="AA139" i="120"/>
  <c r="AA412" i="119"/>
  <c r="AA286"/>
  <c r="AA265"/>
  <c r="AA443" i="118"/>
  <c r="AA244" i="119"/>
  <c r="AA391" i="118"/>
  <c r="AA307"/>
  <c r="AA223"/>
  <c r="AA370" i="119"/>
  <c r="AA118"/>
  <c r="AA370" i="118"/>
  <c r="AA286"/>
  <c r="AA160" i="119"/>
  <c r="AA433" i="118"/>
  <c r="AA349"/>
  <c r="AA265"/>
  <c r="AA412"/>
  <c r="AA202"/>
  <c r="AA118"/>
  <c r="AA97" i="119"/>
  <c r="AA448" i="118"/>
  <c r="AA438"/>
  <c r="AA328"/>
  <c r="AA160"/>
  <c r="AA438" i="117"/>
  <c r="AA443"/>
  <c r="AA412"/>
  <c r="AA181" i="119"/>
  <c r="AA448" i="117"/>
  <c r="AA370"/>
  <c r="AA286"/>
  <c r="AA97" i="118"/>
  <c r="AA181" i="117"/>
  <c r="AA97"/>
  <c r="AA433"/>
  <c r="AA328"/>
  <c r="AA307"/>
  <c r="AA139" i="118"/>
  <c r="AA391" i="117"/>
  <c r="AA202" i="119"/>
  <c r="AA265" i="117"/>
  <c r="AA223"/>
  <c r="AA443" i="28"/>
  <c r="AA412"/>
  <c r="AA349" i="117"/>
  <c r="AA202"/>
  <c r="AA160"/>
  <c r="AA370" i="116"/>
  <c r="AA286"/>
  <c r="AA202"/>
  <c r="AA118"/>
  <c r="AA448" i="28"/>
  <c r="AA181" i="118"/>
  <c r="AA443" i="116"/>
  <c r="AA412"/>
  <c r="AA328"/>
  <c r="AA244"/>
  <c r="AA160"/>
  <c r="AA307" i="28"/>
  <c r="AA223"/>
  <c r="AA139"/>
  <c r="AA391" i="116"/>
  <c r="AA181"/>
  <c r="AA438" i="28"/>
  <c r="AA391"/>
  <c r="AA139" i="117"/>
  <c r="AA118"/>
  <c r="AA286" i="28"/>
  <c r="AA202"/>
  <c r="AA118"/>
  <c r="AA244" i="118"/>
  <c r="AA349" i="116"/>
  <c r="AA223"/>
  <c r="AA244" i="117"/>
  <c r="AA97" i="116"/>
  <c r="AA328" i="28"/>
  <c r="AA181"/>
  <c r="AA448" i="116"/>
  <c r="AA244" i="28"/>
  <c r="AA97"/>
  <c r="AA438" i="116"/>
  <c r="AA307"/>
  <c r="AA265" i="28"/>
  <c r="AA433" i="116"/>
  <c r="AA265"/>
  <c r="AA433" i="28"/>
  <c r="AA139" i="116"/>
  <c r="AA349" i="28"/>
  <c r="AA370"/>
  <c r="AA160"/>
  <c r="AA507" i="116"/>
  <c r="AA508"/>
  <c r="AA509" s="1"/>
  <c r="AA393"/>
  <c r="AA309"/>
  <c r="AA225"/>
  <c r="AA141"/>
  <c r="AA367"/>
  <c r="AA283"/>
  <c r="AA199"/>
  <c r="AA115"/>
  <c r="AB8"/>
  <c r="AA499"/>
  <c r="AA372"/>
  <c r="AA288"/>
  <c r="AA204"/>
  <c r="AA120"/>
  <c r="AA503"/>
  <c r="AA466"/>
  <c r="AA440"/>
  <c r="AA409"/>
  <c r="AA325"/>
  <c r="AA241"/>
  <c r="AA157"/>
  <c r="AA246"/>
  <c r="AA220"/>
  <c r="AA99"/>
  <c r="AA94"/>
  <c r="AA482"/>
  <c r="AA330"/>
  <c r="AA304"/>
  <c r="AA183"/>
  <c r="AA178"/>
  <c r="AA445"/>
  <c r="AA262"/>
  <c r="AA435"/>
  <c r="AA346"/>
  <c r="AA162"/>
  <c r="AA430"/>
  <c r="AA450"/>
  <c r="AA414"/>
  <c r="AA136"/>
  <c r="AA351"/>
  <c r="AA267"/>
  <c r="AA388"/>
  <c r="AA42"/>
  <c r="AA67" s="1"/>
  <c r="AA16"/>
  <c r="AA509" i="121"/>
  <c r="AA513"/>
  <c r="AB367" i="116"/>
  <c r="AB283"/>
  <c r="AB199"/>
  <c r="AB115"/>
  <c r="AC8"/>
  <c r="AB499"/>
  <c r="AB372"/>
  <c r="AB288"/>
  <c r="AB204"/>
  <c r="AB120"/>
  <c r="AB482"/>
  <c r="AB430"/>
  <c r="AB346"/>
  <c r="AB262"/>
  <c r="AB178"/>
  <c r="AB94"/>
  <c r="AB445"/>
  <c r="AB414"/>
  <c r="AB330"/>
  <c r="AB246"/>
  <c r="AB162"/>
  <c r="AB42"/>
  <c r="AB67" s="1"/>
  <c r="AB16"/>
  <c r="AB393"/>
  <c r="AB304"/>
  <c r="AB241"/>
  <c r="AB183"/>
  <c r="AB450"/>
  <c r="AB141"/>
  <c r="AB409"/>
  <c r="AB351"/>
  <c r="AB136"/>
  <c r="AB503"/>
  <c r="AB309"/>
  <c r="AB507"/>
  <c r="AB508" s="1"/>
  <c r="AB509" s="1"/>
  <c r="AB440"/>
  <c r="AB466"/>
  <c r="AB99"/>
  <c r="AB435"/>
  <c r="AB325"/>
  <c r="AB220"/>
  <c r="AB267"/>
  <c r="AB157"/>
  <c r="AB388"/>
  <c r="AB225"/>
  <c r="AC450" i="28"/>
  <c r="AC388"/>
  <c r="AC507"/>
  <c r="AC508"/>
  <c r="AC509" s="1"/>
  <c r="AC435"/>
  <c r="AC351"/>
  <c r="AC503"/>
  <c r="AC283"/>
  <c r="AC199"/>
  <c r="AC115"/>
  <c r="AD8"/>
  <c r="AC288"/>
  <c r="AC204"/>
  <c r="AC120"/>
  <c r="AC482"/>
  <c r="AC262"/>
  <c r="AC178"/>
  <c r="AC94"/>
  <c r="AC430"/>
  <c r="AC414"/>
  <c r="AC372"/>
  <c r="AC367"/>
  <c r="AC330"/>
  <c r="AC246"/>
  <c r="AC162"/>
  <c r="AC42"/>
  <c r="AC67"/>
  <c r="AC16"/>
  <c r="AC445"/>
  <c r="AC309"/>
  <c r="AC267"/>
  <c r="AC241"/>
  <c r="AC220"/>
  <c r="AC466"/>
  <c r="AC325"/>
  <c r="AC304"/>
  <c r="AC440"/>
  <c r="AC499"/>
  <c r="AC157"/>
  <c r="AC393"/>
  <c r="AC346"/>
  <c r="AC141"/>
  <c r="AC99"/>
  <c r="AC409"/>
  <c r="AC225"/>
  <c r="AC183"/>
  <c r="AC136"/>
  <c r="AB450" i="119"/>
  <c r="AB507"/>
  <c r="AB508" s="1"/>
  <c r="AB509" s="1"/>
  <c r="AB435"/>
  <c r="AB503"/>
  <c r="AB482"/>
  <c r="AB388"/>
  <c r="AB304"/>
  <c r="AB445"/>
  <c r="AB440"/>
  <c r="AB393"/>
  <c r="AB367"/>
  <c r="AB283"/>
  <c r="AB351"/>
  <c r="AB330"/>
  <c r="AB220"/>
  <c r="AB136"/>
  <c r="AB499"/>
  <c r="AB430"/>
  <c r="AB414"/>
  <c r="AB267"/>
  <c r="AB225"/>
  <c r="AB141"/>
  <c r="AB199"/>
  <c r="AB115"/>
  <c r="AC8"/>
  <c r="AB409"/>
  <c r="AB309"/>
  <c r="AB178"/>
  <c r="AB94"/>
  <c r="AB372"/>
  <c r="AB120"/>
  <c r="AB42"/>
  <c r="AB67" s="1"/>
  <c r="AB466"/>
  <c r="AB241"/>
  <c r="AB183"/>
  <c r="AB325"/>
  <c r="AB288"/>
  <c r="AB99"/>
  <c r="AB346"/>
  <c r="AB162"/>
  <c r="AB246"/>
  <c r="AB16"/>
  <c r="AB204"/>
  <c r="AB157"/>
  <c r="AB262"/>
  <c r="AB507" i="121"/>
  <c r="AB499"/>
  <c r="AB482"/>
  <c r="AB450"/>
  <c r="AB466"/>
  <c r="AB503"/>
  <c r="AB440"/>
  <c r="AB435"/>
  <c r="AB445"/>
  <c r="AB430"/>
  <c r="AB409"/>
  <c r="AB346"/>
  <c r="AB393"/>
  <c r="AB372"/>
  <c r="AB367"/>
  <c r="AB414"/>
  <c r="AB330"/>
  <c r="AB388"/>
  <c r="AB309"/>
  <c r="AB267"/>
  <c r="AB351"/>
  <c r="AB325"/>
  <c r="AB288"/>
  <c r="AB225"/>
  <c r="AB262"/>
  <c r="AB283"/>
  <c r="AB241"/>
  <c r="AB141"/>
  <c r="AB246"/>
  <c r="AB220"/>
  <c r="AB204"/>
  <c r="AB183"/>
  <c r="AB157"/>
  <c r="AB178"/>
  <c r="AB199"/>
  <c r="AB162"/>
  <c r="AB136"/>
  <c r="AB304"/>
  <c r="AB120"/>
  <c r="AB115"/>
  <c r="AB94"/>
  <c r="AB99"/>
  <c r="AB509" s="1"/>
  <c r="AB42"/>
  <c r="AB67"/>
  <c r="AC8"/>
  <c r="AB16"/>
  <c r="W37" i="11"/>
  <c r="W56" s="1"/>
  <c r="W24"/>
  <c r="AB448" i="121"/>
  <c r="AB447"/>
  <c r="AB443"/>
  <c r="AB442"/>
  <c r="AB438"/>
  <c r="AB437"/>
  <c r="AB433"/>
  <c r="AB432"/>
  <c r="AB349"/>
  <c r="AB370"/>
  <c r="AB391"/>
  <c r="AB412"/>
  <c r="AB328"/>
  <c r="AB307"/>
  <c r="AB286"/>
  <c r="AB265"/>
  <c r="AB244"/>
  <c r="AB181"/>
  <c r="AB223"/>
  <c r="AB202"/>
  <c r="AB160"/>
  <c r="AB118"/>
  <c r="AB139"/>
  <c r="AB97"/>
  <c r="AB438" i="120"/>
  <c r="AB370"/>
  <c r="AB286"/>
  <c r="AB433"/>
  <c r="AB349"/>
  <c r="AB448"/>
  <c r="AB328"/>
  <c r="AB412"/>
  <c r="AB391"/>
  <c r="AB244"/>
  <c r="AB202"/>
  <c r="AB443"/>
  <c r="AB97"/>
  <c r="AB181"/>
  <c r="AB139"/>
  <c r="AB307"/>
  <c r="AB160"/>
  <c r="AB438" i="119"/>
  <c r="AB223" i="120"/>
  <c r="AB118"/>
  <c r="AB448" i="119"/>
  <c r="AB433"/>
  <c r="AB391"/>
  <c r="AB307"/>
  <c r="AB370"/>
  <c r="AB286"/>
  <c r="AB443"/>
  <c r="AB328"/>
  <c r="AB223"/>
  <c r="AB139"/>
  <c r="AB438" i="118"/>
  <c r="AB412" i="119"/>
  <c r="AB265"/>
  <c r="AB202"/>
  <c r="AB118"/>
  <c r="AB448" i="118"/>
  <c r="AB349" i="119"/>
  <c r="AB181"/>
  <c r="AB97"/>
  <c r="AB370" i="118"/>
  <c r="AB265" i="120"/>
  <c r="AB391" i="118"/>
  <c r="AB202"/>
  <c r="AB118"/>
  <c r="AB349"/>
  <c r="AB160" i="119"/>
  <c r="AB443" i="118"/>
  <c r="AB181"/>
  <c r="AB97"/>
  <c r="AB307"/>
  <c r="AB286"/>
  <c r="AB160"/>
  <c r="AB443" i="117"/>
  <c r="AB412"/>
  <c r="AB328"/>
  <c r="AB448"/>
  <c r="AB223" i="118"/>
  <c r="AB391" i="117"/>
  <c r="AB433"/>
  <c r="AB307"/>
  <c r="AB160"/>
  <c r="AB244" i="119"/>
  <c r="AB412" i="118"/>
  <c r="AB328"/>
  <c r="AB244"/>
  <c r="AB202" i="117"/>
  <c r="AB118"/>
  <c r="AB265" i="118"/>
  <c r="AB349" i="117"/>
  <c r="AB370" i="116"/>
  <c r="AB286"/>
  <c r="AB202"/>
  <c r="AB118"/>
  <c r="AB448" i="28"/>
  <c r="AB433" i="118"/>
  <c r="AB370" i="117"/>
  <c r="AB286"/>
  <c r="AB139"/>
  <c r="AB433" i="116"/>
  <c r="AB349"/>
  <c r="AB265"/>
  <c r="AB181"/>
  <c r="AB97"/>
  <c r="AB448"/>
  <c r="AB433" i="28"/>
  <c r="AB349"/>
  <c r="AB391" i="116"/>
  <c r="AB244"/>
  <c r="AB438" i="28"/>
  <c r="AB391"/>
  <c r="AB139" i="118"/>
  <c r="AB438" i="117"/>
  <c r="AB412" i="28"/>
  <c r="AB286"/>
  <c r="AB202"/>
  <c r="AB118"/>
  <c r="AB265" i="117"/>
  <c r="AB181"/>
  <c r="AB328" i="116"/>
  <c r="AB139"/>
  <c r="AB443"/>
  <c r="AB438"/>
  <c r="AB370" i="28"/>
  <c r="AB328"/>
  <c r="AB244"/>
  <c r="AB160"/>
  <c r="AB223" i="117"/>
  <c r="AB307" i="116"/>
  <c r="AB443" i="28"/>
  <c r="AB307"/>
  <c r="AB265"/>
  <c r="AB97" i="117"/>
  <c r="AB223" i="116"/>
  <c r="AB223" i="28"/>
  <c r="AB160" i="116"/>
  <c r="AB412"/>
  <c r="AB244" i="117"/>
  <c r="AB139" i="28"/>
  <c r="AB97"/>
  <c r="AB181"/>
  <c r="AB445" i="118"/>
  <c r="AB507"/>
  <c r="AB508" s="1"/>
  <c r="AB509" s="1"/>
  <c r="AB440"/>
  <c r="AB393"/>
  <c r="AB309"/>
  <c r="AB225"/>
  <c r="AB482"/>
  <c r="AB367"/>
  <c r="AB372"/>
  <c r="AB288"/>
  <c r="AB435"/>
  <c r="AB351"/>
  <c r="AB267"/>
  <c r="AB246"/>
  <c r="AB115"/>
  <c r="AC8"/>
  <c r="AC440" s="1"/>
  <c r="AB499"/>
  <c r="AB450"/>
  <c r="AB409"/>
  <c r="AB346"/>
  <c r="AB199"/>
  <c r="AB120"/>
  <c r="AB388"/>
  <c r="AB178"/>
  <c r="AB94"/>
  <c r="AB503"/>
  <c r="AB204"/>
  <c r="AB162"/>
  <c r="AB42"/>
  <c r="AB67"/>
  <c r="AB16"/>
  <c r="AB325"/>
  <c r="AB241"/>
  <c r="AB157"/>
  <c r="AB136"/>
  <c r="AB466"/>
  <c r="AB220"/>
  <c r="AB183"/>
  <c r="AB414"/>
  <c r="AB304"/>
  <c r="AB430"/>
  <c r="AB330"/>
  <c r="AB283"/>
  <c r="AB99"/>
  <c r="AB141"/>
  <c r="AB262"/>
  <c r="Y7" i="11"/>
  <c r="X9"/>
  <c r="X37" s="1"/>
  <c r="X56" s="1"/>
  <c r="X58"/>
  <c r="X60"/>
  <c r="AC391" i="121" s="1"/>
  <c r="AC466" i="118"/>
  <c r="AC450"/>
  <c r="AC367"/>
  <c r="AC372"/>
  <c r="AC346"/>
  <c r="AC499"/>
  <c r="AC325"/>
  <c r="AC393"/>
  <c r="AC199"/>
  <c r="AC507"/>
  <c r="AC508" s="1"/>
  <c r="AC509" s="1"/>
  <c r="AC351"/>
  <c r="AC288"/>
  <c r="AC94"/>
  <c r="AC183"/>
  <c r="AC304"/>
  <c r="AC204"/>
  <c r="AC220"/>
  <c r="AC246"/>
  <c r="AC330"/>
  <c r="AC435"/>
  <c r="AC42"/>
  <c r="AC67" s="1"/>
  <c r="AC115"/>
  <c r="AC16"/>
  <c r="AC507" i="119"/>
  <c r="AC508" s="1"/>
  <c r="AC509" s="1"/>
  <c r="AC499"/>
  <c r="AC503"/>
  <c r="AC466"/>
  <c r="AC440"/>
  <c r="AC445"/>
  <c r="AC435"/>
  <c r="AC393"/>
  <c r="AC309"/>
  <c r="AC367"/>
  <c r="AC430"/>
  <c r="AC372"/>
  <c r="AC288"/>
  <c r="AC409"/>
  <c r="AC325"/>
  <c r="AC414"/>
  <c r="AC304"/>
  <c r="AC267"/>
  <c r="AC225"/>
  <c r="AC141"/>
  <c r="AC199"/>
  <c r="AC115"/>
  <c r="AC388"/>
  <c r="AC283"/>
  <c r="AC262"/>
  <c r="AC204"/>
  <c r="AC120"/>
  <c r="AC482"/>
  <c r="AC346"/>
  <c r="AC183"/>
  <c r="AC99"/>
  <c r="AC42"/>
  <c r="AC67"/>
  <c r="AC351"/>
  <c r="AC241"/>
  <c r="AC330"/>
  <c r="AC162"/>
  <c r="AC16"/>
  <c r="AC450"/>
  <c r="AC246"/>
  <c r="AC136"/>
  <c r="AD8"/>
  <c r="AC157"/>
  <c r="AC178"/>
  <c r="AC220"/>
  <c r="AC94"/>
  <c r="AC448" i="121"/>
  <c r="AC447" s="1"/>
  <c r="AC412"/>
  <c r="AC438"/>
  <c r="AC437" s="1"/>
  <c r="AC370"/>
  <c r="AC328"/>
  <c r="AC286"/>
  <c r="AC265"/>
  <c r="AC244"/>
  <c r="AC97"/>
  <c r="AC412" i="120"/>
  <c r="AC438"/>
  <c r="AC160" i="121"/>
  <c r="AC244" i="120"/>
  <c r="AC181" i="121"/>
  <c r="AC448" i="120"/>
  <c r="AC328"/>
  <c r="AC97"/>
  <c r="AC391"/>
  <c r="AC265"/>
  <c r="AC139"/>
  <c r="AC443" i="119"/>
  <c r="AC370"/>
  <c r="AC328"/>
  <c r="AC265"/>
  <c r="AC391"/>
  <c r="AC202"/>
  <c r="AC370" i="118"/>
  <c r="AC223" i="119"/>
  <c r="AC181"/>
  <c r="AC448" i="118"/>
  <c r="AC349"/>
  <c r="AC139" i="119"/>
  <c r="AC412" i="118"/>
  <c r="AC244"/>
  <c r="AC97" i="119"/>
  <c r="AC97" i="118"/>
  <c r="AC223"/>
  <c r="AC448" i="117"/>
  <c r="AC307" i="119"/>
  <c r="AC349" i="117"/>
  <c r="AC202" i="118"/>
  <c r="AC328" i="117"/>
  <c r="AC307" i="118"/>
  <c r="AC244" i="117"/>
  <c r="AC443"/>
  <c r="AC202"/>
  <c r="AC286"/>
  <c r="AC433" i="116"/>
  <c r="AC265"/>
  <c r="AC97"/>
  <c r="AC438"/>
  <c r="AC97" i="117"/>
  <c r="AC307" i="116"/>
  <c r="AC139"/>
  <c r="AC307" i="117"/>
  <c r="AC412" i="28"/>
  <c r="AC202"/>
  <c r="AC118" i="117"/>
  <c r="AC223"/>
  <c r="AC118" i="116"/>
  <c r="AC265" i="28"/>
  <c r="AC97"/>
  <c r="AC160" i="116"/>
  <c r="AC443" i="28"/>
  <c r="AC443" i="116"/>
  <c r="AC328" i="28"/>
  <c r="AC307"/>
  <c r="AC160"/>
  <c r="AC433"/>
  <c r="AC223"/>
  <c r="X24" i="11"/>
  <c r="AB513" i="121"/>
  <c r="AD507" i="28"/>
  <c r="AD508"/>
  <c r="AD509" s="1"/>
  <c r="AD393"/>
  <c r="AD499"/>
  <c r="AD503"/>
  <c r="AD466"/>
  <c r="AD440"/>
  <c r="AD409"/>
  <c r="AD388"/>
  <c r="AD288"/>
  <c r="AD204"/>
  <c r="AD120"/>
  <c r="AD482"/>
  <c r="AD262"/>
  <c r="AD178"/>
  <c r="AD94"/>
  <c r="AD435"/>
  <c r="AD351"/>
  <c r="AD346"/>
  <c r="AD267"/>
  <c r="AD183"/>
  <c r="AD99"/>
  <c r="AD450"/>
  <c r="AD445"/>
  <c r="AD304"/>
  <c r="AD220"/>
  <c r="AD136"/>
  <c r="AD325"/>
  <c r="AD42"/>
  <c r="AD67" s="1"/>
  <c r="AD162"/>
  <c r="AD430"/>
  <c r="AD372"/>
  <c r="AE8"/>
  <c r="AD414"/>
  <c r="AD115"/>
  <c r="AD199"/>
  <c r="AD16"/>
  <c r="AD309"/>
  <c r="AD283"/>
  <c r="AD246"/>
  <c r="AD141"/>
  <c r="AD367"/>
  <c r="AD330"/>
  <c r="AD225"/>
  <c r="AD157"/>
  <c r="AD241"/>
  <c r="Y9" i="11"/>
  <c r="Y58"/>
  <c r="Y60" s="1"/>
  <c r="Z7"/>
  <c r="AC499" i="121"/>
  <c r="AC450"/>
  <c r="AC482"/>
  <c r="AC503"/>
  <c r="AC466"/>
  <c r="AC430"/>
  <c r="AC440"/>
  <c r="AC445"/>
  <c r="AC409"/>
  <c r="AC507"/>
  <c r="AC388"/>
  <c r="AC393"/>
  <c r="AC435"/>
  <c r="AC351"/>
  <c r="AC372"/>
  <c r="AC367"/>
  <c r="AC304"/>
  <c r="AC414"/>
  <c r="AC330"/>
  <c r="AC346"/>
  <c r="AC325"/>
  <c r="AC199"/>
  <c r="AC262"/>
  <c r="AC267"/>
  <c r="AC246"/>
  <c r="AC283"/>
  <c r="AC220"/>
  <c r="AC204"/>
  <c r="AC225"/>
  <c r="AC178"/>
  <c r="AC241"/>
  <c r="AC162"/>
  <c r="AC136"/>
  <c r="AC309"/>
  <c r="AC141"/>
  <c r="AC115"/>
  <c r="AC94"/>
  <c r="AC288"/>
  <c r="AC120"/>
  <c r="AC42"/>
  <c r="AC67" s="1"/>
  <c r="AC16"/>
  <c r="AD8"/>
  <c r="AC183"/>
  <c r="AC99"/>
  <c r="AC157"/>
  <c r="AC499" i="116"/>
  <c r="AC372"/>
  <c r="AC288"/>
  <c r="AC204"/>
  <c r="AC120"/>
  <c r="AC482"/>
  <c r="AC430"/>
  <c r="AC346"/>
  <c r="AC262"/>
  <c r="AC178"/>
  <c r="AC94"/>
  <c r="AC435"/>
  <c r="AC351"/>
  <c r="AC267"/>
  <c r="AC183"/>
  <c r="AC99"/>
  <c r="AC450"/>
  <c r="AC388"/>
  <c r="AC304"/>
  <c r="AC220"/>
  <c r="AC136"/>
  <c r="AC241"/>
  <c r="AC367"/>
  <c r="AC330"/>
  <c r="AC141"/>
  <c r="AC325"/>
  <c r="AC42"/>
  <c r="AC67"/>
  <c r="AC503"/>
  <c r="AC440"/>
  <c r="AC309"/>
  <c r="AC199"/>
  <c r="AC162"/>
  <c r="AC16"/>
  <c r="AD8"/>
  <c r="AC507"/>
  <c r="AC508" s="1"/>
  <c r="AC509" s="1"/>
  <c r="AC115"/>
  <c r="AC246"/>
  <c r="AC414"/>
  <c r="AC283"/>
  <c r="AC445"/>
  <c r="AC466"/>
  <c r="AC393"/>
  <c r="AC157"/>
  <c r="AC409"/>
  <c r="AC225"/>
  <c r="AD482"/>
  <c r="AD430"/>
  <c r="AD346"/>
  <c r="AD262"/>
  <c r="AD178"/>
  <c r="AD94"/>
  <c r="AD435"/>
  <c r="AD351"/>
  <c r="AD267"/>
  <c r="AD183"/>
  <c r="AD99"/>
  <c r="AD503"/>
  <c r="AD466"/>
  <c r="AD440"/>
  <c r="AD409"/>
  <c r="AD325"/>
  <c r="AD241"/>
  <c r="AD157"/>
  <c r="AD507"/>
  <c r="AD508"/>
  <c r="AD393"/>
  <c r="AD309"/>
  <c r="AD225"/>
  <c r="AD141"/>
  <c r="AD372"/>
  <c r="AD367"/>
  <c r="AD330"/>
  <c r="AD304"/>
  <c r="AD450"/>
  <c r="AD42"/>
  <c r="AD67"/>
  <c r="AD414"/>
  <c r="AD388"/>
  <c r="AD120"/>
  <c r="AD115"/>
  <c r="AD499"/>
  <c r="AD283"/>
  <c r="AD162"/>
  <c r="AD288"/>
  <c r="AD220"/>
  <c r="AD136"/>
  <c r="AD204"/>
  <c r="AD199"/>
  <c r="AD16"/>
  <c r="AE8"/>
  <c r="AD445"/>
  <c r="AD246"/>
  <c r="Y24" i="11"/>
  <c r="Y37"/>
  <c r="Y56" s="1"/>
  <c r="AC509" i="121"/>
  <c r="Z9" i="11"/>
  <c r="Z58"/>
  <c r="Z60" s="1"/>
  <c r="AA7"/>
  <c r="AD499" i="119"/>
  <c r="AD482"/>
  <c r="AD445"/>
  <c r="AD507"/>
  <c r="AD508" s="1"/>
  <c r="AD440"/>
  <c r="AD367"/>
  <c r="AD283"/>
  <c r="AD430"/>
  <c r="AD372"/>
  <c r="AD346"/>
  <c r="AD414"/>
  <c r="AD330"/>
  <c r="AD199"/>
  <c r="AD115"/>
  <c r="AE8"/>
  <c r="AD503"/>
  <c r="AD435"/>
  <c r="AD393"/>
  <c r="AD388"/>
  <c r="AD262"/>
  <c r="AD204"/>
  <c r="AD120"/>
  <c r="AD351"/>
  <c r="AD325"/>
  <c r="AD178"/>
  <c r="AD94"/>
  <c r="AD241"/>
  <c r="AD157"/>
  <c r="AD225"/>
  <c r="AD466"/>
  <c r="AD183"/>
  <c r="AD162"/>
  <c r="AD16"/>
  <c r="AD409"/>
  <c r="AD220"/>
  <c r="AD450"/>
  <c r="AD304"/>
  <c r="AD288"/>
  <c r="AD99"/>
  <c r="AD246"/>
  <c r="AD136"/>
  <c r="AD42"/>
  <c r="AD67" s="1"/>
  <c r="AD309"/>
  <c r="AD267"/>
  <c r="AD141"/>
  <c r="AE367" i="28"/>
  <c r="AE499"/>
  <c r="AE482"/>
  <c r="AE430"/>
  <c r="AE445"/>
  <c r="AE414"/>
  <c r="AE262"/>
  <c r="AE178"/>
  <c r="AE94"/>
  <c r="AE507"/>
  <c r="AE508" s="1"/>
  <c r="AE509" s="1"/>
  <c r="AE435"/>
  <c r="AE351"/>
  <c r="AE346"/>
  <c r="AE267"/>
  <c r="AE183"/>
  <c r="AE99"/>
  <c r="AE466"/>
  <c r="AE325"/>
  <c r="AE241"/>
  <c r="AE157"/>
  <c r="AE309"/>
  <c r="AE225"/>
  <c r="AE141"/>
  <c r="AE372"/>
  <c r="AE304"/>
  <c r="AE162"/>
  <c r="AE16"/>
  <c r="AE393"/>
  <c r="AE283"/>
  <c r="AE246"/>
  <c r="AE440"/>
  <c r="AE120"/>
  <c r="AF8"/>
  <c r="AE288"/>
  <c r="AE503"/>
  <c r="AE204"/>
  <c r="AE115"/>
  <c r="AE199"/>
  <c r="AE42"/>
  <c r="AE67"/>
  <c r="AE388"/>
  <c r="AE330"/>
  <c r="AE450"/>
  <c r="AE409"/>
  <c r="AE136"/>
  <c r="AE220"/>
  <c r="AD507" i="121"/>
  <c r="AD499"/>
  <c r="AD503"/>
  <c r="AD466"/>
  <c r="AD450"/>
  <c r="AD445"/>
  <c r="AD440"/>
  <c r="AD435"/>
  <c r="AD482"/>
  <c r="AD414"/>
  <c r="AD393"/>
  <c r="AD430"/>
  <c r="AD372"/>
  <c r="AD367"/>
  <c r="AD346"/>
  <c r="AD309"/>
  <c r="AD330"/>
  <c r="AD325"/>
  <c r="AD409"/>
  <c r="AD351"/>
  <c r="AD288"/>
  <c r="AD304"/>
  <c r="AD283"/>
  <c r="AD262"/>
  <c r="AD204"/>
  <c r="AD267"/>
  <c r="AD388"/>
  <c r="AD220"/>
  <c r="AD246"/>
  <c r="AD225"/>
  <c r="AD178"/>
  <c r="AD199"/>
  <c r="AD136"/>
  <c r="AD162"/>
  <c r="AD141"/>
  <c r="AD120"/>
  <c r="AD183"/>
  <c r="AD99"/>
  <c r="AD241"/>
  <c r="AD16"/>
  <c r="AD157"/>
  <c r="AD115"/>
  <c r="AD42"/>
  <c r="AD67"/>
  <c r="AE8"/>
  <c r="AD94"/>
  <c r="AE503"/>
  <c r="AE499"/>
  <c r="AE466"/>
  <c r="AE435"/>
  <c r="AE409"/>
  <c r="AE482"/>
  <c r="AE430"/>
  <c r="AE367"/>
  <c r="AE507"/>
  <c r="AE450"/>
  <c r="AE440"/>
  <c r="AE414"/>
  <c r="AE388"/>
  <c r="AE351"/>
  <c r="AE283"/>
  <c r="AE445"/>
  <c r="AE393"/>
  <c r="AE325"/>
  <c r="AE330"/>
  <c r="AE309"/>
  <c r="AE304"/>
  <c r="AE372"/>
  <c r="AE346"/>
  <c r="AE267"/>
  <c r="AE262"/>
  <c r="AE225"/>
  <c r="AE246"/>
  <c r="AE220"/>
  <c r="AE204"/>
  <c r="AE178"/>
  <c r="AE199"/>
  <c r="AE288"/>
  <c r="AE183"/>
  <c r="AE157"/>
  <c r="AE141"/>
  <c r="AE162"/>
  <c r="AE136"/>
  <c r="AE115"/>
  <c r="AE94"/>
  <c r="AE120"/>
  <c r="AE99"/>
  <c r="AE42"/>
  <c r="AE67" s="1"/>
  <c r="AE16"/>
  <c r="AE241"/>
  <c r="AF8"/>
  <c r="AE435" i="116"/>
  <c r="AE351"/>
  <c r="AE267"/>
  <c r="AE183"/>
  <c r="AE99"/>
  <c r="AE503"/>
  <c r="AE466"/>
  <c r="AE440"/>
  <c r="AE409"/>
  <c r="AE325"/>
  <c r="AE241"/>
  <c r="AE157"/>
  <c r="AE445"/>
  <c r="AE414"/>
  <c r="AE330"/>
  <c r="AE246"/>
  <c r="AE162"/>
  <c r="AE42"/>
  <c r="AE67"/>
  <c r="AE16"/>
  <c r="AE367"/>
  <c r="AE283"/>
  <c r="AE199"/>
  <c r="AE115"/>
  <c r="AF8"/>
  <c r="AE482"/>
  <c r="AE450"/>
  <c r="AE141"/>
  <c r="AE388"/>
  <c r="AE178"/>
  <c r="AE120"/>
  <c r="AE225"/>
  <c r="AE507"/>
  <c r="AE508"/>
  <c r="AE509"/>
  <c r="AE346"/>
  <c r="AE288"/>
  <c r="AE220"/>
  <c r="AE136"/>
  <c r="AE430"/>
  <c r="AE262"/>
  <c r="AE393"/>
  <c r="AE94"/>
  <c r="AE372"/>
  <c r="AE304"/>
  <c r="AE204"/>
  <c r="AE499"/>
  <c r="AE309"/>
  <c r="Z24" i="11"/>
  <c r="Z37"/>
  <c r="Z56" s="1"/>
  <c r="AA9"/>
  <c r="AA24" s="1"/>
  <c r="AB7"/>
  <c r="AA58"/>
  <c r="AA60"/>
  <c r="AF499" i="28"/>
  <c r="AF372"/>
  <c r="AF482"/>
  <c r="AF430"/>
  <c r="AF435"/>
  <c r="AF450"/>
  <c r="AF388"/>
  <c r="AF507"/>
  <c r="AF508"/>
  <c r="AF509" s="1"/>
  <c r="AF351"/>
  <c r="AF346"/>
  <c r="AF267"/>
  <c r="AF183"/>
  <c r="AF99"/>
  <c r="AF466"/>
  <c r="AF325"/>
  <c r="AF241"/>
  <c r="AF157"/>
  <c r="AF330"/>
  <c r="AF246"/>
  <c r="AF162"/>
  <c r="AF42"/>
  <c r="AF67"/>
  <c r="AF16"/>
  <c r="AF440"/>
  <c r="AF409"/>
  <c r="AF393"/>
  <c r="AF283"/>
  <c r="AF199"/>
  <c r="AF115"/>
  <c r="AG8"/>
  <c r="AF262"/>
  <c r="AF120"/>
  <c r="AF141"/>
  <c r="AF178"/>
  <c r="AF204"/>
  <c r="AF503"/>
  <c r="AF304"/>
  <c r="AF414"/>
  <c r="AF288"/>
  <c r="AF367"/>
  <c r="AF225"/>
  <c r="AF136"/>
  <c r="AF309"/>
  <c r="AF220"/>
  <c r="AF94"/>
  <c r="AF445"/>
  <c r="AD513" i="121"/>
  <c r="AE499" i="119"/>
  <c r="AE482"/>
  <c r="AE435"/>
  <c r="AE450"/>
  <c r="AE430"/>
  <c r="AE372"/>
  <c r="AE288"/>
  <c r="AE346"/>
  <c r="AE351"/>
  <c r="AE267"/>
  <c r="AE466"/>
  <c r="AE388"/>
  <c r="AE304"/>
  <c r="AE507"/>
  <c r="AE508"/>
  <c r="AE503"/>
  <c r="AE393"/>
  <c r="AE262"/>
  <c r="AE204"/>
  <c r="AE120"/>
  <c r="AE440"/>
  <c r="AE325"/>
  <c r="AE283"/>
  <c r="AE178"/>
  <c r="AE94"/>
  <c r="AE409"/>
  <c r="AE309"/>
  <c r="AE183"/>
  <c r="AE99"/>
  <c r="AE246"/>
  <c r="AE162"/>
  <c r="AE42"/>
  <c r="AE67" s="1"/>
  <c r="AE16"/>
  <c r="AE241"/>
  <c r="AE330"/>
  <c r="AE220"/>
  <c r="AE115"/>
  <c r="AE367"/>
  <c r="AE141"/>
  <c r="AF8"/>
  <c r="AE157"/>
  <c r="AE136"/>
  <c r="AE225"/>
  <c r="AE199"/>
  <c r="AE414"/>
  <c r="AE445"/>
  <c r="AD509" i="121"/>
  <c r="AF499"/>
  <c r="AF503"/>
  <c r="AF507"/>
  <c r="AF445"/>
  <c r="AF414"/>
  <c r="AF466"/>
  <c r="AF450"/>
  <c r="AF430"/>
  <c r="AF372"/>
  <c r="AF440"/>
  <c r="AF325"/>
  <c r="AF482"/>
  <c r="AF409"/>
  <c r="AF288"/>
  <c r="AF346"/>
  <c r="AF351"/>
  <c r="AF367"/>
  <c r="AF388"/>
  <c r="AF330"/>
  <c r="AF267"/>
  <c r="AF241"/>
  <c r="AF246"/>
  <c r="AF199"/>
  <c r="AF225"/>
  <c r="AF183"/>
  <c r="AF162"/>
  <c r="AF309"/>
  <c r="AF304"/>
  <c r="AF220"/>
  <c r="AF178"/>
  <c r="AF141"/>
  <c r="AF120"/>
  <c r="AF99"/>
  <c r="AF393"/>
  <c r="AF204"/>
  <c r="AF157"/>
  <c r="AF42"/>
  <c r="AF67"/>
  <c r="AF262"/>
  <c r="AF283"/>
  <c r="AF115"/>
  <c r="AF136"/>
  <c r="AG8"/>
  <c r="AF94"/>
  <c r="AF16"/>
  <c r="AF435"/>
  <c r="AF482" i="119"/>
  <c r="AF503"/>
  <c r="AF466"/>
  <c r="AF440"/>
  <c r="AF507"/>
  <c r="AF508"/>
  <c r="AF509"/>
  <c r="AF346"/>
  <c r="AF262"/>
  <c r="AF351"/>
  <c r="AF450"/>
  <c r="AF409"/>
  <c r="AF325"/>
  <c r="AF499"/>
  <c r="AF393"/>
  <c r="AF309"/>
  <c r="AF435"/>
  <c r="AF430"/>
  <c r="AF388"/>
  <c r="AF283"/>
  <c r="AF178"/>
  <c r="AF94"/>
  <c r="AF183"/>
  <c r="AF99"/>
  <c r="AF241"/>
  <c r="AF157"/>
  <c r="AF445"/>
  <c r="AF288"/>
  <c r="AF220"/>
  <c r="AF136"/>
  <c r="AF330"/>
  <c r="AF162"/>
  <c r="AF120"/>
  <c r="AF115"/>
  <c r="AF16"/>
  <c r="AF367"/>
  <c r="AF141"/>
  <c r="AG8"/>
  <c r="AF267"/>
  <c r="AF246"/>
  <c r="AF304"/>
  <c r="AF414"/>
  <c r="AF225"/>
  <c r="AF42"/>
  <c r="AF67" s="1"/>
  <c r="AF372"/>
  <c r="AF204"/>
  <c r="AF199"/>
  <c r="AE509" i="121"/>
  <c r="AE513"/>
  <c r="AF438"/>
  <c r="AF437"/>
  <c r="AF412"/>
  <c r="AF433"/>
  <c r="AF432"/>
  <c r="AF448"/>
  <c r="AF447" s="1"/>
  <c r="AF328"/>
  <c r="AF443"/>
  <c r="AF442"/>
  <c r="AF391"/>
  <c r="AF370"/>
  <c r="AF244"/>
  <c r="AF202"/>
  <c r="AF265"/>
  <c r="AF349"/>
  <c r="AF118"/>
  <c r="AF181"/>
  <c r="AF307"/>
  <c r="AF286"/>
  <c r="AF223"/>
  <c r="AF438" i="120"/>
  <c r="AF448"/>
  <c r="AF139" i="121"/>
  <c r="AF412" i="120"/>
  <c r="AF328"/>
  <c r="AF97" i="121"/>
  <c r="AF391" i="120"/>
  <c r="AF307"/>
  <c r="AF443"/>
  <c r="AF370"/>
  <c r="AF286"/>
  <c r="AF433"/>
  <c r="AF244"/>
  <c r="AF265"/>
  <c r="AF160"/>
  <c r="AF139"/>
  <c r="AF202"/>
  <c r="AF181"/>
  <c r="AF97"/>
  <c r="AF349"/>
  <c r="AF118"/>
  <c r="AF443" i="119"/>
  <c r="AF160" i="121"/>
  <c r="AF349" i="119"/>
  <c r="AF265"/>
  <c r="AF412"/>
  <c r="AF328"/>
  <c r="AF448"/>
  <c r="AF433"/>
  <c r="AF181"/>
  <c r="AF97"/>
  <c r="AF244"/>
  <c r="AF160"/>
  <c r="AF223" i="120"/>
  <c r="AF370" i="119"/>
  <c r="AF223"/>
  <c r="AF139"/>
  <c r="AF438" i="118"/>
  <c r="AF438" i="119"/>
  <c r="AF391"/>
  <c r="AF448" i="118"/>
  <c r="AF412"/>
  <c r="AF328"/>
  <c r="AF307" i="119"/>
  <c r="AF202"/>
  <c r="AF443" i="118"/>
  <c r="AF349"/>
  <c r="AF160"/>
  <c r="AF244"/>
  <c r="AF118" i="119"/>
  <c r="AF307" i="118"/>
  <c r="AF286"/>
  <c r="AF265"/>
  <c r="AF139"/>
  <c r="AF391"/>
  <c r="AF286" i="119"/>
  <c r="AF223" i="118"/>
  <c r="AF370" i="117"/>
  <c r="AF286"/>
  <c r="AF181" i="118"/>
  <c r="AF97"/>
  <c r="AF433" i="117"/>
  <c r="AF349"/>
  <c r="AF448"/>
  <c r="AF265"/>
  <c r="AF202"/>
  <c r="AF118"/>
  <c r="AF370" i="118"/>
  <c r="AF118"/>
  <c r="AF307" i="117"/>
  <c r="AF160"/>
  <c r="AF181"/>
  <c r="AF139"/>
  <c r="AF443" i="116"/>
  <c r="AF412"/>
  <c r="AF328"/>
  <c r="AF244"/>
  <c r="AF160"/>
  <c r="AF433" i="118"/>
  <c r="AF448" i="116"/>
  <c r="AF433" i="28"/>
  <c r="AF438" i="117"/>
  <c r="AF391" i="116"/>
  <c r="AF307"/>
  <c r="AF223"/>
  <c r="AF139"/>
  <c r="AF438" i="28"/>
  <c r="AF244" i="117"/>
  <c r="AF223"/>
  <c r="AF391" i="28"/>
  <c r="AF118" i="116"/>
  <c r="AF265"/>
  <c r="AF328" i="28"/>
  <c r="AF244"/>
  <c r="AF160"/>
  <c r="AF391" i="117"/>
  <c r="AF202" i="116"/>
  <c r="AF370" i="28"/>
  <c r="AF97" i="116"/>
  <c r="AF286" i="28"/>
  <c r="AF202"/>
  <c r="AF118"/>
  <c r="AF438" i="116"/>
  <c r="AF181"/>
  <c r="AF349" i="28"/>
  <c r="AF433" i="116"/>
  <c r="AF349"/>
  <c r="AF202" i="118"/>
  <c r="AF412" i="117"/>
  <c r="AF328"/>
  <c r="AF97"/>
  <c r="AF370" i="116"/>
  <c r="AF139" i="28"/>
  <c r="AF443" i="117"/>
  <c r="AF412" i="28"/>
  <c r="AF223"/>
  <c r="AF265"/>
  <c r="AF448"/>
  <c r="AF307"/>
  <c r="AF97"/>
  <c r="AF286" i="116"/>
  <c r="AF443" i="28"/>
  <c r="AF181"/>
  <c r="AG482"/>
  <c r="AG430"/>
  <c r="AG346"/>
  <c r="AG435"/>
  <c r="AG503"/>
  <c r="AG466"/>
  <c r="AG440"/>
  <c r="AG507"/>
  <c r="AG508"/>
  <c r="AG509"/>
  <c r="AG393"/>
  <c r="AG325"/>
  <c r="AG241"/>
  <c r="AG157"/>
  <c r="AG330"/>
  <c r="AG246"/>
  <c r="AG162"/>
  <c r="AG42"/>
  <c r="AG67" s="1"/>
  <c r="AG16"/>
  <c r="AG414"/>
  <c r="AG372"/>
  <c r="AG367"/>
  <c r="AG304"/>
  <c r="AG220"/>
  <c r="AG136"/>
  <c r="AG288"/>
  <c r="AG204"/>
  <c r="AG120"/>
  <c r="AG351"/>
  <c r="AH8"/>
  <c r="AG499"/>
  <c r="AG141"/>
  <c r="AG225"/>
  <c r="AG262"/>
  <c r="AG115"/>
  <c r="AG283"/>
  <c r="AG199"/>
  <c r="AG388"/>
  <c r="AG450"/>
  <c r="AG409"/>
  <c r="AG309"/>
  <c r="AG99"/>
  <c r="AG94"/>
  <c r="AG445"/>
  <c r="AG183"/>
  <c r="AG178"/>
  <c r="AG267"/>
  <c r="AB9" i="11"/>
  <c r="AC7"/>
  <c r="AB58"/>
  <c r="AB60"/>
  <c r="AF503" i="116"/>
  <c r="AF466"/>
  <c r="AF440"/>
  <c r="AF409"/>
  <c r="AF325"/>
  <c r="AF241"/>
  <c r="AF157"/>
  <c r="AF445"/>
  <c r="AF414"/>
  <c r="AF330"/>
  <c r="AF246"/>
  <c r="AF162"/>
  <c r="AF42"/>
  <c r="AF67"/>
  <c r="AF16"/>
  <c r="AF450"/>
  <c r="AF388"/>
  <c r="AF304"/>
  <c r="AF220"/>
  <c r="AF136"/>
  <c r="AF499"/>
  <c r="AF372"/>
  <c r="AF288"/>
  <c r="AF204"/>
  <c r="AF120"/>
  <c r="AF183"/>
  <c r="AF178"/>
  <c r="AF225"/>
  <c r="AF115"/>
  <c r="AF267"/>
  <c r="AF262"/>
  <c r="AF435"/>
  <c r="AF430"/>
  <c r="AF393"/>
  <c r="AF283"/>
  <c r="AF94"/>
  <c r="AF482"/>
  <c r="AF141"/>
  <c r="AF199"/>
  <c r="AF346"/>
  <c r="AG8"/>
  <c r="AF351"/>
  <c r="AF507"/>
  <c r="AF508"/>
  <c r="AF509"/>
  <c r="AF367"/>
  <c r="AF309"/>
  <c r="AF99"/>
  <c r="AG503" i="121"/>
  <c r="AG499"/>
  <c r="AG507"/>
  <c r="AG440"/>
  <c r="AG435"/>
  <c r="AG450"/>
  <c r="AG466"/>
  <c r="AG445"/>
  <c r="AG430"/>
  <c r="AG388"/>
  <c r="AG414"/>
  <c r="AG409"/>
  <c r="AG482"/>
  <c r="AG393"/>
  <c r="AG330"/>
  <c r="AG367"/>
  <c r="AG346"/>
  <c r="AG325"/>
  <c r="AG288"/>
  <c r="AG351"/>
  <c r="AG309"/>
  <c r="AG241"/>
  <c r="AG372"/>
  <c r="AG246"/>
  <c r="AG304"/>
  <c r="AG283"/>
  <c r="AG204"/>
  <c r="AG199"/>
  <c r="AG183"/>
  <c r="AG157"/>
  <c r="AG262"/>
  <c r="AG267"/>
  <c r="AG120"/>
  <c r="AG94"/>
  <c r="AG225"/>
  <c r="AG42"/>
  <c r="AG67"/>
  <c r="AG141"/>
  <c r="AG99"/>
  <c r="AG220"/>
  <c r="AG162"/>
  <c r="AG115"/>
  <c r="AG136"/>
  <c r="AH8"/>
  <c r="AG178"/>
  <c r="AG16"/>
  <c r="AF509"/>
  <c r="AG448"/>
  <c r="AG447"/>
  <c r="AG443"/>
  <c r="AG442"/>
  <c r="AG438"/>
  <c r="AG437"/>
  <c r="AG433"/>
  <c r="AG432"/>
  <c r="AG391"/>
  <c r="AG349"/>
  <c r="AG412"/>
  <c r="AG370"/>
  <c r="AG328"/>
  <c r="AG244"/>
  <c r="AG265"/>
  <c r="AG160"/>
  <c r="AG307"/>
  <c r="AG286"/>
  <c r="AG202"/>
  <c r="AG181"/>
  <c r="AG97"/>
  <c r="AG118"/>
  <c r="AG223"/>
  <c r="AG139"/>
  <c r="AG443" i="120"/>
  <c r="AG412"/>
  <c r="AG448"/>
  <c r="AG391"/>
  <c r="AG438"/>
  <c r="AG433"/>
  <c r="AG370"/>
  <c r="AG202"/>
  <c r="AG349"/>
  <c r="AG265"/>
  <c r="AG286"/>
  <c r="AG160"/>
  <c r="AG139"/>
  <c r="AG244"/>
  <c r="AG181"/>
  <c r="AG307"/>
  <c r="AG118"/>
  <c r="AG328"/>
  <c r="AG223"/>
  <c r="AG448" i="119"/>
  <c r="AG412"/>
  <c r="AG328"/>
  <c r="AG443"/>
  <c r="AG438"/>
  <c r="AG370"/>
  <c r="AG286"/>
  <c r="AG97" i="120"/>
  <c r="AG244" i="119"/>
  <c r="AG160"/>
  <c r="AG349"/>
  <c r="AG433"/>
  <c r="AG307"/>
  <c r="AG443" i="118"/>
  <c r="AG412"/>
  <c r="AG328"/>
  <c r="AG244"/>
  <c r="AG265" i="119"/>
  <c r="AG181"/>
  <c r="AG139"/>
  <c r="AG438" i="118"/>
  <c r="AG391"/>
  <c r="AG307"/>
  <c r="AG223"/>
  <c r="AG97" i="119"/>
  <c r="AG370" i="118"/>
  <c r="AG286"/>
  <c r="AG202"/>
  <c r="AG118" i="119"/>
  <c r="AG448" i="118"/>
  <c r="AG265"/>
  <c r="AG139"/>
  <c r="AG433"/>
  <c r="AG181"/>
  <c r="AG97"/>
  <c r="AG349"/>
  <c r="AG433" i="117"/>
  <c r="AG349"/>
  <c r="AG438"/>
  <c r="AG391"/>
  <c r="AG307"/>
  <c r="AG370"/>
  <c r="AG286"/>
  <c r="AG202"/>
  <c r="AG118"/>
  <c r="AG118" i="118"/>
  <c r="AG223" i="119"/>
  <c r="AG160" i="118"/>
  <c r="AG412" i="117"/>
  <c r="AG328"/>
  <c r="AG448" i="116"/>
  <c r="AG433" i="28"/>
  <c r="AG349"/>
  <c r="AG391" i="119"/>
  <c r="AG391" i="116"/>
  <c r="AG307"/>
  <c r="AG223"/>
  <c r="AG139"/>
  <c r="AG438" i="28"/>
  <c r="AG97" i="117"/>
  <c r="AG443" i="28"/>
  <c r="AG412"/>
  <c r="AG265" i="117"/>
  <c r="AG433" i="116"/>
  <c r="AG349"/>
  <c r="AG265"/>
  <c r="AG181"/>
  <c r="AG97"/>
  <c r="AG328"/>
  <c r="AG328" i="28"/>
  <c r="AG244"/>
  <c r="AG160"/>
  <c r="AG223" i="117"/>
  <c r="AG181"/>
  <c r="AG139"/>
  <c r="AG202" i="116"/>
  <c r="AG370" i="28"/>
  <c r="AG412" i="116"/>
  <c r="AG448" i="28"/>
  <c r="AG307"/>
  <c r="AG223"/>
  <c r="AG139"/>
  <c r="AG244" i="117"/>
  <c r="AG370" i="116"/>
  <c r="AG391" i="28"/>
  <c r="AG202" i="119"/>
  <c r="AG160" i="116"/>
  <c r="AG118" i="28"/>
  <c r="AG97"/>
  <c r="AG202"/>
  <c r="AG448" i="117"/>
  <c r="AG443"/>
  <c r="AG438" i="116"/>
  <c r="AG286" i="28"/>
  <c r="AG286" i="116"/>
  <c r="AG118"/>
  <c r="AG181" i="28"/>
  <c r="AG160" i="117"/>
  <c r="AG443" i="116"/>
  <c r="AG244"/>
  <c r="AG265" i="28"/>
  <c r="AC58" i="11"/>
  <c r="AC60"/>
  <c r="AC9"/>
  <c r="AD7"/>
  <c r="AG445" i="116"/>
  <c r="AG414"/>
  <c r="AG330"/>
  <c r="AG246"/>
  <c r="AG162"/>
  <c r="AG42"/>
  <c r="AG67" s="1"/>
  <c r="AG16"/>
  <c r="AG450"/>
  <c r="AG388"/>
  <c r="AG304"/>
  <c r="AG220"/>
  <c r="AG136"/>
  <c r="AG507"/>
  <c r="AG508" s="1"/>
  <c r="AG509" s="1"/>
  <c r="AG393"/>
  <c r="AG309"/>
  <c r="AG225"/>
  <c r="AG141"/>
  <c r="AG482"/>
  <c r="AG430"/>
  <c r="AG346"/>
  <c r="AG262"/>
  <c r="AG178"/>
  <c r="AG94"/>
  <c r="AG120"/>
  <c r="AG115"/>
  <c r="AG325"/>
  <c r="AG267"/>
  <c r="AG466"/>
  <c r="AG204"/>
  <c r="AG199"/>
  <c r="AH8"/>
  <c r="AH388" s="1"/>
  <c r="AG157"/>
  <c r="AG99"/>
  <c r="AG440"/>
  <c r="AG241"/>
  <c r="AG183"/>
  <c r="AG435"/>
  <c r="AG351"/>
  <c r="AG372"/>
  <c r="AG409"/>
  <c r="AG503"/>
  <c r="AG367"/>
  <c r="AG499"/>
  <c r="AG288"/>
  <c r="AG283"/>
  <c r="AB37" i="11"/>
  <c r="AB56" s="1"/>
  <c r="AB24"/>
  <c r="AG503" i="119"/>
  <c r="AG445"/>
  <c r="AG351"/>
  <c r="AG267"/>
  <c r="AG450"/>
  <c r="AG409"/>
  <c r="AG325"/>
  <c r="AG414"/>
  <c r="AG330"/>
  <c r="AG435"/>
  <c r="AG367"/>
  <c r="AG283"/>
  <c r="AG499"/>
  <c r="AG440"/>
  <c r="AG183"/>
  <c r="AG99"/>
  <c r="AG309"/>
  <c r="AG241"/>
  <c r="AG157"/>
  <c r="AG246"/>
  <c r="AG162"/>
  <c r="AG42"/>
  <c r="AG67"/>
  <c r="AG16"/>
  <c r="AG372"/>
  <c r="AG225"/>
  <c r="AG141"/>
  <c r="AG466"/>
  <c r="AG393"/>
  <c r="AG220"/>
  <c r="AH8"/>
  <c r="AG388"/>
  <c r="AG507"/>
  <c r="AG508"/>
  <c r="AG509"/>
  <c r="AG304"/>
  <c r="AG178"/>
  <c r="AG346"/>
  <c r="AG262"/>
  <c r="AG204"/>
  <c r="AG199"/>
  <c r="AG430"/>
  <c r="AG120"/>
  <c r="AG94"/>
  <c r="AG136"/>
  <c r="AG115"/>
  <c r="AG482"/>
  <c r="AG288"/>
  <c r="AH435" i="28"/>
  <c r="AH351"/>
  <c r="AH503"/>
  <c r="AH466"/>
  <c r="AH440"/>
  <c r="AH445"/>
  <c r="AH414"/>
  <c r="AH367"/>
  <c r="AH482"/>
  <c r="AH330"/>
  <c r="AH246"/>
  <c r="AH162"/>
  <c r="AH42"/>
  <c r="AH67"/>
  <c r="AH16"/>
  <c r="AH372"/>
  <c r="AH304"/>
  <c r="AH220"/>
  <c r="AH136"/>
  <c r="AH450"/>
  <c r="AH309"/>
  <c r="AH225"/>
  <c r="AH141"/>
  <c r="AH499"/>
  <c r="AH388"/>
  <c r="AH262"/>
  <c r="AH178"/>
  <c r="AH94"/>
  <c r="AH430"/>
  <c r="AH204"/>
  <c r="AH115"/>
  <c r="AH288"/>
  <c r="AH199"/>
  <c r="AH393"/>
  <c r="AH507"/>
  <c r="AH508"/>
  <c r="AH509" s="1"/>
  <c r="AH409"/>
  <c r="AI8"/>
  <c r="AH283"/>
  <c r="AH99"/>
  <c r="AH325"/>
  <c r="AH346"/>
  <c r="AH183"/>
  <c r="AH157"/>
  <c r="AH267"/>
  <c r="AH241"/>
  <c r="AH120"/>
  <c r="AH220" i="116"/>
  <c r="AH141"/>
  <c r="AH115"/>
  <c r="AH267"/>
  <c r="AH42"/>
  <c r="AH67" s="1"/>
  <c r="AH262"/>
  <c r="AH409"/>
  <c r="AH16"/>
  <c r="AH178"/>
  <c r="AH157"/>
  <c r="AH482"/>
  <c r="AH120"/>
  <c r="AH241"/>
  <c r="AH162"/>
  <c r="AH430"/>
  <c r="AH346"/>
  <c r="AH440"/>
  <c r="AH288"/>
  <c r="AH503"/>
  <c r="AH330"/>
  <c r="AD58" i="11"/>
  <c r="AD60" s="1"/>
  <c r="AE7"/>
  <c r="AD9"/>
  <c r="AH482" i="121"/>
  <c r="AH499"/>
  <c r="AH503"/>
  <c r="AH507"/>
  <c r="AH445"/>
  <c r="AH430"/>
  <c r="AH409"/>
  <c r="AH450"/>
  <c r="AH414"/>
  <c r="AH466"/>
  <c r="AH440"/>
  <c r="AH351"/>
  <c r="AH367"/>
  <c r="AH304"/>
  <c r="AH435"/>
  <c r="AH393"/>
  <c r="AH372"/>
  <c r="AH283"/>
  <c r="AH246"/>
  <c r="AH388"/>
  <c r="AH325"/>
  <c r="AH309"/>
  <c r="AH288"/>
  <c r="AH262"/>
  <c r="AH346"/>
  <c r="AH162"/>
  <c r="AH241"/>
  <c r="AH220"/>
  <c r="AH178"/>
  <c r="AH99"/>
  <c r="AH330"/>
  <c r="AH267"/>
  <c r="AH225"/>
  <c r="AH199"/>
  <c r="AH141"/>
  <c r="AH204"/>
  <c r="AH183"/>
  <c r="AH115"/>
  <c r="AH136"/>
  <c r="AI8"/>
  <c r="AH157"/>
  <c r="AH42"/>
  <c r="AH67"/>
  <c r="AH16"/>
  <c r="AH120"/>
  <c r="AH94"/>
  <c r="AH443"/>
  <c r="AH442"/>
  <c r="AH438"/>
  <c r="AH437"/>
  <c r="AH433"/>
  <c r="AH432"/>
  <c r="AH370"/>
  <c r="AH307"/>
  <c r="AH391"/>
  <c r="AH448"/>
  <c r="AH447" s="1"/>
  <c r="AH349"/>
  <c r="AH412"/>
  <c r="AH286"/>
  <c r="AH265"/>
  <c r="AH181"/>
  <c r="AH244"/>
  <c r="AH328"/>
  <c r="AH223"/>
  <c r="AH160"/>
  <c r="AH118"/>
  <c r="AH202"/>
  <c r="AH97"/>
  <c r="AH448" i="120"/>
  <c r="AH139" i="121"/>
  <c r="AH391" i="120"/>
  <c r="AH307"/>
  <c r="AH370"/>
  <c r="AH286"/>
  <c r="AH438"/>
  <c r="AH433"/>
  <c r="AH349"/>
  <c r="AH265"/>
  <c r="AH443"/>
  <c r="AH328"/>
  <c r="AH223"/>
  <c r="AH244"/>
  <c r="AH181"/>
  <c r="AH202"/>
  <c r="AH118"/>
  <c r="AH139"/>
  <c r="AH443" i="119"/>
  <c r="AH412" i="120"/>
  <c r="AH412" i="119"/>
  <c r="AH328"/>
  <c r="AH391"/>
  <c r="AH307"/>
  <c r="AH97" i="120"/>
  <c r="AH244" i="119"/>
  <c r="AH160"/>
  <c r="AH349"/>
  <c r="AH223"/>
  <c r="AH139"/>
  <c r="AH438" i="118"/>
  <c r="AH438" i="119"/>
  <c r="AH202"/>
  <c r="AH118"/>
  <c r="AH448" i="118"/>
  <c r="AH265" i="119"/>
  <c r="AH181"/>
  <c r="AH391" i="118"/>
  <c r="AH448" i="119"/>
  <c r="AH97"/>
  <c r="AH265" i="118"/>
  <c r="AH244"/>
  <c r="AH139"/>
  <c r="AH433"/>
  <c r="AH307"/>
  <c r="AH286"/>
  <c r="AH370"/>
  <c r="AH328"/>
  <c r="AH223"/>
  <c r="AH118"/>
  <c r="AH286" i="119"/>
  <c r="AH412" i="118"/>
  <c r="AH433" i="119"/>
  <c r="AH370"/>
  <c r="AH181" i="118"/>
  <c r="AH97"/>
  <c r="AH433" i="117"/>
  <c r="AH349"/>
  <c r="AH438"/>
  <c r="AH443" i="118"/>
  <c r="AH443" i="117"/>
  <c r="AH412"/>
  <c r="AH328"/>
  <c r="AH160" i="118"/>
  <c r="AH448" i="117"/>
  <c r="AH181"/>
  <c r="AH97"/>
  <c r="AH244"/>
  <c r="AH223"/>
  <c r="AH139"/>
  <c r="AH118"/>
  <c r="AH391" i="116"/>
  <c r="AH307"/>
  <c r="AH223"/>
  <c r="AH139"/>
  <c r="AH438" i="28"/>
  <c r="AH370" i="117"/>
  <c r="AH443" i="28"/>
  <c r="AH160" i="120"/>
  <c r="AH349" i="118"/>
  <c r="AH307" i="117"/>
  <c r="AH370" i="116"/>
  <c r="AH286"/>
  <c r="AH202"/>
  <c r="AH118"/>
  <c r="AH448" i="28"/>
  <c r="AH202" i="117"/>
  <c r="AH160"/>
  <c r="AH438" i="116"/>
  <c r="AH370" i="28"/>
  <c r="AH448" i="116"/>
  <c r="AH265"/>
  <c r="AH391" i="117"/>
  <c r="AH265"/>
  <c r="AH412" i="116"/>
  <c r="AH433" i="28"/>
  <c r="AH307"/>
  <c r="AH223"/>
  <c r="AH139"/>
  <c r="AH443" i="116"/>
  <c r="AH349"/>
  <c r="AH202" i="118"/>
  <c r="AH244" i="116"/>
  <c r="AH412" i="28"/>
  <c r="AH265"/>
  <c r="AH181"/>
  <c r="AH97"/>
  <c r="AH286" i="117"/>
  <c r="AH433" i="116"/>
  <c r="AH391" i="28"/>
  <c r="AH202"/>
  <c r="AH244"/>
  <c r="AH328" i="116"/>
  <c r="AH181"/>
  <c r="AH286" i="28"/>
  <c r="AH160"/>
  <c r="AH118"/>
  <c r="AH349"/>
  <c r="AH160" i="116"/>
  <c r="AH328" i="28"/>
  <c r="AH97" i="116"/>
  <c r="AG509" i="121"/>
  <c r="AG513"/>
  <c r="AC37" i="11"/>
  <c r="AC56" s="1"/>
  <c r="AC24"/>
  <c r="AI503" i="28"/>
  <c r="AI466"/>
  <c r="AI440"/>
  <c r="AI409"/>
  <c r="AI445"/>
  <c r="AI450"/>
  <c r="AI499"/>
  <c r="AI372"/>
  <c r="AI435"/>
  <c r="AI304"/>
  <c r="AI220"/>
  <c r="AI136"/>
  <c r="AI414"/>
  <c r="AI367"/>
  <c r="AI309"/>
  <c r="AI225"/>
  <c r="AI141"/>
  <c r="AI430"/>
  <c r="AI283"/>
  <c r="AI199"/>
  <c r="AI115"/>
  <c r="AJ8"/>
  <c r="AI267"/>
  <c r="AI183"/>
  <c r="AI99"/>
  <c r="AI288"/>
  <c r="AI388"/>
  <c r="AI330"/>
  <c r="AI157"/>
  <c r="AI204"/>
  <c r="AI507"/>
  <c r="AI508"/>
  <c r="AI509" s="1"/>
  <c r="AI246"/>
  <c r="AI393"/>
  <c r="AI162"/>
  <c r="AI16"/>
  <c r="AI346"/>
  <c r="AI94"/>
  <c r="AI351"/>
  <c r="AI241"/>
  <c r="AI178"/>
  <c r="AI482"/>
  <c r="AI325"/>
  <c r="AI262"/>
  <c r="AI120"/>
  <c r="AI42"/>
  <c r="AI67"/>
  <c r="AH503" i="119"/>
  <c r="AH466"/>
  <c r="AH450"/>
  <c r="AH499"/>
  <c r="AH409"/>
  <c r="AH325"/>
  <c r="AH414"/>
  <c r="AH330"/>
  <c r="AH388"/>
  <c r="AH304"/>
  <c r="AH507"/>
  <c r="AH508"/>
  <c r="AH509" s="1"/>
  <c r="AH482"/>
  <c r="AH445"/>
  <c r="AH440"/>
  <c r="AH430"/>
  <c r="AH372"/>
  <c r="AH288"/>
  <c r="AH309"/>
  <c r="AH241"/>
  <c r="AH157"/>
  <c r="AH351"/>
  <c r="AH246"/>
  <c r="AH162"/>
  <c r="AH42"/>
  <c r="AH67" s="1"/>
  <c r="AH346"/>
  <c r="AH220"/>
  <c r="AH136"/>
  <c r="AH367"/>
  <c r="AH199"/>
  <c r="AH115"/>
  <c r="AI8"/>
  <c r="AH435"/>
  <c r="AH183"/>
  <c r="AH141"/>
  <c r="AH178"/>
  <c r="AH94"/>
  <c r="AH283"/>
  <c r="AH120"/>
  <c r="AH16"/>
  <c r="AH267"/>
  <c r="AH225"/>
  <c r="AH99"/>
  <c r="AH393"/>
  <c r="AH262"/>
  <c r="AH204"/>
  <c r="AI503" i="121"/>
  <c r="AI507"/>
  <c r="AI499"/>
  <c r="AI482"/>
  <c r="AI466"/>
  <c r="AI445"/>
  <c r="AI414"/>
  <c r="AI450"/>
  <c r="AI409"/>
  <c r="AI435"/>
  <c r="AI372"/>
  <c r="AI346"/>
  <c r="AI309"/>
  <c r="AI430"/>
  <c r="AI388"/>
  <c r="AI367"/>
  <c r="AI325"/>
  <c r="AI393"/>
  <c r="AI351"/>
  <c r="AI262"/>
  <c r="AI440"/>
  <c r="AI304"/>
  <c r="AI330"/>
  <c r="AI220"/>
  <c r="AI283"/>
  <c r="AI267"/>
  <c r="AI183"/>
  <c r="AI136"/>
  <c r="AI288"/>
  <c r="AI241"/>
  <c r="AI225"/>
  <c r="AI204"/>
  <c r="AI199"/>
  <c r="AI157"/>
  <c r="AI115"/>
  <c r="AI99"/>
  <c r="AI178"/>
  <c r="AI94"/>
  <c r="AI246"/>
  <c r="AI120"/>
  <c r="AI42"/>
  <c r="AI67"/>
  <c r="AI16"/>
  <c r="AI162"/>
  <c r="AI141"/>
  <c r="AJ8"/>
  <c r="AD37" i="11"/>
  <c r="AD56" s="1"/>
  <c r="AD24"/>
  <c r="AE58"/>
  <c r="AE60" s="1"/>
  <c r="AF7"/>
  <c r="AE9"/>
  <c r="AI445" i="119"/>
  <c r="AI507"/>
  <c r="AI508" s="1"/>
  <c r="AI509" s="1"/>
  <c r="AI482"/>
  <c r="AI430"/>
  <c r="AI450"/>
  <c r="AI414"/>
  <c r="AI330"/>
  <c r="AI246"/>
  <c r="AI388"/>
  <c r="AI393"/>
  <c r="AI309"/>
  <c r="AI503"/>
  <c r="AI346"/>
  <c r="AI351"/>
  <c r="AI325"/>
  <c r="AI162"/>
  <c r="AI42"/>
  <c r="AI67"/>
  <c r="AI16"/>
  <c r="AI409"/>
  <c r="AI220"/>
  <c r="AI136"/>
  <c r="AI288"/>
  <c r="AI225"/>
  <c r="AI141"/>
  <c r="AI466"/>
  <c r="AI304"/>
  <c r="AI267"/>
  <c r="AI204"/>
  <c r="AI120"/>
  <c r="AI367"/>
  <c r="AI178"/>
  <c r="AI440"/>
  <c r="AI283"/>
  <c r="AI262"/>
  <c r="AI99"/>
  <c r="AJ8"/>
  <c r="AI94"/>
  <c r="AI372"/>
  <c r="AI183"/>
  <c r="AI115"/>
  <c r="AI435"/>
  <c r="AI199"/>
  <c r="AI499"/>
  <c r="AI241"/>
  <c r="AI157"/>
  <c r="AJ445" i="28"/>
  <c r="AJ414"/>
  <c r="AJ450"/>
  <c r="AJ507"/>
  <c r="AJ508"/>
  <c r="AJ509" s="1"/>
  <c r="AJ482"/>
  <c r="AJ430"/>
  <c r="AJ346"/>
  <c r="AJ466"/>
  <c r="AJ372"/>
  <c r="AJ367"/>
  <c r="AJ309"/>
  <c r="AJ225"/>
  <c r="AJ141"/>
  <c r="AJ283"/>
  <c r="AJ199"/>
  <c r="AJ115"/>
  <c r="AK8"/>
  <c r="AJ409"/>
  <c r="AJ393"/>
  <c r="AJ288"/>
  <c r="AJ204"/>
  <c r="AJ120"/>
  <c r="AJ503"/>
  <c r="AJ351"/>
  <c r="AJ325"/>
  <c r="AJ241"/>
  <c r="AJ157"/>
  <c r="AJ440"/>
  <c r="AJ178"/>
  <c r="AJ162"/>
  <c r="AJ16"/>
  <c r="AJ94"/>
  <c r="AJ435"/>
  <c r="AJ499"/>
  <c r="AJ388"/>
  <c r="AJ246"/>
  <c r="AJ330"/>
  <c r="AJ99"/>
  <c r="AJ183"/>
  <c r="AJ136"/>
  <c r="AJ267"/>
  <c r="AJ262"/>
  <c r="AJ220"/>
  <c r="AJ42"/>
  <c r="AJ67"/>
  <c r="AJ304"/>
  <c r="AH513" i="121"/>
  <c r="AH509"/>
  <c r="AI513"/>
  <c r="AJ507"/>
  <c r="AJ503"/>
  <c r="AJ499"/>
  <c r="AJ482"/>
  <c r="AJ440"/>
  <c r="AJ466"/>
  <c r="AJ450"/>
  <c r="AJ435"/>
  <c r="AJ414"/>
  <c r="AJ409"/>
  <c r="AJ388"/>
  <c r="AJ346"/>
  <c r="AJ430"/>
  <c r="AJ445"/>
  <c r="AJ330"/>
  <c r="AJ367"/>
  <c r="AJ372"/>
  <c r="AJ309"/>
  <c r="AJ304"/>
  <c r="AJ351"/>
  <c r="AJ283"/>
  <c r="AJ267"/>
  <c r="AJ393"/>
  <c r="AJ288"/>
  <c r="AJ325"/>
  <c r="AJ225"/>
  <c r="AJ241"/>
  <c r="AJ141"/>
  <c r="AJ262"/>
  <c r="AJ199"/>
  <c r="AJ157"/>
  <c r="AJ204"/>
  <c r="AJ183"/>
  <c r="AJ136"/>
  <c r="AJ178"/>
  <c r="AJ162"/>
  <c r="AJ220"/>
  <c r="AJ120"/>
  <c r="AJ42"/>
  <c r="AJ67"/>
  <c r="AJ99"/>
  <c r="AJ94"/>
  <c r="AJ246"/>
  <c r="AJ16"/>
  <c r="AJ115"/>
  <c r="AK8"/>
  <c r="AJ450" i="119"/>
  <c r="AJ507"/>
  <c r="AJ508" s="1"/>
  <c r="AJ509" s="1"/>
  <c r="AJ435"/>
  <c r="AJ388"/>
  <c r="AJ304"/>
  <c r="AJ393"/>
  <c r="AJ499"/>
  <c r="AJ466"/>
  <c r="AJ367"/>
  <c r="AJ283"/>
  <c r="AJ351"/>
  <c r="AJ409"/>
  <c r="AJ246"/>
  <c r="AJ220"/>
  <c r="AJ136"/>
  <c r="AJ346"/>
  <c r="AJ288"/>
  <c r="AJ225"/>
  <c r="AJ141"/>
  <c r="AJ482"/>
  <c r="AJ372"/>
  <c r="AJ199"/>
  <c r="AJ115"/>
  <c r="AK8"/>
  <c r="AJ330"/>
  <c r="AJ262"/>
  <c r="AJ178"/>
  <c r="AJ94"/>
  <c r="AJ440"/>
  <c r="AJ99"/>
  <c r="AJ503"/>
  <c r="AJ309"/>
  <c r="AJ267"/>
  <c r="AJ204"/>
  <c r="AJ157"/>
  <c r="AJ445"/>
  <c r="AJ430"/>
  <c r="AJ162"/>
  <c r="AJ120"/>
  <c r="AJ16"/>
  <c r="AJ183"/>
  <c r="AJ241"/>
  <c r="AJ414"/>
  <c r="AJ325"/>
  <c r="AJ42"/>
  <c r="AJ67"/>
  <c r="AJ139" i="116"/>
  <c r="AJ370" i="28"/>
  <c r="AJ181"/>
  <c r="AJ97"/>
  <c r="AJ412"/>
  <c r="AJ307"/>
  <c r="AJ328" i="116"/>
  <c r="AI509" i="121"/>
  <c r="AK450" i="28"/>
  <c r="AK388"/>
  <c r="AK507"/>
  <c r="AK508"/>
  <c r="AK509" s="1"/>
  <c r="AK435"/>
  <c r="AK351"/>
  <c r="AK414"/>
  <c r="AK283"/>
  <c r="AK199"/>
  <c r="AK115"/>
  <c r="AL8"/>
  <c r="AL503" s="1"/>
  <c r="AK430"/>
  <c r="AK409"/>
  <c r="AK393"/>
  <c r="AK288"/>
  <c r="AK204"/>
  <c r="AK120"/>
  <c r="AK445"/>
  <c r="AK262"/>
  <c r="AK178"/>
  <c r="AK94"/>
  <c r="AK346"/>
  <c r="AK330"/>
  <c r="AK246"/>
  <c r="AK162"/>
  <c r="AK42"/>
  <c r="AK67"/>
  <c r="AK16"/>
  <c r="AK466"/>
  <c r="AK225"/>
  <c r="AK309"/>
  <c r="AK440"/>
  <c r="AK499"/>
  <c r="AK183"/>
  <c r="AK157"/>
  <c r="AK267"/>
  <c r="AK241"/>
  <c r="AK372"/>
  <c r="AK503"/>
  <c r="AK141"/>
  <c r="AK99"/>
  <c r="AK136"/>
  <c r="AK367"/>
  <c r="AK220"/>
  <c r="AK482"/>
  <c r="AK325"/>
  <c r="AK304"/>
  <c r="AE24" i="11"/>
  <c r="AE37"/>
  <c r="AE56" s="1"/>
  <c r="AG7"/>
  <c r="AG58" s="1"/>
  <c r="AG60" s="1"/>
  <c r="AF58"/>
  <c r="AF60" s="1"/>
  <c r="AF9"/>
  <c r="AF24"/>
  <c r="AF37"/>
  <c r="AF56" s="1"/>
  <c r="AL507" i="28"/>
  <c r="AL508" s="1"/>
  <c r="AL509" s="1"/>
  <c r="AL393"/>
  <c r="AL499"/>
  <c r="AL466"/>
  <c r="AL440"/>
  <c r="AL409"/>
  <c r="AL288"/>
  <c r="AL204"/>
  <c r="AL120"/>
  <c r="AL445"/>
  <c r="AL262"/>
  <c r="AL178"/>
  <c r="AL388"/>
  <c r="AL267"/>
  <c r="AL183"/>
  <c r="AL482"/>
  <c r="AL304"/>
  <c r="AL220"/>
  <c r="AL199"/>
  <c r="AL162"/>
  <c r="AL16"/>
  <c r="AL346"/>
  <c r="AL325"/>
  <c r="AL115"/>
  <c r="AL283"/>
  <c r="AL246"/>
  <c r="AL141"/>
  <c r="AL309"/>
  <c r="AL241"/>
  <c r="AL330"/>
  <c r="AL157"/>
  <c r="AL42"/>
  <c r="AL67" s="1"/>
  <c r="AL351"/>
  <c r="AM8"/>
  <c r="AK507" i="119"/>
  <c r="AK508" s="1"/>
  <c r="AK509" s="1"/>
  <c r="AK499"/>
  <c r="AK503"/>
  <c r="AK466"/>
  <c r="AK440"/>
  <c r="AK393"/>
  <c r="AK309"/>
  <c r="AK367"/>
  <c r="AK435"/>
  <c r="AK372"/>
  <c r="AK288"/>
  <c r="AK409"/>
  <c r="AK325"/>
  <c r="AK346"/>
  <c r="AK225"/>
  <c r="AK141"/>
  <c r="AK482"/>
  <c r="AK199"/>
  <c r="AK115"/>
  <c r="AK445"/>
  <c r="AK267"/>
  <c r="AK204"/>
  <c r="AK120"/>
  <c r="AK450"/>
  <c r="AK414"/>
  <c r="AK183"/>
  <c r="AK99"/>
  <c r="AK388"/>
  <c r="AK351"/>
  <c r="AK304"/>
  <c r="AK283"/>
  <c r="AK262"/>
  <c r="AK157"/>
  <c r="AK136"/>
  <c r="AK94"/>
  <c r="AK42"/>
  <c r="AK67"/>
  <c r="AK430"/>
  <c r="AK241"/>
  <c r="AK246"/>
  <c r="AK220"/>
  <c r="AL8"/>
  <c r="AK162"/>
  <c r="AK16"/>
  <c r="AK330"/>
  <c r="AK178"/>
  <c r="AK499" i="121"/>
  <c r="AK507"/>
  <c r="AK503"/>
  <c r="AK450"/>
  <c r="AK482"/>
  <c r="AK430"/>
  <c r="AK466"/>
  <c r="AK435"/>
  <c r="AK440"/>
  <c r="AK409"/>
  <c r="AK388"/>
  <c r="AK445"/>
  <c r="AK351"/>
  <c r="AK393"/>
  <c r="AK304"/>
  <c r="AK372"/>
  <c r="AK330"/>
  <c r="AK325"/>
  <c r="AK414"/>
  <c r="AK283"/>
  <c r="AK199"/>
  <c r="AK346"/>
  <c r="AK246"/>
  <c r="AK288"/>
  <c r="AK262"/>
  <c r="AK241"/>
  <c r="AK178"/>
  <c r="AK183"/>
  <c r="AK162"/>
  <c r="AK267"/>
  <c r="AK225"/>
  <c r="AK309"/>
  <c r="AK204"/>
  <c r="AK157"/>
  <c r="AK115"/>
  <c r="AK367"/>
  <c r="AK141"/>
  <c r="AK120"/>
  <c r="AK94"/>
  <c r="AK220"/>
  <c r="AK136"/>
  <c r="AK42"/>
  <c r="AK67"/>
  <c r="AK16"/>
  <c r="AL8"/>
  <c r="AK99"/>
  <c r="AJ509"/>
  <c r="AG9" i="11"/>
  <c r="AH7"/>
  <c r="AJ513" i="121"/>
  <c r="AK513"/>
  <c r="AL499" i="119"/>
  <c r="AL482"/>
  <c r="AL445"/>
  <c r="AL367"/>
  <c r="AL283"/>
  <c r="AL466"/>
  <c r="AL435"/>
  <c r="AL372"/>
  <c r="AL440"/>
  <c r="AL430"/>
  <c r="AL346"/>
  <c r="AL262"/>
  <c r="AL414"/>
  <c r="AL330"/>
  <c r="AL288"/>
  <c r="AL199"/>
  <c r="AL115"/>
  <c r="AM8"/>
  <c r="AL267"/>
  <c r="AL204"/>
  <c r="AL120"/>
  <c r="AL304"/>
  <c r="AL178"/>
  <c r="AL94"/>
  <c r="AL241"/>
  <c r="AL157"/>
  <c r="AL99"/>
  <c r="AL507"/>
  <c r="AL508"/>
  <c r="AL503"/>
  <c r="AL409"/>
  <c r="AL309"/>
  <c r="AL136"/>
  <c r="AL325"/>
  <c r="AL246"/>
  <c r="AL225"/>
  <c r="AL16"/>
  <c r="AL450"/>
  <c r="AL183"/>
  <c r="AL351"/>
  <c r="AL393"/>
  <c r="AL220"/>
  <c r="AL42"/>
  <c r="AL67"/>
  <c r="AL162"/>
  <c r="AL141"/>
  <c r="AL388"/>
  <c r="AM367" i="28"/>
  <c r="AM499"/>
  <c r="AM482"/>
  <c r="AM430"/>
  <c r="AM445"/>
  <c r="AM414"/>
  <c r="AM450"/>
  <c r="AM409"/>
  <c r="AM393"/>
  <c r="AM262"/>
  <c r="AM178"/>
  <c r="AM94"/>
  <c r="AM388"/>
  <c r="AM267"/>
  <c r="AM183"/>
  <c r="AM99"/>
  <c r="AM440"/>
  <c r="AM325"/>
  <c r="AM241"/>
  <c r="AM157"/>
  <c r="AM507"/>
  <c r="AM508" s="1"/>
  <c r="AM509" s="1"/>
  <c r="AM435"/>
  <c r="AM372"/>
  <c r="AM309"/>
  <c r="AM225"/>
  <c r="AM141"/>
  <c r="AM283"/>
  <c r="AM246"/>
  <c r="AM42"/>
  <c r="AM67" s="1"/>
  <c r="AM16"/>
  <c r="AM503"/>
  <c r="AM330"/>
  <c r="AM220"/>
  <c r="AM346"/>
  <c r="AM136"/>
  <c r="AM304"/>
  <c r="AM466"/>
  <c r="AM351"/>
  <c r="AM120"/>
  <c r="AN8"/>
  <c r="AM204"/>
  <c r="AM115"/>
  <c r="AM288"/>
  <c r="AM199"/>
  <c r="AM162"/>
  <c r="AL507" i="121"/>
  <c r="AL499"/>
  <c r="AL503"/>
  <c r="AL482"/>
  <c r="AL466"/>
  <c r="AL440"/>
  <c r="AL409"/>
  <c r="AL393"/>
  <c r="AL450"/>
  <c r="AL435"/>
  <c r="AL430"/>
  <c r="AL351"/>
  <c r="AL445"/>
  <c r="AL388"/>
  <c r="AL414"/>
  <c r="AL372"/>
  <c r="AL367"/>
  <c r="AL309"/>
  <c r="AL346"/>
  <c r="AL304"/>
  <c r="AL325"/>
  <c r="AL262"/>
  <c r="AL204"/>
  <c r="AL288"/>
  <c r="AL220"/>
  <c r="AL178"/>
  <c r="AL267"/>
  <c r="AL330"/>
  <c r="AL246"/>
  <c r="AL136"/>
  <c r="AL157"/>
  <c r="AL183"/>
  <c r="AL283"/>
  <c r="AL241"/>
  <c r="AL162"/>
  <c r="AL99"/>
  <c r="AL115"/>
  <c r="AL94"/>
  <c r="AL120"/>
  <c r="AL42"/>
  <c r="AL67"/>
  <c r="AL16"/>
  <c r="AL199"/>
  <c r="AL225"/>
  <c r="AL141"/>
  <c r="AM8"/>
  <c r="AH9" i="11"/>
  <c r="AH58"/>
  <c r="AH60" s="1"/>
  <c r="AI7"/>
  <c r="AK509" i="121"/>
  <c r="AG24" i="11"/>
  <c r="AG37"/>
  <c r="AG56"/>
  <c r="AM507" i="121"/>
  <c r="AM482"/>
  <c r="AM503"/>
  <c r="AM499"/>
  <c r="AM466"/>
  <c r="AM450"/>
  <c r="AM435"/>
  <c r="AM409"/>
  <c r="AM430"/>
  <c r="AM393"/>
  <c r="AM367"/>
  <c r="AM414"/>
  <c r="AM445"/>
  <c r="AM388"/>
  <c r="AM372"/>
  <c r="AM440"/>
  <c r="AM346"/>
  <c r="AM283"/>
  <c r="AM351"/>
  <c r="AM304"/>
  <c r="AM309"/>
  <c r="AM288"/>
  <c r="AM267"/>
  <c r="AM262"/>
  <c r="AM330"/>
  <c r="AM225"/>
  <c r="AM178"/>
  <c r="AM220"/>
  <c r="AM204"/>
  <c r="AM157"/>
  <c r="AM141"/>
  <c r="AM183"/>
  <c r="AM115"/>
  <c r="AM325"/>
  <c r="AM136"/>
  <c r="AM120"/>
  <c r="AM94"/>
  <c r="AM246"/>
  <c r="AM162"/>
  <c r="AM42"/>
  <c r="AM67" s="1"/>
  <c r="AM16"/>
  <c r="AM241"/>
  <c r="AM199"/>
  <c r="AM99"/>
  <c r="AN8"/>
  <c r="AL513"/>
  <c r="AL513" i="120"/>
  <c r="AL513" i="119"/>
  <c r="AL513" i="118"/>
  <c r="AL513" i="117"/>
  <c r="AL513" i="28"/>
  <c r="AL513" i="116"/>
  <c r="AH24" i="11"/>
  <c r="AH37"/>
  <c r="AH56"/>
  <c r="AL509" i="121"/>
  <c r="AL492" s="1"/>
  <c r="AL495"/>
  <c r="AL490"/>
  <c r="AL486"/>
  <c r="AL479"/>
  <c r="AL455"/>
  <c r="AL494"/>
  <c r="AL489"/>
  <c r="AL487"/>
  <c r="AL475"/>
  <c r="AL472"/>
  <c r="AL488"/>
  <c r="AL459"/>
  <c r="AL456"/>
  <c r="AL424"/>
  <c r="AL417"/>
  <c r="AL485"/>
  <c r="AL473"/>
  <c r="AL469"/>
  <c r="AL460"/>
  <c r="AL462"/>
  <c r="AL457"/>
  <c r="AL419"/>
  <c r="AL418"/>
  <c r="AL491"/>
  <c r="AL478"/>
  <c r="AL470"/>
  <c r="AL458"/>
  <c r="AL471"/>
  <c r="AL463"/>
  <c r="AL422"/>
  <c r="AL400"/>
  <c r="AL398"/>
  <c r="AL384"/>
  <c r="AL382"/>
  <c r="AL375"/>
  <c r="AL358"/>
  <c r="AL423"/>
  <c r="AL454"/>
  <c r="AL426"/>
  <c r="AL380"/>
  <c r="AL376"/>
  <c r="AL360"/>
  <c r="AL427"/>
  <c r="AL385"/>
  <c r="AL364"/>
  <c r="AL342"/>
  <c r="AL336"/>
  <c r="AL317"/>
  <c r="AL313"/>
  <c r="AL297"/>
  <c r="AL421"/>
  <c r="AL420"/>
  <c r="AL401"/>
  <c r="AL402"/>
  <c r="AL399"/>
  <c r="AL381"/>
  <c r="AL377"/>
  <c r="AL363"/>
  <c r="AL474"/>
  <c r="AL343"/>
  <c r="AL314"/>
  <c r="AL291"/>
  <c r="AL396"/>
  <c r="AL379"/>
  <c r="AL357"/>
  <c r="AL354"/>
  <c r="AL406"/>
  <c r="AL301"/>
  <c r="AL296"/>
  <c r="AL453"/>
  <c r="AL335"/>
  <c r="AL333"/>
  <c r="AL338"/>
  <c r="AL318"/>
  <c r="AL292"/>
  <c r="AL280"/>
  <c r="AL251"/>
  <c r="AL405"/>
  <c r="AL397"/>
  <c r="AL378"/>
  <c r="AL337"/>
  <c r="AL355"/>
  <c r="AL321"/>
  <c r="AL315"/>
  <c r="AL274"/>
  <c r="AL322"/>
  <c r="AL294"/>
  <c r="AL258"/>
  <c r="AL252"/>
  <c r="AL334"/>
  <c r="AL293"/>
  <c r="AL259"/>
  <c r="AL254"/>
  <c r="AL249"/>
  <c r="AL238"/>
  <c r="AL209"/>
  <c r="AL359"/>
  <c r="AL339"/>
  <c r="AL295"/>
  <c r="AL279"/>
  <c r="AL273"/>
  <c r="AL253"/>
  <c r="AL312"/>
  <c r="AL270"/>
  <c r="AL340"/>
  <c r="AL316"/>
  <c r="AL275"/>
  <c r="AL216"/>
  <c r="AL210"/>
  <c r="AL191"/>
  <c r="AL187"/>
  <c r="AL232"/>
  <c r="AL217"/>
  <c r="AL212"/>
  <c r="AL207"/>
  <c r="AL192"/>
  <c r="AL169"/>
  <c r="AL154"/>
  <c r="AL231"/>
  <c r="AL211"/>
  <c r="AL188"/>
  <c r="AL174"/>
  <c r="AL255"/>
  <c r="AL228"/>
  <c r="AL196"/>
  <c r="AL190"/>
  <c r="AL172"/>
  <c r="AL165"/>
  <c r="AL148"/>
  <c r="AL300"/>
  <c r="AL237"/>
  <c r="AL195"/>
  <c r="AL171"/>
  <c r="AL132"/>
  <c r="AL126"/>
  <c r="AL356"/>
  <c r="AL271"/>
  <c r="AL189"/>
  <c r="AL133"/>
  <c r="AL106"/>
  <c r="AL186"/>
  <c r="AL149"/>
  <c r="AL145"/>
  <c r="AL276"/>
  <c r="AL250"/>
  <c r="AL233"/>
  <c r="AL146"/>
  <c r="AL144"/>
  <c r="AL109"/>
  <c r="AL102"/>
  <c r="AL234"/>
  <c r="AL230"/>
  <c r="AL208"/>
  <c r="AL127"/>
  <c r="AL123"/>
  <c r="AL104"/>
  <c r="AL213"/>
  <c r="AL175"/>
  <c r="AL112"/>
  <c r="AL170"/>
  <c r="AL166"/>
  <c r="AL107"/>
  <c r="AL103"/>
  <c r="AL153"/>
  <c r="AL129"/>
  <c r="AL105"/>
  <c r="AL167"/>
  <c r="AL150"/>
  <c r="AL229"/>
  <c r="AL168"/>
  <c r="AL124"/>
  <c r="AL39"/>
  <c r="AL108"/>
  <c r="AL272"/>
  <c r="AL147"/>
  <c r="AL111"/>
  <c r="AL125"/>
  <c r="AL128"/>
  <c r="AL488" i="119"/>
  <c r="AL470"/>
  <c r="AL485"/>
  <c r="AL472"/>
  <c r="AL454"/>
  <c r="AL495"/>
  <c r="AL471"/>
  <c r="AL453"/>
  <c r="AL418"/>
  <c r="AL357"/>
  <c r="AL334"/>
  <c r="AL273"/>
  <c r="AL250"/>
  <c r="AL406"/>
  <c r="AL377"/>
  <c r="AL354"/>
  <c r="AL322"/>
  <c r="AL479"/>
  <c r="AL456"/>
  <c r="AL455"/>
  <c r="AL420"/>
  <c r="AL397"/>
  <c r="AL336"/>
  <c r="AL313"/>
  <c r="AL419"/>
  <c r="AL396"/>
  <c r="AL364"/>
  <c r="AL335"/>
  <c r="AL312"/>
  <c r="AL280"/>
  <c r="AL427"/>
  <c r="AL399"/>
  <c r="AL333"/>
  <c r="AL301"/>
  <c r="AL259"/>
  <c r="AL249"/>
  <c r="AL189"/>
  <c r="AL166"/>
  <c r="AL105"/>
  <c r="AL487"/>
  <c r="AL417"/>
  <c r="AL375"/>
  <c r="AL355"/>
  <c r="AL315"/>
  <c r="AL314"/>
  <c r="AL238"/>
  <c r="AL209"/>
  <c r="AL186"/>
  <c r="AL154"/>
  <c r="AL125"/>
  <c r="AL102"/>
  <c r="AL270"/>
  <c r="AL229"/>
  <c r="AL168"/>
  <c r="AL145"/>
  <c r="AL398"/>
  <c r="AL294"/>
  <c r="AL272"/>
  <c r="AL231"/>
  <c r="AL208"/>
  <c r="AL147"/>
  <c r="AL124"/>
  <c r="AL252"/>
  <c r="AL210"/>
  <c r="AL196"/>
  <c r="AL187"/>
  <c r="AL228"/>
  <c r="AL207"/>
  <c r="AL486"/>
  <c r="AL469"/>
  <c r="AL251"/>
  <c r="AL378"/>
  <c r="AL356"/>
  <c r="AL217"/>
  <c r="AL144"/>
  <c r="AL123"/>
  <c r="AL39"/>
  <c r="AL291"/>
  <c r="AL146"/>
  <c r="AL112"/>
  <c r="AL103"/>
  <c r="AL20" s="1"/>
  <c r="AL343"/>
  <c r="AL230"/>
  <c r="AL293"/>
  <c r="AL167"/>
  <c r="AL104"/>
  <c r="AL188"/>
  <c r="AL126"/>
  <c r="AL165"/>
  <c r="AL376"/>
  <c r="AL133"/>
  <c r="AL385"/>
  <c r="AL292"/>
  <c r="AL271"/>
  <c r="AL175"/>
  <c r="AL463"/>
  <c r="AM499"/>
  <c r="AM482"/>
  <c r="AM435"/>
  <c r="AM450"/>
  <c r="AM466"/>
  <c r="AM372"/>
  <c r="AM288"/>
  <c r="AM440"/>
  <c r="AM430"/>
  <c r="AM346"/>
  <c r="AM503"/>
  <c r="AM445"/>
  <c r="AM351"/>
  <c r="AM267"/>
  <c r="AM388"/>
  <c r="AM304"/>
  <c r="AM204"/>
  <c r="AM120"/>
  <c r="AM178"/>
  <c r="AM94"/>
  <c r="AM367"/>
  <c r="AM330"/>
  <c r="AM262"/>
  <c r="AM183"/>
  <c r="AM99"/>
  <c r="AM393"/>
  <c r="AM283"/>
  <c r="AM162"/>
  <c r="AM42"/>
  <c r="AM67"/>
  <c r="AM16"/>
  <c r="AM507"/>
  <c r="AM508" s="1"/>
  <c r="AM509" s="1"/>
  <c r="AM409"/>
  <c r="AM309"/>
  <c r="AM157"/>
  <c r="AM136"/>
  <c r="AM325"/>
  <c r="AM246"/>
  <c r="AM199"/>
  <c r="AM414"/>
  <c r="AM241"/>
  <c r="AM115"/>
  <c r="AM225"/>
  <c r="AM141"/>
  <c r="AM220"/>
  <c r="AN8"/>
  <c r="AN499" i="28"/>
  <c r="AN372"/>
  <c r="AN482"/>
  <c r="AN430"/>
  <c r="AN435"/>
  <c r="AN450"/>
  <c r="AN388"/>
  <c r="AN445"/>
  <c r="AN267"/>
  <c r="AN183"/>
  <c r="AN99"/>
  <c r="AN440"/>
  <c r="AN325"/>
  <c r="AN241"/>
  <c r="AN157"/>
  <c r="AN503"/>
  <c r="AN351"/>
  <c r="AN346"/>
  <c r="AN330"/>
  <c r="AN246"/>
  <c r="AN162"/>
  <c r="AN42"/>
  <c r="AN67"/>
  <c r="AN16"/>
  <c r="AN466"/>
  <c r="AN367"/>
  <c r="AN283"/>
  <c r="AN199"/>
  <c r="AN115"/>
  <c r="AO8"/>
  <c r="AN414"/>
  <c r="AN141"/>
  <c r="AN178"/>
  <c r="AN393"/>
  <c r="AN225"/>
  <c r="AN136"/>
  <c r="AN304"/>
  <c r="AN262"/>
  <c r="AN507"/>
  <c r="AN508"/>
  <c r="AN309"/>
  <c r="AN220"/>
  <c r="AN94"/>
  <c r="AN409"/>
  <c r="AN120"/>
  <c r="AN204"/>
  <c r="AN288"/>
  <c r="AM488"/>
  <c r="AM470"/>
  <c r="AM418"/>
  <c r="AM357"/>
  <c r="AM485"/>
  <c r="AM463"/>
  <c r="AM472"/>
  <c r="AM454"/>
  <c r="AM420"/>
  <c r="AM495"/>
  <c r="AM471"/>
  <c r="AM453"/>
  <c r="AM419"/>
  <c r="AM396"/>
  <c r="AM364"/>
  <c r="AM486"/>
  <c r="AM427"/>
  <c r="AM336"/>
  <c r="AM313"/>
  <c r="AM252"/>
  <c r="AM229"/>
  <c r="AM168"/>
  <c r="AM145"/>
  <c r="AM455"/>
  <c r="AM417"/>
  <c r="AM398"/>
  <c r="AM378"/>
  <c r="AM376"/>
  <c r="AM354"/>
  <c r="AM333"/>
  <c r="AM301"/>
  <c r="AM272"/>
  <c r="AM249"/>
  <c r="AM217"/>
  <c r="AM188"/>
  <c r="AM165"/>
  <c r="AM133"/>
  <c r="AM104"/>
  <c r="AM356"/>
  <c r="AM315"/>
  <c r="AM292"/>
  <c r="AM231"/>
  <c r="AM208"/>
  <c r="AM147"/>
  <c r="AM124"/>
  <c r="AM479"/>
  <c r="AM469"/>
  <c r="AM406"/>
  <c r="AM377"/>
  <c r="AM355"/>
  <c r="AM343"/>
  <c r="AM314"/>
  <c r="AM291"/>
  <c r="AM259"/>
  <c r="AM230"/>
  <c r="AM207"/>
  <c r="AM175"/>
  <c r="AM146"/>
  <c r="AM123"/>
  <c r="AM271"/>
  <c r="AM228"/>
  <c r="AM189"/>
  <c r="AM102"/>
  <c r="AM397"/>
  <c r="AM334"/>
  <c r="AM487"/>
  <c r="AM322"/>
  <c r="AM210"/>
  <c r="AM144"/>
  <c r="AM312"/>
  <c r="AM273"/>
  <c r="AM186"/>
  <c r="AM166"/>
  <c r="AM238"/>
  <c r="AM126"/>
  <c r="AM335"/>
  <c r="AM293"/>
  <c r="AM385"/>
  <c r="AM270"/>
  <c r="AM250"/>
  <c r="AM154"/>
  <c r="AM456"/>
  <c r="AM112"/>
  <c r="AM39"/>
  <c r="AM375"/>
  <c r="AM105"/>
  <c r="AM294"/>
  <c r="AM196"/>
  <c r="AM167"/>
  <c r="AM125"/>
  <c r="AM399"/>
  <c r="AM280"/>
  <c r="AM251"/>
  <c r="AM209"/>
  <c r="AM103"/>
  <c r="AM20" s="1"/>
  <c r="AM187"/>
  <c r="AI9" i="11"/>
  <c r="AJ7"/>
  <c r="AI58"/>
  <c r="AI60" s="1"/>
  <c r="AO482" i="28"/>
  <c r="AO430"/>
  <c r="AO346"/>
  <c r="AO435"/>
  <c r="AO503"/>
  <c r="AO466"/>
  <c r="AO440"/>
  <c r="AO507"/>
  <c r="AO508"/>
  <c r="AO509"/>
  <c r="AO393"/>
  <c r="AO388"/>
  <c r="AO325"/>
  <c r="AO241"/>
  <c r="AO157"/>
  <c r="AO351"/>
  <c r="AO330"/>
  <c r="AO246"/>
  <c r="AO162"/>
  <c r="AO42"/>
  <c r="AO67"/>
  <c r="AO16"/>
  <c r="AO499"/>
  <c r="AO304"/>
  <c r="AO220"/>
  <c r="AO136"/>
  <c r="AO414"/>
  <c r="AO288"/>
  <c r="AO204"/>
  <c r="AO120"/>
  <c r="AO225"/>
  <c r="AO141"/>
  <c r="AO309"/>
  <c r="AO99"/>
  <c r="AO94"/>
  <c r="AO267"/>
  <c r="AO262"/>
  <c r="AO450"/>
  <c r="AP8"/>
  <c r="AO283"/>
  <c r="AO409"/>
  <c r="AO367"/>
  <c r="AO183"/>
  <c r="AO178"/>
  <c r="AO445"/>
  <c r="AO372"/>
  <c r="AO115"/>
  <c r="AO199"/>
  <c r="AN499" i="121"/>
  <c r="AN503"/>
  <c r="AN507"/>
  <c r="AN466"/>
  <c r="AN414"/>
  <c r="AN450"/>
  <c r="AN445"/>
  <c r="AN430"/>
  <c r="AN440"/>
  <c r="AN482"/>
  <c r="AN435"/>
  <c r="AN372"/>
  <c r="AN325"/>
  <c r="AN409"/>
  <c r="AN393"/>
  <c r="AN367"/>
  <c r="AN288"/>
  <c r="AN388"/>
  <c r="AN330"/>
  <c r="AN309"/>
  <c r="AN346"/>
  <c r="AN283"/>
  <c r="AN351"/>
  <c r="AN304"/>
  <c r="AN262"/>
  <c r="AN241"/>
  <c r="AN267"/>
  <c r="AN246"/>
  <c r="AN199"/>
  <c r="AN220"/>
  <c r="AN204"/>
  <c r="AN225"/>
  <c r="AN183"/>
  <c r="AN162"/>
  <c r="AN136"/>
  <c r="AN141"/>
  <c r="AN99"/>
  <c r="AN178"/>
  <c r="AN115"/>
  <c r="AN94"/>
  <c r="AN42"/>
  <c r="AN67" s="1"/>
  <c r="AN157"/>
  <c r="AN120"/>
  <c r="AO8"/>
  <c r="AN16"/>
  <c r="AM32" i="28"/>
  <c r="AN482" i="119"/>
  <c r="AN503"/>
  <c r="AN466"/>
  <c r="AN440"/>
  <c r="AN507"/>
  <c r="AN508"/>
  <c r="AN509" s="1"/>
  <c r="AN435"/>
  <c r="AN430"/>
  <c r="AN346"/>
  <c r="AN262"/>
  <c r="AN499"/>
  <c r="AN445"/>
  <c r="AN351"/>
  <c r="AN409"/>
  <c r="AN325"/>
  <c r="AN450"/>
  <c r="AN393"/>
  <c r="AN309"/>
  <c r="AN267"/>
  <c r="AN178"/>
  <c r="AN94"/>
  <c r="AN372"/>
  <c r="AN367"/>
  <c r="AN330"/>
  <c r="AN304"/>
  <c r="AN183"/>
  <c r="AN99"/>
  <c r="AN414"/>
  <c r="AN241"/>
  <c r="AN157"/>
  <c r="AN388"/>
  <c r="AN246"/>
  <c r="AN220"/>
  <c r="AN136"/>
  <c r="AN283"/>
  <c r="AN204"/>
  <c r="AN199"/>
  <c r="AN288"/>
  <c r="AN225"/>
  <c r="AN42"/>
  <c r="AN67"/>
  <c r="AN162"/>
  <c r="AN120"/>
  <c r="AN115"/>
  <c r="AO8"/>
  <c r="AN141"/>
  <c r="AN16"/>
  <c r="AL32"/>
  <c r="AL256" i="121"/>
  <c r="AL21"/>
  <c r="AL130"/>
  <c r="AL277"/>
  <c r="AL193"/>
  <c r="AM489"/>
  <c r="AM491"/>
  <c r="AM488"/>
  <c r="AM487"/>
  <c r="AM474"/>
  <c r="AM470"/>
  <c r="AM459"/>
  <c r="AM509"/>
  <c r="AM340"/>
  <c r="AM495"/>
  <c r="AM486"/>
  <c r="AM473"/>
  <c r="AM405"/>
  <c r="AM478"/>
  <c r="AM475"/>
  <c r="AM472"/>
  <c r="AM455"/>
  <c r="AM479"/>
  <c r="AM456"/>
  <c r="AM453"/>
  <c r="AM423"/>
  <c r="AM420"/>
  <c r="AM401"/>
  <c r="AM471"/>
  <c r="AM426"/>
  <c r="AM427"/>
  <c r="AM490"/>
  <c r="AM494"/>
  <c r="AM462"/>
  <c r="AM385"/>
  <c r="AM363"/>
  <c r="AM357"/>
  <c r="AM463"/>
  <c r="AM418"/>
  <c r="AM400"/>
  <c r="AM398"/>
  <c r="AM379"/>
  <c r="AM364"/>
  <c r="AM457"/>
  <c r="AM422"/>
  <c r="AM421"/>
  <c r="AM333"/>
  <c r="AM316"/>
  <c r="AM301"/>
  <c r="AM402"/>
  <c r="AM399"/>
  <c r="AM381"/>
  <c r="AM377"/>
  <c r="AM406"/>
  <c r="AM397"/>
  <c r="AM396"/>
  <c r="AM485"/>
  <c r="AM419"/>
  <c r="AM378"/>
  <c r="AM376"/>
  <c r="AM354"/>
  <c r="AM338"/>
  <c r="AM334"/>
  <c r="AM318"/>
  <c r="AM342"/>
  <c r="AM417"/>
  <c r="AM359"/>
  <c r="AM339"/>
  <c r="AM315"/>
  <c r="AM312"/>
  <c r="AM360"/>
  <c r="AM469"/>
  <c r="AM454"/>
  <c r="AM384"/>
  <c r="AM380"/>
  <c r="AM375"/>
  <c r="AM336"/>
  <c r="AM314"/>
  <c r="AM293"/>
  <c r="AM337"/>
  <c r="AM275"/>
  <c r="AM271"/>
  <c r="AM255"/>
  <c r="AM355"/>
  <c r="AM321"/>
  <c r="AM458"/>
  <c r="AM343"/>
  <c r="AM313"/>
  <c r="AM279"/>
  <c r="AM356"/>
  <c r="AM272"/>
  <c r="AM249"/>
  <c r="AM295"/>
  <c r="AM292"/>
  <c r="AM291"/>
  <c r="AM273"/>
  <c r="AM253"/>
  <c r="AM233"/>
  <c r="AM229"/>
  <c r="AM213"/>
  <c r="AM317"/>
  <c r="AM270"/>
  <c r="AM252"/>
  <c r="AM424"/>
  <c r="AM297"/>
  <c r="AM274"/>
  <c r="AM335"/>
  <c r="AM300"/>
  <c r="AM296"/>
  <c r="AM250"/>
  <c r="AM230"/>
  <c r="AM214"/>
  <c r="AM207"/>
  <c r="AM190"/>
  <c r="AM259"/>
  <c r="AM254"/>
  <c r="AM251"/>
  <c r="AM231"/>
  <c r="AM211"/>
  <c r="AM188"/>
  <c r="AM174"/>
  <c r="AM168"/>
  <c r="AM149"/>
  <c r="AM145"/>
  <c r="AM228"/>
  <c r="AM210"/>
  <c r="AM196"/>
  <c r="AM191"/>
  <c r="AM153"/>
  <c r="AM147"/>
  <c r="AM276"/>
  <c r="AM208"/>
  <c r="AM186"/>
  <c r="AM175"/>
  <c r="AM146"/>
  <c r="AM123"/>
  <c r="AM294"/>
  <c r="AM238"/>
  <c r="AM232"/>
  <c r="AM192"/>
  <c r="AM171"/>
  <c r="AM129"/>
  <c r="AM126"/>
  <c r="AM111"/>
  <c r="AM105"/>
  <c r="AM187"/>
  <c r="AM169"/>
  <c r="AM144"/>
  <c r="AM358"/>
  <c r="AM150"/>
  <c r="AM170"/>
  <c r="AM108"/>
  <c r="AM322"/>
  <c r="AM280"/>
  <c r="AM212"/>
  <c r="AM166"/>
  <c r="AM154"/>
  <c r="AM107"/>
  <c r="AM103"/>
  <c r="AM104"/>
  <c r="AM21" s="1"/>
  <c r="AM189"/>
  <c r="AM124"/>
  <c r="AM39"/>
  <c r="AM148"/>
  <c r="AM133"/>
  <c r="AM132"/>
  <c r="AM258"/>
  <c r="AM102"/>
  <c r="AM127"/>
  <c r="AM112"/>
  <c r="AM216"/>
  <c r="AM167"/>
  <c r="AM209"/>
  <c r="AM128"/>
  <c r="AM234"/>
  <c r="AM195"/>
  <c r="AM125"/>
  <c r="AM165"/>
  <c r="AM217"/>
  <c r="AM237"/>
  <c r="AM106"/>
  <c r="AK7" i="11"/>
  <c r="AJ58"/>
  <c r="AJ60" s="1"/>
  <c r="AJ9"/>
  <c r="AN485" i="28"/>
  <c r="AN463"/>
  <c r="AN406"/>
  <c r="AN377"/>
  <c r="AN354"/>
  <c r="AN472"/>
  <c r="AN454"/>
  <c r="AN487"/>
  <c r="AN469"/>
  <c r="AN417"/>
  <c r="AN486"/>
  <c r="AN378"/>
  <c r="AN355"/>
  <c r="AN495"/>
  <c r="AN455"/>
  <c r="AN398"/>
  <c r="AN376"/>
  <c r="AN333"/>
  <c r="AN301"/>
  <c r="AN272"/>
  <c r="AN249"/>
  <c r="AN217"/>
  <c r="AN188"/>
  <c r="AN165"/>
  <c r="AN133"/>
  <c r="AN104"/>
  <c r="AN21" s="1"/>
  <c r="AN488"/>
  <c r="AN470"/>
  <c r="AN418"/>
  <c r="AN356"/>
  <c r="AN315"/>
  <c r="AN292"/>
  <c r="AN231"/>
  <c r="AN208"/>
  <c r="AN147"/>
  <c r="AN124"/>
  <c r="AN419"/>
  <c r="AN397"/>
  <c r="AN375"/>
  <c r="AN335"/>
  <c r="AN312"/>
  <c r="AN280"/>
  <c r="AN251"/>
  <c r="AN228"/>
  <c r="AN196"/>
  <c r="AN167"/>
  <c r="AN144"/>
  <c r="AN112"/>
  <c r="AN39"/>
  <c r="AN396"/>
  <c r="AN334"/>
  <c r="AN273"/>
  <c r="AN250"/>
  <c r="AN189"/>
  <c r="AN166"/>
  <c r="AN105"/>
  <c r="AN186"/>
  <c r="AN207"/>
  <c r="AN336"/>
  <c r="AN291"/>
  <c r="AN125"/>
  <c r="AN420"/>
  <c r="AN385"/>
  <c r="AN364"/>
  <c r="AN270"/>
  <c r="AN175"/>
  <c r="AN154"/>
  <c r="AN146"/>
  <c r="AN453"/>
  <c r="AN357"/>
  <c r="AN322"/>
  <c r="AN252"/>
  <c r="AN210"/>
  <c r="AN456"/>
  <c r="AN259"/>
  <c r="AN238"/>
  <c r="AN230"/>
  <c r="AN168"/>
  <c r="AN126"/>
  <c r="AN123"/>
  <c r="AN343"/>
  <c r="AN314"/>
  <c r="AN294"/>
  <c r="AN145"/>
  <c r="AN427"/>
  <c r="AN102"/>
  <c r="AN479"/>
  <c r="AN399"/>
  <c r="AN229"/>
  <c r="AN209"/>
  <c r="AN103"/>
  <c r="AN20" s="1"/>
  <c r="AN471"/>
  <c r="AN313"/>
  <c r="AN293"/>
  <c r="AN187"/>
  <c r="AN271"/>
  <c r="AL151" i="121"/>
  <c r="AL20"/>
  <c r="AL214"/>
  <c r="AL361"/>
  <c r="AL403"/>
  <c r="AI37" i="11"/>
  <c r="AI56"/>
  <c r="AI24"/>
  <c r="AL235" i="121"/>
  <c r="AL476"/>
  <c r="AM485" i="119"/>
  <c r="AM463"/>
  <c r="AM487"/>
  <c r="AM469"/>
  <c r="AM486"/>
  <c r="AM406"/>
  <c r="AM377"/>
  <c r="AM354"/>
  <c r="AM322"/>
  <c r="AM293"/>
  <c r="AM270"/>
  <c r="AM488"/>
  <c r="AM479"/>
  <c r="AM456"/>
  <c r="AM455"/>
  <c r="AM454"/>
  <c r="AM453"/>
  <c r="AM420"/>
  <c r="AM397"/>
  <c r="AM336"/>
  <c r="AM417"/>
  <c r="AM385"/>
  <c r="AM356"/>
  <c r="AM333"/>
  <c r="AM301"/>
  <c r="AM272"/>
  <c r="AM378"/>
  <c r="AM355"/>
  <c r="AM294"/>
  <c r="AM271"/>
  <c r="AM375"/>
  <c r="AM315"/>
  <c r="AM314"/>
  <c r="AM313"/>
  <c r="AM238"/>
  <c r="AM209"/>
  <c r="AM186"/>
  <c r="AM154"/>
  <c r="AM125"/>
  <c r="AM102"/>
  <c r="AM364"/>
  <c r="AM250"/>
  <c r="AM229"/>
  <c r="AM168"/>
  <c r="AM145"/>
  <c r="AM472"/>
  <c r="AM470"/>
  <c r="AM396"/>
  <c r="AM292"/>
  <c r="AM291"/>
  <c r="AM252"/>
  <c r="AM251"/>
  <c r="AM217"/>
  <c r="AM188"/>
  <c r="AM165"/>
  <c r="AM133"/>
  <c r="AM104"/>
  <c r="AM376"/>
  <c r="AM335"/>
  <c r="AM228"/>
  <c r="AM196"/>
  <c r="AM167"/>
  <c r="AM144"/>
  <c r="AM112"/>
  <c r="AM39"/>
  <c r="AM207"/>
  <c r="AM166"/>
  <c r="AM124"/>
  <c r="AM427"/>
  <c r="AM418"/>
  <c r="AM189"/>
  <c r="AM495"/>
  <c r="AM471"/>
  <c r="AM357"/>
  <c r="AM343"/>
  <c r="AM334"/>
  <c r="AM249"/>
  <c r="AM230"/>
  <c r="AM147"/>
  <c r="AM126"/>
  <c r="AM103"/>
  <c r="AM419"/>
  <c r="AM399"/>
  <c r="AM259"/>
  <c r="AM105"/>
  <c r="AM231"/>
  <c r="AM398"/>
  <c r="AM210"/>
  <c r="AM208"/>
  <c r="AM175"/>
  <c r="AM146"/>
  <c r="AM273"/>
  <c r="AM187"/>
  <c r="AM123"/>
  <c r="AM280"/>
  <c r="AM312"/>
  <c r="AL319" i="121"/>
  <c r="AL32"/>
  <c r="AL25"/>
  <c r="AL22"/>
  <c r="AL19"/>
  <c r="AL298"/>
  <c r="AL26" s="1"/>
  <c r="AM513"/>
  <c r="AM513" i="120"/>
  <c r="AM513" i="118"/>
  <c r="AM513" i="119"/>
  <c r="AM513" i="117"/>
  <c r="AM513" i="116"/>
  <c r="AM513" i="28"/>
  <c r="AM25" i="121"/>
  <c r="AP435" i="28"/>
  <c r="AP351"/>
  <c r="AP503"/>
  <c r="AP466"/>
  <c r="AP440"/>
  <c r="AP445"/>
  <c r="AP414"/>
  <c r="AP367"/>
  <c r="AP330"/>
  <c r="AP246"/>
  <c r="AP162"/>
  <c r="AP42"/>
  <c r="AP67"/>
  <c r="AP16"/>
  <c r="AP499"/>
  <c r="AP346"/>
  <c r="AP304"/>
  <c r="AP220"/>
  <c r="AP136"/>
  <c r="AP309"/>
  <c r="AP225"/>
  <c r="AP141"/>
  <c r="AP409"/>
  <c r="AP262"/>
  <c r="AP178"/>
  <c r="AP94"/>
  <c r="AP393"/>
  <c r="AP99"/>
  <c r="AP325"/>
  <c r="AP120"/>
  <c r="AP507"/>
  <c r="AP508" s="1"/>
  <c r="AP509" s="1"/>
  <c r="AP388"/>
  <c r="AP183"/>
  <c r="AP157"/>
  <c r="AP204"/>
  <c r="AP267"/>
  <c r="AP241"/>
  <c r="AP450"/>
  <c r="AQ8"/>
  <c r="AP482"/>
  <c r="AP372"/>
  <c r="AP115"/>
  <c r="AP430"/>
  <c r="AP288"/>
  <c r="AP199"/>
  <c r="AP283"/>
  <c r="AN513" i="121"/>
  <c r="AN513" i="120"/>
  <c r="AN513" i="119"/>
  <c r="AN513" i="118"/>
  <c r="AN513" i="116"/>
  <c r="AN513" i="117"/>
  <c r="AN513" i="28"/>
  <c r="AM109" i="121"/>
  <c r="AM20"/>
  <c r="AM22"/>
  <c r="AM235"/>
  <c r="AM298"/>
  <c r="AM476"/>
  <c r="AK58" i="11"/>
  <c r="AK60"/>
  <c r="AL7"/>
  <c r="AK9"/>
  <c r="AM492" i="121"/>
  <c r="AO503" i="119"/>
  <c r="AO445"/>
  <c r="AO499"/>
  <c r="AO440"/>
  <c r="AO351"/>
  <c r="AO267"/>
  <c r="AO409"/>
  <c r="AO325"/>
  <c r="AO507"/>
  <c r="AO508" s="1"/>
  <c r="AO509" s="1"/>
  <c r="AO482"/>
  <c r="AO414"/>
  <c r="AO330"/>
  <c r="AO367"/>
  <c r="AO283"/>
  <c r="AO372"/>
  <c r="AO304"/>
  <c r="AO183"/>
  <c r="AO99"/>
  <c r="AO262"/>
  <c r="AO241"/>
  <c r="AO157"/>
  <c r="AO450"/>
  <c r="AO162"/>
  <c r="AO42"/>
  <c r="AO67" s="1"/>
  <c r="AO16"/>
  <c r="AO430"/>
  <c r="AO309"/>
  <c r="AO225"/>
  <c r="AO141"/>
  <c r="AO246"/>
  <c r="AO204"/>
  <c r="AO199"/>
  <c r="AO288"/>
  <c r="AO94"/>
  <c r="AO220"/>
  <c r="AO346"/>
  <c r="AO115"/>
  <c r="AO178"/>
  <c r="AP8"/>
  <c r="AO393"/>
  <c r="AO120"/>
  <c r="AO466"/>
  <c r="AO388"/>
  <c r="AO136"/>
  <c r="AO435"/>
  <c r="AJ37" i="11"/>
  <c r="AJ56" s="1"/>
  <c r="AJ24"/>
  <c r="AM130" i="121"/>
  <c r="AM403"/>
  <c r="AM172"/>
  <c r="AM32" i="119"/>
  <c r="AM32" i="121"/>
  <c r="AM382"/>
  <c r="AM256"/>
  <c r="AO472" i="28"/>
  <c r="AO454"/>
  <c r="AO420"/>
  <c r="AO397"/>
  <c r="AO487"/>
  <c r="AO476"/>
  <c r="AO469"/>
  <c r="AO424"/>
  <c r="AO456"/>
  <c r="AO479"/>
  <c r="AO455"/>
  <c r="AO427"/>
  <c r="AO398"/>
  <c r="AO382"/>
  <c r="AO375"/>
  <c r="AO343"/>
  <c r="AO488"/>
  <c r="AO470"/>
  <c r="AO460"/>
  <c r="AO418"/>
  <c r="AO417"/>
  <c r="AO403"/>
  <c r="AO378"/>
  <c r="AO356"/>
  <c r="AO354"/>
  <c r="AO315"/>
  <c r="AO292"/>
  <c r="AO231"/>
  <c r="AO208"/>
  <c r="AO147"/>
  <c r="AO124"/>
  <c r="AO419"/>
  <c r="AO335"/>
  <c r="AO319"/>
  <c r="AO312"/>
  <c r="AO280"/>
  <c r="AO251"/>
  <c r="AO235"/>
  <c r="AO228"/>
  <c r="AO196"/>
  <c r="AO167"/>
  <c r="AO151"/>
  <c r="AO144"/>
  <c r="AO112"/>
  <c r="AO39"/>
  <c r="AO364"/>
  <c r="AO294"/>
  <c r="AO271"/>
  <c r="AO210"/>
  <c r="AO187"/>
  <c r="AO126"/>
  <c r="AO103"/>
  <c r="AO471"/>
  <c r="AO463"/>
  <c r="AO453"/>
  <c r="AO399"/>
  <c r="AO385"/>
  <c r="AO357"/>
  <c r="AO322"/>
  <c r="AO293"/>
  <c r="AO277"/>
  <c r="AO270"/>
  <c r="AO238"/>
  <c r="AO209"/>
  <c r="AO193"/>
  <c r="AO186"/>
  <c r="AO154"/>
  <c r="AO125"/>
  <c r="AO109"/>
  <c r="AO102"/>
  <c r="AO495"/>
  <c r="AO486"/>
  <c r="AO355"/>
  <c r="AO273"/>
  <c r="AO175"/>
  <c r="AO166"/>
  <c r="AO146"/>
  <c r="AO336"/>
  <c r="AO188"/>
  <c r="AO145"/>
  <c r="AO272"/>
  <c r="AO229"/>
  <c r="AO172"/>
  <c r="AO396"/>
  <c r="AO377"/>
  <c r="AO376"/>
  <c r="AO259"/>
  <c r="AO250"/>
  <c r="AO230"/>
  <c r="AO168"/>
  <c r="AO133"/>
  <c r="AO123"/>
  <c r="AO291"/>
  <c r="AO492"/>
  <c r="AO485"/>
  <c r="AO406"/>
  <c r="AO334"/>
  <c r="AO314"/>
  <c r="AO252"/>
  <c r="AO217"/>
  <c r="AO207"/>
  <c r="AO104"/>
  <c r="AO301"/>
  <c r="AO165"/>
  <c r="AO130"/>
  <c r="AO361"/>
  <c r="AO313"/>
  <c r="AO256"/>
  <c r="AO249"/>
  <c r="AO214"/>
  <c r="AO340"/>
  <c r="AO333"/>
  <c r="AO298"/>
  <c r="AO105"/>
  <c r="AO22" s="1"/>
  <c r="AO189"/>
  <c r="AM319" i="121"/>
  <c r="AM460"/>
  <c r="AO503"/>
  <c r="AO507"/>
  <c r="AO499"/>
  <c r="AO445"/>
  <c r="AO440"/>
  <c r="AO482"/>
  <c r="AO435"/>
  <c r="AO414"/>
  <c r="AO430"/>
  <c r="AO409"/>
  <c r="AO393"/>
  <c r="AO372"/>
  <c r="AO367"/>
  <c r="AO330"/>
  <c r="AO351"/>
  <c r="AO450"/>
  <c r="AO309"/>
  <c r="AO304"/>
  <c r="AO388"/>
  <c r="AO466"/>
  <c r="AO262"/>
  <c r="AO241"/>
  <c r="AO288"/>
  <c r="AO267"/>
  <c r="AO246"/>
  <c r="AO204"/>
  <c r="AO220"/>
  <c r="AO157"/>
  <c r="AO225"/>
  <c r="AO183"/>
  <c r="AO325"/>
  <c r="AO199"/>
  <c r="AO283"/>
  <c r="AO120"/>
  <c r="AO136"/>
  <c r="AO94"/>
  <c r="AO141"/>
  <c r="AO162"/>
  <c r="AO178"/>
  <c r="AO115"/>
  <c r="AO42"/>
  <c r="AO67" s="1"/>
  <c r="AO346"/>
  <c r="AO99"/>
  <c r="AP8"/>
  <c r="AO16"/>
  <c r="AM361"/>
  <c r="AM151"/>
  <c r="AN472" i="119"/>
  <c r="AN454"/>
  <c r="AN487"/>
  <c r="AN456"/>
  <c r="AN479"/>
  <c r="AN455"/>
  <c r="AN427"/>
  <c r="AN488"/>
  <c r="AN453"/>
  <c r="AN420"/>
  <c r="AN397"/>
  <c r="AN336"/>
  <c r="AN313"/>
  <c r="AN252"/>
  <c r="AN485"/>
  <c r="AN417"/>
  <c r="AN385"/>
  <c r="AN356"/>
  <c r="AN333"/>
  <c r="AN469"/>
  <c r="AN399"/>
  <c r="AN376"/>
  <c r="AN315"/>
  <c r="AN292"/>
  <c r="AN471"/>
  <c r="AN398"/>
  <c r="AN375"/>
  <c r="AN343"/>
  <c r="AN314"/>
  <c r="AN291"/>
  <c r="AN364"/>
  <c r="AN355"/>
  <c r="AN250"/>
  <c r="AN229"/>
  <c r="AN168"/>
  <c r="AN145"/>
  <c r="AN470"/>
  <c r="AN396"/>
  <c r="AN377"/>
  <c r="AN270"/>
  <c r="AN251"/>
  <c r="AN217"/>
  <c r="AN188"/>
  <c r="AN165"/>
  <c r="AN133"/>
  <c r="AN104"/>
  <c r="AN357"/>
  <c r="AN293"/>
  <c r="AN280"/>
  <c r="AN271"/>
  <c r="AN231"/>
  <c r="AN208"/>
  <c r="AN147"/>
  <c r="AN124"/>
  <c r="AN419"/>
  <c r="AN210"/>
  <c r="AN187"/>
  <c r="AN126"/>
  <c r="AN103"/>
  <c r="AN418"/>
  <c r="AN272"/>
  <c r="AN228"/>
  <c r="AN189"/>
  <c r="AN154"/>
  <c r="AN495"/>
  <c r="AN486"/>
  <c r="AN406"/>
  <c r="AN334"/>
  <c r="AN249"/>
  <c r="AN230"/>
  <c r="AN463"/>
  <c r="AN322"/>
  <c r="AN294"/>
  <c r="AN209"/>
  <c r="AN186"/>
  <c r="AN123"/>
  <c r="AN112"/>
  <c r="AN32" s="1"/>
  <c r="AN301"/>
  <c r="AN273"/>
  <c r="AN238"/>
  <c r="AN175"/>
  <c r="AN167"/>
  <c r="AN146"/>
  <c r="AN259"/>
  <c r="AN125"/>
  <c r="AN207"/>
  <c r="AN105"/>
  <c r="AN354"/>
  <c r="AN335"/>
  <c r="AN312"/>
  <c r="AN166"/>
  <c r="AN196"/>
  <c r="AN39"/>
  <c r="AN144"/>
  <c r="AN102"/>
  <c r="AN378"/>
  <c r="AN509" i="121"/>
  <c r="AN340"/>
  <c r="AN494"/>
  <c r="AN488"/>
  <c r="AN492"/>
  <c r="AN473"/>
  <c r="AN463"/>
  <c r="AN495"/>
  <c r="AN486"/>
  <c r="AN478"/>
  <c r="AN419"/>
  <c r="AN403"/>
  <c r="AN490"/>
  <c r="AN459"/>
  <c r="AN453"/>
  <c r="AN402"/>
  <c r="AN400"/>
  <c r="AN485"/>
  <c r="AN479"/>
  <c r="AN469"/>
  <c r="AN427"/>
  <c r="AN422"/>
  <c r="AN417"/>
  <c r="AN489"/>
  <c r="AN471"/>
  <c r="AN454"/>
  <c r="AN426"/>
  <c r="AN420"/>
  <c r="AN491"/>
  <c r="AN487"/>
  <c r="AN423"/>
  <c r="AN405"/>
  <c r="AN377"/>
  <c r="AN354"/>
  <c r="AN472"/>
  <c r="AN418"/>
  <c r="AN456"/>
  <c r="AN421"/>
  <c r="AN406"/>
  <c r="AN475"/>
  <c r="AN457"/>
  <c r="AN399"/>
  <c r="AN378"/>
  <c r="AN359"/>
  <c r="AN355"/>
  <c r="AN401"/>
  <c r="AN381"/>
  <c r="AN321"/>
  <c r="AN315"/>
  <c r="AN296"/>
  <c r="AN292"/>
  <c r="AN397"/>
  <c r="AN396"/>
  <c r="AN363"/>
  <c r="AN458"/>
  <c r="AN380"/>
  <c r="AN398"/>
  <c r="AN356"/>
  <c r="AN337"/>
  <c r="AN322"/>
  <c r="AN293"/>
  <c r="AN470"/>
  <c r="AN384"/>
  <c r="AN375"/>
  <c r="AN358"/>
  <c r="AN335"/>
  <c r="AN474"/>
  <c r="AN385"/>
  <c r="AN376"/>
  <c r="AN364"/>
  <c r="AN343"/>
  <c r="AN318"/>
  <c r="AN297"/>
  <c r="AN357"/>
  <c r="AN274"/>
  <c r="AN259"/>
  <c r="AN336"/>
  <c r="AN333"/>
  <c r="AN313"/>
  <c r="AN298"/>
  <c r="AN317"/>
  <c r="AN301"/>
  <c r="AN334"/>
  <c r="AN300"/>
  <c r="AN295"/>
  <c r="AN276"/>
  <c r="AN339"/>
  <c r="AN279"/>
  <c r="AN270"/>
  <c r="AN252"/>
  <c r="AN232"/>
  <c r="AN217"/>
  <c r="AN360"/>
  <c r="AN312"/>
  <c r="AN237"/>
  <c r="AN338"/>
  <c r="AN314"/>
  <c r="AN294"/>
  <c r="AN280"/>
  <c r="AN272"/>
  <c r="AN258"/>
  <c r="AN251"/>
  <c r="AN271"/>
  <c r="AN255"/>
  <c r="AN234"/>
  <c r="AN195"/>
  <c r="AN189"/>
  <c r="AN273"/>
  <c r="AN228"/>
  <c r="AN210"/>
  <c r="AN196"/>
  <c r="AN191"/>
  <c r="AN165"/>
  <c r="AN148"/>
  <c r="AN133"/>
  <c r="AN316"/>
  <c r="AN275"/>
  <c r="AN190"/>
  <c r="AN455"/>
  <c r="AN379"/>
  <c r="AN230"/>
  <c r="AN216"/>
  <c r="AN209"/>
  <c r="AN167"/>
  <c r="AN253"/>
  <c r="AN238"/>
  <c r="AN233"/>
  <c r="AN229"/>
  <c r="AN213"/>
  <c r="AN170"/>
  <c r="AN166"/>
  <c r="AN150"/>
  <c r="AN188"/>
  <c r="AN187"/>
  <c r="AN186"/>
  <c r="AN169"/>
  <c r="AN149"/>
  <c r="AN145"/>
  <c r="AN144"/>
  <c r="AN102"/>
  <c r="AN250"/>
  <c r="AN193"/>
  <c r="AN146"/>
  <c r="AN254"/>
  <c r="AN211"/>
  <c r="AN175"/>
  <c r="AN147"/>
  <c r="AN127"/>
  <c r="AN104"/>
  <c r="AN249"/>
  <c r="AN212"/>
  <c r="AN174"/>
  <c r="AN153"/>
  <c r="AN132"/>
  <c r="AN124"/>
  <c r="AN112"/>
  <c r="AN207"/>
  <c r="AN129"/>
  <c r="AN105"/>
  <c r="AN39"/>
  <c r="AN126"/>
  <c r="AN108"/>
  <c r="AN231"/>
  <c r="AN128"/>
  <c r="AN106"/>
  <c r="AN107"/>
  <c r="AN342"/>
  <c r="AN171"/>
  <c r="AN291"/>
  <c r="AN192"/>
  <c r="AN111"/>
  <c r="AN103"/>
  <c r="AN125"/>
  <c r="AN208"/>
  <c r="AN168"/>
  <c r="AN154"/>
  <c r="AN123"/>
  <c r="AN462"/>
  <c r="AM277"/>
  <c r="AN32" i="28"/>
  <c r="AM19" i="121"/>
  <c r="AM193"/>
  <c r="AM26"/>
  <c r="AN22"/>
  <c r="AN256"/>
  <c r="AN235"/>
  <c r="AN361"/>
  <c r="AO32" i="28"/>
  <c r="AN20" i="121"/>
  <c r="AN319"/>
  <c r="AN460"/>
  <c r="AO487" i="119"/>
  <c r="AO469"/>
  <c r="AO495"/>
  <c r="AO471"/>
  <c r="AO453"/>
  <c r="AO488"/>
  <c r="AO470"/>
  <c r="AO485"/>
  <c r="AO479"/>
  <c r="AO456"/>
  <c r="AO455"/>
  <c r="AO454"/>
  <c r="AO417"/>
  <c r="AO385"/>
  <c r="AO356"/>
  <c r="AO333"/>
  <c r="AO301"/>
  <c r="AO272"/>
  <c r="AO249"/>
  <c r="AO399"/>
  <c r="AO376"/>
  <c r="AO419"/>
  <c r="AO396"/>
  <c r="AO364"/>
  <c r="AO335"/>
  <c r="AO312"/>
  <c r="AO280"/>
  <c r="AO486"/>
  <c r="AO463"/>
  <c r="AO427"/>
  <c r="AO418"/>
  <c r="AO357"/>
  <c r="AO334"/>
  <c r="AO273"/>
  <c r="AO377"/>
  <c r="AO336"/>
  <c r="AO270"/>
  <c r="AO251"/>
  <c r="AO217"/>
  <c r="AO188"/>
  <c r="AO165"/>
  <c r="AO133"/>
  <c r="AO104"/>
  <c r="AO472"/>
  <c r="AO420"/>
  <c r="AO293"/>
  <c r="AO292"/>
  <c r="AO291"/>
  <c r="AO271"/>
  <c r="AO252"/>
  <c r="AO231"/>
  <c r="AO208"/>
  <c r="AO147"/>
  <c r="AO124"/>
  <c r="AO398"/>
  <c r="AO354"/>
  <c r="AO294"/>
  <c r="AO228"/>
  <c r="AO196"/>
  <c r="AO167"/>
  <c r="AO144"/>
  <c r="AO112"/>
  <c r="AO39"/>
  <c r="AO322"/>
  <c r="AO230"/>
  <c r="AO207"/>
  <c r="AO175"/>
  <c r="AO146"/>
  <c r="AO123"/>
  <c r="AO406"/>
  <c r="AO313"/>
  <c r="AO355"/>
  <c r="AO343"/>
  <c r="AO209"/>
  <c r="AO186"/>
  <c r="AO168"/>
  <c r="AO126"/>
  <c r="AO103"/>
  <c r="AO397"/>
  <c r="AO378"/>
  <c r="AO314"/>
  <c r="AO259"/>
  <c r="AO250"/>
  <c r="AO105"/>
  <c r="AO375"/>
  <c r="AO315"/>
  <c r="AO229"/>
  <c r="AO125"/>
  <c r="AO102"/>
  <c r="AO19" s="1"/>
  <c r="AO210"/>
  <c r="AO238"/>
  <c r="AO166"/>
  <c r="AO189"/>
  <c r="AO154"/>
  <c r="AO145"/>
  <c r="AO187"/>
  <c r="AP487" i="28"/>
  <c r="AP469"/>
  <c r="AP417"/>
  <c r="AP385"/>
  <c r="AP356"/>
  <c r="AP456"/>
  <c r="AP495"/>
  <c r="AP471"/>
  <c r="AP453"/>
  <c r="AP419"/>
  <c r="AP488"/>
  <c r="AP470"/>
  <c r="AP418"/>
  <c r="AP357"/>
  <c r="AP335"/>
  <c r="AP312"/>
  <c r="AP280"/>
  <c r="AP251"/>
  <c r="AP228"/>
  <c r="AP196"/>
  <c r="AP167"/>
  <c r="AP144"/>
  <c r="AP112"/>
  <c r="AP39"/>
  <c r="AP397"/>
  <c r="AP375"/>
  <c r="AP364"/>
  <c r="AP294"/>
  <c r="AP271"/>
  <c r="AP210"/>
  <c r="AP187"/>
  <c r="AP126"/>
  <c r="AP103"/>
  <c r="AP485"/>
  <c r="AP472"/>
  <c r="AP454"/>
  <c r="AP420"/>
  <c r="AP314"/>
  <c r="AP291"/>
  <c r="AP259"/>
  <c r="AP230"/>
  <c r="AP207"/>
  <c r="AP175"/>
  <c r="AP146"/>
  <c r="AP123"/>
  <c r="AP336"/>
  <c r="AP313"/>
  <c r="AP252"/>
  <c r="AP229"/>
  <c r="AP168"/>
  <c r="AP145"/>
  <c r="AP396"/>
  <c r="AP377"/>
  <c r="AP376"/>
  <c r="AP354"/>
  <c r="AP292"/>
  <c r="AP270"/>
  <c r="AP250"/>
  <c r="AP154"/>
  <c r="AP133"/>
  <c r="AP378"/>
  <c r="AP479"/>
  <c r="AP249"/>
  <c r="AP355"/>
  <c r="AP406"/>
  <c r="AP334"/>
  <c r="AP238"/>
  <c r="AP217"/>
  <c r="AP104"/>
  <c r="AP272"/>
  <c r="AP165"/>
  <c r="AP455"/>
  <c r="AP209"/>
  <c r="AP486"/>
  <c r="AP273"/>
  <c r="AP343"/>
  <c r="AP322"/>
  <c r="AP301"/>
  <c r="AP188"/>
  <c r="AP125"/>
  <c r="AP399"/>
  <c r="AP463"/>
  <c r="AP398"/>
  <c r="AP333"/>
  <c r="AP293"/>
  <c r="AP147"/>
  <c r="AP105"/>
  <c r="AP22" s="1"/>
  <c r="AP427"/>
  <c r="AP231"/>
  <c r="AP189"/>
  <c r="AP124"/>
  <c r="AP102"/>
  <c r="AP315"/>
  <c r="AP208"/>
  <c r="AP186"/>
  <c r="AP166"/>
  <c r="AN21" i="121"/>
  <c r="AN172"/>
  <c r="AO495"/>
  <c r="AO509"/>
  <c r="AO492" s="1"/>
  <c r="AO485"/>
  <c r="AO478"/>
  <c r="AO472"/>
  <c r="AO458"/>
  <c r="AO454"/>
  <c r="AO486"/>
  <c r="AO488"/>
  <c r="AO473"/>
  <c r="AO479"/>
  <c r="AO469"/>
  <c r="AO457"/>
  <c r="AO423"/>
  <c r="AO474"/>
  <c r="AO462"/>
  <c r="AO489"/>
  <c r="AO470"/>
  <c r="AO463"/>
  <c r="AO459"/>
  <c r="AO399"/>
  <c r="AO455"/>
  <c r="AO418"/>
  <c r="AO491"/>
  <c r="AO490"/>
  <c r="AO456"/>
  <c r="AO421"/>
  <c r="AO419"/>
  <c r="AO417"/>
  <c r="AO494"/>
  <c r="AO401"/>
  <c r="AO397"/>
  <c r="AO396"/>
  <c r="AO381"/>
  <c r="AO471"/>
  <c r="AO406"/>
  <c r="AO402"/>
  <c r="AO453"/>
  <c r="AO427"/>
  <c r="AO422"/>
  <c r="AO384"/>
  <c r="AO375"/>
  <c r="AO358"/>
  <c r="AO476"/>
  <c r="AO420"/>
  <c r="AO377"/>
  <c r="AO363"/>
  <c r="AO359"/>
  <c r="AO355"/>
  <c r="AO335"/>
  <c r="AO312"/>
  <c r="AO295"/>
  <c r="AO400"/>
  <c r="AO380"/>
  <c r="AO426"/>
  <c r="AO379"/>
  <c r="AO360"/>
  <c r="AO342"/>
  <c r="AO336"/>
  <c r="AO317"/>
  <c r="AO313"/>
  <c r="AO297"/>
  <c r="AO356"/>
  <c r="AO378"/>
  <c r="AO398"/>
  <c r="AO340"/>
  <c r="AO321"/>
  <c r="AO300"/>
  <c r="AO487"/>
  <c r="AO357"/>
  <c r="AO337"/>
  <c r="AO322"/>
  <c r="AO405"/>
  <c r="AO333"/>
  <c r="AO298"/>
  <c r="AO279"/>
  <c r="AO273"/>
  <c r="AO254"/>
  <c r="AO250"/>
  <c r="AO343"/>
  <c r="AO315"/>
  <c r="AO301"/>
  <c r="AO376"/>
  <c r="AO296"/>
  <c r="AO294"/>
  <c r="AO291"/>
  <c r="AO385"/>
  <c r="AO354"/>
  <c r="AO339"/>
  <c r="AO316"/>
  <c r="AO314"/>
  <c r="AO280"/>
  <c r="AO251"/>
  <c r="AO237"/>
  <c r="AO231"/>
  <c r="AO212"/>
  <c r="AO208"/>
  <c r="AO192"/>
  <c r="AO364"/>
  <c r="AO338"/>
  <c r="AO274"/>
  <c r="AO272"/>
  <c r="AO258"/>
  <c r="AO277"/>
  <c r="AO276"/>
  <c r="AO238"/>
  <c r="AO209"/>
  <c r="AO186"/>
  <c r="AO275"/>
  <c r="AO190"/>
  <c r="AO153"/>
  <c r="AO147"/>
  <c r="AO255"/>
  <c r="AO230"/>
  <c r="AO216"/>
  <c r="AO252"/>
  <c r="AO234"/>
  <c r="AO189"/>
  <c r="AO171"/>
  <c r="AO292"/>
  <c r="AO271"/>
  <c r="AO270"/>
  <c r="AO249"/>
  <c r="AO187"/>
  <c r="AO169"/>
  <c r="AO154"/>
  <c r="AO125"/>
  <c r="AO146"/>
  <c r="AO318"/>
  <c r="AO253"/>
  <c r="AO233"/>
  <c r="AO211"/>
  <c r="AO175"/>
  <c r="AO151"/>
  <c r="AO150"/>
  <c r="AO259"/>
  <c r="AO229"/>
  <c r="AO228"/>
  <c r="AO207"/>
  <c r="AO123"/>
  <c r="AO108"/>
  <c r="AO217"/>
  <c r="AO195"/>
  <c r="AO168"/>
  <c r="AO167"/>
  <c r="AO166"/>
  <c r="AO165"/>
  <c r="AO128"/>
  <c r="AO107"/>
  <c r="AO103"/>
  <c r="AO334"/>
  <c r="AO170"/>
  <c r="AO149"/>
  <c r="AO144"/>
  <c r="AO129"/>
  <c r="AO105"/>
  <c r="AO104"/>
  <c r="AO39"/>
  <c r="AO293"/>
  <c r="AO196"/>
  <c r="AO174"/>
  <c r="AO126"/>
  <c r="AO124"/>
  <c r="AO145"/>
  <c r="AO191"/>
  <c r="AO210"/>
  <c r="AO127"/>
  <c r="AO112"/>
  <c r="AO106"/>
  <c r="AO133"/>
  <c r="AO148"/>
  <c r="AO188"/>
  <c r="AO232"/>
  <c r="AO172"/>
  <c r="AO102"/>
  <c r="AO213"/>
  <c r="AO132"/>
  <c r="AO111"/>
  <c r="AO475"/>
  <c r="AN19"/>
  <c r="AN424"/>
  <c r="AP503" i="119"/>
  <c r="AP466"/>
  <c r="AP450"/>
  <c r="AP499"/>
  <c r="AP445"/>
  <c r="AP409"/>
  <c r="AP325"/>
  <c r="AP507"/>
  <c r="AP508" s="1"/>
  <c r="AP509" s="1"/>
  <c r="AP482"/>
  <c r="AP414"/>
  <c r="AP330"/>
  <c r="AP388"/>
  <c r="AP304"/>
  <c r="AP372"/>
  <c r="AP288"/>
  <c r="AP367"/>
  <c r="AP262"/>
  <c r="AP241"/>
  <c r="AP157"/>
  <c r="AP162"/>
  <c r="AP42"/>
  <c r="AP67"/>
  <c r="AP393"/>
  <c r="AP283"/>
  <c r="AP246"/>
  <c r="AP220"/>
  <c r="AP136"/>
  <c r="AP435"/>
  <c r="AP199"/>
  <c r="AP115"/>
  <c r="AQ8"/>
  <c r="AP440"/>
  <c r="AP94"/>
  <c r="AP267"/>
  <c r="AP225"/>
  <c r="AP430"/>
  <c r="AP346"/>
  <c r="AP120"/>
  <c r="AP16"/>
  <c r="AP183"/>
  <c r="AP141"/>
  <c r="AP309"/>
  <c r="AP351"/>
  <c r="AP204"/>
  <c r="AP178"/>
  <c r="AP99"/>
  <c r="AP443" i="121"/>
  <c r="AP442"/>
  <c r="AP448"/>
  <c r="AP447"/>
  <c r="AP438"/>
  <c r="AP437"/>
  <c r="AP433"/>
  <c r="AP432"/>
  <c r="AP412"/>
  <c r="AP391"/>
  <c r="AP370"/>
  <c r="AP307"/>
  <c r="AP349"/>
  <c r="AP328"/>
  <c r="AP286"/>
  <c r="AP181"/>
  <c r="AP202"/>
  <c r="AP265"/>
  <c r="AP223"/>
  <c r="AP118"/>
  <c r="AP139"/>
  <c r="AP244"/>
  <c r="AP448" i="120"/>
  <c r="AP97" i="121"/>
  <c r="AP391" i="120"/>
  <c r="AP307"/>
  <c r="AP412"/>
  <c r="AP370"/>
  <c r="AP286"/>
  <c r="AP349"/>
  <c r="AP265"/>
  <c r="AP443"/>
  <c r="AP438"/>
  <c r="AP433"/>
  <c r="AP328"/>
  <c r="AP223"/>
  <c r="AP160"/>
  <c r="AP118"/>
  <c r="AP160" i="121"/>
  <c r="AP181" i="120"/>
  <c r="AP443" i="119"/>
  <c r="AP244" i="120"/>
  <c r="AP412" i="119"/>
  <c r="AP328"/>
  <c r="AP202" i="120"/>
  <c r="AP139"/>
  <c r="AP391" i="119"/>
  <c r="AP307"/>
  <c r="AP97" i="120"/>
  <c r="AP433" i="119"/>
  <c r="AP244"/>
  <c r="AP160"/>
  <c r="AP438"/>
  <c r="AP286"/>
  <c r="AP223"/>
  <c r="AP139"/>
  <c r="AP438" i="118"/>
  <c r="AP448" i="119"/>
  <c r="AP202"/>
  <c r="AP118"/>
  <c r="AP448" i="118"/>
  <c r="AP391"/>
  <c r="AP181" i="119"/>
  <c r="AP139" i="118"/>
  <c r="AP412"/>
  <c r="AP349"/>
  <c r="AP118"/>
  <c r="AP443"/>
  <c r="AP433"/>
  <c r="AP223"/>
  <c r="AP286"/>
  <c r="AP202"/>
  <c r="AP433" i="117"/>
  <c r="AP349"/>
  <c r="AP370" i="118"/>
  <c r="AP160"/>
  <c r="AP438" i="117"/>
  <c r="AP265" i="118"/>
  <c r="AP443" i="117"/>
  <c r="AP412"/>
  <c r="AP328"/>
  <c r="AP265" i="119"/>
  <c r="AP328" i="118"/>
  <c r="AP181"/>
  <c r="AP97" i="119"/>
  <c r="AP286" i="117"/>
  <c r="AP181"/>
  <c r="AP97"/>
  <c r="AP349" i="119"/>
  <c r="AP97" i="118"/>
  <c r="AP448" i="117"/>
  <c r="AP223"/>
  <c r="AP139"/>
  <c r="AP265"/>
  <c r="AP202"/>
  <c r="AP160"/>
  <c r="AP391" i="116"/>
  <c r="AP307"/>
  <c r="AP223"/>
  <c r="AP139"/>
  <c r="AP438" i="28"/>
  <c r="AP443"/>
  <c r="AP370" i="116"/>
  <c r="AP286"/>
  <c r="AP202"/>
  <c r="AP118"/>
  <c r="AP448" i="28"/>
  <c r="AP307" i="118"/>
  <c r="AP438" i="116"/>
  <c r="AP370" i="28"/>
  <c r="AP391" i="117"/>
  <c r="AP97" i="116"/>
  <c r="AP412" i="28"/>
  <c r="AP349"/>
  <c r="AP370" i="117"/>
  <c r="AP370" i="119"/>
  <c r="AP244" i="116"/>
  <c r="AP307" i="28"/>
  <c r="AP223"/>
  <c r="AP139"/>
  <c r="AP181" i="116"/>
  <c r="AP307" i="117"/>
  <c r="AP118"/>
  <c r="AP412" i="116"/>
  <c r="AP433" i="28"/>
  <c r="AP265"/>
  <c r="AP181"/>
  <c r="AP97"/>
  <c r="AP448" i="116"/>
  <c r="AP244" i="28"/>
  <c r="AP443" i="116"/>
  <c r="AP265"/>
  <c r="AP328" i="28"/>
  <c r="AP118"/>
  <c r="AP202"/>
  <c r="AP433" i="116"/>
  <c r="AP160" i="28"/>
  <c r="AP244" i="118"/>
  <c r="AP328" i="116"/>
  <c r="AP244" i="117"/>
  <c r="AP391" i="28"/>
  <c r="AP286"/>
  <c r="AP160" i="116"/>
  <c r="AP349"/>
  <c r="AK37" i="11"/>
  <c r="AK56" s="1"/>
  <c r="AK24"/>
  <c r="AN32" i="121"/>
  <c r="AN277"/>
  <c r="AN25"/>
  <c r="AN109"/>
  <c r="AN214"/>
  <c r="AN476"/>
  <c r="AP499"/>
  <c r="AP482"/>
  <c r="AP507"/>
  <c r="AP503"/>
  <c r="AP435"/>
  <c r="AP445"/>
  <c r="AP466"/>
  <c r="AP388"/>
  <c r="AP351"/>
  <c r="AP440"/>
  <c r="AP409"/>
  <c r="AP393"/>
  <c r="AP367"/>
  <c r="AP304"/>
  <c r="AP414"/>
  <c r="AP450"/>
  <c r="AP325"/>
  <c r="AP309"/>
  <c r="AP288"/>
  <c r="AP330"/>
  <c r="AP372"/>
  <c r="AP267"/>
  <c r="AP246"/>
  <c r="AP430"/>
  <c r="AP283"/>
  <c r="AP225"/>
  <c r="AP204"/>
  <c r="AP183"/>
  <c r="AP162"/>
  <c r="AP199"/>
  <c r="AP241"/>
  <c r="AP178"/>
  <c r="AP141"/>
  <c r="AP120"/>
  <c r="AP99"/>
  <c r="AP346"/>
  <c r="AP220"/>
  <c r="AP94"/>
  <c r="AP262"/>
  <c r="AP157"/>
  <c r="AQ8"/>
  <c r="AP136"/>
  <c r="AP115"/>
  <c r="AP42"/>
  <c r="AP67"/>
  <c r="AP16"/>
  <c r="AN130"/>
  <c r="AN26" s="1"/>
  <c r="AM7" i="11"/>
  <c r="AL58"/>
  <c r="AL60" s="1"/>
  <c r="AL9"/>
  <c r="AN151" i="121"/>
  <c r="AN382"/>
  <c r="AO26" i="28"/>
  <c r="AQ503"/>
  <c r="AQ466"/>
  <c r="AQ440"/>
  <c r="AQ409"/>
  <c r="AQ445"/>
  <c r="AQ450"/>
  <c r="AQ499"/>
  <c r="AQ372"/>
  <c r="AQ351"/>
  <c r="AQ346"/>
  <c r="AQ304"/>
  <c r="AQ220"/>
  <c r="AQ136"/>
  <c r="AQ309"/>
  <c r="AQ225"/>
  <c r="AQ141"/>
  <c r="AQ507"/>
  <c r="AQ508"/>
  <c r="AQ509" s="1"/>
  <c r="AQ283"/>
  <c r="AQ199"/>
  <c r="AQ115"/>
  <c r="AR8"/>
  <c r="AQ393"/>
  <c r="AQ267"/>
  <c r="AQ183"/>
  <c r="AQ99"/>
  <c r="AQ456" s="1"/>
  <c r="AQ388"/>
  <c r="AQ330"/>
  <c r="AQ157"/>
  <c r="AQ94"/>
  <c r="AQ482"/>
  <c r="AQ204"/>
  <c r="AQ288"/>
  <c r="AQ367"/>
  <c r="AQ241"/>
  <c r="AQ178"/>
  <c r="AQ435"/>
  <c r="AQ325"/>
  <c r="AQ262"/>
  <c r="AQ120"/>
  <c r="AQ42"/>
  <c r="AQ67" s="1"/>
  <c r="AQ414"/>
  <c r="AQ430"/>
  <c r="AQ162"/>
  <c r="AQ16"/>
  <c r="AQ246"/>
  <c r="AQ399"/>
  <c r="AQ376"/>
  <c r="AQ495"/>
  <c r="AQ453"/>
  <c r="AQ486"/>
  <c r="AQ485"/>
  <c r="AQ463"/>
  <c r="AQ406"/>
  <c r="AQ354"/>
  <c r="AQ419"/>
  <c r="AQ375"/>
  <c r="AQ364"/>
  <c r="AQ271"/>
  <c r="AQ210"/>
  <c r="AQ187"/>
  <c r="AQ103"/>
  <c r="AQ472"/>
  <c r="AQ420"/>
  <c r="AQ314"/>
  <c r="AQ259"/>
  <c r="AQ230"/>
  <c r="AQ175"/>
  <c r="AQ146"/>
  <c r="AQ479"/>
  <c r="AQ396"/>
  <c r="AQ343"/>
  <c r="AQ334"/>
  <c r="AQ273"/>
  <c r="AQ189"/>
  <c r="AQ166"/>
  <c r="AQ105"/>
  <c r="AQ333"/>
  <c r="AQ301"/>
  <c r="AQ249"/>
  <c r="AQ217"/>
  <c r="AQ165"/>
  <c r="AQ133"/>
  <c r="AQ385"/>
  <c r="AQ312"/>
  <c r="AQ168"/>
  <c r="AQ418"/>
  <c r="AQ228"/>
  <c r="AQ488"/>
  <c r="AQ470"/>
  <c r="AQ322"/>
  <c r="AQ487"/>
  <c r="AQ417"/>
  <c r="AQ229"/>
  <c r="AQ39"/>
  <c r="AQ167"/>
  <c r="AQ292"/>
  <c r="AQ357"/>
  <c r="AQ356"/>
  <c r="AQ336"/>
  <c r="AQ125"/>
  <c r="AQ455"/>
  <c r="AQ112"/>
  <c r="AQ313"/>
  <c r="AQ293"/>
  <c r="AQ196"/>
  <c r="AQ147"/>
  <c r="AQ469"/>
  <c r="AQ280"/>
  <c r="AQ231"/>
  <c r="AQ124"/>
  <c r="AQ335"/>
  <c r="AQ208"/>
  <c r="AQ186"/>
  <c r="AQ144"/>
  <c r="AQ270"/>
  <c r="AP456" i="119"/>
  <c r="AP495"/>
  <c r="AP486"/>
  <c r="AP485"/>
  <c r="AP463"/>
  <c r="AP399"/>
  <c r="AP376"/>
  <c r="AP315"/>
  <c r="AP292"/>
  <c r="AP469"/>
  <c r="AP419"/>
  <c r="AP396"/>
  <c r="AP364"/>
  <c r="AP335"/>
  <c r="AP487"/>
  <c r="AP470"/>
  <c r="AP378"/>
  <c r="AP355"/>
  <c r="AP294"/>
  <c r="AP271"/>
  <c r="AP472"/>
  <c r="AP406"/>
  <c r="AP377"/>
  <c r="AP354"/>
  <c r="AP322"/>
  <c r="AP293"/>
  <c r="AP270"/>
  <c r="AP479"/>
  <c r="AP454"/>
  <c r="AP420"/>
  <c r="AP417"/>
  <c r="AP291"/>
  <c r="AP252"/>
  <c r="AP231"/>
  <c r="AP208"/>
  <c r="AP147"/>
  <c r="AP124"/>
  <c r="AP455"/>
  <c r="AP398"/>
  <c r="AP357"/>
  <c r="AP280"/>
  <c r="AP228"/>
  <c r="AP196"/>
  <c r="AP167"/>
  <c r="AP144"/>
  <c r="AP112"/>
  <c r="AP39"/>
  <c r="AP385"/>
  <c r="AP272"/>
  <c r="AP210"/>
  <c r="AP187"/>
  <c r="AP126"/>
  <c r="AP103"/>
  <c r="AP356"/>
  <c r="AP343"/>
  <c r="AP334"/>
  <c r="AP273"/>
  <c r="AP259"/>
  <c r="AP189"/>
  <c r="AP166"/>
  <c r="AP105"/>
  <c r="AP427"/>
  <c r="AP249"/>
  <c r="AP230"/>
  <c r="AP209"/>
  <c r="AP186"/>
  <c r="AP168"/>
  <c r="AP471"/>
  <c r="AP397"/>
  <c r="AP314"/>
  <c r="AP251"/>
  <c r="AP250"/>
  <c r="AP123"/>
  <c r="AP238"/>
  <c r="AP188"/>
  <c r="AP165"/>
  <c r="AP488"/>
  <c r="AP312"/>
  <c r="AP418"/>
  <c r="AP333"/>
  <c r="AP207"/>
  <c r="AP313"/>
  <c r="AP102"/>
  <c r="AP133"/>
  <c r="AP375"/>
  <c r="AP146"/>
  <c r="AP145"/>
  <c r="AP217"/>
  <c r="AP453"/>
  <c r="AP229"/>
  <c r="AP104"/>
  <c r="AP336"/>
  <c r="AP175"/>
  <c r="AP301"/>
  <c r="AP125"/>
  <c r="AP154"/>
  <c r="AP495" i="121"/>
  <c r="AP491"/>
  <c r="AP509"/>
  <c r="AP382" s="1"/>
  <c r="AP130"/>
  <c r="AP489"/>
  <c r="AP469"/>
  <c r="AP457"/>
  <c r="AP486"/>
  <c r="AP488"/>
  <c r="AP473"/>
  <c r="AP479"/>
  <c r="AP478"/>
  <c r="AP474"/>
  <c r="AP470"/>
  <c r="AP453"/>
  <c r="AP427"/>
  <c r="AP471"/>
  <c r="AP458"/>
  <c r="AP454"/>
  <c r="AP475"/>
  <c r="AP455"/>
  <c r="AP494"/>
  <c r="AP487"/>
  <c r="AP463"/>
  <c r="AP456"/>
  <c r="AP421"/>
  <c r="AP490"/>
  <c r="AP472"/>
  <c r="AP462"/>
  <c r="AP420"/>
  <c r="AP419"/>
  <c r="AP418"/>
  <c r="AP406"/>
  <c r="AP385"/>
  <c r="AP423"/>
  <c r="AP402"/>
  <c r="AP356"/>
  <c r="AP422"/>
  <c r="AP401"/>
  <c r="AP417"/>
  <c r="AP405"/>
  <c r="AP363"/>
  <c r="AP357"/>
  <c r="AP400"/>
  <c r="AP399"/>
  <c r="AP397"/>
  <c r="AP396"/>
  <c r="AP380"/>
  <c r="AP358"/>
  <c r="AP339"/>
  <c r="AP300"/>
  <c r="AP294"/>
  <c r="AP426"/>
  <c r="AP379"/>
  <c r="AP376"/>
  <c r="AP384"/>
  <c r="AP375"/>
  <c r="AP364"/>
  <c r="AP333"/>
  <c r="AP316"/>
  <c r="AP301"/>
  <c r="AP485"/>
  <c r="AP381"/>
  <c r="AP377"/>
  <c r="AP378"/>
  <c r="AP360"/>
  <c r="AP334"/>
  <c r="AP338"/>
  <c r="AP317"/>
  <c r="AP313"/>
  <c r="AP355"/>
  <c r="AP343"/>
  <c r="AP336"/>
  <c r="AP321"/>
  <c r="AP315"/>
  <c r="AP270"/>
  <c r="AP253"/>
  <c r="AP296"/>
  <c r="AP291"/>
  <c r="AP293"/>
  <c r="AP359"/>
  <c r="AP312"/>
  <c r="AP297"/>
  <c r="AP292"/>
  <c r="AP275"/>
  <c r="AP271"/>
  <c r="AP255"/>
  <c r="AP274"/>
  <c r="AP272"/>
  <c r="AP258"/>
  <c r="AP228"/>
  <c r="AP211"/>
  <c r="AP196"/>
  <c r="AP314"/>
  <c r="AP280"/>
  <c r="AP256"/>
  <c r="AP251"/>
  <c r="AP354"/>
  <c r="AP337"/>
  <c r="AP259"/>
  <c r="AP254"/>
  <c r="AP249"/>
  <c r="AP233"/>
  <c r="AP229"/>
  <c r="AP213"/>
  <c r="AP335"/>
  <c r="AP230"/>
  <c r="AP216"/>
  <c r="AP167"/>
  <c r="AP144"/>
  <c r="AP459"/>
  <c r="AP252"/>
  <c r="AP234"/>
  <c r="AP214"/>
  <c r="AP209"/>
  <c r="AP189"/>
  <c r="AP171"/>
  <c r="AP195"/>
  <c r="AP175"/>
  <c r="AP146"/>
  <c r="AP342"/>
  <c r="AP318"/>
  <c r="AP295"/>
  <c r="AP250"/>
  <c r="AP232"/>
  <c r="AP217"/>
  <c r="AP212"/>
  <c r="AP207"/>
  <c r="AP192"/>
  <c r="AP188"/>
  <c r="AP174"/>
  <c r="AP168"/>
  <c r="AP149"/>
  <c r="AP145"/>
  <c r="AP129"/>
  <c r="AP398"/>
  <c r="AP150"/>
  <c r="AP127"/>
  <c r="AP104"/>
  <c r="AP276"/>
  <c r="AP147"/>
  <c r="AP237"/>
  <c r="AP208"/>
  <c r="AP190"/>
  <c r="AP170"/>
  <c r="AP132"/>
  <c r="AP124"/>
  <c r="AP112"/>
  <c r="AP231"/>
  <c r="AP172"/>
  <c r="AP148"/>
  <c r="AP125"/>
  <c r="AP106"/>
  <c r="AP273"/>
  <c r="AP186"/>
  <c r="AP126"/>
  <c r="AP238"/>
  <c r="AP153"/>
  <c r="AP108"/>
  <c r="AP133"/>
  <c r="AP109"/>
  <c r="AP165"/>
  <c r="AP111"/>
  <c r="AP169"/>
  <c r="AP107"/>
  <c r="AP39"/>
  <c r="AP279"/>
  <c r="AP154"/>
  <c r="AP103"/>
  <c r="AP187"/>
  <c r="AP128"/>
  <c r="AP123"/>
  <c r="AP105"/>
  <c r="AP102"/>
  <c r="AP322"/>
  <c r="AP210"/>
  <c r="AP166"/>
  <c r="AP20" s="1"/>
  <c r="AP191"/>
  <c r="AO32"/>
  <c r="AO193"/>
  <c r="AO32" i="119"/>
  <c r="AL24" i="11"/>
  <c r="AL37"/>
  <c r="AL56"/>
  <c r="AO19" i="121"/>
  <c r="AM58" i="11"/>
  <c r="AM60"/>
  <c r="AN7"/>
  <c r="AM9"/>
  <c r="AO20" i="121"/>
  <c r="AQ503"/>
  <c r="AQ507"/>
  <c r="AQ466"/>
  <c r="AQ445"/>
  <c r="AQ499"/>
  <c r="AQ482"/>
  <c r="AQ450"/>
  <c r="AQ430"/>
  <c r="AQ440"/>
  <c r="AQ435"/>
  <c r="AQ372"/>
  <c r="AQ414"/>
  <c r="AQ309"/>
  <c r="AQ388"/>
  <c r="AQ325"/>
  <c r="AQ346"/>
  <c r="AQ393"/>
  <c r="AQ330"/>
  <c r="AQ409"/>
  <c r="AQ262"/>
  <c r="AQ283"/>
  <c r="AQ304"/>
  <c r="AQ288"/>
  <c r="AQ220"/>
  <c r="AQ183"/>
  <c r="AQ199"/>
  <c r="AQ136"/>
  <c r="AQ267"/>
  <c r="AQ351"/>
  <c r="AQ367"/>
  <c r="AQ204"/>
  <c r="AQ162"/>
  <c r="AQ241"/>
  <c r="AQ178"/>
  <c r="AQ115"/>
  <c r="AQ157"/>
  <c r="AQ120"/>
  <c r="AQ99"/>
  <c r="AQ16"/>
  <c r="AQ225"/>
  <c r="AR8"/>
  <c r="AQ94"/>
  <c r="AQ42"/>
  <c r="AQ67" s="1"/>
  <c r="AQ246"/>
  <c r="AQ141"/>
  <c r="AO21"/>
  <c r="AO25"/>
  <c r="AP32" i="28"/>
  <c r="AR445"/>
  <c r="AR414"/>
  <c r="AR450"/>
  <c r="AR507"/>
  <c r="AR508" s="1"/>
  <c r="AR509" s="1"/>
  <c r="AR482"/>
  <c r="AR430"/>
  <c r="AR346"/>
  <c r="AR499"/>
  <c r="AR440"/>
  <c r="AR309"/>
  <c r="AR225"/>
  <c r="AR141"/>
  <c r="AR503"/>
  <c r="AR283"/>
  <c r="AR199"/>
  <c r="AR115"/>
  <c r="AS8"/>
  <c r="AS503" s="1"/>
  <c r="AR372"/>
  <c r="AR367"/>
  <c r="AR288"/>
  <c r="AR204"/>
  <c r="AR120"/>
  <c r="AR388"/>
  <c r="AR325"/>
  <c r="AR241"/>
  <c r="AR157"/>
  <c r="AR183"/>
  <c r="AR178"/>
  <c r="AR136"/>
  <c r="AR94"/>
  <c r="AR435"/>
  <c r="AR409"/>
  <c r="AR267"/>
  <c r="AR262"/>
  <c r="AR220"/>
  <c r="AR42"/>
  <c r="AR67" s="1"/>
  <c r="AR393"/>
  <c r="AR304"/>
  <c r="AR351"/>
  <c r="AR330"/>
  <c r="AR162"/>
  <c r="AR16"/>
  <c r="AR466"/>
  <c r="AR246"/>
  <c r="AR99"/>
  <c r="AQ445" i="119"/>
  <c r="AQ507"/>
  <c r="AQ508"/>
  <c r="AQ509" s="1"/>
  <c r="AQ482"/>
  <c r="AQ430"/>
  <c r="AQ414"/>
  <c r="AQ330"/>
  <c r="AQ246"/>
  <c r="AQ503"/>
  <c r="AQ388"/>
  <c r="AQ393"/>
  <c r="AQ309"/>
  <c r="AQ435"/>
  <c r="AQ346"/>
  <c r="AQ162"/>
  <c r="AQ42"/>
  <c r="AQ67" s="1"/>
  <c r="AQ16"/>
  <c r="AQ450"/>
  <c r="AQ283"/>
  <c r="AQ220"/>
  <c r="AQ136"/>
  <c r="AQ466"/>
  <c r="AQ225"/>
  <c r="AQ141"/>
  <c r="AQ440"/>
  <c r="AQ351"/>
  <c r="AQ325"/>
  <c r="AQ204"/>
  <c r="AQ120"/>
  <c r="AQ304"/>
  <c r="AQ288"/>
  <c r="AQ267"/>
  <c r="AQ262"/>
  <c r="AQ499"/>
  <c r="AQ115"/>
  <c r="AR8"/>
  <c r="AQ178"/>
  <c r="AQ367"/>
  <c r="AQ241"/>
  <c r="AQ94"/>
  <c r="AQ372"/>
  <c r="AQ409"/>
  <c r="AQ99"/>
  <c r="AQ199"/>
  <c r="AQ157"/>
  <c r="AQ183"/>
  <c r="AO22" i="121"/>
  <c r="AR450" i="119"/>
  <c r="AR507"/>
  <c r="AR508" s="1"/>
  <c r="AR509" s="1"/>
  <c r="AR435"/>
  <c r="AR503"/>
  <c r="AR482"/>
  <c r="AR388"/>
  <c r="AR304"/>
  <c r="AR393"/>
  <c r="AR367"/>
  <c r="AR283"/>
  <c r="AR466"/>
  <c r="AR440"/>
  <c r="AR430"/>
  <c r="AR351"/>
  <c r="AR330"/>
  <c r="AR220"/>
  <c r="AR136"/>
  <c r="AR445"/>
  <c r="AR414"/>
  <c r="AR246"/>
  <c r="AR225"/>
  <c r="AR141"/>
  <c r="AR309"/>
  <c r="AR199"/>
  <c r="AR115"/>
  <c r="AS8"/>
  <c r="AR409"/>
  <c r="AR288"/>
  <c r="AR178"/>
  <c r="AR94"/>
  <c r="AR325"/>
  <c r="AR499"/>
  <c r="AR346"/>
  <c r="AR120"/>
  <c r="AR42"/>
  <c r="AR67" s="1"/>
  <c r="AR16"/>
  <c r="AR241"/>
  <c r="AR183"/>
  <c r="AR372"/>
  <c r="AR204"/>
  <c r="AR262"/>
  <c r="AR157"/>
  <c r="AR162"/>
  <c r="AR267"/>
  <c r="AR99"/>
  <c r="AS450" i="28"/>
  <c r="AS388"/>
  <c r="AS507"/>
  <c r="AS508" s="1"/>
  <c r="AS509" s="1"/>
  <c r="AS435"/>
  <c r="AS351"/>
  <c r="AS283"/>
  <c r="AS199"/>
  <c r="AS115"/>
  <c r="AS372"/>
  <c r="AS367"/>
  <c r="AS288"/>
  <c r="AS120"/>
  <c r="AS482"/>
  <c r="AS262"/>
  <c r="AS94"/>
  <c r="AS430"/>
  <c r="AS330"/>
  <c r="AS162"/>
  <c r="AS42"/>
  <c r="AS67" s="1"/>
  <c r="AS499"/>
  <c r="AS409"/>
  <c r="AS309"/>
  <c r="AS241"/>
  <c r="AS220"/>
  <c r="AS445"/>
  <c r="AS346"/>
  <c r="AS325"/>
  <c r="AS304"/>
  <c r="AS466"/>
  <c r="AS440"/>
  <c r="AS414"/>
  <c r="AS141"/>
  <c r="AS99"/>
  <c r="AS183"/>
  <c r="AM37" i="11"/>
  <c r="AM56" s="1"/>
  <c r="AM24"/>
  <c r="AQ495" i="119"/>
  <c r="AQ471"/>
  <c r="AQ453"/>
  <c r="AQ486"/>
  <c r="AQ479"/>
  <c r="AQ455"/>
  <c r="AQ472"/>
  <c r="AQ454"/>
  <c r="AQ469"/>
  <c r="AQ419"/>
  <c r="AQ396"/>
  <c r="AQ364"/>
  <c r="AQ335"/>
  <c r="AQ312"/>
  <c r="AQ280"/>
  <c r="AQ251"/>
  <c r="AQ487"/>
  <c r="AQ470"/>
  <c r="AQ378"/>
  <c r="AQ355"/>
  <c r="AQ398"/>
  <c r="AQ375"/>
  <c r="AQ343"/>
  <c r="AQ314"/>
  <c r="AQ291"/>
  <c r="AQ420"/>
  <c r="AQ397"/>
  <c r="AQ336"/>
  <c r="AQ313"/>
  <c r="AQ485"/>
  <c r="AQ357"/>
  <c r="AQ293"/>
  <c r="AQ292"/>
  <c r="AQ271"/>
  <c r="AQ228"/>
  <c r="AQ196"/>
  <c r="AQ167"/>
  <c r="AQ144"/>
  <c r="AQ112"/>
  <c r="AQ39"/>
  <c r="AQ385"/>
  <c r="AQ354"/>
  <c r="AQ294"/>
  <c r="AQ272"/>
  <c r="AQ210"/>
  <c r="AQ187"/>
  <c r="AQ126"/>
  <c r="AQ103"/>
  <c r="AQ230"/>
  <c r="AQ207"/>
  <c r="AQ175"/>
  <c r="AQ146"/>
  <c r="AQ123"/>
  <c r="AQ418"/>
  <c r="AQ406"/>
  <c r="AQ249"/>
  <c r="AQ238"/>
  <c r="AQ209"/>
  <c r="AQ186"/>
  <c r="AQ154"/>
  <c r="AQ125"/>
  <c r="AQ102"/>
  <c r="AQ456"/>
  <c r="AQ334"/>
  <c r="AQ250"/>
  <c r="AQ463"/>
  <c r="AQ322"/>
  <c r="AQ259"/>
  <c r="AQ188"/>
  <c r="AQ165"/>
  <c r="AQ147"/>
  <c r="AQ105"/>
  <c r="AQ301"/>
  <c r="AQ229"/>
  <c r="AQ217"/>
  <c r="AQ333"/>
  <c r="AQ208"/>
  <c r="AQ104"/>
  <c r="AQ427"/>
  <c r="AQ399"/>
  <c r="AQ166"/>
  <c r="AQ356"/>
  <c r="AQ252"/>
  <c r="AQ168"/>
  <c r="AQ145"/>
  <c r="AQ377"/>
  <c r="AQ376"/>
  <c r="AQ189"/>
  <c r="AQ488"/>
  <c r="AQ270"/>
  <c r="AQ231"/>
  <c r="AQ133"/>
  <c r="AQ273"/>
  <c r="AQ124"/>
  <c r="AQ417"/>
  <c r="AQ315"/>
  <c r="AQ513" i="121"/>
  <c r="AQ513" i="120"/>
  <c r="AQ513" i="119"/>
  <c r="AQ513" i="118"/>
  <c r="AQ513" i="117"/>
  <c r="AQ513" i="28"/>
  <c r="AQ513" i="116"/>
  <c r="AR448" i="121"/>
  <c r="AR447" s="1"/>
  <c r="AR443"/>
  <c r="AR442" s="1"/>
  <c r="AR438"/>
  <c r="AR437" s="1"/>
  <c r="AR412"/>
  <c r="AR349"/>
  <c r="AR391"/>
  <c r="AR370"/>
  <c r="AR307"/>
  <c r="AR328"/>
  <c r="AR433"/>
  <c r="AR432" s="1"/>
  <c r="AR286"/>
  <c r="AR244"/>
  <c r="AR181"/>
  <c r="AR160"/>
  <c r="AR223"/>
  <c r="AR118"/>
  <c r="AR265"/>
  <c r="AR139"/>
  <c r="AR97"/>
  <c r="AR438" i="120"/>
  <c r="AR202" i="121"/>
  <c r="AR370" i="120"/>
  <c r="AR286"/>
  <c r="AR448"/>
  <c r="AR349"/>
  <c r="AR328"/>
  <c r="AR391"/>
  <c r="AR265"/>
  <c r="AR244"/>
  <c r="AR202"/>
  <c r="AR433"/>
  <c r="AR181"/>
  <c r="AR97"/>
  <c r="AR443"/>
  <c r="AR139"/>
  <c r="AR412"/>
  <c r="AR223"/>
  <c r="AR438" i="119"/>
  <c r="AR391"/>
  <c r="AR307"/>
  <c r="AR307" i="120"/>
  <c r="AR370" i="119"/>
  <c r="AR286"/>
  <c r="AR118" i="120"/>
  <c r="AR433" i="119"/>
  <c r="AR328"/>
  <c r="AR223"/>
  <c r="AR139"/>
  <c r="AR438" i="118"/>
  <c r="AR412" i="119"/>
  <c r="AR202"/>
  <c r="AR118"/>
  <c r="AR448" i="118"/>
  <c r="AR349" i="119"/>
  <c r="AR181"/>
  <c r="AR97"/>
  <c r="AR448"/>
  <c r="AR443"/>
  <c r="AR370" i="118"/>
  <c r="AR265" i="119"/>
  <c r="AR391" i="118"/>
  <c r="AR118"/>
  <c r="AR349"/>
  <c r="AR244"/>
  <c r="AR265"/>
  <c r="AR202"/>
  <c r="AR181"/>
  <c r="AR97"/>
  <c r="AR443"/>
  <c r="AR433"/>
  <c r="AR412"/>
  <c r="AR160"/>
  <c r="AR443" i="117"/>
  <c r="AR412"/>
  <c r="AR328"/>
  <c r="AR448"/>
  <c r="AR307" i="118"/>
  <c r="AR391" i="117"/>
  <c r="AR244" i="119"/>
  <c r="AR223" i="118"/>
  <c r="AR286"/>
  <c r="AR139"/>
  <c r="AR433" i="117"/>
  <c r="AR286"/>
  <c r="AR160"/>
  <c r="AR265"/>
  <c r="AR202"/>
  <c r="AR118"/>
  <c r="AR139"/>
  <c r="AR370" i="116"/>
  <c r="AR286"/>
  <c r="AR202"/>
  <c r="AR118"/>
  <c r="AR448" i="28"/>
  <c r="AR160" i="120"/>
  <c r="AR181" i="117"/>
  <c r="AR433" i="116"/>
  <c r="AR349"/>
  <c r="AR265"/>
  <c r="AR181"/>
  <c r="AR97"/>
  <c r="AR370" i="117"/>
  <c r="AR307"/>
  <c r="AR223"/>
  <c r="AR448" i="116"/>
  <c r="AR433" i="28"/>
  <c r="AR349"/>
  <c r="AR349" i="117"/>
  <c r="AR391" i="116"/>
  <c r="AR244"/>
  <c r="AR438" i="28"/>
  <c r="AR97" i="117"/>
  <c r="AR370" i="28"/>
  <c r="AR286"/>
  <c r="AR202"/>
  <c r="AR118"/>
  <c r="AR244" i="117"/>
  <c r="AR328" i="116"/>
  <c r="AR139"/>
  <c r="AR443"/>
  <c r="AR438"/>
  <c r="AR328" i="28"/>
  <c r="AR244"/>
  <c r="AR160"/>
  <c r="AR307"/>
  <c r="AR265"/>
  <c r="AR438" i="117"/>
  <c r="AR307" i="116"/>
  <c r="AR391" i="28"/>
  <c r="AR181"/>
  <c r="AR412"/>
  <c r="AR328" i="118"/>
  <c r="AR443" i="28"/>
  <c r="AR412" i="116"/>
  <c r="AR223" i="28"/>
  <c r="AR223" i="116"/>
  <c r="AR160" i="119"/>
  <c r="AR160" i="116"/>
  <c r="AR139" i="28"/>
  <c r="AR97"/>
  <c r="AP193" i="121"/>
  <c r="AP235"/>
  <c r="AP277"/>
  <c r="AP476"/>
  <c r="AP19"/>
  <c r="AP25"/>
  <c r="AP298"/>
  <c r="AP460"/>
  <c r="AQ487"/>
  <c r="AQ509"/>
  <c r="AQ298"/>
  <c r="AQ494"/>
  <c r="AQ462"/>
  <c r="AQ456"/>
  <c r="AQ488"/>
  <c r="AQ495"/>
  <c r="AQ479"/>
  <c r="AQ478"/>
  <c r="AQ474"/>
  <c r="AQ470"/>
  <c r="AQ469"/>
  <c r="AQ490"/>
  <c r="AQ485"/>
  <c r="AQ471"/>
  <c r="AQ422"/>
  <c r="AQ418"/>
  <c r="AQ402"/>
  <c r="AQ472"/>
  <c r="AQ459"/>
  <c r="AQ489"/>
  <c r="AQ486"/>
  <c r="AQ473"/>
  <c r="AQ454"/>
  <c r="AQ405"/>
  <c r="AQ457"/>
  <c r="AQ423"/>
  <c r="AQ455"/>
  <c r="AQ476"/>
  <c r="AQ426"/>
  <c r="AQ403"/>
  <c r="AQ491"/>
  <c r="AQ463"/>
  <c r="AQ406"/>
  <c r="AQ401"/>
  <c r="AQ397"/>
  <c r="AQ380"/>
  <c r="AQ376"/>
  <c r="AQ360"/>
  <c r="AQ453"/>
  <c r="AQ427"/>
  <c r="AQ421"/>
  <c r="AQ417"/>
  <c r="AQ398"/>
  <c r="AQ460"/>
  <c r="AQ458"/>
  <c r="AQ420"/>
  <c r="AQ385"/>
  <c r="AQ377"/>
  <c r="AQ361"/>
  <c r="AQ354"/>
  <c r="AQ379"/>
  <c r="AQ357"/>
  <c r="AQ343"/>
  <c r="AQ314"/>
  <c r="AQ378"/>
  <c r="AQ321"/>
  <c r="AQ315"/>
  <c r="AQ296"/>
  <c r="AQ292"/>
  <c r="AQ419"/>
  <c r="AQ339"/>
  <c r="AQ334"/>
  <c r="AQ382"/>
  <c r="AQ363"/>
  <c r="AQ359"/>
  <c r="AQ355"/>
  <c r="AQ475"/>
  <c r="AQ424"/>
  <c r="AQ396"/>
  <c r="AQ316"/>
  <c r="AQ313"/>
  <c r="AQ301"/>
  <c r="AQ291"/>
  <c r="AQ258"/>
  <c r="AQ252"/>
  <c r="AQ317"/>
  <c r="AQ294"/>
  <c r="AQ293"/>
  <c r="AQ381"/>
  <c r="AQ375"/>
  <c r="AQ364"/>
  <c r="AQ342"/>
  <c r="AQ335"/>
  <c r="AQ322"/>
  <c r="AQ319"/>
  <c r="AQ276"/>
  <c r="AQ338"/>
  <c r="AQ318"/>
  <c r="AQ274"/>
  <c r="AQ259"/>
  <c r="AQ312"/>
  <c r="AQ280"/>
  <c r="AQ256"/>
  <c r="AQ251"/>
  <c r="AQ216"/>
  <c r="AQ210"/>
  <c r="AQ191"/>
  <c r="AQ337"/>
  <c r="AQ297"/>
  <c r="AQ399"/>
  <c r="AQ356"/>
  <c r="AQ336"/>
  <c r="AQ275"/>
  <c r="AQ250"/>
  <c r="AQ358"/>
  <c r="AQ273"/>
  <c r="AQ253"/>
  <c r="AQ232"/>
  <c r="AQ217"/>
  <c r="AQ188"/>
  <c r="AQ255"/>
  <c r="AQ234"/>
  <c r="AQ214"/>
  <c r="AQ209"/>
  <c r="AQ189"/>
  <c r="AQ171"/>
  <c r="AQ195"/>
  <c r="AQ175"/>
  <c r="AQ279"/>
  <c r="AQ237"/>
  <c r="AQ208"/>
  <c r="AQ186"/>
  <c r="AQ170"/>
  <c r="AQ166"/>
  <c r="AQ150"/>
  <c r="AQ384"/>
  <c r="AQ231"/>
  <c r="AQ211"/>
  <c r="AQ165"/>
  <c r="AQ148"/>
  <c r="AQ133"/>
  <c r="AQ233"/>
  <c r="AQ151"/>
  <c r="AQ147"/>
  <c r="AQ123"/>
  <c r="AQ108"/>
  <c r="AQ277"/>
  <c r="AQ270"/>
  <c r="AQ254"/>
  <c r="AQ229"/>
  <c r="AQ228"/>
  <c r="AQ207"/>
  <c r="AQ190"/>
  <c r="AQ132"/>
  <c r="AQ400"/>
  <c r="AQ174"/>
  <c r="AQ153"/>
  <c r="AQ128"/>
  <c r="AQ107"/>
  <c r="AQ103"/>
  <c r="AQ333"/>
  <c r="AQ295"/>
  <c r="AQ196"/>
  <c r="AQ154"/>
  <c r="AQ126"/>
  <c r="AQ111"/>
  <c r="AQ105"/>
  <c r="AQ300"/>
  <c r="AQ238"/>
  <c r="AQ124"/>
  <c r="AQ145"/>
  <c r="AQ109"/>
  <c r="AQ192"/>
  <c r="AQ169"/>
  <c r="AQ167"/>
  <c r="AQ106"/>
  <c r="AQ271"/>
  <c r="AQ230"/>
  <c r="AQ146"/>
  <c r="AQ125"/>
  <c r="AQ102"/>
  <c r="AQ112"/>
  <c r="AQ212"/>
  <c r="AQ272"/>
  <c r="AQ213"/>
  <c r="AQ104"/>
  <c r="AQ187"/>
  <c r="AQ39"/>
  <c r="AQ340"/>
  <c r="AQ129"/>
  <c r="AQ249"/>
  <c r="AQ168"/>
  <c r="AQ127"/>
  <c r="AQ149"/>
  <c r="AQ144"/>
  <c r="AQ130"/>
  <c r="AQ235"/>
  <c r="AP403"/>
  <c r="AP424"/>
  <c r="AP492"/>
  <c r="AO7" i="11"/>
  <c r="AN9"/>
  <c r="AO25"/>
  <c r="AP25" s="1"/>
  <c r="AN58"/>
  <c r="AN60"/>
  <c r="AP32" i="119"/>
  <c r="AR507" i="121"/>
  <c r="AR503"/>
  <c r="AR499"/>
  <c r="AR482"/>
  <c r="AR466"/>
  <c r="AR414"/>
  <c r="AR450"/>
  <c r="AR445"/>
  <c r="AR409"/>
  <c r="AR430"/>
  <c r="AR346"/>
  <c r="AR440"/>
  <c r="AR435"/>
  <c r="AR330"/>
  <c r="AR325"/>
  <c r="AR367"/>
  <c r="AR351"/>
  <c r="AR267"/>
  <c r="AR393"/>
  <c r="AR388"/>
  <c r="AR372"/>
  <c r="AR304"/>
  <c r="AR225"/>
  <c r="AR241"/>
  <c r="AR141"/>
  <c r="AR246"/>
  <c r="AR157"/>
  <c r="AR309"/>
  <c r="AR162"/>
  <c r="AR178"/>
  <c r="AR288"/>
  <c r="AR262"/>
  <c r="AR204"/>
  <c r="AR220"/>
  <c r="AR183"/>
  <c r="AR120"/>
  <c r="AR136"/>
  <c r="AR99"/>
  <c r="AR199"/>
  <c r="AR94"/>
  <c r="AS8"/>
  <c r="AR115"/>
  <c r="AR283"/>
  <c r="AR16"/>
  <c r="AR42"/>
  <c r="AR67" s="1"/>
  <c r="AP32"/>
  <c r="AP151"/>
  <c r="AP340"/>
  <c r="AP361"/>
  <c r="AR495" i="28"/>
  <c r="AR471"/>
  <c r="AR453"/>
  <c r="AR419"/>
  <c r="AR396"/>
  <c r="AR364"/>
  <c r="AR486"/>
  <c r="AR479"/>
  <c r="AR455"/>
  <c r="AR427"/>
  <c r="AR472"/>
  <c r="AR454"/>
  <c r="AR420"/>
  <c r="AR397"/>
  <c r="AR314"/>
  <c r="AR291"/>
  <c r="AR259"/>
  <c r="AR230"/>
  <c r="AR207"/>
  <c r="AR175"/>
  <c r="AR146"/>
  <c r="AR123"/>
  <c r="AR485"/>
  <c r="AR355"/>
  <c r="AR343"/>
  <c r="AR334"/>
  <c r="AR273"/>
  <c r="AR250"/>
  <c r="AR189"/>
  <c r="AR166"/>
  <c r="AR105"/>
  <c r="AR487"/>
  <c r="AR406"/>
  <c r="AR377"/>
  <c r="AR322"/>
  <c r="AR293"/>
  <c r="AR270"/>
  <c r="AR238"/>
  <c r="AR209"/>
  <c r="AR186"/>
  <c r="AR154"/>
  <c r="AR125"/>
  <c r="AR102"/>
  <c r="AR456"/>
  <c r="AR398"/>
  <c r="AR378"/>
  <c r="AR376"/>
  <c r="AR315"/>
  <c r="AR292"/>
  <c r="AR231"/>
  <c r="AR208"/>
  <c r="AR147"/>
  <c r="AR124"/>
  <c r="AR488"/>
  <c r="AR470"/>
  <c r="AR252"/>
  <c r="AR217"/>
  <c r="AR104"/>
  <c r="AR399"/>
  <c r="AR196"/>
  <c r="AR469"/>
  <c r="AR333"/>
  <c r="AR103"/>
  <c r="AR168"/>
  <c r="AR133"/>
  <c r="AR357"/>
  <c r="AR356"/>
  <c r="AR336"/>
  <c r="AR301"/>
  <c r="AR188"/>
  <c r="AR145"/>
  <c r="AR126"/>
  <c r="AR418"/>
  <c r="AR294"/>
  <c r="AR249"/>
  <c r="AR167"/>
  <c r="AR251"/>
  <c r="AR417"/>
  <c r="AR272"/>
  <c r="AR229"/>
  <c r="AR210"/>
  <c r="AR165"/>
  <c r="AR112"/>
  <c r="AR39"/>
  <c r="AR313"/>
  <c r="AR280"/>
  <c r="AR385"/>
  <c r="AR354"/>
  <c r="AR312"/>
  <c r="AR335"/>
  <c r="AR187"/>
  <c r="AR144"/>
  <c r="AR463"/>
  <c r="AR375"/>
  <c r="AR271"/>
  <c r="AR228"/>
  <c r="AP22" i="121"/>
  <c r="AP21"/>
  <c r="AS443"/>
  <c r="AS442"/>
  <c r="AS433"/>
  <c r="AS432" s="1"/>
  <c r="AS412"/>
  <c r="AS391"/>
  <c r="AS448"/>
  <c r="AS447" s="1"/>
  <c r="AS438"/>
  <c r="AS437"/>
  <c r="AS307"/>
  <c r="AS370"/>
  <c r="AS328"/>
  <c r="AS349"/>
  <c r="AS286"/>
  <c r="AS202"/>
  <c r="AS265"/>
  <c r="AS181"/>
  <c r="AS244"/>
  <c r="AS223"/>
  <c r="AS97"/>
  <c r="AS160"/>
  <c r="AS118"/>
  <c r="AS139"/>
  <c r="AS443" i="120"/>
  <c r="AS412"/>
  <c r="AS448"/>
  <c r="AS438"/>
  <c r="AS433"/>
  <c r="AS265"/>
  <c r="AS244"/>
  <c r="AS160"/>
  <c r="AS370"/>
  <c r="AS223"/>
  <c r="AS181"/>
  <c r="AS97"/>
  <c r="AS328"/>
  <c r="AS349"/>
  <c r="AS202"/>
  <c r="AS391"/>
  <c r="AS307"/>
  <c r="AS139"/>
  <c r="AS118"/>
  <c r="AS286"/>
  <c r="AS443" i="119"/>
  <c r="AS370"/>
  <c r="AS448"/>
  <c r="AS412"/>
  <c r="AS328"/>
  <c r="AS438"/>
  <c r="AS443" i="118"/>
  <c r="AS391" i="119"/>
  <c r="AS202"/>
  <c r="AS118"/>
  <c r="AS265"/>
  <c r="AS307"/>
  <c r="AS448" i="118"/>
  <c r="AS370"/>
  <c r="AS286"/>
  <c r="AS223" i="119"/>
  <c r="AS286"/>
  <c r="AS181"/>
  <c r="AS160"/>
  <c r="AS438" i="118"/>
  <c r="AS433"/>
  <c r="AS349"/>
  <c r="AS265"/>
  <c r="AS433" i="119"/>
  <c r="AS139"/>
  <c r="AS412" i="118"/>
  <c r="AS328"/>
  <c r="AS244"/>
  <c r="AS202"/>
  <c r="AS181"/>
  <c r="AS97"/>
  <c r="AS307"/>
  <c r="AS349" i="119"/>
  <c r="AS97"/>
  <c r="AS139" i="118"/>
  <c r="AS448" i="117"/>
  <c r="AS391"/>
  <c r="AS433"/>
  <c r="AS349"/>
  <c r="AS265"/>
  <c r="AS412"/>
  <c r="AS160"/>
  <c r="AS244" i="119"/>
  <c r="AS370" i="117"/>
  <c r="AS160" i="118"/>
  <c r="AS443" i="117"/>
  <c r="AS438"/>
  <c r="AS223" i="118"/>
  <c r="AS181" i="117"/>
  <c r="AS391" i="28"/>
  <c r="AS118" i="117"/>
  <c r="AS433" i="116"/>
  <c r="AS349"/>
  <c r="AS265"/>
  <c r="AS181"/>
  <c r="AS97"/>
  <c r="AS328" i="117"/>
  <c r="AS286"/>
  <c r="AS438" i="116"/>
  <c r="AS244" i="117"/>
  <c r="AS391" i="116"/>
  <c r="AS307"/>
  <c r="AS223"/>
  <c r="AS139"/>
  <c r="AS438" i="28"/>
  <c r="AS97" i="117"/>
  <c r="AS370" i="116"/>
  <c r="AS370" i="28"/>
  <c r="AS286"/>
  <c r="AS202"/>
  <c r="AS118"/>
  <c r="AS328" i="116"/>
  <c r="AS202" i="117"/>
  <c r="AS448" i="116"/>
  <c r="AS118"/>
  <c r="AS265" i="28"/>
  <c r="AS181"/>
  <c r="AS97"/>
  <c r="AS223" i="117"/>
  <c r="AS139"/>
  <c r="AS160" i="116"/>
  <c r="AS448" i="28"/>
  <c r="AS443"/>
  <c r="AS391" i="118"/>
  <c r="AS412" i="28"/>
  <c r="AS443" i="116"/>
  <c r="AS202"/>
  <c r="AS349" i="28"/>
  <c r="AS286" i="116"/>
  <c r="AS118" i="118"/>
  <c r="AS307" i="117"/>
  <c r="AS433" i="28"/>
  <c r="AS244" i="116"/>
  <c r="AS160" i="28"/>
  <c r="AS139"/>
  <c r="AS412" i="116"/>
  <c r="AS244" i="28"/>
  <c r="AS223"/>
  <c r="AS328"/>
  <c r="AS307"/>
  <c r="AS507" i="119"/>
  <c r="AS508"/>
  <c r="AS509" s="1"/>
  <c r="AS499"/>
  <c r="AS503"/>
  <c r="AS466"/>
  <c r="AS440"/>
  <c r="AS393"/>
  <c r="AS309"/>
  <c r="AS367"/>
  <c r="AS450"/>
  <c r="AS372"/>
  <c r="AS288"/>
  <c r="AS409"/>
  <c r="AS325"/>
  <c r="AS482"/>
  <c r="AS445"/>
  <c r="AS414"/>
  <c r="AS283"/>
  <c r="AS246"/>
  <c r="AS225"/>
  <c r="AS141"/>
  <c r="AS199"/>
  <c r="AS115"/>
  <c r="AS430"/>
  <c r="AS388"/>
  <c r="AS204"/>
  <c r="AS120"/>
  <c r="AS346"/>
  <c r="AS267"/>
  <c r="AS183"/>
  <c r="AS99"/>
  <c r="AS42"/>
  <c r="AS67"/>
  <c r="AS16"/>
  <c r="AS241"/>
  <c r="AT8"/>
  <c r="AS162"/>
  <c r="AS351"/>
  <c r="AS304"/>
  <c r="AS262"/>
  <c r="AS157"/>
  <c r="AS136"/>
  <c r="AS220"/>
  <c r="AS435"/>
  <c r="AS94"/>
  <c r="AS178"/>
  <c r="AS330"/>
  <c r="AQ21" i="121"/>
  <c r="AQ25"/>
  <c r="AQ172"/>
  <c r="AQ193"/>
  <c r="AS499"/>
  <c r="AS507"/>
  <c r="AS450"/>
  <c r="AS503"/>
  <c r="AS430"/>
  <c r="AS414"/>
  <c r="AS388"/>
  <c r="AS445"/>
  <c r="AS351"/>
  <c r="AS482"/>
  <c r="AS440"/>
  <c r="AS435"/>
  <c r="AS346"/>
  <c r="AS393"/>
  <c r="AS372"/>
  <c r="AS367"/>
  <c r="AS304"/>
  <c r="AS466"/>
  <c r="AS409"/>
  <c r="AS283"/>
  <c r="AS330"/>
  <c r="AS325"/>
  <c r="AS288"/>
  <c r="AS199"/>
  <c r="AS309"/>
  <c r="AS262"/>
  <c r="AS246"/>
  <c r="AS267"/>
  <c r="AS178"/>
  <c r="AS220"/>
  <c r="AS204"/>
  <c r="AS162"/>
  <c r="AS241"/>
  <c r="AS115"/>
  <c r="AS157"/>
  <c r="AS94"/>
  <c r="AS183"/>
  <c r="AS120"/>
  <c r="AS136"/>
  <c r="AS99"/>
  <c r="AS225"/>
  <c r="AS141"/>
  <c r="AS42"/>
  <c r="AS67"/>
  <c r="AS16"/>
  <c r="AT8"/>
  <c r="AO9" i="11"/>
  <c r="AO58"/>
  <c r="AO60"/>
  <c r="AP7"/>
  <c r="AQ20" i="121"/>
  <c r="AR495"/>
  <c r="AR509"/>
  <c r="AR492" s="1"/>
  <c r="AR491"/>
  <c r="AR494"/>
  <c r="AR471"/>
  <c r="AR453"/>
  <c r="AR479"/>
  <c r="AR474"/>
  <c r="AR470"/>
  <c r="AR469"/>
  <c r="AR490"/>
  <c r="AR485"/>
  <c r="AR475"/>
  <c r="AR463"/>
  <c r="AR462"/>
  <c r="AR454"/>
  <c r="AR421"/>
  <c r="AR406"/>
  <c r="AR457"/>
  <c r="AR426"/>
  <c r="AR486"/>
  <c r="AR488"/>
  <c r="AR473"/>
  <c r="AR478"/>
  <c r="AR427"/>
  <c r="AR420"/>
  <c r="AR417"/>
  <c r="AR399"/>
  <c r="AR396"/>
  <c r="AR472"/>
  <c r="AR422"/>
  <c r="AR418"/>
  <c r="AR398"/>
  <c r="AR379"/>
  <c r="AR364"/>
  <c r="AR489"/>
  <c r="AR458"/>
  <c r="AR456"/>
  <c r="AR400"/>
  <c r="AR487"/>
  <c r="AR419"/>
  <c r="AR381"/>
  <c r="AR402"/>
  <c r="AR338"/>
  <c r="AR334"/>
  <c r="AR318"/>
  <c r="AR378"/>
  <c r="AR376"/>
  <c r="AR455"/>
  <c r="AR405"/>
  <c r="AR385"/>
  <c r="AR359"/>
  <c r="AR355"/>
  <c r="AR335"/>
  <c r="AR312"/>
  <c r="AR295"/>
  <c r="AR401"/>
  <c r="AR360"/>
  <c r="AR459"/>
  <c r="AR397"/>
  <c r="AR342"/>
  <c r="AR336"/>
  <c r="AR333"/>
  <c r="AR314"/>
  <c r="AR423"/>
  <c r="AR384"/>
  <c r="AR375"/>
  <c r="AR363"/>
  <c r="AR382"/>
  <c r="AR356"/>
  <c r="AR301"/>
  <c r="AR296"/>
  <c r="AR317"/>
  <c r="AR294"/>
  <c r="AR293"/>
  <c r="AR272"/>
  <c r="AR256"/>
  <c r="AR249"/>
  <c r="AR322"/>
  <c r="AR380"/>
  <c r="AR377"/>
  <c r="AR280"/>
  <c r="AR358"/>
  <c r="AR337"/>
  <c r="AR279"/>
  <c r="AR273"/>
  <c r="AR254"/>
  <c r="AR250"/>
  <c r="AR297"/>
  <c r="AR230"/>
  <c r="AR214"/>
  <c r="AR207"/>
  <c r="AR190"/>
  <c r="AR354"/>
  <c r="AR275"/>
  <c r="AR357"/>
  <c r="AR343"/>
  <c r="AR321"/>
  <c r="AR271"/>
  <c r="AR255"/>
  <c r="AR315"/>
  <c r="AR270"/>
  <c r="AR252"/>
  <c r="AR237"/>
  <c r="AR231"/>
  <c r="AR212"/>
  <c r="AR208"/>
  <c r="AR192"/>
  <c r="AR316"/>
  <c r="AR195"/>
  <c r="AR175"/>
  <c r="AR146"/>
  <c r="AR193"/>
  <c r="AR186"/>
  <c r="AR339"/>
  <c r="AR238"/>
  <c r="AR233"/>
  <c r="AR229"/>
  <c r="AR213"/>
  <c r="AR187"/>
  <c r="AR169"/>
  <c r="AR154"/>
  <c r="AR313"/>
  <c r="AR258"/>
  <c r="AR228"/>
  <c r="AR210"/>
  <c r="AR196"/>
  <c r="AR191"/>
  <c r="AR153"/>
  <c r="AR147"/>
  <c r="AR128"/>
  <c r="AR124"/>
  <c r="AR276"/>
  <c r="AR253"/>
  <c r="AR251"/>
  <c r="AR211"/>
  <c r="AR132"/>
  <c r="AR112"/>
  <c r="AR259"/>
  <c r="AR174"/>
  <c r="AR170"/>
  <c r="AR234"/>
  <c r="AR216"/>
  <c r="AR168"/>
  <c r="AR167"/>
  <c r="AR166"/>
  <c r="AR165"/>
  <c r="AR125"/>
  <c r="AR106"/>
  <c r="AR291"/>
  <c r="AR209"/>
  <c r="AR133"/>
  <c r="AR129"/>
  <c r="AR102"/>
  <c r="AR145"/>
  <c r="AR108"/>
  <c r="AR189"/>
  <c r="AR172"/>
  <c r="AR148"/>
  <c r="AR130"/>
  <c r="AR232"/>
  <c r="AR188"/>
  <c r="AR127"/>
  <c r="AR300"/>
  <c r="AR292"/>
  <c r="AR126"/>
  <c r="AR103"/>
  <c r="AR144"/>
  <c r="AR111"/>
  <c r="AR150"/>
  <c r="AR107"/>
  <c r="AR171"/>
  <c r="AR274"/>
  <c r="AR217"/>
  <c r="AR149"/>
  <c r="AR104"/>
  <c r="AR105"/>
  <c r="AR39"/>
  <c r="AR151"/>
  <c r="AR123"/>
  <c r="AR32" i="28"/>
  <c r="AQ22" i="121"/>
  <c r="AQ492"/>
  <c r="AQ19"/>
  <c r="AQ26"/>
  <c r="AN24" i="11"/>
  <c r="AN37"/>
  <c r="AN56"/>
  <c r="AQ32" i="119"/>
  <c r="AS486" i="28"/>
  <c r="AS378"/>
  <c r="AS355"/>
  <c r="AS479"/>
  <c r="AS455"/>
  <c r="AS427"/>
  <c r="AS488"/>
  <c r="AS470"/>
  <c r="AS418"/>
  <c r="AS487"/>
  <c r="AS469"/>
  <c r="AS417"/>
  <c r="AS385"/>
  <c r="AS356"/>
  <c r="AS485"/>
  <c r="AS472"/>
  <c r="AS454"/>
  <c r="AS420"/>
  <c r="AS343"/>
  <c r="AS334"/>
  <c r="AS273"/>
  <c r="AS250"/>
  <c r="AS189"/>
  <c r="AS166"/>
  <c r="AS105"/>
  <c r="AS406"/>
  <c r="AS396"/>
  <c r="AS377"/>
  <c r="AS322"/>
  <c r="AS293"/>
  <c r="AS270"/>
  <c r="AS238"/>
  <c r="AS209"/>
  <c r="AS186"/>
  <c r="AS154"/>
  <c r="AS125"/>
  <c r="AS102"/>
  <c r="AS463"/>
  <c r="AS399"/>
  <c r="AS357"/>
  <c r="AS336"/>
  <c r="AS313"/>
  <c r="AS252"/>
  <c r="AS229"/>
  <c r="AS168"/>
  <c r="AS145"/>
  <c r="AS354"/>
  <c r="AS335"/>
  <c r="AS312"/>
  <c r="AS280"/>
  <c r="AS251"/>
  <c r="AS228"/>
  <c r="AS196"/>
  <c r="AS167"/>
  <c r="AS144"/>
  <c r="AS112"/>
  <c r="AS39"/>
  <c r="AS364"/>
  <c r="AS301"/>
  <c r="AS259"/>
  <c r="AS230"/>
  <c r="AS188"/>
  <c r="AS126"/>
  <c r="AS123"/>
  <c r="AS398"/>
  <c r="AS124"/>
  <c r="AS146"/>
  <c r="AS104"/>
  <c r="AS456"/>
  <c r="AS314"/>
  <c r="AS272"/>
  <c r="AS210"/>
  <c r="AS207"/>
  <c r="AS165"/>
  <c r="AS147"/>
  <c r="AS231"/>
  <c r="AS453"/>
  <c r="AS397"/>
  <c r="AS294"/>
  <c r="AS291"/>
  <c r="AS249"/>
  <c r="AS333"/>
  <c r="AS103"/>
  <c r="AS187"/>
  <c r="AS495"/>
  <c r="AS376"/>
  <c r="AS471"/>
  <c r="AS375"/>
  <c r="AS315"/>
  <c r="AS271"/>
  <c r="AS208"/>
  <c r="AS419"/>
  <c r="AS292"/>
  <c r="AS133"/>
  <c r="AS217"/>
  <c r="AS175"/>
  <c r="AQ32" i="121"/>
  <c r="AR486" i="119"/>
  <c r="AR479"/>
  <c r="AR488"/>
  <c r="AR470"/>
  <c r="AR487"/>
  <c r="AR469"/>
  <c r="AR378"/>
  <c r="AR355"/>
  <c r="AR294"/>
  <c r="AR271"/>
  <c r="AR398"/>
  <c r="AR375"/>
  <c r="AR343"/>
  <c r="AR427"/>
  <c r="AR418"/>
  <c r="AR357"/>
  <c r="AR334"/>
  <c r="AR273"/>
  <c r="AR495"/>
  <c r="AR417"/>
  <c r="AR385"/>
  <c r="AR356"/>
  <c r="AR333"/>
  <c r="AR301"/>
  <c r="AR272"/>
  <c r="AR472"/>
  <c r="AR455"/>
  <c r="AR396"/>
  <c r="AR354"/>
  <c r="AR280"/>
  <c r="AR210"/>
  <c r="AR187"/>
  <c r="AR126"/>
  <c r="AR103"/>
  <c r="AR230"/>
  <c r="AR207"/>
  <c r="AR175"/>
  <c r="AR146"/>
  <c r="AR123"/>
  <c r="AR456"/>
  <c r="AR376"/>
  <c r="AR335"/>
  <c r="AR322"/>
  <c r="AR259"/>
  <c r="AR189"/>
  <c r="AR166"/>
  <c r="AR105"/>
  <c r="AR471"/>
  <c r="AR463"/>
  <c r="AR397"/>
  <c r="AR312"/>
  <c r="AR250"/>
  <c r="AR229"/>
  <c r="AR168"/>
  <c r="AR145"/>
  <c r="AR485"/>
  <c r="AR314"/>
  <c r="AR251"/>
  <c r="AR188"/>
  <c r="AR165"/>
  <c r="AR147"/>
  <c r="AR420"/>
  <c r="AR238"/>
  <c r="AR217"/>
  <c r="AR112"/>
  <c r="AR454"/>
  <c r="AR399"/>
  <c r="AR315"/>
  <c r="AR270"/>
  <c r="AR144"/>
  <c r="AR125"/>
  <c r="AR102"/>
  <c r="AR39"/>
  <c r="AR453"/>
  <c r="AR377"/>
  <c r="AR336"/>
  <c r="AR291"/>
  <c r="AR133"/>
  <c r="AR419"/>
  <c r="AR364"/>
  <c r="AR313"/>
  <c r="AR252"/>
  <c r="AR228"/>
  <c r="AR209"/>
  <c r="AR154"/>
  <c r="AR406"/>
  <c r="AR249"/>
  <c r="AR186"/>
  <c r="AR208"/>
  <c r="AR167"/>
  <c r="AR104"/>
  <c r="AR21" s="1"/>
  <c r="AR292"/>
  <c r="AR124"/>
  <c r="AR231"/>
  <c r="AR293"/>
  <c r="AR196"/>
  <c r="AR25" i="121"/>
  <c r="AT507"/>
  <c r="AT499"/>
  <c r="AT482"/>
  <c r="AT450"/>
  <c r="AT440"/>
  <c r="AT445"/>
  <c r="AT503"/>
  <c r="AT393"/>
  <c r="AT430"/>
  <c r="AT414"/>
  <c r="AT409"/>
  <c r="AT466"/>
  <c r="AT435"/>
  <c r="AT388"/>
  <c r="AT309"/>
  <c r="AT367"/>
  <c r="AT351"/>
  <c r="AT346"/>
  <c r="AT330"/>
  <c r="AT246"/>
  <c r="AT372"/>
  <c r="AT325"/>
  <c r="AT262"/>
  <c r="AT204"/>
  <c r="AT267"/>
  <c r="AT220"/>
  <c r="AT178"/>
  <c r="AT241"/>
  <c r="AT225"/>
  <c r="AT183"/>
  <c r="AT136"/>
  <c r="AT288"/>
  <c r="AT283"/>
  <c r="AT199"/>
  <c r="AT120"/>
  <c r="AT99"/>
  <c r="AT162"/>
  <c r="AT304"/>
  <c r="AT157"/>
  <c r="AT94"/>
  <c r="AT16"/>
  <c r="AT141"/>
  <c r="AT115"/>
  <c r="AT42"/>
  <c r="AT67" s="1"/>
  <c r="AU8"/>
  <c r="AR19"/>
  <c r="AR22"/>
  <c r="AR109"/>
  <c r="AR277"/>
  <c r="AR319"/>
  <c r="AR21"/>
  <c r="AS32" i="28"/>
  <c r="AR20" i="121"/>
  <c r="AT433"/>
  <c r="AT432"/>
  <c r="AT438"/>
  <c r="AT437"/>
  <c r="AT448"/>
  <c r="AT447"/>
  <c r="AT391"/>
  <c r="AT443"/>
  <c r="AT442"/>
  <c r="AT412"/>
  <c r="AT307"/>
  <c r="AT370"/>
  <c r="AT328"/>
  <c r="AT265"/>
  <c r="AT223"/>
  <c r="AT181"/>
  <c r="AT244"/>
  <c r="AT202"/>
  <c r="AT139"/>
  <c r="AT118"/>
  <c r="AT160"/>
  <c r="AT349"/>
  <c r="AT97"/>
  <c r="AT286"/>
  <c r="AT448" i="120"/>
  <c r="AT349"/>
  <c r="AT443"/>
  <c r="AT328"/>
  <c r="AT391"/>
  <c r="AT307"/>
  <c r="AT370"/>
  <c r="AT223"/>
  <c r="AT412"/>
  <c r="AT286"/>
  <c r="AT181"/>
  <c r="AT433"/>
  <c r="AT202"/>
  <c r="AT438"/>
  <c r="AT160"/>
  <c r="AT118"/>
  <c r="AT139"/>
  <c r="AT433" i="119"/>
  <c r="AT244" i="120"/>
  <c r="AT448" i="119"/>
  <c r="AT370"/>
  <c r="AT286"/>
  <c r="AT265" i="120"/>
  <c r="AT443" i="119"/>
  <c r="AT349"/>
  <c r="AT265"/>
  <c r="AT412"/>
  <c r="AT391"/>
  <c r="AT202"/>
  <c r="AT118"/>
  <c r="AT448" i="118"/>
  <c r="AT181" i="119"/>
  <c r="AT97"/>
  <c r="AT307"/>
  <c r="AT244"/>
  <c r="AT160"/>
  <c r="AT223"/>
  <c r="AT438" i="118"/>
  <c r="AT433"/>
  <c r="AT349"/>
  <c r="AT97" i="120"/>
  <c r="AT443" i="118"/>
  <c r="AT244"/>
  <c r="AT202"/>
  <c r="AT181"/>
  <c r="AT97"/>
  <c r="AT139" i="119"/>
  <c r="AT307" i="118"/>
  <c r="AT265"/>
  <c r="AT438" i="119"/>
  <c r="AT286" i="118"/>
  <c r="AT223"/>
  <c r="AT160"/>
  <c r="AT370"/>
  <c r="AT391" i="117"/>
  <c r="AT307"/>
  <c r="AT328" i="119"/>
  <c r="AT391" i="118"/>
  <c r="AT328"/>
  <c r="AT370" i="117"/>
  <c r="AT139" i="118"/>
  <c r="AT118"/>
  <c r="AT438" i="117"/>
  <c r="AT412" i="118"/>
  <c r="AT223" i="117"/>
  <c r="AT139"/>
  <c r="AT349"/>
  <c r="AT328"/>
  <c r="AT181"/>
  <c r="AT97"/>
  <c r="AT443"/>
  <c r="AT433"/>
  <c r="AT118"/>
  <c r="AT433" i="116"/>
  <c r="AT349"/>
  <c r="AT265"/>
  <c r="AT181"/>
  <c r="AT97"/>
  <c r="AT448" i="117"/>
  <c r="AT286"/>
  <c r="AT438" i="116"/>
  <c r="AT443"/>
  <c r="AT412"/>
  <c r="AT328"/>
  <c r="AT244"/>
  <c r="AT160"/>
  <c r="AT202" i="117"/>
  <c r="AT443" i="28"/>
  <c r="AT412"/>
  <c r="AT244" i="117"/>
  <c r="AT448" i="116"/>
  <c r="AT139"/>
  <c r="AT118"/>
  <c r="AT265" i="28"/>
  <c r="AT181"/>
  <c r="AT97"/>
  <c r="AT433"/>
  <c r="AT412" i="117"/>
  <c r="AT307" i="116"/>
  <c r="AT286"/>
  <c r="AT349" i="28"/>
  <c r="AT307"/>
  <c r="AT223"/>
  <c r="AT139"/>
  <c r="AT370" i="116"/>
  <c r="AT391" i="28"/>
  <c r="AT286"/>
  <c r="AT265" i="117"/>
  <c r="AT202" i="116"/>
  <c r="AT202" i="28"/>
  <c r="AT160"/>
  <c r="AT391" i="116"/>
  <c r="AT370" i="28"/>
  <c r="AT223" i="116"/>
  <c r="AT448" i="28"/>
  <c r="AT118"/>
  <c r="AT160" i="117"/>
  <c r="AT438" i="28"/>
  <c r="AT244"/>
  <c r="AT328"/>
  <c r="AS509" i="121"/>
  <c r="AS424" s="1"/>
  <c r="AS476"/>
  <c r="AS494"/>
  <c r="AS490"/>
  <c r="AS475"/>
  <c r="AS495"/>
  <c r="AS485"/>
  <c r="AS471"/>
  <c r="AS491"/>
  <c r="AS489"/>
  <c r="AS487"/>
  <c r="AS472"/>
  <c r="AS458"/>
  <c r="AS455"/>
  <c r="AS426"/>
  <c r="AS420"/>
  <c r="AS460"/>
  <c r="AS456"/>
  <c r="AS474"/>
  <c r="AS417"/>
  <c r="AS406"/>
  <c r="AS459"/>
  <c r="AS453"/>
  <c r="AS488"/>
  <c r="AS473"/>
  <c r="AS457"/>
  <c r="AS422"/>
  <c r="AS478"/>
  <c r="AS479"/>
  <c r="AS419"/>
  <c r="AS384"/>
  <c r="AS427"/>
  <c r="AS421"/>
  <c r="AS403"/>
  <c r="AS400"/>
  <c r="AS378"/>
  <c r="AS359"/>
  <c r="AS355"/>
  <c r="AS470"/>
  <c r="AS469"/>
  <c r="AS462"/>
  <c r="AS396"/>
  <c r="AS356"/>
  <c r="AS376"/>
  <c r="AS337"/>
  <c r="AS322"/>
  <c r="AS293"/>
  <c r="AS398"/>
  <c r="AS382"/>
  <c r="AS375"/>
  <c r="AS360"/>
  <c r="AS486"/>
  <c r="AS463"/>
  <c r="AS454"/>
  <c r="AS423"/>
  <c r="AS418"/>
  <c r="AS381"/>
  <c r="AS377"/>
  <c r="AS363"/>
  <c r="AS358"/>
  <c r="AS339"/>
  <c r="AS300"/>
  <c r="AS294"/>
  <c r="AS397"/>
  <c r="AS380"/>
  <c r="AS357"/>
  <c r="AS354"/>
  <c r="AS338"/>
  <c r="AS364"/>
  <c r="AS402"/>
  <c r="AS385"/>
  <c r="AS343"/>
  <c r="AS335"/>
  <c r="AS318"/>
  <c r="AS297"/>
  <c r="AS315"/>
  <c r="AS312"/>
  <c r="AS295"/>
  <c r="AS296"/>
  <c r="AS276"/>
  <c r="AS342"/>
  <c r="AS379"/>
  <c r="AS275"/>
  <c r="AS270"/>
  <c r="AS253"/>
  <c r="AS317"/>
  <c r="AS314"/>
  <c r="AS234"/>
  <c r="AS195"/>
  <c r="AS189"/>
  <c r="AS399"/>
  <c r="AS336"/>
  <c r="AS321"/>
  <c r="AS301"/>
  <c r="AS271"/>
  <c r="AS255"/>
  <c r="AS250"/>
  <c r="AS238"/>
  <c r="AS405"/>
  <c r="AS333"/>
  <c r="AS316"/>
  <c r="AS292"/>
  <c r="AS291"/>
  <c r="AS279"/>
  <c r="AS228"/>
  <c r="AS211"/>
  <c r="AS196"/>
  <c r="AS252"/>
  <c r="AS193"/>
  <c r="AS186"/>
  <c r="AS170"/>
  <c r="AS166"/>
  <c r="AS150"/>
  <c r="AS401"/>
  <c r="AS237"/>
  <c r="AS233"/>
  <c r="AS229"/>
  <c r="AS213"/>
  <c r="AS208"/>
  <c r="AS187"/>
  <c r="AS274"/>
  <c r="AS256"/>
  <c r="AS174"/>
  <c r="AS168"/>
  <c r="AS149"/>
  <c r="AS145"/>
  <c r="AS272"/>
  <c r="AS259"/>
  <c r="AS254"/>
  <c r="AS190"/>
  <c r="AS167"/>
  <c r="AS144"/>
  <c r="AS127"/>
  <c r="AS207"/>
  <c r="AS175"/>
  <c r="AS124"/>
  <c r="AS107"/>
  <c r="AS103"/>
  <c r="AS216"/>
  <c r="AS165"/>
  <c r="AS153"/>
  <c r="AS258"/>
  <c r="AS249"/>
  <c r="AS230"/>
  <c r="AS217"/>
  <c r="AS212"/>
  <c r="AS148"/>
  <c r="AS126"/>
  <c r="AS111"/>
  <c r="AS105"/>
  <c r="AS280"/>
  <c r="AS273"/>
  <c r="AS191"/>
  <c r="AS313"/>
  <c r="AS192"/>
  <c r="AS169"/>
  <c r="AS133"/>
  <c r="AS106"/>
  <c r="AS132"/>
  <c r="AS128"/>
  <c r="AS251"/>
  <c r="AS210"/>
  <c r="AS171"/>
  <c r="AS123"/>
  <c r="AS112"/>
  <c r="AS39"/>
  <c r="AS214"/>
  <c r="AS154"/>
  <c r="AS231"/>
  <c r="AS147"/>
  <c r="AS146"/>
  <c r="AS129"/>
  <c r="AS104"/>
  <c r="AS188"/>
  <c r="AS125"/>
  <c r="AS108"/>
  <c r="AS334"/>
  <c r="AS209"/>
  <c r="AS102"/>
  <c r="AS232"/>
  <c r="AS479" i="119"/>
  <c r="AS455"/>
  <c r="AS488"/>
  <c r="AS485"/>
  <c r="AS463"/>
  <c r="AS456"/>
  <c r="AS487"/>
  <c r="AS470"/>
  <c r="AS398"/>
  <c r="AS375"/>
  <c r="AS343"/>
  <c r="AS314"/>
  <c r="AS291"/>
  <c r="AS259"/>
  <c r="AS427"/>
  <c r="AS418"/>
  <c r="AS357"/>
  <c r="AS334"/>
  <c r="AS471"/>
  <c r="AS406"/>
  <c r="AS377"/>
  <c r="AS354"/>
  <c r="AS322"/>
  <c r="AS293"/>
  <c r="AS270"/>
  <c r="AS454"/>
  <c r="AS453"/>
  <c r="AS399"/>
  <c r="AS376"/>
  <c r="AS315"/>
  <c r="AS292"/>
  <c r="AS385"/>
  <c r="AS294"/>
  <c r="AS272"/>
  <c r="AS230"/>
  <c r="AS207"/>
  <c r="AS175"/>
  <c r="AS146"/>
  <c r="AS123"/>
  <c r="AS335"/>
  <c r="AS189"/>
  <c r="AS166"/>
  <c r="AS105"/>
  <c r="AS419"/>
  <c r="AS356"/>
  <c r="AS273"/>
  <c r="AS249"/>
  <c r="AS238"/>
  <c r="AS209"/>
  <c r="AS186"/>
  <c r="AS154"/>
  <c r="AS125"/>
  <c r="AS102"/>
  <c r="AS495"/>
  <c r="AS486"/>
  <c r="AS378"/>
  <c r="AS313"/>
  <c r="AS301"/>
  <c r="AS217"/>
  <c r="AS188"/>
  <c r="AS172"/>
  <c r="AS165"/>
  <c r="AS133"/>
  <c r="AS104"/>
  <c r="AS420"/>
  <c r="AS397"/>
  <c r="AS355"/>
  <c r="AS126"/>
  <c r="AS112"/>
  <c r="AS103"/>
  <c r="AS472"/>
  <c r="AS469"/>
  <c r="AS229"/>
  <c r="AS144"/>
  <c r="AS39"/>
  <c r="AS476"/>
  <c r="AS417"/>
  <c r="AS208"/>
  <c r="AS167"/>
  <c r="AS396"/>
  <c r="AS280"/>
  <c r="AS271"/>
  <c r="AS231"/>
  <c r="AS145"/>
  <c r="AS252"/>
  <c r="AS228"/>
  <c r="AS312"/>
  <c r="AS168"/>
  <c r="AS187"/>
  <c r="AS124"/>
  <c r="AS364"/>
  <c r="AS147"/>
  <c r="AS250"/>
  <c r="AS210"/>
  <c r="AS196"/>
  <c r="AS333"/>
  <c r="AS251"/>
  <c r="AS336"/>
  <c r="AT499"/>
  <c r="AT482"/>
  <c r="AT445"/>
  <c r="AT507"/>
  <c r="AT508"/>
  <c r="AT509" s="1"/>
  <c r="AT367"/>
  <c r="AT283"/>
  <c r="AT450"/>
  <c r="AT372"/>
  <c r="AT346"/>
  <c r="AT262"/>
  <c r="AT414"/>
  <c r="AT330"/>
  <c r="AT199"/>
  <c r="AT115"/>
  <c r="AU8"/>
  <c r="AU346" s="1"/>
  <c r="AT466"/>
  <c r="AT430"/>
  <c r="AT393"/>
  <c r="AT388"/>
  <c r="AT309"/>
  <c r="AT204"/>
  <c r="AT120"/>
  <c r="AT435"/>
  <c r="AT351"/>
  <c r="AT325"/>
  <c r="AT178"/>
  <c r="AT94"/>
  <c r="AT241"/>
  <c r="AT157"/>
  <c r="AT503"/>
  <c r="AT225"/>
  <c r="AT183"/>
  <c r="AT162"/>
  <c r="AT220"/>
  <c r="AT99"/>
  <c r="AT304"/>
  <c r="AT141"/>
  <c r="AT16"/>
  <c r="AT246"/>
  <c r="AT409"/>
  <c r="AT42"/>
  <c r="AT67"/>
  <c r="AT440"/>
  <c r="AT288"/>
  <c r="AT136"/>
  <c r="AT267"/>
  <c r="AP9" i="11"/>
  <c r="AP58"/>
  <c r="AP60" s="1"/>
  <c r="AU328" i="121" s="1"/>
  <c r="AO24" i="11"/>
  <c r="AO37"/>
  <c r="AO56"/>
  <c r="AR32" i="121"/>
  <c r="AR32" i="119"/>
  <c r="AS513" i="121"/>
  <c r="AS513" i="120"/>
  <c r="AS513" i="119"/>
  <c r="AS513" i="118"/>
  <c r="AS513" i="117"/>
  <c r="AS513" i="116"/>
  <c r="AS513" i="28"/>
  <c r="AR235" i="121"/>
  <c r="AR298"/>
  <c r="AR340"/>
  <c r="AT513"/>
  <c r="AT513" i="120"/>
  <c r="AT513" i="119"/>
  <c r="AT513" i="118"/>
  <c r="AT513" i="117"/>
  <c r="AT513" i="116"/>
  <c r="AT513" i="28"/>
  <c r="AU438" i="121"/>
  <c r="AU437" s="1"/>
  <c r="AU433"/>
  <c r="AU432" s="1"/>
  <c r="AU391"/>
  <c r="AU286"/>
  <c r="AU244"/>
  <c r="AU223"/>
  <c r="AU202"/>
  <c r="AU118"/>
  <c r="AU448" i="120"/>
  <c r="AU443"/>
  <c r="AU412"/>
  <c r="AU202"/>
  <c r="AU244"/>
  <c r="AU286"/>
  <c r="AU160"/>
  <c r="AU97"/>
  <c r="AU349" i="119"/>
  <c r="AU307"/>
  <c r="AU181"/>
  <c r="AU118"/>
  <c r="AU265" i="118"/>
  <c r="AU286" i="119"/>
  <c r="AU412" i="118"/>
  <c r="AU391"/>
  <c r="AU307"/>
  <c r="AU223" i="119"/>
  <c r="AU328"/>
  <c r="AU265"/>
  <c r="AU118" i="118"/>
  <c r="AU97"/>
  <c r="AU443" i="117"/>
  <c r="AU244"/>
  <c r="AU448"/>
  <c r="AU438" i="116"/>
  <c r="AU443"/>
  <c r="AU160"/>
  <c r="AU202" i="118"/>
  <c r="AU448" i="116"/>
  <c r="AU370"/>
  <c r="AU286"/>
  <c r="AU448" i="28"/>
  <c r="AU181"/>
  <c r="AU97"/>
  <c r="AU202" i="117"/>
  <c r="AU328" i="28"/>
  <c r="AU244"/>
  <c r="AU433" i="116"/>
  <c r="AU118" i="28"/>
  <c r="AU438" i="117"/>
  <c r="AU391"/>
  <c r="AU139" i="28"/>
  <c r="AU223"/>
  <c r="AU438"/>
  <c r="AU482" i="119"/>
  <c r="AU435"/>
  <c r="AU288"/>
  <c r="AU267"/>
  <c r="AU445"/>
  <c r="AU466"/>
  <c r="AU120"/>
  <c r="AU325"/>
  <c r="AU440"/>
  <c r="AU507"/>
  <c r="AU508" s="1"/>
  <c r="AU509" s="1"/>
  <c r="AU262"/>
  <c r="AU16"/>
  <c r="AU241"/>
  <c r="AU141"/>
  <c r="AU225"/>
  <c r="AU330"/>
  <c r="AU367"/>
  <c r="AS25" i="121"/>
  <c r="AS130"/>
  <c r="AS172"/>
  <c r="AS151"/>
  <c r="AS298"/>
  <c r="AS361"/>
  <c r="AU503"/>
  <c r="AU499"/>
  <c r="AU507"/>
  <c r="AU482"/>
  <c r="AU466"/>
  <c r="AU435"/>
  <c r="AU409"/>
  <c r="AU440"/>
  <c r="AU367"/>
  <c r="AU445"/>
  <c r="AU430"/>
  <c r="AU414"/>
  <c r="AU450"/>
  <c r="AU283"/>
  <c r="AU372"/>
  <c r="AU388"/>
  <c r="AU309"/>
  <c r="AU304"/>
  <c r="AU393"/>
  <c r="AU325"/>
  <c r="AU346"/>
  <c r="AU351"/>
  <c r="AU267"/>
  <c r="AU288"/>
  <c r="AU225"/>
  <c r="AU178"/>
  <c r="AU246"/>
  <c r="AU241"/>
  <c r="AU157"/>
  <c r="AU262"/>
  <c r="AU199"/>
  <c r="AU141"/>
  <c r="AU330"/>
  <c r="AU115"/>
  <c r="AU220"/>
  <c r="AU94"/>
  <c r="AU136"/>
  <c r="AU99"/>
  <c r="AU42"/>
  <c r="AU67" s="1"/>
  <c r="AU16"/>
  <c r="AU204"/>
  <c r="AU183"/>
  <c r="AU162"/>
  <c r="AU120"/>
  <c r="AS19"/>
  <c r="AP24" i="11"/>
  <c r="AP37"/>
  <c r="AP56"/>
  <c r="AS32" i="119"/>
  <c r="AS20" i="121"/>
  <c r="AT509"/>
  <c r="AT193" s="1"/>
  <c r="AT490"/>
  <c r="AT486"/>
  <c r="AT494"/>
  <c r="AT495"/>
  <c r="AT485"/>
  <c r="AT479"/>
  <c r="AT455"/>
  <c r="AT471"/>
  <c r="AT491"/>
  <c r="AT489"/>
  <c r="AT487"/>
  <c r="AT475"/>
  <c r="AT472"/>
  <c r="AT417"/>
  <c r="AT492"/>
  <c r="AT478"/>
  <c r="AT462"/>
  <c r="AT458"/>
  <c r="AT454"/>
  <c r="AT427"/>
  <c r="AT422"/>
  <c r="AT473"/>
  <c r="AT463"/>
  <c r="AT421"/>
  <c r="AT469"/>
  <c r="AT453"/>
  <c r="AT405"/>
  <c r="AT474"/>
  <c r="AT418"/>
  <c r="AT398"/>
  <c r="AT456"/>
  <c r="AT375"/>
  <c r="AT358"/>
  <c r="AT470"/>
  <c r="AT420"/>
  <c r="AT399"/>
  <c r="AT426"/>
  <c r="AT488"/>
  <c r="AT459"/>
  <c r="AT423"/>
  <c r="AT402"/>
  <c r="AT401"/>
  <c r="AT397"/>
  <c r="AT380"/>
  <c r="AT376"/>
  <c r="AT360"/>
  <c r="AT378"/>
  <c r="AT354"/>
  <c r="AT342"/>
  <c r="AT336"/>
  <c r="AT317"/>
  <c r="AT313"/>
  <c r="AT297"/>
  <c r="AT406"/>
  <c r="AT384"/>
  <c r="AT364"/>
  <c r="AT357"/>
  <c r="AT343"/>
  <c r="AT314"/>
  <c r="AT291"/>
  <c r="AT400"/>
  <c r="AT381"/>
  <c r="AT337"/>
  <c r="AT322"/>
  <c r="AT419"/>
  <c r="AT377"/>
  <c r="AT355"/>
  <c r="AT339"/>
  <c r="AT321"/>
  <c r="AT294"/>
  <c r="AT280"/>
  <c r="AT251"/>
  <c r="AT396"/>
  <c r="AT379"/>
  <c r="AT335"/>
  <c r="AT363"/>
  <c r="AT334"/>
  <c r="AT316"/>
  <c r="AT300"/>
  <c r="AT295"/>
  <c r="AT292"/>
  <c r="AT274"/>
  <c r="AT333"/>
  <c r="AT258"/>
  <c r="AT252"/>
  <c r="AT457"/>
  <c r="AT359"/>
  <c r="AT338"/>
  <c r="AT301"/>
  <c r="AT275"/>
  <c r="AT271"/>
  <c r="AT255"/>
  <c r="AT250"/>
  <c r="AT238"/>
  <c r="AT209"/>
  <c r="AT356"/>
  <c r="AT276"/>
  <c r="AT259"/>
  <c r="AT254"/>
  <c r="AT249"/>
  <c r="AT318"/>
  <c r="AT272"/>
  <c r="AT216"/>
  <c r="AT210"/>
  <c r="AT191"/>
  <c r="AT187"/>
  <c r="AT237"/>
  <c r="AT233"/>
  <c r="AT229"/>
  <c r="AT213"/>
  <c r="AT208"/>
  <c r="AT169"/>
  <c r="AT154"/>
  <c r="AT385"/>
  <c r="AT279"/>
  <c r="AT174"/>
  <c r="AT293"/>
  <c r="AT253"/>
  <c r="AT232"/>
  <c r="AT217"/>
  <c r="AT212"/>
  <c r="AT207"/>
  <c r="AT192"/>
  <c r="AT188"/>
  <c r="AT172"/>
  <c r="AT165"/>
  <c r="AT148"/>
  <c r="AT315"/>
  <c r="AT273"/>
  <c r="AT230"/>
  <c r="AT171"/>
  <c r="AT132"/>
  <c r="AT126"/>
  <c r="AT270"/>
  <c r="AT228"/>
  <c r="AT190"/>
  <c r="AT170"/>
  <c r="AT153"/>
  <c r="AT128"/>
  <c r="AT125"/>
  <c r="AT106"/>
  <c r="AT296"/>
  <c r="AT234"/>
  <c r="AT168"/>
  <c r="AT167"/>
  <c r="AT166"/>
  <c r="AT231"/>
  <c r="AT133"/>
  <c r="AT129"/>
  <c r="AT102"/>
  <c r="AT149"/>
  <c r="AT145"/>
  <c r="AT144"/>
  <c r="AT104"/>
  <c r="AT196"/>
  <c r="AT189"/>
  <c r="AT195"/>
  <c r="AT150"/>
  <c r="AT146"/>
  <c r="AT111"/>
  <c r="AT151"/>
  <c r="AT147"/>
  <c r="AT107"/>
  <c r="AT103"/>
  <c r="AT124"/>
  <c r="AT186"/>
  <c r="AT175"/>
  <c r="AT108"/>
  <c r="AT211"/>
  <c r="AT123"/>
  <c r="AT105"/>
  <c r="AT112"/>
  <c r="AT127"/>
  <c r="AT39"/>
  <c r="AT312"/>
  <c r="AS21"/>
  <c r="AS32"/>
  <c r="AT488" i="119"/>
  <c r="AT470"/>
  <c r="AT492"/>
  <c r="AT485"/>
  <c r="AT472"/>
  <c r="AT454"/>
  <c r="AT495"/>
  <c r="AT471"/>
  <c r="AT460"/>
  <c r="AT453"/>
  <c r="AT427"/>
  <c r="AT418"/>
  <c r="AT357"/>
  <c r="AT334"/>
  <c r="AT273"/>
  <c r="AT250"/>
  <c r="AT406"/>
  <c r="AT377"/>
  <c r="AT361"/>
  <c r="AT354"/>
  <c r="AT322"/>
  <c r="AT463"/>
  <c r="AT420"/>
  <c r="AT397"/>
  <c r="AT336"/>
  <c r="AT313"/>
  <c r="AT456"/>
  <c r="AT455"/>
  <c r="AT419"/>
  <c r="AT403"/>
  <c r="AT396"/>
  <c r="AT364"/>
  <c r="AT335"/>
  <c r="AT319"/>
  <c r="AT312"/>
  <c r="AT280"/>
  <c r="AT487"/>
  <c r="AT424"/>
  <c r="AT398"/>
  <c r="AT189"/>
  <c r="AT166"/>
  <c r="AT105"/>
  <c r="AT376"/>
  <c r="AT356"/>
  <c r="AT259"/>
  <c r="AT249"/>
  <c r="AT238"/>
  <c r="AT209"/>
  <c r="AT193"/>
  <c r="AT186"/>
  <c r="AT154"/>
  <c r="AT125"/>
  <c r="AT109"/>
  <c r="AT102"/>
  <c r="AT277"/>
  <c r="AT229"/>
  <c r="AT168"/>
  <c r="AT145"/>
  <c r="AT399"/>
  <c r="AT382"/>
  <c r="AT333"/>
  <c r="AT315"/>
  <c r="AT314"/>
  <c r="AT252"/>
  <c r="AT251"/>
  <c r="AT231"/>
  <c r="AT208"/>
  <c r="AT147"/>
  <c r="AT124"/>
  <c r="AT486"/>
  <c r="AT469"/>
  <c r="AT343"/>
  <c r="AT217"/>
  <c r="AT151"/>
  <c r="AT144"/>
  <c r="AT130"/>
  <c r="AT123"/>
  <c r="AT39"/>
  <c r="AT476"/>
  <c r="AT417"/>
  <c r="AT378"/>
  <c r="AT301"/>
  <c r="AT298"/>
  <c r="AT294"/>
  <c r="AT270"/>
  <c r="AT167"/>
  <c r="AT375"/>
  <c r="AT175"/>
  <c r="AT146"/>
  <c r="AT104"/>
  <c r="AT479"/>
  <c r="AT292"/>
  <c r="AT210"/>
  <c r="AT196"/>
  <c r="AT187"/>
  <c r="AT214"/>
  <c r="AT230"/>
  <c r="AT172"/>
  <c r="AT385"/>
  <c r="AT355"/>
  <c r="AT340"/>
  <c r="AT126"/>
  <c r="AT291"/>
  <c r="AT165"/>
  <c r="AT112"/>
  <c r="AT103"/>
  <c r="AT293"/>
  <c r="AT271"/>
  <c r="AT228"/>
  <c r="AT256"/>
  <c r="AT235"/>
  <c r="AT133"/>
  <c r="AT188"/>
  <c r="AT207"/>
  <c r="AT272"/>
  <c r="AS22" i="121"/>
  <c r="AS235"/>
  <c r="AS492"/>
  <c r="AT214"/>
  <c r="AT25"/>
  <c r="AT256"/>
  <c r="AT424"/>
  <c r="AU513"/>
  <c r="AU513" i="120"/>
  <c r="AU513" i="119"/>
  <c r="AU513" i="118"/>
  <c r="AU513" i="117"/>
  <c r="AU513" i="116"/>
  <c r="AU513" i="28"/>
  <c r="AU489" i="121"/>
  <c r="AU509"/>
  <c r="AU492" s="1"/>
  <c r="AU495"/>
  <c r="AU486"/>
  <c r="AU474"/>
  <c r="AU470"/>
  <c r="AU459"/>
  <c r="AU485"/>
  <c r="AU491"/>
  <c r="AU490"/>
  <c r="AU487"/>
  <c r="AU475"/>
  <c r="AU472"/>
  <c r="AU456"/>
  <c r="AU405"/>
  <c r="AU488"/>
  <c r="AU473"/>
  <c r="AU469"/>
  <c r="AU463"/>
  <c r="AU453"/>
  <c r="AU457"/>
  <c r="AU458"/>
  <c r="AU419"/>
  <c r="AU418"/>
  <c r="AU401"/>
  <c r="AU494"/>
  <c r="AU478"/>
  <c r="AU423"/>
  <c r="AU421"/>
  <c r="AU406"/>
  <c r="AU402"/>
  <c r="AU400"/>
  <c r="AU471"/>
  <c r="AU420"/>
  <c r="AU417"/>
  <c r="AU399"/>
  <c r="AU384"/>
  <c r="AU363"/>
  <c r="AU357"/>
  <c r="AU460"/>
  <c r="AU426"/>
  <c r="AU454"/>
  <c r="AU424"/>
  <c r="AU455"/>
  <c r="AU379"/>
  <c r="AU364"/>
  <c r="AU356"/>
  <c r="AU333"/>
  <c r="AU316"/>
  <c r="AU301"/>
  <c r="AU398"/>
  <c r="AU375"/>
  <c r="AU385"/>
  <c r="AU462"/>
  <c r="AU397"/>
  <c r="AU396"/>
  <c r="AU380"/>
  <c r="AU338"/>
  <c r="AU334"/>
  <c r="AU318"/>
  <c r="AU376"/>
  <c r="AU343"/>
  <c r="AU337"/>
  <c r="AU479"/>
  <c r="AU317"/>
  <c r="AU313"/>
  <c r="AU358"/>
  <c r="AU354"/>
  <c r="AU300"/>
  <c r="AU378"/>
  <c r="AU342"/>
  <c r="AU335"/>
  <c r="AU322"/>
  <c r="AU275"/>
  <c r="AU271"/>
  <c r="AU255"/>
  <c r="AU381"/>
  <c r="AU377"/>
  <c r="AU295"/>
  <c r="AU292"/>
  <c r="AU360"/>
  <c r="AU314"/>
  <c r="AU312"/>
  <c r="AU297"/>
  <c r="AU279"/>
  <c r="AU336"/>
  <c r="AU321"/>
  <c r="AU315"/>
  <c r="AU291"/>
  <c r="AU272"/>
  <c r="AU249"/>
  <c r="AU233"/>
  <c r="AU229"/>
  <c r="AU213"/>
  <c r="AU355"/>
  <c r="AU294"/>
  <c r="AU277"/>
  <c r="AU276"/>
  <c r="AU259"/>
  <c r="AU254"/>
  <c r="AU273"/>
  <c r="AU253"/>
  <c r="AU427"/>
  <c r="AU293"/>
  <c r="AU274"/>
  <c r="AU258"/>
  <c r="AU251"/>
  <c r="AU230"/>
  <c r="AU214"/>
  <c r="AU207"/>
  <c r="AU190"/>
  <c r="AU187"/>
  <c r="AU174"/>
  <c r="AU168"/>
  <c r="AU149"/>
  <c r="AU145"/>
  <c r="AU359"/>
  <c r="AU339"/>
  <c r="AU238"/>
  <c r="AU232"/>
  <c r="AU217"/>
  <c r="AU212"/>
  <c r="AU192"/>
  <c r="AU188"/>
  <c r="AU172"/>
  <c r="AU270"/>
  <c r="AU231"/>
  <c r="AU211"/>
  <c r="AU153"/>
  <c r="AU147"/>
  <c r="AU296"/>
  <c r="AU280"/>
  <c r="AU234"/>
  <c r="AU216"/>
  <c r="AU209"/>
  <c r="AU189"/>
  <c r="AU175"/>
  <c r="AU146"/>
  <c r="AU123"/>
  <c r="AU250"/>
  <c r="AU167"/>
  <c r="AU166"/>
  <c r="AU165"/>
  <c r="AU111"/>
  <c r="AU105"/>
  <c r="AU237"/>
  <c r="AU208"/>
  <c r="AU148"/>
  <c r="AU133"/>
  <c r="AU196"/>
  <c r="AU195"/>
  <c r="AU154"/>
  <c r="AU210"/>
  <c r="AU171"/>
  <c r="AU169"/>
  <c r="AU127"/>
  <c r="AU108"/>
  <c r="AU106"/>
  <c r="AU150"/>
  <c r="AU132"/>
  <c r="AU128"/>
  <c r="AU191"/>
  <c r="AU125"/>
  <c r="AU112"/>
  <c r="AU102"/>
  <c r="AU39"/>
  <c r="AU422"/>
  <c r="AU104"/>
  <c r="AU126"/>
  <c r="AU103"/>
  <c r="AU20"/>
  <c r="AU186"/>
  <c r="AU144"/>
  <c r="AU129"/>
  <c r="AU170"/>
  <c r="AU252"/>
  <c r="AU151"/>
  <c r="AU124"/>
  <c r="AU228"/>
  <c r="AU107"/>
  <c r="AT235"/>
  <c r="AT319"/>
  <c r="AT460"/>
  <c r="AT476"/>
  <c r="AT19"/>
  <c r="AT26" i="119"/>
  <c r="AT32" i="121"/>
  <c r="AT20"/>
  <c r="AT130"/>
  <c r="AT109"/>
  <c r="AT277"/>
  <c r="AT361"/>
  <c r="AT403"/>
  <c r="AT382"/>
  <c r="AT21"/>
  <c r="AT32" i="119"/>
  <c r="AT22" i="121"/>
  <c r="AU109"/>
  <c r="AU21"/>
  <c r="AU130"/>
  <c r="AU235"/>
  <c r="AU22"/>
  <c r="AU256"/>
  <c r="AU319"/>
  <c r="AU340"/>
  <c r="AU193"/>
  <c r="AU403"/>
  <c r="AU19"/>
  <c r="AU298"/>
  <c r="AU382"/>
  <c r="AU32"/>
  <c r="AU25"/>
  <c r="AU361"/>
  <c r="AP492" i="119" l="1"/>
  <c r="AP460"/>
  <c r="AP361"/>
  <c r="AP277"/>
  <c r="AP424"/>
  <c r="AP298"/>
  <c r="AP340"/>
  <c r="AP109"/>
  <c r="AP403"/>
  <c r="AP319"/>
  <c r="AP235"/>
  <c r="AP151"/>
  <c r="AP130"/>
  <c r="AP214"/>
  <c r="AP256"/>
  <c r="AP193"/>
  <c r="AP172"/>
  <c r="AP382"/>
  <c r="AP476"/>
  <c r="AU113" i="121"/>
  <c r="AU69" s="1"/>
  <c r="AU199" i="119"/>
  <c r="AU157"/>
  <c r="AU162"/>
  <c r="AU409"/>
  <c r="AU393"/>
  <c r="AU349" i="28"/>
  <c r="AU202"/>
  <c r="AU412"/>
  <c r="AU265" i="116"/>
  <c r="AU181"/>
  <c r="AU433" i="28"/>
  <c r="AU412" i="116"/>
  <c r="AU223" i="117"/>
  <c r="AU370" i="118"/>
  <c r="AU202" i="119"/>
  <c r="AU328" i="118"/>
  <c r="AU438"/>
  <c r="AU433" i="119"/>
  <c r="AU118" i="120"/>
  <c r="AU349"/>
  <c r="AU433"/>
  <c r="AT169" i="119"/>
  <c r="AT128"/>
  <c r="AT153"/>
  <c r="AT171"/>
  <c r="AT192"/>
  <c r="AT213"/>
  <c r="AT234"/>
  <c r="AT255"/>
  <c r="AT276"/>
  <c r="AT297"/>
  <c r="AT318"/>
  <c r="AT339"/>
  <c r="AT360"/>
  <c r="AT381"/>
  <c r="AT402"/>
  <c r="AT423"/>
  <c r="AT459"/>
  <c r="AT475"/>
  <c r="AT491"/>
  <c r="AT148"/>
  <c r="AT108"/>
  <c r="AT149"/>
  <c r="AT174"/>
  <c r="AT195"/>
  <c r="AT216"/>
  <c r="AT237"/>
  <c r="AT258"/>
  <c r="AT279"/>
  <c r="AT300"/>
  <c r="AT321"/>
  <c r="AT342"/>
  <c r="AT363"/>
  <c r="AT384"/>
  <c r="AT405"/>
  <c r="AT426"/>
  <c r="AT462"/>
  <c r="AT478"/>
  <c r="AT494"/>
  <c r="AT127"/>
  <c r="AT111"/>
  <c r="AT129"/>
  <c r="AT170"/>
  <c r="AT191"/>
  <c r="AT212"/>
  <c r="AT233"/>
  <c r="AT254"/>
  <c r="AT275"/>
  <c r="AT296"/>
  <c r="AT317"/>
  <c r="AT338"/>
  <c r="AT359"/>
  <c r="AT380"/>
  <c r="AT401"/>
  <c r="AT422"/>
  <c r="AT458"/>
  <c r="AT474"/>
  <c r="AT490"/>
  <c r="AT106"/>
  <c r="AT107"/>
  <c r="AT132"/>
  <c r="AT150"/>
  <c r="AT190"/>
  <c r="AT211"/>
  <c r="AT232"/>
  <c r="AT253"/>
  <c r="AT274"/>
  <c r="AT295"/>
  <c r="AT316"/>
  <c r="AT337"/>
  <c r="AT358"/>
  <c r="AT379"/>
  <c r="AT400"/>
  <c r="AT421"/>
  <c r="AT457"/>
  <c r="AT473"/>
  <c r="AT489"/>
  <c r="AU499"/>
  <c r="AU372"/>
  <c r="AU351"/>
  <c r="AU304"/>
  <c r="AU204"/>
  <c r="AU94"/>
  <c r="AU99"/>
  <c r="AU503"/>
  <c r="AU115"/>
  <c r="AU283"/>
  <c r="AU414"/>
  <c r="AU450"/>
  <c r="AU430"/>
  <c r="AU388"/>
  <c r="AU309"/>
  <c r="AU178"/>
  <c r="AU183"/>
  <c r="AU42"/>
  <c r="AU67" s="1"/>
  <c r="AU220"/>
  <c r="AU136"/>
  <c r="AU246"/>
  <c r="AR513" i="121"/>
  <c r="AR513" i="28"/>
  <c r="AR513" i="117"/>
  <c r="AR513" i="118"/>
  <c r="AR513" i="116"/>
  <c r="AR513" i="120"/>
  <c r="AR513" i="119"/>
  <c r="AS476" i="28"/>
  <c r="AS172"/>
  <c r="AS340"/>
  <c r="AS277"/>
  <c r="AS193"/>
  <c r="AS109"/>
  <c r="AS214"/>
  <c r="AS460"/>
  <c r="AS424"/>
  <c r="AS492"/>
  <c r="AS403"/>
  <c r="AS130"/>
  <c r="AS382"/>
  <c r="AS319"/>
  <c r="AS235"/>
  <c r="AS151"/>
  <c r="AS361"/>
  <c r="AS256"/>
  <c r="AS298"/>
  <c r="AQ476" i="119"/>
  <c r="AQ424"/>
  <c r="AQ172"/>
  <c r="AQ460"/>
  <c r="AQ235"/>
  <c r="AQ151"/>
  <c r="AQ214"/>
  <c r="AQ130"/>
  <c r="AQ277"/>
  <c r="AQ193"/>
  <c r="AQ109"/>
  <c r="AQ492"/>
  <c r="AQ382"/>
  <c r="AQ298"/>
  <c r="AQ256"/>
  <c r="AQ403"/>
  <c r="AQ319"/>
  <c r="AQ340"/>
  <c r="AQ361"/>
  <c r="AR476" i="28"/>
  <c r="AR492"/>
  <c r="AR277"/>
  <c r="AR193"/>
  <c r="AR109"/>
  <c r="AR361"/>
  <c r="AR172"/>
  <c r="AR319"/>
  <c r="AR235"/>
  <c r="AR460"/>
  <c r="AR298"/>
  <c r="AR214"/>
  <c r="AR130"/>
  <c r="AR424"/>
  <c r="AR382"/>
  <c r="AR403"/>
  <c r="AR340"/>
  <c r="AR151"/>
  <c r="AR256"/>
  <c r="AQ298"/>
  <c r="AQ214"/>
  <c r="AQ130"/>
  <c r="AQ277"/>
  <c r="AQ319"/>
  <c r="AQ193"/>
  <c r="AQ476"/>
  <c r="AQ424"/>
  <c r="AQ460"/>
  <c r="AQ361"/>
  <c r="AQ382"/>
  <c r="AQ340"/>
  <c r="AQ256"/>
  <c r="AQ172"/>
  <c r="AQ235"/>
  <c r="AQ403"/>
  <c r="AS382" i="119"/>
  <c r="AS298"/>
  <c r="AS193"/>
  <c r="AS109"/>
  <c r="AS403"/>
  <c r="AS256"/>
  <c r="AS340"/>
  <c r="AS214"/>
  <c r="AS130"/>
  <c r="AS151"/>
  <c r="AS319"/>
  <c r="AS460"/>
  <c r="AS235"/>
  <c r="AS361"/>
  <c r="AS277"/>
  <c r="AS492"/>
  <c r="AS424"/>
  <c r="AT20"/>
  <c r="AT21"/>
  <c r="AT19"/>
  <c r="AT22"/>
  <c r="AT298" i="121"/>
  <c r="AT302" s="1"/>
  <c r="AT78" s="1"/>
  <c r="AT340"/>
  <c r="AU412"/>
  <c r="AU349"/>
  <c r="AU160"/>
  <c r="AU139"/>
  <c r="AU181"/>
  <c r="AU223" i="120"/>
  <c r="AU307"/>
  <c r="AU391"/>
  <c r="AU438" i="119"/>
  <c r="AU443"/>
  <c r="AU391"/>
  <c r="AU448"/>
  <c r="AU349" i="118"/>
  <c r="AU139" i="119"/>
  <c r="AU370"/>
  <c r="AU412"/>
  <c r="AU160" i="118"/>
  <c r="AU448"/>
  <c r="AU181"/>
  <c r="AU328" i="117"/>
  <c r="AU286"/>
  <c r="AU139" i="118"/>
  <c r="AU244" i="116"/>
  <c r="AU97" i="117"/>
  <c r="AU160"/>
  <c r="AU118" i="116"/>
  <c r="AU265" i="28"/>
  <c r="AU433" i="117"/>
  <c r="AU391" i="28"/>
  <c r="AU181" i="117"/>
  <c r="AU118"/>
  <c r="AU443" i="28"/>
  <c r="AU286"/>
  <c r="AU349" i="116"/>
  <c r="AU448" i="121"/>
  <c r="AU447" s="1"/>
  <c r="AU370"/>
  <c r="AU443"/>
  <c r="AU442" s="1"/>
  <c r="AU307"/>
  <c r="AU97"/>
  <c r="AU265"/>
  <c r="AU438" i="120"/>
  <c r="AU328"/>
  <c r="AU139"/>
  <c r="AU181"/>
  <c r="AU265"/>
  <c r="AU370"/>
  <c r="AU97" i="119"/>
  <c r="AU433" i="118"/>
  <c r="AU160" i="119"/>
  <c r="AU244" i="118"/>
  <c r="AU223"/>
  <c r="AU286"/>
  <c r="AU244" i="119"/>
  <c r="AU370" i="117"/>
  <c r="AU412"/>
  <c r="AU139"/>
  <c r="AU370" i="28"/>
  <c r="AU328" i="116"/>
  <c r="AU349" i="117"/>
  <c r="AU265"/>
  <c r="AU202" i="116"/>
  <c r="AU139"/>
  <c r="AU307" i="117"/>
  <c r="AU223" i="116"/>
  <c r="AU160" i="28"/>
  <c r="AU443" i="118"/>
  <c r="AU307" i="116"/>
  <c r="AU97"/>
  <c r="AU391"/>
  <c r="AU307" i="28"/>
  <c r="AR424" i="119"/>
  <c r="AR340"/>
  <c r="AR298"/>
  <c r="AR193"/>
  <c r="AR476"/>
  <c r="AR382"/>
  <c r="AR361"/>
  <c r="AR319"/>
  <c r="AR172"/>
  <c r="AR492"/>
  <c r="AR151"/>
  <c r="AR235"/>
  <c r="AR460"/>
  <c r="AR214"/>
  <c r="AR130"/>
  <c r="AR256"/>
  <c r="AR109"/>
  <c r="AR403"/>
  <c r="AR277"/>
  <c r="AQ448" i="121"/>
  <c r="AQ447" s="1"/>
  <c r="AQ433"/>
  <c r="AQ432" s="1"/>
  <c r="AQ265"/>
  <c r="AQ286"/>
  <c r="AQ244"/>
  <c r="AQ118"/>
  <c r="AQ443" i="120"/>
  <c r="AQ370"/>
  <c r="AQ223"/>
  <c r="AQ448" i="119"/>
  <c r="AQ139" i="120"/>
  <c r="AQ160"/>
  <c r="AQ328" i="119"/>
  <c r="AQ443" i="118"/>
  <c r="AQ307"/>
  <c r="AQ448"/>
  <c r="AQ433"/>
  <c r="AQ412"/>
  <c r="AQ370" i="119"/>
  <c r="AQ438" i="117"/>
  <c r="AQ370"/>
  <c r="AQ97"/>
  <c r="AQ202" i="118"/>
  <c r="AQ443" i="28"/>
  <c r="AQ370" i="116"/>
  <c r="AQ448" i="28"/>
  <c r="AQ328" i="116"/>
  <c r="AQ223" i="28"/>
  <c r="AQ349" i="117"/>
  <c r="AQ370" i="28"/>
  <c r="AQ349" i="116"/>
  <c r="AQ349" i="28"/>
  <c r="AQ139" i="116"/>
  <c r="AQ97" i="28"/>
  <c r="AQ438" i="116"/>
  <c r="AQ160" i="28"/>
  <c r="AQ328" i="121"/>
  <c r="AQ307"/>
  <c r="AQ139"/>
  <c r="AQ160"/>
  <c r="AQ412" i="120"/>
  <c r="AQ391"/>
  <c r="AQ307"/>
  <c r="AQ97"/>
  <c r="AQ286"/>
  <c r="AQ349"/>
  <c r="AQ286" i="119"/>
  <c r="AQ412"/>
  <c r="AQ391" i="118"/>
  <c r="AQ118" i="119"/>
  <c r="AQ160"/>
  <c r="AQ181"/>
  <c r="AQ244" i="118"/>
  <c r="AQ160"/>
  <c r="AQ448" i="117"/>
  <c r="AQ181"/>
  <c r="AQ433"/>
  <c r="AQ244"/>
  <c r="AQ139"/>
  <c r="AQ118" i="116"/>
  <c r="AQ412"/>
  <c r="AQ307" i="28"/>
  <c r="AQ181" i="118"/>
  <c r="AQ438" i="28"/>
  <c r="AQ118"/>
  <c r="AQ265" i="116"/>
  <c r="AQ97"/>
  <c r="AQ160" i="117"/>
  <c r="AQ448" i="116"/>
  <c r="AQ433"/>
  <c r="AQ438" i="121"/>
  <c r="AQ437" s="1"/>
  <c r="AQ443"/>
  <c r="AQ442" s="1"/>
  <c r="AQ412"/>
  <c r="AQ349"/>
  <c r="AQ391"/>
  <c r="AQ181"/>
  <c r="AQ97"/>
  <c r="AQ448" i="120"/>
  <c r="AQ244"/>
  <c r="AQ328"/>
  <c r="AQ433" i="119"/>
  <c r="AQ438" i="120"/>
  <c r="AQ349" i="119"/>
  <c r="AQ139"/>
  <c r="AQ244"/>
  <c r="AQ307"/>
  <c r="AQ286" i="118"/>
  <c r="AQ265"/>
  <c r="AQ202" i="119"/>
  <c r="AQ328" i="118"/>
  <c r="AQ412" i="117"/>
  <c r="AQ97" i="119"/>
  <c r="AQ139" i="118"/>
  <c r="AQ307" i="117"/>
  <c r="AQ97" i="118"/>
  <c r="AQ202" i="116"/>
  <c r="AQ443"/>
  <c r="AQ160"/>
  <c r="AQ328" i="117"/>
  <c r="AQ181" i="116"/>
  <c r="AQ202" i="28"/>
  <c r="AQ391"/>
  <c r="AQ181"/>
  <c r="AQ433"/>
  <c r="AQ202" i="117"/>
  <c r="AQ223"/>
  <c r="AQ370" i="121"/>
  <c r="AQ223"/>
  <c r="AQ202"/>
  <c r="AQ433" i="120"/>
  <c r="AQ181"/>
  <c r="AQ265"/>
  <c r="AQ118"/>
  <c r="AQ202"/>
  <c r="AQ391" i="119"/>
  <c r="AQ438"/>
  <c r="AQ223"/>
  <c r="AQ443"/>
  <c r="AQ223" i="118"/>
  <c r="AQ370"/>
  <c r="AQ349"/>
  <c r="AQ118"/>
  <c r="AQ438"/>
  <c r="AQ443" i="117"/>
  <c r="AQ286"/>
  <c r="AQ265" i="119"/>
  <c r="AQ391" i="117"/>
  <c r="AQ412" i="28"/>
  <c r="AQ286" i="116"/>
  <c r="AQ118" i="117"/>
  <c r="AQ244" i="116"/>
  <c r="AQ139" i="28"/>
  <c r="AQ391" i="116"/>
  <c r="AQ286" i="28"/>
  <c r="AQ223" i="116"/>
  <c r="AQ328" i="28"/>
  <c r="AQ265"/>
  <c r="AQ265" i="117"/>
  <c r="AQ307" i="116"/>
  <c r="AQ244" i="28"/>
  <c r="AP513" i="121"/>
  <c r="AP513" i="117"/>
  <c r="AP513" i="118"/>
  <c r="AP513" i="119"/>
  <c r="AP513" i="116"/>
  <c r="AP513" i="120"/>
  <c r="AP513" i="28"/>
  <c r="AU476" i="121"/>
  <c r="AU26" s="1"/>
  <c r="AT239"/>
  <c r="AT75" s="1"/>
  <c r="AT365"/>
  <c r="AT81" s="1"/>
  <c r="AS19" i="119"/>
  <c r="AR169"/>
  <c r="AR128"/>
  <c r="AR153"/>
  <c r="AR171"/>
  <c r="AR192"/>
  <c r="AR213"/>
  <c r="AR234"/>
  <c r="AR255"/>
  <c r="AR276"/>
  <c r="AR297"/>
  <c r="AR318"/>
  <c r="AR339"/>
  <c r="AR360"/>
  <c r="AR381"/>
  <c r="AR402"/>
  <c r="AR423"/>
  <c r="AR459"/>
  <c r="AR475"/>
  <c r="AR491"/>
  <c r="AR148"/>
  <c r="AR108"/>
  <c r="AR149"/>
  <c r="AR174"/>
  <c r="AR195"/>
  <c r="AR216"/>
  <c r="AR237"/>
  <c r="AR258"/>
  <c r="AR279"/>
  <c r="AR300"/>
  <c r="AR321"/>
  <c r="AR342"/>
  <c r="AR363"/>
  <c r="AR384"/>
  <c r="AR405"/>
  <c r="AR426"/>
  <c r="AR462"/>
  <c r="AR478"/>
  <c r="AR494"/>
  <c r="AR127"/>
  <c r="AR111"/>
  <c r="AR129"/>
  <c r="AR170"/>
  <c r="AR191"/>
  <c r="AR212"/>
  <c r="AR233"/>
  <c r="AR254"/>
  <c r="AR275"/>
  <c r="AR296"/>
  <c r="AR317"/>
  <c r="AR338"/>
  <c r="AR359"/>
  <c r="AR380"/>
  <c r="AR401"/>
  <c r="AR422"/>
  <c r="AR458"/>
  <c r="AR474"/>
  <c r="AR490"/>
  <c r="AR106"/>
  <c r="AR107"/>
  <c r="AR132"/>
  <c r="AR150"/>
  <c r="AR190"/>
  <c r="AR211"/>
  <c r="AR232"/>
  <c r="AR253"/>
  <c r="AR274"/>
  <c r="AR295"/>
  <c r="AR316"/>
  <c r="AR337"/>
  <c r="AR358"/>
  <c r="AR379"/>
  <c r="AR400"/>
  <c r="AR421"/>
  <c r="AR457"/>
  <c r="AR473"/>
  <c r="AR489"/>
  <c r="AL412" i="121"/>
  <c r="AL391"/>
  <c r="AL307"/>
  <c r="AL139"/>
  <c r="AL160"/>
  <c r="AL438" i="120"/>
  <c r="AL391"/>
  <c r="AL370"/>
  <c r="AL265"/>
  <c r="AL139"/>
  <c r="AL438" i="119"/>
  <c r="AL202"/>
  <c r="AL181"/>
  <c r="AL244"/>
  <c r="AL349" i="118"/>
  <c r="AL370"/>
  <c r="AL244"/>
  <c r="AL118"/>
  <c r="AL370" i="117"/>
  <c r="AL443"/>
  <c r="AL139"/>
  <c r="AL181"/>
  <c r="AL265" i="116"/>
  <c r="AL438"/>
  <c r="AL202" i="117"/>
  <c r="AL244" i="116"/>
  <c r="AL443" i="28"/>
  <c r="AL307" i="116"/>
  <c r="AL181" i="28"/>
  <c r="AL448" i="116"/>
  <c r="AL307" i="28"/>
  <c r="AL438"/>
  <c r="AL370" i="116"/>
  <c r="AL328" i="117"/>
  <c r="AL118" i="28"/>
  <c r="AL443" i="121"/>
  <c r="AL442" s="1"/>
  <c r="AL265"/>
  <c r="AL244"/>
  <c r="AL202"/>
  <c r="AL349" i="120"/>
  <c r="AL412"/>
  <c r="AL286"/>
  <c r="AL244"/>
  <c r="AL433" i="119"/>
  <c r="AL286"/>
  <c r="AL265"/>
  <c r="AL307"/>
  <c r="AL391"/>
  <c r="AL433" i="118"/>
  <c r="AL97"/>
  <c r="AL160"/>
  <c r="AL139"/>
  <c r="AL202"/>
  <c r="AL448" i="117"/>
  <c r="AL223"/>
  <c r="AL223" i="118"/>
  <c r="AL349" i="116"/>
  <c r="AL412" i="117"/>
  <c r="AL265"/>
  <c r="AL328" i="116"/>
  <c r="AL118" i="117"/>
  <c r="AL307" i="118"/>
  <c r="AL265" i="28"/>
  <c r="AL160" i="117"/>
  <c r="AL370" i="28"/>
  <c r="AL391" i="116"/>
  <c r="AL433" i="28"/>
  <c r="AL118" i="121"/>
  <c r="AL202" i="116"/>
  <c r="AL433" i="121"/>
  <c r="AL432" s="1"/>
  <c r="AL438"/>
  <c r="AL437" s="1"/>
  <c r="AL349"/>
  <c r="AL286"/>
  <c r="AL181"/>
  <c r="AL443" i="120"/>
  <c r="AL328"/>
  <c r="AL223"/>
  <c r="AL118"/>
  <c r="AL97"/>
  <c r="AL370" i="119"/>
  <c r="AL349"/>
  <c r="AL448" i="118"/>
  <c r="AL412" i="119"/>
  <c r="AL443" i="118"/>
  <c r="AL181"/>
  <c r="AL391"/>
  <c r="AL307" i="117"/>
  <c r="AL286" i="118"/>
  <c r="AL438" i="117"/>
  <c r="AL244"/>
  <c r="AL139" i="119"/>
  <c r="AL433" i="116"/>
  <c r="AL97"/>
  <c r="AL433" i="117"/>
  <c r="AL412" i="116"/>
  <c r="AL286" i="117"/>
  <c r="AL448" i="28"/>
  <c r="AL391"/>
  <c r="AL443" i="119"/>
  <c r="AL118" i="116"/>
  <c r="AL139" i="28"/>
  <c r="AL160"/>
  <c r="AL244"/>
  <c r="AL223" i="116"/>
  <c r="AL448" i="121"/>
  <c r="AL447" s="1"/>
  <c r="AL370"/>
  <c r="AL328"/>
  <c r="AL223"/>
  <c r="AL97"/>
  <c r="AL448" i="120"/>
  <c r="AL433"/>
  <c r="AL307"/>
  <c r="AL181"/>
  <c r="AL160"/>
  <c r="AL448" i="119"/>
  <c r="AL202" i="120"/>
  <c r="AL118" i="119"/>
  <c r="AL97"/>
  <c r="AL160"/>
  <c r="AL223"/>
  <c r="AL412" i="118"/>
  <c r="AL391" i="117"/>
  <c r="AL328" i="119"/>
  <c r="AL328" i="118"/>
  <c r="AL349" i="117"/>
  <c r="AL265" i="118"/>
  <c r="AL97" i="117"/>
  <c r="AL181" i="116"/>
  <c r="AL438" i="118"/>
  <c r="AL443" i="116"/>
  <c r="AL160"/>
  <c r="AL412" i="28"/>
  <c r="AL286" i="116"/>
  <c r="AL97" i="28"/>
  <c r="AL139" i="116"/>
  <c r="AL223" i="28"/>
  <c r="AL286"/>
  <c r="AL349"/>
  <c r="AL328"/>
  <c r="AL202"/>
  <c r="AS21" i="119"/>
  <c r="AS22"/>
  <c r="AR20"/>
  <c r="AS22" i="28"/>
  <c r="AR403" i="121"/>
  <c r="AR361"/>
  <c r="AR26" s="1"/>
  <c r="AR19" i="28"/>
  <c r="AQ21" i="119"/>
  <c r="AS157" i="28"/>
  <c r="AS393"/>
  <c r="AS136"/>
  <c r="AS225"/>
  <c r="AS267"/>
  <c r="AS16"/>
  <c r="AS246"/>
  <c r="AS178"/>
  <c r="AS204"/>
  <c r="AT8"/>
  <c r="AP319" i="121"/>
  <c r="AP26" s="1"/>
  <c r="AQ109" i="28"/>
  <c r="AQ315"/>
  <c r="AQ102"/>
  <c r="AQ251"/>
  <c r="AQ151"/>
  <c r="AQ398"/>
  <c r="AQ145"/>
  <c r="AQ378"/>
  <c r="AQ209"/>
  <c r="AQ252"/>
  <c r="AQ154"/>
  <c r="AQ238"/>
  <c r="AQ104"/>
  <c r="AQ21" s="1"/>
  <c r="AQ188"/>
  <c r="AQ272"/>
  <c r="AQ427"/>
  <c r="AQ250"/>
  <c r="AQ355"/>
  <c r="AQ123"/>
  <c r="AQ207"/>
  <c r="AQ291"/>
  <c r="AQ454"/>
  <c r="AQ126"/>
  <c r="AQ294"/>
  <c r="AQ397"/>
  <c r="AQ377"/>
  <c r="AQ492"/>
  <c r="AQ471"/>
  <c r="AN509"/>
  <c r="AL509" i="119"/>
  <c r="AP169"/>
  <c r="AP128"/>
  <c r="AP153"/>
  <c r="AP171"/>
  <c r="AP192"/>
  <c r="AP213"/>
  <c r="AP234"/>
  <c r="AP255"/>
  <c r="AP276"/>
  <c r="AP297"/>
  <c r="AP318"/>
  <c r="AP339"/>
  <c r="AP360"/>
  <c r="AP381"/>
  <c r="AP402"/>
  <c r="AP423"/>
  <c r="AP459"/>
  <c r="AP475"/>
  <c r="AP491"/>
  <c r="AP148"/>
  <c r="AP108"/>
  <c r="AP149"/>
  <c r="AP174"/>
  <c r="AP195"/>
  <c r="AP216"/>
  <c r="AP237"/>
  <c r="AP258"/>
  <c r="AP279"/>
  <c r="AP300"/>
  <c r="AP321"/>
  <c r="AP342"/>
  <c r="AP363"/>
  <c r="AP384"/>
  <c r="AP405"/>
  <c r="AP426"/>
  <c r="AP462"/>
  <c r="AP478"/>
  <c r="AP494"/>
  <c r="AP127"/>
  <c r="AP134" s="1"/>
  <c r="AP70" s="1"/>
  <c r="AP111"/>
  <c r="AP129"/>
  <c r="AP170"/>
  <c r="AP191"/>
  <c r="AP197" s="1"/>
  <c r="AP73" s="1"/>
  <c r="AP212"/>
  <c r="AP233"/>
  <c r="AP254"/>
  <c r="AP275"/>
  <c r="AP296"/>
  <c r="AP317"/>
  <c r="AP338"/>
  <c r="AP359"/>
  <c r="AP380"/>
  <c r="AP401"/>
  <c r="AP422"/>
  <c r="AP458"/>
  <c r="AP474"/>
  <c r="AP490"/>
  <c r="AP106"/>
  <c r="AP107"/>
  <c r="AP132"/>
  <c r="AP150"/>
  <c r="AP190"/>
  <c r="AP211"/>
  <c r="AP232"/>
  <c r="AP253"/>
  <c r="AP274"/>
  <c r="AP295"/>
  <c r="AP316"/>
  <c r="AP337"/>
  <c r="AP358"/>
  <c r="AP379"/>
  <c r="AP400"/>
  <c r="AP421"/>
  <c r="AP457"/>
  <c r="AP473"/>
  <c r="AP489"/>
  <c r="AO235"/>
  <c r="AO151"/>
  <c r="AO361"/>
  <c r="AO424"/>
  <c r="AO340"/>
  <c r="AO256"/>
  <c r="AO476"/>
  <c r="AO460"/>
  <c r="AO298"/>
  <c r="AO214"/>
  <c r="AO130"/>
  <c r="AO109"/>
  <c r="AO492"/>
  <c r="AO403"/>
  <c r="AO319"/>
  <c r="AO172"/>
  <c r="AO193"/>
  <c r="AO382"/>
  <c r="AO277"/>
  <c r="AK443" i="121"/>
  <c r="AK442" s="1"/>
  <c r="AK433"/>
  <c r="AK432" s="1"/>
  <c r="AK349"/>
  <c r="AK448"/>
  <c r="AK447" s="1"/>
  <c r="AK286"/>
  <c r="AK265"/>
  <c r="AK412" i="120"/>
  <c r="AK349"/>
  <c r="AK160"/>
  <c r="AK97"/>
  <c r="AK443" i="119"/>
  <c r="AK448"/>
  <c r="AK328"/>
  <c r="AK118"/>
  <c r="AK448" i="120"/>
  <c r="AK349" i="119"/>
  <c r="AK349" i="118"/>
  <c r="AK244"/>
  <c r="AK202"/>
  <c r="AK181" i="119"/>
  <c r="AK118" i="118"/>
  <c r="AK349" i="117"/>
  <c r="AK448" i="118"/>
  <c r="AK370" i="117"/>
  <c r="AK244"/>
  <c r="AK265" i="116"/>
  <c r="AK438"/>
  <c r="AK307"/>
  <c r="AK160" i="118"/>
  <c r="AK202" i="28"/>
  <c r="AK443"/>
  <c r="AK97"/>
  <c r="AK448" i="116"/>
  <c r="AK202" i="117"/>
  <c r="AK370" i="116"/>
  <c r="AK244" i="28"/>
  <c r="AK412" i="121"/>
  <c r="AK202"/>
  <c r="AK328"/>
  <c r="AK97"/>
  <c r="AK443" i="120"/>
  <c r="AK223" i="121"/>
  <c r="AK244" i="120"/>
  <c r="AK265"/>
  <c r="AK181"/>
  <c r="AK139"/>
  <c r="AK412" i="119"/>
  <c r="AK202"/>
  <c r="AK286"/>
  <c r="AK286" i="118"/>
  <c r="AK433"/>
  <c r="AK328"/>
  <c r="AK223"/>
  <c r="AK391" i="119"/>
  <c r="AK391" i="117"/>
  <c r="AK433"/>
  <c r="AK160"/>
  <c r="AK307"/>
  <c r="AK391" i="28"/>
  <c r="AK349" i="116"/>
  <c r="AK412" i="117"/>
  <c r="AK391" i="116"/>
  <c r="AK438" i="28"/>
  <c r="AK286"/>
  <c r="AK448"/>
  <c r="AK181"/>
  <c r="AK118" i="116"/>
  <c r="AK139" i="28"/>
  <c r="AK118" i="117"/>
  <c r="AK349" i="28"/>
  <c r="AK433"/>
  <c r="AK438" i="121"/>
  <c r="AK437" s="1"/>
  <c r="AK391"/>
  <c r="AK307"/>
  <c r="AK181"/>
  <c r="AK118"/>
  <c r="AK244"/>
  <c r="AK433" i="120"/>
  <c r="AK307"/>
  <c r="AK286"/>
  <c r="AK370"/>
  <c r="AK370" i="119"/>
  <c r="AK391" i="120"/>
  <c r="AK118"/>
  <c r="AK265" i="119"/>
  <c r="AK370" i="118"/>
  <c r="AK244" i="119"/>
  <c r="AK412" i="118"/>
  <c r="AK438"/>
  <c r="AK97"/>
  <c r="AK448" i="117"/>
  <c r="AK307" i="118"/>
  <c r="AK391"/>
  <c r="AK438" i="117"/>
  <c r="AK97"/>
  <c r="AK433" i="116"/>
  <c r="AK97"/>
  <c r="AK181" i="117"/>
  <c r="AK139" i="116"/>
  <c r="AK202"/>
  <c r="AK160"/>
  <c r="AK265" i="28"/>
  <c r="AK244" i="116"/>
  <c r="AK160" i="28"/>
  <c r="AK307"/>
  <c r="AK370"/>
  <c r="AK139" i="117"/>
  <c r="AK370" i="121"/>
  <c r="AK160"/>
  <c r="AK139"/>
  <c r="AK438" i="120"/>
  <c r="AK328"/>
  <c r="AK223"/>
  <c r="AK202"/>
  <c r="AK433" i="119"/>
  <c r="AK438"/>
  <c r="AK443" i="118"/>
  <c r="AK307" i="119"/>
  <c r="AK139"/>
  <c r="AK97"/>
  <c r="AK265" i="118"/>
  <c r="AK160" i="119"/>
  <c r="AK181" i="118"/>
  <c r="AK139"/>
  <c r="AK223" i="119"/>
  <c r="AK265" i="117"/>
  <c r="AK443"/>
  <c r="AK286"/>
  <c r="AK223"/>
  <c r="AK181" i="116"/>
  <c r="AK328" i="117"/>
  <c r="AK223" i="116"/>
  <c r="AK443"/>
  <c r="AK118" i="28"/>
  <c r="AK286" i="116"/>
  <c r="AK328"/>
  <c r="AK412"/>
  <c r="AK328" i="28"/>
  <c r="AK412"/>
  <c r="AK223"/>
  <c r="AR19" i="119"/>
  <c r="AR22"/>
  <c r="AS20" i="28"/>
  <c r="AS21"/>
  <c r="AR424" i="121"/>
  <c r="AR460"/>
  <c r="AR22" i="28"/>
  <c r="AQ20"/>
  <c r="AS106"/>
  <c r="AS107"/>
  <c r="AS132"/>
  <c r="AS150"/>
  <c r="AS190"/>
  <c r="AS211"/>
  <c r="AS232"/>
  <c r="AS253"/>
  <c r="AS274"/>
  <c r="AS295"/>
  <c r="AS316"/>
  <c r="AS337"/>
  <c r="AS358"/>
  <c r="AS379"/>
  <c r="AS400"/>
  <c r="AS421"/>
  <c r="AS457"/>
  <c r="AS473"/>
  <c r="AS489"/>
  <c r="AS169"/>
  <c r="AS128"/>
  <c r="AS153"/>
  <c r="AS171"/>
  <c r="AS192"/>
  <c r="AS213"/>
  <c r="AS234"/>
  <c r="AS255"/>
  <c r="AS276"/>
  <c r="AS297"/>
  <c r="AS318"/>
  <c r="AS339"/>
  <c r="AS360"/>
  <c r="AS381"/>
  <c r="AS402"/>
  <c r="AS423"/>
  <c r="AS459"/>
  <c r="AS475"/>
  <c r="AS491"/>
  <c r="AS148"/>
  <c r="AS108"/>
  <c r="AS149"/>
  <c r="AS174"/>
  <c r="AS195"/>
  <c r="AS216"/>
  <c r="AS237"/>
  <c r="AS258"/>
  <c r="AS279"/>
  <c r="AS300"/>
  <c r="AS321"/>
  <c r="AS342"/>
  <c r="AS363"/>
  <c r="AS384"/>
  <c r="AS405"/>
  <c r="AS426"/>
  <c r="AS462"/>
  <c r="AS478"/>
  <c r="AS494"/>
  <c r="AS127"/>
  <c r="AS111"/>
  <c r="AS129"/>
  <c r="AS170"/>
  <c r="AS191"/>
  <c r="AS212"/>
  <c r="AS233"/>
  <c r="AS254"/>
  <c r="AS275"/>
  <c r="AS296"/>
  <c r="AS317"/>
  <c r="AS338"/>
  <c r="AS359"/>
  <c r="AS380"/>
  <c r="AS401"/>
  <c r="AS422"/>
  <c r="AS458"/>
  <c r="AS474"/>
  <c r="AS490"/>
  <c r="AQ106"/>
  <c r="AQ107"/>
  <c r="AQ132"/>
  <c r="AQ150"/>
  <c r="AQ190"/>
  <c r="AQ211"/>
  <c r="AQ232"/>
  <c r="AQ253"/>
  <c r="AQ274"/>
  <c r="AQ295"/>
  <c r="AQ316"/>
  <c r="AQ337"/>
  <c r="AQ358"/>
  <c r="AQ379"/>
  <c r="AQ400"/>
  <c r="AQ421"/>
  <c r="AQ457"/>
  <c r="AQ473"/>
  <c r="AQ489"/>
  <c r="AQ169"/>
  <c r="AQ128"/>
  <c r="AQ153"/>
  <c r="AQ171"/>
  <c r="AQ192"/>
  <c r="AQ213"/>
  <c r="AQ234"/>
  <c r="AQ255"/>
  <c r="AQ276"/>
  <c r="AQ297"/>
  <c r="AQ318"/>
  <c r="AQ339"/>
  <c r="AQ360"/>
  <c r="AQ381"/>
  <c r="AQ402"/>
  <c r="AQ423"/>
  <c r="AQ459"/>
  <c r="AQ475"/>
  <c r="AQ491"/>
  <c r="AQ148"/>
  <c r="AQ108"/>
  <c r="AQ149"/>
  <c r="AQ174"/>
  <c r="AQ195"/>
  <c r="AQ216"/>
  <c r="AQ237"/>
  <c r="AQ258"/>
  <c r="AQ279"/>
  <c r="AQ300"/>
  <c r="AQ321"/>
  <c r="AQ342"/>
  <c r="AQ363"/>
  <c r="AQ384"/>
  <c r="AQ405"/>
  <c r="AQ426"/>
  <c r="AQ462"/>
  <c r="AQ478"/>
  <c r="AQ494"/>
  <c r="AQ127"/>
  <c r="AQ111"/>
  <c r="AQ129"/>
  <c r="AQ170"/>
  <c r="AQ191"/>
  <c r="AQ212"/>
  <c r="AQ233"/>
  <c r="AQ254"/>
  <c r="AQ275"/>
  <c r="AQ296"/>
  <c r="AQ317"/>
  <c r="AQ338"/>
  <c r="AQ359"/>
  <c r="AQ380"/>
  <c r="AQ401"/>
  <c r="AQ422"/>
  <c r="AQ458"/>
  <c r="AQ474"/>
  <c r="AQ490"/>
  <c r="AO513" i="119"/>
  <c r="AO513" i="28"/>
  <c r="AO513" i="120"/>
  <c r="AO513" i="117"/>
  <c r="AO513" i="121"/>
  <c r="AO513" i="116"/>
  <c r="AO513" i="118"/>
  <c r="AN492" i="119"/>
  <c r="AN193"/>
  <c r="AN277"/>
  <c r="AN151"/>
  <c r="AN403"/>
  <c r="AN361"/>
  <c r="AN109"/>
  <c r="AN424"/>
  <c r="AN340"/>
  <c r="AN460"/>
  <c r="AN235"/>
  <c r="AN130"/>
  <c r="AN319"/>
  <c r="AN476"/>
  <c r="AN382"/>
  <c r="AN298"/>
  <c r="AN172"/>
  <c r="AN256"/>
  <c r="AN214"/>
  <c r="AN438" i="121"/>
  <c r="AN437" s="1"/>
  <c r="AN448"/>
  <c r="AN447" s="1"/>
  <c r="AN349"/>
  <c r="AN244"/>
  <c r="AN118"/>
  <c r="AN438" i="120"/>
  <c r="AN412"/>
  <c r="AN286"/>
  <c r="AN160"/>
  <c r="AN443" i="119"/>
  <c r="AN265"/>
  <c r="AN443" i="120"/>
  <c r="AN307" i="119"/>
  <c r="AN286"/>
  <c r="AN139"/>
  <c r="AN328" i="118"/>
  <c r="AN139"/>
  <c r="AN202"/>
  <c r="AN286" i="117"/>
  <c r="AN433"/>
  <c r="AN448"/>
  <c r="AN265"/>
  <c r="AN160"/>
  <c r="AN443" i="116"/>
  <c r="AN160"/>
  <c r="AN443" i="117"/>
  <c r="AN139" i="116"/>
  <c r="AN438"/>
  <c r="AN412" i="28"/>
  <c r="AN160"/>
  <c r="AN265" i="116"/>
  <c r="AN349"/>
  <c r="AN370" i="28"/>
  <c r="AN181" i="117"/>
  <c r="AN118" i="116"/>
  <c r="AN433" i="121"/>
  <c r="AN432" s="1"/>
  <c r="AN391"/>
  <c r="AN265"/>
  <c r="AN181"/>
  <c r="AN160"/>
  <c r="AN328" i="120"/>
  <c r="AN370"/>
  <c r="AN223"/>
  <c r="AN265"/>
  <c r="AN349" i="119"/>
  <c r="AN328"/>
  <c r="AN370"/>
  <c r="AN433"/>
  <c r="AN223"/>
  <c r="AN412" i="118"/>
  <c r="AN391"/>
  <c r="AN265"/>
  <c r="AN370" i="117"/>
  <c r="AN370" i="118"/>
  <c r="AN97"/>
  <c r="AN328" i="117"/>
  <c r="AN349" i="118"/>
  <c r="AN223" i="117"/>
  <c r="AN244" i="116"/>
  <c r="AN433" i="28"/>
  <c r="AN223" i="116"/>
  <c r="AN391" i="28"/>
  <c r="AN97" i="116"/>
  <c r="AN244" i="28"/>
  <c r="AN370" i="116"/>
  <c r="AN118" i="28"/>
  <c r="AN139"/>
  <c r="AN307" i="117"/>
  <c r="AN181" i="28"/>
  <c r="AN443"/>
  <c r="AN443" i="121"/>
  <c r="AN442" s="1"/>
  <c r="AN412"/>
  <c r="AN328"/>
  <c r="AN286"/>
  <c r="AN223"/>
  <c r="AN97"/>
  <c r="AN433" i="120"/>
  <c r="AN307"/>
  <c r="AN139"/>
  <c r="AN97"/>
  <c r="AN438" i="119"/>
  <c r="AN412"/>
  <c r="AN349" i="120"/>
  <c r="AN97" i="119"/>
  <c r="AN160"/>
  <c r="AN202"/>
  <c r="AN391"/>
  <c r="AN286" i="118"/>
  <c r="AN118"/>
  <c r="AN433"/>
  <c r="AN181"/>
  <c r="AN244" i="117"/>
  <c r="AN118"/>
  <c r="AN412"/>
  <c r="AN328" i="116"/>
  <c r="AN448"/>
  <c r="AN307"/>
  <c r="AN391" i="117"/>
  <c r="AN286" i="116"/>
  <c r="AN328" i="28"/>
  <c r="AN97" i="117"/>
  <c r="AN202" i="28"/>
  <c r="AN139" i="117"/>
  <c r="AN97" i="28"/>
  <c r="AN448"/>
  <c r="AN181" i="116"/>
  <c r="AN370" i="121"/>
  <c r="AN307"/>
  <c r="AN202"/>
  <c r="AN139"/>
  <c r="AN448" i="120"/>
  <c r="AN391"/>
  <c r="AN244"/>
  <c r="AN202"/>
  <c r="AN448" i="119"/>
  <c r="AN181" i="120"/>
  <c r="AN118"/>
  <c r="AN181" i="119"/>
  <c r="AN244"/>
  <c r="AN438" i="118"/>
  <c r="AN160"/>
  <c r="AN307"/>
  <c r="AN244"/>
  <c r="AN443"/>
  <c r="AN349" i="117"/>
  <c r="AN448" i="118"/>
  <c r="AN202" i="117"/>
  <c r="AN438"/>
  <c r="AN412" i="116"/>
  <c r="AN223" i="118"/>
  <c r="AN391" i="116"/>
  <c r="AN438" i="28"/>
  <c r="AN433" i="116"/>
  <c r="AN349" i="28"/>
  <c r="AN118" i="119"/>
  <c r="AN286" i="28"/>
  <c r="AN223"/>
  <c r="AN307"/>
  <c r="AN265"/>
  <c r="AN202" i="116"/>
  <c r="AM492" i="119"/>
  <c r="AM476"/>
  <c r="AM424"/>
  <c r="AM340"/>
  <c r="AM172"/>
  <c r="AM298"/>
  <c r="AM193"/>
  <c r="AM109"/>
  <c r="AM214"/>
  <c r="AM235"/>
  <c r="AM151"/>
  <c r="AM460"/>
  <c r="AM382"/>
  <c r="AM361"/>
  <c r="AM277"/>
  <c r="AM319"/>
  <c r="AM403"/>
  <c r="AM256"/>
  <c r="AM130"/>
  <c r="AS20"/>
  <c r="AS109" i="121"/>
  <c r="AS277"/>
  <c r="AS340"/>
  <c r="AR476"/>
  <c r="AR20" i="28"/>
  <c r="AQ22" i="119"/>
  <c r="AQ20"/>
  <c r="AP19"/>
  <c r="AS169"/>
  <c r="AS128"/>
  <c r="AS153"/>
  <c r="AS171"/>
  <c r="AS192"/>
  <c r="AS213"/>
  <c r="AS234"/>
  <c r="AS255"/>
  <c r="AS276"/>
  <c r="AS297"/>
  <c r="AS318"/>
  <c r="AS339"/>
  <c r="AS360"/>
  <c r="AS381"/>
  <c r="AS402"/>
  <c r="AS423"/>
  <c r="AS459"/>
  <c r="AS475"/>
  <c r="AS491"/>
  <c r="AS148"/>
  <c r="AS108"/>
  <c r="AS149"/>
  <c r="AS174"/>
  <c r="AS195"/>
  <c r="AS216"/>
  <c r="AS237"/>
  <c r="AS258"/>
  <c r="AS279"/>
  <c r="AS300"/>
  <c r="AS321"/>
  <c r="AS342"/>
  <c r="AS363"/>
  <c r="AS384"/>
  <c r="AS405"/>
  <c r="AS426"/>
  <c r="AS462"/>
  <c r="AS478"/>
  <c r="AS494"/>
  <c r="AS127"/>
  <c r="AS111"/>
  <c r="AS129"/>
  <c r="AS170"/>
  <c r="AS191"/>
  <c r="AS212"/>
  <c r="AS233"/>
  <c r="AS254"/>
  <c r="AS275"/>
  <c r="AS296"/>
  <c r="AS317"/>
  <c r="AS338"/>
  <c r="AS359"/>
  <c r="AS380"/>
  <c r="AS401"/>
  <c r="AS422"/>
  <c r="AS458"/>
  <c r="AS474"/>
  <c r="AS490"/>
  <c r="AS106"/>
  <c r="AS107"/>
  <c r="AS132"/>
  <c r="AS150"/>
  <c r="AS190"/>
  <c r="AS211"/>
  <c r="AS232"/>
  <c r="AS253"/>
  <c r="AS274"/>
  <c r="AS295"/>
  <c r="AS316"/>
  <c r="AS337"/>
  <c r="AS358"/>
  <c r="AS379"/>
  <c r="AS400"/>
  <c r="AS421"/>
  <c r="AS457"/>
  <c r="AS473"/>
  <c r="AS489"/>
  <c r="AQ169"/>
  <c r="AQ128"/>
  <c r="AQ153"/>
  <c r="AQ171"/>
  <c r="AQ192"/>
  <c r="AQ213"/>
  <c r="AQ234"/>
  <c r="AQ255"/>
  <c r="AQ276"/>
  <c r="AQ297"/>
  <c r="AQ318"/>
  <c r="AQ339"/>
  <c r="AQ360"/>
  <c r="AQ381"/>
  <c r="AQ402"/>
  <c r="AQ423"/>
  <c r="AQ459"/>
  <c r="AQ475"/>
  <c r="AQ491"/>
  <c r="AQ148"/>
  <c r="AQ108"/>
  <c r="AQ149"/>
  <c r="AQ174"/>
  <c r="AQ195"/>
  <c r="AQ216"/>
  <c r="AQ237"/>
  <c r="AQ258"/>
  <c r="AQ279"/>
  <c r="AQ300"/>
  <c r="AQ321"/>
  <c r="AQ342"/>
  <c r="AQ363"/>
  <c r="AQ384"/>
  <c r="AQ405"/>
  <c r="AQ426"/>
  <c r="AQ462"/>
  <c r="AQ478"/>
  <c r="AQ494"/>
  <c r="AQ127"/>
  <c r="AQ111"/>
  <c r="AQ129"/>
  <c r="AQ170"/>
  <c r="AQ191"/>
  <c r="AQ212"/>
  <c r="AQ233"/>
  <c r="AQ254"/>
  <c r="AQ275"/>
  <c r="AQ296"/>
  <c r="AQ317"/>
  <c r="AQ338"/>
  <c r="AQ359"/>
  <c r="AQ380"/>
  <c r="AQ401"/>
  <c r="AQ422"/>
  <c r="AQ458"/>
  <c r="AQ474"/>
  <c r="AQ490"/>
  <c r="AQ106"/>
  <c r="AQ107"/>
  <c r="AQ132"/>
  <c r="AQ150"/>
  <c r="AQ190"/>
  <c r="AQ211"/>
  <c r="AQ232"/>
  <c r="AQ253"/>
  <c r="AQ274"/>
  <c r="AQ295"/>
  <c r="AQ316"/>
  <c r="AQ337"/>
  <c r="AQ358"/>
  <c r="AQ379"/>
  <c r="AQ400"/>
  <c r="AQ421"/>
  <c r="AQ457"/>
  <c r="AQ473"/>
  <c r="AQ489"/>
  <c r="AR106" i="28"/>
  <c r="AR107"/>
  <c r="AR132"/>
  <c r="AR150"/>
  <c r="AR190"/>
  <c r="AR211"/>
  <c r="AR232"/>
  <c r="AR253"/>
  <c r="AR274"/>
  <c r="AR295"/>
  <c r="AR316"/>
  <c r="AR337"/>
  <c r="AR358"/>
  <c r="AR379"/>
  <c r="AR400"/>
  <c r="AR421"/>
  <c r="AR457"/>
  <c r="AR473"/>
  <c r="AR489"/>
  <c r="AR169"/>
  <c r="AR128"/>
  <c r="AR153"/>
  <c r="AR171"/>
  <c r="AR192"/>
  <c r="AR213"/>
  <c r="AR234"/>
  <c r="AR255"/>
  <c r="AR276"/>
  <c r="AR297"/>
  <c r="AR318"/>
  <c r="AR339"/>
  <c r="AR360"/>
  <c r="AR381"/>
  <c r="AR402"/>
  <c r="AR423"/>
  <c r="AR459"/>
  <c r="AR475"/>
  <c r="AR491"/>
  <c r="AR148"/>
  <c r="AR108"/>
  <c r="AR149"/>
  <c r="AR174"/>
  <c r="AR195"/>
  <c r="AR216"/>
  <c r="AR237"/>
  <c r="AR258"/>
  <c r="AR279"/>
  <c r="AR300"/>
  <c r="AR321"/>
  <c r="AR342"/>
  <c r="AR363"/>
  <c r="AR384"/>
  <c r="AR405"/>
  <c r="AR426"/>
  <c r="AR462"/>
  <c r="AR478"/>
  <c r="AR494"/>
  <c r="AR127"/>
  <c r="AR111"/>
  <c r="AR129"/>
  <c r="AR170"/>
  <c r="AR191"/>
  <c r="AR212"/>
  <c r="AR233"/>
  <c r="AR254"/>
  <c r="AR275"/>
  <c r="AR296"/>
  <c r="AR317"/>
  <c r="AR338"/>
  <c r="AR359"/>
  <c r="AR380"/>
  <c r="AR401"/>
  <c r="AR422"/>
  <c r="AR458"/>
  <c r="AR474"/>
  <c r="AR490"/>
  <c r="AP492"/>
  <c r="AP361"/>
  <c r="AP256"/>
  <c r="AP340"/>
  <c r="AP424"/>
  <c r="AP382"/>
  <c r="AP460"/>
  <c r="AP319"/>
  <c r="AP235"/>
  <c r="AP151"/>
  <c r="AP298"/>
  <c r="AP214"/>
  <c r="AP130"/>
  <c r="AP193"/>
  <c r="AP172"/>
  <c r="AP403"/>
  <c r="AP109"/>
  <c r="AP476"/>
  <c r="AP277"/>
  <c r="AO328" i="121"/>
  <c r="AO265"/>
  <c r="AO223"/>
  <c r="AO97"/>
  <c r="AO412" i="120"/>
  <c r="AO202"/>
  <c r="AO223"/>
  <c r="AO370"/>
  <c r="AO448" i="119"/>
  <c r="AO328"/>
  <c r="AO328" i="120"/>
  <c r="AO160" i="119"/>
  <c r="AO349"/>
  <c r="AO244" i="118"/>
  <c r="AO448"/>
  <c r="AO438"/>
  <c r="AO181" i="119"/>
  <c r="AO97" i="118"/>
  <c r="AO202" i="119"/>
  <c r="AO391" i="117"/>
  <c r="AO265"/>
  <c r="AO412"/>
  <c r="AO349" i="28"/>
  <c r="AO307" i="116"/>
  <c r="AO448" i="117"/>
  <c r="AO412" i="28"/>
  <c r="AO265" i="116"/>
  <c r="AO328" i="28"/>
  <c r="AO370" i="116"/>
  <c r="AO139" i="28"/>
  <c r="AO97"/>
  <c r="AO265"/>
  <c r="AO443" i="116"/>
  <c r="AO438"/>
  <c r="AO443" i="121"/>
  <c r="AO442" s="1"/>
  <c r="AO433"/>
  <c r="AO432" s="1"/>
  <c r="AO349"/>
  <c r="AO412"/>
  <c r="AO286"/>
  <c r="AO139"/>
  <c r="AO443" i="120"/>
  <c r="AO286"/>
  <c r="AO139"/>
  <c r="AO118"/>
  <c r="AO97"/>
  <c r="AO412" i="119"/>
  <c r="AO286"/>
  <c r="AO244"/>
  <c r="AO443" i="118"/>
  <c r="AO328"/>
  <c r="AO118" i="119"/>
  <c r="AO223" i="118"/>
  <c r="AO202"/>
  <c r="AO181"/>
  <c r="AO349" i="117"/>
  <c r="AO349" i="118"/>
  <c r="AO328" i="117"/>
  <c r="AO265" i="118"/>
  <c r="AO433" i="28"/>
  <c r="AO391" i="116"/>
  <c r="AO438" i="28"/>
  <c r="AO443"/>
  <c r="AO349" i="116"/>
  <c r="AO160"/>
  <c r="AO286" i="117"/>
  <c r="AO223" i="28"/>
  <c r="AO370"/>
  <c r="AO118" i="116"/>
  <c r="AO118" i="28"/>
  <c r="AO370" i="117"/>
  <c r="AO307" i="121"/>
  <c r="AO391"/>
  <c r="AO202"/>
  <c r="AO118"/>
  <c r="AO448" i="120"/>
  <c r="AO307"/>
  <c r="AO433"/>
  <c r="AO244"/>
  <c r="AO181"/>
  <c r="AO370" i="119"/>
  <c r="AO433"/>
  <c r="AO391"/>
  <c r="AO412" i="118"/>
  <c r="AO223" i="119"/>
  <c r="AO307" i="118"/>
  <c r="AO286"/>
  <c r="AO139" i="119"/>
  <c r="AO433" i="117"/>
  <c r="AO438"/>
  <c r="AO118" i="118"/>
  <c r="AO118" i="117"/>
  <c r="AO448" i="116"/>
  <c r="AO160" i="117"/>
  <c r="AO139" i="116"/>
  <c r="AO139" i="117"/>
  <c r="AO433" i="116"/>
  <c r="AO97"/>
  <c r="AO160" i="28"/>
  <c r="AO307"/>
  <c r="AO412" i="116"/>
  <c r="AO223" i="117"/>
  <c r="AO286" i="116"/>
  <c r="AO202" i="28"/>
  <c r="AO286"/>
  <c r="AO438" i="121"/>
  <c r="AO437" s="1"/>
  <c r="AO448"/>
  <c r="AO447" s="1"/>
  <c r="AO370"/>
  <c r="AO244"/>
  <c r="AO160"/>
  <c r="AO181"/>
  <c r="AO391" i="120"/>
  <c r="AO349"/>
  <c r="AO160"/>
  <c r="AO265"/>
  <c r="AO438"/>
  <c r="AO443" i="119"/>
  <c r="AO265"/>
  <c r="AO438"/>
  <c r="AO97"/>
  <c r="AO307"/>
  <c r="AO391" i="118"/>
  <c r="AO370"/>
  <c r="AO139"/>
  <c r="AO433"/>
  <c r="AO160"/>
  <c r="AO307" i="117"/>
  <c r="AO202"/>
  <c r="AO244"/>
  <c r="AO443"/>
  <c r="AO223" i="116"/>
  <c r="AO181" i="117"/>
  <c r="AO97"/>
  <c r="AO181" i="116"/>
  <c r="AO244" i="28"/>
  <c r="AO244" i="116"/>
  <c r="AO202"/>
  <c r="AO181" i="28"/>
  <c r="AO448"/>
  <c r="AO328" i="116"/>
  <c r="AO391" i="28"/>
  <c r="AM370" i="121"/>
  <c r="AM391"/>
  <c r="AM328"/>
  <c r="AM160"/>
  <c r="AM433" i="120"/>
  <c r="AM286"/>
  <c r="AM265"/>
  <c r="AM181"/>
  <c r="AM438" i="119"/>
  <c r="AM244" i="120"/>
  <c r="AM307" i="119"/>
  <c r="AM97"/>
  <c r="AM349" i="118"/>
  <c r="AM443" i="119"/>
  <c r="AM370" i="120"/>
  <c r="AM391" i="118"/>
  <c r="AM160"/>
  <c r="AM139"/>
  <c r="AM443" i="117"/>
  <c r="AM438"/>
  <c r="AM223"/>
  <c r="AM438" i="116"/>
  <c r="AM433" i="117"/>
  <c r="AM412" i="116"/>
  <c r="AM97" i="118"/>
  <c r="AM370" i="116"/>
  <c r="AM448" i="28"/>
  <c r="AM391"/>
  <c r="AM433" i="116"/>
  <c r="AM97"/>
  <c r="AM328" i="28"/>
  <c r="AM139"/>
  <c r="AM223"/>
  <c r="AM307"/>
  <c r="AM202"/>
  <c r="AM438" i="121"/>
  <c r="AM437" s="1"/>
  <c r="AM286"/>
  <c r="AM244"/>
  <c r="AM202"/>
  <c r="AM181"/>
  <c r="AM223" i="120"/>
  <c r="AM202"/>
  <c r="AM349"/>
  <c r="AM97"/>
  <c r="AM433" i="119"/>
  <c r="AM391"/>
  <c r="AM181"/>
  <c r="AM433" i="118"/>
  <c r="AM202" i="119"/>
  <c r="AM244" i="118"/>
  <c r="AM448"/>
  <c r="AM370"/>
  <c r="AM443" i="120"/>
  <c r="AM370" i="117"/>
  <c r="AM244"/>
  <c r="AM307"/>
  <c r="AM160" i="119"/>
  <c r="AM438" i="118"/>
  <c r="AM443" i="116"/>
  <c r="AM160"/>
  <c r="AM433" i="28"/>
  <c r="AM118" i="116"/>
  <c r="AM443" i="28"/>
  <c r="AM97"/>
  <c r="AM391" i="116"/>
  <c r="AM349" i="28"/>
  <c r="AM448" i="117"/>
  <c r="AM97"/>
  <c r="AM139" i="116"/>
  <c r="AM181"/>
  <c r="AM448" i="121"/>
  <c r="AM447" s="1"/>
  <c r="AM265"/>
  <c r="AM223"/>
  <c r="AM97"/>
  <c r="AM438" i="120"/>
  <c r="AM391"/>
  <c r="AM139"/>
  <c r="AM412"/>
  <c r="AM118"/>
  <c r="AM349" i="119"/>
  <c r="AM265"/>
  <c r="AM443" i="118"/>
  <c r="AM244" i="119"/>
  <c r="AM328" i="118"/>
  <c r="AM118" i="119"/>
  <c r="AM223" i="118"/>
  <c r="AM118"/>
  <c r="AM202"/>
  <c r="AM328" i="117"/>
  <c r="AM349"/>
  <c r="AM181" i="118"/>
  <c r="AM139" i="119"/>
  <c r="AM202" i="117"/>
  <c r="AM244" i="116"/>
  <c r="AM448"/>
  <c r="AM202"/>
  <c r="AM307"/>
  <c r="AM181" i="28"/>
  <c r="AM286" i="117"/>
  <c r="AM412" i="28"/>
  <c r="AM160"/>
  <c r="AM118" i="117"/>
  <c r="AM265" i="116"/>
  <c r="AM118" i="28"/>
  <c r="AM412" i="121"/>
  <c r="AM443"/>
  <c r="AM442" s="1"/>
  <c r="AM433"/>
  <c r="AM432" s="1"/>
  <c r="AM349"/>
  <c r="AM307"/>
  <c r="AM139"/>
  <c r="AM118"/>
  <c r="AM448" i="120"/>
  <c r="AM307"/>
  <c r="AM160"/>
  <c r="AM328"/>
  <c r="AM448" i="119"/>
  <c r="AM370"/>
  <c r="AM328"/>
  <c r="AM265" i="118"/>
  <c r="AM412"/>
  <c r="AM412" i="119"/>
  <c r="AM307" i="118"/>
  <c r="AM223" i="119"/>
  <c r="AM286" i="118"/>
  <c r="AM412" i="117"/>
  <c r="AM391"/>
  <c r="AM139"/>
  <c r="AM370" i="28"/>
  <c r="AM265" i="117"/>
  <c r="AM328" i="116"/>
  <c r="AM160" i="117"/>
  <c r="AM286" i="116"/>
  <c r="AM349"/>
  <c r="AM265" i="28"/>
  <c r="AM286" i="119"/>
  <c r="AM438" i="28"/>
  <c r="AM244"/>
  <c r="AM223" i="116"/>
  <c r="AM286" i="28"/>
  <c r="AM181" i="117"/>
  <c r="AM382" i="28"/>
  <c r="AM151"/>
  <c r="AM193"/>
  <c r="AM361"/>
  <c r="AM492"/>
  <c r="AM460"/>
  <c r="AM340"/>
  <c r="AM256"/>
  <c r="AM172"/>
  <c r="AM476"/>
  <c r="AM109"/>
  <c r="AM277"/>
  <c r="AM319"/>
  <c r="AM235"/>
  <c r="AM403"/>
  <c r="AM298"/>
  <c r="AM214"/>
  <c r="AM130"/>
  <c r="AM424"/>
  <c r="AS319" i="121"/>
  <c r="AS19" i="28"/>
  <c r="AR21"/>
  <c r="AQ19" i="119"/>
  <c r="AP21"/>
  <c r="AP22"/>
  <c r="AP20"/>
  <c r="AQ22" i="28"/>
  <c r="AP106"/>
  <c r="AP107"/>
  <c r="AP132"/>
  <c r="AP150"/>
  <c r="AP190"/>
  <c r="AP211"/>
  <c r="AP232"/>
  <c r="AP253"/>
  <c r="AP274"/>
  <c r="AP295"/>
  <c r="AP316"/>
  <c r="AP337"/>
  <c r="AP358"/>
  <c r="AP379"/>
  <c r="AP400"/>
  <c r="AP421"/>
  <c r="AP457"/>
  <c r="AP473"/>
  <c r="AP489"/>
  <c r="AP169"/>
  <c r="AP128"/>
  <c r="AP153"/>
  <c r="AP171"/>
  <c r="AP192"/>
  <c r="AP213"/>
  <c r="AP234"/>
  <c r="AP255"/>
  <c r="AP276"/>
  <c r="AP297"/>
  <c r="AP318"/>
  <c r="AP339"/>
  <c r="AP360"/>
  <c r="AP381"/>
  <c r="AP402"/>
  <c r="AP423"/>
  <c r="AP459"/>
  <c r="AP475"/>
  <c r="AP491"/>
  <c r="AP148"/>
  <c r="AP108"/>
  <c r="AP149"/>
  <c r="AP174"/>
  <c r="AP195"/>
  <c r="AP216"/>
  <c r="AP237"/>
  <c r="AP258"/>
  <c r="AP279"/>
  <c r="AP300"/>
  <c r="AP321"/>
  <c r="AP342"/>
  <c r="AP363"/>
  <c r="AP384"/>
  <c r="AP405"/>
  <c r="AP426"/>
  <c r="AP462"/>
  <c r="AP478"/>
  <c r="AP494"/>
  <c r="AP127"/>
  <c r="AP111"/>
  <c r="AP129"/>
  <c r="AP170"/>
  <c r="AP191"/>
  <c r="AP212"/>
  <c r="AP233"/>
  <c r="AP254"/>
  <c r="AP275"/>
  <c r="AP296"/>
  <c r="AP317"/>
  <c r="AP338"/>
  <c r="AP359"/>
  <c r="AP380"/>
  <c r="AP401"/>
  <c r="AP422"/>
  <c r="AP458"/>
  <c r="AP474"/>
  <c r="AP490"/>
  <c r="AM106"/>
  <c r="AM107"/>
  <c r="AM132"/>
  <c r="AM150"/>
  <c r="AM190"/>
  <c r="AM211"/>
  <c r="AM232"/>
  <c r="AM253"/>
  <c r="AM274"/>
  <c r="AM295"/>
  <c r="AM316"/>
  <c r="AM337"/>
  <c r="AM358"/>
  <c r="AM379"/>
  <c r="AM400"/>
  <c r="AM421"/>
  <c r="AM457"/>
  <c r="AM473"/>
  <c r="AM489"/>
  <c r="AM169"/>
  <c r="AM128"/>
  <c r="AM153"/>
  <c r="AM171"/>
  <c r="AM192"/>
  <c r="AM213"/>
  <c r="AM234"/>
  <c r="AM255"/>
  <c r="AM276"/>
  <c r="AM297"/>
  <c r="AM318"/>
  <c r="AM339"/>
  <c r="AM360"/>
  <c r="AM381"/>
  <c r="AM402"/>
  <c r="AM423"/>
  <c r="AM459"/>
  <c r="AM475"/>
  <c r="AM491"/>
  <c r="AM148"/>
  <c r="AM108"/>
  <c r="AM149"/>
  <c r="AM174"/>
  <c r="AM195"/>
  <c r="AM216"/>
  <c r="AM237"/>
  <c r="AM258"/>
  <c r="AM279"/>
  <c r="AM300"/>
  <c r="AM321"/>
  <c r="AM342"/>
  <c r="AM363"/>
  <c r="AM384"/>
  <c r="AM405"/>
  <c r="AM426"/>
  <c r="AM462"/>
  <c r="AM478"/>
  <c r="AM494"/>
  <c r="AM127"/>
  <c r="AM111"/>
  <c r="AM129"/>
  <c r="AM170"/>
  <c r="AM191"/>
  <c r="AM212"/>
  <c r="AM233"/>
  <c r="AM254"/>
  <c r="AM275"/>
  <c r="AM296"/>
  <c r="AM317"/>
  <c r="AM338"/>
  <c r="AM359"/>
  <c r="AM380"/>
  <c r="AM401"/>
  <c r="AM422"/>
  <c r="AM458"/>
  <c r="AM474"/>
  <c r="AM490"/>
  <c r="AJ513" i="116"/>
  <c r="AJ513" i="117"/>
  <c r="AJ513" i="118"/>
  <c r="AJ513" i="119"/>
  <c r="AJ513" i="120"/>
  <c r="AJ513" i="28"/>
  <c r="AJ443" i="121"/>
  <c r="AJ442" s="1"/>
  <c r="AJ412"/>
  <c r="AJ349"/>
  <c r="AJ307"/>
  <c r="AJ265"/>
  <c r="AJ97"/>
  <c r="AJ286" i="120"/>
  <c r="AJ265"/>
  <c r="AJ202"/>
  <c r="AJ139"/>
  <c r="AJ443" i="119"/>
  <c r="AJ433"/>
  <c r="AJ349"/>
  <c r="AJ118" i="120"/>
  <c r="AJ328" i="119"/>
  <c r="AJ370" i="118"/>
  <c r="AJ328"/>
  <c r="AJ160" i="119"/>
  <c r="AJ181" i="118"/>
  <c r="AJ443" i="117"/>
  <c r="AJ244" i="118"/>
  <c r="AJ391"/>
  <c r="AJ118" i="117"/>
  <c r="AJ286" i="116"/>
  <c r="AJ438" i="117"/>
  <c r="AJ433" i="116"/>
  <c r="AJ97"/>
  <c r="AJ433" i="28"/>
  <c r="AJ412" i="116"/>
  <c r="AJ438"/>
  <c r="AJ433" i="117"/>
  <c r="AJ391" i="28"/>
  <c r="AJ160"/>
  <c r="AJ438"/>
  <c r="AJ139"/>
  <c r="AJ244" i="116"/>
  <c r="AJ391" i="121"/>
  <c r="AJ328"/>
  <c r="AJ160"/>
  <c r="AJ202"/>
  <c r="AJ370" i="120"/>
  <c r="AJ328"/>
  <c r="AJ412"/>
  <c r="AJ160"/>
  <c r="AJ438" i="119"/>
  <c r="AJ181" i="120"/>
  <c r="AJ448"/>
  <c r="AJ438" i="118"/>
  <c r="AJ448"/>
  <c r="AJ448" i="119"/>
  <c r="AJ433" i="118"/>
  <c r="AJ118"/>
  <c r="AJ412" i="119"/>
  <c r="AJ349" i="118"/>
  <c r="AJ412"/>
  <c r="AJ391" i="117"/>
  <c r="AJ202"/>
  <c r="AJ370" i="116"/>
  <c r="AJ448" i="28"/>
  <c r="AJ223" i="117"/>
  <c r="AJ181" i="116"/>
  <c r="AJ448"/>
  <c r="AJ181" i="117"/>
  <c r="AJ443" i="116"/>
  <c r="AJ118" i="28"/>
  <c r="AJ443"/>
  <c r="AJ244"/>
  <c r="AJ391" i="116"/>
  <c r="AJ265" i="28"/>
  <c r="AJ448" i="121"/>
  <c r="AJ447" s="1"/>
  <c r="AJ433"/>
  <c r="AJ432" s="1"/>
  <c r="AJ286"/>
  <c r="AJ181"/>
  <c r="AJ139"/>
  <c r="AJ438" i="120"/>
  <c r="AJ349"/>
  <c r="AJ244"/>
  <c r="AJ97"/>
  <c r="AJ223"/>
  <c r="AJ307" i="119"/>
  <c r="AJ286"/>
  <c r="AJ139"/>
  <c r="AJ118"/>
  <c r="AJ97"/>
  <c r="AJ244"/>
  <c r="AJ286" i="118"/>
  <c r="AJ202"/>
  <c r="AJ265" i="119"/>
  <c r="AJ328" i="117"/>
  <c r="AJ139" i="118"/>
  <c r="AJ160" i="117"/>
  <c r="AJ307"/>
  <c r="AJ118" i="116"/>
  <c r="AJ244" i="117"/>
  <c r="AJ265" i="116"/>
  <c r="AJ139" i="117"/>
  <c r="AJ265"/>
  <c r="AJ160" i="118"/>
  <c r="AJ202" i="28"/>
  <c r="AJ160" i="116"/>
  <c r="AJ328" i="28"/>
  <c r="AJ223"/>
  <c r="AJ438" i="121"/>
  <c r="AJ437" s="1"/>
  <c r="AJ370"/>
  <c r="AJ244"/>
  <c r="AJ223"/>
  <c r="AJ118"/>
  <c r="AJ443" i="120"/>
  <c r="AJ307"/>
  <c r="AJ391"/>
  <c r="AJ433"/>
  <c r="AJ391" i="119"/>
  <c r="AJ370"/>
  <c r="AJ223"/>
  <c r="AJ202"/>
  <c r="AJ181"/>
  <c r="AJ443" i="118"/>
  <c r="AJ307"/>
  <c r="AJ223"/>
  <c r="AJ97"/>
  <c r="AJ412" i="117"/>
  <c r="AJ448"/>
  <c r="AJ265" i="118"/>
  <c r="AJ370" i="117"/>
  <c r="AJ202" i="116"/>
  <c r="AJ97" i="117"/>
  <c r="AJ349" i="116"/>
  <c r="AJ349" i="117"/>
  <c r="AJ349" i="28"/>
  <c r="AJ223" i="116"/>
  <c r="AJ286" i="28"/>
  <c r="AJ307" i="116"/>
  <c r="AJ286" i="117"/>
  <c r="AE433" i="121"/>
  <c r="AE432" s="1"/>
  <c r="AE370"/>
  <c r="AE349"/>
  <c r="AE307"/>
  <c r="AE202"/>
  <c r="AE139"/>
  <c r="AE412" i="120"/>
  <c r="AE438"/>
  <c r="AE286"/>
  <c r="AE139"/>
  <c r="AE97"/>
  <c r="AE286" i="119"/>
  <c r="AE181" i="120"/>
  <c r="AE349" i="118"/>
  <c r="AE448"/>
  <c r="AE412"/>
  <c r="AE443" i="119"/>
  <c r="AE433"/>
  <c r="AE223"/>
  <c r="AE370" i="117"/>
  <c r="AE443"/>
  <c r="AE223"/>
  <c r="AE265"/>
  <c r="AE181"/>
  <c r="AE328" i="116"/>
  <c r="AE448"/>
  <c r="AE286"/>
  <c r="AE438" i="117"/>
  <c r="AE349" i="28"/>
  <c r="AE433" i="117"/>
  <c r="AE223" i="116"/>
  <c r="AE97" i="117"/>
  <c r="AE97" i="116"/>
  <c r="AE286" i="28"/>
  <c r="AE202"/>
  <c r="AE223"/>
  <c r="AE412" i="121"/>
  <c r="AE286"/>
  <c r="AE391"/>
  <c r="AE223"/>
  <c r="AE181"/>
  <c r="AE433" i="120"/>
  <c r="AE443"/>
  <c r="AE391"/>
  <c r="AE160"/>
  <c r="AE438" i="119"/>
  <c r="AE307"/>
  <c r="AE97"/>
  <c r="AE433" i="118"/>
  <c r="AE160" i="119"/>
  <c r="AE438" i="118"/>
  <c r="AE307" i="120"/>
  <c r="AE223" i="118"/>
  <c r="AE160"/>
  <c r="AE118"/>
  <c r="AE412" i="119"/>
  <c r="AE244" i="117"/>
  <c r="AE286"/>
  <c r="AE370" i="28"/>
  <c r="AE412" i="116"/>
  <c r="AE139" i="118"/>
  <c r="AE370" i="116"/>
  <c r="AE448" i="28"/>
  <c r="AE139" i="116"/>
  <c r="AE97" i="28"/>
  <c r="AE265" i="116"/>
  <c r="AE160" i="28"/>
  <c r="AE139"/>
  <c r="AE118"/>
  <c r="AE438"/>
  <c r="AE412"/>
  <c r="AE448" i="121"/>
  <c r="AE447" s="1"/>
  <c r="AE265"/>
  <c r="AE160"/>
  <c r="AE118"/>
  <c r="AE223" i="120"/>
  <c r="AE202"/>
  <c r="AE244"/>
  <c r="AE118"/>
  <c r="AE391" i="119"/>
  <c r="AE181"/>
  <c r="AE118"/>
  <c r="AE328"/>
  <c r="AE139"/>
  <c r="AE244" i="118"/>
  <c r="AE307"/>
  <c r="AE244" i="119"/>
  <c r="AE202" i="118"/>
  <c r="AE97"/>
  <c r="AE328" i="117"/>
  <c r="AE286" i="118"/>
  <c r="AE438" i="116"/>
  <c r="AE443"/>
  <c r="AE160"/>
  <c r="AE448" i="117"/>
  <c r="AE118" i="116"/>
  <c r="AE181"/>
  <c r="AE181" i="28"/>
  <c r="AE370" i="118"/>
  <c r="AE244" i="28"/>
  <c r="AE448" i="119"/>
  <c r="AE391" i="28"/>
  <c r="AE349" i="116"/>
  <c r="AE202" i="117"/>
  <c r="AE307" i="116"/>
  <c r="AE443" i="121"/>
  <c r="AE442" s="1"/>
  <c r="AE438"/>
  <c r="AE437" s="1"/>
  <c r="AE328"/>
  <c r="AE244"/>
  <c r="AE97"/>
  <c r="AE448" i="120"/>
  <c r="AE370"/>
  <c r="AE265"/>
  <c r="AE349"/>
  <c r="AE349" i="119"/>
  <c r="AE328" i="120"/>
  <c r="AE370" i="119"/>
  <c r="AE265" i="118"/>
  <c r="AE265" i="119"/>
  <c r="AE328" i="118"/>
  <c r="AE391"/>
  <c r="AE443"/>
  <c r="AE202" i="119"/>
  <c r="AE181" i="118"/>
  <c r="AE412" i="117"/>
  <c r="AE139"/>
  <c r="AE391"/>
  <c r="AE118"/>
  <c r="AE244" i="116"/>
  <c r="AE433" i="28"/>
  <c r="AE202" i="116"/>
  <c r="AE160" i="117"/>
  <c r="AE265" i="28"/>
  <c r="AE349" i="117"/>
  <c r="AE328" i="28"/>
  <c r="AE433" i="116"/>
  <c r="AE443" i="28"/>
  <c r="AE391" i="116"/>
  <c r="AE307" i="117"/>
  <c r="AE307" i="28"/>
  <c r="AD349" i="121"/>
  <c r="AD391"/>
  <c r="AD202"/>
  <c r="AD160"/>
  <c r="AD412" i="120"/>
  <c r="AD223"/>
  <c r="AD370"/>
  <c r="AD118"/>
  <c r="AD433" i="119"/>
  <c r="AD286"/>
  <c r="AD160" i="120"/>
  <c r="AD202" i="119"/>
  <c r="AD97"/>
  <c r="AD438"/>
  <c r="AD181" i="118"/>
  <c r="AD244"/>
  <c r="AD391" i="117"/>
  <c r="AD370"/>
  <c r="AD438"/>
  <c r="AD391" i="118"/>
  <c r="AD286"/>
  <c r="AD328" i="117"/>
  <c r="AD349" i="116"/>
  <c r="AD438"/>
  <c r="AD328"/>
  <c r="AD433" i="117"/>
  <c r="AD139" i="116"/>
  <c r="AD181" i="28"/>
  <c r="AD433"/>
  <c r="AD223"/>
  <c r="AD438"/>
  <c r="AD391"/>
  <c r="AD286"/>
  <c r="AD223" i="116"/>
  <c r="AD433" i="121"/>
  <c r="AD432" s="1"/>
  <c r="AD438"/>
  <c r="AD437" s="1"/>
  <c r="AD307"/>
  <c r="AD223"/>
  <c r="AD181"/>
  <c r="AD349" i="120"/>
  <c r="AD307"/>
  <c r="AD433"/>
  <c r="AD97" i="121"/>
  <c r="AD139" i="120"/>
  <c r="AD370" i="119"/>
  <c r="AD265"/>
  <c r="AD391"/>
  <c r="AD181"/>
  <c r="AD223"/>
  <c r="AD328"/>
  <c r="AD438" i="118"/>
  <c r="AD370"/>
  <c r="AD223"/>
  <c r="AD118"/>
  <c r="AD412"/>
  <c r="AD139" i="117"/>
  <c r="AD97"/>
  <c r="AD433" i="116"/>
  <c r="AD97"/>
  <c r="AD412"/>
  <c r="AD443" i="117"/>
  <c r="AD448" i="116"/>
  <c r="AD265" i="28"/>
  <c r="AD265" i="117"/>
  <c r="AD307" i="28"/>
  <c r="AD370" i="116"/>
  <c r="AD202"/>
  <c r="AD370" i="28"/>
  <c r="AD244"/>
  <c r="AD448" i="121"/>
  <c r="AD447" s="1"/>
  <c r="AD328"/>
  <c r="AD265"/>
  <c r="AD139"/>
  <c r="AD448" i="120"/>
  <c r="AD391"/>
  <c r="AD438"/>
  <c r="AD181"/>
  <c r="AD202"/>
  <c r="AD97"/>
  <c r="AD349" i="119"/>
  <c r="AD412"/>
  <c r="AD448" i="118"/>
  <c r="AD160" i="119"/>
  <c r="AD349" i="118"/>
  <c r="AD443"/>
  <c r="AD139" i="119"/>
  <c r="AD307"/>
  <c r="AD139" i="118"/>
  <c r="AD244" i="117"/>
  <c r="AD223"/>
  <c r="AD181"/>
  <c r="AD160"/>
  <c r="AD181" i="116"/>
  <c r="AD443"/>
  <c r="AD160"/>
  <c r="AD412" i="28"/>
  <c r="AD349"/>
  <c r="AD265" i="118"/>
  <c r="AD286" i="116"/>
  <c r="AD202" i="28"/>
  <c r="AD412" i="117"/>
  <c r="AD391" i="116"/>
  <c r="AD202" i="117"/>
  <c r="AD328" i="28"/>
  <c r="AD443" i="121"/>
  <c r="AD442" s="1"/>
  <c r="AD412"/>
  <c r="AD370"/>
  <c r="AD286"/>
  <c r="AD244"/>
  <c r="AD118"/>
  <c r="AD328" i="120"/>
  <c r="AD443"/>
  <c r="AD265"/>
  <c r="AD244"/>
  <c r="AD448" i="119"/>
  <c r="AD286" i="120"/>
  <c r="AD443" i="119"/>
  <c r="AD118"/>
  <c r="AD244"/>
  <c r="AD433" i="118"/>
  <c r="AD97"/>
  <c r="AD160"/>
  <c r="AD307" i="117"/>
  <c r="AD202" i="118"/>
  <c r="AD307"/>
  <c r="AD328"/>
  <c r="AD349" i="117"/>
  <c r="AD286"/>
  <c r="AD265" i="116"/>
  <c r="AD118" i="117"/>
  <c r="AD244" i="116"/>
  <c r="AD443" i="28"/>
  <c r="AD118" i="116"/>
  <c r="AD97" i="28"/>
  <c r="AD307" i="116"/>
  <c r="AD139" i="28"/>
  <c r="AD448" i="117"/>
  <c r="AD118" i="28"/>
  <c r="AD160"/>
  <c r="AD448"/>
  <c r="AO109" i="121"/>
  <c r="AO130"/>
  <c r="AO214"/>
  <c r="AO235"/>
  <c r="AO361"/>
  <c r="AO382"/>
  <c r="AO460"/>
  <c r="AO464" s="1"/>
  <c r="AO85" s="1"/>
  <c r="AO424"/>
  <c r="AO319"/>
  <c r="AP19" i="28"/>
  <c r="AO20" i="119"/>
  <c r="AN302" i="121"/>
  <c r="AN78" s="1"/>
  <c r="AO21" i="28"/>
  <c r="AO19"/>
  <c r="AM22" i="119"/>
  <c r="AM20"/>
  <c r="AM21" i="28"/>
  <c r="AL21" i="119"/>
  <c r="AL19"/>
  <c r="AL372" i="28"/>
  <c r="AL225"/>
  <c r="AL435"/>
  <c r="AL414"/>
  <c r="AL367"/>
  <c r="AL136"/>
  <c r="AL99"/>
  <c r="AL94"/>
  <c r="AL450"/>
  <c r="AL430"/>
  <c r="AD509" i="116"/>
  <c r="AM106" i="119"/>
  <c r="AM107"/>
  <c r="AM132"/>
  <c r="AM150"/>
  <c r="AM190"/>
  <c r="AM211"/>
  <c r="AM232"/>
  <c r="AM127"/>
  <c r="AM108"/>
  <c r="AM153"/>
  <c r="AM191"/>
  <c r="AM216"/>
  <c r="AM234"/>
  <c r="AM255"/>
  <c r="AM276"/>
  <c r="AM297"/>
  <c r="AM318"/>
  <c r="AM339"/>
  <c r="AM360"/>
  <c r="AM381"/>
  <c r="AM402"/>
  <c r="AM423"/>
  <c r="AM459"/>
  <c r="AM475"/>
  <c r="AM491"/>
  <c r="AM111"/>
  <c r="AM149"/>
  <c r="AM171"/>
  <c r="AM212"/>
  <c r="AM237"/>
  <c r="AM258"/>
  <c r="AM279"/>
  <c r="AM300"/>
  <c r="AM321"/>
  <c r="AM342"/>
  <c r="AM363"/>
  <c r="AM384"/>
  <c r="AM405"/>
  <c r="AM426"/>
  <c r="AM462"/>
  <c r="AM478"/>
  <c r="AM494"/>
  <c r="AM169"/>
  <c r="AM129"/>
  <c r="AM174"/>
  <c r="AM192"/>
  <c r="AM233"/>
  <c r="AM254"/>
  <c r="AM275"/>
  <c r="AM296"/>
  <c r="AM317"/>
  <c r="AM338"/>
  <c r="AM359"/>
  <c r="AM380"/>
  <c r="AM401"/>
  <c r="AM422"/>
  <c r="AM458"/>
  <c r="AM474"/>
  <c r="AM490"/>
  <c r="AM148"/>
  <c r="AM128"/>
  <c r="AM170"/>
  <c r="AM195"/>
  <c r="AM213"/>
  <c r="AM253"/>
  <c r="AM274"/>
  <c r="AM295"/>
  <c r="AM316"/>
  <c r="AM337"/>
  <c r="AM358"/>
  <c r="AM379"/>
  <c r="AM400"/>
  <c r="AM421"/>
  <c r="AM457"/>
  <c r="AM473"/>
  <c r="AM489"/>
  <c r="AD509"/>
  <c r="AE509"/>
  <c r="AC513" i="116"/>
  <c r="AC513" i="117"/>
  <c r="AC513" i="118"/>
  <c r="AC513" i="119"/>
  <c r="AC513" i="120"/>
  <c r="AC513" i="28"/>
  <c r="AC513" i="121"/>
  <c r="AO256"/>
  <c r="AO403"/>
  <c r="AN19" i="119"/>
  <c r="AN19" i="28"/>
  <c r="AM155" i="121"/>
  <c r="AM71" s="1"/>
  <c r="AM323"/>
  <c r="AM79" s="1"/>
  <c r="AM19" i="28"/>
  <c r="AL480" i="121"/>
  <c r="AL86" s="1"/>
  <c r="AO169" i="119"/>
  <c r="AO128"/>
  <c r="AO153"/>
  <c r="AO171"/>
  <c r="AO192"/>
  <c r="AO213"/>
  <c r="AO234"/>
  <c r="AO255"/>
  <c r="AO276"/>
  <c r="AO297"/>
  <c r="AO318"/>
  <c r="AO339"/>
  <c r="AO360"/>
  <c r="AO381"/>
  <c r="AO402"/>
  <c r="AO423"/>
  <c r="AO459"/>
  <c r="AO475"/>
  <c r="AO491"/>
  <c r="AO148"/>
  <c r="AO108"/>
  <c r="AO149"/>
  <c r="AO174"/>
  <c r="AO195"/>
  <c r="AO216"/>
  <c r="AO237"/>
  <c r="AO258"/>
  <c r="AO279"/>
  <c r="AO300"/>
  <c r="AO321"/>
  <c r="AO342"/>
  <c r="AO363"/>
  <c r="AO384"/>
  <c r="AO405"/>
  <c r="AO426"/>
  <c r="AO462"/>
  <c r="AO478"/>
  <c r="AO494"/>
  <c r="AO127"/>
  <c r="AO111"/>
  <c r="AO129"/>
  <c r="AO170"/>
  <c r="AO191"/>
  <c r="AO212"/>
  <c r="AO233"/>
  <c r="AO254"/>
  <c r="AO260" s="1"/>
  <c r="AO76" s="1"/>
  <c r="AO275"/>
  <c r="AO296"/>
  <c r="AO317"/>
  <c r="AO338"/>
  <c r="AO359"/>
  <c r="AO380"/>
  <c r="AO401"/>
  <c r="AO422"/>
  <c r="AO428" s="1"/>
  <c r="AO84" s="1"/>
  <c r="AO458"/>
  <c r="AO474"/>
  <c r="AO490"/>
  <c r="AO106"/>
  <c r="AO107"/>
  <c r="AO132"/>
  <c r="AO150"/>
  <c r="AO190"/>
  <c r="AO211"/>
  <c r="AO232"/>
  <c r="AO253"/>
  <c r="AO274"/>
  <c r="AO295"/>
  <c r="AO316"/>
  <c r="AO337"/>
  <c r="AO358"/>
  <c r="AO379"/>
  <c r="AO400"/>
  <c r="AO421"/>
  <c r="AO457"/>
  <c r="AO473"/>
  <c r="AO489"/>
  <c r="AN106" i="28"/>
  <c r="AN107"/>
  <c r="AN132"/>
  <c r="AN150"/>
  <c r="AN190"/>
  <c r="AN211"/>
  <c r="AN232"/>
  <c r="AN253"/>
  <c r="AN274"/>
  <c r="AN295"/>
  <c r="AN316"/>
  <c r="AN337"/>
  <c r="AN358"/>
  <c r="AN379"/>
  <c r="AN400"/>
  <c r="AN421"/>
  <c r="AN457"/>
  <c r="AN473"/>
  <c r="AN489"/>
  <c r="AN169"/>
  <c r="AN128"/>
  <c r="AN153"/>
  <c r="AN171"/>
  <c r="AN192"/>
  <c r="AN213"/>
  <c r="AN234"/>
  <c r="AN255"/>
  <c r="AN276"/>
  <c r="AN297"/>
  <c r="AN318"/>
  <c r="AN339"/>
  <c r="AN360"/>
  <c r="AN381"/>
  <c r="AN402"/>
  <c r="AN423"/>
  <c r="AN459"/>
  <c r="AN475"/>
  <c r="AN491"/>
  <c r="AN148"/>
  <c r="AN108"/>
  <c r="AN149"/>
  <c r="AN174"/>
  <c r="AN195"/>
  <c r="AN216"/>
  <c r="AN237"/>
  <c r="AN258"/>
  <c r="AN279"/>
  <c r="AN300"/>
  <c r="AN321"/>
  <c r="AN342"/>
  <c r="AN363"/>
  <c r="AN384"/>
  <c r="AN405"/>
  <c r="AN426"/>
  <c r="AN462"/>
  <c r="AN478"/>
  <c r="AN494"/>
  <c r="AN127"/>
  <c r="AN111"/>
  <c r="AN129"/>
  <c r="AN170"/>
  <c r="AN191"/>
  <c r="AN212"/>
  <c r="AN233"/>
  <c r="AN254"/>
  <c r="AN275"/>
  <c r="AN296"/>
  <c r="AN317"/>
  <c r="AN338"/>
  <c r="AN359"/>
  <c r="AN380"/>
  <c r="AN401"/>
  <c r="AN422"/>
  <c r="AN458"/>
  <c r="AN474"/>
  <c r="AN490"/>
  <c r="AK513" i="116"/>
  <c r="AK513" i="117"/>
  <c r="AK513" i="119"/>
  <c r="AK513" i="118"/>
  <c r="AK513" i="120"/>
  <c r="AK513" i="28"/>
  <c r="AP20"/>
  <c r="AN22" i="119"/>
  <c r="AN20"/>
  <c r="AO20" i="28"/>
  <c r="AM21" i="119"/>
  <c r="AM22" i="28"/>
  <c r="AL22" i="119"/>
  <c r="AN169"/>
  <c r="AN128"/>
  <c r="AN153"/>
  <c r="AN171"/>
  <c r="AN192"/>
  <c r="AN213"/>
  <c r="AN234"/>
  <c r="AN255"/>
  <c r="AN276"/>
  <c r="AN297"/>
  <c r="AN318"/>
  <c r="AN339"/>
  <c r="AN360"/>
  <c r="AN381"/>
  <c r="AN402"/>
  <c r="AN423"/>
  <c r="AN459"/>
  <c r="AN475"/>
  <c r="AN491"/>
  <c r="AN148"/>
  <c r="AN108"/>
  <c r="AN149"/>
  <c r="AN174"/>
  <c r="AN195"/>
  <c r="AN216"/>
  <c r="AN237"/>
  <c r="AN258"/>
  <c r="AN279"/>
  <c r="AN300"/>
  <c r="AN321"/>
  <c r="AN342"/>
  <c r="AN363"/>
  <c r="AN384"/>
  <c r="AN405"/>
  <c r="AN426"/>
  <c r="AN462"/>
  <c r="AN478"/>
  <c r="AN494"/>
  <c r="AN127"/>
  <c r="AN111"/>
  <c r="AN129"/>
  <c r="AN170"/>
  <c r="AN191"/>
  <c r="AN212"/>
  <c r="AN233"/>
  <c r="AN254"/>
  <c r="AN275"/>
  <c r="AN296"/>
  <c r="AN317"/>
  <c r="AN338"/>
  <c r="AN359"/>
  <c r="AN380"/>
  <c r="AN401"/>
  <c r="AN407" s="1"/>
  <c r="AN83" s="1"/>
  <c r="AN422"/>
  <c r="AN458"/>
  <c r="AN474"/>
  <c r="AN490"/>
  <c r="AN106"/>
  <c r="AN107"/>
  <c r="AN132"/>
  <c r="AN150"/>
  <c r="AN190"/>
  <c r="AN211"/>
  <c r="AN232"/>
  <c r="AN253"/>
  <c r="AN274"/>
  <c r="AN295"/>
  <c r="AN316"/>
  <c r="AN337"/>
  <c r="AN358"/>
  <c r="AN379"/>
  <c r="AN400"/>
  <c r="AN421"/>
  <c r="AN457"/>
  <c r="AN473"/>
  <c r="AN489"/>
  <c r="AO106" i="28"/>
  <c r="AO107"/>
  <c r="AO132"/>
  <c r="AO150"/>
  <c r="AO190"/>
  <c r="AO211"/>
  <c r="AO232"/>
  <c r="AO253"/>
  <c r="AO274"/>
  <c r="AO295"/>
  <c r="AO316"/>
  <c r="AO337"/>
  <c r="AO358"/>
  <c r="AO379"/>
  <c r="AO400"/>
  <c r="AO421"/>
  <c r="AO457"/>
  <c r="AO473"/>
  <c r="AO489"/>
  <c r="AO169"/>
  <c r="AO128"/>
  <c r="AO153"/>
  <c r="AO171"/>
  <c r="AO192"/>
  <c r="AO213"/>
  <c r="AO234"/>
  <c r="AO255"/>
  <c r="AO276"/>
  <c r="AO297"/>
  <c r="AO318"/>
  <c r="AO339"/>
  <c r="AO360"/>
  <c r="AO381"/>
  <c r="AO402"/>
  <c r="AO423"/>
  <c r="AO459"/>
  <c r="AO475"/>
  <c r="AO491"/>
  <c r="AO148"/>
  <c r="AO108"/>
  <c r="AO149"/>
  <c r="AO174"/>
  <c r="AO195"/>
  <c r="AO216"/>
  <c r="AO237"/>
  <c r="AO258"/>
  <c r="AO279"/>
  <c r="AO300"/>
  <c r="AO321"/>
  <c r="AO342"/>
  <c r="AO363"/>
  <c r="AO384"/>
  <c r="AO405"/>
  <c r="AO426"/>
  <c r="AO462"/>
  <c r="AO478"/>
  <c r="AO494"/>
  <c r="AO127"/>
  <c r="AO111"/>
  <c r="AO129"/>
  <c r="AO170"/>
  <c r="AO191"/>
  <c r="AO212"/>
  <c r="AO233"/>
  <c r="AO254"/>
  <c r="AO275"/>
  <c r="AO296"/>
  <c r="AO317"/>
  <c r="AO338"/>
  <c r="AO359"/>
  <c r="AO380"/>
  <c r="AO401"/>
  <c r="AO422"/>
  <c r="AO458"/>
  <c r="AO474"/>
  <c r="AO490"/>
  <c r="AL106" i="119"/>
  <c r="AL107"/>
  <c r="AL132"/>
  <c r="AL150"/>
  <c r="AL190"/>
  <c r="AL211"/>
  <c r="AL232"/>
  <c r="AL253"/>
  <c r="AL274"/>
  <c r="AL295"/>
  <c r="AL316"/>
  <c r="AL337"/>
  <c r="AL358"/>
  <c r="AL379"/>
  <c r="AL400"/>
  <c r="AL421"/>
  <c r="AL457"/>
  <c r="AL473"/>
  <c r="AL489"/>
  <c r="AL148"/>
  <c r="AL128"/>
  <c r="AL170"/>
  <c r="AL195"/>
  <c r="AL213"/>
  <c r="AL254"/>
  <c r="AL279"/>
  <c r="AL297"/>
  <c r="AL338"/>
  <c r="AL363"/>
  <c r="AL381"/>
  <c r="AL422"/>
  <c r="AL462"/>
  <c r="AL475"/>
  <c r="AL127"/>
  <c r="AL108"/>
  <c r="AL153"/>
  <c r="AL191"/>
  <c r="AL216"/>
  <c r="AL234"/>
  <c r="AL275"/>
  <c r="AL300"/>
  <c r="AL318"/>
  <c r="AL359"/>
  <c r="AL384"/>
  <c r="AL402"/>
  <c r="AL458"/>
  <c r="AL478"/>
  <c r="AL491"/>
  <c r="AL111"/>
  <c r="AL149"/>
  <c r="AL171"/>
  <c r="AL212"/>
  <c r="AL237"/>
  <c r="AL255"/>
  <c r="AL296"/>
  <c r="AL321"/>
  <c r="AL339"/>
  <c r="AL380"/>
  <c r="AL405"/>
  <c r="AL423"/>
  <c r="AL474"/>
  <c r="AL494"/>
  <c r="AL169"/>
  <c r="AL129"/>
  <c r="AL174"/>
  <c r="AL192"/>
  <c r="AL233"/>
  <c r="AL258"/>
  <c r="AL276"/>
  <c r="AL317"/>
  <c r="AL342"/>
  <c r="AL360"/>
  <c r="AL401"/>
  <c r="AL426"/>
  <c r="AL459"/>
  <c r="AL490"/>
  <c r="AI433" i="121"/>
  <c r="AI432" s="1"/>
  <c r="AI370"/>
  <c r="AI349"/>
  <c r="AI202"/>
  <c r="AI433" i="120"/>
  <c r="AI181"/>
  <c r="AI307"/>
  <c r="AI202"/>
  <c r="AI438"/>
  <c r="AI160"/>
  <c r="AI349" i="119"/>
  <c r="AI370"/>
  <c r="AI160"/>
  <c r="AI223" i="118"/>
  <c r="AI286"/>
  <c r="AI349"/>
  <c r="AI328"/>
  <c r="AI160"/>
  <c r="AI412" i="117"/>
  <c r="AI370"/>
  <c r="AI438" i="119"/>
  <c r="AI139" i="118"/>
  <c r="AI412" i="28"/>
  <c r="AI202" i="116"/>
  <c r="AI412"/>
  <c r="AI223" i="117"/>
  <c r="AI370" i="28"/>
  <c r="AI349" i="116"/>
  <c r="AI438"/>
  <c r="AI118" i="28"/>
  <c r="AI181" i="116"/>
  <c r="AI139"/>
  <c r="AI448"/>
  <c r="AI160" i="117"/>
  <c r="AI307" i="116"/>
  <c r="AI412" i="121"/>
  <c r="AI443"/>
  <c r="AI442" s="1"/>
  <c r="AI265"/>
  <c r="AI181"/>
  <c r="AI244"/>
  <c r="AI443" i="120"/>
  <c r="AI265"/>
  <c r="AI370"/>
  <c r="AI97"/>
  <c r="AI223"/>
  <c r="AI391" i="119"/>
  <c r="AI139"/>
  <c r="AI328"/>
  <c r="AI307" i="118"/>
  <c r="AI370"/>
  <c r="AI433"/>
  <c r="AI448"/>
  <c r="AI307" i="119"/>
  <c r="AI443" i="117"/>
  <c r="AI448"/>
  <c r="AI97"/>
  <c r="AI181" i="118"/>
  <c r="AI443" i="28"/>
  <c r="AI286" i="116"/>
  <c r="AI443"/>
  <c r="AI160"/>
  <c r="AI433" i="28"/>
  <c r="AI139"/>
  <c r="AI349" i="117"/>
  <c r="AI202" i="28"/>
  <c r="AI391" i="116"/>
  <c r="AI97" i="28"/>
  <c r="AI328"/>
  <c r="AI391"/>
  <c r="AI244" i="117"/>
  <c r="AI391" i="121"/>
  <c r="AI307"/>
  <c r="AI438"/>
  <c r="AI437" s="1"/>
  <c r="AI139"/>
  <c r="AI118"/>
  <c r="AI97"/>
  <c r="AI328" i="120"/>
  <c r="AI391"/>
  <c r="AI286"/>
  <c r="AI448" i="119"/>
  <c r="AI443"/>
  <c r="AI223"/>
  <c r="AI265"/>
  <c r="AI391" i="118"/>
  <c r="AI97" i="119"/>
  <c r="AI244"/>
  <c r="AI118"/>
  <c r="AI202" i="118"/>
  <c r="AI181" i="119"/>
  <c r="AI244" i="118"/>
  <c r="AI181" i="117"/>
  <c r="AI412" i="119"/>
  <c r="AI265" i="117"/>
  <c r="AI370" i="116"/>
  <c r="AI448" i="28"/>
  <c r="AI244" i="116"/>
  <c r="AI118" i="117"/>
  <c r="AI223" i="28"/>
  <c r="AI97" i="118"/>
  <c r="AI286" i="28"/>
  <c r="AI202" i="117"/>
  <c r="AI349" i="28"/>
  <c r="AI244"/>
  <c r="AI181"/>
  <c r="AI265"/>
  <c r="AI448" i="121"/>
  <c r="AI447" s="1"/>
  <c r="AI328"/>
  <c r="AI223"/>
  <c r="AI286"/>
  <c r="AI160"/>
  <c r="AI448" i="120"/>
  <c r="AI349"/>
  <c r="AI244"/>
  <c r="AI118"/>
  <c r="AI412"/>
  <c r="AI433" i="119"/>
  <c r="AI139" i="120"/>
  <c r="AI443" i="118"/>
  <c r="AI438"/>
  <c r="AI202" i="119"/>
  <c r="AI286"/>
  <c r="AI265" i="118"/>
  <c r="AI118"/>
  <c r="AI438" i="117"/>
  <c r="AI412" i="118"/>
  <c r="AI286" i="117"/>
  <c r="AI391"/>
  <c r="AI433"/>
  <c r="AI307"/>
  <c r="AI118" i="116"/>
  <c r="AI328"/>
  <c r="AI139" i="117"/>
  <c r="AI307" i="28"/>
  <c r="AI223" i="116"/>
  <c r="AI433"/>
  <c r="AI328" i="117"/>
  <c r="AI438" i="28"/>
  <c r="AI265" i="116"/>
  <c r="AI160" i="28"/>
  <c r="AI97" i="116"/>
  <c r="AP21" i="28"/>
  <c r="AO22" i="119"/>
  <c r="AO21"/>
  <c r="AN218" i="121"/>
  <c r="AN74" s="1"/>
  <c r="AN21" i="119"/>
  <c r="AM19"/>
  <c r="AN22" i="28"/>
  <c r="AG513" i="116"/>
  <c r="AG513" i="117"/>
  <c r="AG513" i="119"/>
  <c r="AG513" i="118"/>
  <c r="AG513" i="120"/>
  <c r="AG513" i="28"/>
  <c r="U202" i="121"/>
  <c r="U160"/>
  <c r="U181"/>
  <c r="U370" i="120"/>
  <c r="U328"/>
  <c r="U433"/>
  <c r="U202"/>
  <c r="U118"/>
  <c r="U443" i="118"/>
  <c r="U448" i="119"/>
  <c r="U286" i="118"/>
  <c r="U391" i="119"/>
  <c r="U265" i="118"/>
  <c r="U328"/>
  <c r="U181"/>
  <c r="U139"/>
  <c r="U202"/>
  <c r="U349" i="117"/>
  <c r="U443"/>
  <c r="U328"/>
  <c r="U391" i="28"/>
  <c r="U349" i="116"/>
  <c r="U97" i="117"/>
  <c r="U307" i="116"/>
  <c r="U443"/>
  <c r="U202" i="28"/>
  <c r="U448"/>
  <c r="U370"/>
  <c r="U181" i="117"/>
  <c r="U118" i="116"/>
  <c r="U139" i="28"/>
  <c r="U307"/>
  <c r="U370" i="116"/>
  <c r="U448" i="121"/>
  <c r="U447" s="1"/>
  <c r="U433"/>
  <c r="U432" s="1"/>
  <c r="U438"/>
  <c r="U437" s="1"/>
  <c r="U286"/>
  <c r="U223"/>
  <c r="U118"/>
  <c r="U448" i="120"/>
  <c r="U349"/>
  <c r="U438"/>
  <c r="U97"/>
  <c r="U370" i="119"/>
  <c r="U328"/>
  <c r="U118"/>
  <c r="U370" i="118"/>
  <c r="U438"/>
  <c r="U349"/>
  <c r="U412"/>
  <c r="U307"/>
  <c r="U448"/>
  <c r="U448" i="117"/>
  <c r="U433"/>
  <c r="U160"/>
  <c r="U370"/>
  <c r="U118"/>
  <c r="U433" i="116"/>
  <c r="U97"/>
  <c r="U391"/>
  <c r="U438" i="28"/>
  <c r="U286"/>
  <c r="U160" i="116"/>
  <c r="U286"/>
  <c r="U97" i="28"/>
  <c r="U244" i="116"/>
  <c r="U160" i="28"/>
  <c r="U328"/>
  <c r="U139" i="117"/>
  <c r="U391" i="121"/>
  <c r="U307"/>
  <c r="U370"/>
  <c r="U265"/>
  <c r="U139"/>
  <c r="U412" i="120"/>
  <c r="U160"/>
  <c r="U223"/>
  <c r="U265"/>
  <c r="U443" i="119"/>
  <c r="U412"/>
  <c r="U202"/>
  <c r="U139"/>
  <c r="U97"/>
  <c r="U433" i="118"/>
  <c r="U139" i="120"/>
  <c r="U349" i="119"/>
  <c r="U223" i="118"/>
  <c r="U391"/>
  <c r="U118"/>
  <c r="U244" i="117"/>
  <c r="U286"/>
  <c r="U160" i="119"/>
  <c r="U181"/>
  <c r="U181" i="116"/>
  <c r="U202" i="117"/>
  <c r="U139" i="116"/>
  <c r="U349" i="28"/>
  <c r="U412" i="117"/>
  <c r="U160" i="118"/>
  <c r="U181" i="28"/>
  <c r="U412"/>
  <c r="U433"/>
  <c r="U223"/>
  <c r="U412" i="116"/>
  <c r="U412" i="121"/>
  <c r="U443"/>
  <c r="U442" s="1"/>
  <c r="U349"/>
  <c r="U328"/>
  <c r="U244"/>
  <c r="U97"/>
  <c r="U443" i="120"/>
  <c r="U244"/>
  <c r="U307"/>
  <c r="U286"/>
  <c r="U181"/>
  <c r="U433" i="119"/>
  <c r="U438"/>
  <c r="U307"/>
  <c r="U286"/>
  <c r="U244"/>
  <c r="U391" i="120"/>
  <c r="U244" i="118"/>
  <c r="U97"/>
  <c r="U223" i="119"/>
  <c r="U391" i="117"/>
  <c r="U265"/>
  <c r="U438"/>
  <c r="U307"/>
  <c r="U265" i="119"/>
  <c r="U265" i="116"/>
  <c r="U438"/>
  <c r="U223"/>
  <c r="U202"/>
  <c r="U118" i="28"/>
  <c r="U443"/>
  <c r="U265"/>
  <c r="U328" i="116"/>
  <c r="U223" i="117"/>
  <c r="U244" i="28"/>
  <c r="U448" i="116"/>
  <c r="AH94"/>
  <c r="AH445"/>
  <c r="AH414"/>
  <c r="AH325"/>
  <c r="AH351"/>
  <c r="AH199"/>
  <c r="AH225"/>
  <c r="AH304"/>
  <c r="AC286"/>
  <c r="AC139" i="28"/>
  <c r="AC412" i="116"/>
  <c r="AC202"/>
  <c r="AC118" i="118"/>
  <c r="AC349" i="28"/>
  <c r="AC328" i="116"/>
  <c r="AC286" i="28"/>
  <c r="AC438"/>
  <c r="AC391" i="116"/>
  <c r="AC181" i="117"/>
  <c r="AC349" i="116"/>
  <c r="AC391" i="28"/>
  <c r="AC391" i="118"/>
  <c r="AC160" i="117"/>
  <c r="AC265"/>
  <c r="AC391"/>
  <c r="AC244" i="119"/>
  <c r="AC433"/>
  <c r="AC438" i="118"/>
  <c r="AC433"/>
  <c r="AC349" i="119"/>
  <c r="AC118"/>
  <c r="AC443" i="118"/>
  <c r="AC412" i="119"/>
  <c r="AC118" i="120"/>
  <c r="AC181"/>
  <c r="AC307"/>
  <c r="AC223"/>
  <c r="AC286"/>
  <c r="AC118" i="121"/>
  <c r="AC139"/>
  <c r="AC202"/>
  <c r="AC307"/>
  <c r="AC443"/>
  <c r="AC442" s="1"/>
  <c r="AC141" i="118"/>
  <c r="AC414"/>
  <c r="AC136"/>
  <c r="AC225"/>
  <c r="AC309"/>
  <c r="AC267"/>
  <c r="AC409"/>
  <c r="AC430"/>
  <c r="AC482"/>
  <c r="AC503"/>
  <c r="Z509"/>
  <c r="AA509"/>
  <c r="X244" i="121"/>
  <c r="X223"/>
  <c r="X181"/>
  <c r="X328" i="120"/>
  <c r="X307"/>
  <c r="X349"/>
  <c r="X181"/>
  <c r="X97"/>
  <c r="X118"/>
  <c r="X438" i="119"/>
  <c r="X202" i="120"/>
  <c r="X286" i="119"/>
  <c r="X433"/>
  <c r="X412" i="118"/>
  <c r="X391"/>
  <c r="X118"/>
  <c r="X265"/>
  <c r="X244"/>
  <c r="X202"/>
  <c r="X160" i="117"/>
  <c r="X328" i="116"/>
  <c r="X244" i="117"/>
  <c r="X328"/>
  <c r="X307" i="116"/>
  <c r="X438" i="117"/>
  <c r="X391" i="28"/>
  <c r="X370"/>
  <c r="X328"/>
  <c r="X370" i="116"/>
  <c r="X202" i="28"/>
  <c r="X202" i="116"/>
  <c r="X97" i="28"/>
  <c r="X181"/>
  <c r="X448" i="121"/>
  <c r="X447" s="1"/>
  <c r="X443"/>
  <c r="X442" s="1"/>
  <c r="X433"/>
  <c r="X432" s="1"/>
  <c r="X349"/>
  <c r="X202"/>
  <c r="X160"/>
  <c r="X448" i="120"/>
  <c r="X391"/>
  <c r="X286"/>
  <c r="X244"/>
  <c r="X223"/>
  <c r="X265" i="119"/>
  <c r="X328"/>
  <c r="X97"/>
  <c r="X160"/>
  <c r="X438" i="118"/>
  <c r="X443"/>
  <c r="X160"/>
  <c r="X448"/>
  <c r="X307"/>
  <c r="X349" i="117"/>
  <c r="X448"/>
  <c r="X433" i="118"/>
  <c r="X412" i="116"/>
  <c r="X286" i="118"/>
  <c r="X391" i="117"/>
  <c r="X391" i="116"/>
  <c r="X438" i="28"/>
  <c r="X139" i="117"/>
  <c r="X286" i="116"/>
  <c r="X97"/>
  <c r="X370" i="118"/>
  <c r="X286" i="28"/>
  <c r="X223"/>
  <c r="X307"/>
  <c r="X139"/>
  <c r="X412" i="121"/>
  <c r="X307"/>
  <c r="X265"/>
  <c r="X286"/>
  <c r="X438" i="120"/>
  <c r="X443"/>
  <c r="X370"/>
  <c r="X265"/>
  <c r="X139"/>
  <c r="X349" i="119"/>
  <c r="X412"/>
  <c r="X181"/>
  <c r="X244"/>
  <c r="X139"/>
  <c r="X391"/>
  <c r="X223" i="118"/>
  <c r="X118" i="119"/>
  <c r="X286" i="117"/>
  <c r="X433"/>
  <c r="X97" i="118"/>
  <c r="X118" i="117"/>
  <c r="X443" i="116"/>
  <c r="X160"/>
  <c r="X433" i="28"/>
  <c r="X223" i="117"/>
  <c r="X139" i="116"/>
  <c r="X181" i="117"/>
  <c r="X433" i="116"/>
  <c r="X307" i="117"/>
  <c r="X160" i="28"/>
  <c r="X349"/>
  <c r="X448"/>
  <c r="X443"/>
  <c r="X118" i="116"/>
  <c r="X412" i="28"/>
  <c r="X438" i="121"/>
  <c r="X437" s="1"/>
  <c r="X391"/>
  <c r="X328"/>
  <c r="X370"/>
  <c r="X118"/>
  <c r="X97"/>
  <c r="X139"/>
  <c r="X433" i="120"/>
  <c r="X412"/>
  <c r="X160"/>
  <c r="X443" i="119"/>
  <c r="X448"/>
  <c r="X370"/>
  <c r="X307"/>
  <c r="X223"/>
  <c r="X202"/>
  <c r="X328" i="118"/>
  <c r="X139"/>
  <c r="X370" i="117"/>
  <c r="X349" i="118"/>
  <c r="X181"/>
  <c r="X202" i="117"/>
  <c r="X97"/>
  <c r="X244" i="116"/>
  <c r="X448"/>
  <c r="X265" i="117"/>
  <c r="X223" i="116"/>
  <c r="X412" i="117"/>
  <c r="X438" i="116"/>
  <c r="X443" i="117"/>
  <c r="X244" i="28"/>
  <c r="X265" i="116"/>
  <c r="X118" i="28"/>
  <c r="X181" i="116"/>
  <c r="X265" i="28"/>
  <c r="X349" i="116"/>
  <c r="AI513"/>
  <c r="AI513" i="117"/>
  <c r="AI513" i="118"/>
  <c r="AI513" i="119"/>
  <c r="AI513" i="120"/>
  <c r="AI513" i="28"/>
  <c r="AH513" i="116"/>
  <c r="AH513" i="117"/>
  <c r="AH513" i="118"/>
  <c r="AH513" i="119"/>
  <c r="AH513" i="28"/>
  <c r="AH513" i="120"/>
  <c r="AB513" i="116"/>
  <c r="AB513" i="117"/>
  <c r="AB513" i="118"/>
  <c r="AB513" i="119"/>
  <c r="AB513" i="120"/>
  <c r="AB513" i="28"/>
  <c r="W391" i="121"/>
  <c r="W443"/>
  <c r="W442" s="1"/>
  <c r="W307"/>
  <c r="W244"/>
  <c r="W202"/>
  <c r="W448" i="120"/>
  <c r="W307"/>
  <c r="W181"/>
  <c r="W286"/>
  <c r="W443" i="119"/>
  <c r="W391"/>
  <c r="W370"/>
  <c r="W412"/>
  <c r="W265" i="118"/>
  <c r="W412"/>
  <c r="W118" i="119"/>
  <c r="W370" i="118"/>
  <c r="W202"/>
  <c r="W160" i="119"/>
  <c r="W244" i="117"/>
  <c r="W349"/>
  <c r="W97" i="118"/>
  <c r="W370" i="28"/>
  <c r="W328" i="116"/>
  <c r="W448"/>
  <c r="W202"/>
  <c r="W349"/>
  <c r="W181" i="28"/>
  <c r="W160" i="117"/>
  <c r="W328" i="28"/>
  <c r="W223" i="116"/>
  <c r="W118" i="117"/>
  <c r="W307" i="28"/>
  <c r="W181" i="117"/>
  <c r="W433"/>
  <c r="W448" i="121"/>
  <c r="W447" s="1"/>
  <c r="W328"/>
  <c r="W265"/>
  <c r="W139"/>
  <c r="W438" i="120"/>
  <c r="W328"/>
  <c r="W443"/>
  <c r="W265"/>
  <c r="W118"/>
  <c r="W412"/>
  <c r="W448" i="119"/>
  <c r="W328"/>
  <c r="W349" i="118"/>
  <c r="W443"/>
  <c r="W265" i="119"/>
  <c r="W223" i="118"/>
  <c r="W118"/>
  <c r="W370" i="117"/>
  <c r="W328"/>
  <c r="W391"/>
  <c r="W139"/>
  <c r="W438" i="116"/>
  <c r="W412"/>
  <c r="W139" i="119"/>
  <c r="W286" i="116"/>
  <c r="W202" i="117"/>
  <c r="W265" i="28"/>
  <c r="W307" i="117"/>
  <c r="W438" i="28"/>
  <c r="W370" i="120"/>
  <c r="W223" i="28"/>
  <c r="W181" i="116"/>
  <c r="W118" i="28"/>
  <c r="W202"/>
  <c r="W412" i="121"/>
  <c r="W438"/>
  <c r="W437" s="1"/>
  <c r="W433"/>
  <c r="W432" s="1"/>
  <c r="W349"/>
  <c r="W223"/>
  <c r="W118"/>
  <c r="W433" i="120"/>
  <c r="W349"/>
  <c r="W202"/>
  <c r="W139"/>
  <c r="W438" i="119"/>
  <c r="W244" i="120"/>
  <c r="W433" i="119"/>
  <c r="W97"/>
  <c r="W433" i="118"/>
  <c r="W202" i="119"/>
  <c r="W244" i="118"/>
  <c r="W307"/>
  <c r="W160"/>
  <c r="W448"/>
  <c r="W412" i="117"/>
  <c r="W438"/>
  <c r="W223"/>
  <c r="W448"/>
  <c r="W443" i="116"/>
  <c r="W160"/>
  <c r="W370"/>
  <c r="W448" i="28"/>
  <c r="W443"/>
  <c r="W433" i="116"/>
  <c r="W97"/>
  <c r="W160" i="28"/>
  <c r="W286" i="117"/>
  <c r="W223" i="119"/>
  <c r="W349" i="28"/>
  <c r="W139" i="116"/>
  <c r="W370" i="121"/>
  <c r="W286"/>
  <c r="W160"/>
  <c r="W97"/>
  <c r="W181"/>
  <c r="W223" i="120"/>
  <c r="W391"/>
  <c r="W160"/>
  <c r="W97"/>
  <c r="W349" i="119"/>
  <c r="W307"/>
  <c r="W181"/>
  <c r="W286"/>
  <c r="W244"/>
  <c r="W328" i="118"/>
  <c r="W391"/>
  <c r="W286"/>
  <c r="W139"/>
  <c r="W443" i="117"/>
  <c r="W438" i="118"/>
  <c r="W265" i="117"/>
  <c r="W181" i="118"/>
  <c r="W97" i="117"/>
  <c r="W244" i="116"/>
  <c r="W433" i="28"/>
  <c r="W118" i="116"/>
  <c r="W307"/>
  <c r="W97" i="28"/>
  <c r="W391" i="116"/>
  <c r="W244" i="28"/>
  <c r="W139"/>
  <c r="W286"/>
  <c r="W391"/>
  <c r="W265" i="116"/>
  <c r="W412" i="28"/>
  <c r="V265" i="121"/>
  <c r="V181"/>
  <c r="V97"/>
  <c r="V244"/>
  <c r="V391" i="120"/>
  <c r="V202"/>
  <c r="V118"/>
  <c r="V448" i="119"/>
  <c r="V443"/>
  <c r="V202"/>
  <c r="V97"/>
  <c r="V160"/>
  <c r="V349" i="118"/>
  <c r="V139" i="119"/>
  <c r="V97" i="118"/>
  <c r="V412"/>
  <c r="V202"/>
  <c r="V328"/>
  <c r="V438" i="117"/>
  <c r="V349"/>
  <c r="V181"/>
  <c r="V349" i="116"/>
  <c r="V438"/>
  <c r="V328"/>
  <c r="V160" i="117"/>
  <c r="V448" i="28"/>
  <c r="V370"/>
  <c r="V433" i="117"/>
  <c r="V391" i="28"/>
  <c r="V433"/>
  <c r="V438"/>
  <c r="V202" i="116"/>
  <c r="V370"/>
  <c r="V433" i="121"/>
  <c r="V432" s="1"/>
  <c r="V443"/>
  <c r="V442" s="1"/>
  <c r="V438"/>
  <c r="V437" s="1"/>
  <c r="V307"/>
  <c r="V286"/>
  <c r="V202"/>
  <c r="V349" i="120"/>
  <c r="V443"/>
  <c r="V181"/>
  <c r="V286"/>
  <c r="V139"/>
  <c r="V286" i="119"/>
  <c r="V438"/>
  <c r="V181"/>
  <c r="V244"/>
  <c r="V433" i="118"/>
  <c r="V307" i="119"/>
  <c r="V181" i="118"/>
  <c r="V223"/>
  <c r="V328" i="119"/>
  <c r="V265" i="120"/>
  <c r="V370" i="117"/>
  <c r="V286"/>
  <c r="V139"/>
  <c r="V433" i="116"/>
  <c r="V97"/>
  <c r="V412"/>
  <c r="V244" i="118"/>
  <c r="V412" i="117"/>
  <c r="V286" i="116"/>
  <c r="V97" i="28"/>
  <c r="V118" i="116"/>
  <c r="V139" i="28"/>
  <c r="V160"/>
  <c r="V118" i="117"/>
  <c r="V391" i="116"/>
  <c r="V391" i="121"/>
  <c r="V349"/>
  <c r="V223"/>
  <c r="V160"/>
  <c r="V412" i="120"/>
  <c r="V328"/>
  <c r="V223"/>
  <c r="V433"/>
  <c r="V433" i="119"/>
  <c r="V370"/>
  <c r="V265"/>
  <c r="V448" i="118"/>
  <c r="V391" i="119"/>
  <c r="V438" i="118"/>
  <c r="V223" i="119"/>
  <c r="V265" i="118"/>
  <c r="V286"/>
  <c r="V160"/>
  <c r="V307" i="117"/>
  <c r="V118" i="118"/>
  <c r="V443" i="117"/>
  <c r="V223"/>
  <c r="V443" i="118"/>
  <c r="V181" i="116"/>
  <c r="V443"/>
  <c r="V160"/>
  <c r="V412" i="28"/>
  <c r="V307" i="116"/>
  <c r="V181" i="28"/>
  <c r="V139" i="116"/>
  <c r="V223" i="28"/>
  <c r="V286"/>
  <c r="V244"/>
  <c r="V328" i="117"/>
  <c r="V202" i="28"/>
  <c r="V448" i="121"/>
  <c r="V447" s="1"/>
  <c r="V412"/>
  <c r="V370"/>
  <c r="V328"/>
  <c r="V139"/>
  <c r="V448" i="120"/>
  <c r="V118" i="121"/>
  <c r="V307" i="120"/>
  <c r="V160"/>
  <c r="V97"/>
  <c r="V370"/>
  <c r="V349" i="119"/>
  <c r="V118"/>
  <c r="V412"/>
  <c r="V244" i="120"/>
  <c r="V438"/>
  <c r="V307" i="118"/>
  <c r="V370"/>
  <c r="V391"/>
  <c r="V391" i="117"/>
  <c r="V139" i="118"/>
  <c r="V448" i="117"/>
  <c r="V265"/>
  <c r="V97"/>
  <c r="V265" i="116"/>
  <c r="V244" i="117"/>
  <c r="V244" i="116"/>
  <c r="V443" i="28"/>
  <c r="V202" i="117"/>
  <c r="V265" i="28"/>
  <c r="V448" i="116"/>
  <c r="V307" i="28"/>
  <c r="V349"/>
  <c r="V223" i="116"/>
  <c r="V328" i="28"/>
  <c r="V118"/>
  <c r="U509" i="119"/>
  <c r="T509"/>
  <c r="R509" i="118"/>
  <c r="S509"/>
  <c r="AH372" i="116"/>
  <c r="AH204"/>
  <c r="AH183"/>
  <c r="AI8"/>
  <c r="AH367"/>
  <c r="AH393"/>
  <c r="AH136"/>
  <c r="AH450"/>
  <c r="AA37" i="11"/>
  <c r="AA56" s="1"/>
  <c r="AC244" i="28"/>
  <c r="AC370"/>
  <c r="AC244" i="116"/>
  <c r="AC448" i="28"/>
  <c r="AC181"/>
  <c r="AC448" i="116"/>
  <c r="AC118" i="28"/>
  <c r="AC370" i="116"/>
  <c r="AC223"/>
  <c r="AC160" i="118"/>
  <c r="AC181" i="116"/>
  <c r="AC139" i="117"/>
  <c r="AC438"/>
  <c r="AC370"/>
  <c r="AC412"/>
  <c r="AC433"/>
  <c r="AC139" i="118"/>
  <c r="AC181"/>
  <c r="AC328"/>
  <c r="AC265"/>
  <c r="AC160" i="119"/>
  <c r="AC286" i="118"/>
  <c r="AC286" i="119"/>
  <c r="AC448"/>
  <c r="AC438"/>
  <c r="AC202" i="120"/>
  <c r="AC370"/>
  <c r="AC349"/>
  <c r="AC160"/>
  <c r="AC433"/>
  <c r="AC443"/>
  <c r="AC223" i="121"/>
  <c r="AC349"/>
  <c r="AC433"/>
  <c r="AC432" s="1"/>
  <c r="AC162" i="118"/>
  <c r="AC445"/>
  <c r="AD8"/>
  <c r="AC157"/>
  <c r="AC99"/>
  <c r="AC178"/>
  <c r="AC388"/>
  <c r="AC120"/>
  <c r="AC241"/>
  <c r="AC262"/>
  <c r="AC283"/>
  <c r="U509"/>
  <c r="AE513" i="116"/>
  <c r="AE513" i="117"/>
  <c r="AE513" i="118"/>
  <c r="AE513" i="119"/>
  <c r="AE513" i="120"/>
  <c r="AE513" i="28"/>
  <c r="AD513" i="116"/>
  <c r="AD513" i="117"/>
  <c r="AD513" i="118"/>
  <c r="AD513" i="119"/>
  <c r="AD513" i="120"/>
  <c r="AD513" i="28"/>
  <c r="Q37" i="11"/>
  <c r="Q56" s="1"/>
  <c r="Q24"/>
  <c r="T509" i="116"/>
  <c r="U509"/>
  <c r="T433" i="121"/>
  <c r="T432" s="1"/>
  <c r="T328"/>
  <c r="T286"/>
  <c r="T160"/>
  <c r="T438" i="120"/>
  <c r="T412"/>
  <c r="T244"/>
  <c r="T139"/>
  <c r="T223"/>
  <c r="T443" i="119"/>
  <c r="T349"/>
  <c r="T433"/>
  <c r="T307" i="120"/>
  <c r="T412" i="119"/>
  <c r="T265"/>
  <c r="T118" i="118"/>
  <c r="T286"/>
  <c r="T160" i="119"/>
  <c r="T328" i="117"/>
  <c r="T139" i="118"/>
  <c r="T244" i="117"/>
  <c r="T433"/>
  <c r="T286" i="116"/>
  <c r="T349" i="117"/>
  <c r="T181" i="116"/>
  <c r="T286" i="117"/>
  <c r="T97"/>
  <c r="T438" i="116"/>
  <c r="T438" i="117"/>
  <c r="T223"/>
  <c r="T160" i="28"/>
  <c r="T307"/>
  <c r="T265" i="117"/>
  <c r="T139" i="28"/>
  <c r="T391"/>
  <c r="T443" i="121"/>
  <c r="T442" s="1"/>
  <c r="T391"/>
  <c r="T307"/>
  <c r="T202"/>
  <c r="T97"/>
  <c r="T448" i="120"/>
  <c r="T328"/>
  <c r="T97"/>
  <c r="T265"/>
  <c r="T307" i="119"/>
  <c r="T448"/>
  <c r="T438" i="118"/>
  <c r="T448"/>
  <c r="T97" i="119"/>
  <c r="T443" i="118"/>
  <c r="T244"/>
  <c r="T307"/>
  <c r="T181" i="120"/>
  <c r="T412" i="117"/>
  <c r="T202" i="118"/>
  <c r="T160"/>
  <c r="T118" i="117"/>
  <c r="T370" i="116"/>
  <c r="T448" i="28"/>
  <c r="T265" i="116"/>
  <c r="T370" i="117"/>
  <c r="T349" i="28"/>
  <c r="T443" i="116"/>
  <c r="T118" i="28"/>
  <c r="T443"/>
  <c r="T244"/>
  <c r="T370"/>
  <c r="T244" i="116"/>
  <c r="T328"/>
  <c r="T438" i="28"/>
  <c r="T438" i="121"/>
  <c r="T437" s="1"/>
  <c r="T349"/>
  <c r="T265"/>
  <c r="T223"/>
  <c r="T118"/>
  <c r="T286" i="120"/>
  <c r="T181" i="121"/>
  <c r="T202" i="120"/>
  <c r="T391"/>
  <c r="T391" i="119"/>
  <c r="T286"/>
  <c r="T139"/>
  <c r="T118"/>
  <c r="T181"/>
  <c r="T433" i="120"/>
  <c r="T328" i="118"/>
  <c r="T118" i="120"/>
  <c r="T97" i="118"/>
  <c r="T443" i="117"/>
  <c r="T448"/>
  <c r="T412" i="118"/>
  <c r="T202" i="117"/>
  <c r="T181"/>
  <c r="T118" i="116"/>
  <c r="T349"/>
  <c r="T244" i="119"/>
  <c r="T433" i="28"/>
  <c r="T223" i="116"/>
  <c r="T202" i="28"/>
  <c r="T160" i="116"/>
  <c r="T328" i="28"/>
  <c r="T412"/>
  <c r="T139" i="116"/>
  <c r="T181" i="28"/>
  <c r="T391" i="116"/>
  <c r="T448" i="121"/>
  <c r="T447" s="1"/>
  <c r="T412"/>
  <c r="T370"/>
  <c r="T244"/>
  <c r="T139"/>
  <c r="T370" i="120"/>
  <c r="T349"/>
  <c r="T443"/>
  <c r="T160"/>
  <c r="T438" i="119"/>
  <c r="T370"/>
  <c r="T223"/>
  <c r="T202"/>
  <c r="T328"/>
  <c r="T370" i="118"/>
  <c r="T433"/>
  <c r="T265"/>
  <c r="T181"/>
  <c r="T349"/>
  <c r="T391"/>
  <c r="T391" i="117"/>
  <c r="T160"/>
  <c r="T307"/>
  <c r="T202" i="116"/>
  <c r="T433"/>
  <c r="T97"/>
  <c r="T448"/>
  <c r="T412"/>
  <c r="T286" i="28"/>
  <c r="T307" i="116"/>
  <c r="T139" i="117"/>
  <c r="T223" i="118"/>
  <c r="T265" i="28"/>
  <c r="T223"/>
  <c r="T97"/>
  <c r="AH246" i="116"/>
  <c r="AH499"/>
  <c r="AH466"/>
  <c r="AH99"/>
  <c r="AH435"/>
  <c r="AH283"/>
  <c r="AH309"/>
  <c r="AH507"/>
  <c r="AH508" s="1"/>
  <c r="AH509" s="1"/>
  <c r="W513"/>
  <c r="W513" i="118"/>
  <c r="W513" i="117"/>
  <c r="W513" i="119"/>
  <c r="W513" i="28"/>
  <c r="W513" i="120"/>
  <c r="AI193" i="121"/>
  <c r="Z297"/>
  <c r="Z274"/>
  <c r="Y315"/>
  <c r="AI357"/>
  <c r="U104"/>
  <c r="AB337"/>
  <c r="AC442" i="116"/>
  <c r="AC63" s="1"/>
  <c r="Y377" i="121"/>
  <c r="AJ293"/>
  <c r="V187"/>
  <c r="AI455"/>
  <c r="AI471"/>
  <c r="AJ327"/>
  <c r="AJ56" s="1"/>
  <c r="AG207"/>
  <c r="AK102"/>
  <c r="AD112"/>
  <c r="O175" i="11"/>
  <c r="F216" i="109"/>
  <c r="G6" i="101"/>
  <c r="G7" s="1"/>
  <c r="Y37" i="1" s="1"/>
  <c r="AB117" i="28"/>
  <c r="AB46" s="1"/>
  <c r="AH180"/>
  <c r="AH49" s="1"/>
  <c r="AM222"/>
  <c r="AM51" s="1"/>
  <c r="AB432"/>
  <c r="AB61" s="1"/>
  <c r="Z513" i="116"/>
  <c r="Z513" i="117"/>
  <c r="Z513" i="119"/>
  <c r="Z513" i="118"/>
  <c r="Z513" i="120"/>
  <c r="Z513" i="28"/>
  <c r="X513" i="116"/>
  <c r="X513" i="117"/>
  <c r="X513" i="118"/>
  <c r="X513" i="119"/>
  <c r="X513" i="120"/>
  <c r="X513" i="28"/>
  <c r="U513" i="116"/>
  <c r="U513" i="117"/>
  <c r="U513" i="118"/>
  <c r="U513" i="119"/>
  <c r="U513" i="120"/>
  <c r="U513" i="28"/>
  <c r="T513" i="116"/>
  <c r="T513" i="117"/>
  <c r="T513" i="118"/>
  <c r="T513" i="119"/>
  <c r="T513" i="120"/>
  <c r="T513" i="28"/>
  <c r="W513" i="121"/>
  <c r="W402" s="1"/>
  <c r="AI298"/>
  <c r="AF231"/>
  <c r="Y378"/>
  <c r="AH340"/>
  <c r="AF126"/>
  <c r="AG399"/>
  <c r="AB294"/>
  <c r="AG125"/>
  <c r="AD271"/>
  <c r="AJ313"/>
  <c r="AH385"/>
  <c r="AE208"/>
  <c r="T196"/>
  <c r="AJ334"/>
  <c r="AC201"/>
  <c r="AC50" s="1"/>
  <c r="V154"/>
  <c r="U228"/>
  <c r="AB264" i="28"/>
  <c r="AB53" s="1"/>
  <c r="AK348"/>
  <c r="AK57" s="1"/>
  <c r="S513" i="116"/>
  <c r="S513" i="118"/>
  <c r="S513" i="117"/>
  <c r="S513" i="119"/>
  <c r="S513" i="120"/>
  <c r="S513" i="28"/>
  <c r="R448" i="121"/>
  <c r="R447" s="1"/>
  <c r="R438"/>
  <c r="R437" s="1"/>
  <c r="R307"/>
  <c r="R328"/>
  <c r="R244"/>
  <c r="R118"/>
  <c r="R391" i="120"/>
  <c r="R97" i="121"/>
  <c r="R412" i="120"/>
  <c r="R160"/>
  <c r="R202"/>
  <c r="R97"/>
  <c r="R286" i="119"/>
  <c r="R265"/>
  <c r="R438" i="118"/>
  <c r="R181" i="119"/>
  <c r="R139" i="118"/>
  <c r="R328"/>
  <c r="R412"/>
  <c r="R349" i="117"/>
  <c r="R412"/>
  <c r="R307"/>
  <c r="R97" i="119"/>
  <c r="R391" i="116"/>
  <c r="AD319" i="121"/>
  <c r="AA109"/>
  <c r="AD130"/>
  <c r="AJ460"/>
  <c r="AA213"/>
  <c r="Y403"/>
  <c r="AA420"/>
  <c r="AC172"/>
  <c r="J85" i="11"/>
  <c r="AB146" i="121"/>
  <c r="AI419"/>
  <c r="AF188"/>
  <c r="X314"/>
  <c r="X251"/>
  <c r="AE168"/>
  <c r="AE209"/>
  <c r="X376"/>
  <c r="AE491"/>
  <c r="AJ406"/>
  <c r="AD354"/>
  <c r="S186"/>
  <c r="AE333"/>
  <c r="AH133"/>
  <c r="AD270"/>
  <c r="F213" i="109"/>
  <c r="C6" i="101"/>
  <c r="C7" s="1"/>
  <c r="M37" i="1" s="1"/>
  <c r="AH96" i="28"/>
  <c r="AH45" s="1"/>
  <c r="V159"/>
  <c r="V48" s="1"/>
  <c r="AA513" i="116"/>
  <c r="AA513" i="117"/>
  <c r="AA513" i="118"/>
  <c r="AA513" i="119"/>
  <c r="AA513" i="28"/>
  <c r="AA513" i="120"/>
  <c r="Y513" i="116"/>
  <c r="Y513" i="117"/>
  <c r="Y513" i="118"/>
  <c r="Y513" i="119"/>
  <c r="Y234" s="1"/>
  <c r="Y513" i="120"/>
  <c r="Y513" i="28"/>
  <c r="AC234" i="121"/>
  <c r="X424"/>
  <c r="AE459"/>
  <c r="AB475"/>
  <c r="AJ189"/>
  <c r="Y339"/>
  <c r="AF447" i="116"/>
  <c r="AF64" s="1"/>
  <c r="Y169" i="121"/>
  <c r="Z210"/>
  <c r="AK472"/>
  <c r="AG252"/>
  <c r="AA418"/>
  <c r="AE336"/>
  <c r="AI355"/>
  <c r="AH492"/>
  <c r="AK375"/>
  <c r="AG396"/>
  <c r="AB312"/>
  <c r="AD250"/>
  <c r="X292"/>
  <c r="AC243"/>
  <c r="AC52" s="1"/>
  <c r="X117"/>
  <c r="X46" s="1"/>
  <c r="AC217"/>
  <c r="W213" i="28"/>
  <c r="AP285"/>
  <c r="AP54" s="1"/>
  <c r="AG327"/>
  <c r="AG56" s="1"/>
  <c r="J8" i="8"/>
  <c r="B11" i="77"/>
  <c r="F3" i="99"/>
  <c r="H3" i="100"/>
  <c r="A38"/>
  <c r="H2" i="101"/>
  <c r="A31"/>
  <c r="A39"/>
  <c r="A69" i="103"/>
  <c r="A4" i="104"/>
  <c r="A4" i="105"/>
  <c r="A9"/>
  <c r="E2" i="108"/>
  <c r="N2"/>
  <c r="A8" i="107"/>
  <c r="AC369" i="119"/>
  <c r="AC58" s="1"/>
  <c r="AC432" i="116"/>
  <c r="AC61" s="1"/>
  <c r="R120" i="28"/>
  <c r="R16" i="116"/>
  <c r="R157"/>
  <c r="R241"/>
  <c r="R288"/>
  <c r="R430"/>
  <c r="R482"/>
  <c r="R325" i="117"/>
  <c r="R16"/>
  <c r="R162"/>
  <c r="R372"/>
  <c r="R157" i="118"/>
  <c r="R346"/>
  <c r="R450"/>
  <c r="R99" i="119"/>
  <c r="R225"/>
  <c r="R393"/>
  <c r="R16" i="121"/>
  <c r="AL348"/>
  <c r="AL57" s="1"/>
  <c r="AJ390"/>
  <c r="AJ59" s="1"/>
  <c r="AA453"/>
  <c r="V488"/>
  <c r="AH487" i="28"/>
  <c r="AI455"/>
  <c r="AK417"/>
  <c r="AG399"/>
  <c r="AC377"/>
  <c r="AH355"/>
  <c r="U334"/>
  <c r="AK298"/>
  <c r="AF273"/>
  <c r="AK249"/>
  <c r="AG231"/>
  <c r="AB196"/>
  <c r="W187"/>
  <c r="AI150"/>
  <c r="AF109"/>
  <c r="AH102"/>
  <c r="I18" i="109"/>
  <c r="I8" i="8"/>
  <c r="B3" i="99"/>
  <c r="D3" i="100"/>
  <c r="A56"/>
  <c r="A117"/>
  <c r="G2" i="101"/>
  <c r="A38"/>
  <c r="C2" i="103"/>
  <c r="D37"/>
  <c r="A3" i="104"/>
  <c r="A6" i="105"/>
  <c r="C2" i="108"/>
  <c r="M2"/>
  <c r="T2"/>
  <c r="A3" i="107"/>
  <c r="A7"/>
  <c r="V117" i="119"/>
  <c r="V46" s="1"/>
  <c r="AD138" i="116"/>
  <c r="AD47" s="1"/>
  <c r="Y138" i="119"/>
  <c r="Y47" s="1"/>
  <c r="U201" i="116"/>
  <c r="U50" s="1"/>
  <c r="AO201" i="119"/>
  <c r="AO50" s="1"/>
  <c r="AI285" i="116"/>
  <c r="AI54" s="1"/>
  <c r="AT327" i="119"/>
  <c r="AT56" s="1"/>
  <c r="AB369" i="118"/>
  <c r="AB58" s="1"/>
  <c r="W213" i="116"/>
  <c r="R267" i="28"/>
  <c r="R409"/>
  <c r="R346" i="116"/>
  <c r="T8" i="117"/>
  <c r="S288"/>
  <c r="R16" i="118"/>
  <c r="R42"/>
  <c r="R67" s="1"/>
  <c r="R325"/>
  <c r="R16" i="119"/>
  <c r="R42" i="120"/>
  <c r="R67" s="1"/>
  <c r="R199"/>
  <c r="AK165" i="121"/>
  <c r="AB291"/>
  <c r="R120"/>
  <c r="AH492" i="28"/>
  <c r="AE479"/>
  <c r="AF470"/>
  <c r="V460"/>
  <c r="V343"/>
  <c r="AJ335"/>
  <c r="AG270"/>
  <c r="AJ256"/>
  <c r="AD228"/>
  <c r="AK214"/>
  <c r="AG210"/>
  <c r="AK192"/>
  <c r="T188"/>
  <c r="V151"/>
  <c r="AD125"/>
  <c r="B13" i="77"/>
  <c r="H3" i="99"/>
  <c r="C3" i="100"/>
  <c r="C2" i="101"/>
  <c r="A30"/>
  <c r="A34"/>
  <c r="A9" i="102"/>
  <c r="C37" i="103"/>
  <c r="A48"/>
  <c r="A9" i="104"/>
  <c r="A8" i="105"/>
  <c r="B2" i="108"/>
  <c r="G2"/>
  <c r="S2"/>
  <c r="M9" i="11"/>
  <c r="AC138" i="118"/>
  <c r="AC47" s="1"/>
  <c r="AF159" i="116"/>
  <c r="AF48" s="1"/>
  <c r="O69" i="11"/>
  <c r="O85" s="1"/>
  <c r="AG243" i="119"/>
  <c r="AG52" s="1"/>
  <c r="AU285"/>
  <c r="AU54" s="1"/>
  <c r="O75" i="11"/>
  <c r="R99" i="28"/>
  <c r="R325"/>
  <c r="R178" i="116"/>
  <c r="R115" i="117"/>
  <c r="R288"/>
  <c r="R120" i="118"/>
  <c r="R283"/>
  <c r="R120" i="119"/>
  <c r="R503" i="120"/>
  <c r="R16"/>
  <c r="R99"/>
  <c r="AE369" i="121"/>
  <c r="AE58" s="1"/>
  <c r="AO411"/>
  <c r="AO60" s="1"/>
  <c r="R115"/>
  <c r="R469"/>
  <c r="AI487"/>
  <c r="AK471" i="28"/>
  <c r="AC423"/>
  <c r="AB406"/>
  <c r="AK361"/>
  <c r="T318"/>
  <c r="U314"/>
  <c r="AD293"/>
  <c r="AF280"/>
  <c r="X271"/>
  <c r="AB251"/>
  <c r="R229"/>
  <c r="AB207"/>
  <c r="AJ171"/>
  <c r="AB167"/>
  <c r="AE104"/>
  <c r="A4" i="106"/>
  <c r="Q2" i="108"/>
  <c r="K8" i="8"/>
  <c r="B12" i="77"/>
  <c r="G3" i="99"/>
  <c r="I3" i="100"/>
  <c r="G7"/>
  <c r="B2" i="101"/>
  <c r="F2" i="108"/>
  <c r="O70" i="11"/>
  <c r="AF264" i="116"/>
  <c r="AF53" s="1"/>
  <c r="AL306" i="119"/>
  <c r="AL55" s="1"/>
  <c r="U348"/>
  <c r="U57" s="1"/>
  <c r="O78" i="11"/>
  <c r="AQ411" i="119"/>
  <c r="AQ60" s="1"/>
  <c r="R241" i="28"/>
  <c r="R120" i="116"/>
  <c r="R162"/>
  <c r="R330"/>
  <c r="R440"/>
  <c r="S16" i="117"/>
  <c r="S220"/>
  <c r="R162" i="118"/>
  <c r="R241"/>
  <c r="R94" i="119"/>
  <c r="R204"/>
  <c r="S8" i="120"/>
  <c r="R42" i="121"/>
  <c r="R67" s="1"/>
  <c r="R138"/>
  <c r="R47" s="1"/>
  <c r="AU180"/>
  <c r="AU49" s="1"/>
  <c r="AS222"/>
  <c r="AS51" s="1"/>
  <c r="U264"/>
  <c r="U53" s="1"/>
  <c r="AS306"/>
  <c r="AS55" s="1"/>
  <c r="V96"/>
  <c r="V45" s="1"/>
  <c r="R159"/>
  <c r="R48" s="1"/>
  <c r="V301"/>
  <c r="AC463"/>
  <c r="AJ479"/>
  <c r="AE486"/>
  <c r="AB476" i="28"/>
  <c r="AB472"/>
  <c r="AK402"/>
  <c r="S385"/>
  <c r="AG340"/>
  <c r="AK319"/>
  <c r="AJ276"/>
  <c r="AH272"/>
  <c r="S252"/>
  <c r="AE234"/>
  <c r="AC230"/>
  <c r="Y217"/>
  <c r="AF208"/>
  <c r="AF172"/>
  <c r="AI168"/>
  <c r="T154"/>
  <c r="AE145"/>
  <c r="AG130"/>
  <c r="AF105"/>
  <c r="AK471" i="119"/>
  <c r="Y453"/>
  <c r="R291" i="120"/>
  <c r="Y492" i="119"/>
  <c r="W456"/>
  <c r="AK487"/>
  <c r="AH469"/>
  <c r="AK459"/>
  <c r="AK381"/>
  <c r="AI377"/>
  <c r="AE312"/>
  <c r="R259"/>
  <c r="AB252"/>
  <c r="X217"/>
  <c r="AG208"/>
  <c r="V172"/>
  <c r="AD145"/>
  <c r="W130"/>
  <c r="T165"/>
  <c r="X418"/>
  <c r="AI396"/>
  <c r="V378"/>
  <c r="AK360"/>
  <c r="R343"/>
  <c r="X335"/>
  <c r="AK322"/>
  <c r="W313"/>
  <c r="V273"/>
  <c r="AC213"/>
  <c r="AK187"/>
  <c r="AK423"/>
  <c r="AK406"/>
  <c r="AK397"/>
  <c r="AH361"/>
  <c r="AK339"/>
  <c r="T318"/>
  <c r="W301"/>
  <c r="X292"/>
  <c r="R256"/>
  <c r="X250"/>
  <c r="AK133"/>
  <c r="X103"/>
  <c r="U495"/>
  <c r="U486"/>
  <c r="AA476"/>
  <c r="AK454"/>
  <c r="T424"/>
  <c r="W402"/>
  <c r="AE398"/>
  <c r="AI385"/>
  <c r="W354"/>
  <c r="U340"/>
  <c r="AG319"/>
  <c r="AD315"/>
  <c r="S280"/>
  <c r="AG207"/>
  <c r="U171"/>
  <c r="AK108"/>
  <c r="AI104"/>
  <c r="AB418" i="118"/>
  <c r="V343"/>
  <c r="AB313"/>
  <c r="X256"/>
  <c r="AA250"/>
  <c r="Z188"/>
  <c r="X147"/>
  <c r="S486" i="117"/>
  <c r="U453" i="118"/>
  <c r="AA361"/>
  <c r="AC339"/>
  <c r="W301"/>
  <c r="AB280"/>
  <c r="X486"/>
  <c r="AC333"/>
  <c r="AB168"/>
  <c r="AB455"/>
  <c r="T417"/>
  <c r="T403"/>
  <c r="X312"/>
  <c r="R298"/>
  <c r="R277"/>
  <c r="AA273"/>
  <c r="AC255"/>
  <c r="V235"/>
  <c r="W196"/>
  <c r="X187"/>
  <c r="AE479" i="116"/>
  <c r="AF460"/>
  <c r="AC456"/>
  <c r="AF378"/>
  <c r="AA343"/>
  <c r="AF335"/>
  <c r="V292"/>
  <c r="AA250"/>
  <c r="R210"/>
  <c r="R151"/>
  <c r="V147"/>
  <c r="X133"/>
  <c r="Z125"/>
  <c r="S144" i="117"/>
  <c r="AC453" i="116"/>
  <c r="AE318"/>
  <c r="AF251"/>
  <c r="S193"/>
  <c r="V103"/>
  <c r="R123"/>
  <c r="S354" i="117"/>
  <c r="AG495" i="116"/>
  <c r="AH486"/>
  <c r="AG424"/>
  <c r="T402"/>
  <c r="AC398"/>
  <c r="Y385"/>
  <c r="AE297"/>
  <c r="R230"/>
  <c r="AE154"/>
  <c r="R364" i="117"/>
  <c r="AB106" i="116"/>
  <c r="X491"/>
  <c r="AE487"/>
  <c r="AH469"/>
  <c r="S455"/>
  <c r="Z399"/>
  <c r="S364"/>
  <c r="T298"/>
  <c r="AH277"/>
  <c r="AC231"/>
  <c r="X209"/>
  <c r="V124"/>
  <c r="E11" i="1"/>
  <c r="L46"/>
  <c r="L13" i="109" s="1"/>
  <c r="L19" i="1"/>
  <c r="L7" i="109" s="1"/>
  <c r="I40" i="1"/>
  <c r="I12" i="109" s="1"/>
  <c r="U46" i="1"/>
  <c r="U13" i="109" s="1"/>
  <c r="X46" i="1"/>
  <c r="X13" i="109" s="1"/>
  <c r="G44" i="1"/>
  <c r="X40" s="1"/>
  <c r="X12" i="109" s="1"/>
  <c r="AA13" i="1"/>
  <c r="G38"/>
  <c r="X19"/>
  <c r="X7" i="109" s="1"/>
  <c r="R19" i="1"/>
  <c r="R7" i="109" s="1"/>
  <c r="G29" i="1"/>
  <c r="I25" s="1"/>
  <c r="I8" i="109" s="1"/>
  <c r="O46" i="1"/>
  <c r="O13" i="109" s="1"/>
  <c r="G65" i="1"/>
  <c r="R67"/>
  <c r="R18" i="109" s="1"/>
  <c r="AS197" i="121"/>
  <c r="AS73" s="1"/>
  <c r="AS464"/>
  <c r="AS85" s="1"/>
  <c r="AM480"/>
  <c r="AM86" s="1"/>
  <c r="AF505"/>
  <c r="AQ464" i="28"/>
  <c r="AQ85" s="1"/>
  <c r="AB505" i="120"/>
  <c r="AB505" i="117"/>
  <c r="AT218" i="121"/>
  <c r="AT74" s="1"/>
  <c r="AT386"/>
  <c r="AT82" s="1"/>
  <c r="AP281"/>
  <c r="AP77" s="1"/>
  <c r="AP386"/>
  <c r="AP82" s="1"/>
  <c r="AL197"/>
  <c r="AL73" s="1"/>
  <c r="AL505"/>
  <c r="AR134" i="119"/>
  <c r="AR70" s="1"/>
  <c r="AB505"/>
  <c r="AB457" s="1"/>
  <c r="AP134" i="121"/>
  <c r="AP70" s="1"/>
  <c r="AU281"/>
  <c r="AU77" s="1"/>
  <c r="AU464"/>
  <c r="AU85" s="1"/>
  <c r="AG43" i="11"/>
  <c r="AG29" s="1"/>
  <c r="AL501" i="118" s="1"/>
  <c r="AT464" i="119"/>
  <c r="AT85" s="1"/>
  <c r="AR113"/>
  <c r="AR69" s="1"/>
  <c r="AQ323" i="121"/>
  <c r="AQ79" s="1"/>
  <c r="AJ43" i="11"/>
  <c r="AJ29" s="1"/>
  <c r="AR464" i="28"/>
  <c r="AR85" s="1"/>
  <c r="AR281"/>
  <c r="AR77" s="1"/>
  <c r="AK505"/>
  <c r="AB505"/>
  <c r="AK505" i="119"/>
  <c r="AS365" i="121"/>
  <c r="AS81" s="1"/>
  <c r="AR323"/>
  <c r="AR79" s="1"/>
  <c r="AR480"/>
  <c r="AR86" s="1"/>
  <c r="AR428"/>
  <c r="AR84" s="1"/>
  <c r="AQ260"/>
  <c r="AQ76" s="1"/>
  <c r="AP23"/>
  <c r="AP464"/>
  <c r="AP85" s="1"/>
  <c r="AL134"/>
  <c r="AL70" s="1"/>
  <c r="AL155"/>
  <c r="AL71" s="1"/>
  <c r="AL344"/>
  <c r="AL80" s="1"/>
  <c r="AI316"/>
  <c r="AI379"/>
  <c r="AC400"/>
  <c r="AQ505" i="28"/>
  <c r="AI43" i="11"/>
  <c r="AI29" s="1"/>
  <c r="AN501" i="120" s="1"/>
  <c r="AQ31" i="28"/>
  <c r="AF505" i="120"/>
  <c r="AC505" i="119"/>
  <c r="AC505" i="120"/>
  <c r="U505"/>
  <c r="U505" i="119"/>
  <c r="U358" s="1"/>
  <c r="AT281" i="121"/>
  <c r="AT77" s="1"/>
  <c r="AR155"/>
  <c r="AR71" s="1"/>
  <c r="AO407"/>
  <c r="AO83" s="1"/>
  <c r="AS113"/>
  <c r="AS69" s="1"/>
  <c r="AS155"/>
  <c r="AS71" s="1"/>
  <c r="AQ281"/>
  <c r="AQ77" s="1"/>
  <c r="AQ428"/>
  <c r="AQ84" s="1"/>
  <c r="AM176"/>
  <c r="AM72" s="1"/>
  <c r="AD505" i="119"/>
  <c r="AD505" i="28"/>
  <c r="AD358" s="1"/>
  <c r="AU24" i="121"/>
  <c r="AU218"/>
  <c r="AU74" s="1"/>
  <c r="AU239"/>
  <c r="AU75" s="1"/>
  <c r="AR176"/>
  <c r="AR72" s="1"/>
  <c r="AR239"/>
  <c r="AR75" s="1"/>
  <c r="AR344"/>
  <c r="AR80" s="1"/>
  <c r="AR464"/>
  <c r="AR85" s="1"/>
  <c r="AQ302"/>
  <c r="AQ78" s="1"/>
  <c r="AQ239"/>
  <c r="AQ75" s="1"/>
  <c r="AQ496"/>
  <c r="AQ87" s="1"/>
  <c r="AP344"/>
  <c r="AP80" s="1"/>
  <c r="AN176"/>
  <c r="AN72" s="1"/>
  <c r="AN365"/>
  <c r="AN81" s="1"/>
  <c r="AL176"/>
  <c r="AL72" s="1"/>
  <c r="AL113"/>
  <c r="AL69" s="1"/>
  <c r="AL218"/>
  <c r="AL74" s="1"/>
  <c r="AL365"/>
  <c r="AL81" s="1"/>
  <c r="AI489"/>
  <c r="AL505" i="119"/>
  <c r="AM176"/>
  <c r="AM72" s="1"/>
  <c r="AI505" i="118"/>
  <c r="AI505" i="119"/>
  <c r="AI379" s="1"/>
  <c r="AA505"/>
  <c r="AA505" i="120"/>
  <c r="AM281" i="28"/>
  <c r="AM77" s="1"/>
  <c r="AQ155" i="119"/>
  <c r="AQ71" s="1"/>
  <c r="AO239" i="28"/>
  <c r="AO75" s="1"/>
  <c r="AC190"/>
  <c r="AT281" i="119"/>
  <c r="AT77" s="1"/>
  <c r="AT239"/>
  <c r="AT75" s="1"/>
  <c r="AT218"/>
  <c r="AT74" s="1"/>
  <c r="AT176"/>
  <c r="AT72" s="1"/>
  <c r="AS386"/>
  <c r="AS82" s="1"/>
  <c r="AS365"/>
  <c r="AS81" s="1"/>
  <c r="AS302"/>
  <c r="AS78" s="1"/>
  <c r="AS281"/>
  <c r="AS77" s="1"/>
  <c r="AS218"/>
  <c r="AS74" s="1"/>
  <c r="AS176"/>
  <c r="AS72" s="1"/>
  <c r="AS134"/>
  <c r="AS70" s="1"/>
  <c r="AR480"/>
  <c r="AR86" s="1"/>
  <c r="AR386"/>
  <c r="AR82" s="1"/>
  <c r="AR365"/>
  <c r="AR81" s="1"/>
  <c r="AR302"/>
  <c r="AR78" s="1"/>
  <c r="AR281"/>
  <c r="AR77" s="1"/>
  <c r="AN218"/>
  <c r="AN74" s="1"/>
  <c r="T505"/>
  <c r="T211" s="1"/>
  <c r="T505" i="118"/>
  <c r="T211" s="1"/>
  <c r="T505" i="120"/>
  <c r="T505" i="28"/>
  <c r="S505" i="116"/>
  <c r="S400" s="1"/>
  <c r="S505" i="119"/>
  <c r="S274" s="1"/>
  <c r="S505" i="117"/>
  <c r="S316" s="1"/>
  <c r="S505" i="118"/>
  <c r="Z187" i="116"/>
  <c r="AH187"/>
  <c r="T150"/>
  <c r="AU23" i="121"/>
  <c r="AU134"/>
  <c r="AU70" s="1"/>
  <c r="AU428"/>
  <c r="AU84" s="1"/>
  <c r="AT260"/>
  <c r="AT76" s="1"/>
  <c r="AT344"/>
  <c r="AT80" s="1"/>
  <c r="AS24"/>
  <c r="AS302"/>
  <c r="AS78" s="1"/>
  <c r="AS386"/>
  <c r="AS82" s="1"/>
  <c r="AS480"/>
  <c r="AS86" s="1"/>
  <c r="AS496"/>
  <c r="AS87" s="1"/>
  <c r="AQ218"/>
  <c r="AQ74" s="1"/>
  <c r="AQ113"/>
  <c r="AQ69" s="1"/>
  <c r="AQ407"/>
  <c r="AQ83" s="1"/>
  <c r="AQ31"/>
  <c r="AQ365"/>
  <c r="AQ81" s="1"/>
  <c r="AQ480"/>
  <c r="AQ86" s="1"/>
  <c r="AP113"/>
  <c r="AP69" s="1"/>
  <c r="AP176"/>
  <c r="AP72" s="1"/>
  <c r="AP197"/>
  <c r="AP73" s="1"/>
  <c r="AP365"/>
  <c r="AP81" s="1"/>
  <c r="AP496"/>
  <c r="AP87" s="1"/>
  <c r="AO134"/>
  <c r="AO70" s="1"/>
  <c r="AO239"/>
  <c r="AO75" s="1"/>
  <c r="AO344"/>
  <c r="AO80" s="1"/>
  <c r="AN480"/>
  <c r="AN86" s="1"/>
  <c r="AN386"/>
  <c r="AN82" s="1"/>
  <c r="AN496"/>
  <c r="AN87" s="1"/>
  <c r="AM134"/>
  <c r="AM70" s="1"/>
  <c r="AM281"/>
  <c r="AM77" s="1"/>
  <c r="AM239"/>
  <c r="AM75" s="1"/>
  <c r="AM428"/>
  <c r="AM84" s="1"/>
  <c r="AL24"/>
  <c r="AL323"/>
  <c r="AL79" s="1"/>
  <c r="AL428"/>
  <c r="AL84" s="1"/>
  <c r="AL407"/>
  <c r="AL83" s="1"/>
  <c r="AL496"/>
  <c r="AL87" s="1"/>
  <c r="Z358"/>
  <c r="AB473"/>
  <c r="Z457"/>
  <c r="AK43" i="11"/>
  <c r="AK29" s="1"/>
  <c r="AJ505" i="121"/>
  <c r="I44" i="11"/>
  <c r="AN43" s="1"/>
  <c r="AH43"/>
  <c r="AH29" s="1"/>
  <c r="AM501" i="120" s="1"/>
  <c r="AQ239" i="28"/>
  <c r="AQ75" s="1"/>
  <c r="AQ218"/>
  <c r="AQ74" s="1"/>
  <c r="AQ134"/>
  <c r="AQ70" s="1"/>
  <c r="AP480"/>
  <c r="AP86" s="1"/>
  <c r="AJ505"/>
  <c r="AH505"/>
  <c r="AJ505" i="120"/>
  <c r="AH505"/>
  <c r="S505"/>
  <c r="U505" i="116"/>
  <c r="U505" i="117"/>
  <c r="U505" i="118"/>
  <c r="U337" s="1"/>
  <c r="AU260" i="121"/>
  <c r="AU76" s="1"/>
  <c r="AT155"/>
  <c r="AT71" s="1"/>
  <c r="AR260"/>
  <c r="AR76" s="1"/>
  <c r="AR31"/>
  <c r="AR218"/>
  <c r="AR74" s="1"/>
  <c r="AR386"/>
  <c r="AR82" s="1"/>
  <c r="AR496"/>
  <c r="AR87" s="1"/>
  <c r="AN134"/>
  <c r="AN70" s="1"/>
  <c r="AN197"/>
  <c r="AN73" s="1"/>
  <c r="AS365" i="28"/>
  <c r="AS81" s="1"/>
  <c r="AS323"/>
  <c r="AS79" s="1"/>
  <c r="AS281"/>
  <c r="AS77" s="1"/>
  <c r="AM365"/>
  <c r="AM81" s="1"/>
  <c r="AM323"/>
  <c r="AM79" s="1"/>
  <c r="AU323" i="121"/>
  <c r="AU79" s="1"/>
  <c r="AU365"/>
  <c r="AU81" s="1"/>
  <c r="AU407"/>
  <c r="AU83" s="1"/>
  <c r="AT113"/>
  <c r="AT69" s="1"/>
  <c r="AT197"/>
  <c r="AT73" s="1"/>
  <c r="AT24"/>
  <c r="AT480"/>
  <c r="AT86" s="1"/>
  <c r="AT464"/>
  <c r="AT85" s="1"/>
  <c r="AS260"/>
  <c r="AS76" s="1"/>
  <c r="AR113"/>
  <c r="AR69" s="1"/>
  <c r="AR134"/>
  <c r="AR70" s="1"/>
  <c r="AQ155"/>
  <c r="AQ71" s="1"/>
  <c r="AQ176"/>
  <c r="AQ72" s="1"/>
  <c r="AQ344"/>
  <c r="AQ80" s="1"/>
  <c r="AQ386"/>
  <c r="AQ82" s="1"/>
  <c r="AP155"/>
  <c r="AP71" s="1"/>
  <c r="AP239"/>
  <c r="AP75" s="1"/>
  <c r="AP260"/>
  <c r="AP76" s="1"/>
  <c r="AP302"/>
  <c r="AP78" s="1"/>
  <c r="AP323"/>
  <c r="AP79" s="1"/>
  <c r="AP407"/>
  <c r="AP83" s="1"/>
  <c r="AN260"/>
  <c r="AN76" s="1"/>
  <c r="AN323"/>
  <c r="AN79" s="1"/>
  <c r="AM218"/>
  <c r="AM74" s="1"/>
  <c r="AM407"/>
  <c r="AM83" s="1"/>
  <c r="AM496"/>
  <c r="AM87" s="1"/>
  <c r="AL260"/>
  <c r="AL76" s="1"/>
  <c r="AL386"/>
  <c r="AL82" s="1"/>
  <c r="AH505"/>
  <c r="AQ505" i="118"/>
  <c r="AO505" i="28"/>
  <c r="AS239"/>
  <c r="AS75" s="1"/>
  <c r="S505"/>
  <c r="S473" s="1"/>
  <c r="AG505" i="118"/>
  <c r="AG505" i="120"/>
  <c r="AG505" i="28"/>
  <c r="W505" i="116"/>
  <c r="W190" s="1"/>
  <c r="W505" i="117"/>
  <c r="W505" i="119"/>
  <c r="W457" s="1"/>
  <c r="W505" i="118"/>
  <c r="W505" i="120"/>
  <c r="AP365" i="28"/>
  <c r="AP81" s="1"/>
  <c r="AP323"/>
  <c r="AP79" s="1"/>
  <c r="AO365"/>
  <c r="AO81" s="1"/>
  <c r="AO323"/>
  <c r="AO79" s="1"/>
  <c r="AO281"/>
  <c r="AO77" s="1"/>
  <c r="AM239"/>
  <c r="AM75" s="1"/>
  <c r="AM218"/>
  <c r="AM74" s="1"/>
  <c r="AM176"/>
  <c r="AM72" s="1"/>
  <c r="AS155" i="119"/>
  <c r="AS71" s="1"/>
  <c r="AR464"/>
  <c r="AR85" s="1"/>
  <c r="AR344"/>
  <c r="AR80" s="1"/>
  <c r="AP113"/>
  <c r="AP69" s="1"/>
  <c r="AF505" i="118"/>
  <c r="AF505" i="119"/>
  <c r="AA505" i="116"/>
  <c r="AA505" i="117"/>
  <c r="V505" i="118"/>
  <c r="V505" i="120"/>
  <c r="V505" i="117"/>
  <c r="AS113" i="119"/>
  <c r="AS69" s="1"/>
  <c r="AP155"/>
  <c r="AP71" s="1"/>
  <c r="AO302"/>
  <c r="AO78" s="1"/>
  <c r="AO155"/>
  <c r="AO71" s="1"/>
  <c r="AN480"/>
  <c r="AN86" s="1"/>
  <c r="AT480"/>
  <c r="AT86" s="1"/>
  <c r="AR218"/>
  <c r="AR74" s="1"/>
  <c r="AQ386"/>
  <c r="AQ82" s="1"/>
  <c r="AQ176"/>
  <c r="AQ72" s="1"/>
  <c r="AP480"/>
  <c r="AP86" s="1"/>
  <c r="AP428"/>
  <c r="AP84" s="1"/>
  <c r="AO113"/>
  <c r="AO69" s="1"/>
  <c r="AN260"/>
  <c r="AN76" s="1"/>
  <c r="AM218"/>
  <c r="AM74" s="1"/>
  <c r="AR407" i="28"/>
  <c r="AR83" s="1"/>
  <c r="AR386"/>
  <c r="AR82" s="1"/>
  <c r="AR344"/>
  <c r="AR80" s="1"/>
  <c r="AR302"/>
  <c r="AR78" s="1"/>
  <c r="AR239"/>
  <c r="AR75" s="1"/>
  <c r="AR218"/>
  <c r="AR74" s="1"/>
  <c r="AQ480"/>
  <c r="AQ86" s="1"/>
  <c r="AQ365"/>
  <c r="AQ81" s="1"/>
  <c r="AQ323"/>
  <c r="AQ79" s="1"/>
  <c r="AP239"/>
  <c r="AP75" s="1"/>
  <c r="AN31"/>
  <c r="AT407" i="119"/>
  <c r="AT83" s="1"/>
  <c r="AT386"/>
  <c r="AT82" s="1"/>
  <c r="AT344"/>
  <c r="AT80" s="1"/>
  <c r="AT302"/>
  <c r="AT78" s="1"/>
  <c r="AS464"/>
  <c r="AS85" s="1"/>
  <c r="AS344"/>
  <c r="AS80" s="1"/>
  <c r="AQ464"/>
  <c r="AQ85" s="1"/>
  <c r="AQ428"/>
  <c r="AQ84" s="1"/>
  <c r="AQ407"/>
  <c r="AQ83" s="1"/>
  <c r="AQ344"/>
  <c r="AQ80" s="1"/>
  <c r="AQ323"/>
  <c r="AQ79" s="1"/>
  <c r="AQ281"/>
  <c r="AQ77" s="1"/>
  <c r="AQ197"/>
  <c r="AQ73" s="1"/>
  <c r="AQ113"/>
  <c r="AQ69" s="1"/>
  <c r="AQ134"/>
  <c r="AQ70" s="1"/>
  <c r="AP496"/>
  <c r="AP87" s="1"/>
  <c r="AP386"/>
  <c r="AP82" s="1"/>
  <c r="AP365"/>
  <c r="AP81" s="1"/>
  <c r="AN134"/>
  <c r="AN70" s="1"/>
  <c r="AM260"/>
  <c r="AM76" s="1"/>
  <c r="Y505" i="116"/>
  <c r="Y127" s="1"/>
  <c r="Y505" i="117"/>
  <c r="Y505" i="119"/>
  <c r="Y211" s="1"/>
  <c r="AN176"/>
  <c r="AN72" s="1"/>
  <c r="AL239" i="121"/>
  <c r="AL75" s="1"/>
  <c r="AL31"/>
  <c r="AT176"/>
  <c r="AT72" s="1"/>
  <c r="AN24"/>
  <c r="AN464"/>
  <c r="AN85" s="1"/>
  <c r="AO428"/>
  <c r="AO84" s="1"/>
  <c r="AN239"/>
  <c r="AN75" s="1"/>
  <c r="AN23"/>
  <c r="AL281"/>
  <c r="AL77" s="1"/>
  <c r="AM505" i="120"/>
  <c r="AM505" i="116"/>
  <c r="AL302" i="121"/>
  <c r="AL78" s="1"/>
  <c r="AL23"/>
  <c r="AU197"/>
  <c r="AU73" s="1"/>
  <c r="AU344"/>
  <c r="AU80" s="1"/>
  <c r="AS428"/>
  <c r="AS84" s="1"/>
  <c r="AP31"/>
  <c r="AN501" i="28"/>
  <c r="AN501" i="118"/>
  <c r="AR23" i="121"/>
  <c r="AQ197"/>
  <c r="AQ73" s="1"/>
  <c r="AP24"/>
  <c r="AP480"/>
  <c r="AP86" s="1"/>
  <c r="AM24"/>
  <c r="AM197"/>
  <c r="AM73" s="1"/>
  <c r="AM464"/>
  <c r="AM85" s="1"/>
  <c r="AM31"/>
  <c r="AM344"/>
  <c r="AM80" s="1"/>
  <c r="AL464"/>
  <c r="AL85" s="1"/>
  <c r="AG253"/>
  <c r="AR23" i="119"/>
  <c r="AU31" i="121"/>
  <c r="AU480"/>
  <c r="AU86" s="1"/>
  <c r="AT31"/>
  <c r="AS176"/>
  <c r="AS72" s="1"/>
  <c r="AS31"/>
  <c r="AT323"/>
  <c r="AT79" s="1"/>
  <c r="AT407"/>
  <c r="AT83" s="1"/>
  <c r="AS134"/>
  <c r="AS70" s="1"/>
  <c r="AS239"/>
  <c r="AS75" s="1"/>
  <c r="AR281"/>
  <c r="AR77" s="1"/>
  <c r="AO23"/>
  <c r="AO260"/>
  <c r="AO76" s="1"/>
  <c r="AO323"/>
  <c r="AO79" s="1"/>
  <c r="AO302"/>
  <c r="AO78" s="1"/>
  <c r="AO365"/>
  <c r="AO81" s="1"/>
  <c r="AO496"/>
  <c r="AO87" s="1"/>
  <c r="AM365"/>
  <c r="AM81" s="1"/>
  <c r="AM260"/>
  <c r="AM76" s="1"/>
  <c r="AR428" i="28"/>
  <c r="AR84" s="1"/>
  <c r="AP218"/>
  <c r="AP74" s="1"/>
  <c r="AP134"/>
  <c r="AP70" s="1"/>
  <c r="AO480"/>
  <c r="AO86" s="1"/>
  <c r="AO464"/>
  <c r="AO85" s="1"/>
  <c r="AO428"/>
  <c r="AO84" s="1"/>
  <c r="AO407"/>
  <c r="AO83" s="1"/>
  <c r="AO386"/>
  <c r="AO82" s="1"/>
  <c r="AO344"/>
  <c r="AO80" s="1"/>
  <c r="R505"/>
  <c r="R505" i="121"/>
  <c r="AT496"/>
  <c r="AT87" s="1"/>
  <c r="AS23"/>
  <c r="AS407"/>
  <c r="AS83" s="1"/>
  <c r="AS323"/>
  <c r="AS79" s="1"/>
  <c r="AS344"/>
  <c r="AS80" s="1"/>
  <c r="AO197"/>
  <c r="AO73" s="1"/>
  <c r="AO218"/>
  <c r="AO74" s="1"/>
  <c r="AO281"/>
  <c r="AO77" s="1"/>
  <c r="AO480"/>
  <c r="AO86" s="1"/>
  <c r="AN113"/>
  <c r="AN69" s="1"/>
  <c r="AN155"/>
  <c r="AN71" s="1"/>
  <c r="AN407"/>
  <c r="AN83" s="1"/>
  <c r="AN428"/>
  <c r="AN84" s="1"/>
  <c r="AS480" i="28"/>
  <c r="AS86" s="1"/>
  <c r="AS464"/>
  <c r="AS85" s="1"/>
  <c r="AS428"/>
  <c r="AS84" s="1"/>
  <c r="AS407"/>
  <c r="AS83" s="1"/>
  <c r="AS386"/>
  <c r="AS82" s="1"/>
  <c r="AS344"/>
  <c r="AS80" s="1"/>
  <c r="AS302"/>
  <c r="AS78" s="1"/>
  <c r="AP464"/>
  <c r="AP85" s="1"/>
  <c r="AR176"/>
  <c r="AR72" s="1"/>
  <c r="AR134"/>
  <c r="AR70" s="1"/>
  <c r="AP428"/>
  <c r="AP84" s="1"/>
  <c r="AP407"/>
  <c r="AP83" s="1"/>
  <c r="AP386"/>
  <c r="AP82" s="1"/>
  <c r="AP344"/>
  <c r="AP80" s="1"/>
  <c r="AP302"/>
  <c r="AP78" s="1"/>
  <c r="AT134" i="119"/>
  <c r="AT70" s="1"/>
  <c r="AT24"/>
  <c r="AP31"/>
  <c r="AP260"/>
  <c r="AP76" s="1"/>
  <c r="AS218" i="28"/>
  <c r="AS74" s="1"/>
  <c r="AS176"/>
  <c r="AS72" s="1"/>
  <c r="AS134"/>
  <c r="AS70" s="1"/>
  <c r="AR480"/>
  <c r="AR86" s="1"/>
  <c r="AR365"/>
  <c r="AR81" s="1"/>
  <c r="AR323"/>
  <c r="AR79" s="1"/>
  <c r="AQ428"/>
  <c r="AQ84" s="1"/>
  <c r="AQ407"/>
  <c r="AQ83" s="1"/>
  <c r="AQ386"/>
  <c r="AQ82" s="1"/>
  <c r="AQ344"/>
  <c r="AQ80" s="1"/>
  <c r="AQ302"/>
  <c r="AQ78" s="1"/>
  <c r="AO218"/>
  <c r="AO74" s="1"/>
  <c r="AO176"/>
  <c r="AO72" s="1"/>
  <c r="AO134"/>
  <c r="AO70" s="1"/>
  <c r="AM428"/>
  <c r="AM84" s="1"/>
  <c r="AM407"/>
  <c r="AM83" s="1"/>
  <c r="AM386"/>
  <c r="AM82" s="1"/>
  <c r="AM344"/>
  <c r="AM80" s="1"/>
  <c r="AM302"/>
  <c r="AM78" s="1"/>
  <c r="AM134"/>
  <c r="AM70" s="1"/>
  <c r="U232"/>
  <c r="AL31" i="119"/>
  <c r="AN344"/>
  <c r="AN80" s="1"/>
  <c r="AN302"/>
  <c r="AN78" s="1"/>
  <c r="AN23"/>
  <c r="AM386"/>
  <c r="AM82" s="1"/>
  <c r="AM344"/>
  <c r="AM80" s="1"/>
  <c r="AM302"/>
  <c r="AM78" s="1"/>
  <c r="AM23"/>
  <c r="AS496" i="28"/>
  <c r="AS87" s="1"/>
  <c r="AS260"/>
  <c r="AS76" s="1"/>
  <c r="AR496"/>
  <c r="AR87" s="1"/>
  <c r="AR260"/>
  <c r="AR76" s="1"/>
  <c r="AQ496"/>
  <c r="AQ87" s="1"/>
  <c r="AQ260"/>
  <c r="AQ76" s="1"/>
  <c r="AQ197"/>
  <c r="AQ73" s="1"/>
  <c r="AP496"/>
  <c r="AP87" s="1"/>
  <c r="AP260"/>
  <c r="AP76" s="1"/>
  <c r="AP197"/>
  <c r="AP73" s="1"/>
  <c r="AO496"/>
  <c r="AO87" s="1"/>
  <c r="AO260"/>
  <c r="AO76" s="1"/>
  <c r="AO197"/>
  <c r="AO73" s="1"/>
  <c r="AM496"/>
  <c r="AM87" s="1"/>
  <c r="AM260"/>
  <c r="AM76" s="1"/>
  <c r="AT496" i="119"/>
  <c r="AT87" s="1"/>
  <c r="AT260"/>
  <c r="AT76" s="1"/>
  <c r="AT197"/>
  <c r="AT73" s="1"/>
  <c r="AS496"/>
  <c r="AS87" s="1"/>
  <c r="AS480"/>
  <c r="AS86" s="1"/>
  <c r="AQ23"/>
  <c r="AP464"/>
  <c r="AP85" s="1"/>
  <c r="AP407"/>
  <c r="AP83" s="1"/>
  <c r="AO464"/>
  <c r="AO85" s="1"/>
  <c r="AO386"/>
  <c r="AO82" s="1"/>
  <c r="AO344"/>
  <c r="AO80" s="1"/>
  <c r="AN365"/>
  <c r="AN81" s="1"/>
  <c r="AN323"/>
  <c r="AN79" s="1"/>
  <c r="AN281"/>
  <c r="AN77" s="1"/>
  <c r="AN155"/>
  <c r="AN71" s="1"/>
  <c r="AM407"/>
  <c r="AM83" s="1"/>
  <c r="AM365"/>
  <c r="AM81" s="1"/>
  <c r="AM323"/>
  <c r="AM79" s="1"/>
  <c r="AM281"/>
  <c r="AM77" s="1"/>
  <c r="AM155"/>
  <c r="AM71" s="1"/>
  <c r="AH505" i="116"/>
  <c r="AH505" i="117"/>
  <c r="AH505" i="118"/>
  <c r="AT428" i="119"/>
  <c r="AT84" s="1"/>
  <c r="AT365"/>
  <c r="AT81" s="1"/>
  <c r="AT323"/>
  <c r="AT79" s="1"/>
  <c r="AS428"/>
  <c r="AS84" s="1"/>
  <c r="AS407"/>
  <c r="AS83" s="1"/>
  <c r="AS260"/>
  <c r="AS76" s="1"/>
  <c r="AS239"/>
  <c r="AS75" s="1"/>
  <c r="AR428"/>
  <c r="AR84" s="1"/>
  <c r="AR407"/>
  <c r="AR83" s="1"/>
  <c r="AR260"/>
  <c r="AR76" s="1"/>
  <c r="AR239"/>
  <c r="AR75" s="1"/>
  <c r="AQ365"/>
  <c r="AQ81" s="1"/>
  <c r="AQ302"/>
  <c r="AQ78" s="1"/>
  <c r="AQ260"/>
  <c r="AQ76" s="1"/>
  <c r="AQ31"/>
  <c r="AP323"/>
  <c r="AP79" s="1"/>
  <c r="AP281"/>
  <c r="AP77" s="1"/>
  <c r="AP239"/>
  <c r="AP75" s="1"/>
  <c r="AO281"/>
  <c r="AO77" s="1"/>
  <c r="AO218"/>
  <c r="AO74" s="1"/>
  <c r="AO176"/>
  <c r="AO72" s="1"/>
  <c r="AN496"/>
  <c r="AN87" s="1"/>
  <c r="AN464"/>
  <c r="AN85" s="1"/>
  <c r="AN197"/>
  <c r="AN73" s="1"/>
  <c r="AN113"/>
  <c r="AN69" s="1"/>
  <c r="AM496"/>
  <c r="AM87" s="1"/>
  <c r="AM197"/>
  <c r="AM73" s="1"/>
  <c r="AM113"/>
  <c r="AM69" s="1"/>
  <c r="AM134"/>
  <c r="AM70" s="1"/>
  <c r="AJ505" i="116"/>
  <c r="AJ505" i="117"/>
  <c r="AD505" i="116"/>
  <c r="AD505" i="117"/>
  <c r="AE403" i="116"/>
  <c r="AB316"/>
  <c r="AB255"/>
  <c r="AA255"/>
  <c r="AG255"/>
  <c r="AH255"/>
  <c r="X187"/>
  <c r="AC187"/>
  <c r="AB187"/>
  <c r="AH150"/>
  <c r="AD150"/>
  <c r="R124"/>
  <c r="AG124"/>
  <c r="AH124"/>
  <c r="V43" i="11"/>
  <c r="V29" s="1"/>
  <c r="Z43"/>
  <c r="Z29" s="1"/>
  <c r="O43"/>
  <c r="O29" s="1"/>
  <c r="T501" i="118" s="1"/>
  <c r="U43" i="11"/>
  <c r="U29" s="1"/>
  <c r="AF43"/>
  <c r="AF29" s="1"/>
  <c r="AJ505" i="118"/>
  <c r="AD505"/>
  <c r="AE150" i="116"/>
  <c r="AC124"/>
  <c r="AA124"/>
  <c r="AA505" i="118"/>
  <c r="AG187" i="116"/>
  <c r="AF505"/>
  <c r="AF505" i="117"/>
  <c r="T505" i="116"/>
  <c r="T274" s="1"/>
  <c r="T505" i="117"/>
  <c r="N43" i="11"/>
  <c r="N29" s="1"/>
  <c r="AH213" i="116"/>
  <c r="AG150"/>
  <c r="AF124"/>
  <c r="AD187"/>
  <c r="AC150"/>
  <c r="AB124"/>
  <c r="AA150"/>
  <c r="Z124"/>
  <c r="V187"/>
  <c r="AG213"/>
  <c r="AF187"/>
  <c r="AE187"/>
  <c r="AA334"/>
  <c r="AR407" i="121"/>
  <c r="AR83" s="1"/>
  <c r="AQ24"/>
  <c r="AQ464"/>
  <c r="AQ85" s="1"/>
  <c r="AO31"/>
  <c r="AO386"/>
  <c r="AO82" s="1"/>
  <c r="AR501" i="119"/>
  <c r="AR501" i="120"/>
  <c r="AR501" i="28"/>
  <c r="AR501" i="116"/>
  <c r="AR501" i="121"/>
  <c r="AN505" i="120"/>
  <c r="AN505" i="116"/>
  <c r="AN505" i="118"/>
  <c r="AN505" i="28"/>
  <c r="AN505" i="117"/>
  <c r="AN505" i="121"/>
  <c r="AQ501" i="119"/>
  <c r="AQ501" i="116"/>
  <c r="AQ501" i="121"/>
  <c r="AQ501" i="28"/>
  <c r="AQ501" i="118"/>
  <c r="AU176" i="121"/>
  <c r="AU72" s="1"/>
  <c r="AU155"/>
  <c r="AU71" s="1"/>
  <c r="AU302"/>
  <c r="AU78" s="1"/>
  <c r="AU496"/>
  <c r="AU87" s="1"/>
  <c r="AT134"/>
  <c r="AT70" s="1"/>
  <c r="AT23"/>
  <c r="AS218"/>
  <c r="AS74" s="1"/>
  <c r="AS281"/>
  <c r="AS77" s="1"/>
  <c r="AL501"/>
  <c r="AL501" i="117"/>
  <c r="AL501" i="119"/>
  <c r="AL501" i="28"/>
  <c r="AL501" i="120"/>
  <c r="AL501" i="116"/>
  <c r="AQ501" i="120"/>
  <c r="AS31" i="28"/>
  <c r="AS197"/>
  <c r="AS73" s="1"/>
  <c r="AS155"/>
  <c r="AS71" s="1"/>
  <c r="AR31"/>
  <c r="AR197"/>
  <c r="AR73" s="1"/>
  <c r="AR155"/>
  <c r="AR71" s="1"/>
  <c r="AQ155"/>
  <c r="AQ71" s="1"/>
  <c r="AP155"/>
  <c r="AP71" s="1"/>
  <c r="AO155"/>
  <c r="AO71" s="1"/>
  <c r="AR24" i="121"/>
  <c r="AR197"/>
  <c r="AR73" s="1"/>
  <c r="AR302"/>
  <c r="AR78" s="1"/>
  <c r="AQ23"/>
  <c r="AQ134"/>
  <c r="AQ70" s="1"/>
  <c r="AO113"/>
  <c r="AO69" s="1"/>
  <c r="AO24"/>
  <c r="AM23"/>
  <c r="AM113"/>
  <c r="AM69" s="1"/>
  <c r="AM386"/>
  <c r="AM82" s="1"/>
  <c r="AP505" i="120"/>
  <c r="AP505" i="28"/>
  <c r="AP505" i="116"/>
  <c r="AP505" i="118"/>
  <c r="AP505" i="121"/>
  <c r="AP505" i="117"/>
  <c r="AM30" i="11"/>
  <c r="AN33"/>
  <c r="AU386" i="121"/>
  <c r="AU82" s="1"/>
  <c r="AT428"/>
  <c r="AT84" s="1"/>
  <c r="AR365"/>
  <c r="AR81" s="1"/>
  <c r="AP218"/>
  <c r="AP74" s="1"/>
  <c r="AP428"/>
  <c r="AP84" s="1"/>
  <c r="AR501" i="117"/>
  <c r="AO501" i="120"/>
  <c r="AO501" i="28"/>
  <c r="AO501" i="118"/>
  <c r="AO501" i="116"/>
  <c r="AO501" i="119"/>
  <c r="AP24" i="28"/>
  <c r="AR24"/>
  <c r="AN24"/>
  <c r="AM31"/>
  <c r="AM155"/>
  <c r="AM71" s="1"/>
  <c r="AT155" i="119"/>
  <c r="AT71" s="1"/>
  <c r="AQ239"/>
  <c r="AQ75" s="1"/>
  <c r="AQ24"/>
  <c r="AK501" i="120"/>
  <c r="AE505" i="117"/>
  <c r="AE505" i="116"/>
  <c r="AE505" i="118"/>
  <c r="AE505" i="28"/>
  <c r="AE505" i="119"/>
  <c r="AE316" s="1"/>
  <c r="X505" i="116"/>
  <c r="X505" i="119"/>
  <c r="X505" i="117"/>
  <c r="X505" i="120"/>
  <c r="X505" i="118"/>
  <c r="X148" s="1"/>
  <c r="X505" i="28"/>
  <c r="AT31" i="119"/>
  <c r="AO31"/>
  <c r="AO155" i="121"/>
  <c r="AO71" s="1"/>
  <c r="AO176"/>
  <c r="AO72" s="1"/>
  <c r="AN31"/>
  <c r="AN281"/>
  <c r="AN77" s="1"/>
  <c r="AN344"/>
  <c r="AN80" s="1"/>
  <c r="AM302"/>
  <c r="AM78" s="1"/>
  <c r="AM505" i="119"/>
  <c r="AM505" i="28"/>
  <c r="AM505" i="121"/>
  <c r="AM505" i="117"/>
  <c r="AO505" i="118"/>
  <c r="AO505" i="120"/>
  <c r="AO505" i="116"/>
  <c r="AQ505" i="119"/>
  <c r="AQ505" i="121"/>
  <c r="AQ505" i="117"/>
  <c r="AP24" i="119"/>
  <c r="AS24" i="28"/>
  <c r="AS113"/>
  <c r="AS69" s="1"/>
  <c r="AS23"/>
  <c r="AR113"/>
  <c r="AR69" s="1"/>
  <c r="AR23"/>
  <c r="AQ24"/>
  <c r="AQ113"/>
  <c r="AQ69" s="1"/>
  <c r="AQ23"/>
  <c r="AP113"/>
  <c r="AP69" s="1"/>
  <c r="AP23"/>
  <c r="AO24"/>
  <c r="AO113"/>
  <c r="AO69" s="1"/>
  <c r="AO23"/>
  <c r="AN23"/>
  <c r="AM197"/>
  <c r="AM73" s="1"/>
  <c r="AM24"/>
  <c r="AM113"/>
  <c r="AM69" s="1"/>
  <c r="AM23"/>
  <c r="Z358"/>
  <c r="AL24" i="119"/>
  <c r="AT113"/>
  <c r="AT69" s="1"/>
  <c r="AT23"/>
  <c r="AQ218"/>
  <c r="AQ74" s="1"/>
  <c r="AP302"/>
  <c r="AP78" s="1"/>
  <c r="AN239"/>
  <c r="AN75" s="1"/>
  <c r="AN24"/>
  <c r="AL23"/>
  <c r="AI127" i="121"/>
  <c r="X505"/>
  <c r="AE505"/>
  <c r="AQ505" i="120"/>
  <c r="AO505" i="121"/>
  <c r="AN501" i="117"/>
  <c r="AN501" i="116"/>
  <c r="AN501" i="119"/>
  <c r="AN501" i="121"/>
  <c r="AL505" i="28"/>
  <c r="AL505" i="118"/>
  <c r="AL505" i="120"/>
  <c r="AL505" i="116"/>
  <c r="AE505" i="120"/>
  <c r="AS197" i="119"/>
  <c r="AS73" s="1"/>
  <c r="AS24"/>
  <c r="AS23"/>
  <c r="AR197"/>
  <c r="AR73" s="1"/>
  <c r="AR24"/>
  <c r="AM239"/>
  <c r="AM75" s="1"/>
  <c r="AM24"/>
  <c r="AD148" i="121"/>
  <c r="AO23" i="119"/>
  <c r="R505" i="116"/>
  <c r="R505" i="117"/>
  <c r="R505" i="119"/>
  <c r="R421" s="1"/>
  <c r="R505" i="118"/>
  <c r="R505" i="120"/>
  <c r="AP23" i="119"/>
  <c r="AO239"/>
  <c r="AO75" s="1"/>
  <c r="AO24"/>
  <c r="AB489" i="28"/>
  <c r="AF106"/>
  <c r="AR496" i="119"/>
  <c r="AR87" s="1"/>
  <c r="AQ496"/>
  <c r="AQ87" s="1"/>
  <c r="AC505" i="116"/>
  <c r="AC473" s="1"/>
  <c r="AC505" i="117"/>
  <c r="AC505" i="118"/>
  <c r="AA501" i="117"/>
  <c r="Z505" i="116"/>
  <c r="Z457" s="1"/>
  <c r="Z505" i="119"/>
  <c r="V505" i="116"/>
  <c r="V316" s="1"/>
  <c r="V505" i="119"/>
  <c r="Z473" i="28"/>
  <c r="AE127"/>
  <c r="AS323" i="119"/>
  <c r="AS79" s="1"/>
  <c r="AR323"/>
  <c r="AR79" s="1"/>
  <c r="AG274"/>
  <c r="AK505" i="116"/>
  <c r="AK505" i="117"/>
  <c r="AI505" i="116"/>
  <c r="AI505" i="117"/>
  <c r="AG505" i="116"/>
  <c r="AG505" i="117"/>
  <c r="Z501" i="116"/>
  <c r="AC421" i="119"/>
  <c r="AA190"/>
  <c r="P43" i="11"/>
  <c r="P29" s="1"/>
  <c r="Q43"/>
  <c r="Q29" s="1"/>
  <c r="AA43"/>
  <c r="AA29" s="1"/>
  <c r="AB43"/>
  <c r="AB29" s="1"/>
  <c r="AD43"/>
  <c r="AD29" s="1"/>
  <c r="AE43"/>
  <c r="AE29" s="1"/>
  <c r="M43"/>
  <c r="M29" s="1"/>
  <c r="R43"/>
  <c r="R29" s="1"/>
  <c r="S43"/>
  <c r="S29" s="1"/>
  <c r="T43"/>
  <c r="T29" s="1"/>
  <c r="W43"/>
  <c r="W29" s="1"/>
  <c r="X43"/>
  <c r="X29" s="1"/>
  <c r="Y43"/>
  <c r="Y29" s="1"/>
  <c r="AC43"/>
  <c r="AC29" s="1"/>
  <c r="AF421" i="116"/>
  <c r="AB337"/>
  <c r="X61" i="1"/>
  <c r="X17" i="109" s="1"/>
  <c r="O61" i="1"/>
  <c r="O17" i="109" s="1"/>
  <c r="AA55" i="1"/>
  <c r="AA25"/>
  <c r="U61"/>
  <c r="U17" i="109" s="1"/>
  <c r="R40" i="1"/>
  <c r="R12" i="109" s="1"/>
  <c r="U40" i="1"/>
  <c r="U12" i="109" s="1"/>
  <c r="L67" i="1"/>
  <c r="L18" i="109" s="1"/>
  <c r="L25" i="1"/>
  <c r="L8" i="109" s="1"/>
  <c r="AA67" i="1"/>
  <c r="AA46"/>
  <c r="AA40"/>
  <c r="X67"/>
  <c r="X18" i="109" s="1"/>
  <c r="R46" i="1"/>
  <c r="R13" i="109" s="1"/>
  <c r="AA19" i="1"/>
  <c r="R61"/>
  <c r="R17" i="109" s="1"/>
  <c r="G59" i="1"/>
  <c r="AA61"/>
  <c r="AA34"/>
  <c r="X25"/>
  <c r="X8" i="109" s="1"/>
  <c r="O25" i="1"/>
  <c r="O8" i="109" s="1"/>
  <c r="I46" i="1"/>
  <c r="I13" i="109" s="1"/>
  <c r="I61" i="1"/>
  <c r="I17" i="109" s="1"/>
  <c r="O67" i="1"/>
  <c r="O18" i="109" s="1"/>
  <c r="U67" i="1"/>
  <c r="U18" i="109" s="1"/>
  <c r="L61" i="1"/>
  <c r="L17" i="109" s="1"/>
  <c r="G23" i="1"/>
  <c r="I19" s="1"/>
  <c r="I7" i="109" s="1"/>
  <c r="U19" i="1"/>
  <c r="U7" i="109" s="1"/>
  <c r="I55" i="1"/>
  <c r="W403" i="116"/>
  <c r="Z123"/>
  <c r="AG108"/>
  <c r="W123"/>
  <c r="AF123"/>
  <c r="AH123"/>
  <c r="AG123"/>
  <c r="AC123"/>
  <c r="AC201"/>
  <c r="AC50" s="1"/>
  <c r="AH201"/>
  <c r="AH50" s="1"/>
  <c r="AE108"/>
  <c r="AB108"/>
  <c r="AA123"/>
  <c r="AE123"/>
  <c r="AB123"/>
  <c r="V123"/>
  <c r="AH133"/>
  <c r="U123"/>
  <c r="AE201"/>
  <c r="AE50" s="1"/>
  <c r="AD108"/>
  <c r="AA151"/>
  <c r="X188"/>
  <c r="S123"/>
  <c r="AH402"/>
  <c r="AD402"/>
  <c r="U230"/>
  <c r="AE230"/>
  <c r="W285"/>
  <c r="W54" s="1"/>
  <c r="AG285"/>
  <c r="AG54" s="1"/>
  <c r="AD297"/>
  <c r="AC385"/>
  <c r="AH138"/>
  <c r="AH47" s="1"/>
  <c r="AG272"/>
  <c r="AD272"/>
  <c r="AC285"/>
  <c r="AC54" s="1"/>
  <c r="V385"/>
  <c r="T297"/>
  <c r="AH243"/>
  <c r="AH52" s="1"/>
  <c r="AD243"/>
  <c r="AD52" s="1"/>
  <c r="AC243"/>
  <c r="AC52" s="1"/>
  <c r="AB385"/>
  <c r="Z402"/>
  <c r="Y297"/>
  <c r="AH230"/>
  <c r="AG230"/>
  <c r="AD230"/>
  <c r="AC230"/>
  <c r="AA385"/>
  <c r="Z385"/>
  <c r="Y230"/>
  <c r="S385"/>
  <c r="X385"/>
  <c r="AI243"/>
  <c r="AI52" s="1"/>
  <c r="AF230"/>
  <c r="AE385"/>
  <c r="Z230"/>
  <c r="U385"/>
  <c r="S138"/>
  <c r="S47" s="1"/>
  <c r="AB297"/>
  <c r="S230"/>
  <c r="AG402"/>
  <c r="AB138"/>
  <c r="AB47" s="1"/>
  <c r="AB231"/>
  <c r="AH385"/>
  <c r="AH188"/>
  <c r="AG201"/>
  <c r="AG50" s="1"/>
  <c r="AB230"/>
  <c r="AA403"/>
  <c r="T151"/>
  <c r="AE231"/>
  <c r="AD201"/>
  <c r="AD50" s="1"/>
  <c r="AB201"/>
  <c r="AB50" s="1"/>
  <c r="X108"/>
  <c r="AD460"/>
  <c r="AF292"/>
  <c r="AB390"/>
  <c r="AB59" s="1"/>
  <c r="AA316"/>
  <c r="Y255"/>
  <c r="W316"/>
  <c r="AI201"/>
  <c r="AI50" s="1"/>
  <c r="AH403"/>
  <c r="AH108"/>
  <c r="AF201"/>
  <c r="AF50" s="1"/>
  <c r="AC151"/>
  <c r="X201"/>
  <c r="X50" s="1"/>
  <c r="O90" i="11"/>
  <c r="AD491" i="116"/>
  <c r="X292"/>
  <c r="AB460"/>
  <c r="W491"/>
  <c r="W455"/>
  <c r="AH274"/>
  <c r="AC138"/>
  <c r="AC47" s="1"/>
  <c r="S209"/>
  <c r="AB222" i="121"/>
  <c r="AB51" s="1"/>
  <c r="AA335" i="119"/>
  <c r="AC335"/>
  <c r="AH491" i="116"/>
  <c r="AH264"/>
  <c r="AH53" s="1"/>
  <c r="AD469"/>
  <c r="Z491"/>
  <c r="X381"/>
  <c r="AG381"/>
  <c r="AE381"/>
  <c r="AG453" i="119"/>
  <c r="AG364" i="116"/>
  <c r="AF399"/>
  <c r="Z381"/>
  <c r="AD277"/>
  <c r="AD147"/>
  <c r="AB274"/>
  <c r="Y264"/>
  <c r="Y53" s="1"/>
  <c r="AH364"/>
  <c r="AB491"/>
  <c r="AH235"/>
  <c r="AH147"/>
  <c r="AG491"/>
  <c r="AF151"/>
  <c r="AE491"/>
  <c r="AE277"/>
  <c r="AE147"/>
  <c r="AD455"/>
  <c r="AD123"/>
  <c r="AC255"/>
  <c r="AB487"/>
  <c r="AB147"/>
  <c r="AA455"/>
  <c r="AA235"/>
  <c r="Z455"/>
  <c r="Z255"/>
  <c r="Y455"/>
  <c r="Y123"/>
  <c r="S201"/>
  <c r="S50" s="1"/>
  <c r="AA491"/>
  <c r="Z469"/>
  <c r="Z277"/>
  <c r="U455"/>
  <c r="AF487"/>
  <c r="AE455"/>
  <c r="AE255"/>
  <c r="AC491"/>
  <c r="AC147"/>
  <c r="AB277"/>
  <c r="Z235"/>
  <c r="X455"/>
  <c r="V235"/>
  <c r="T123"/>
  <c r="AH455"/>
  <c r="AG455"/>
  <c r="AG277"/>
  <c r="AG147"/>
  <c r="AF277"/>
  <c r="AF147"/>
  <c r="AC235"/>
  <c r="AB455"/>
  <c r="T96" i="121"/>
  <c r="T45" s="1"/>
  <c r="AF455" i="116"/>
  <c r="AC455"/>
  <c r="X123"/>
  <c r="AP369" i="121"/>
  <c r="AP58" s="1"/>
  <c r="AB213" i="118"/>
  <c r="AU138" i="121"/>
  <c r="AU47" s="1"/>
  <c r="AN138"/>
  <c r="AN47" s="1"/>
  <c r="AJ463"/>
  <c r="AI138"/>
  <c r="AI47" s="1"/>
  <c r="X369"/>
  <c r="X58" s="1"/>
  <c r="O148" i="11"/>
  <c r="AB102" i="28"/>
  <c r="AQ369" i="121"/>
  <c r="AQ58" s="1"/>
  <c r="AD138"/>
  <c r="AD47" s="1"/>
  <c r="AP348" i="119"/>
  <c r="AP57" s="1"/>
  <c r="AB348"/>
  <c r="AB57" s="1"/>
  <c r="Z361"/>
  <c r="AA235" i="118"/>
  <c r="AL306" i="121"/>
  <c r="AL55" s="1"/>
  <c r="AA424"/>
  <c r="AO348" i="119"/>
  <c r="AO57" s="1"/>
  <c r="AS96" i="121"/>
  <c r="AS45" s="1"/>
  <c r="AL222"/>
  <c r="AL51" s="1"/>
  <c r="AR138"/>
  <c r="AR47" s="1"/>
  <c r="AQ96"/>
  <c r="AQ45" s="1"/>
  <c r="AL96"/>
  <c r="AL45" s="1"/>
  <c r="AJ145" i="28"/>
  <c r="AF292" i="119"/>
  <c r="J7" i="100"/>
  <c r="K7"/>
  <c r="G8" s="1"/>
  <c r="AC358" i="121"/>
  <c r="O155" i="11"/>
  <c r="O157"/>
  <c r="AL348" i="119"/>
  <c r="AL57" s="1"/>
  <c r="Z292"/>
  <c r="X378"/>
  <c r="AJ358" i="121"/>
  <c r="AJ348" i="119"/>
  <c r="AJ57" s="1"/>
  <c r="AE301"/>
  <c r="AC301"/>
  <c r="AA358" i="121"/>
  <c r="Y358"/>
  <c r="O93" i="11"/>
  <c r="AG171" i="28"/>
  <c r="AJ318" i="119"/>
  <c r="AH348"/>
  <c r="AH57" s="1"/>
  <c r="Y292"/>
  <c r="W348"/>
  <c r="W57" s="1"/>
  <c r="W235" i="118"/>
  <c r="R147" i="120"/>
  <c r="AK453" i="119"/>
  <c r="AH335"/>
  <c r="AM348"/>
  <c r="AM57" s="1"/>
  <c r="AK361"/>
  <c r="AH453"/>
  <c r="AG423"/>
  <c r="Z348"/>
  <c r="Z57" s="1"/>
  <c r="S364" i="117"/>
  <c r="O144" i="11"/>
  <c r="O183"/>
  <c r="Y124" i="118"/>
  <c r="O127" i="11"/>
  <c r="AS348" i="119"/>
  <c r="AS57" s="1"/>
  <c r="AH292"/>
  <c r="AE453"/>
  <c r="AD361"/>
  <c r="X348"/>
  <c r="X57" s="1"/>
  <c r="L172" i="11"/>
  <c r="AK127" i="121"/>
  <c r="AR348" i="119"/>
  <c r="AR57" s="1"/>
  <c r="AI348"/>
  <c r="AI57" s="1"/>
  <c r="AE361"/>
  <c r="AD348"/>
  <c r="AD57" s="1"/>
  <c r="V348"/>
  <c r="V57" s="1"/>
  <c r="T222" i="117"/>
  <c r="T51" s="1"/>
  <c r="AT348" i="119"/>
  <c r="AT57" s="1"/>
  <c r="AD453"/>
  <c r="AA348"/>
  <c r="AA57" s="1"/>
  <c r="AK293" i="121"/>
  <c r="AB168"/>
  <c r="Y399"/>
  <c r="O99" i="11"/>
  <c r="AQ348" i="119"/>
  <c r="AQ57" s="1"/>
  <c r="AJ453"/>
  <c r="AF348"/>
  <c r="AF57" s="1"/>
  <c r="AE348"/>
  <c r="AE57" s="1"/>
  <c r="AB361"/>
  <c r="Y348"/>
  <c r="Y57" s="1"/>
  <c r="AK109" i="121"/>
  <c r="AE399"/>
  <c r="AB459"/>
  <c r="O102" i="11"/>
  <c r="O140"/>
  <c r="O146"/>
  <c r="Y235" i="118"/>
  <c r="AJ399" i="121"/>
  <c r="AI334"/>
  <c r="AG168"/>
  <c r="Y274"/>
  <c r="Y138"/>
  <c r="Y47" s="1"/>
  <c r="Y360" i="119"/>
  <c r="AB235" i="118"/>
  <c r="AA130"/>
  <c r="Y187"/>
  <c r="W312"/>
  <c r="Z292" i="116"/>
  <c r="AI457" i="121"/>
  <c r="AD399"/>
  <c r="AH306"/>
  <c r="AH55" s="1"/>
  <c r="AF138"/>
  <c r="AF47" s="1"/>
  <c r="AO222"/>
  <c r="AO51" s="1"/>
  <c r="AG138"/>
  <c r="AG47" s="1"/>
  <c r="AC109"/>
  <c r="AB109"/>
  <c r="X399"/>
  <c r="O121" i="11"/>
  <c r="V104" i="119"/>
  <c r="AD463" i="121"/>
  <c r="O158" i="11"/>
  <c r="AH334" i="121"/>
  <c r="AF399"/>
  <c r="S293"/>
  <c r="O101" i="11"/>
  <c r="O128"/>
  <c r="AI315" i="121"/>
  <c r="O130" i="11"/>
  <c r="O139"/>
  <c r="AJ340" i="121"/>
  <c r="AI459"/>
  <c r="AF335" i="119"/>
  <c r="AD335"/>
  <c r="S343"/>
  <c r="AJ187" i="121"/>
  <c r="AH187"/>
  <c r="U315"/>
  <c r="AG335" i="119"/>
  <c r="AC459" i="121"/>
  <c r="AA315"/>
  <c r="O137" i="11"/>
  <c r="O142"/>
  <c r="Y459" i="121"/>
  <c r="AI492" i="28"/>
  <c r="AI335" i="119"/>
  <c r="AC343"/>
  <c r="AB335"/>
  <c r="AG187" i="121"/>
  <c r="Z154"/>
  <c r="O147" i="11"/>
  <c r="AK432" i="28"/>
  <c r="AK61" s="1"/>
  <c r="AJ208" i="119"/>
  <c r="AS201" i="121"/>
  <c r="AS50" s="1"/>
  <c r="AF187"/>
  <c r="W201"/>
  <c r="W50" s="1"/>
  <c r="O124" i="11"/>
  <c r="O129"/>
  <c r="AA255" i="118"/>
  <c r="AJ378" i="121"/>
  <c r="S109"/>
  <c r="O94" i="11"/>
  <c r="AI271" i="28"/>
  <c r="AB217" i="119"/>
  <c r="S217"/>
  <c r="AP201" i="121"/>
  <c r="AP50" s="1"/>
  <c r="AK187"/>
  <c r="AG234"/>
  <c r="AG358"/>
  <c r="AE187"/>
  <c r="AB358"/>
  <c r="Z234"/>
  <c r="Y187"/>
  <c r="W358"/>
  <c r="O149" i="11"/>
  <c r="AB125" i="118"/>
  <c r="X291"/>
  <c r="AJ196" i="121"/>
  <c r="AK358"/>
  <c r="AH130"/>
  <c r="AJ400" i="28"/>
  <c r="AC102"/>
  <c r="AK217" i="119"/>
  <c r="W187" i="118"/>
  <c r="S214"/>
  <c r="AF495" i="116"/>
  <c r="AT201" i="121"/>
  <c r="AT50" s="1"/>
  <c r="AD339"/>
  <c r="AJ385"/>
  <c r="AH358"/>
  <c r="AB424"/>
  <c r="K117" i="11"/>
  <c r="AI196" i="121"/>
  <c r="O91" i="11"/>
  <c r="O113"/>
  <c r="AS432" i="28"/>
  <c r="AS61" s="1"/>
  <c r="AF259" i="119"/>
  <c r="AE259"/>
  <c r="AD217"/>
  <c r="Y188" i="118"/>
  <c r="N102" i="117"/>
  <c r="O120" i="11"/>
  <c r="Y403" i="28"/>
  <c r="U403"/>
  <c r="AI255"/>
  <c r="AD255"/>
  <c r="AF169"/>
  <c r="AJ145" i="119"/>
  <c r="AI259"/>
  <c r="AF252"/>
  <c r="AA259"/>
  <c r="T297" i="118"/>
  <c r="AD243"/>
  <c r="AD52" s="1"/>
  <c r="AB230"/>
  <c r="N456" i="117"/>
  <c r="O169" i="11"/>
  <c r="N313" i="117"/>
  <c r="O145" i="11"/>
  <c r="AD470" i="121"/>
  <c r="AC470"/>
  <c r="AG334"/>
  <c r="AB334"/>
  <c r="Z334"/>
  <c r="Z228"/>
  <c r="X228"/>
  <c r="AB127" i="28"/>
  <c r="AI437"/>
  <c r="AI62" s="1"/>
  <c r="AP437"/>
  <c r="AP62" s="1"/>
  <c r="AK437"/>
  <c r="AK62" s="1"/>
  <c r="AI420"/>
  <c r="AK420"/>
  <c r="AG243"/>
  <c r="AG52" s="1"/>
  <c r="AI243"/>
  <c r="AI52" s="1"/>
  <c r="AE243"/>
  <c r="AE52" s="1"/>
  <c r="X230"/>
  <c r="AJ230"/>
  <c r="AS411" i="119"/>
  <c r="AS60" s="1"/>
  <c r="AK306"/>
  <c r="AK55" s="1"/>
  <c r="AJ454"/>
  <c r="AI172"/>
  <c r="AF172"/>
  <c r="W454"/>
  <c r="U217"/>
  <c r="X104"/>
  <c r="AA104"/>
  <c r="AH104"/>
  <c r="AC104"/>
  <c r="AD104"/>
  <c r="AB471" i="118"/>
  <c r="T339"/>
  <c r="N254"/>
  <c r="W259" i="119"/>
  <c r="AC259"/>
  <c r="AK259"/>
  <c r="AH234"/>
  <c r="AD172"/>
  <c r="AK453" i="121"/>
  <c r="AB108"/>
  <c r="AD108"/>
  <c r="AG146" i="28"/>
  <c r="AC146"/>
  <c r="AH217" i="119"/>
  <c r="Z358" i="118"/>
  <c r="S117"/>
  <c r="S46" s="1"/>
  <c r="W454"/>
  <c r="Y454"/>
  <c r="X424"/>
  <c r="N317" i="117"/>
  <c r="O98" i="11"/>
  <c r="Z488" i="116"/>
  <c r="AF488"/>
  <c r="AA488"/>
  <c r="AH488"/>
  <c r="AC460"/>
  <c r="AH460"/>
  <c r="AG460"/>
  <c r="V343"/>
  <c r="AH343"/>
  <c r="X343"/>
  <c r="AA335"/>
  <c r="AG335"/>
  <c r="AE292"/>
  <c r="AH292"/>
  <c r="U138"/>
  <c r="U47" s="1"/>
  <c r="Z138"/>
  <c r="Z47" s="1"/>
  <c r="AF138"/>
  <c r="AF47" s="1"/>
  <c r="V138"/>
  <c r="V47" s="1"/>
  <c r="AG138"/>
  <c r="AG47" s="1"/>
  <c r="W138"/>
  <c r="W47" s="1"/>
  <c r="AA138"/>
  <c r="AA47" s="1"/>
  <c r="AI138"/>
  <c r="AI47" s="1"/>
  <c r="N293" i="119"/>
  <c r="AI293" s="1"/>
  <c r="O156" i="11"/>
  <c r="AF208" i="119"/>
  <c r="X208"/>
  <c r="AH208"/>
  <c r="AK470" i="121"/>
  <c r="AC274"/>
  <c r="Y337"/>
  <c r="AA337"/>
  <c r="AF337"/>
  <c r="AC187"/>
  <c r="S187"/>
  <c r="W473" i="28"/>
  <c r="AK424" i="119"/>
  <c r="AG259"/>
  <c r="AB424"/>
  <c r="W208"/>
  <c r="N293" i="118"/>
  <c r="Y293" s="1"/>
  <c r="L161" i="11"/>
  <c r="AE138" i="116"/>
  <c r="AE47" s="1"/>
  <c r="AA463" i="119"/>
  <c r="AF463"/>
  <c r="AH463"/>
  <c r="AH252"/>
  <c r="AK252"/>
  <c r="AG252"/>
  <c r="AJ252"/>
  <c r="AD252"/>
  <c r="AI252"/>
  <c r="T217"/>
  <c r="AJ217"/>
  <c r="AF217"/>
  <c r="V217"/>
  <c r="AI217"/>
  <c r="AE217"/>
  <c r="S172"/>
  <c r="AC172"/>
  <c r="X172"/>
  <c r="AA172"/>
  <c r="AE172"/>
  <c r="AH172"/>
  <c r="U172"/>
  <c r="AB172"/>
  <c r="AG172"/>
  <c r="AK172"/>
  <c r="AJ403" i="28"/>
  <c r="AC150"/>
  <c r="AK208" i="119"/>
  <c r="AI187" i="121"/>
  <c r="AD154"/>
  <c r="AD150" i="28"/>
  <c r="AA213"/>
  <c r="U473"/>
  <c r="AT411" i="119"/>
  <c r="AT60" s="1"/>
  <c r="AH476"/>
  <c r="AG217"/>
  <c r="W172"/>
  <c r="AG437"/>
  <c r="AG62" s="1"/>
  <c r="AT437"/>
  <c r="AT62" s="1"/>
  <c r="AK402"/>
  <c r="N271"/>
  <c r="T271" s="1"/>
  <c r="O143" i="11"/>
  <c r="W402" i="118"/>
  <c r="AG343" i="116"/>
  <c r="AA274"/>
  <c r="AC298" i="118"/>
  <c r="S255"/>
  <c r="AA298"/>
  <c r="AJ417" i="121"/>
  <c r="S417"/>
  <c r="AD133"/>
  <c r="Y133"/>
  <c r="AJ427" i="28"/>
  <c r="AH427"/>
  <c r="Y427"/>
  <c r="X109" i="119"/>
  <c r="AA109"/>
  <c r="Z109"/>
  <c r="AB274" i="121"/>
  <c r="W274"/>
  <c r="V274"/>
  <c r="X274"/>
  <c r="AD274"/>
  <c r="AG274"/>
  <c r="AI274"/>
  <c r="AK274"/>
  <c r="Z105"/>
  <c r="AG105"/>
  <c r="AH125" i="28"/>
  <c r="Z460"/>
  <c r="AC124" i="121"/>
  <c r="AJ124"/>
  <c r="V146" i="119"/>
  <c r="AJ146"/>
  <c r="AH151" i="28"/>
  <c r="AJ419" i="121"/>
  <c r="AE255"/>
  <c r="AI255"/>
  <c r="AH231"/>
  <c r="AK231"/>
  <c r="X378"/>
  <c r="S378"/>
  <c r="AA378"/>
  <c r="Z165"/>
  <c r="AF165"/>
  <c r="Y168"/>
  <c r="AD168"/>
  <c r="AF168"/>
  <c r="AH168"/>
  <c r="S460" i="28"/>
  <c r="R460"/>
  <c r="AD460"/>
  <c r="AC460"/>
  <c r="AB460"/>
  <c r="AJ460"/>
  <c r="W460"/>
  <c r="AI460"/>
  <c r="Y378"/>
  <c r="AC378"/>
  <c r="AI378"/>
  <c r="AI343"/>
  <c r="X343"/>
  <c r="AG250"/>
  <c r="Y250"/>
  <c r="R214"/>
  <c r="AC214"/>
  <c r="AF214"/>
  <c r="AA214"/>
  <c r="U214"/>
  <c r="V214"/>
  <c r="Z214"/>
  <c r="T487" i="119"/>
  <c r="AD487"/>
  <c r="AN390"/>
  <c r="AN59" s="1"/>
  <c r="AP390"/>
  <c r="AP59" s="1"/>
  <c r="N419" i="117"/>
  <c r="K161" i="11"/>
  <c r="N296" i="117"/>
  <c r="O97" i="11"/>
  <c r="S129" i="117"/>
  <c r="S112"/>
  <c r="N106"/>
  <c r="O112" i="11"/>
  <c r="AI168" i="121"/>
  <c r="S337"/>
  <c r="AK337"/>
  <c r="AI337"/>
  <c r="AJ337"/>
  <c r="Z337"/>
  <c r="R187"/>
  <c r="U187"/>
  <c r="Z187"/>
  <c r="AB187"/>
  <c r="T187"/>
  <c r="X187"/>
  <c r="W187"/>
  <c r="AD187"/>
  <c r="U271"/>
  <c r="AI271"/>
  <c r="AA271"/>
  <c r="AE271"/>
  <c r="T335"/>
  <c r="U335"/>
  <c r="AK335"/>
  <c r="AK208"/>
  <c r="AC208"/>
  <c r="AI208"/>
  <c r="AG208"/>
  <c r="Z196"/>
  <c r="V196"/>
  <c r="AN201"/>
  <c r="AN50" s="1"/>
  <c r="AM201"/>
  <c r="AM50" s="1"/>
  <c r="Z201"/>
  <c r="Z50" s="1"/>
  <c r="AU201"/>
  <c r="AU50" s="1"/>
  <c r="X201"/>
  <c r="X50" s="1"/>
  <c r="AF378" i="28"/>
  <c r="AT390" i="121"/>
  <c r="AT59" s="1"/>
  <c r="AA460" i="28"/>
  <c r="AG447"/>
  <c r="AG64" s="1"/>
  <c r="AO447"/>
  <c r="AO64" s="1"/>
  <c r="AS447"/>
  <c r="AS64" s="1"/>
  <c r="AC255" i="119"/>
  <c r="AB255"/>
  <c r="AE390" i="121"/>
  <c r="AE59" s="1"/>
  <c r="AB354"/>
  <c r="AH460" i="28"/>
  <c r="AG460"/>
  <c r="AB256"/>
  <c r="AK495"/>
  <c r="T495"/>
  <c r="AG495"/>
  <c r="V486"/>
  <c r="AD486"/>
  <c r="AI293" i="121"/>
  <c r="AF293"/>
  <c r="O131" i="11"/>
  <c r="AI486" i="28"/>
  <c r="Y214"/>
  <c r="AU390" i="119"/>
  <c r="AU59" s="1"/>
  <c r="AB105"/>
  <c r="R105"/>
  <c r="R274" i="117"/>
  <c r="AH470" i="121"/>
  <c r="AC334"/>
  <c r="Y228"/>
  <c r="T228"/>
  <c r="O123" i="11"/>
  <c r="AH109" i="28"/>
  <c r="R292" i="117"/>
  <c r="AR348" i="121"/>
  <c r="AR57" s="1"/>
  <c r="AK334"/>
  <c r="AF334"/>
  <c r="W228"/>
  <c r="K134" i="11"/>
  <c r="AG249" i="28"/>
  <c r="W337"/>
  <c r="AC460" i="118"/>
  <c r="W460"/>
  <c r="AA274"/>
  <c r="Y256"/>
  <c r="AA256"/>
  <c r="Z256"/>
  <c r="W214"/>
  <c r="AC214"/>
  <c r="T214"/>
  <c r="Y214"/>
  <c r="U214"/>
  <c r="AC201"/>
  <c r="AC50" s="1"/>
  <c r="AA188"/>
  <c r="AC188"/>
  <c r="AB133"/>
  <c r="W133"/>
  <c r="R125"/>
  <c r="Y125"/>
  <c r="AC125"/>
  <c r="X125"/>
  <c r="AA125"/>
  <c r="V125"/>
  <c r="S125"/>
  <c r="AB165"/>
  <c r="AC165"/>
  <c r="X165"/>
  <c r="S165"/>
  <c r="W127" i="28"/>
  <c r="AM348" i="121"/>
  <c r="AM57" s="1"/>
  <c r="AK459"/>
  <c r="AB201" i="118"/>
  <c r="AB50" s="1"/>
  <c r="W485"/>
  <c r="R457"/>
  <c r="Y432"/>
  <c r="Y61" s="1"/>
  <c r="T432"/>
  <c r="T61" s="1"/>
  <c r="AA432"/>
  <c r="AA61" s="1"/>
  <c r="X432"/>
  <c r="X61" s="1"/>
  <c r="Z432"/>
  <c r="Z61" s="1"/>
  <c r="Z419"/>
  <c r="V357"/>
  <c r="U357"/>
  <c r="AA357"/>
  <c r="AB357"/>
  <c r="S357"/>
  <c r="Z339"/>
  <c r="X339"/>
  <c r="AB327"/>
  <c r="AB56" s="1"/>
  <c r="AC327"/>
  <c r="AC56" s="1"/>
  <c r="W271"/>
  <c r="AI222" i="28"/>
  <c r="AI51" s="1"/>
  <c r="AD222"/>
  <c r="AD51" s="1"/>
  <c r="AS348" i="121"/>
  <c r="AS57" s="1"/>
  <c r="AJ459"/>
  <c r="AI400"/>
  <c r="AC228"/>
  <c r="AH169" i="28"/>
  <c r="V104"/>
  <c r="AA165" i="118"/>
  <c r="W291"/>
  <c r="W273"/>
  <c r="T255"/>
  <c r="Y255"/>
  <c r="Z255"/>
  <c r="W231"/>
  <c r="X213"/>
  <c r="X196"/>
  <c r="AA196"/>
  <c r="Z196"/>
  <c r="AB187"/>
  <c r="U187"/>
  <c r="AA187"/>
  <c r="AC187"/>
  <c r="S298" i="117"/>
  <c r="AA228" i="118"/>
  <c r="AC228"/>
  <c r="S228"/>
  <c r="Y210"/>
  <c r="Z376" i="119"/>
  <c r="AD376"/>
  <c r="AS437"/>
  <c r="AS62" s="1"/>
  <c r="AO437"/>
  <c r="AO62" s="1"/>
  <c r="AJ385"/>
  <c r="S228" i="117"/>
  <c r="AC402" i="118"/>
  <c r="U402"/>
  <c r="S402"/>
  <c r="K172" i="11"/>
  <c r="U491" i="121"/>
  <c r="W491"/>
  <c r="AG491"/>
  <c r="AQ117"/>
  <c r="AQ46" s="1"/>
  <c r="V424"/>
  <c r="R424"/>
  <c r="AG424"/>
  <c r="T424"/>
  <c r="AF424"/>
  <c r="AE217" i="116"/>
  <c r="AK491" i="121"/>
  <c r="AK315"/>
  <c r="AJ315"/>
  <c r="AI491"/>
  <c r="AH459"/>
  <c r="AE417"/>
  <c r="AC491"/>
  <c r="U109"/>
  <c r="W109"/>
  <c r="Z109"/>
  <c r="AF295"/>
  <c r="T295"/>
  <c r="T470"/>
  <c r="R470"/>
  <c r="AB470"/>
  <c r="X334"/>
  <c r="AE334"/>
  <c r="AH255" i="28"/>
  <c r="AI109" i="119"/>
  <c r="AC315" i="121"/>
  <c r="Z315"/>
  <c r="AB315"/>
  <c r="AH319" i="28"/>
  <c r="AI319"/>
  <c r="S319"/>
  <c r="AK234"/>
  <c r="AJ234"/>
  <c r="T145"/>
  <c r="AA145"/>
  <c r="W479" i="119"/>
  <c r="AK479"/>
  <c r="AC479"/>
  <c r="AC102"/>
  <c r="AG102"/>
  <c r="AH491" i="121"/>
  <c r="U424"/>
  <c r="AK399" i="119"/>
  <c r="AD399"/>
  <c r="AF222"/>
  <c r="AF51" s="1"/>
  <c r="Y222"/>
  <c r="Y51" s="1"/>
  <c r="AL222"/>
  <c r="AL51" s="1"/>
  <c r="V222"/>
  <c r="V51" s="1"/>
  <c r="X222"/>
  <c r="X51" s="1"/>
  <c r="AN222"/>
  <c r="AN51" s="1"/>
  <c r="AJ105"/>
  <c r="U105"/>
  <c r="AD105"/>
  <c r="AG105"/>
  <c r="T105"/>
  <c r="W105"/>
  <c r="AC105"/>
  <c r="V105"/>
  <c r="AK105"/>
  <c r="S105"/>
  <c r="X105"/>
  <c r="Z105"/>
  <c r="AF105"/>
  <c r="AH105"/>
  <c r="AA105"/>
  <c r="AE105"/>
  <c r="N216" i="117"/>
  <c r="O106" i="11"/>
  <c r="S171" i="117"/>
  <c r="AK417" i="121"/>
  <c r="AJ491"/>
  <c r="AI228"/>
  <c r="AG479"/>
  <c r="AB491"/>
  <c r="AB419"/>
  <c r="S424"/>
  <c r="AJ318"/>
  <c r="AB318"/>
  <c r="AG318"/>
  <c r="X255"/>
  <c r="AF274"/>
  <c r="AA274"/>
  <c r="R337"/>
  <c r="T337"/>
  <c r="W337"/>
  <c r="AC337"/>
  <c r="AD337"/>
  <c r="AG337"/>
  <c r="AC293"/>
  <c r="AB293"/>
  <c r="AG293"/>
  <c r="AO96" i="28"/>
  <c r="AO45" s="1"/>
  <c r="AH486"/>
  <c r="AD154"/>
  <c r="U340"/>
  <c r="W312" i="119"/>
  <c r="Y491" i="121"/>
  <c r="Y360"/>
  <c r="AA264" i="119"/>
  <c r="AA53" s="1"/>
  <c r="Z264"/>
  <c r="Z53" s="1"/>
  <c r="N166"/>
  <c r="Y166" s="1"/>
  <c r="O141" i="11"/>
  <c r="N109" i="116"/>
  <c r="W109" s="1"/>
  <c r="O180" i="11"/>
  <c r="Z424" i="121"/>
  <c r="U127"/>
  <c r="AD127"/>
  <c r="AJ355" i="119"/>
  <c r="AF355"/>
  <c r="Z235"/>
  <c r="AD235"/>
  <c r="AJ235"/>
  <c r="X235"/>
  <c r="AF235"/>
  <c r="AH235"/>
  <c r="V235"/>
  <c r="Y235"/>
  <c r="W109"/>
  <c r="AE109"/>
  <c r="U109"/>
  <c r="AC109"/>
  <c r="AH109"/>
  <c r="Y109"/>
  <c r="AJ109"/>
  <c r="AK109"/>
  <c r="AI424" i="121"/>
  <c r="AI124"/>
  <c r="AH127"/>
  <c r="AA333"/>
  <c r="Y424"/>
  <c r="S459"/>
  <c r="AD459"/>
  <c r="AA459"/>
  <c r="U333"/>
  <c r="AI421" i="28"/>
  <c r="AF421"/>
  <c r="W255"/>
  <c r="AH150"/>
  <c r="AG150"/>
  <c r="AB150"/>
  <c r="AI105" i="119"/>
  <c r="AB109"/>
  <c r="Y105"/>
  <c r="Y280" i="118"/>
  <c r="T280"/>
  <c r="V280"/>
  <c r="AA280"/>
  <c r="AC280"/>
  <c r="W229"/>
  <c r="Z229"/>
  <c r="AB217" i="28"/>
  <c r="AF217"/>
  <c r="AJ424" i="121"/>
  <c r="Z491"/>
  <c r="AK340"/>
  <c r="Z340"/>
  <c r="U138" i="28"/>
  <c r="U47" s="1"/>
  <c r="AH138"/>
  <c r="AH47" s="1"/>
  <c r="AQ138"/>
  <c r="AQ47" s="1"/>
  <c r="AN138"/>
  <c r="AN47" s="1"/>
  <c r="AS138"/>
  <c r="AS47" s="1"/>
  <c r="AP138"/>
  <c r="AP47" s="1"/>
  <c r="AA159" i="119"/>
  <c r="AA48" s="1"/>
  <c r="AN159"/>
  <c r="AN48" s="1"/>
  <c r="AU159"/>
  <c r="AU48" s="1"/>
  <c r="AI159"/>
  <c r="AI48" s="1"/>
  <c r="AK424" i="121"/>
  <c r="AH424"/>
  <c r="AG459"/>
  <c r="AG315"/>
  <c r="AD491"/>
  <c r="AA491"/>
  <c r="X491"/>
  <c r="AK145" i="28"/>
  <c r="AA486"/>
  <c r="X145"/>
  <c r="AN437"/>
  <c r="AN62" s="1"/>
  <c r="AT437"/>
  <c r="AT62" s="1"/>
  <c r="AF333"/>
  <c r="AE333"/>
  <c r="AG297"/>
  <c r="AH297"/>
  <c r="S285"/>
  <c r="S54" s="1"/>
  <c r="AR285"/>
  <c r="AR54" s="1"/>
  <c r="X272"/>
  <c r="AG272"/>
  <c r="AF272"/>
  <c r="W272"/>
  <c r="S243"/>
  <c r="S52" s="1"/>
  <c r="AJ243"/>
  <c r="AJ52" s="1"/>
  <c r="Z243"/>
  <c r="Z52" s="1"/>
  <c r="AD243"/>
  <c r="AD52" s="1"/>
  <c r="AH243"/>
  <c r="AH52" s="1"/>
  <c r="Y230"/>
  <c r="AB230"/>
  <c r="AD230"/>
  <c r="T230"/>
  <c r="AE230"/>
  <c r="AI230"/>
  <c r="AK168"/>
  <c r="AA168"/>
  <c r="W492" i="118"/>
  <c r="Z492"/>
  <c r="U492"/>
  <c r="Y492"/>
  <c r="AA492"/>
  <c r="AA479"/>
  <c r="AC479"/>
  <c r="Z470"/>
  <c r="AA470"/>
  <c r="V418"/>
  <c r="AA418"/>
  <c r="Z400"/>
  <c r="AC313"/>
  <c r="Z313"/>
  <c r="AK427" i="28"/>
  <c r="AG427"/>
  <c r="AD455"/>
  <c r="AD109"/>
  <c r="Z105"/>
  <c r="U427"/>
  <c r="S104" i="117"/>
  <c r="AG378" i="28"/>
  <c r="AC127"/>
  <c r="Z252" i="118"/>
  <c r="AB453"/>
  <c r="AA453"/>
  <c r="AC453"/>
  <c r="AE255" i="119"/>
  <c r="R235" i="118"/>
  <c r="U235"/>
  <c r="AC235"/>
  <c r="S235"/>
  <c r="X235"/>
  <c r="X222"/>
  <c r="X51" s="1"/>
  <c r="AB222"/>
  <c r="AB51" s="1"/>
  <c r="AA222"/>
  <c r="AA51" s="1"/>
  <c r="AC104"/>
  <c r="S154" i="117"/>
  <c r="AC487" i="119"/>
  <c r="AJ487"/>
  <c r="AI403"/>
  <c r="X403"/>
  <c r="V460" i="118"/>
  <c r="X460"/>
  <c r="S334" i="117"/>
  <c r="AH472" i="119"/>
  <c r="Y472"/>
  <c r="X402"/>
  <c r="Y402"/>
  <c r="AD402"/>
  <c r="AE402"/>
  <c r="AJ402"/>
  <c r="W385"/>
  <c r="AK385"/>
  <c r="AG358"/>
  <c r="AH358"/>
  <c r="AD243"/>
  <c r="AD52" s="1"/>
  <c r="AT243"/>
  <c r="AT52" s="1"/>
  <c r="Z235" i="118"/>
  <c r="T235"/>
  <c r="AC222"/>
  <c r="AC51" s="1"/>
  <c r="Y460"/>
  <c r="Z243"/>
  <c r="Z52" s="1"/>
  <c r="AA243"/>
  <c r="AA52" s="1"/>
  <c r="AB243"/>
  <c r="AB52" s="1"/>
  <c r="W432"/>
  <c r="W61" s="1"/>
  <c r="AD313" i="28"/>
  <c r="AJ313"/>
  <c r="V147"/>
  <c r="AD147"/>
  <c r="AK147"/>
  <c r="AB147"/>
  <c r="U105"/>
  <c r="T105"/>
  <c r="AH105"/>
  <c r="AA105"/>
  <c r="AC105"/>
  <c r="Y105"/>
  <c r="AK105"/>
  <c r="V105"/>
  <c r="R390" i="120"/>
  <c r="R59" s="1"/>
  <c r="AE485" i="116"/>
  <c r="U485"/>
  <c r="Z485"/>
  <c r="AH485"/>
  <c r="X485"/>
  <c r="AD485"/>
  <c r="Z471"/>
  <c r="AB471"/>
  <c r="Y471"/>
  <c r="S471"/>
  <c r="AF471"/>
  <c r="AE471"/>
  <c r="AD471"/>
  <c r="AG471"/>
  <c r="W471"/>
  <c r="AF457"/>
  <c r="AB457"/>
  <c r="AE419"/>
  <c r="AH419"/>
  <c r="AB419"/>
  <c r="AG419"/>
  <c r="AD419"/>
  <c r="U419"/>
  <c r="Z419"/>
  <c r="AA419"/>
  <c r="AF419"/>
  <c r="Z401"/>
  <c r="AH375"/>
  <c r="AE357"/>
  <c r="Y357"/>
  <c r="AC339"/>
  <c r="AH339"/>
  <c r="Z339"/>
  <c r="V327"/>
  <c r="V56" s="1"/>
  <c r="AI327"/>
  <c r="AI56" s="1"/>
  <c r="AF280"/>
  <c r="AD238"/>
  <c r="AH238"/>
  <c r="AC238"/>
  <c r="AG238"/>
  <c r="T229"/>
  <c r="AG229"/>
  <c r="AB229"/>
  <c r="AC229"/>
  <c r="AH229"/>
  <c r="U229"/>
  <c r="Y229"/>
  <c r="Z229"/>
  <c r="X229"/>
  <c r="AA229"/>
  <c r="AE229"/>
  <c r="AD229"/>
  <c r="AF229"/>
  <c r="V229"/>
  <c r="W229"/>
  <c r="AA211"/>
  <c r="N186"/>
  <c r="T186" s="1"/>
  <c r="O122" i="11"/>
  <c r="Y249" i="121"/>
  <c r="AE249"/>
  <c r="AK249"/>
  <c r="AR390"/>
  <c r="AR59" s="1"/>
  <c r="V390"/>
  <c r="V59" s="1"/>
  <c r="AA390"/>
  <c r="AA59" s="1"/>
  <c r="AC390"/>
  <c r="AC59" s="1"/>
  <c r="AQ390"/>
  <c r="AQ59" s="1"/>
  <c r="AU390"/>
  <c r="AU59" s="1"/>
  <c r="AF390"/>
  <c r="AF59" s="1"/>
  <c r="AP390"/>
  <c r="AP59" s="1"/>
  <c r="AK390"/>
  <c r="AK59" s="1"/>
  <c r="W390"/>
  <c r="W59" s="1"/>
  <c r="AN390"/>
  <c r="AN59" s="1"/>
  <c r="AO390"/>
  <c r="AO59" s="1"/>
  <c r="AM390"/>
  <c r="AM59" s="1"/>
  <c r="Z485"/>
  <c r="AG485"/>
  <c r="T485"/>
  <c r="AE485"/>
  <c r="AK485"/>
  <c r="AC485"/>
  <c r="AF485"/>
  <c r="R488"/>
  <c r="X488"/>
  <c r="AG488"/>
  <c r="AJ488"/>
  <c r="AE488"/>
  <c r="AI488"/>
  <c r="AC147" i="28"/>
  <c r="AG427" i="116"/>
  <c r="AC427"/>
  <c r="V427"/>
  <c r="AF427"/>
  <c r="T427"/>
  <c r="AH427"/>
  <c r="AB427"/>
  <c r="AE427"/>
  <c r="AH418"/>
  <c r="AF418"/>
  <c r="Y418"/>
  <c r="AF400"/>
  <c r="AD400"/>
  <c r="AG382"/>
  <c r="AH382"/>
  <c r="Y382"/>
  <c r="AE382"/>
  <c r="AF382"/>
  <c r="AB382"/>
  <c r="AA382"/>
  <c r="Z382"/>
  <c r="W369"/>
  <c r="W58" s="1"/>
  <c r="AH369"/>
  <c r="AH58" s="1"/>
  <c r="AI369"/>
  <c r="AI58" s="1"/>
  <c r="AA369"/>
  <c r="AA58" s="1"/>
  <c r="Z369"/>
  <c r="Z58" s="1"/>
  <c r="AC369"/>
  <c r="AC58" s="1"/>
  <c r="AB369"/>
  <c r="AB58" s="1"/>
  <c r="Y369"/>
  <c r="Y58" s="1"/>
  <c r="AF369"/>
  <c r="AF58" s="1"/>
  <c r="AD313"/>
  <c r="AE313"/>
  <c r="AH313"/>
  <c r="AB313"/>
  <c r="AF313"/>
  <c r="N295"/>
  <c r="J117" i="11"/>
  <c r="AG270" i="116"/>
  <c r="AB270"/>
  <c r="AA270"/>
  <c r="Z270"/>
  <c r="Z237"/>
  <c r="AJ485" i="121"/>
  <c r="AD390"/>
  <c r="AD59" s="1"/>
  <c r="AD411"/>
  <c r="AD60" s="1"/>
  <c r="Y276"/>
  <c r="AE276"/>
  <c r="AC423"/>
  <c r="AK423"/>
  <c r="Z138"/>
  <c r="Z47" s="1"/>
  <c r="AL138"/>
  <c r="AL47" s="1"/>
  <c r="AS138"/>
  <c r="AS47" s="1"/>
  <c r="AJ138"/>
  <c r="AJ47" s="1"/>
  <c r="AQ138"/>
  <c r="AQ47" s="1"/>
  <c r="S138"/>
  <c r="S47" s="1"/>
  <c r="T222"/>
  <c r="T51" s="1"/>
  <c r="AH222"/>
  <c r="AH51" s="1"/>
  <c r="AR222"/>
  <c r="AR51" s="1"/>
  <c r="AF306"/>
  <c r="AF55" s="1"/>
  <c r="AA306"/>
  <c r="AA55" s="1"/>
  <c r="AK306"/>
  <c r="AK55" s="1"/>
  <c r="AT306"/>
  <c r="AT55" s="1"/>
  <c r="AE306"/>
  <c r="AE55" s="1"/>
  <c r="AR306"/>
  <c r="AR55" s="1"/>
  <c r="AM306"/>
  <c r="AM55" s="1"/>
  <c r="Y306"/>
  <c r="Y55" s="1"/>
  <c r="AQ306"/>
  <c r="AQ55" s="1"/>
  <c r="W96"/>
  <c r="W45" s="1"/>
  <c r="AA96"/>
  <c r="AA45" s="1"/>
  <c r="AE96"/>
  <c r="AE45" s="1"/>
  <c r="AF96"/>
  <c r="AF45" s="1"/>
  <c r="AO96"/>
  <c r="AO45" s="1"/>
  <c r="V463"/>
  <c r="W463"/>
  <c r="R463"/>
  <c r="AH463"/>
  <c r="AK463"/>
  <c r="R382" i="28"/>
  <c r="AH382"/>
  <c r="AE369"/>
  <c r="AE58" s="1"/>
  <c r="AM369"/>
  <c r="AM58" s="1"/>
  <c r="AA369"/>
  <c r="AA58" s="1"/>
  <c r="AH369"/>
  <c r="AH58" s="1"/>
  <c r="AC369"/>
  <c r="AC58" s="1"/>
  <c r="AL390" i="121"/>
  <c r="AL59" s="1"/>
  <c r="AH488"/>
  <c r="AD488"/>
  <c r="AB488"/>
  <c r="Z396"/>
  <c r="U473"/>
  <c r="AF473"/>
  <c r="AK473"/>
  <c r="AI105"/>
  <c r="AC105"/>
  <c r="Y105"/>
  <c r="AD105"/>
  <c r="AK105"/>
  <c r="AF105"/>
  <c r="AS432" i="119"/>
  <c r="AS61" s="1"/>
  <c r="Z432"/>
  <c r="Z61" s="1"/>
  <c r="AN432"/>
  <c r="AN61" s="1"/>
  <c r="U432"/>
  <c r="U61" s="1"/>
  <c r="AE432"/>
  <c r="AE61" s="1"/>
  <c r="AK419"/>
  <c r="AI419"/>
  <c r="AJ419"/>
  <c r="AH419"/>
  <c r="AG419"/>
  <c r="AB375"/>
  <c r="AC375"/>
  <c r="AK327"/>
  <c r="AK56" s="1"/>
  <c r="AM327"/>
  <c r="AM56" s="1"/>
  <c r="Z314"/>
  <c r="AE314"/>
  <c r="AG314"/>
  <c r="AF314"/>
  <c r="R453" i="117"/>
  <c r="S397"/>
  <c r="N275"/>
  <c r="K108" i="11"/>
  <c r="O96"/>
  <c r="U229" i="121"/>
  <c r="W229"/>
  <c r="W488"/>
  <c r="S105"/>
  <c r="AI231"/>
  <c r="Y231"/>
  <c r="U378"/>
  <c r="W378"/>
  <c r="AK378"/>
  <c r="Z339"/>
  <c r="AA339"/>
  <c r="AH339"/>
  <c r="AJ339"/>
  <c r="AS369" i="28"/>
  <c r="AS58" s="1"/>
  <c r="AO369"/>
  <c r="AO58" s="1"/>
  <c r="AE147"/>
  <c r="AE400" i="116"/>
  <c r="AG105" i="28"/>
  <c r="AU243" i="121"/>
  <c r="AU52" s="1"/>
  <c r="AC489"/>
  <c r="W146"/>
  <c r="AJ146"/>
  <c r="AG210"/>
  <c r="AB105"/>
  <c r="V105"/>
  <c r="S460"/>
  <c r="AK460"/>
  <c r="R105"/>
  <c r="R485"/>
  <c r="R357" i="28"/>
  <c r="AJ357"/>
  <c r="AA357"/>
  <c r="AD357"/>
  <c r="AI357"/>
  <c r="AC357"/>
  <c r="AE357"/>
  <c r="S357"/>
  <c r="AH357"/>
  <c r="AK357"/>
  <c r="AF357"/>
  <c r="AG357"/>
  <c r="Z357"/>
  <c r="AD271"/>
  <c r="AK271"/>
  <c r="AE271"/>
  <c r="AA238"/>
  <c r="AI238"/>
  <c r="AJ238"/>
  <c r="AD112"/>
  <c r="AK112"/>
  <c r="AB112"/>
  <c r="AB106"/>
  <c r="AE106"/>
  <c r="AI106"/>
  <c r="AD102"/>
  <c r="AI102"/>
  <c r="AK102"/>
  <c r="AP432" i="119"/>
  <c r="AP61" s="1"/>
  <c r="AM432"/>
  <c r="AM61" s="1"/>
  <c r="AB399" i="28"/>
  <c r="AH399"/>
  <c r="AE159"/>
  <c r="AE48" s="1"/>
  <c r="AR159"/>
  <c r="AR48" s="1"/>
  <c r="AN348" i="121"/>
  <c r="AN57" s="1"/>
  <c r="AI399"/>
  <c r="AH399"/>
  <c r="AI348"/>
  <c r="AI57" s="1"/>
  <c r="AG109"/>
  <c r="AE109"/>
  <c r="AC399"/>
  <c r="Z399"/>
  <c r="X109"/>
  <c r="AS159" i="28"/>
  <c r="AS48" s="1"/>
  <c r="AJ168"/>
  <c r="AG168"/>
  <c r="AF399"/>
  <c r="AC361"/>
  <c r="Y319"/>
  <c r="AB319"/>
  <c r="AJ319"/>
  <c r="AA319"/>
  <c r="AD319"/>
  <c r="W319"/>
  <c r="AC319"/>
  <c r="AG319"/>
  <c r="AN306"/>
  <c r="AN55" s="1"/>
  <c r="AA306"/>
  <c r="AA55" s="1"/>
  <c r="AD217"/>
  <c r="AE217"/>
  <c r="AJ217"/>
  <c r="T217"/>
  <c r="Z190"/>
  <c r="T190"/>
  <c r="Y190"/>
  <c r="AB190"/>
  <c r="R145"/>
  <c r="Y145"/>
  <c r="V145"/>
  <c r="AI145"/>
  <c r="AF145"/>
  <c r="AJ455" i="119"/>
  <c r="S455"/>
  <c r="AB455"/>
  <c r="AG455"/>
  <c r="AF455"/>
  <c r="AI455"/>
  <c r="AE251" i="116"/>
  <c r="AQ348" i="121"/>
  <c r="AQ57" s="1"/>
  <c r="AJ109"/>
  <c r="AE228"/>
  <c r="AE424"/>
  <c r="AD228"/>
  <c r="AD358"/>
  <c r="AC424"/>
  <c r="AA187"/>
  <c r="Z470"/>
  <c r="Y470"/>
  <c r="W424"/>
  <c r="R109"/>
  <c r="T459"/>
  <c r="U385"/>
  <c r="R208"/>
  <c r="AH190" i="28"/>
  <c r="Z145"/>
  <c r="W190"/>
  <c r="R495"/>
  <c r="S495"/>
  <c r="AD495"/>
  <c r="AI495"/>
  <c r="AC495"/>
  <c r="Y495"/>
  <c r="AH495"/>
  <c r="AJ495"/>
  <c r="V473"/>
  <c r="AC473"/>
  <c r="AJ473"/>
  <c r="AF473"/>
  <c r="T460"/>
  <c r="AF460"/>
  <c r="AK460"/>
  <c r="U460"/>
  <c r="X460"/>
  <c r="AE460"/>
  <c r="AA378"/>
  <c r="AH378"/>
  <c r="AB360"/>
  <c r="AJ360"/>
  <c r="AK399"/>
  <c r="AD399"/>
  <c r="AI109" i="121"/>
  <c r="AI358"/>
  <c r="AG127"/>
  <c r="AF358"/>
  <c r="AD109"/>
  <c r="AD424"/>
  <c r="AB399"/>
  <c r="Z459"/>
  <c r="AA399"/>
  <c r="Z127"/>
  <c r="W459"/>
  <c r="U459"/>
  <c r="S335"/>
  <c r="N117" i="11"/>
  <c r="AI190" i="28"/>
  <c r="W172"/>
  <c r="AP442"/>
  <c r="AP63" s="1"/>
  <c r="AG442"/>
  <c r="AG63" s="1"/>
  <c r="AQ442"/>
  <c r="AQ63" s="1"/>
  <c r="V403"/>
  <c r="AE403"/>
  <c r="AK403"/>
  <c r="AH251" i="116"/>
  <c r="U146" i="28"/>
  <c r="AA251"/>
  <c r="AF251"/>
  <c r="AK399" i="121"/>
  <c r="AH109"/>
  <c r="AF109"/>
  <c r="AA255"/>
  <c r="V109"/>
  <c r="AJ406" i="28"/>
  <c r="AH159"/>
  <c r="AH48" s="1"/>
  <c r="AA396" i="118"/>
  <c r="Z360"/>
  <c r="AC360"/>
  <c r="W343"/>
  <c r="AA343"/>
  <c r="AB343"/>
  <c r="X343"/>
  <c r="T343"/>
  <c r="Y343"/>
  <c r="AC343"/>
  <c r="AA335"/>
  <c r="Y276"/>
  <c r="X276"/>
  <c r="AC276"/>
  <c r="AB276"/>
  <c r="U259"/>
  <c r="V259"/>
  <c r="AB259"/>
  <c r="AC259"/>
  <c r="AA259"/>
  <c r="V252"/>
  <c r="AA252"/>
  <c r="AC252"/>
  <c r="T252"/>
  <c r="S154"/>
  <c r="X145"/>
  <c r="AB145"/>
  <c r="AB103"/>
  <c r="Y103"/>
  <c r="R217" i="117"/>
  <c r="R190"/>
  <c r="U473" i="118"/>
  <c r="AB473"/>
  <c r="S108"/>
  <c r="AA108"/>
  <c r="Z108"/>
  <c r="X96"/>
  <c r="X45" s="1"/>
  <c r="Y96"/>
  <c r="Y45" s="1"/>
  <c r="AD96"/>
  <c r="AD45" s="1"/>
  <c r="W96"/>
  <c r="W45" s="1"/>
  <c r="S96"/>
  <c r="S45" s="1"/>
  <c r="AA96"/>
  <c r="AA45" s="1"/>
  <c r="AC96"/>
  <c r="AC45" s="1"/>
  <c r="U96"/>
  <c r="U45" s="1"/>
  <c r="AB96"/>
  <c r="AB45" s="1"/>
  <c r="AB217" i="116"/>
  <c r="AH217"/>
  <c r="V217"/>
  <c r="AD217"/>
  <c r="AF217"/>
  <c r="AG217"/>
  <c r="U209"/>
  <c r="Y209"/>
  <c r="Z209"/>
  <c r="AF209"/>
  <c r="V209"/>
  <c r="AG209"/>
  <c r="AH209"/>
  <c r="AD209"/>
  <c r="W209"/>
  <c r="Y159"/>
  <c r="Y48" s="1"/>
  <c r="AG159"/>
  <c r="AG48" s="1"/>
  <c r="AA159"/>
  <c r="AA48" s="1"/>
  <c r="AD159"/>
  <c r="AD48" s="1"/>
  <c r="AE159"/>
  <c r="AE48" s="1"/>
  <c r="AI159"/>
  <c r="AI48" s="1"/>
  <c r="U159"/>
  <c r="U48" s="1"/>
  <c r="AC159"/>
  <c r="AC48" s="1"/>
  <c r="AA109" i="28"/>
  <c r="X109"/>
  <c r="S314" i="117"/>
  <c r="S238"/>
  <c r="AH159" i="116"/>
  <c r="AH48" s="1"/>
  <c r="AE209"/>
  <c r="T96" i="118"/>
  <c r="T45" s="1"/>
  <c r="AB209" i="116"/>
  <c r="AA209"/>
  <c r="AI127" i="28"/>
  <c r="Z479" i="119"/>
  <c r="S479"/>
  <c r="AA322"/>
  <c r="AF322"/>
  <c r="AK335"/>
  <c r="AE335"/>
  <c r="AC381" i="118"/>
  <c r="X381"/>
  <c r="Z381"/>
  <c r="Z312"/>
  <c r="U312"/>
  <c r="U280"/>
  <c r="S280"/>
  <c r="X280"/>
  <c r="Z271"/>
  <c r="AB271"/>
  <c r="Y211"/>
  <c r="R335" i="119"/>
  <c r="T335"/>
  <c r="Y335"/>
  <c r="Z335"/>
  <c r="V335"/>
  <c r="V476" i="118"/>
  <c r="U454"/>
  <c r="X454"/>
  <c r="U424"/>
  <c r="AA424"/>
  <c r="R411"/>
  <c r="R60" s="1"/>
  <c r="Y319"/>
  <c r="AD306"/>
  <c r="AD55" s="1"/>
  <c r="AA210"/>
  <c r="AC210"/>
  <c r="AA105"/>
  <c r="R169" i="117"/>
  <c r="S150"/>
  <c r="AJ335" i="119"/>
  <c r="AI492"/>
  <c r="X492"/>
  <c r="W335"/>
  <c r="S335"/>
  <c r="AC312" i="118"/>
  <c r="W475"/>
  <c r="AU348" i="119"/>
  <c r="AU57" s="1"/>
  <c r="AP222"/>
  <c r="AP51" s="1"/>
  <c r="AN348"/>
  <c r="AN57" s="1"/>
  <c r="AK348"/>
  <c r="AK57" s="1"/>
  <c r="AG348"/>
  <c r="AG57" s="1"/>
  <c r="AG235"/>
  <c r="AE337"/>
  <c r="AD476"/>
  <c r="AD292"/>
  <c r="AC348"/>
  <c r="AC57" s="1"/>
  <c r="AC357" i="118"/>
  <c r="AC291"/>
  <c r="AB291"/>
  <c r="AB491"/>
  <c r="Z491"/>
  <c r="S382" i="117"/>
  <c r="W492" i="121"/>
  <c r="AE492"/>
  <c r="AD492"/>
  <c r="AG492"/>
  <c r="AI295" i="28"/>
  <c r="AA295"/>
  <c r="AK211"/>
  <c r="AA211"/>
  <c r="S193"/>
  <c r="Y193"/>
  <c r="AC271" i="116"/>
  <c r="AG271"/>
  <c r="AH271"/>
  <c r="AA376" i="121"/>
  <c r="AK313" i="28"/>
  <c r="AD453"/>
  <c r="V453"/>
  <c r="X453"/>
  <c r="AF453"/>
  <c r="AA453"/>
  <c r="AH476" i="121"/>
  <c r="AK476"/>
  <c r="AD476"/>
  <c r="AI148"/>
  <c r="AH148"/>
  <c r="Y148"/>
  <c r="AJ148"/>
  <c r="AG285"/>
  <c r="AG54" s="1"/>
  <c r="AS285"/>
  <c r="AS54" s="1"/>
  <c r="AF211" i="28"/>
  <c r="X313"/>
  <c r="T272" i="121"/>
  <c r="Z272"/>
  <c r="AF337" i="28"/>
  <c r="R193" i="120"/>
  <c r="S117"/>
  <c r="S46" s="1"/>
  <c r="AF476" i="121"/>
  <c r="AC476"/>
  <c r="Z129"/>
  <c r="V492"/>
  <c r="T379"/>
  <c r="AA421"/>
  <c r="S475"/>
  <c r="X475"/>
  <c r="W475"/>
  <c r="T492"/>
  <c r="AK270" i="28"/>
  <c r="AE313"/>
  <c r="Z274"/>
  <c r="AF274"/>
  <c r="T256"/>
  <c r="AH256"/>
  <c r="S207"/>
  <c r="T207"/>
  <c r="AE207"/>
  <c r="X207"/>
  <c r="AD207"/>
  <c r="AK207"/>
  <c r="AC207"/>
  <c r="U171"/>
  <c r="X171"/>
  <c r="AB171"/>
  <c r="S171"/>
  <c r="R138"/>
  <c r="R47" s="1"/>
  <c r="AB138"/>
  <c r="AB47" s="1"/>
  <c r="AF138"/>
  <c r="AF47" s="1"/>
  <c r="AG138"/>
  <c r="AG47" s="1"/>
  <c r="AR138"/>
  <c r="AR47" s="1"/>
  <c r="AJ138"/>
  <c r="AJ47" s="1"/>
  <c r="X138"/>
  <c r="X47" s="1"/>
  <c r="AO138"/>
  <c r="AO47" s="1"/>
  <c r="AT138"/>
  <c r="AT47" s="1"/>
  <c r="Y138"/>
  <c r="Y47" s="1"/>
  <c r="AL138"/>
  <c r="AL47" s="1"/>
  <c r="AI138"/>
  <c r="AI47" s="1"/>
  <c r="AH108"/>
  <c r="AI108"/>
  <c r="AJ108"/>
  <c r="AG108"/>
  <c r="AC96"/>
  <c r="AC45" s="1"/>
  <c r="AN96"/>
  <c r="AN45" s="1"/>
  <c r="AP96"/>
  <c r="AP45" s="1"/>
  <c r="AL96"/>
  <c r="AL45" s="1"/>
  <c r="AM96"/>
  <c r="AM45" s="1"/>
  <c r="T96"/>
  <c r="T45" s="1"/>
  <c r="R322" i="120"/>
  <c r="AD376" i="121"/>
  <c r="AJ376"/>
  <c r="AB376"/>
  <c r="AF376"/>
  <c r="AC313" i="28"/>
  <c r="AH313"/>
  <c r="AF313"/>
  <c r="AG313"/>
  <c r="AI313"/>
  <c r="R313"/>
  <c r="AA313"/>
  <c r="Y313"/>
  <c r="AB313"/>
  <c r="U313"/>
  <c r="W313"/>
  <c r="AH475" i="121"/>
  <c r="AA492"/>
  <c r="Y273"/>
  <c r="T273"/>
  <c r="AK273"/>
  <c r="AD273"/>
  <c r="AG273"/>
  <c r="X273"/>
  <c r="AF273"/>
  <c r="AQ96" i="28"/>
  <c r="AQ45" s="1"/>
  <c r="AH453"/>
  <c r="Z96"/>
  <c r="Z45" s="1"/>
  <c r="AI492" i="121"/>
  <c r="AC406" i="28"/>
  <c r="T406"/>
  <c r="Z406"/>
  <c r="AF406"/>
  <c r="AG406"/>
  <c r="AH406"/>
  <c r="AI406"/>
  <c r="AK406"/>
  <c r="U406"/>
  <c r="V406"/>
  <c r="AA406"/>
  <c r="S406"/>
  <c r="X406"/>
  <c r="Y406"/>
  <c r="Z476" i="121"/>
  <c r="T473"/>
  <c r="Z417"/>
  <c r="AA417"/>
  <c r="AD417"/>
  <c r="AG417"/>
  <c r="AG354"/>
  <c r="AI354"/>
  <c r="AJ186"/>
  <c r="T186"/>
  <c r="AK186"/>
  <c r="AF333"/>
  <c r="AK333"/>
  <c r="AH333"/>
  <c r="V333"/>
  <c r="X133"/>
  <c r="AE133"/>
  <c r="AK133"/>
  <c r="AJ133"/>
  <c r="V124"/>
  <c r="Z124"/>
  <c r="Y124"/>
  <c r="AB124"/>
  <c r="AG124"/>
  <c r="R167"/>
  <c r="AJ167"/>
  <c r="AA167"/>
  <c r="AB167"/>
  <c r="AD167"/>
  <c r="AI453" i="28"/>
  <c r="AF256"/>
  <c r="AE270"/>
  <c r="AE138"/>
  <c r="AE47" s="1"/>
  <c r="Z492" i="121"/>
  <c r="Z294"/>
  <c r="Y150"/>
  <c r="AI150"/>
  <c r="AI356"/>
  <c r="AK356"/>
  <c r="N397" i="28"/>
  <c r="Y397" s="1"/>
  <c r="O150" i="11"/>
  <c r="AB337" i="28"/>
  <c r="AE337"/>
  <c r="AG193" i="121"/>
  <c r="AH193"/>
  <c r="U298"/>
  <c r="AB298"/>
  <c r="AH298"/>
  <c r="AK298"/>
  <c r="AU411"/>
  <c r="AU60" s="1"/>
  <c r="AM411"/>
  <c r="AM60" s="1"/>
  <c r="AJ298"/>
  <c r="AJ102"/>
  <c r="AI411"/>
  <c r="AI60" s="1"/>
  <c r="V420"/>
  <c r="W420"/>
  <c r="AE420"/>
  <c r="X336"/>
  <c r="AD336"/>
  <c r="U471"/>
  <c r="AH471"/>
  <c r="S470"/>
  <c r="U470"/>
  <c r="V470"/>
  <c r="X470"/>
  <c r="AG470"/>
  <c r="AJ470"/>
  <c r="W470"/>
  <c r="AE470"/>
  <c r="AA470"/>
  <c r="AF470"/>
  <c r="AI470"/>
  <c r="R334"/>
  <c r="U334"/>
  <c r="W334"/>
  <c r="Y334"/>
  <c r="AA334"/>
  <c r="V334"/>
  <c r="T334"/>
  <c r="AD334"/>
  <c r="V228"/>
  <c r="R228"/>
  <c r="AB228"/>
  <c r="AH228"/>
  <c r="AK228"/>
  <c r="S228"/>
  <c r="AJ228"/>
  <c r="AA228"/>
  <c r="AF228"/>
  <c r="AG228"/>
  <c r="AM138" i="28"/>
  <c r="AM47" s="1"/>
  <c r="AJ423"/>
  <c r="AJ96"/>
  <c r="AJ45" s="1"/>
  <c r="AE406"/>
  <c r="W406"/>
  <c r="V295"/>
  <c r="R447" i="120"/>
  <c r="R64" s="1"/>
  <c r="AE234" i="121"/>
  <c r="W234"/>
  <c r="R96"/>
  <c r="R45" s="1"/>
  <c r="Y96"/>
  <c r="Y45" s="1"/>
  <c r="S348" i="120"/>
  <c r="S57" s="1"/>
  <c r="AO442" i="119"/>
  <c r="AO63" s="1"/>
  <c r="R442"/>
  <c r="R63" s="1"/>
  <c r="AD403"/>
  <c r="AE403"/>
  <c r="T403"/>
  <c r="AG403"/>
  <c r="W403"/>
  <c r="S390"/>
  <c r="S59" s="1"/>
  <c r="U390"/>
  <c r="U59" s="1"/>
  <c r="AI390"/>
  <c r="AI59" s="1"/>
  <c r="AJ390"/>
  <c r="AJ59" s="1"/>
  <c r="AM390"/>
  <c r="AM59" s="1"/>
  <c r="W390"/>
  <c r="W59" s="1"/>
  <c r="AB390"/>
  <c r="AB59" s="1"/>
  <c r="X390"/>
  <c r="X59" s="1"/>
  <c r="AD390"/>
  <c r="AD59" s="1"/>
  <c r="AE390"/>
  <c r="AE59" s="1"/>
  <c r="AG390"/>
  <c r="AG59" s="1"/>
  <c r="AS390"/>
  <c r="AS59" s="1"/>
  <c r="AT390"/>
  <c r="AT59" s="1"/>
  <c r="AC390"/>
  <c r="AC59" s="1"/>
  <c r="Y390"/>
  <c r="Y59" s="1"/>
  <c r="AH390"/>
  <c r="AH59" s="1"/>
  <c r="AO390"/>
  <c r="AO59" s="1"/>
  <c r="AQ390"/>
  <c r="AQ59" s="1"/>
  <c r="AR390"/>
  <c r="AR59" s="1"/>
  <c r="AF390"/>
  <c r="AF59" s="1"/>
  <c r="AK390"/>
  <c r="AK59" s="1"/>
  <c r="R377"/>
  <c r="AH377"/>
  <c r="AJ377"/>
  <c r="AG377"/>
  <c r="AT285"/>
  <c r="AT54" s="1"/>
  <c r="AS285"/>
  <c r="AS54" s="1"/>
  <c r="AJ285"/>
  <c r="AJ54" s="1"/>
  <c r="X255"/>
  <c r="S255"/>
  <c r="AH255"/>
  <c r="U255"/>
  <c r="AA255"/>
  <c r="W255"/>
  <c r="AD255"/>
  <c r="Y255"/>
  <c r="Z249"/>
  <c r="AK249"/>
  <c r="V249"/>
  <c r="AD249"/>
  <c r="U213"/>
  <c r="W213"/>
  <c r="T213"/>
  <c r="AA213"/>
  <c r="AK213"/>
  <c r="U196"/>
  <c r="AB196"/>
  <c r="V196"/>
  <c r="AC196"/>
  <c r="AE196"/>
  <c r="AJ196"/>
  <c r="AA196"/>
  <c r="AG196"/>
  <c r="W196"/>
  <c r="Y196"/>
  <c r="AK196"/>
  <c r="X196"/>
  <c r="AH196"/>
  <c r="AF196"/>
  <c r="S196"/>
  <c r="T196"/>
  <c r="AI196"/>
  <c r="AH169"/>
  <c r="AD169"/>
  <c r="N124"/>
  <c r="R124" s="1"/>
  <c r="M152" i="11"/>
  <c r="O138"/>
  <c r="X165" i="119"/>
  <c r="AI165"/>
  <c r="W165"/>
  <c r="U165"/>
  <c r="V165"/>
  <c r="Y165"/>
  <c r="AH165"/>
  <c r="AK165"/>
  <c r="AG165"/>
  <c r="AE165"/>
  <c r="AF165"/>
  <c r="AD165"/>
  <c r="AJ165"/>
  <c r="AC165"/>
  <c r="Y421" i="118"/>
  <c r="R390"/>
  <c r="R59" s="1"/>
  <c r="AB390"/>
  <c r="AB59" s="1"/>
  <c r="Y390"/>
  <c r="Y59" s="1"/>
  <c r="Z390"/>
  <c r="Z59" s="1"/>
  <c r="W390"/>
  <c r="W59" s="1"/>
  <c r="T390"/>
  <c r="T59" s="1"/>
  <c r="AH301" i="116"/>
  <c r="W301"/>
  <c r="AE301"/>
  <c r="X301"/>
  <c r="AF301"/>
  <c r="AD234" i="121"/>
  <c r="T358"/>
  <c r="S358"/>
  <c r="U146"/>
  <c r="AR432" i="28"/>
  <c r="AR61" s="1"/>
  <c r="W432"/>
  <c r="W61" s="1"/>
  <c r="AF334"/>
  <c r="AK334"/>
  <c r="Y334"/>
  <c r="W214"/>
  <c r="AG214"/>
  <c r="AH214"/>
  <c r="T214"/>
  <c r="AB214"/>
  <c r="AE214"/>
  <c r="AJ214"/>
  <c r="S214"/>
  <c r="X214"/>
  <c r="AD214"/>
  <c r="AI214"/>
  <c r="AK255" i="119"/>
  <c r="AG457"/>
  <c r="AA457"/>
  <c r="AK229"/>
  <c r="W229"/>
  <c r="AE193"/>
  <c r="U193"/>
  <c r="AN180"/>
  <c r="AN49" s="1"/>
  <c r="AU180"/>
  <c r="AU49" s="1"/>
  <c r="AG180"/>
  <c r="AG49" s="1"/>
  <c r="W167"/>
  <c r="X167"/>
  <c r="AH167"/>
  <c r="T167"/>
  <c r="AE167"/>
  <c r="S129"/>
  <c r="AI129"/>
  <c r="AJ129"/>
  <c r="W486" i="118"/>
  <c r="AB486"/>
  <c r="W489" i="116"/>
  <c r="X489"/>
  <c r="AE489"/>
  <c r="AB489"/>
  <c r="AB96" i="121"/>
  <c r="AB45" s="1"/>
  <c r="Z276"/>
  <c r="V358"/>
  <c r="W222"/>
  <c r="W51" s="1"/>
  <c r="U274"/>
  <c r="S274"/>
  <c r="AH400" i="28"/>
  <c r="X340"/>
  <c r="AK340"/>
  <c r="AC340"/>
  <c r="X285"/>
  <c r="X54" s="1"/>
  <c r="AI285"/>
  <c r="AI54" s="1"/>
  <c r="AO285"/>
  <c r="AO54" s="1"/>
  <c r="AE285"/>
  <c r="AE54" s="1"/>
  <c r="AS285"/>
  <c r="AS54" s="1"/>
  <c r="AJ285"/>
  <c r="AJ54" s="1"/>
  <c r="W285"/>
  <c r="W54" s="1"/>
  <c r="AE272"/>
  <c r="AD272"/>
  <c r="R243"/>
  <c r="R52" s="1"/>
  <c r="T243"/>
  <c r="T52" s="1"/>
  <c r="X243"/>
  <c r="X52" s="1"/>
  <c r="S230"/>
  <c r="AA230"/>
  <c r="AK230"/>
  <c r="W230"/>
  <c r="AG230"/>
  <c r="AH230"/>
  <c r="AF230"/>
  <c r="U230"/>
  <c r="V230"/>
  <c r="Z230"/>
  <c r="AB213"/>
  <c r="S213"/>
  <c r="U213"/>
  <c r="T196"/>
  <c r="AD196"/>
  <c r="AJ196"/>
  <c r="V196"/>
  <c r="Y150"/>
  <c r="AK150"/>
  <c r="AA390" i="119"/>
  <c r="AA59" s="1"/>
  <c r="T390"/>
  <c r="T59" s="1"/>
  <c r="S211"/>
  <c r="X377" i="118"/>
  <c r="W377"/>
  <c r="AB377"/>
  <c r="AA377"/>
  <c r="AC377"/>
  <c r="Y377"/>
  <c r="Z171"/>
  <c r="W138"/>
  <c r="W47" s="1"/>
  <c r="AD453" i="116"/>
  <c r="AG453"/>
  <c r="Y453"/>
  <c r="AF453"/>
  <c r="AH453"/>
  <c r="AE453"/>
  <c r="AA318"/>
  <c r="AD318"/>
  <c r="AG318"/>
  <c r="AC318"/>
  <c r="AH318"/>
  <c r="N293"/>
  <c r="S293" s="1"/>
  <c r="J161" i="11"/>
  <c r="AB208" i="116"/>
  <c r="AI276" i="121"/>
  <c r="AG222"/>
  <c r="AG51" s="1"/>
  <c r="AA234"/>
  <c r="AA138"/>
  <c r="AA47" s="1"/>
  <c r="X276"/>
  <c r="Y460"/>
  <c r="W138"/>
  <c r="W47" s="1"/>
  <c r="T491"/>
  <c r="AC455" i="28"/>
  <c r="AJ455"/>
  <c r="AK455"/>
  <c r="Z417"/>
  <c r="AF417"/>
  <c r="V399"/>
  <c r="AC399"/>
  <c r="AI399"/>
  <c r="AE399"/>
  <c r="AA399"/>
  <c r="AJ399"/>
  <c r="AA382"/>
  <c r="S382"/>
  <c r="U382"/>
  <c r="W382"/>
  <c r="AJ382"/>
  <c r="V382"/>
  <c r="U369"/>
  <c r="U58" s="1"/>
  <c r="AN369"/>
  <c r="AN58" s="1"/>
  <c r="AR369"/>
  <c r="AR58" s="1"/>
  <c r="AT369"/>
  <c r="AT58" s="1"/>
  <c r="V357"/>
  <c r="U357"/>
  <c r="W357"/>
  <c r="AB357"/>
  <c r="Y357"/>
  <c r="AH339"/>
  <c r="AL390" i="119"/>
  <c r="AL59" s="1"/>
  <c r="AK403"/>
  <c r="AH403"/>
  <c r="AG255"/>
  <c r="Z390"/>
  <c r="Z59" s="1"/>
  <c r="Z255"/>
  <c r="V390"/>
  <c r="V59" s="1"/>
  <c r="R209" i="120"/>
  <c r="AA427" i="119"/>
  <c r="AH427"/>
  <c r="AI427"/>
  <c r="AG400"/>
  <c r="AC400"/>
  <c r="AA400"/>
  <c r="AJ400"/>
  <c r="AB369"/>
  <c r="AB58" s="1"/>
  <c r="AT369"/>
  <c r="AT58" s="1"/>
  <c r="Z369"/>
  <c r="Z58" s="1"/>
  <c r="V313"/>
  <c r="AI313"/>
  <c r="R102"/>
  <c r="S102"/>
  <c r="W102"/>
  <c r="Z102"/>
  <c r="AA102"/>
  <c r="AB102"/>
  <c r="AF102"/>
  <c r="AH102"/>
  <c r="AI102"/>
  <c r="U102"/>
  <c r="S175" i="117"/>
  <c r="R175"/>
  <c r="AF476" i="116"/>
  <c r="AH476"/>
  <c r="AA476"/>
  <c r="U463"/>
  <c r="S463"/>
  <c r="W454"/>
  <c r="AA424"/>
  <c r="Y424"/>
  <c r="AH424"/>
  <c r="AH411"/>
  <c r="AH60" s="1"/>
  <c r="AF411"/>
  <c r="AF60" s="1"/>
  <c r="V411"/>
  <c r="V60" s="1"/>
  <c r="AI411"/>
  <c r="AI60" s="1"/>
  <c r="AD411"/>
  <c r="AD60" s="1"/>
  <c r="T411"/>
  <c r="T60" s="1"/>
  <c r="Z354"/>
  <c r="AH319"/>
  <c r="AE306"/>
  <c r="AE55" s="1"/>
  <c r="AI306"/>
  <c r="AI55" s="1"/>
  <c r="AF306"/>
  <c r="AF55" s="1"/>
  <c r="AG306"/>
  <c r="AG55" s="1"/>
  <c r="X306"/>
  <c r="X55" s="1"/>
  <c r="AB306"/>
  <c r="AB55" s="1"/>
  <c r="AH306"/>
  <c r="AH55" s="1"/>
  <c r="Y306"/>
  <c r="Y55" s="1"/>
  <c r="AE276"/>
  <c r="R259"/>
  <c r="AC259"/>
  <c r="AF259"/>
  <c r="AH259"/>
  <c r="U259"/>
  <c r="X259"/>
  <c r="AD259"/>
  <c r="AE259"/>
  <c r="W259"/>
  <c r="AF252"/>
  <c r="U252"/>
  <c r="W252"/>
  <c r="X252"/>
  <c r="AH252"/>
  <c r="AE252"/>
  <c r="Z252"/>
  <c r="AD252"/>
  <c r="AG252"/>
  <c r="AH238" i="28"/>
  <c r="AH168"/>
  <c r="AJ102" i="119"/>
  <c r="R463" i="118"/>
  <c r="AC463"/>
  <c r="AB463"/>
  <c r="W463"/>
  <c r="V455"/>
  <c r="AA455"/>
  <c r="Y238"/>
  <c r="R229"/>
  <c r="AC229"/>
  <c r="U229"/>
  <c r="AA229"/>
  <c r="AB229"/>
  <c r="V229"/>
  <c r="Y229"/>
  <c r="S229"/>
  <c r="T229"/>
  <c r="X211"/>
  <c r="Z211"/>
  <c r="AA211"/>
  <c r="V211"/>
  <c r="S193"/>
  <c r="Y193"/>
  <c r="W193"/>
  <c r="Z193"/>
  <c r="T180"/>
  <c r="T49" s="1"/>
  <c r="S180"/>
  <c r="S49" s="1"/>
  <c r="Z180"/>
  <c r="Z49" s="1"/>
  <c r="U167"/>
  <c r="V167"/>
  <c r="AC167"/>
  <c r="AA167"/>
  <c r="Z167"/>
  <c r="W167"/>
  <c r="AF495" i="28"/>
  <c r="AF229"/>
  <c r="AE495"/>
  <c r="Y473"/>
  <c r="R427" i="120"/>
  <c r="R201"/>
  <c r="R50" s="1"/>
  <c r="AD102" i="119"/>
  <c r="Y102"/>
  <c r="Z455" i="118"/>
  <c r="S211"/>
  <c r="AJ271" i="28"/>
  <c r="AI473"/>
  <c r="AG486"/>
  <c r="AF486"/>
  <c r="AB473"/>
  <c r="AA495"/>
  <c r="Y460"/>
  <c r="X473"/>
  <c r="W495"/>
  <c r="U495"/>
  <c r="R455" i="120"/>
  <c r="AK102" i="119"/>
  <c r="Z201"/>
  <c r="Z50" s="1"/>
  <c r="AM201"/>
  <c r="AM50" s="1"/>
  <c r="AK201"/>
  <c r="AK50" s="1"/>
  <c r="AB211" i="118"/>
  <c r="AA180"/>
  <c r="AA49" s="1"/>
  <c r="X229"/>
  <c r="T193"/>
  <c r="AJ495" i="119"/>
  <c r="AK495"/>
  <c r="AH420"/>
  <c r="X420"/>
  <c r="Y420"/>
  <c r="AJ420"/>
  <c r="T402"/>
  <c r="AA402"/>
  <c r="AC402"/>
  <c r="U402"/>
  <c r="AG402"/>
  <c r="Z402"/>
  <c r="AH402"/>
  <c r="AH376"/>
  <c r="AK376"/>
  <c r="AC376"/>
  <c r="AI376"/>
  <c r="AJ376"/>
  <c r="AF280"/>
  <c r="AI280"/>
  <c r="T280"/>
  <c r="AK280"/>
  <c r="R406" i="117"/>
  <c r="S406"/>
  <c r="S147"/>
  <c r="R147"/>
  <c r="AP437" i="119"/>
  <c r="AP62" s="1"/>
  <c r="AC280"/>
  <c r="W376"/>
  <c r="V280"/>
  <c r="S376"/>
  <c r="W469"/>
  <c r="AF469"/>
  <c r="AG469"/>
  <c r="AJ469"/>
  <c r="AG312"/>
  <c r="AK312"/>
  <c r="U312"/>
  <c r="R437" i="118"/>
  <c r="R62" s="1"/>
  <c r="AA437"/>
  <c r="AA62" s="1"/>
  <c r="AB437"/>
  <c r="AB62" s="1"/>
  <c r="T437"/>
  <c r="T62" s="1"/>
  <c r="Z437"/>
  <c r="Z62" s="1"/>
  <c r="AA402"/>
  <c r="X402"/>
  <c r="Z402"/>
  <c r="AB402"/>
  <c r="Y358"/>
  <c r="S358"/>
  <c r="AA358"/>
  <c r="AB358"/>
  <c r="R333"/>
  <c r="V333"/>
  <c r="W333"/>
  <c r="AH385" i="119"/>
  <c r="AG280"/>
  <c r="Z411"/>
  <c r="Z60" s="1"/>
  <c r="AD411"/>
  <c r="AD60" s="1"/>
  <c r="AL411"/>
  <c r="AL60" s="1"/>
  <c r="S398"/>
  <c r="AI398"/>
  <c r="AJ398"/>
  <c r="X358" i="118"/>
  <c r="T402"/>
  <c r="AB402" i="119"/>
  <c r="V495"/>
  <c r="U385"/>
  <c r="Z453"/>
  <c r="AF453"/>
  <c r="Y491" i="118"/>
  <c r="X491"/>
  <c r="AC418"/>
  <c r="Y123"/>
  <c r="AB123"/>
  <c r="S123"/>
  <c r="V123"/>
  <c r="AO306" i="119"/>
  <c r="AO55" s="1"/>
  <c r="AF319"/>
  <c r="Y473" i="118"/>
  <c r="W252"/>
  <c r="U104"/>
  <c r="AB492"/>
  <c r="AC492"/>
  <c r="U479"/>
  <c r="W479"/>
  <c r="AB479"/>
  <c r="W470"/>
  <c r="Y470"/>
  <c r="R432"/>
  <c r="R61" s="1"/>
  <c r="U432"/>
  <c r="U61" s="1"/>
  <c r="AD432"/>
  <c r="AD61" s="1"/>
  <c r="AA489"/>
  <c r="R319"/>
  <c r="X319"/>
  <c r="AA319"/>
  <c r="Z319"/>
  <c r="AC306"/>
  <c r="AC55" s="1"/>
  <c r="AB306"/>
  <c r="AB55" s="1"/>
  <c r="Z306"/>
  <c r="Z55" s="1"/>
  <c r="U210"/>
  <c r="AB210"/>
  <c r="W210"/>
  <c r="AF354" i="119"/>
  <c r="R460" i="118"/>
  <c r="AA460"/>
  <c r="AB460"/>
  <c r="U460"/>
  <c r="Z460"/>
  <c r="Z453"/>
  <c r="W453"/>
  <c r="R473"/>
  <c r="X473"/>
  <c r="Z473"/>
  <c r="S259"/>
  <c r="X259"/>
  <c r="R259"/>
  <c r="T259"/>
  <c r="U252"/>
  <c r="X252"/>
  <c r="Y252"/>
  <c r="AB252"/>
  <c r="U172"/>
  <c r="R154"/>
  <c r="X154"/>
  <c r="R264" i="117"/>
  <c r="R53" s="1"/>
  <c r="R235"/>
  <c r="S235"/>
  <c r="Z264" i="116"/>
  <c r="Z53" s="1"/>
  <c r="AE264"/>
  <c r="AE53" s="1"/>
  <c r="AC264"/>
  <c r="AC53" s="1"/>
  <c r="AD235"/>
  <c r="AG235"/>
  <c r="Y235"/>
  <c r="AB235"/>
  <c r="AE235"/>
  <c r="AF235"/>
  <c r="S250" i="117"/>
  <c r="R159"/>
  <c r="R48" s="1"/>
  <c r="AE442" i="116"/>
  <c r="AE63" s="1"/>
  <c r="AH250"/>
  <c r="R437" i="117"/>
  <c r="R62" s="1"/>
  <c r="R298"/>
  <c r="AH487" i="116"/>
  <c r="X487"/>
  <c r="AG487"/>
  <c r="AC487"/>
  <c r="AD487"/>
  <c r="AD473"/>
  <c r="AD442"/>
  <c r="AD63" s="1"/>
  <c r="U403"/>
  <c r="Y403"/>
  <c r="AC403"/>
  <c r="AB403"/>
  <c r="AD403"/>
  <c r="AG403"/>
  <c r="AG334"/>
  <c r="AH334"/>
  <c r="X316"/>
  <c r="T255"/>
  <c r="AD255"/>
  <c r="Y442"/>
  <c r="Y63" s="1"/>
  <c r="AA402"/>
  <c r="AE402"/>
  <c r="T385"/>
  <c r="AD385"/>
  <c r="AF385"/>
  <c r="AG385"/>
  <c r="W385"/>
  <c r="U297"/>
  <c r="AH297"/>
  <c r="AC297"/>
  <c r="AF285"/>
  <c r="AF54" s="1"/>
  <c r="AH285"/>
  <c r="AH54" s="1"/>
  <c r="S272"/>
  <c r="AH272"/>
  <c r="AA272"/>
  <c r="AE272"/>
  <c r="V272"/>
  <c r="N297" i="119"/>
  <c r="AE297" s="1"/>
  <c r="O176" i="11"/>
  <c r="W193" i="116"/>
  <c r="AG193"/>
  <c r="AB193"/>
  <c r="U193"/>
  <c r="V193"/>
  <c r="Y193"/>
  <c r="X193"/>
  <c r="AA193"/>
  <c r="AE193"/>
  <c r="AH193"/>
  <c r="AC193"/>
  <c r="AF193"/>
  <c r="AD193"/>
  <c r="Z193"/>
  <c r="X180"/>
  <c r="X49" s="1"/>
  <c r="Z180"/>
  <c r="Z49" s="1"/>
  <c r="AC180"/>
  <c r="AC49" s="1"/>
  <c r="AD180"/>
  <c r="AD49" s="1"/>
  <c r="AA180"/>
  <c r="AA49" s="1"/>
  <c r="W180"/>
  <c r="W49" s="1"/>
  <c r="AF180"/>
  <c r="AF49" s="1"/>
  <c r="AG180"/>
  <c r="AG49" s="1"/>
  <c r="AI180"/>
  <c r="AI49" s="1"/>
  <c r="AB180"/>
  <c r="AB49" s="1"/>
  <c r="AE180"/>
  <c r="AE49" s="1"/>
  <c r="AH180"/>
  <c r="AH49" s="1"/>
  <c r="X167"/>
  <c r="Y167"/>
  <c r="Z167"/>
  <c r="AA167"/>
  <c r="AG167"/>
  <c r="AE167"/>
  <c r="AB167"/>
  <c r="AC167"/>
  <c r="AD167"/>
  <c r="S167"/>
  <c r="T167"/>
  <c r="V167"/>
  <c r="AH167"/>
  <c r="AF167"/>
  <c r="U167"/>
  <c r="W130"/>
  <c r="AA130"/>
  <c r="U130"/>
  <c r="V130"/>
  <c r="AG130"/>
  <c r="AE130"/>
  <c r="AH130"/>
  <c r="Y130"/>
  <c r="AF130"/>
  <c r="AB130"/>
  <c r="AD130"/>
  <c r="AC130"/>
  <c r="V117"/>
  <c r="V46" s="1"/>
  <c r="AF117"/>
  <c r="AF46" s="1"/>
  <c r="AH117"/>
  <c r="AH46" s="1"/>
  <c r="Y117"/>
  <c r="Y46" s="1"/>
  <c r="AC117"/>
  <c r="AC46" s="1"/>
  <c r="AE117"/>
  <c r="AE46" s="1"/>
  <c r="AB117"/>
  <c r="AB46" s="1"/>
  <c r="AD117"/>
  <c r="AD46" s="1"/>
  <c r="X117"/>
  <c r="X46" s="1"/>
  <c r="AA117"/>
  <c r="AA46" s="1"/>
  <c r="W117"/>
  <c r="W46" s="1"/>
  <c r="Z117"/>
  <c r="Z46" s="1"/>
  <c r="AG117"/>
  <c r="AG46" s="1"/>
  <c r="AI117"/>
  <c r="AI46" s="1"/>
  <c r="Y105"/>
  <c r="Z105"/>
  <c r="AD105"/>
  <c r="AG105"/>
  <c r="S105"/>
  <c r="AE105"/>
  <c r="AF105"/>
  <c r="AH105"/>
  <c r="AA105"/>
  <c r="AB105"/>
  <c r="AH382" i="121"/>
  <c r="AB382"/>
  <c r="Z151"/>
  <c r="AE151"/>
  <c r="AG151"/>
  <c r="AD151"/>
  <c r="AA106"/>
  <c r="AA147"/>
  <c r="AH147"/>
  <c r="AI147"/>
  <c r="Y211"/>
  <c r="AF211"/>
  <c r="AD211"/>
  <c r="AD123"/>
  <c r="AF123"/>
  <c r="AJ291"/>
  <c r="W291"/>
  <c r="S175"/>
  <c r="AF175"/>
  <c r="U488" i="28"/>
  <c r="AC488"/>
  <c r="V488"/>
  <c r="AH488"/>
  <c r="W488"/>
  <c r="T488"/>
  <c r="Y488"/>
  <c r="AF488"/>
  <c r="AJ488"/>
  <c r="S488"/>
  <c r="AB488"/>
  <c r="AE488"/>
  <c r="Z488"/>
  <c r="AI488"/>
  <c r="AG488"/>
  <c r="AK488"/>
  <c r="S454"/>
  <c r="U454"/>
  <c r="T454"/>
  <c r="AF454"/>
  <c r="AK454"/>
  <c r="AA454"/>
  <c r="AC454"/>
  <c r="AJ454"/>
  <c r="Y454"/>
  <c r="AI454"/>
  <c r="AG454"/>
  <c r="V454"/>
  <c r="W454"/>
  <c r="AH454"/>
  <c r="AE424"/>
  <c r="V424"/>
  <c r="Z424"/>
  <c r="AG424"/>
  <c r="AH424"/>
  <c r="AK411"/>
  <c r="AK60" s="1"/>
  <c r="AO411"/>
  <c r="AO60" s="1"/>
  <c r="N398"/>
  <c r="W398" s="1"/>
  <c r="O159" i="11"/>
  <c r="X381" i="28"/>
  <c r="W381"/>
  <c r="AG381"/>
  <c r="AE381"/>
  <c r="AH381"/>
  <c r="AD381"/>
  <c r="T381"/>
  <c r="AA364"/>
  <c r="U364"/>
  <c r="Y364"/>
  <c r="AE364"/>
  <c r="AF364"/>
  <c r="AI364"/>
  <c r="AK364"/>
  <c r="AB364"/>
  <c r="AG364"/>
  <c r="AH364"/>
  <c r="W364"/>
  <c r="X364"/>
  <c r="AD364"/>
  <c r="AJ364"/>
  <c r="T356"/>
  <c r="AA356"/>
  <c r="AG356"/>
  <c r="AD356"/>
  <c r="AE356"/>
  <c r="W356"/>
  <c r="AH356"/>
  <c r="AI356"/>
  <c r="AF356"/>
  <c r="AE322"/>
  <c r="X322"/>
  <c r="AJ322"/>
  <c r="AK322"/>
  <c r="Y322"/>
  <c r="AH322"/>
  <c r="AI322"/>
  <c r="W322"/>
  <c r="AI381"/>
  <c r="AD356" i="121"/>
  <c r="AE356"/>
  <c r="AB356"/>
  <c r="Z356"/>
  <c r="AF356"/>
  <c r="Y356"/>
  <c r="AA356"/>
  <c r="AC356"/>
  <c r="AG356"/>
  <c r="AH356"/>
  <c r="AJ356"/>
  <c r="X356"/>
  <c r="S471"/>
  <c r="W471"/>
  <c r="Z471"/>
  <c r="AC471"/>
  <c r="AE471"/>
  <c r="T471"/>
  <c r="X471"/>
  <c r="AG471"/>
  <c r="V471"/>
  <c r="AD471"/>
  <c r="Y471"/>
  <c r="AA471"/>
  <c r="AB471"/>
  <c r="AF471"/>
  <c r="AJ471"/>
  <c r="R471"/>
  <c r="AK471"/>
  <c r="AC151"/>
  <c r="Z277"/>
  <c r="AA277"/>
  <c r="T277"/>
  <c r="AH277"/>
  <c r="AD381"/>
  <c r="AA235"/>
  <c r="AC235"/>
  <c r="X235"/>
  <c r="AF235"/>
  <c r="Y235"/>
  <c r="AD235"/>
  <c r="AH235"/>
  <c r="AK235"/>
  <c r="Z235"/>
  <c r="S376"/>
  <c r="T376"/>
  <c r="AG376"/>
  <c r="U376"/>
  <c r="Y376"/>
  <c r="W376"/>
  <c r="Z376"/>
  <c r="AH376"/>
  <c r="AI376"/>
  <c r="AK376"/>
  <c r="V376"/>
  <c r="R376"/>
  <c r="AC376"/>
  <c r="AE376"/>
  <c r="AB454" i="28"/>
  <c r="AF343" i="121"/>
  <c r="R343"/>
  <c r="AJ259"/>
  <c r="T259"/>
  <c r="AK357" i="119"/>
  <c r="AD357"/>
  <c r="AI357"/>
  <c r="Y357"/>
  <c r="AG357"/>
  <c r="N295"/>
  <c r="O115" i="11"/>
  <c r="N270" i="119"/>
  <c r="AJ270" s="1"/>
  <c r="O125" i="11"/>
  <c r="R243" i="119"/>
  <c r="R52" s="1"/>
  <c r="AC243"/>
  <c r="AC52" s="1"/>
  <c r="AU243"/>
  <c r="AU52" s="1"/>
  <c r="Z243"/>
  <c r="Z52" s="1"/>
  <c r="AH243"/>
  <c r="AH52" s="1"/>
  <c r="AN243"/>
  <c r="AN52" s="1"/>
  <c r="AO243"/>
  <c r="AO52" s="1"/>
  <c r="AS243"/>
  <c r="AS52" s="1"/>
  <c r="AB243"/>
  <c r="AB52" s="1"/>
  <c r="AE243"/>
  <c r="AE52" s="1"/>
  <c r="AR243"/>
  <c r="AR52" s="1"/>
  <c r="W243"/>
  <c r="W52" s="1"/>
  <c r="AL243"/>
  <c r="AL52" s="1"/>
  <c r="U243"/>
  <c r="U52" s="1"/>
  <c r="V243"/>
  <c r="V52" s="1"/>
  <c r="AA243"/>
  <c r="AA52" s="1"/>
  <c r="AK243"/>
  <c r="AK52" s="1"/>
  <c r="AM243"/>
  <c r="AM52" s="1"/>
  <c r="X243"/>
  <c r="X52" s="1"/>
  <c r="AI243"/>
  <c r="AI52" s="1"/>
  <c r="S243"/>
  <c r="S52" s="1"/>
  <c r="AP243"/>
  <c r="AP52" s="1"/>
  <c r="Y243"/>
  <c r="Y52" s="1"/>
  <c r="AJ243"/>
  <c r="AJ52" s="1"/>
  <c r="T243"/>
  <c r="T52" s="1"/>
  <c r="S230"/>
  <c r="AF230"/>
  <c r="AE230"/>
  <c r="AG230"/>
  <c r="AH230"/>
  <c r="T186"/>
  <c r="AJ186"/>
  <c r="V168"/>
  <c r="AG168"/>
  <c r="AJ168"/>
  <c r="AD168"/>
  <c r="AH168"/>
  <c r="AF168"/>
  <c r="Z168"/>
  <c r="X168"/>
  <c r="Y168"/>
  <c r="AD130"/>
  <c r="AI130"/>
  <c r="AA130"/>
  <c r="AE130"/>
  <c r="AK130"/>
  <c r="V130"/>
  <c r="AK117"/>
  <c r="AK46" s="1"/>
  <c r="AP117"/>
  <c r="AP46" s="1"/>
  <c r="AR117"/>
  <c r="AR46" s="1"/>
  <c r="AS117"/>
  <c r="AS46" s="1"/>
  <c r="AO117"/>
  <c r="AO46" s="1"/>
  <c r="AC117"/>
  <c r="AC46" s="1"/>
  <c r="AQ117"/>
  <c r="AQ46" s="1"/>
  <c r="N144"/>
  <c r="AJ144" s="1"/>
  <c r="M134" i="11"/>
  <c r="AA348" i="116"/>
  <c r="AA57" s="1"/>
  <c r="AI348"/>
  <c r="AI57" s="1"/>
  <c r="AH348"/>
  <c r="AH57" s="1"/>
  <c r="X234"/>
  <c r="T234"/>
  <c r="AE234"/>
  <c r="AH234"/>
  <c r="W234"/>
  <c r="AA234"/>
  <c r="Z234"/>
  <c r="AD234"/>
  <c r="AB234"/>
  <c r="AG234"/>
  <c r="R222"/>
  <c r="R51" s="1"/>
  <c r="AC222"/>
  <c r="AC51" s="1"/>
  <c r="V210"/>
  <c r="X210"/>
  <c r="AA210"/>
  <c r="AC210"/>
  <c r="AD210"/>
  <c r="AH210"/>
  <c r="AG210"/>
  <c r="AB210"/>
  <c r="W210"/>
  <c r="AE210"/>
  <c r="Z210"/>
  <c r="T210"/>
  <c r="Y210"/>
  <c r="AF210"/>
  <c r="AB192"/>
  <c r="AE192"/>
  <c r="AD192"/>
  <c r="AH192"/>
  <c r="AG192"/>
  <c r="AA192"/>
  <c r="AK130" i="121"/>
  <c r="AK488"/>
  <c r="AJ168"/>
  <c r="AJ272"/>
  <c r="AI272"/>
  <c r="AI378"/>
  <c r="AI485"/>
  <c r="AH188"/>
  <c r="AH293"/>
  <c r="AD293"/>
  <c r="AA419"/>
  <c r="X154"/>
  <c r="AA460"/>
  <c r="AC460"/>
  <c r="AE460"/>
  <c r="X460"/>
  <c r="T378"/>
  <c r="Y313"/>
  <c r="AA313"/>
  <c r="AE313"/>
  <c r="AG313"/>
  <c r="AH313"/>
  <c r="AH417"/>
  <c r="AF417"/>
  <c r="AB417"/>
  <c r="R354"/>
  <c r="X354"/>
  <c r="AA354"/>
  <c r="W354"/>
  <c r="T354"/>
  <c r="AF354"/>
  <c r="V354"/>
  <c r="AE354"/>
  <c r="U186"/>
  <c r="Z186"/>
  <c r="X186"/>
  <c r="Y186"/>
  <c r="AG186"/>
  <c r="AB186"/>
  <c r="S333"/>
  <c r="AB333"/>
  <c r="AD333"/>
  <c r="U133"/>
  <c r="V133"/>
  <c r="W133"/>
  <c r="S124"/>
  <c r="U124"/>
  <c r="X124"/>
  <c r="AD124"/>
  <c r="W124"/>
  <c r="Z167"/>
  <c r="AF167"/>
  <c r="T167"/>
  <c r="M108" i="11"/>
  <c r="M161"/>
  <c r="AP264" i="28"/>
  <c r="AP53" s="1"/>
  <c r="AJ420"/>
  <c r="AG264"/>
  <c r="AG53" s="1"/>
  <c r="AC334"/>
  <c r="AJ375" i="119"/>
  <c r="AI250"/>
  <c r="T277" i="28"/>
  <c r="V277"/>
  <c r="Z277"/>
  <c r="AB277"/>
  <c r="AD277"/>
  <c r="X277"/>
  <c r="Y277"/>
  <c r="AF277"/>
  <c r="U277"/>
  <c r="R277"/>
  <c r="AG277"/>
  <c r="AH277"/>
  <c r="AJ277"/>
  <c r="AI277"/>
  <c r="AD264"/>
  <c r="AD53" s="1"/>
  <c r="Y264"/>
  <c r="Y53" s="1"/>
  <c r="AH264"/>
  <c r="AH53" s="1"/>
  <c r="AA264"/>
  <c r="AA53" s="1"/>
  <c r="AC264"/>
  <c r="AC53" s="1"/>
  <c r="S264"/>
  <c r="S53" s="1"/>
  <c r="AR264"/>
  <c r="AR53" s="1"/>
  <c r="AT264"/>
  <c r="AT53" s="1"/>
  <c r="W264"/>
  <c r="W53" s="1"/>
  <c r="S222"/>
  <c r="S51" s="1"/>
  <c r="Z222"/>
  <c r="Z51" s="1"/>
  <c r="AH222"/>
  <c r="AH51" s="1"/>
  <c r="AQ222"/>
  <c r="AQ51" s="1"/>
  <c r="AJ222"/>
  <c r="AJ51" s="1"/>
  <c r="AN222"/>
  <c r="AN51" s="1"/>
  <c r="AO222"/>
  <c r="AO51" s="1"/>
  <c r="AP222"/>
  <c r="AP51" s="1"/>
  <c r="AR222"/>
  <c r="AR51" s="1"/>
  <c r="Y210"/>
  <c r="AJ210"/>
  <c r="U210"/>
  <c r="V210"/>
  <c r="AA210"/>
  <c r="AD210"/>
  <c r="AF210"/>
  <c r="W210"/>
  <c r="AC210"/>
  <c r="AI210"/>
  <c r="AK210"/>
  <c r="S210"/>
  <c r="AE210"/>
  <c r="Z210"/>
  <c r="AB210"/>
  <c r="AH210"/>
  <c r="AA192"/>
  <c r="AE192"/>
  <c r="Z192"/>
  <c r="AI192"/>
  <c r="Z175"/>
  <c r="AG175"/>
  <c r="AK168" i="121"/>
  <c r="AJ475"/>
  <c r="AE315"/>
  <c r="AF315"/>
  <c r="AH315"/>
  <c r="AD315"/>
  <c r="T390"/>
  <c r="T59" s="1"/>
  <c r="S390"/>
  <c r="S59" s="1"/>
  <c r="AB390"/>
  <c r="AB59" s="1"/>
  <c r="R390"/>
  <c r="R59" s="1"/>
  <c r="AH390"/>
  <c r="AH59" s="1"/>
  <c r="AI390"/>
  <c r="AI59" s="1"/>
  <c r="U390"/>
  <c r="U59" s="1"/>
  <c r="Y390"/>
  <c r="Y59" s="1"/>
  <c r="Z390"/>
  <c r="Z59" s="1"/>
  <c r="AG390"/>
  <c r="AG59" s="1"/>
  <c r="U485"/>
  <c r="V485"/>
  <c r="Y485"/>
  <c r="AD485"/>
  <c r="W485"/>
  <c r="X485"/>
  <c r="AA485"/>
  <c r="AB485"/>
  <c r="AH485"/>
  <c r="Z488"/>
  <c r="U488"/>
  <c r="AC488"/>
  <c r="AF488"/>
  <c r="T488"/>
  <c r="Y488"/>
  <c r="AA488"/>
  <c r="AL264" i="28"/>
  <c r="AL53" s="1"/>
  <c r="AK277"/>
  <c r="AK222"/>
  <c r="AK51" s="1"/>
  <c r="AJ264"/>
  <c r="AJ53" s="1"/>
  <c r="S492"/>
  <c r="X492"/>
  <c r="AG492"/>
  <c r="V492"/>
  <c r="AD492"/>
  <c r="Z492"/>
  <c r="Y492"/>
  <c r="AK492"/>
  <c r="AA471"/>
  <c r="AG471"/>
  <c r="V471"/>
  <c r="S437"/>
  <c r="S62" s="1"/>
  <c r="AJ437"/>
  <c r="AJ62" s="1"/>
  <c r="AL437"/>
  <c r="AL62" s="1"/>
  <c r="AH437"/>
  <c r="AH62" s="1"/>
  <c r="AJ402"/>
  <c r="AA402"/>
  <c r="AC402"/>
  <c r="AD385"/>
  <c r="W385"/>
  <c r="AJ385"/>
  <c r="AC385"/>
  <c r="AG385"/>
  <c r="AI385"/>
  <c r="AA343"/>
  <c r="AF343"/>
  <c r="AK343"/>
  <c r="Z306"/>
  <c r="Z55" s="1"/>
  <c r="AJ306"/>
  <c r="AJ55" s="1"/>
  <c r="X306"/>
  <c r="X55" s="1"/>
  <c r="AI306"/>
  <c r="AI55" s="1"/>
  <c r="Y306"/>
  <c r="Y55" s="1"/>
  <c r="AL306"/>
  <c r="AL55" s="1"/>
  <c r="AC252"/>
  <c r="Y252"/>
  <c r="AD234"/>
  <c r="Y234"/>
  <c r="Z234"/>
  <c r="AG234"/>
  <c r="AH234"/>
  <c r="AI234"/>
  <c r="T159"/>
  <c r="T48" s="1"/>
  <c r="AC159"/>
  <c r="AC48" s="1"/>
  <c r="AI159"/>
  <c r="AI48" s="1"/>
  <c r="AB159"/>
  <c r="AB48" s="1"/>
  <c r="AD159"/>
  <c r="AD48" s="1"/>
  <c r="AJ159"/>
  <c r="AJ48" s="1"/>
  <c r="AF159"/>
  <c r="AF48" s="1"/>
  <c r="AQ159"/>
  <c r="AQ48" s="1"/>
  <c r="Z159"/>
  <c r="Z48" s="1"/>
  <c r="AK159"/>
  <c r="AK48" s="1"/>
  <c r="AN159"/>
  <c r="AN48" s="1"/>
  <c r="AO159"/>
  <c r="AO48" s="1"/>
  <c r="AP159"/>
  <c r="AP48" s="1"/>
  <c r="AL159"/>
  <c r="AL48" s="1"/>
  <c r="AM159"/>
  <c r="AM48" s="1"/>
  <c r="AH146"/>
  <c r="AF146"/>
  <c r="R154" i="120"/>
  <c r="AQ243" i="119"/>
  <c r="AQ52" s="1"/>
  <c r="R472" i="118"/>
  <c r="Y472"/>
  <c r="AA472"/>
  <c r="V472"/>
  <c r="AB472"/>
  <c r="AC472"/>
  <c r="Z472"/>
  <c r="X472"/>
  <c r="W472"/>
  <c r="S459"/>
  <c r="W447"/>
  <c r="W64" s="1"/>
  <c r="Z447"/>
  <c r="Z64" s="1"/>
  <c r="AD447"/>
  <c r="AD64" s="1"/>
  <c r="Z406"/>
  <c r="Y397"/>
  <c r="AC397"/>
  <c r="W379"/>
  <c r="S379"/>
  <c r="U318"/>
  <c r="Z318"/>
  <c r="Y318"/>
  <c r="AA318"/>
  <c r="AB301"/>
  <c r="AC301"/>
  <c r="U192"/>
  <c r="AB192"/>
  <c r="AC192"/>
  <c r="X192"/>
  <c r="AA192"/>
  <c r="Y175"/>
  <c r="AA175"/>
  <c r="AB175"/>
  <c r="W175"/>
  <c r="V175"/>
  <c r="S175"/>
  <c r="AC175"/>
  <c r="Z175"/>
  <c r="W166"/>
  <c r="AA166"/>
  <c r="N106"/>
  <c r="L117" i="11"/>
  <c r="AG486" i="116"/>
  <c r="AD486"/>
  <c r="W420"/>
  <c r="AD420"/>
  <c r="AG420"/>
  <c r="Y420"/>
  <c r="Z420"/>
  <c r="AE420"/>
  <c r="AA420"/>
  <c r="AF420"/>
  <c r="R420"/>
  <c r="AH420"/>
  <c r="W340"/>
  <c r="AA340"/>
  <c r="AH340"/>
  <c r="AB340"/>
  <c r="X340"/>
  <c r="Z340"/>
  <c r="AE340"/>
  <c r="AF340"/>
  <c r="AG340"/>
  <c r="AC340"/>
  <c r="T340"/>
  <c r="AD340"/>
  <c r="W333"/>
  <c r="AE333"/>
  <c r="V333"/>
  <c r="AA333"/>
  <c r="AC333"/>
  <c r="AH333"/>
  <c r="Y333"/>
  <c r="AD333"/>
  <c r="Z333"/>
  <c r="AF333"/>
  <c r="AG333"/>
  <c r="V315"/>
  <c r="AA315"/>
  <c r="AC315"/>
  <c r="AB315"/>
  <c r="AE315"/>
  <c r="AF315"/>
  <c r="AD315"/>
  <c r="AH315"/>
  <c r="AG315"/>
  <c r="AG249"/>
  <c r="X249"/>
  <c r="Y214"/>
  <c r="Z214"/>
  <c r="AF214"/>
  <c r="AA214"/>
  <c r="AC214"/>
  <c r="AE214"/>
  <c r="V214"/>
  <c r="AD214"/>
  <c r="AH214"/>
  <c r="AB214"/>
  <c r="AG214"/>
  <c r="AH189"/>
  <c r="Z189"/>
  <c r="AA189"/>
  <c r="X189"/>
  <c r="AC189"/>
  <c r="R335" i="120"/>
  <c r="AD210" i="121"/>
  <c r="S189"/>
  <c r="X189"/>
  <c r="V189"/>
  <c r="AG171"/>
  <c r="Y419"/>
  <c r="AD419"/>
  <c r="AH419"/>
  <c r="AG419"/>
  <c r="AC419"/>
  <c r="AE419"/>
  <c r="AF419"/>
  <c r="R188"/>
  <c r="U188"/>
  <c r="AG188"/>
  <c r="X472"/>
  <c r="W472"/>
  <c r="R293"/>
  <c r="W293"/>
  <c r="Y293"/>
  <c r="Z293"/>
  <c r="AA293"/>
  <c r="R168"/>
  <c r="Z168"/>
  <c r="AA168"/>
  <c r="AC168"/>
  <c r="AN264" i="28"/>
  <c r="AN53" s="1"/>
  <c r="AI264"/>
  <c r="AI53" s="1"/>
  <c r="AH192"/>
  <c r="AC277"/>
  <c r="X192"/>
  <c r="W175"/>
  <c r="AA479"/>
  <c r="AI479"/>
  <c r="AJ479"/>
  <c r="T470"/>
  <c r="Y470"/>
  <c r="AB470"/>
  <c r="AH470"/>
  <c r="Y457"/>
  <c r="R432"/>
  <c r="R61" s="1"/>
  <c r="AA432"/>
  <c r="AA61" s="1"/>
  <c r="AL432"/>
  <c r="AL61" s="1"/>
  <c r="U376"/>
  <c r="AC376"/>
  <c r="AK376"/>
  <c r="AD376"/>
  <c r="T358"/>
  <c r="AH358"/>
  <c r="T301"/>
  <c r="Y301"/>
  <c r="AD301"/>
  <c r="AS390" i="121"/>
  <c r="AS59" s="1"/>
  <c r="X168"/>
  <c r="X335"/>
  <c r="X315"/>
  <c r="S488"/>
  <c r="Y406"/>
  <c r="AB406"/>
  <c r="AK270"/>
  <c r="Y270"/>
  <c r="Z487"/>
  <c r="R487"/>
  <c r="AT159" i="28"/>
  <c r="AT48" s="1"/>
  <c r="AS222"/>
  <c r="AS51" s="1"/>
  <c r="AI335"/>
  <c r="AG306"/>
  <c r="AG55" s="1"/>
  <c r="AG159"/>
  <c r="AG48" s="1"/>
  <c r="Z264"/>
  <c r="Z53" s="1"/>
  <c r="W277"/>
  <c r="U343"/>
  <c r="T479"/>
  <c r="R256"/>
  <c r="U256"/>
  <c r="AA256"/>
  <c r="AC256"/>
  <c r="AE256"/>
  <c r="W256"/>
  <c r="X256"/>
  <c r="V256"/>
  <c r="Y256"/>
  <c r="Z256"/>
  <c r="AD256"/>
  <c r="AI256"/>
  <c r="AK256"/>
  <c r="AG256"/>
  <c r="AC250"/>
  <c r="U250"/>
  <c r="AA250"/>
  <c r="AE250"/>
  <c r="AJ250"/>
  <c r="S250"/>
  <c r="AB250"/>
  <c r="AD250"/>
  <c r="AI250"/>
  <c r="AK250"/>
  <c r="AF250"/>
  <c r="AH250"/>
  <c r="AE108"/>
  <c r="W108"/>
  <c r="S96"/>
  <c r="S45" s="1"/>
  <c r="AF96"/>
  <c r="AF45" s="1"/>
  <c r="AG96"/>
  <c r="AG45" s="1"/>
  <c r="AR96"/>
  <c r="AR45" s="1"/>
  <c r="V96"/>
  <c r="V45" s="1"/>
  <c r="X96"/>
  <c r="X45" s="1"/>
  <c r="Y96"/>
  <c r="Y45" s="1"/>
  <c r="AS96"/>
  <c r="AS45" s="1"/>
  <c r="AT96"/>
  <c r="AT45" s="1"/>
  <c r="U96"/>
  <c r="U45" s="1"/>
  <c r="AA96"/>
  <c r="AA45" s="1"/>
  <c r="AK96"/>
  <c r="AK45" s="1"/>
  <c r="AH487" i="119"/>
  <c r="U487"/>
  <c r="N300"/>
  <c r="O107" i="11"/>
  <c r="N291" i="119"/>
  <c r="S291" s="1"/>
  <c r="O126" i="11"/>
  <c r="AK273" i="119"/>
  <c r="Y273"/>
  <c r="AE273"/>
  <c r="AK251"/>
  <c r="AG251"/>
  <c r="AH189"/>
  <c r="AD189"/>
  <c r="AE189"/>
  <c r="Z189"/>
  <c r="AB189"/>
  <c r="AJ189"/>
  <c r="AC189"/>
  <c r="AG189"/>
  <c r="AI138"/>
  <c r="AI47" s="1"/>
  <c r="AO138"/>
  <c r="AO47" s="1"/>
  <c r="AS138"/>
  <c r="AS47" s="1"/>
  <c r="AK138"/>
  <c r="AK47" s="1"/>
  <c r="AU138"/>
  <c r="AU47" s="1"/>
  <c r="Z138"/>
  <c r="Z47" s="1"/>
  <c r="AL138"/>
  <c r="AL47" s="1"/>
  <c r="M172" i="11"/>
  <c r="AE108" i="119"/>
  <c r="AJ108"/>
  <c r="AH108"/>
  <c r="AG108"/>
  <c r="S334" i="28"/>
  <c r="AD334"/>
  <c r="AI334"/>
  <c r="AE334"/>
  <c r="AJ334"/>
  <c r="AK419" i="121"/>
  <c r="AE293"/>
  <c r="X390"/>
  <c r="X59" s="1"/>
  <c r="AA318"/>
  <c r="AC318"/>
  <c r="Y130"/>
  <c r="S130"/>
  <c r="AC130"/>
  <c r="AB130"/>
  <c r="Z130"/>
  <c r="AF298"/>
  <c r="AA298"/>
  <c r="Z298"/>
  <c r="AE298"/>
  <c r="X298"/>
  <c r="Y298"/>
  <c r="AC298"/>
  <c r="AD298"/>
  <c r="AG298"/>
  <c r="V476"/>
  <c r="AG476"/>
  <c r="AF148"/>
  <c r="AH256"/>
  <c r="AD256"/>
  <c r="AF256"/>
  <c r="V231"/>
  <c r="AD231"/>
  <c r="R378"/>
  <c r="V378"/>
  <c r="AG378"/>
  <c r="AH378"/>
  <c r="AB378"/>
  <c r="AC378"/>
  <c r="AD378"/>
  <c r="Z378"/>
  <c r="AE378"/>
  <c r="AF378"/>
  <c r="V127"/>
  <c r="AA127"/>
  <c r="AB127"/>
  <c r="AC127"/>
  <c r="AF127"/>
  <c r="Y127"/>
  <c r="AA340"/>
  <c r="AC340"/>
  <c r="AE340"/>
  <c r="AF340"/>
  <c r="AB340"/>
  <c r="AG340"/>
  <c r="S485"/>
  <c r="Z208"/>
  <c r="W208"/>
  <c r="X208"/>
  <c r="AD196"/>
  <c r="X196"/>
  <c r="AF201"/>
  <c r="AF50" s="1"/>
  <c r="R201"/>
  <c r="R50" s="1"/>
  <c r="T238"/>
  <c r="AE238"/>
  <c r="Z495"/>
  <c r="AB495"/>
  <c r="AT222" i="28"/>
  <c r="AT51" s="1"/>
  <c r="AR437"/>
  <c r="AR62" s="1"/>
  <c r="AL222"/>
  <c r="AL51" s="1"/>
  <c r="AK264"/>
  <c r="AK53" s="1"/>
  <c r="AK146"/>
  <c r="AF432"/>
  <c r="AF61" s="1"/>
  <c r="AE277"/>
  <c r="AD306"/>
  <c r="AD55" s="1"/>
  <c r="AA277"/>
  <c r="AA159"/>
  <c r="AA48" s="1"/>
  <c r="U159"/>
  <c r="U48" s="1"/>
  <c r="S277"/>
  <c r="V298"/>
  <c r="AF298"/>
  <c r="AH133"/>
  <c r="AJ133"/>
  <c r="AF243" i="119"/>
  <c r="AF52" s="1"/>
  <c r="Z495"/>
  <c r="W495"/>
  <c r="AE495"/>
  <c r="Y495"/>
  <c r="AD495"/>
  <c r="AH495"/>
  <c r="AG495"/>
  <c r="AC495"/>
  <c r="AI495"/>
  <c r="AF495"/>
  <c r="X472"/>
  <c r="AJ472"/>
  <c r="V442"/>
  <c r="V63" s="1"/>
  <c r="U442"/>
  <c r="U63" s="1"/>
  <c r="X442"/>
  <c r="X63" s="1"/>
  <c r="AA442"/>
  <c r="AA63" s="1"/>
  <c r="AI442"/>
  <c r="AI63" s="1"/>
  <c r="AL442"/>
  <c r="AL63" s="1"/>
  <c r="AT442"/>
  <c r="AT63" s="1"/>
  <c r="S442"/>
  <c r="S63" s="1"/>
  <c r="T442"/>
  <c r="T63" s="1"/>
  <c r="AM442"/>
  <c r="AM63" s="1"/>
  <c r="AU442"/>
  <c r="AU63" s="1"/>
  <c r="W442"/>
  <c r="W63" s="1"/>
  <c r="AH442"/>
  <c r="AH63" s="1"/>
  <c r="AN442"/>
  <c r="AN63" s="1"/>
  <c r="AR442"/>
  <c r="AR63" s="1"/>
  <c r="Y442"/>
  <c r="Y63" s="1"/>
  <c r="AJ442"/>
  <c r="AJ63" s="1"/>
  <c r="AK442"/>
  <c r="AK63" s="1"/>
  <c r="AP442"/>
  <c r="AP63" s="1"/>
  <c r="AS442"/>
  <c r="AS63" s="1"/>
  <c r="AB442"/>
  <c r="AB63" s="1"/>
  <c r="AD442"/>
  <c r="AD63" s="1"/>
  <c r="AE442"/>
  <c r="AE63" s="1"/>
  <c r="AQ442"/>
  <c r="AQ63" s="1"/>
  <c r="Z442"/>
  <c r="Z63" s="1"/>
  <c r="AC442"/>
  <c r="AC63" s="1"/>
  <c r="AG442"/>
  <c r="AG63" s="1"/>
  <c r="AF442"/>
  <c r="AF63" s="1"/>
  <c r="Z316"/>
  <c r="AG316"/>
  <c r="AJ316"/>
  <c r="AD285"/>
  <c r="AD54" s="1"/>
  <c r="AL285"/>
  <c r="AL54" s="1"/>
  <c r="AM285"/>
  <c r="AM54" s="1"/>
  <c r="U285"/>
  <c r="U54" s="1"/>
  <c r="AK285"/>
  <c r="AK54" s="1"/>
  <c r="AH285"/>
  <c r="AH54" s="1"/>
  <c r="AE272"/>
  <c r="W272"/>
  <c r="AK272"/>
  <c r="S272"/>
  <c r="AJ272"/>
  <c r="V272"/>
  <c r="AH272"/>
  <c r="AD272"/>
  <c r="AJ256"/>
  <c r="X256"/>
  <c r="AG256"/>
  <c r="AB256"/>
  <c r="AK256"/>
  <c r="AD256"/>
  <c r="AH256"/>
  <c r="AI256"/>
  <c r="Z256"/>
  <c r="Z250"/>
  <c r="AK250"/>
  <c r="N232"/>
  <c r="AA232" s="1"/>
  <c r="M117" i="11"/>
  <c r="AG214" i="119"/>
  <c r="AI214"/>
  <c r="AJ214"/>
  <c r="AK214"/>
  <c r="AA214"/>
  <c r="Y214"/>
  <c r="S201"/>
  <c r="S50" s="1"/>
  <c r="X201"/>
  <c r="X50" s="1"/>
  <c r="AQ201"/>
  <c r="AQ50" s="1"/>
  <c r="AT201"/>
  <c r="AT50" s="1"/>
  <c r="AL201"/>
  <c r="AL50" s="1"/>
  <c r="T201"/>
  <c r="T50" s="1"/>
  <c r="AE201"/>
  <c r="AE50" s="1"/>
  <c r="AN201"/>
  <c r="AN50" s="1"/>
  <c r="AU201"/>
  <c r="AU50" s="1"/>
  <c r="AB201"/>
  <c r="AB50" s="1"/>
  <c r="AD201"/>
  <c r="AD50" s="1"/>
  <c r="AP201"/>
  <c r="AP50" s="1"/>
  <c r="AS201"/>
  <c r="AS50" s="1"/>
  <c r="AF201"/>
  <c r="AF50" s="1"/>
  <c r="AG201"/>
  <c r="AG50" s="1"/>
  <c r="AR201"/>
  <c r="AR50" s="1"/>
  <c r="AH201"/>
  <c r="AH50" s="1"/>
  <c r="AJ201"/>
  <c r="AJ50" s="1"/>
  <c r="AA188"/>
  <c r="AI188"/>
  <c r="AF151"/>
  <c r="AG151"/>
  <c r="AJ151"/>
  <c r="AA151"/>
  <c r="AE151"/>
  <c r="AI151"/>
  <c r="AD151"/>
  <c r="AK151"/>
  <c r="U133"/>
  <c r="AC133"/>
  <c r="AF133"/>
  <c r="X133"/>
  <c r="Z133"/>
  <c r="AD133"/>
  <c r="T133"/>
  <c r="AE133"/>
  <c r="AJ133"/>
  <c r="V133"/>
  <c r="W133"/>
  <c r="AA133"/>
  <c r="AB133"/>
  <c r="AH133"/>
  <c r="AI133"/>
  <c r="Y133"/>
  <c r="AG133"/>
  <c r="U125"/>
  <c r="AE125"/>
  <c r="AJ96"/>
  <c r="AJ45" s="1"/>
  <c r="AP96"/>
  <c r="AP45" s="1"/>
  <c r="AK96"/>
  <c r="AK45" s="1"/>
  <c r="X96"/>
  <c r="X45" s="1"/>
  <c r="AM96"/>
  <c r="AM45" s="1"/>
  <c r="Z96"/>
  <c r="Z45" s="1"/>
  <c r="U96"/>
  <c r="U45" s="1"/>
  <c r="AB96"/>
  <c r="AB45" s="1"/>
  <c r="Y96"/>
  <c r="Y45" s="1"/>
  <c r="AA427" i="28"/>
  <c r="T427"/>
  <c r="AI427"/>
  <c r="AE427"/>
  <c r="AB427"/>
  <c r="AC427"/>
  <c r="AD427"/>
  <c r="AA400"/>
  <c r="AB400"/>
  <c r="AC400"/>
  <c r="AF400"/>
  <c r="Z400"/>
  <c r="AF340"/>
  <c r="AH340"/>
  <c r="AJ340"/>
  <c r="V340"/>
  <c r="Z333"/>
  <c r="AD333"/>
  <c r="AG333"/>
  <c r="AA190"/>
  <c r="U190"/>
  <c r="R376" i="120"/>
  <c r="R196"/>
  <c r="U358" i="121"/>
  <c r="AF427" i="28"/>
  <c r="S150"/>
  <c r="AJ150"/>
  <c r="W150"/>
  <c r="AA150"/>
  <c r="Y124"/>
  <c r="AG124"/>
  <c r="R406" i="120"/>
  <c r="Z150" i="28"/>
  <c r="X270"/>
  <c r="U400"/>
  <c r="T400"/>
  <c r="Z168"/>
  <c r="AB168"/>
  <c r="AD168"/>
  <c r="S168"/>
  <c r="AC168"/>
  <c r="Y168"/>
  <c r="AA234" i="118"/>
  <c r="S151" i="117"/>
  <c r="N294" i="28"/>
  <c r="AE294" s="1"/>
  <c r="AC228"/>
  <c r="Z228"/>
  <c r="AB228"/>
  <c r="T148"/>
  <c r="W148"/>
  <c r="U106"/>
  <c r="AJ106"/>
  <c r="V102"/>
  <c r="AG102"/>
  <c r="AH423" i="119"/>
  <c r="W423"/>
  <c r="AE423"/>
  <c r="AD423"/>
  <c r="AI423"/>
  <c r="X423"/>
  <c r="AJ423"/>
  <c r="U423"/>
  <c r="Z423"/>
  <c r="AC423"/>
  <c r="AA406"/>
  <c r="AE406"/>
  <c r="AG379"/>
  <c r="V376"/>
  <c r="U376"/>
  <c r="Y376"/>
  <c r="AA376"/>
  <c r="AF376"/>
  <c r="AK358"/>
  <c r="AJ358"/>
  <c r="W333"/>
  <c r="V333"/>
  <c r="U251" i="118"/>
  <c r="Y251"/>
  <c r="AC251"/>
  <c r="V251"/>
  <c r="W251"/>
  <c r="Z251"/>
  <c r="X251"/>
  <c r="AB251"/>
  <c r="AH418" i="119"/>
  <c r="S418"/>
  <c r="AF418"/>
  <c r="AJ418"/>
  <c r="AK418"/>
  <c r="Z418"/>
  <c r="AI418"/>
  <c r="AB382"/>
  <c r="AK382"/>
  <c r="U382"/>
  <c r="AC382"/>
  <c r="T382"/>
  <c r="AH322"/>
  <c r="X322"/>
  <c r="R313"/>
  <c r="T313"/>
  <c r="AK313"/>
  <c r="AF313"/>
  <c r="AA313"/>
  <c r="AJ313"/>
  <c r="AG211"/>
  <c r="AJ211"/>
  <c r="AA180"/>
  <c r="AA49" s="1"/>
  <c r="AD180"/>
  <c r="AD49" s="1"/>
  <c r="AJ180"/>
  <c r="AJ49" s="1"/>
  <c r="AT180"/>
  <c r="AT49" s="1"/>
  <c r="Y167"/>
  <c r="AF167"/>
  <c r="AI167"/>
  <c r="AK167"/>
  <c r="W486" i="28"/>
  <c r="S455"/>
  <c r="R230"/>
  <c r="T376" i="119"/>
  <c r="Z476"/>
  <c r="AC476"/>
  <c r="U463"/>
  <c r="AC463"/>
  <c r="AK463"/>
  <c r="AD463"/>
  <c r="AE463"/>
  <c r="V454"/>
  <c r="Z454"/>
  <c r="X454"/>
  <c r="AF454"/>
  <c r="T399"/>
  <c r="AB399"/>
  <c r="V399"/>
  <c r="AJ399"/>
  <c r="AC381"/>
  <c r="AJ381"/>
  <c r="W364"/>
  <c r="AE364"/>
  <c r="V355"/>
  <c r="AK355"/>
  <c r="T355"/>
  <c r="AG337"/>
  <c r="X312"/>
  <c r="AC312"/>
  <c r="AF312"/>
  <c r="Y312"/>
  <c r="AI312"/>
  <c r="AC453"/>
  <c r="X453"/>
  <c r="AA453"/>
  <c r="AI453"/>
  <c r="S453"/>
  <c r="T453"/>
  <c r="Z148" i="118"/>
  <c r="R471"/>
  <c r="AA471"/>
  <c r="AA360"/>
  <c r="AB360"/>
  <c r="R343"/>
  <c r="S343"/>
  <c r="Z343"/>
  <c r="U343"/>
  <c r="S222"/>
  <c r="S51" s="1"/>
  <c r="V222"/>
  <c r="V51" s="1"/>
  <c r="R222"/>
  <c r="R51" s="1"/>
  <c r="W222"/>
  <c r="W51" s="1"/>
  <c r="AD222"/>
  <c r="AD51" s="1"/>
  <c r="T222"/>
  <c r="T51" s="1"/>
  <c r="U222"/>
  <c r="U51" s="1"/>
  <c r="X357"/>
  <c r="Y357"/>
  <c r="R348" i="120"/>
  <c r="R57" s="1"/>
  <c r="AC455" i="118"/>
  <c r="X455"/>
  <c r="Y455"/>
  <c r="U418"/>
  <c r="X418"/>
  <c r="Z418"/>
  <c r="S243"/>
  <c r="S52" s="1"/>
  <c r="AC243"/>
  <c r="AC52" s="1"/>
  <c r="X243"/>
  <c r="X52" s="1"/>
  <c r="R259" i="117"/>
  <c r="R209"/>
  <c r="S209"/>
  <c r="R148"/>
  <c r="S130"/>
  <c r="S117"/>
  <c r="S46" s="1"/>
  <c r="R144"/>
  <c r="AD411" i="118"/>
  <c r="AD60" s="1"/>
  <c r="AC411"/>
  <c r="AC60" s="1"/>
  <c r="AB255"/>
  <c r="AB214"/>
  <c r="Y271"/>
  <c r="W255"/>
  <c r="R306"/>
  <c r="R55" s="1"/>
  <c r="U306"/>
  <c r="U55" s="1"/>
  <c r="R165" i="117"/>
  <c r="AD459" i="116"/>
  <c r="AG459"/>
  <c r="AE459"/>
  <c r="AB459"/>
  <c r="U298"/>
  <c r="V298"/>
  <c r="X298"/>
  <c r="AC298"/>
  <c r="AE298"/>
  <c r="W298"/>
  <c r="AB298"/>
  <c r="S298"/>
  <c r="AD298"/>
  <c r="AH298"/>
  <c r="AA298"/>
  <c r="AG298"/>
  <c r="R298"/>
  <c r="Y298"/>
  <c r="AF298"/>
  <c r="Z298"/>
  <c r="R291"/>
  <c r="AD291"/>
  <c r="AH291"/>
  <c r="AA291"/>
  <c r="AG291"/>
  <c r="AC291"/>
  <c r="AF291"/>
  <c r="AD250"/>
  <c r="AG250"/>
  <c r="S250"/>
  <c r="AF250"/>
  <c r="AB250"/>
  <c r="V250"/>
  <c r="Z250"/>
  <c r="AE250"/>
  <c r="U190"/>
  <c r="S172"/>
  <c r="AD172"/>
  <c r="W172"/>
  <c r="AG154"/>
  <c r="AF154"/>
  <c r="U154"/>
  <c r="AC154"/>
  <c r="Z154"/>
  <c r="AB154"/>
  <c r="Y154"/>
  <c r="AH154"/>
  <c r="V154"/>
  <c r="T154"/>
  <c r="AA154"/>
  <c r="AD154"/>
  <c r="AC146"/>
  <c r="AD146"/>
  <c r="AF146"/>
  <c r="V146"/>
  <c r="AE146"/>
  <c r="AG146"/>
  <c r="AA214" i="118"/>
  <c r="U255"/>
  <c r="T165"/>
  <c r="U165"/>
  <c r="S402" i="117"/>
  <c r="AH146" i="116"/>
  <c r="AG208"/>
  <c r="AC250"/>
  <c r="AB319" i="118"/>
  <c r="X306"/>
  <c r="X55" s="1"/>
  <c r="X255"/>
  <c r="U319"/>
  <c r="W491"/>
  <c r="U491"/>
  <c r="R358"/>
  <c r="AH459" i="116"/>
  <c r="X154"/>
  <c r="W154"/>
  <c r="R469" i="117"/>
  <c r="T348"/>
  <c r="T57" s="1"/>
  <c r="N336"/>
  <c r="AC447" i="116"/>
  <c r="AC64" s="1"/>
  <c r="T447"/>
  <c r="T64" s="1"/>
  <c r="AI447"/>
  <c r="AI64" s="1"/>
  <c r="R447"/>
  <c r="R64" s="1"/>
  <c r="AD447"/>
  <c r="AD64" s="1"/>
  <c r="Z405"/>
  <c r="AF396"/>
  <c r="AD396"/>
  <c r="AE396"/>
  <c r="S378"/>
  <c r="W378"/>
  <c r="AB378"/>
  <c r="AD378"/>
  <c r="Z360"/>
  <c r="S455" i="117"/>
  <c r="R196"/>
  <c r="R357" i="116"/>
  <c r="X357"/>
  <c r="AD357"/>
  <c r="AC357"/>
  <c r="AF357"/>
  <c r="W357"/>
  <c r="AG357"/>
  <c r="AH357"/>
  <c r="Z357"/>
  <c r="AB357"/>
  <c r="AA357"/>
  <c r="U357"/>
  <c r="V357"/>
  <c r="W339"/>
  <c r="AA339"/>
  <c r="AD339"/>
  <c r="AE339"/>
  <c r="AG339"/>
  <c r="AB327"/>
  <c r="AB56" s="1"/>
  <c r="AE327"/>
  <c r="AE56" s="1"/>
  <c r="Z327"/>
  <c r="Z56" s="1"/>
  <c r="AD327"/>
  <c r="AD56" s="1"/>
  <c r="AG327"/>
  <c r="AG56" s="1"/>
  <c r="U327"/>
  <c r="U56" s="1"/>
  <c r="AH327"/>
  <c r="AH56" s="1"/>
  <c r="W327"/>
  <c r="W56" s="1"/>
  <c r="X327"/>
  <c r="X56" s="1"/>
  <c r="AF327"/>
  <c r="AF56" s="1"/>
  <c r="R379" i="117"/>
  <c r="T159"/>
  <c r="T48" s="1"/>
  <c r="Z456" i="116"/>
  <c r="AH456"/>
  <c r="S109" i="117"/>
  <c r="AG469" i="116"/>
  <c r="AF469"/>
  <c r="X492"/>
  <c r="AG492"/>
  <c r="AE492"/>
  <c r="Y485"/>
  <c r="AA485"/>
  <c r="AF485"/>
  <c r="AB485"/>
  <c r="AC485"/>
  <c r="AG485"/>
  <c r="R471"/>
  <c r="V471"/>
  <c r="U471"/>
  <c r="X471"/>
  <c r="AH471"/>
  <c r="AA471"/>
  <c r="AC471"/>
  <c r="AA457"/>
  <c r="R403"/>
  <c r="S403"/>
  <c r="T403"/>
  <c r="V403"/>
  <c r="Z403"/>
  <c r="AF403"/>
  <c r="X403"/>
  <c r="AF316"/>
  <c r="AG292"/>
  <c r="AD292"/>
  <c r="AA292"/>
  <c r="AC292"/>
  <c r="W274"/>
  <c r="AF274"/>
  <c r="U274"/>
  <c r="X274"/>
  <c r="AB251"/>
  <c r="AD251"/>
  <c r="AG251"/>
  <c r="Z490"/>
  <c r="V476"/>
  <c r="AB476"/>
  <c r="AG476"/>
  <c r="AE476"/>
  <c r="W476"/>
  <c r="R369"/>
  <c r="R58" s="1"/>
  <c r="V369"/>
  <c r="V58" s="1"/>
  <c r="U369"/>
  <c r="U58" s="1"/>
  <c r="X369"/>
  <c r="X58" s="1"/>
  <c r="AD369"/>
  <c r="AD58" s="1"/>
  <c r="AE369"/>
  <c r="AE58" s="1"/>
  <c r="AG369"/>
  <c r="AG58" s="1"/>
  <c r="X313"/>
  <c r="Y313"/>
  <c r="Z313"/>
  <c r="AA313"/>
  <c r="AC313"/>
  <c r="AG313"/>
  <c r="AD280"/>
  <c r="AE280"/>
  <c r="AG280"/>
  <c r="R243"/>
  <c r="R52" s="1"/>
  <c r="Y243"/>
  <c r="Y52" s="1"/>
  <c r="AH231"/>
  <c r="AD231"/>
  <c r="S399"/>
  <c r="T399"/>
  <c r="AC399"/>
  <c r="AD399"/>
  <c r="AE399"/>
  <c r="AA399"/>
  <c r="AG399"/>
  <c r="AH399"/>
  <c r="AB381"/>
  <c r="AH381"/>
  <c r="AC381"/>
  <c r="AD381"/>
  <c r="U364"/>
  <c r="X364"/>
  <c r="AD364"/>
  <c r="AE364"/>
  <c r="Z364"/>
  <c r="AC364"/>
  <c r="AA364"/>
  <c r="AB364"/>
  <c r="AF364"/>
  <c r="AC312"/>
  <c r="AA312"/>
  <c r="J108" i="11"/>
  <c r="AG411" i="116"/>
  <c r="AG60" s="1"/>
  <c r="AB411"/>
  <c r="AB60" s="1"/>
  <c r="AC319"/>
  <c r="AG319"/>
  <c r="AA144" i="121"/>
  <c r="AF144"/>
  <c r="AJ144"/>
  <c r="AD253"/>
  <c r="U253"/>
  <c r="V253"/>
  <c r="AJ253"/>
  <c r="T322"/>
  <c r="Y322"/>
  <c r="R322"/>
  <c r="X322"/>
  <c r="AF322"/>
  <c r="AG322"/>
  <c r="AD495"/>
  <c r="AG495"/>
  <c r="T495"/>
  <c r="Y495"/>
  <c r="AA495"/>
  <c r="S495"/>
  <c r="AC495"/>
  <c r="AE495"/>
  <c r="U256" i="116"/>
  <c r="V256"/>
  <c r="S256"/>
  <c r="X256"/>
  <c r="Z256"/>
  <c r="R256"/>
  <c r="AG256"/>
  <c r="AA256"/>
  <c r="AC256"/>
  <c r="AH256"/>
  <c r="Y256"/>
  <c r="AE256"/>
  <c r="AF256"/>
  <c r="AB256"/>
  <c r="AD256"/>
  <c r="W256"/>
  <c r="AA175"/>
  <c r="Y175"/>
  <c r="Z175"/>
  <c r="AD175"/>
  <c r="AF175"/>
  <c r="W175"/>
  <c r="AC175"/>
  <c r="AH175"/>
  <c r="V175"/>
  <c r="X175"/>
  <c r="AG175"/>
  <c r="AE175"/>
  <c r="AB175"/>
  <c r="AG166"/>
  <c r="AF166"/>
  <c r="AE166"/>
  <c r="Y148"/>
  <c r="AE148"/>
  <c r="AJ150" i="121"/>
  <c r="AJ295"/>
  <c r="AJ472"/>
  <c r="AJ495"/>
  <c r="AI144"/>
  <c r="AH165"/>
  <c r="AG129"/>
  <c r="AF253"/>
  <c r="AC129"/>
  <c r="AB316"/>
  <c r="AA472"/>
  <c r="Z316"/>
  <c r="Y355"/>
  <c r="W129"/>
  <c r="V382"/>
  <c r="AA382"/>
  <c r="AG382"/>
  <c r="AK382"/>
  <c r="AA148"/>
  <c r="AK148"/>
  <c r="V148"/>
  <c r="AB148"/>
  <c r="AC148"/>
  <c r="Z148"/>
  <c r="S232"/>
  <c r="AA232"/>
  <c r="AH402"/>
  <c r="AE402"/>
  <c r="AD402"/>
  <c r="T375"/>
  <c r="R146"/>
  <c r="Z146"/>
  <c r="AC146"/>
  <c r="AG146"/>
  <c r="T146"/>
  <c r="X146"/>
  <c r="AA146"/>
  <c r="AD146"/>
  <c r="U492"/>
  <c r="AF492"/>
  <c r="R492"/>
  <c r="S492"/>
  <c r="X492"/>
  <c r="AC492"/>
  <c r="Y492"/>
  <c r="AA385"/>
  <c r="AE385"/>
  <c r="AG385"/>
  <c r="V385"/>
  <c r="Y385"/>
  <c r="AC385"/>
  <c r="AD385"/>
  <c r="AI385"/>
  <c r="S385"/>
  <c r="R335"/>
  <c r="AE335"/>
  <c r="V335"/>
  <c r="AA335"/>
  <c r="AI335"/>
  <c r="AJ335"/>
  <c r="AG335"/>
  <c r="AH335"/>
  <c r="Z335"/>
  <c r="AB335"/>
  <c r="AC335"/>
  <c r="S208"/>
  <c r="T208"/>
  <c r="V208"/>
  <c r="AD208"/>
  <c r="AH208"/>
  <c r="U208"/>
  <c r="Y208"/>
  <c r="AA208"/>
  <c r="AB208"/>
  <c r="AF208"/>
  <c r="AB196"/>
  <c r="AC196"/>
  <c r="S196"/>
  <c r="AA196"/>
  <c r="AF196"/>
  <c r="AH196"/>
  <c r="W196"/>
  <c r="Y196"/>
  <c r="S201"/>
  <c r="S50" s="1"/>
  <c r="U201"/>
  <c r="U50" s="1"/>
  <c r="V201"/>
  <c r="V50" s="1"/>
  <c r="AB201"/>
  <c r="AB50" s="1"/>
  <c r="Y201"/>
  <c r="Y50" s="1"/>
  <c r="AG201"/>
  <c r="AG50" s="1"/>
  <c r="AJ201"/>
  <c r="AJ50" s="1"/>
  <c r="AA201"/>
  <c r="AA50" s="1"/>
  <c r="AD201"/>
  <c r="AD50" s="1"/>
  <c r="R154"/>
  <c r="AC154"/>
  <c r="AA154"/>
  <c r="AF154"/>
  <c r="AG154"/>
  <c r="W154"/>
  <c r="Y154"/>
  <c r="AB154"/>
  <c r="AE154"/>
  <c r="AI154"/>
  <c r="AK154"/>
  <c r="T154"/>
  <c r="AH154"/>
  <c r="AJ154"/>
  <c r="AB238"/>
  <c r="R238"/>
  <c r="X238"/>
  <c r="Z238"/>
  <c r="AF238"/>
  <c r="AK238"/>
  <c r="W238"/>
  <c r="Y238"/>
  <c r="U238"/>
  <c r="AC238"/>
  <c r="AJ238"/>
  <c r="S348"/>
  <c r="S57" s="1"/>
  <c r="AA348"/>
  <c r="AA57" s="1"/>
  <c r="R348"/>
  <c r="R57" s="1"/>
  <c r="AF348"/>
  <c r="AF57" s="1"/>
  <c r="AH348"/>
  <c r="AH57" s="1"/>
  <c r="AB348"/>
  <c r="AB57" s="1"/>
  <c r="AD348"/>
  <c r="AD57" s="1"/>
  <c r="AJ348"/>
  <c r="AJ57" s="1"/>
  <c r="AC453"/>
  <c r="AG453"/>
  <c r="W453"/>
  <c r="AH453"/>
  <c r="AJ453"/>
  <c r="Y453"/>
  <c r="Z453"/>
  <c r="AB453"/>
  <c r="AD453"/>
  <c r="AF453"/>
  <c r="T251" i="28"/>
  <c r="AT348" i="121"/>
  <c r="AT57" s="1"/>
  <c r="AK129"/>
  <c r="AK144"/>
  <c r="AK196"/>
  <c r="AK316"/>
  <c r="AL201"/>
  <c r="AL50" s="1"/>
  <c r="AJ208"/>
  <c r="AJ492"/>
  <c r="AI382"/>
  <c r="AK348"/>
  <c r="AK57" s="1"/>
  <c r="AI146"/>
  <c r="AI453"/>
  <c r="AH201"/>
  <c r="AH50" s="1"/>
  <c r="AF146"/>
  <c r="AE475"/>
  <c r="AE196"/>
  <c r="AE453"/>
  <c r="AD335"/>
  <c r="AE201"/>
  <c r="AE50" s="1"/>
  <c r="AB492"/>
  <c r="AD243"/>
  <c r="AD52" s="1"/>
  <c r="AB165"/>
  <c r="AB249"/>
  <c r="AB385"/>
  <c r="AB472"/>
  <c r="AA249"/>
  <c r="Y472"/>
  <c r="X385"/>
  <c r="W335"/>
  <c r="Y319"/>
  <c r="X319"/>
  <c r="AA319"/>
  <c r="S319"/>
  <c r="AJ319"/>
  <c r="S192"/>
  <c r="AB192"/>
  <c r="AE192"/>
  <c r="X423"/>
  <c r="AA423"/>
  <c r="U154"/>
  <c r="U472"/>
  <c r="S238"/>
  <c r="AA272"/>
  <c r="AB272"/>
  <c r="R385"/>
  <c r="S180"/>
  <c r="S49" s="1"/>
  <c r="W180"/>
  <c r="W49" s="1"/>
  <c r="AC293" i="28"/>
  <c r="W293"/>
  <c r="V293"/>
  <c r="AA293"/>
  <c r="AF293"/>
  <c r="AH293"/>
  <c r="S293"/>
  <c r="U293"/>
  <c r="X293"/>
  <c r="AB293"/>
  <c r="Y293"/>
  <c r="AE293"/>
  <c r="AJ293"/>
  <c r="AI293"/>
  <c r="AG293"/>
  <c r="AK293"/>
  <c r="AA259"/>
  <c r="V259"/>
  <c r="S175"/>
  <c r="AA175"/>
  <c r="V175"/>
  <c r="Y175"/>
  <c r="AE175"/>
  <c r="AF175"/>
  <c r="AK175"/>
  <c r="AD175"/>
  <c r="AA144"/>
  <c r="AJ144"/>
  <c r="AI488" i="119"/>
  <c r="AG488"/>
  <c r="AJ488"/>
  <c r="AB488"/>
  <c r="S460"/>
  <c r="AC460"/>
  <c r="V460"/>
  <c r="AJ460"/>
  <c r="W460"/>
  <c r="AD460"/>
  <c r="AK460"/>
  <c r="AE460"/>
  <c r="AI460"/>
  <c r="AB447"/>
  <c r="AB64" s="1"/>
  <c r="Z447"/>
  <c r="Z64" s="1"/>
  <c r="AG447"/>
  <c r="AG64" s="1"/>
  <c r="AH447"/>
  <c r="AH64" s="1"/>
  <c r="AM447"/>
  <c r="AM64" s="1"/>
  <c r="AS447"/>
  <c r="AS64" s="1"/>
  <c r="AC447"/>
  <c r="AC64" s="1"/>
  <c r="AE447"/>
  <c r="AE64" s="1"/>
  <c r="AF447"/>
  <c r="AF64" s="1"/>
  <c r="AD447"/>
  <c r="AD64" s="1"/>
  <c r="AP447"/>
  <c r="AP64" s="1"/>
  <c r="AR447"/>
  <c r="AR64" s="1"/>
  <c r="AJ447"/>
  <c r="AJ64" s="1"/>
  <c r="AU447"/>
  <c r="AU64" s="1"/>
  <c r="AT447"/>
  <c r="AT64" s="1"/>
  <c r="AL447"/>
  <c r="AL64" s="1"/>
  <c r="AQ447"/>
  <c r="AQ64" s="1"/>
  <c r="AK447"/>
  <c r="AK64" s="1"/>
  <c r="AN447"/>
  <c r="AN64" s="1"/>
  <c r="AO447"/>
  <c r="AO64" s="1"/>
  <c r="AI447"/>
  <c r="AI64" s="1"/>
  <c r="X447"/>
  <c r="X64" s="1"/>
  <c r="W427" i="121"/>
  <c r="Y427"/>
  <c r="AI427"/>
  <c r="V427"/>
  <c r="AD427"/>
  <c r="AG427"/>
  <c r="Y129" i="116"/>
  <c r="U129"/>
  <c r="W129"/>
  <c r="AA129"/>
  <c r="AE129"/>
  <c r="AC129"/>
  <c r="AH129"/>
  <c r="Z129"/>
  <c r="AG129"/>
  <c r="AD129"/>
  <c r="T129"/>
  <c r="X129"/>
  <c r="AB129"/>
  <c r="AH129" i="121"/>
  <c r="AJ213"/>
  <c r="T213"/>
  <c r="AB315" i="28"/>
  <c r="V315"/>
  <c r="AC315"/>
  <c r="X420" i="118"/>
  <c r="Z420"/>
  <c r="W420"/>
  <c r="R420"/>
  <c r="Y420"/>
  <c r="AC420"/>
  <c r="AA420"/>
  <c r="S420"/>
  <c r="V420"/>
  <c r="AB420"/>
  <c r="U420"/>
  <c r="T420"/>
  <c r="Y171" i="116"/>
  <c r="U171"/>
  <c r="W171"/>
  <c r="Z171"/>
  <c r="T171"/>
  <c r="S171"/>
  <c r="X171"/>
  <c r="AG171"/>
  <c r="AA171"/>
  <c r="AC171"/>
  <c r="AD171"/>
  <c r="AE171"/>
  <c r="AB171"/>
  <c r="AH171"/>
  <c r="AR201" i="121"/>
  <c r="AR50" s="1"/>
  <c r="AK146"/>
  <c r="AJ402"/>
  <c r="AJ165"/>
  <c r="AJ322"/>
  <c r="AI238"/>
  <c r="AI396"/>
  <c r="AH146"/>
  <c r="AG148"/>
  <c r="AG196"/>
  <c r="AG238"/>
  <c r="AF406"/>
  <c r="AE146"/>
  <c r="AE406"/>
  <c r="AC348"/>
  <c r="AC57" s="1"/>
  <c r="AA259"/>
  <c r="AA316"/>
  <c r="Y335"/>
  <c r="X295"/>
  <c r="V495"/>
  <c r="S148"/>
  <c r="AD193"/>
  <c r="R193"/>
  <c r="T460"/>
  <c r="V460"/>
  <c r="Z460"/>
  <c r="AF460"/>
  <c r="AH460"/>
  <c r="R460"/>
  <c r="AB460"/>
  <c r="AD460"/>
  <c r="AG460"/>
  <c r="AI460"/>
  <c r="U165"/>
  <c r="U196"/>
  <c r="T385"/>
  <c r="AG166"/>
  <c r="AK166"/>
  <c r="Y298" i="28"/>
  <c r="Z298"/>
  <c r="AE298"/>
  <c r="AC298"/>
  <c r="T298"/>
  <c r="AD298"/>
  <c r="AH298"/>
  <c r="S298"/>
  <c r="U298"/>
  <c r="X298"/>
  <c r="AB298"/>
  <c r="W298"/>
  <c r="R298"/>
  <c r="AI298"/>
  <c r="AJ298"/>
  <c r="AA298"/>
  <c r="AG291"/>
  <c r="AE291"/>
  <c r="AK291"/>
  <c r="U274"/>
  <c r="V274"/>
  <c r="AJ274"/>
  <c r="AC274"/>
  <c r="AK274"/>
  <c r="AB274"/>
  <c r="R138" i="120"/>
  <c r="R47" s="1"/>
  <c r="S138"/>
  <c r="S47" s="1"/>
  <c r="W250" i="121"/>
  <c r="AB250"/>
  <c r="AE250"/>
  <c r="AJ250"/>
  <c r="AE243"/>
  <c r="AE52" s="1"/>
  <c r="AJ243"/>
  <c r="AJ52" s="1"/>
  <c r="AI243"/>
  <c r="AI52" s="1"/>
  <c r="Z243"/>
  <c r="Z52" s="1"/>
  <c r="AK243"/>
  <c r="AK52" s="1"/>
  <c r="AM243"/>
  <c r="AM52" s="1"/>
  <c r="W316"/>
  <c r="AD400"/>
  <c r="Z400"/>
  <c r="T406"/>
  <c r="U406"/>
  <c r="AD406"/>
  <c r="AK406"/>
  <c r="AE270"/>
  <c r="AG270"/>
  <c r="AE129"/>
  <c r="AC472"/>
  <c r="Z295"/>
  <c r="S295"/>
  <c r="AB106"/>
  <c r="AI106"/>
  <c r="AG106"/>
  <c r="S217"/>
  <c r="Y217"/>
  <c r="R251" i="28"/>
  <c r="W251"/>
  <c r="Z251"/>
  <c r="AD251"/>
  <c r="Y251"/>
  <c r="AC251"/>
  <c r="AH251"/>
  <c r="AK251"/>
  <c r="S251"/>
  <c r="X251"/>
  <c r="U251"/>
  <c r="AJ251"/>
  <c r="AI251"/>
  <c r="AE251"/>
  <c r="AG251"/>
  <c r="AG209"/>
  <c r="AF209"/>
  <c r="S209"/>
  <c r="N208" i="118"/>
  <c r="L152" i="11"/>
  <c r="R159" i="118"/>
  <c r="R48" s="1"/>
  <c r="W159"/>
  <c r="W48" s="1"/>
  <c r="U159"/>
  <c r="U48" s="1"/>
  <c r="V159"/>
  <c r="V48" s="1"/>
  <c r="Y159"/>
  <c r="Y48" s="1"/>
  <c r="Z159"/>
  <c r="Z48" s="1"/>
  <c r="S159"/>
  <c r="S48" s="1"/>
  <c r="AA159"/>
  <c r="AA48" s="1"/>
  <c r="AC159"/>
  <c r="AC48" s="1"/>
  <c r="AD159"/>
  <c r="AD48" s="1"/>
  <c r="AB159"/>
  <c r="AB48" s="1"/>
  <c r="T159"/>
  <c r="T48" s="1"/>
  <c r="X159"/>
  <c r="X48" s="1"/>
  <c r="Z112"/>
  <c r="Y112"/>
  <c r="X112"/>
  <c r="AC112"/>
  <c r="S112"/>
  <c r="AA112"/>
  <c r="V112"/>
  <c r="AT117" i="121"/>
  <c r="AT46" s="1"/>
  <c r="AQ201"/>
  <c r="AQ50" s="1"/>
  <c r="AN117"/>
  <c r="AN46" s="1"/>
  <c r="AK492"/>
  <c r="AK475"/>
  <c r="AK396"/>
  <c r="AJ129"/>
  <c r="AL117"/>
  <c r="AL46" s="1"/>
  <c r="AK201"/>
  <c r="AK50" s="1"/>
  <c r="AH238"/>
  <c r="AH495"/>
  <c r="AI201"/>
  <c r="AI50" s="1"/>
  <c r="AF335"/>
  <c r="AF400"/>
  <c r="AF495"/>
  <c r="AE217"/>
  <c r="AE472"/>
  <c r="AE348"/>
  <c r="AE57" s="1"/>
  <c r="AB232"/>
  <c r="AA165"/>
  <c r="AA355"/>
  <c r="Y475"/>
  <c r="Z253"/>
  <c r="Z385"/>
  <c r="Y402"/>
  <c r="X192"/>
  <c r="Y146"/>
  <c r="W460"/>
  <c r="W385"/>
  <c r="S277"/>
  <c r="Y277"/>
  <c r="V277"/>
  <c r="AK277"/>
  <c r="X297"/>
  <c r="AK297"/>
  <c r="U355"/>
  <c r="U495"/>
  <c r="S255"/>
  <c r="Y255"/>
  <c r="Z255"/>
  <c r="AC255"/>
  <c r="AD255"/>
  <c r="AG255"/>
  <c r="W255"/>
  <c r="AH255"/>
  <c r="AB255"/>
  <c r="AJ255"/>
  <c r="AK255"/>
  <c r="S146"/>
  <c r="T201"/>
  <c r="T50" s="1"/>
  <c r="R196"/>
  <c r="X313"/>
  <c r="AB313"/>
  <c r="AD313"/>
  <c r="AI313"/>
  <c r="T313"/>
  <c r="Z313"/>
  <c r="AC313"/>
  <c r="AF313"/>
  <c r="AK313"/>
  <c r="L108" i="11"/>
  <c r="K16" i="100"/>
  <c r="J16"/>
  <c r="AK259" i="28"/>
  <c r="AG298"/>
  <c r="Z291"/>
  <c r="S129" i="121"/>
  <c r="AA129"/>
  <c r="AB129"/>
  <c r="T129"/>
  <c r="X129"/>
  <c r="AI129"/>
  <c r="S316"/>
  <c r="U316"/>
  <c r="Y316"/>
  <c r="T316"/>
  <c r="AF316"/>
  <c r="AG316"/>
  <c r="AC316"/>
  <c r="AD316"/>
  <c r="V316"/>
  <c r="AF357"/>
  <c r="AE357"/>
  <c r="Z489"/>
  <c r="U489"/>
  <c r="V228" i="116"/>
  <c r="AA228"/>
  <c r="U228"/>
  <c r="Z228"/>
  <c r="Y228"/>
  <c r="AD228"/>
  <c r="S228"/>
  <c r="R228"/>
  <c r="AE228"/>
  <c r="AF228"/>
  <c r="W228"/>
  <c r="AH228"/>
  <c r="AC228"/>
  <c r="T228"/>
  <c r="AB228"/>
  <c r="AG228"/>
  <c r="X228"/>
  <c r="AJ316" i="121"/>
  <c r="Y295"/>
  <c r="AC295"/>
  <c r="U295"/>
  <c r="W295"/>
  <c r="AI472"/>
  <c r="AH472"/>
  <c r="AF472"/>
  <c r="T472"/>
  <c r="V249"/>
  <c r="AG249"/>
  <c r="AC249"/>
  <c r="AF249"/>
  <c r="Y165"/>
  <c r="AC165"/>
  <c r="AD165"/>
  <c r="AI165"/>
  <c r="R112" i="116"/>
  <c r="Y112"/>
  <c r="AA112"/>
  <c r="AG112"/>
  <c r="V112"/>
  <c r="W112"/>
  <c r="X112"/>
  <c r="Z112"/>
  <c r="AB112"/>
  <c r="AD112"/>
  <c r="T112"/>
  <c r="S112"/>
  <c r="U112"/>
  <c r="AH112"/>
  <c r="AC112"/>
  <c r="AE112"/>
  <c r="AF112"/>
  <c r="AP243" i="121"/>
  <c r="AP52" s="1"/>
  <c r="AK495"/>
  <c r="AD129"/>
  <c r="U475"/>
  <c r="AA475"/>
  <c r="AD475"/>
  <c r="AC475"/>
  <c r="AG475"/>
  <c r="AI475"/>
  <c r="T475"/>
  <c r="Z475"/>
  <c r="AG312"/>
  <c r="AH312"/>
  <c r="S270" i="118"/>
  <c r="X270"/>
  <c r="AB270"/>
  <c r="AC249"/>
  <c r="AB249"/>
  <c r="Y217"/>
  <c r="AC217"/>
  <c r="AB217"/>
  <c r="AA217"/>
  <c r="AU348" i="121"/>
  <c r="AU57" s="1"/>
  <c r="AP348"/>
  <c r="AP57" s="1"/>
  <c r="AO201"/>
  <c r="AO50" s="1"/>
  <c r="AO243"/>
  <c r="AO52" s="1"/>
  <c r="AO348"/>
  <c r="AO57" s="1"/>
  <c r="AK312"/>
  <c r="AK385"/>
  <c r="AJ270"/>
  <c r="AI495"/>
  <c r="AH427"/>
  <c r="AG165"/>
  <c r="AG348"/>
  <c r="AG57" s="1"/>
  <c r="AF385"/>
  <c r="AE165"/>
  <c r="AE232"/>
  <c r="AD292"/>
  <c r="AD238"/>
  <c r="AC144"/>
  <c r="AA238"/>
  <c r="Y129"/>
  <c r="Z343"/>
  <c r="Z406"/>
  <c r="Y253"/>
  <c r="X165"/>
  <c r="S150"/>
  <c r="V146"/>
  <c r="V238"/>
  <c r="V235"/>
  <c r="S235"/>
  <c r="W235"/>
  <c r="AE235"/>
  <c r="T235"/>
  <c r="U235"/>
  <c r="AI235"/>
  <c r="AJ235"/>
  <c r="AB235"/>
  <c r="AG235"/>
  <c r="U129"/>
  <c r="S339"/>
  <c r="T339"/>
  <c r="AB339"/>
  <c r="AG339"/>
  <c r="AI339"/>
  <c r="AE339"/>
  <c r="AC339"/>
  <c r="AK339"/>
  <c r="T105"/>
  <c r="W105"/>
  <c r="AE105"/>
  <c r="AH105"/>
  <c r="AA105"/>
  <c r="U105"/>
  <c r="X105"/>
  <c r="AJ105"/>
  <c r="S154"/>
  <c r="S453"/>
  <c r="U354" i="28"/>
  <c r="AC354"/>
  <c r="R354"/>
  <c r="Y109" i="121"/>
  <c r="W168"/>
  <c r="V168"/>
  <c r="R476"/>
  <c r="U419"/>
  <c r="AP432" i="28"/>
  <c r="AP61" s="1"/>
  <c r="AO432"/>
  <c r="AO61" s="1"/>
  <c r="AJ228"/>
  <c r="AE432"/>
  <c r="AE61" s="1"/>
  <c r="X228"/>
  <c r="X337"/>
  <c r="V337"/>
  <c r="AC337"/>
  <c r="U337"/>
  <c r="AA337"/>
  <c r="Y337"/>
  <c r="Z337"/>
  <c r="AK337"/>
  <c r="R337"/>
  <c r="AH337"/>
  <c r="AI337"/>
  <c r="AG421" i="119"/>
  <c r="T306"/>
  <c r="T55" s="1"/>
  <c r="W306"/>
  <c r="W55" s="1"/>
  <c r="AB306"/>
  <c r="AB55" s="1"/>
  <c r="S306"/>
  <c r="S55" s="1"/>
  <c r="AF306"/>
  <c r="AF55" s="1"/>
  <c r="V306"/>
  <c r="V55" s="1"/>
  <c r="AD306"/>
  <c r="AD55" s="1"/>
  <c r="AI306"/>
  <c r="AI55" s="1"/>
  <c r="AT306"/>
  <c r="AT55" s="1"/>
  <c r="U306"/>
  <c r="U55" s="1"/>
  <c r="AU306"/>
  <c r="AU55" s="1"/>
  <c r="AN306"/>
  <c r="AN55" s="1"/>
  <c r="AQ306"/>
  <c r="AQ55" s="1"/>
  <c r="AE306"/>
  <c r="AE55" s="1"/>
  <c r="AM306"/>
  <c r="AM55" s="1"/>
  <c r="X306"/>
  <c r="X55" s="1"/>
  <c r="AA306"/>
  <c r="AA55" s="1"/>
  <c r="AH306"/>
  <c r="AH55" s="1"/>
  <c r="AS306"/>
  <c r="AS55" s="1"/>
  <c r="AG306"/>
  <c r="AG55" s="1"/>
  <c r="AJ306"/>
  <c r="AJ55" s="1"/>
  <c r="AP306"/>
  <c r="AP55" s="1"/>
  <c r="AR306"/>
  <c r="AR55" s="1"/>
  <c r="AC306"/>
  <c r="AC55" s="1"/>
  <c r="AH276"/>
  <c r="U276"/>
  <c r="AD276"/>
  <c r="W276"/>
  <c r="Y276"/>
  <c r="AC276"/>
  <c r="T276"/>
  <c r="Z276"/>
  <c r="AA276"/>
  <c r="AJ276"/>
  <c r="AI276"/>
  <c r="AK276"/>
  <c r="AG276"/>
  <c r="AB276"/>
  <c r="AE276"/>
  <c r="X276"/>
  <c r="Y228"/>
  <c r="Z228"/>
  <c r="AI228"/>
  <c r="AI210"/>
  <c r="AC210"/>
  <c r="AJ210"/>
  <c r="AF210"/>
  <c r="V210"/>
  <c r="V337" i="121"/>
  <c r="U337"/>
  <c r="AD432" i="28"/>
  <c r="AD61" s="1"/>
  <c r="AC403"/>
  <c r="W403"/>
  <c r="AD403"/>
  <c r="X403"/>
  <c r="AB403"/>
  <c r="AG403"/>
  <c r="AF403"/>
  <c r="AI403"/>
  <c r="R403"/>
  <c r="Z403"/>
  <c r="AH403"/>
  <c r="T378"/>
  <c r="Z378"/>
  <c r="AB378"/>
  <c r="U378"/>
  <c r="S378"/>
  <c r="V378"/>
  <c r="AD378"/>
  <c r="AE378"/>
  <c r="X378"/>
  <c r="AK378"/>
  <c r="AJ378"/>
  <c r="AH348"/>
  <c r="AH57" s="1"/>
  <c r="AR348"/>
  <c r="AR57" s="1"/>
  <c r="AP348"/>
  <c r="AP57" s="1"/>
  <c r="AT348"/>
  <c r="AT57" s="1"/>
  <c r="AB151"/>
  <c r="X151"/>
  <c r="Y151"/>
  <c r="AF151"/>
  <c r="AC151"/>
  <c r="AA151"/>
  <c r="AK151"/>
  <c r="AG151"/>
  <c r="AI151"/>
  <c r="AJ151"/>
  <c r="Z419" i="121"/>
  <c r="X459"/>
  <c r="T109"/>
  <c r="U421"/>
  <c r="T487"/>
  <c r="AH432" i="28"/>
  <c r="AH61" s="1"/>
  <c r="T337"/>
  <c r="AD491"/>
  <c r="AA491"/>
  <c r="AK491"/>
  <c r="R479"/>
  <c r="X479"/>
  <c r="AB479"/>
  <c r="S479"/>
  <c r="AK479"/>
  <c r="AC479"/>
  <c r="AD479"/>
  <c r="Z479"/>
  <c r="AF479"/>
  <c r="AG479"/>
  <c r="AH479"/>
  <c r="U470"/>
  <c r="AA470"/>
  <c r="AC470"/>
  <c r="V470"/>
  <c r="Z470"/>
  <c r="AD470"/>
  <c r="AJ470"/>
  <c r="W470"/>
  <c r="AE470"/>
  <c r="AG470"/>
  <c r="AI470"/>
  <c r="AK470"/>
  <c r="W420"/>
  <c r="X420"/>
  <c r="AD420"/>
  <c r="AH420"/>
  <c r="V385"/>
  <c r="Z385"/>
  <c r="AB385"/>
  <c r="T385"/>
  <c r="AE385"/>
  <c r="U385"/>
  <c r="AH385"/>
  <c r="AK385"/>
  <c r="AF385"/>
  <c r="V186"/>
  <c r="AC186"/>
  <c r="AI186"/>
  <c r="AC169"/>
  <c r="AI169"/>
  <c r="AJ169"/>
  <c r="Y169"/>
  <c r="R159" i="120"/>
  <c r="R48" s="1"/>
  <c r="S159"/>
  <c r="S48" s="1"/>
  <c r="R112"/>
  <c r="AC469" i="28"/>
  <c r="AH469"/>
  <c r="X432"/>
  <c r="X61" s="1"/>
  <c r="Y432"/>
  <c r="Y61" s="1"/>
  <c r="Z432"/>
  <c r="Z61" s="1"/>
  <c r="S432"/>
  <c r="S61" s="1"/>
  <c r="AC432"/>
  <c r="AC61" s="1"/>
  <c r="AI432"/>
  <c r="AI61" s="1"/>
  <c r="U432"/>
  <c r="U61" s="1"/>
  <c r="AT432"/>
  <c r="AT61" s="1"/>
  <c r="AJ432"/>
  <c r="AJ61" s="1"/>
  <c r="AM432"/>
  <c r="AM61" s="1"/>
  <c r="AN432"/>
  <c r="AN61" s="1"/>
  <c r="AQ432"/>
  <c r="AQ61" s="1"/>
  <c r="N419"/>
  <c r="V419" s="1"/>
  <c r="O160" i="11"/>
  <c r="S235" i="28"/>
  <c r="AI235"/>
  <c r="AK235"/>
  <c r="Y228"/>
  <c r="S228"/>
  <c r="T228"/>
  <c r="U228"/>
  <c r="V228"/>
  <c r="AA228"/>
  <c r="AE228"/>
  <c r="AG228"/>
  <c r="W228"/>
  <c r="AF228"/>
  <c r="AH228"/>
  <c r="AK228"/>
  <c r="AI228"/>
  <c r="AB211"/>
  <c r="Y211"/>
  <c r="Z211"/>
  <c r="AC211"/>
  <c r="AI211"/>
  <c r="AJ211"/>
  <c r="V211"/>
  <c r="AJ485"/>
  <c r="R485"/>
  <c r="T437"/>
  <c r="T62" s="1"/>
  <c r="U437"/>
  <c r="U62" s="1"/>
  <c r="W437"/>
  <c r="W62" s="1"/>
  <c r="AA437"/>
  <c r="AA62" s="1"/>
  <c r="R421"/>
  <c r="T421"/>
  <c r="AB421"/>
  <c r="U421"/>
  <c r="V421"/>
  <c r="AJ421"/>
  <c r="Y361"/>
  <c r="AD361"/>
  <c r="AC322"/>
  <c r="U322"/>
  <c r="AB322"/>
  <c r="AD322"/>
  <c r="AG322"/>
  <c r="W314"/>
  <c r="AC314"/>
  <c r="AI314"/>
  <c r="W252"/>
  <c r="Z252"/>
  <c r="AD252"/>
  <c r="AC234"/>
  <c r="S234"/>
  <c r="U234"/>
  <c r="X234"/>
  <c r="AB234"/>
  <c r="T222"/>
  <c r="T51" s="1"/>
  <c r="U222"/>
  <c r="U51" s="1"/>
  <c r="AA222"/>
  <c r="AA51" s="1"/>
  <c r="X222"/>
  <c r="X51" s="1"/>
  <c r="AB222"/>
  <c r="AB51" s="1"/>
  <c r="Y222"/>
  <c r="Y51" s="1"/>
  <c r="W133"/>
  <c r="S133"/>
  <c r="AI133"/>
  <c r="AB108"/>
  <c r="R96"/>
  <c r="R45" s="1"/>
  <c r="AB96"/>
  <c r="AB45" s="1"/>
  <c r="W96"/>
  <c r="W45" s="1"/>
  <c r="AD96"/>
  <c r="AD45" s="1"/>
  <c r="AE96"/>
  <c r="AE45" s="1"/>
  <c r="AI96"/>
  <c r="AI45" s="1"/>
  <c r="Y148" i="119"/>
  <c r="Z148"/>
  <c r="AC148"/>
  <c r="AA148"/>
  <c r="V148"/>
  <c r="AE148"/>
  <c r="AK148"/>
  <c r="AG148"/>
  <c r="AH148"/>
  <c r="R148"/>
  <c r="AD148"/>
  <c r="T489" i="28"/>
  <c r="AC489"/>
  <c r="T343"/>
  <c r="W343"/>
  <c r="Y343"/>
  <c r="S343"/>
  <c r="R343"/>
  <c r="AB343"/>
  <c r="AJ343"/>
  <c r="T272"/>
  <c r="V272"/>
  <c r="AI272"/>
  <c r="AE255"/>
  <c r="AG255"/>
  <c r="AE249"/>
  <c r="T249"/>
  <c r="AC123"/>
  <c r="AD123"/>
  <c r="R432" i="120"/>
  <c r="R61" s="1"/>
  <c r="S432"/>
  <c r="S61" s="1"/>
  <c r="R403"/>
  <c r="AJ148" i="119"/>
  <c r="AF322" i="28"/>
  <c r="AE343"/>
  <c r="AC343"/>
  <c r="AB249"/>
  <c r="AA322"/>
  <c r="AA272"/>
  <c r="Z343"/>
  <c r="W222"/>
  <c r="W51" s="1"/>
  <c r="R454"/>
  <c r="AE454"/>
  <c r="X454"/>
  <c r="W400"/>
  <c r="V400"/>
  <c r="Y400"/>
  <c r="AI400"/>
  <c r="Y106"/>
  <c r="AC106"/>
  <c r="AH343"/>
  <c r="AG343"/>
  <c r="AD343"/>
  <c r="Z249"/>
  <c r="Y437"/>
  <c r="Y62" s="1"/>
  <c r="X437"/>
  <c r="X62" s="1"/>
  <c r="S489"/>
  <c r="Z213"/>
  <c r="AD213"/>
  <c r="AC213"/>
  <c r="AH213"/>
  <c r="AD171"/>
  <c r="W171"/>
  <c r="W145"/>
  <c r="AB145"/>
  <c r="S145"/>
  <c r="AG145"/>
  <c r="AH145"/>
  <c r="AA127"/>
  <c r="U127"/>
  <c r="T127"/>
  <c r="V127"/>
  <c r="Y127"/>
  <c r="Z127"/>
  <c r="AF127"/>
  <c r="R378" i="120"/>
  <c r="V340" i="119"/>
  <c r="T340"/>
  <c r="W340"/>
  <c r="Y340"/>
  <c r="Z340"/>
  <c r="R340"/>
  <c r="S340"/>
  <c r="X340"/>
  <c r="AB340"/>
  <c r="AK340"/>
  <c r="AA340"/>
  <c r="AC340"/>
  <c r="AD340"/>
  <c r="AE340"/>
  <c r="AG340"/>
  <c r="AF340"/>
  <c r="AI340"/>
  <c r="AH340"/>
  <c r="AJ340"/>
  <c r="Z333"/>
  <c r="AE333"/>
  <c r="AF333"/>
  <c r="AC333"/>
  <c r="AI333"/>
  <c r="S333"/>
  <c r="Y333"/>
  <c r="AK333"/>
  <c r="X333"/>
  <c r="AH333"/>
  <c r="R298"/>
  <c r="AF298"/>
  <c r="Y298"/>
  <c r="AC298"/>
  <c r="AH298"/>
  <c r="AE298"/>
  <c r="AG298"/>
  <c r="AK298"/>
  <c r="AB495" i="28"/>
  <c r="X495"/>
  <c r="W492"/>
  <c r="U399"/>
  <c r="U295"/>
  <c r="N126"/>
  <c r="U126" s="1"/>
  <c r="R420" i="120"/>
  <c r="R361"/>
  <c r="X264" i="119"/>
  <c r="X53" s="1"/>
  <c r="AK264"/>
  <c r="AK53" s="1"/>
  <c r="AM264"/>
  <c r="AM53" s="1"/>
  <c r="AH264"/>
  <c r="AH53" s="1"/>
  <c r="AP264"/>
  <c r="AP53" s="1"/>
  <c r="S264"/>
  <c r="S53" s="1"/>
  <c r="AG238"/>
  <c r="AD238"/>
  <c r="T229"/>
  <c r="AB229"/>
  <c r="U229"/>
  <c r="X229"/>
  <c r="AI229"/>
  <c r="AJ229"/>
  <c r="Y229"/>
  <c r="Z229"/>
  <c r="AC229"/>
  <c r="AD229"/>
  <c r="AH229"/>
  <c r="AE229"/>
  <c r="Z211"/>
  <c r="AA211"/>
  <c r="AH211"/>
  <c r="V211"/>
  <c r="AD211"/>
  <c r="AK211"/>
  <c r="AE211"/>
  <c r="AA193"/>
  <c r="AD193"/>
  <c r="T193"/>
  <c r="T180"/>
  <c r="T49" s="1"/>
  <c r="V180"/>
  <c r="V49" s="1"/>
  <c r="X180"/>
  <c r="X49" s="1"/>
  <c r="AE180"/>
  <c r="AE49" s="1"/>
  <c r="AF180"/>
  <c r="AF49" s="1"/>
  <c r="AI180"/>
  <c r="AI49" s="1"/>
  <c r="U180"/>
  <c r="U49" s="1"/>
  <c r="Z180"/>
  <c r="Z49" s="1"/>
  <c r="AC180"/>
  <c r="AC49" s="1"/>
  <c r="W180"/>
  <c r="W49" s="1"/>
  <c r="AQ180"/>
  <c r="AQ49" s="1"/>
  <c r="Y180"/>
  <c r="Y49" s="1"/>
  <c r="AM180"/>
  <c r="AM49" s="1"/>
  <c r="AS180"/>
  <c r="AS49" s="1"/>
  <c r="AB180"/>
  <c r="AB49" s="1"/>
  <c r="AH180"/>
  <c r="AH49" s="1"/>
  <c r="AK180"/>
  <c r="AK49" s="1"/>
  <c r="AP180"/>
  <c r="AP49" s="1"/>
  <c r="AL180"/>
  <c r="AL49" s="1"/>
  <c r="AO180"/>
  <c r="AO49" s="1"/>
  <c r="AR180"/>
  <c r="AR49" s="1"/>
  <c r="AA167"/>
  <c r="AG167"/>
  <c r="U167"/>
  <c r="AC167"/>
  <c r="AD167"/>
  <c r="AB167"/>
  <c r="V167"/>
  <c r="AJ167"/>
  <c r="AF130"/>
  <c r="AH130"/>
  <c r="X130"/>
  <c r="AB130"/>
  <c r="AG130"/>
  <c r="AC130"/>
  <c r="Y130"/>
  <c r="R117"/>
  <c r="R46" s="1"/>
  <c r="AA117"/>
  <c r="AA46" s="1"/>
  <c r="AJ117"/>
  <c r="AJ46" s="1"/>
  <c r="AU117"/>
  <c r="AU46" s="1"/>
  <c r="AN117"/>
  <c r="AN46" s="1"/>
  <c r="AT117"/>
  <c r="AT46" s="1"/>
  <c r="AB117"/>
  <c r="AB46" s="1"/>
  <c r="T117"/>
  <c r="T46" s="1"/>
  <c r="T148" i="118"/>
  <c r="U148"/>
  <c r="Y148"/>
  <c r="S148"/>
  <c r="R148"/>
  <c r="AB148"/>
  <c r="V148"/>
  <c r="AC117"/>
  <c r="AC46" s="1"/>
  <c r="U117"/>
  <c r="U46" s="1"/>
  <c r="Y144"/>
  <c r="W144"/>
  <c r="U144"/>
  <c r="X144"/>
  <c r="Z144"/>
  <c r="AA144"/>
  <c r="AC144"/>
  <c r="V144"/>
  <c r="AB144"/>
  <c r="I161" i="11"/>
  <c r="R235" i="120"/>
  <c r="AG479" i="119"/>
  <c r="AH479"/>
  <c r="AE479"/>
  <c r="V479"/>
  <c r="AF479"/>
  <c r="AI479"/>
  <c r="AB479"/>
  <c r="AJ479"/>
  <c r="X470"/>
  <c r="AF470"/>
  <c r="Z470"/>
  <c r="AG470"/>
  <c r="AK470"/>
  <c r="Y470"/>
  <c r="AF432"/>
  <c r="AF61" s="1"/>
  <c r="S432"/>
  <c r="S61" s="1"/>
  <c r="Y432"/>
  <c r="Y61" s="1"/>
  <c r="AA432"/>
  <c r="AA61" s="1"/>
  <c r="AC432"/>
  <c r="AC61" s="1"/>
  <c r="AD432"/>
  <c r="AD61" s="1"/>
  <c r="AH432"/>
  <c r="AH61" s="1"/>
  <c r="AO432"/>
  <c r="AO61" s="1"/>
  <c r="AR432"/>
  <c r="AR61" s="1"/>
  <c r="AI432"/>
  <c r="AI61" s="1"/>
  <c r="AK432"/>
  <c r="AK61" s="1"/>
  <c r="AL432"/>
  <c r="AL61" s="1"/>
  <c r="AG432"/>
  <c r="AG61" s="1"/>
  <c r="AJ432"/>
  <c r="AJ61" s="1"/>
  <c r="AU432"/>
  <c r="AU61" s="1"/>
  <c r="AQ432"/>
  <c r="AQ61" s="1"/>
  <c r="AT432"/>
  <c r="AT61" s="1"/>
  <c r="AE385"/>
  <c r="AA385"/>
  <c r="AB385"/>
  <c r="AD385"/>
  <c r="AG385"/>
  <c r="AF385"/>
  <c r="Z360"/>
  <c r="AH360"/>
  <c r="AG360"/>
  <c r="W360"/>
  <c r="AI360"/>
  <c r="AA360"/>
  <c r="AE360"/>
  <c r="AD318"/>
  <c r="AB318"/>
  <c r="AK318"/>
  <c r="AF301"/>
  <c r="S301"/>
  <c r="Z301"/>
  <c r="AH301"/>
  <c r="Y301"/>
  <c r="AK301"/>
  <c r="S489" i="118"/>
  <c r="Y489"/>
  <c r="Z489"/>
  <c r="R489"/>
  <c r="X489"/>
  <c r="AB489"/>
  <c r="U475"/>
  <c r="S475"/>
  <c r="T475"/>
  <c r="Y475"/>
  <c r="Z475"/>
  <c r="AA475"/>
  <c r="X475"/>
  <c r="AB475"/>
  <c r="AC475"/>
  <c r="V456"/>
  <c r="AA456"/>
  <c r="T456"/>
  <c r="Y456"/>
  <c r="AA427"/>
  <c r="S316"/>
  <c r="X316"/>
  <c r="Y316"/>
  <c r="Z316"/>
  <c r="AB316"/>
  <c r="AA316"/>
  <c r="W292"/>
  <c r="X277"/>
  <c r="T277"/>
  <c r="AA277"/>
  <c r="AC277"/>
  <c r="Y277"/>
  <c r="U277"/>
  <c r="V277"/>
  <c r="W277"/>
  <c r="AB277"/>
  <c r="S277"/>
  <c r="Z264"/>
  <c r="Z53" s="1"/>
  <c r="W232"/>
  <c r="AB232"/>
  <c r="Y232"/>
  <c r="AA232"/>
  <c r="AC207"/>
  <c r="Y207"/>
  <c r="X207"/>
  <c r="Z190"/>
  <c r="AB190"/>
  <c r="Z495" i="28"/>
  <c r="T357"/>
  <c r="R159"/>
  <c r="R48" s="1"/>
  <c r="N172" i="11"/>
  <c r="R252" i="120"/>
  <c r="R167"/>
  <c r="R165"/>
  <c r="AD479" i="119"/>
  <c r="AB432"/>
  <c r="AB61" s="1"/>
  <c r="R419"/>
  <c r="X419"/>
  <c r="AB419"/>
  <c r="AA419"/>
  <c r="AC419"/>
  <c r="AD419"/>
  <c r="W419"/>
  <c r="Z419"/>
  <c r="S419"/>
  <c r="T419"/>
  <c r="U419"/>
  <c r="AE419"/>
  <c r="V377"/>
  <c r="S377"/>
  <c r="AE377"/>
  <c r="Z377"/>
  <c r="AC377"/>
  <c r="AD377"/>
  <c r="AF377"/>
  <c r="AK377"/>
  <c r="AD343"/>
  <c r="T343"/>
  <c r="T411" i="117"/>
  <c r="T60" s="1"/>
  <c r="R411"/>
  <c r="R60" s="1"/>
  <c r="S411"/>
  <c r="S60" s="1"/>
  <c r="V495" i="28"/>
  <c r="R251" i="120"/>
  <c r="AH470" i="119"/>
  <c r="Y479"/>
  <c r="Y385"/>
  <c r="U273"/>
  <c r="AD273"/>
  <c r="AF273"/>
  <c r="AB273"/>
  <c r="AC273"/>
  <c r="T273"/>
  <c r="Z273"/>
  <c r="AA273"/>
  <c r="AJ273"/>
  <c r="AG273"/>
  <c r="AI273"/>
  <c r="AH273"/>
  <c r="Z251"/>
  <c r="AI251"/>
  <c r="S251"/>
  <c r="AA189"/>
  <c r="X189"/>
  <c r="AI189"/>
  <c r="S189"/>
  <c r="W189"/>
  <c r="T189"/>
  <c r="Y189"/>
  <c r="AF189"/>
  <c r="AK189"/>
  <c r="AB171"/>
  <c r="AH171"/>
  <c r="T171"/>
  <c r="Y171"/>
  <c r="AK171"/>
  <c r="AC171"/>
  <c r="Z171"/>
  <c r="AJ171"/>
  <c r="V145"/>
  <c r="S145"/>
  <c r="AI145"/>
  <c r="AC145"/>
  <c r="AK145"/>
  <c r="U145"/>
  <c r="AB104"/>
  <c r="AF104"/>
  <c r="AE104"/>
  <c r="AG104"/>
  <c r="AJ104"/>
  <c r="AK104"/>
  <c r="Z277" i="118"/>
  <c r="AR327" i="119"/>
  <c r="AR56" s="1"/>
  <c r="AQ285"/>
  <c r="AQ54" s="1"/>
  <c r="AO327"/>
  <c r="AO56" s="1"/>
  <c r="AN285"/>
  <c r="AN54" s="1"/>
  <c r="AJ250"/>
  <c r="AI201"/>
  <c r="AI50" s="1"/>
  <c r="AH151"/>
  <c r="AF272"/>
  <c r="AD355"/>
  <c r="AD188"/>
  <c r="AC188"/>
  <c r="S475"/>
  <c r="AA475"/>
  <c r="R453"/>
  <c r="U453"/>
  <c r="W453"/>
  <c r="AB488" i="118"/>
  <c r="V463"/>
  <c r="S463"/>
  <c r="T463"/>
  <c r="X463"/>
  <c r="U463"/>
  <c r="AA463"/>
  <c r="U327" i="119"/>
  <c r="U56" s="1"/>
  <c r="AD327"/>
  <c r="AD56" s="1"/>
  <c r="AH327"/>
  <c r="AH56" s="1"/>
  <c r="R314"/>
  <c r="X314"/>
  <c r="AC314"/>
  <c r="T314"/>
  <c r="AB285"/>
  <c r="AB54" s="1"/>
  <c r="AC285"/>
  <c r="AC54" s="1"/>
  <c r="AB272"/>
  <c r="X272"/>
  <c r="AG272"/>
  <c r="T272"/>
  <c r="Z272"/>
  <c r="AA272"/>
  <c r="Y256"/>
  <c r="AA256"/>
  <c r="AE256"/>
  <c r="W256"/>
  <c r="AC256"/>
  <c r="V256"/>
  <c r="AF250"/>
  <c r="AH250"/>
  <c r="AB250"/>
  <c r="T214"/>
  <c r="AE214"/>
  <c r="Z214"/>
  <c r="AF214"/>
  <c r="W214"/>
  <c r="AC214"/>
  <c r="AD214"/>
  <c r="U201"/>
  <c r="U50" s="1"/>
  <c r="W201"/>
  <c r="W50" s="1"/>
  <c r="AA201"/>
  <c r="AA50" s="1"/>
  <c r="AC201"/>
  <c r="AC50" s="1"/>
  <c r="V188"/>
  <c r="U188"/>
  <c r="Z151"/>
  <c r="V151"/>
  <c r="X151"/>
  <c r="AB151"/>
  <c r="T151"/>
  <c r="AC108"/>
  <c r="AD108"/>
  <c r="U108"/>
  <c r="S381" i="118"/>
  <c r="U381"/>
  <c r="W381"/>
  <c r="Y381"/>
  <c r="AA381"/>
  <c r="AB381"/>
  <c r="S313"/>
  <c r="V313"/>
  <c r="X313"/>
  <c r="W313"/>
  <c r="Y313"/>
  <c r="AA313"/>
  <c r="W274"/>
  <c r="T274"/>
  <c r="AB274"/>
  <c r="Z274"/>
  <c r="R133"/>
  <c r="S133"/>
  <c r="X133"/>
  <c r="V133"/>
  <c r="U133"/>
  <c r="Y133"/>
  <c r="AA133"/>
  <c r="AC133"/>
  <c r="T133"/>
  <c r="Z133"/>
  <c r="X103"/>
  <c r="Z103"/>
  <c r="AA103"/>
  <c r="V103"/>
  <c r="AC103"/>
  <c r="W103"/>
  <c r="S103"/>
  <c r="Z327" i="119"/>
  <c r="Z56" s="1"/>
  <c r="W314"/>
  <c r="V369"/>
  <c r="V58" s="1"/>
  <c r="X364"/>
  <c r="AB364"/>
  <c r="T364"/>
  <c r="R447" i="118"/>
  <c r="R64" s="1"/>
  <c r="U447"/>
  <c r="U64" s="1"/>
  <c r="Y447"/>
  <c r="Y64" s="1"/>
  <c r="V447"/>
  <c r="V64" s="1"/>
  <c r="AC447"/>
  <c r="AC64" s="1"/>
  <c r="AB447"/>
  <c r="AB64" s="1"/>
  <c r="X447"/>
  <c r="X64" s="1"/>
  <c r="W411"/>
  <c r="W60" s="1"/>
  <c r="T411"/>
  <c r="T60" s="1"/>
  <c r="U411"/>
  <c r="U60" s="1"/>
  <c r="X411"/>
  <c r="X60" s="1"/>
  <c r="Z411"/>
  <c r="Z60" s="1"/>
  <c r="Y411"/>
  <c r="Y60" s="1"/>
  <c r="AA411"/>
  <c r="AA60" s="1"/>
  <c r="AB411"/>
  <c r="AB60" s="1"/>
  <c r="Z337"/>
  <c r="AR285" i="119"/>
  <c r="AR54" s="1"/>
  <c r="AP285"/>
  <c r="AP54" s="1"/>
  <c r="AO285"/>
  <c r="AO54" s="1"/>
  <c r="AI272"/>
  <c r="AH214"/>
  <c r="AF256"/>
  <c r="AC138"/>
  <c r="AC47" s="1"/>
  <c r="AB108"/>
  <c r="X355"/>
  <c r="W355"/>
  <c r="T250"/>
  <c r="S151"/>
  <c r="Y471"/>
  <c r="AE471"/>
  <c r="W396"/>
  <c r="X396"/>
  <c r="T381" i="118"/>
  <c r="Y442"/>
  <c r="Y63" s="1"/>
  <c r="W442"/>
  <c r="W63" s="1"/>
  <c r="T167"/>
  <c r="X167"/>
  <c r="U125"/>
  <c r="T125"/>
  <c r="W125"/>
  <c r="Z125"/>
  <c r="W108"/>
  <c r="R96"/>
  <c r="R45" s="1"/>
  <c r="Z96"/>
  <c r="Z45" s="1"/>
  <c r="S272" i="117"/>
  <c r="R272"/>
  <c r="R243"/>
  <c r="R52" s="1"/>
  <c r="S243"/>
  <c r="S52" s="1"/>
  <c r="T243"/>
  <c r="T52" s="1"/>
  <c r="S213"/>
  <c r="S108"/>
  <c r="AA495" i="119"/>
  <c r="S495"/>
  <c r="T378" i="118"/>
  <c r="V378"/>
  <c r="T360"/>
  <c r="U360"/>
  <c r="X360"/>
  <c r="W360"/>
  <c r="Y222"/>
  <c r="Y51" s="1"/>
  <c r="Z222"/>
  <c r="Z51" s="1"/>
  <c r="S192"/>
  <c r="W192"/>
  <c r="Y192"/>
  <c r="Z192"/>
  <c r="T175"/>
  <c r="X175"/>
  <c r="Z165"/>
  <c r="Y165"/>
  <c r="R165"/>
  <c r="T442" i="117"/>
  <c r="T63" s="1"/>
  <c r="S442"/>
  <c r="S63" s="1"/>
  <c r="R397"/>
  <c r="S356"/>
  <c r="R314"/>
  <c r="AB423" i="119"/>
  <c r="Z399"/>
  <c r="X376"/>
  <c r="U335"/>
  <c r="T495"/>
  <c r="R390"/>
  <c r="R59" s="1"/>
  <c r="AD437" i="118"/>
  <c r="AD62" s="1"/>
  <c r="Z210"/>
  <c r="Y180"/>
  <c r="Y49" s="1"/>
  <c r="W180"/>
  <c r="W49" s="1"/>
  <c r="S437"/>
  <c r="S62" s="1"/>
  <c r="S167"/>
  <c r="R357"/>
  <c r="W357"/>
  <c r="T357"/>
  <c r="AA276"/>
  <c r="T276"/>
  <c r="R214"/>
  <c r="Z214"/>
  <c r="V214"/>
  <c r="X214"/>
  <c r="W154"/>
  <c r="U154"/>
  <c r="Z154"/>
  <c r="AC437"/>
  <c r="AC62" s="1"/>
  <c r="AB421"/>
  <c r="AB167"/>
  <c r="AA421"/>
  <c r="X210"/>
  <c r="V432"/>
  <c r="V61" s="1"/>
  <c r="V96"/>
  <c r="V45" s="1"/>
  <c r="T192"/>
  <c r="S432"/>
  <c r="S61" s="1"/>
  <c r="Y400"/>
  <c r="Y327"/>
  <c r="Y56" s="1"/>
  <c r="V327"/>
  <c r="V56" s="1"/>
  <c r="Y297"/>
  <c r="R291"/>
  <c r="Y291"/>
  <c r="W259"/>
  <c r="Y259"/>
  <c r="Z259"/>
  <c r="T369" i="117"/>
  <c r="T58" s="1"/>
  <c r="S369"/>
  <c r="S58" s="1"/>
  <c r="S357"/>
  <c r="S297"/>
  <c r="S285"/>
  <c r="S54" s="1"/>
  <c r="R231"/>
  <c r="S231"/>
  <c r="Z470" i="116"/>
  <c r="W470"/>
  <c r="AC470"/>
  <c r="AG470"/>
  <c r="AH470"/>
  <c r="AA470"/>
  <c r="AF470"/>
  <c r="R442"/>
  <c r="R63" s="1"/>
  <c r="U442"/>
  <c r="U63" s="1"/>
  <c r="V442"/>
  <c r="V63" s="1"/>
  <c r="W442"/>
  <c r="W63" s="1"/>
  <c r="Z442"/>
  <c r="Z63" s="1"/>
  <c r="T442"/>
  <c r="T63" s="1"/>
  <c r="AG442"/>
  <c r="AG63" s="1"/>
  <c r="AA442"/>
  <c r="AA63" s="1"/>
  <c r="AB442"/>
  <c r="AB63" s="1"/>
  <c r="AF442"/>
  <c r="AF63" s="1"/>
  <c r="X442"/>
  <c r="X63" s="1"/>
  <c r="AH442"/>
  <c r="AH63" s="1"/>
  <c r="AI442"/>
  <c r="AI63" s="1"/>
  <c r="S442"/>
  <c r="S63" s="1"/>
  <c r="X421"/>
  <c r="AD421"/>
  <c r="AH421"/>
  <c r="U421"/>
  <c r="W421"/>
  <c r="AE421"/>
  <c r="AD406"/>
  <c r="X397"/>
  <c r="V397"/>
  <c r="AG397"/>
  <c r="AD397"/>
  <c r="AE397"/>
  <c r="AH397"/>
  <c r="W379"/>
  <c r="AA379"/>
  <c r="U379"/>
  <c r="X379"/>
  <c r="V379"/>
  <c r="AD379"/>
  <c r="AE379"/>
  <c r="AH379"/>
  <c r="AC379"/>
  <c r="AB379"/>
  <c r="AF379"/>
  <c r="AG379"/>
  <c r="Z363"/>
  <c r="Y355"/>
  <c r="X355"/>
  <c r="Z355"/>
  <c r="AE355"/>
  <c r="AH355"/>
  <c r="AA355"/>
  <c r="AD355"/>
  <c r="AB355"/>
  <c r="AF355"/>
  <c r="AC355"/>
  <c r="Z314"/>
  <c r="S314"/>
  <c r="AB314"/>
  <c r="AH314"/>
  <c r="AA314"/>
  <c r="AG314"/>
  <c r="Z249"/>
  <c r="AE249"/>
  <c r="AF249"/>
  <c r="AD249"/>
  <c r="W249"/>
  <c r="AA249"/>
  <c r="AH249"/>
  <c r="AC249"/>
  <c r="Z233"/>
  <c r="R252" i="118"/>
  <c r="S437" i="117"/>
  <c r="S62" s="1"/>
  <c r="T390"/>
  <c r="T59" s="1"/>
  <c r="AE470" i="116"/>
  <c r="T432" i="117"/>
  <c r="T61" s="1"/>
  <c r="R432"/>
  <c r="R61" s="1"/>
  <c r="AG355" i="116"/>
  <c r="S340" i="117"/>
  <c r="S463"/>
  <c r="AE469" i="116"/>
  <c r="W457"/>
  <c r="AH457"/>
  <c r="W396"/>
  <c r="Y396"/>
  <c r="AG396"/>
  <c r="AB396"/>
  <c r="AH396"/>
  <c r="AA378"/>
  <c r="U378"/>
  <c r="Z378"/>
  <c r="AE378"/>
  <c r="AH378"/>
  <c r="AC378"/>
  <c r="AG378"/>
  <c r="Y378"/>
  <c r="X280"/>
  <c r="U280"/>
  <c r="Y280"/>
  <c r="AC280"/>
  <c r="Z280"/>
  <c r="AB280"/>
  <c r="AH280"/>
  <c r="AE271"/>
  <c r="AF271"/>
  <c r="AD271"/>
  <c r="AA208"/>
  <c r="AD208"/>
  <c r="Z208"/>
  <c r="AC208"/>
  <c r="AE208"/>
  <c r="V208"/>
  <c r="AF208"/>
  <c r="AH208"/>
  <c r="R190"/>
  <c r="X190"/>
  <c r="AA190"/>
  <c r="AB190"/>
  <c r="AE190"/>
  <c r="V190"/>
  <c r="AD457"/>
  <c r="AC469"/>
  <c r="AC396"/>
  <c r="R306"/>
  <c r="R55" s="1"/>
  <c r="T306"/>
  <c r="T55" s="1"/>
  <c r="W306"/>
  <c r="W55" s="1"/>
  <c r="S306"/>
  <c r="S55" s="1"/>
  <c r="AA306"/>
  <c r="AA55" s="1"/>
  <c r="V306"/>
  <c r="V55" s="1"/>
  <c r="AD306"/>
  <c r="AD55" s="1"/>
  <c r="AC306"/>
  <c r="AC55" s="1"/>
  <c r="U306"/>
  <c r="U55" s="1"/>
  <c r="Z306"/>
  <c r="Z55" s="1"/>
  <c r="U270"/>
  <c r="V270"/>
  <c r="W270"/>
  <c r="Y270"/>
  <c r="S270"/>
  <c r="AE270"/>
  <c r="AF270"/>
  <c r="T270"/>
  <c r="AD270"/>
  <c r="AC270"/>
  <c r="AH270"/>
  <c r="Y335"/>
  <c r="AB335"/>
  <c r="AH335"/>
  <c r="S335"/>
  <c r="AD335"/>
  <c r="Z317"/>
  <c r="S301"/>
  <c r="AA301"/>
  <c r="V301"/>
  <c r="AC301"/>
  <c r="U301"/>
  <c r="AB301"/>
  <c r="AG301"/>
  <c r="AD301"/>
  <c r="X276"/>
  <c r="AA276"/>
  <c r="S276"/>
  <c r="AC276"/>
  <c r="AG276"/>
  <c r="AB276"/>
  <c r="AH276"/>
  <c r="AD276"/>
  <c r="R264"/>
  <c r="R53" s="1"/>
  <c r="U264"/>
  <c r="U53" s="1"/>
  <c r="V264"/>
  <c r="V53" s="1"/>
  <c r="W264"/>
  <c r="W53" s="1"/>
  <c r="S264"/>
  <c r="S53" s="1"/>
  <c r="AB264"/>
  <c r="AB53" s="1"/>
  <c r="T264"/>
  <c r="T53" s="1"/>
  <c r="AD264"/>
  <c r="AD53" s="1"/>
  <c r="X264"/>
  <c r="X53" s="1"/>
  <c r="AA264"/>
  <c r="AA53" s="1"/>
  <c r="AG264"/>
  <c r="AG53" s="1"/>
  <c r="AI264"/>
  <c r="AI53" s="1"/>
  <c r="S472" i="117"/>
  <c r="R472"/>
  <c r="AE457" i="116"/>
  <c r="AC457"/>
  <c r="Z396"/>
  <c r="N126" i="117"/>
  <c r="R217" i="116"/>
  <c r="U217"/>
  <c r="Z217"/>
  <c r="Y217"/>
  <c r="R209"/>
  <c r="T209"/>
  <c r="AC209"/>
  <c r="X159"/>
  <c r="X48" s="1"/>
  <c r="AB159"/>
  <c r="AB48" s="1"/>
  <c r="S147"/>
  <c r="W147"/>
  <c r="Z147"/>
  <c r="AA147"/>
  <c r="Z128"/>
  <c r="W473"/>
  <c r="R473"/>
  <c r="X473"/>
  <c r="Y460"/>
  <c r="T460"/>
  <c r="U460"/>
  <c r="AA460"/>
  <c r="S460"/>
  <c r="Z460"/>
  <c r="X453"/>
  <c r="V453"/>
  <c r="W382"/>
  <c r="AC382"/>
  <c r="W358"/>
  <c r="AC358"/>
  <c r="AD358"/>
  <c r="Z342"/>
  <c r="Y334"/>
  <c r="AD334"/>
  <c r="Z334"/>
  <c r="Z275"/>
  <c r="X230"/>
  <c r="W230"/>
  <c r="V230"/>
  <c r="AA230"/>
  <c r="T230"/>
  <c r="R201"/>
  <c r="R50" s="1"/>
  <c r="T201"/>
  <c r="T50" s="1"/>
  <c r="AA201"/>
  <c r="AA50" s="1"/>
  <c r="V201"/>
  <c r="V50" s="1"/>
  <c r="W201"/>
  <c r="W50" s="1"/>
  <c r="Z201"/>
  <c r="Z50" s="1"/>
  <c r="Y201"/>
  <c r="Y50" s="1"/>
  <c r="AC188"/>
  <c r="V188"/>
  <c r="Z188"/>
  <c r="R138"/>
  <c r="R47" s="1"/>
  <c r="T138"/>
  <c r="T47" s="1"/>
  <c r="Y138"/>
  <c r="Y47" s="1"/>
  <c r="X138"/>
  <c r="X47" s="1"/>
  <c r="AB473"/>
  <c r="AA473"/>
  <c r="W460"/>
  <c r="W400"/>
  <c r="Z494"/>
  <c r="U486"/>
  <c r="AA486"/>
  <c r="X459"/>
  <c r="Y459"/>
  <c r="AA381"/>
  <c r="Y381"/>
  <c r="S292"/>
  <c r="Y292"/>
  <c r="AB292"/>
  <c r="U292"/>
  <c r="W292"/>
  <c r="R252"/>
  <c r="T252"/>
  <c r="Y252"/>
  <c r="AC252"/>
  <c r="T235"/>
  <c r="X235"/>
  <c r="U187"/>
  <c r="Y187"/>
  <c r="AA187"/>
  <c r="W187"/>
  <c r="AE460"/>
  <c r="AB358"/>
  <c r="X460"/>
  <c r="R364"/>
  <c r="Y364"/>
  <c r="T364"/>
  <c r="V364"/>
  <c r="W364"/>
  <c r="AB339"/>
  <c r="S339"/>
  <c r="Y339"/>
  <c r="Y327"/>
  <c r="Y56" s="1"/>
  <c r="AA327"/>
  <c r="AA56" s="1"/>
  <c r="AC327"/>
  <c r="AC56" s="1"/>
  <c r="U315"/>
  <c r="X315"/>
  <c r="W315"/>
  <c r="Y315"/>
  <c r="AA251"/>
  <c r="Z251"/>
  <c r="W251"/>
  <c r="V455"/>
  <c r="S145"/>
  <c r="R145"/>
  <c r="T145"/>
  <c r="X145"/>
  <c r="AB145"/>
  <c r="V145"/>
  <c r="Y145"/>
  <c r="Z145"/>
  <c r="AA145"/>
  <c r="AC145"/>
  <c r="W145"/>
  <c r="AE145"/>
  <c r="AF145"/>
  <c r="AH145"/>
  <c r="U145"/>
  <c r="AD145"/>
  <c r="AG145"/>
  <c r="AJ469" i="121"/>
  <c r="AG469"/>
  <c r="Z369"/>
  <c r="Z58" s="1"/>
  <c r="X150"/>
  <c r="Z150"/>
  <c r="AE150"/>
  <c r="AH150"/>
  <c r="AD150"/>
  <c r="U150"/>
  <c r="S126"/>
  <c r="Y126"/>
  <c r="AJ126"/>
  <c r="AK126"/>
  <c r="T126"/>
  <c r="AB126"/>
  <c r="AC126"/>
  <c r="AD126"/>
  <c r="AA126"/>
  <c r="AH126"/>
  <c r="AB418"/>
  <c r="Y418"/>
  <c r="Z418"/>
  <c r="V418"/>
  <c r="AF418"/>
  <c r="Y103"/>
  <c r="Z103"/>
  <c r="AB103"/>
  <c r="AC103"/>
  <c r="AI209"/>
  <c r="Z209"/>
  <c r="AA209"/>
  <c r="V209"/>
  <c r="Y209"/>
  <c r="T209"/>
  <c r="X209"/>
  <c r="AF209"/>
  <c r="AG209"/>
  <c r="AK209"/>
  <c r="AG145"/>
  <c r="AD145"/>
  <c r="AB398"/>
  <c r="AI398"/>
  <c r="AK398"/>
  <c r="AC398"/>
  <c r="S229"/>
  <c r="AB229"/>
  <c r="AD229"/>
  <c r="X229"/>
  <c r="AF229"/>
  <c r="AJ229"/>
  <c r="R229"/>
  <c r="T229"/>
  <c r="Z229"/>
  <c r="X454"/>
  <c r="AC454"/>
  <c r="AD364"/>
  <c r="AJ364"/>
  <c r="AA364"/>
  <c r="AE364"/>
  <c r="S364"/>
  <c r="S327"/>
  <c r="S56" s="1"/>
  <c r="X327"/>
  <c r="X56" s="1"/>
  <c r="AD327"/>
  <c r="AD56" s="1"/>
  <c r="AU327"/>
  <c r="AU56" s="1"/>
  <c r="AM327"/>
  <c r="AM56" s="1"/>
  <c r="AN327"/>
  <c r="AN56" s="1"/>
  <c r="W327"/>
  <c r="W56" s="1"/>
  <c r="AE327"/>
  <c r="AE56" s="1"/>
  <c r="R102"/>
  <c r="AE102"/>
  <c r="U102"/>
  <c r="AC102"/>
  <c r="AG102"/>
  <c r="AH102"/>
  <c r="AI102"/>
  <c r="S102"/>
  <c r="AB148" i="28"/>
  <c r="R487"/>
  <c r="Z487"/>
  <c r="AA487"/>
  <c r="AB487"/>
  <c r="AK487"/>
  <c r="AC487"/>
  <c r="X487"/>
  <c r="AF487"/>
  <c r="AG487"/>
  <c r="AJ487"/>
  <c r="AC475"/>
  <c r="AH475"/>
  <c r="AA475"/>
  <c r="AB475"/>
  <c r="AK475"/>
  <c r="AD475"/>
  <c r="T475"/>
  <c r="AI475"/>
  <c r="AJ475"/>
  <c r="AG475"/>
  <c r="S475"/>
  <c r="X475"/>
  <c r="AE475"/>
  <c r="AG417"/>
  <c r="AJ417"/>
  <c r="AD417"/>
  <c r="AI417"/>
  <c r="V417"/>
  <c r="X417"/>
  <c r="T417"/>
  <c r="AE417"/>
  <c r="R417"/>
  <c r="AC417"/>
  <c r="AF375"/>
  <c r="AJ375"/>
  <c r="AC375"/>
  <c r="AJ318"/>
  <c r="AI318"/>
  <c r="S318"/>
  <c r="U318"/>
  <c r="AB318"/>
  <c r="AK318"/>
  <c r="AC318"/>
  <c r="Z318"/>
  <c r="AG318"/>
  <c r="W318"/>
  <c r="AD318"/>
  <c r="Y312"/>
  <c r="AB312"/>
  <c r="AK312"/>
  <c r="Z312"/>
  <c r="AA312"/>
  <c r="AJ312"/>
  <c r="AH312"/>
  <c r="X280"/>
  <c r="AA280"/>
  <c r="AI280"/>
  <c r="AB280"/>
  <c r="AG280"/>
  <c r="W280"/>
  <c r="AI273"/>
  <c r="Y273"/>
  <c r="AB273"/>
  <c r="AG273"/>
  <c r="AD273"/>
  <c r="Z273"/>
  <c r="T273"/>
  <c r="V273"/>
  <c r="T104" i="116"/>
  <c r="R104"/>
  <c r="Y104"/>
  <c r="S104"/>
  <c r="U104"/>
  <c r="X104"/>
  <c r="V104"/>
  <c r="W104"/>
  <c r="AC104"/>
  <c r="AA104"/>
  <c r="AG104"/>
  <c r="Z104"/>
  <c r="AD104"/>
  <c r="AF104"/>
  <c r="AH104"/>
  <c r="AB104"/>
  <c r="AE104"/>
  <c r="AT327" i="121"/>
  <c r="AT56" s="1"/>
  <c r="AK418"/>
  <c r="AJ103"/>
  <c r="AI166"/>
  <c r="AH169"/>
  <c r="AH229"/>
  <c r="AG126"/>
  <c r="AG327"/>
  <c r="AG56" s="1"/>
  <c r="AF469"/>
  <c r="AE123"/>
  <c r="AD418"/>
  <c r="AC150"/>
  <c r="AC189"/>
  <c r="AB102"/>
  <c r="AB209"/>
  <c r="AA189"/>
  <c r="AA291"/>
  <c r="Z126"/>
  <c r="Y454"/>
  <c r="V229"/>
  <c r="AC193"/>
  <c r="AJ193"/>
  <c r="Z193"/>
  <c r="AB193"/>
  <c r="AF193"/>
  <c r="Z379"/>
  <c r="Y379"/>
  <c r="V369"/>
  <c r="V58" s="1"/>
  <c r="V357"/>
  <c r="AA357"/>
  <c r="AH357"/>
  <c r="AJ357"/>
  <c r="U357"/>
  <c r="Y357"/>
  <c r="Z357"/>
  <c r="AK357"/>
  <c r="AC357"/>
  <c r="AD357"/>
  <c r="T357"/>
  <c r="AB357"/>
  <c r="T469"/>
  <c r="S209"/>
  <c r="X489"/>
  <c r="AK489"/>
  <c r="AA489"/>
  <c r="AG489"/>
  <c r="AH489"/>
  <c r="V396"/>
  <c r="X396"/>
  <c r="AJ396"/>
  <c r="AC396"/>
  <c r="AE396"/>
  <c r="AF396"/>
  <c r="AA396"/>
  <c r="AH250"/>
  <c r="AI250"/>
  <c r="AK250"/>
  <c r="Y250"/>
  <c r="AF250"/>
  <c r="AQ243"/>
  <c r="AQ52" s="1"/>
  <c r="W243"/>
  <c r="W52" s="1"/>
  <c r="AB243"/>
  <c r="AB52" s="1"/>
  <c r="AH243"/>
  <c r="AH52" s="1"/>
  <c r="AS243"/>
  <c r="AS52" s="1"/>
  <c r="AA243"/>
  <c r="AA52" s="1"/>
  <c r="AL243"/>
  <c r="AL52" s="1"/>
  <c r="S243"/>
  <c r="S52" s="1"/>
  <c r="X243"/>
  <c r="X52" s="1"/>
  <c r="AG243"/>
  <c r="AG52" s="1"/>
  <c r="AT243"/>
  <c r="AT52" s="1"/>
  <c r="V144"/>
  <c r="W144"/>
  <c r="Y144"/>
  <c r="Z144"/>
  <c r="AB144"/>
  <c r="AE144"/>
  <c r="X144"/>
  <c r="S144"/>
  <c r="AH144"/>
  <c r="AD144"/>
  <c r="AI315" i="28"/>
  <c r="Y318"/>
  <c r="W475"/>
  <c r="W417"/>
  <c r="V312"/>
  <c r="U417"/>
  <c r="T315"/>
  <c r="AG411"/>
  <c r="AG60" s="1"/>
  <c r="AD411"/>
  <c r="AD60" s="1"/>
  <c r="AL411"/>
  <c r="AL60" s="1"/>
  <c r="AN411"/>
  <c r="AN60" s="1"/>
  <c r="Z411"/>
  <c r="Z60" s="1"/>
  <c r="AC411"/>
  <c r="AC60" s="1"/>
  <c r="S411"/>
  <c r="S60" s="1"/>
  <c r="U411"/>
  <c r="U60" s="1"/>
  <c r="AF411"/>
  <c r="AF60" s="1"/>
  <c r="AH411"/>
  <c r="AH60" s="1"/>
  <c r="AM411"/>
  <c r="AM60" s="1"/>
  <c r="AQ411"/>
  <c r="AQ60" s="1"/>
  <c r="AE411"/>
  <c r="AE60" s="1"/>
  <c r="V411"/>
  <c r="V60" s="1"/>
  <c r="N271" i="120"/>
  <c r="N152" i="11"/>
  <c r="S243" i="120"/>
  <c r="S52" s="1"/>
  <c r="AU369" i="121"/>
  <c r="AU58" s="1"/>
  <c r="AN369"/>
  <c r="AN58" s="1"/>
  <c r="AK402"/>
  <c r="AK193"/>
  <c r="AJ473"/>
  <c r="AI189"/>
  <c r="AI473"/>
  <c r="AH103"/>
  <c r="AH210"/>
  <c r="AH375"/>
  <c r="AG250"/>
  <c r="AG357"/>
  <c r="AH327"/>
  <c r="AH56" s="1"/>
  <c r="AF145"/>
  <c r="AF210"/>
  <c r="AE126"/>
  <c r="AE229"/>
  <c r="AD276"/>
  <c r="AC402"/>
  <c r="AC213"/>
  <c r="AB150"/>
  <c r="AC229"/>
  <c r="AC210"/>
  <c r="AA103"/>
  <c r="AA229"/>
  <c r="X357"/>
  <c r="W150"/>
  <c r="W489"/>
  <c r="T150"/>
  <c r="W318"/>
  <c r="Z318"/>
  <c r="AD318"/>
  <c r="X318"/>
  <c r="AI318"/>
  <c r="Y318"/>
  <c r="AE318"/>
  <c r="AH318"/>
  <c r="AK318"/>
  <c r="AI476"/>
  <c r="X476"/>
  <c r="AE476"/>
  <c r="T476"/>
  <c r="W476"/>
  <c r="AA476"/>
  <c r="AJ476"/>
  <c r="Y476"/>
  <c r="AB476"/>
  <c r="AK295"/>
  <c r="AE295"/>
  <c r="AA295"/>
  <c r="V295"/>
  <c r="AB295"/>
  <c r="AD295"/>
  <c r="AG295"/>
  <c r="AI295"/>
  <c r="U400"/>
  <c r="S400"/>
  <c r="AJ400"/>
  <c r="AA400"/>
  <c r="Y400"/>
  <c r="AB400"/>
  <c r="AG400"/>
  <c r="AH400"/>
  <c r="AK400"/>
  <c r="AI253"/>
  <c r="AB253"/>
  <c r="AH253"/>
  <c r="AK253"/>
  <c r="AA253"/>
  <c r="W253"/>
  <c r="AC253"/>
  <c r="U369"/>
  <c r="U58" s="1"/>
  <c r="S375"/>
  <c r="R243"/>
  <c r="R52" s="1"/>
  <c r="R336"/>
  <c r="U336"/>
  <c r="R355"/>
  <c r="W355"/>
  <c r="Z355"/>
  <c r="AG355"/>
  <c r="AC355"/>
  <c r="V355"/>
  <c r="AB355"/>
  <c r="AD355"/>
  <c r="AE355"/>
  <c r="AF355"/>
  <c r="AH355"/>
  <c r="AK355"/>
  <c r="AJ355"/>
  <c r="AT442" i="28"/>
  <c r="AT63" s="1"/>
  <c r="AT411"/>
  <c r="AT60" s="1"/>
  <c r="AP411"/>
  <c r="AP60" s="1"/>
  <c r="AK315"/>
  <c r="AH318"/>
  <c r="AD487"/>
  <c r="Z475"/>
  <c r="Z285"/>
  <c r="Z54" s="1"/>
  <c r="W411"/>
  <c r="W60" s="1"/>
  <c r="V487"/>
  <c r="R447"/>
  <c r="R64" s="1"/>
  <c r="W447"/>
  <c r="W64" s="1"/>
  <c r="AH447"/>
  <c r="AH64" s="1"/>
  <c r="AP447"/>
  <c r="AP64" s="1"/>
  <c r="AR447"/>
  <c r="AR64" s="1"/>
  <c r="AT447"/>
  <c r="AT64" s="1"/>
  <c r="V447"/>
  <c r="V64" s="1"/>
  <c r="AD447"/>
  <c r="AD64" s="1"/>
  <c r="AI447"/>
  <c r="AI64" s="1"/>
  <c r="AJ447"/>
  <c r="AJ64" s="1"/>
  <c r="AL447"/>
  <c r="AL64" s="1"/>
  <c r="AN447"/>
  <c r="AN64" s="1"/>
  <c r="Z447"/>
  <c r="Z64" s="1"/>
  <c r="AC447"/>
  <c r="AC64" s="1"/>
  <c r="S447"/>
  <c r="S64" s="1"/>
  <c r="X447"/>
  <c r="X64" s="1"/>
  <c r="Y447"/>
  <c r="Y64" s="1"/>
  <c r="AA447"/>
  <c r="AA64" s="1"/>
  <c r="AK447"/>
  <c r="AK64" s="1"/>
  <c r="AF447"/>
  <c r="AF64" s="1"/>
  <c r="AM447"/>
  <c r="AM64" s="1"/>
  <c r="AQ447"/>
  <c r="AQ64" s="1"/>
  <c r="U423"/>
  <c r="AK423"/>
  <c r="S423"/>
  <c r="X423"/>
  <c r="Y423"/>
  <c r="AA423"/>
  <c r="AG423"/>
  <c r="AH423"/>
  <c r="N146" i="120"/>
  <c r="N161" i="11"/>
  <c r="W361" i="121"/>
  <c r="Z361"/>
  <c r="AG361"/>
  <c r="R230"/>
  <c r="S230"/>
  <c r="T230"/>
  <c r="V230"/>
  <c r="W230"/>
  <c r="Z230"/>
  <c r="AD230"/>
  <c r="AJ230"/>
  <c r="AA230"/>
  <c r="AB230"/>
  <c r="U230"/>
  <c r="Y230"/>
  <c r="AE230"/>
  <c r="AG230"/>
  <c r="AI230"/>
  <c r="AK230"/>
  <c r="U469"/>
  <c r="AD469"/>
  <c r="S469"/>
  <c r="Z469"/>
  <c r="AB469"/>
  <c r="AE469"/>
  <c r="V469"/>
  <c r="AC469"/>
  <c r="AI469"/>
  <c r="Y469"/>
  <c r="AK469"/>
  <c r="R472" i="28"/>
  <c r="Y472"/>
  <c r="AG472"/>
  <c r="R442"/>
  <c r="R63" s="1"/>
  <c r="AI442"/>
  <c r="AI63" s="1"/>
  <c r="AJ442"/>
  <c r="AJ63" s="1"/>
  <c r="AL442"/>
  <c r="AL63" s="1"/>
  <c r="AN442"/>
  <c r="AN63" s="1"/>
  <c r="AE442"/>
  <c r="AE63" s="1"/>
  <c r="X442"/>
  <c r="X63" s="1"/>
  <c r="AA442"/>
  <c r="AA63" s="1"/>
  <c r="AH442"/>
  <c r="AH63" s="1"/>
  <c r="AO442"/>
  <c r="AO63" s="1"/>
  <c r="AG189"/>
  <c r="AE189"/>
  <c r="AH189"/>
  <c r="S189"/>
  <c r="AD189"/>
  <c r="R148"/>
  <c r="AC148"/>
  <c r="Y148"/>
  <c r="AK148"/>
  <c r="AA148"/>
  <c r="AE148"/>
  <c r="V148"/>
  <c r="AJ148"/>
  <c r="U148"/>
  <c r="AF148"/>
  <c r="AI148"/>
  <c r="U165" i="116"/>
  <c r="Z165"/>
  <c r="AC165"/>
  <c r="AE165"/>
  <c r="AF165"/>
  <c r="AH165"/>
  <c r="T165"/>
  <c r="AD165"/>
  <c r="AB165"/>
  <c r="AG165"/>
  <c r="AM369" i="121"/>
  <c r="AM58" s="1"/>
  <c r="U232"/>
  <c r="AD232"/>
  <c r="AF232"/>
  <c r="Z232"/>
  <c r="AI232"/>
  <c r="W232"/>
  <c r="Y232"/>
  <c r="AH232"/>
  <c r="X232"/>
  <c r="AC232"/>
  <c r="AK232"/>
  <c r="T454"/>
  <c r="AI312" i="28"/>
  <c r="AE375"/>
  <c r="AA417"/>
  <c r="Z148"/>
  <c r="AB485"/>
  <c r="W485"/>
  <c r="AF485"/>
  <c r="AG485"/>
  <c r="AK485"/>
  <c r="AD485"/>
  <c r="X485"/>
  <c r="Y485"/>
  <c r="U485"/>
  <c r="AA485"/>
  <c r="AC485"/>
  <c r="AK327"/>
  <c r="AK56" s="1"/>
  <c r="AM327"/>
  <c r="AM56" s="1"/>
  <c r="AO327"/>
  <c r="AO56" s="1"/>
  <c r="AP327"/>
  <c r="AP56" s="1"/>
  <c r="AR327"/>
  <c r="AR56" s="1"/>
  <c r="AT327"/>
  <c r="AT56" s="1"/>
  <c r="V327"/>
  <c r="V56" s="1"/>
  <c r="AH327"/>
  <c r="AH56" s="1"/>
  <c r="AN327"/>
  <c r="AN56" s="1"/>
  <c r="AL327"/>
  <c r="AL56" s="1"/>
  <c r="U327"/>
  <c r="U56" s="1"/>
  <c r="AI327"/>
  <c r="AI56" s="1"/>
  <c r="AS327"/>
  <c r="AS56" s="1"/>
  <c r="AA327"/>
  <c r="AA56" s="1"/>
  <c r="R228" i="120"/>
  <c r="AH209" i="121"/>
  <c r="AF327"/>
  <c r="AF56" s="1"/>
  <c r="AE418"/>
  <c r="AD103"/>
  <c r="X361"/>
  <c r="Y243"/>
  <c r="Y52" s="1"/>
  <c r="Y297"/>
  <c r="AC297"/>
  <c r="S297"/>
  <c r="W297"/>
  <c r="AE297"/>
  <c r="AB297"/>
  <c r="AD297"/>
  <c r="AG297"/>
  <c r="AF420"/>
  <c r="AG420"/>
  <c r="X420"/>
  <c r="AB420"/>
  <c r="AC420"/>
  <c r="AD420"/>
  <c r="Z420"/>
  <c r="AH420"/>
  <c r="AK420"/>
  <c r="R273"/>
  <c r="AH273"/>
  <c r="S273"/>
  <c r="W273"/>
  <c r="AA273"/>
  <c r="AC273"/>
  <c r="U273"/>
  <c r="AE273"/>
  <c r="AB273"/>
  <c r="AI273"/>
  <c r="S250"/>
  <c r="AK210"/>
  <c r="AE210"/>
  <c r="AI210"/>
  <c r="AJ210"/>
  <c r="AB210"/>
  <c r="V312"/>
  <c r="AD312"/>
  <c r="X312"/>
  <c r="AB259"/>
  <c r="V259"/>
  <c r="AH292"/>
  <c r="Y292"/>
  <c r="AA292"/>
  <c r="AF292"/>
  <c r="AI292"/>
  <c r="AK292"/>
  <c r="U292"/>
  <c r="AM117"/>
  <c r="AM46" s="1"/>
  <c r="AS117"/>
  <c r="AS46" s="1"/>
  <c r="AR117"/>
  <c r="AR46" s="1"/>
  <c r="O133" i="11"/>
  <c r="AH485" i="28"/>
  <c r="AF312"/>
  <c r="AJ390"/>
  <c r="AJ59" s="1"/>
  <c r="AQ390"/>
  <c r="AQ59" s="1"/>
  <c r="AP390"/>
  <c r="AP59" s="1"/>
  <c r="Y390"/>
  <c r="Y59" s="1"/>
  <c r="AD390"/>
  <c r="AD59" s="1"/>
  <c r="AL390"/>
  <c r="AL59" s="1"/>
  <c r="AN390"/>
  <c r="AN59" s="1"/>
  <c r="T390"/>
  <c r="T59" s="1"/>
  <c r="W390"/>
  <c r="W59" s="1"/>
  <c r="AH390"/>
  <c r="AH59" s="1"/>
  <c r="Z390"/>
  <c r="Z59" s="1"/>
  <c r="Z360"/>
  <c r="T360"/>
  <c r="U360"/>
  <c r="AD360"/>
  <c r="AE360"/>
  <c r="AA360"/>
  <c r="AC360"/>
  <c r="AG360"/>
  <c r="AI360"/>
  <c r="AH360"/>
  <c r="AK360"/>
  <c r="W360"/>
  <c r="AF292"/>
  <c r="AD292"/>
  <c r="U292"/>
  <c r="AJ292"/>
  <c r="AI292"/>
  <c r="AQ327" i="121"/>
  <c r="AQ56" s="1"/>
  <c r="AN243"/>
  <c r="AN52" s="1"/>
  <c r="AK150"/>
  <c r="AJ273"/>
  <c r="AI234"/>
  <c r="AH234"/>
  <c r="AH469"/>
  <c r="AG232"/>
  <c r="AG364"/>
  <c r="AF230"/>
  <c r="AF454"/>
  <c r="AF489"/>
  <c r="AF243"/>
  <c r="AF52" s="1"/>
  <c r="AD169"/>
  <c r="AD209"/>
  <c r="AD398"/>
  <c r="AC209"/>
  <c r="AC250"/>
  <c r="AC364"/>
  <c r="AA297"/>
  <c r="AA150"/>
  <c r="AB396"/>
  <c r="AA210"/>
  <c r="AA327"/>
  <c r="AA56" s="1"/>
  <c r="Z473"/>
  <c r="Y210"/>
  <c r="Y420"/>
  <c r="X102"/>
  <c r="X469"/>
  <c r="W126"/>
  <c r="W357"/>
  <c r="W469"/>
  <c r="AH360"/>
  <c r="AI360"/>
  <c r="T381"/>
  <c r="W381"/>
  <c r="AG381"/>
  <c r="AK381"/>
  <c r="Y381"/>
  <c r="AH381"/>
  <c r="R357"/>
  <c r="R417"/>
  <c r="T417"/>
  <c r="U417"/>
  <c r="V417"/>
  <c r="Y417"/>
  <c r="X417"/>
  <c r="W417"/>
  <c r="AC417"/>
  <c r="AI417"/>
  <c r="S354"/>
  <c r="AC354"/>
  <c r="U354"/>
  <c r="Y354"/>
  <c r="AH354"/>
  <c r="AK354"/>
  <c r="Z354"/>
  <c r="AJ354"/>
  <c r="V186"/>
  <c r="AD186"/>
  <c r="AI186"/>
  <c r="W186"/>
  <c r="AH186"/>
  <c r="R186"/>
  <c r="AA186"/>
  <c r="AF186"/>
  <c r="AC186"/>
  <c r="AE186"/>
  <c r="T333"/>
  <c r="W333"/>
  <c r="Y333"/>
  <c r="AG333"/>
  <c r="AI333"/>
  <c r="AJ333"/>
  <c r="Z333"/>
  <c r="AC333"/>
  <c r="R333"/>
  <c r="X333"/>
  <c r="T133"/>
  <c r="AA133"/>
  <c r="AF133"/>
  <c r="AI133"/>
  <c r="S133"/>
  <c r="AC133"/>
  <c r="AG133"/>
  <c r="Z133"/>
  <c r="R133"/>
  <c r="AB133"/>
  <c r="T124"/>
  <c r="AE124"/>
  <c r="R124"/>
  <c r="AF124"/>
  <c r="AK124"/>
  <c r="AA124"/>
  <c r="AH124"/>
  <c r="W167"/>
  <c r="AE167"/>
  <c r="AG167"/>
  <c r="AH167"/>
  <c r="V167"/>
  <c r="Y167"/>
  <c r="AI167"/>
  <c r="S167"/>
  <c r="U167"/>
  <c r="X167"/>
  <c r="AC167"/>
  <c r="AK167"/>
  <c r="X138"/>
  <c r="X47" s="1"/>
  <c r="AE138"/>
  <c r="AE47" s="1"/>
  <c r="AH138"/>
  <c r="AH47" s="1"/>
  <c r="AK138"/>
  <c r="AK47" s="1"/>
  <c r="AO138"/>
  <c r="AO47" s="1"/>
  <c r="AT138"/>
  <c r="AT47" s="1"/>
  <c r="AB138"/>
  <c r="AB47" s="1"/>
  <c r="AC138"/>
  <c r="AC47" s="1"/>
  <c r="AM138"/>
  <c r="AM47" s="1"/>
  <c r="AP138"/>
  <c r="AP47" s="1"/>
  <c r="S222"/>
  <c r="S51" s="1"/>
  <c r="AD222"/>
  <c r="AD51" s="1"/>
  <c r="AE222"/>
  <c r="AE51" s="1"/>
  <c r="AJ222"/>
  <c r="AJ51" s="1"/>
  <c r="Y222"/>
  <c r="Y51" s="1"/>
  <c r="AN222"/>
  <c r="AN51" s="1"/>
  <c r="AF222"/>
  <c r="AF51" s="1"/>
  <c r="AK222"/>
  <c r="AK51" s="1"/>
  <c r="AP222"/>
  <c r="AP51" s="1"/>
  <c r="AQ222"/>
  <c r="AQ51" s="1"/>
  <c r="AT222"/>
  <c r="AT51" s="1"/>
  <c r="X222"/>
  <c r="X51" s="1"/>
  <c r="Z222"/>
  <c r="Z51" s="1"/>
  <c r="AA222"/>
  <c r="AA51" s="1"/>
  <c r="AC222"/>
  <c r="AC51" s="1"/>
  <c r="AI222"/>
  <c r="AI51" s="1"/>
  <c r="AM222"/>
  <c r="AM51" s="1"/>
  <c r="AU222"/>
  <c r="AU51" s="1"/>
  <c r="R306"/>
  <c r="R55" s="1"/>
  <c r="AI306"/>
  <c r="AI55" s="1"/>
  <c r="AJ306"/>
  <c r="AJ55" s="1"/>
  <c r="AN306"/>
  <c r="AN55" s="1"/>
  <c r="AP306"/>
  <c r="AP55" s="1"/>
  <c r="U306"/>
  <c r="U55" s="1"/>
  <c r="Z306"/>
  <c r="Z55" s="1"/>
  <c r="AG306"/>
  <c r="AG55" s="1"/>
  <c r="X306"/>
  <c r="X55" s="1"/>
  <c r="AC306"/>
  <c r="AC55" s="1"/>
  <c r="AD306"/>
  <c r="AD55" s="1"/>
  <c r="AO306"/>
  <c r="AO55" s="1"/>
  <c r="AU306"/>
  <c r="AU55" s="1"/>
  <c r="AB306"/>
  <c r="AB55" s="1"/>
  <c r="AD96"/>
  <c r="AD45" s="1"/>
  <c r="AG96"/>
  <c r="AG45" s="1"/>
  <c r="AI96"/>
  <c r="AI45" s="1"/>
  <c r="AJ96"/>
  <c r="AJ45" s="1"/>
  <c r="AN96"/>
  <c r="AN45" s="1"/>
  <c r="AR96"/>
  <c r="AR45" s="1"/>
  <c r="AT96"/>
  <c r="AT45" s="1"/>
  <c r="AU96"/>
  <c r="AU45" s="1"/>
  <c r="Z96"/>
  <c r="Z45" s="1"/>
  <c r="AP96"/>
  <c r="AP45" s="1"/>
  <c r="AC96"/>
  <c r="AC45" s="1"/>
  <c r="AH96"/>
  <c r="AH45" s="1"/>
  <c r="AK96"/>
  <c r="AK45" s="1"/>
  <c r="AM96"/>
  <c r="AM45" s="1"/>
  <c r="T463"/>
  <c r="AE463"/>
  <c r="AF463"/>
  <c r="AG463"/>
  <c r="Z463"/>
  <c r="AA463"/>
  <c r="X463"/>
  <c r="Y463"/>
  <c r="AB463"/>
  <c r="AI463"/>
  <c r="AS442" i="28"/>
  <c r="AS63" s="1"/>
  <c r="AQ327"/>
  <c r="AQ56" s="1"/>
  <c r="AH148"/>
  <c r="W487"/>
  <c r="W442"/>
  <c r="W63" s="1"/>
  <c r="S417"/>
  <c r="S360"/>
  <c r="T402"/>
  <c r="X402"/>
  <c r="AH402"/>
  <c r="AB402"/>
  <c r="AD402"/>
  <c r="AI402"/>
  <c r="AF154"/>
  <c r="W154"/>
  <c r="AA154"/>
  <c r="AE154"/>
  <c r="R292" i="120"/>
  <c r="R209" i="119"/>
  <c r="S209"/>
  <c r="X209"/>
  <c r="AA209"/>
  <c r="U209"/>
  <c r="AF209"/>
  <c r="AB209"/>
  <c r="AD209"/>
  <c r="AI209"/>
  <c r="T209"/>
  <c r="AC209"/>
  <c r="AK209"/>
  <c r="Z209"/>
  <c r="W209"/>
  <c r="AJ209"/>
  <c r="Y209"/>
  <c r="AE209"/>
  <c r="AG209"/>
  <c r="AH209"/>
  <c r="R159"/>
  <c r="R48" s="1"/>
  <c r="T159"/>
  <c r="T48" s="1"/>
  <c r="V159"/>
  <c r="V48" s="1"/>
  <c r="W159"/>
  <c r="W48" s="1"/>
  <c r="AS159"/>
  <c r="AS48" s="1"/>
  <c r="AE159"/>
  <c r="AE48" s="1"/>
  <c r="AF159"/>
  <c r="AF48" s="1"/>
  <c r="AO159"/>
  <c r="AO48" s="1"/>
  <c r="Z159"/>
  <c r="Z48" s="1"/>
  <c r="AC159"/>
  <c r="AC48" s="1"/>
  <c r="AP159"/>
  <c r="AP48" s="1"/>
  <c r="AT159"/>
  <c r="AT48" s="1"/>
  <c r="U159"/>
  <c r="U48" s="1"/>
  <c r="AK159"/>
  <c r="AK48" s="1"/>
  <c r="AM159"/>
  <c r="AM48" s="1"/>
  <c r="AQ159"/>
  <c r="AQ48" s="1"/>
  <c r="AG159"/>
  <c r="AG48" s="1"/>
  <c r="AH159"/>
  <c r="AH48" s="1"/>
  <c r="AR159"/>
  <c r="AR48" s="1"/>
  <c r="X159"/>
  <c r="X48" s="1"/>
  <c r="Y159"/>
  <c r="Y48" s="1"/>
  <c r="AJ159"/>
  <c r="AJ48" s="1"/>
  <c r="AL159"/>
  <c r="AL48" s="1"/>
  <c r="R147"/>
  <c r="U147"/>
  <c r="Y147"/>
  <c r="AC147"/>
  <c r="AI147"/>
  <c r="AJ147"/>
  <c r="AK147"/>
  <c r="AG147"/>
  <c r="X147"/>
  <c r="AA147"/>
  <c r="AF147"/>
  <c r="T147"/>
  <c r="Z147"/>
  <c r="AD147"/>
  <c r="AH147"/>
  <c r="AB147"/>
  <c r="W147"/>
  <c r="T252" i="121"/>
  <c r="AF252"/>
  <c r="AH252"/>
  <c r="AJ252"/>
  <c r="AC252"/>
  <c r="AI252"/>
  <c r="AO369"/>
  <c r="AO58" s="1"/>
  <c r="AA369"/>
  <c r="AA58" s="1"/>
  <c r="AG369"/>
  <c r="AG58" s="1"/>
  <c r="AH369"/>
  <c r="AH58" s="1"/>
  <c r="AL369"/>
  <c r="AL58" s="1"/>
  <c r="AF369"/>
  <c r="AF58" s="1"/>
  <c r="AJ369"/>
  <c r="AJ58" s="1"/>
  <c r="AR369"/>
  <c r="AR58" s="1"/>
  <c r="S369"/>
  <c r="S58" s="1"/>
  <c r="AB369"/>
  <c r="AB58" s="1"/>
  <c r="AD369"/>
  <c r="AD58" s="1"/>
  <c r="AK369"/>
  <c r="AK58" s="1"/>
  <c r="AT369"/>
  <c r="AT58" s="1"/>
  <c r="U459" i="28"/>
  <c r="AA459"/>
  <c r="AG459"/>
  <c r="W459"/>
  <c r="AE459"/>
  <c r="AI459"/>
  <c r="AJ459"/>
  <c r="AB459"/>
  <c r="AH459"/>
  <c r="N166"/>
  <c r="I152" i="11"/>
  <c r="AR327" i="121"/>
  <c r="AR56" s="1"/>
  <c r="AK454"/>
  <c r="AJ145"/>
  <c r="AI229"/>
  <c r="AH230"/>
  <c r="AG229"/>
  <c r="AA469"/>
  <c r="Y229"/>
  <c r="W209"/>
  <c r="W145"/>
  <c r="Y189"/>
  <c r="AG189"/>
  <c r="Z189"/>
  <c r="AB189"/>
  <c r="AF189"/>
  <c r="AD189"/>
  <c r="AB169"/>
  <c r="AK169"/>
  <c r="AA169"/>
  <c r="AB125"/>
  <c r="AF125"/>
  <c r="R369"/>
  <c r="R58" s="1"/>
  <c r="U123"/>
  <c r="AB123"/>
  <c r="AJ123"/>
  <c r="Y175"/>
  <c r="AB175"/>
  <c r="AH175"/>
  <c r="AG175"/>
  <c r="AH417" i="28"/>
  <c r="AG312"/>
  <c r="Y475"/>
  <c r="AE491"/>
  <c r="T491"/>
  <c r="X491"/>
  <c r="Y491"/>
  <c r="AH491"/>
  <c r="W491"/>
  <c r="AB491"/>
  <c r="AG491"/>
  <c r="AI491"/>
  <c r="AJ491"/>
  <c r="S491"/>
  <c r="U491"/>
  <c r="Z491"/>
  <c r="N396"/>
  <c r="AD396" s="1"/>
  <c r="O132" i="11"/>
  <c r="Y379" i="28"/>
  <c r="AB379"/>
  <c r="S315"/>
  <c r="AA315"/>
  <c r="AD315"/>
  <c r="AG315"/>
  <c r="Z315"/>
  <c r="AH315"/>
  <c r="W315"/>
  <c r="X315"/>
  <c r="AJ315"/>
  <c r="AC201"/>
  <c r="AC50" s="1"/>
  <c r="AE201"/>
  <c r="AE50" s="1"/>
  <c r="AN201"/>
  <c r="AN50" s="1"/>
  <c r="S117"/>
  <c r="S46" s="1"/>
  <c r="AK117"/>
  <c r="AK46" s="1"/>
  <c r="AC117"/>
  <c r="AC46" s="1"/>
  <c r="AJ117"/>
  <c r="AJ46" s="1"/>
  <c r="AN117"/>
  <c r="AN46" s="1"/>
  <c r="AP117"/>
  <c r="AP46" s="1"/>
  <c r="AR117"/>
  <c r="AR46" s="1"/>
  <c r="AT117"/>
  <c r="AT46" s="1"/>
  <c r="AL117"/>
  <c r="AL46" s="1"/>
  <c r="AD117"/>
  <c r="AD46" s="1"/>
  <c r="AE117"/>
  <c r="AE46" s="1"/>
  <c r="X117"/>
  <c r="X46" s="1"/>
  <c r="AH117"/>
  <c r="AH46" s="1"/>
  <c r="AI117"/>
  <c r="AI46" s="1"/>
  <c r="R357" i="120"/>
  <c r="AK229" i="121"/>
  <c r="AK189"/>
  <c r="AJ209"/>
  <c r="AG150"/>
  <c r="AE169"/>
  <c r="AB327"/>
  <c r="AB56" s="1"/>
  <c r="AA250"/>
  <c r="AA379"/>
  <c r="W193"/>
  <c r="X230"/>
  <c r="Y369"/>
  <c r="Y58" s="1"/>
  <c r="V126"/>
  <c r="AC276"/>
  <c r="AG276"/>
  <c r="AH276"/>
  <c r="AK276"/>
  <c r="S276"/>
  <c r="AJ276"/>
  <c r="AA276"/>
  <c r="AB276"/>
  <c r="AJ234"/>
  <c r="S234"/>
  <c r="Y234"/>
  <c r="AB234"/>
  <c r="AK234"/>
  <c r="AH423"/>
  <c r="AE423"/>
  <c r="AD423"/>
  <c r="S357"/>
  <c r="Z213"/>
  <c r="AE213"/>
  <c r="AH213"/>
  <c r="AB213"/>
  <c r="AG213"/>
  <c r="X213"/>
  <c r="AD213"/>
  <c r="AB402"/>
  <c r="Z402"/>
  <c r="AG402"/>
  <c r="AI402"/>
  <c r="U402"/>
  <c r="S402"/>
  <c r="U209"/>
  <c r="AG256"/>
  <c r="AJ256"/>
  <c r="AC256"/>
  <c r="AA256"/>
  <c r="W473"/>
  <c r="X473"/>
  <c r="AC473"/>
  <c r="AG473"/>
  <c r="AD473"/>
  <c r="S473"/>
  <c r="V473"/>
  <c r="Y473"/>
  <c r="AA473"/>
  <c r="AH473"/>
  <c r="U456"/>
  <c r="X456"/>
  <c r="T369"/>
  <c r="T58" s="1"/>
  <c r="AB343"/>
  <c r="AK343"/>
  <c r="W343"/>
  <c r="AE343"/>
  <c r="J152" i="11"/>
  <c r="AS411" i="28"/>
  <c r="AS60" s="1"/>
  <c r="AB442"/>
  <c r="AB63" s="1"/>
  <c r="U315"/>
  <c r="AH354"/>
  <c r="AK354"/>
  <c r="S354"/>
  <c r="AF354"/>
  <c r="T354"/>
  <c r="Z354"/>
  <c r="AA354"/>
  <c r="AE354"/>
  <c r="AI354"/>
  <c r="X354"/>
  <c r="V354"/>
  <c r="AG354"/>
  <c r="Y354"/>
  <c r="Z259"/>
  <c r="AJ259"/>
  <c r="AH259"/>
  <c r="AS369" i="121"/>
  <c r="AS58" s="1"/>
  <c r="AR243"/>
  <c r="AR52" s="1"/>
  <c r="AO327"/>
  <c r="AO56" s="1"/>
  <c r="AK213"/>
  <c r="AJ297"/>
  <c r="AJ420"/>
  <c r="AJ489"/>
  <c r="AI297"/>
  <c r="AI213"/>
  <c r="AK117"/>
  <c r="AK46" s="1"/>
  <c r="AI126"/>
  <c r="AI420"/>
  <c r="AH297"/>
  <c r="AH189"/>
  <c r="AH396"/>
  <c r="AI369"/>
  <c r="AI58" s="1"/>
  <c r="AG144"/>
  <c r="AF169"/>
  <c r="AF375"/>
  <c r="AF117"/>
  <c r="AF46" s="1"/>
  <c r="AE193"/>
  <c r="AE189"/>
  <c r="AD396"/>
  <c r="AD489"/>
  <c r="AC230"/>
  <c r="AA193"/>
  <c r="AC369"/>
  <c r="AC58" s="1"/>
  <c r="AB489"/>
  <c r="AA402"/>
  <c r="AA343"/>
  <c r="Y213"/>
  <c r="Z250"/>
  <c r="Z273"/>
  <c r="Y193"/>
  <c r="Y396"/>
  <c r="W189"/>
  <c r="V232"/>
  <c r="V273"/>
  <c r="W369"/>
  <c r="W58" s="1"/>
  <c r="AJ277"/>
  <c r="X277"/>
  <c r="W277"/>
  <c r="AB277"/>
  <c r="AC277"/>
  <c r="AD277"/>
  <c r="AE277"/>
  <c r="AG277"/>
  <c r="AI277"/>
  <c r="R277"/>
  <c r="U277"/>
  <c r="AF277"/>
  <c r="AG130"/>
  <c r="AI130"/>
  <c r="AA130"/>
  <c r="AF130"/>
  <c r="AE130"/>
  <c r="AJ130"/>
  <c r="W130"/>
  <c r="X130"/>
  <c r="U175"/>
  <c r="T210"/>
  <c r="T489"/>
  <c r="AH377"/>
  <c r="Z377"/>
  <c r="R209"/>
  <c r="R398"/>
  <c r="AK411"/>
  <c r="AK60" s="1"/>
  <c r="AP411"/>
  <c r="AP60" s="1"/>
  <c r="Z285"/>
  <c r="Z54" s="1"/>
  <c r="AK285"/>
  <c r="AK54" s="1"/>
  <c r="AH285"/>
  <c r="AH54" s="1"/>
  <c r="AR442" i="28"/>
  <c r="AR63" s="1"/>
  <c r="AR411"/>
  <c r="AR60" s="1"/>
  <c r="AM442"/>
  <c r="AM63" s="1"/>
  <c r="AK375"/>
  <c r="AJ354"/>
  <c r="AI485"/>
  <c r="AG375"/>
  <c r="AE485"/>
  <c r="AE390"/>
  <c r="AE59" s="1"/>
  <c r="AE315"/>
  <c r="AB390"/>
  <c r="AB59" s="1"/>
  <c r="Z117"/>
  <c r="Z46" s="1"/>
  <c r="U475"/>
  <c r="AF476"/>
  <c r="U476"/>
  <c r="R476"/>
  <c r="AI476"/>
  <c r="AJ476"/>
  <c r="AK476"/>
  <c r="R455"/>
  <c r="AA455"/>
  <c r="AF455"/>
  <c r="AB455"/>
  <c r="AE455"/>
  <c r="U455"/>
  <c r="N418"/>
  <c r="AF418" s="1"/>
  <c r="O151" i="11"/>
  <c r="AB376" i="28"/>
  <c r="AF376"/>
  <c r="T376"/>
  <c r="S376"/>
  <c r="AE376"/>
  <c r="AJ376"/>
  <c r="AI376"/>
  <c r="AA376"/>
  <c r="U358"/>
  <c r="V358"/>
  <c r="AC358"/>
  <c r="AE358"/>
  <c r="AI358"/>
  <c r="AA358"/>
  <c r="AG358"/>
  <c r="AK358"/>
  <c r="R358"/>
  <c r="Y358"/>
  <c r="AF358"/>
  <c r="AJ358"/>
  <c r="W358"/>
  <c r="AB358"/>
  <c r="AI297"/>
  <c r="X297"/>
  <c r="AE297"/>
  <c r="W297"/>
  <c r="AA297"/>
  <c r="T285"/>
  <c r="T54" s="1"/>
  <c r="V285"/>
  <c r="V54" s="1"/>
  <c r="AA285"/>
  <c r="AA54" s="1"/>
  <c r="AD285"/>
  <c r="AD54" s="1"/>
  <c r="AK285"/>
  <c r="AK54" s="1"/>
  <c r="R285"/>
  <c r="R54" s="1"/>
  <c r="AN285"/>
  <c r="AN54" s="1"/>
  <c r="AF285"/>
  <c r="AF54" s="1"/>
  <c r="AL285"/>
  <c r="AL54" s="1"/>
  <c r="AM285"/>
  <c r="AM54" s="1"/>
  <c r="AQ285"/>
  <c r="AQ54" s="1"/>
  <c r="U285"/>
  <c r="U54" s="1"/>
  <c r="Y285"/>
  <c r="Y54" s="1"/>
  <c r="AC285"/>
  <c r="AC54" s="1"/>
  <c r="AG285"/>
  <c r="AG54" s="1"/>
  <c r="AB285"/>
  <c r="AB54" s="1"/>
  <c r="AT285"/>
  <c r="AT54" s="1"/>
  <c r="AH285"/>
  <c r="AH54" s="1"/>
  <c r="R273"/>
  <c r="AF186"/>
  <c r="Z186"/>
  <c r="AA186"/>
  <c r="AK186"/>
  <c r="AG186"/>
  <c r="AJ186"/>
  <c r="AB186"/>
  <c r="AH186"/>
  <c r="N170"/>
  <c r="O92" i="11"/>
  <c r="R419" i="120"/>
  <c r="AE147" i="119"/>
  <c r="AI334"/>
  <c r="AJ334"/>
  <c r="R316"/>
  <c r="AC316"/>
  <c r="Y316"/>
  <c r="AA316"/>
  <c r="AH316"/>
  <c r="AK316"/>
  <c r="V316"/>
  <c r="AD316"/>
  <c r="T472" i="116"/>
  <c r="Y472"/>
  <c r="AD472"/>
  <c r="AE472"/>
  <c r="W472"/>
  <c r="U472"/>
  <c r="AA472"/>
  <c r="AG472"/>
  <c r="X472"/>
  <c r="AC472"/>
  <c r="AF472"/>
  <c r="Z472"/>
  <c r="AB472"/>
  <c r="AH472"/>
  <c r="T423"/>
  <c r="S423"/>
  <c r="U423"/>
  <c r="W423"/>
  <c r="Y423"/>
  <c r="AD423"/>
  <c r="AB423"/>
  <c r="AE423"/>
  <c r="AH423"/>
  <c r="AG423"/>
  <c r="X423"/>
  <c r="AC423"/>
  <c r="Z423"/>
  <c r="AA423"/>
  <c r="Z111"/>
  <c r="R103"/>
  <c r="S103"/>
  <c r="U103"/>
  <c r="X103"/>
  <c r="Z103"/>
  <c r="W103"/>
  <c r="Y103"/>
  <c r="AC103"/>
  <c r="AA103"/>
  <c r="AE103"/>
  <c r="T103"/>
  <c r="AB103"/>
  <c r="AF103"/>
  <c r="AH103"/>
  <c r="AD103"/>
  <c r="AG103"/>
  <c r="K152" i="11"/>
  <c r="S424" i="28"/>
  <c r="U424"/>
  <c r="AF424"/>
  <c r="AK424"/>
  <c r="AD424"/>
  <c r="R377"/>
  <c r="AD377"/>
  <c r="S348"/>
  <c r="S57" s="1"/>
  <c r="Y348"/>
  <c r="Y57" s="1"/>
  <c r="AJ348"/>
  <c r="AJ57" s="1"/>
  <c r="AD348"/>
  <c r="AD57" s="1"/>
  <c r="AS348"/>
  <c r="AS57" s="1"/>
  <c r="U252"/>
  <c r="X252"/>
  <c r="AA252"/>
  <c r="AI252"/>
  <c r="AK252"/>
  <c r="T252"/>
  <c r="AE252"/>
  <c r="AG252"/>
  <c r="AH252"/>
  <c r="AJ252"/>
  <c r="AF252"/>
  <c r="W235"/>
  <c r="AC235"/>
  <c r="AF235"/>
  <c r="Z235"/>
  <c r="AE235"/>
  <c r="AA229"/>
  <c r="AE229"/>
  <c r="AI229"/>
  <c r="AH229"/>
  <c r="Y229"/>
  <c r="X213"/>
  <c r="AG213"/>
  <c r="T213"/>
  <c r="Y213"/>
  <c r="AE213"/>
  <c r="AI213"/>
  <c r="AJ213"/>
  <c r="AK213"/>
  <c r="R196"/>
  <c r="AI196"/>
  <c r="U196"/>
  <c r="W196"/>
  <c r="Z196"/>
  <c r="AA196"/>
  <c r="AE196"/>
  <c r="AH196"/>
  <c r="AK196"/>
  <c r="X196"/>
  <c r="AF196"/>
  <c r="T171"/>
  <c r="AC171"/>
  <c r="AH171"/>
  <c r="AI171"/>
  <c r="Y171"/>
  <c r="Z171"/>
  <c r="AA171"/>
  <c r="AE171"/>
  <c r="AK171"/>
  <c r="R146"/>
  <c r="AE146"/>
  <c r="V146"/>
  <c r="AD146"/>
  <c r="S146"/>
  <c r="W146"/>
  <c r="Z129"/>
  <c r="T112"/>
  <c r="AC112"/>
  <c r="AJ112"/>
  <c r="U112"/>
  <c r="AE112"/>
  <c r="AG112"/>
  <c r="V112"/>
  <c r="Z112"/>
  <c r="AF112"/>
  <c r="S264" i="120"/>
  <c r="S53" s="1"/>
  <c r="W96" i="119"/>
  <c r="W45" s="1"/>
  <c r="AD485"/>
  <c r="AH485"/>
  <c r="AF485"/>
  <c r="AK485"/>
  <c r="W471"/>
  <c r="X471"/>
  <c r="AG471"/>
  <c r="AI471"/>
  <c r="V457"/>
  <c r="AJ457"/>
  <c r="Y457"/>
  <c r="AC457"/>
  <c r="AK457"/>
  <c r="AD457"/>
  <c r="AH457"/>
  <c r="X437"/>
  <c r="X62" s="1"/>
  <c r="S437"/>
  <c r="S62" s="1"/>
  <c r="T437"/>
  <c r="T62" s="1"/>
  <c r="U437"/>
  <c r="U62" s="1"/>
  <c r="Z437"/>
  <c r="Z62" s="1"/>
  <c r="W437"/>
  <c r="W62" s="1"/>
  <c r="AL437"/>
  <c r="AL62" s="1"/>
  <c r="AI437"/>
  <c r="AI62" s="1"/>
  <c r="AM437"/>
  <c r="AM62" s="1"/>
  <c r="AQ437"/>
  <c r="AQ62" s="1"/>
  <c r="AJ437"/>
  <c r="AJ62" s="1"/>
  <c r="AR437"/>
  <c r="AR62" s="1"/>
  <c r="V437"/>
  <c r="V62" s="1"/>
  <c r="Y437"/>
  <c r="Y62" s="1"/>
  <c r="AH437"/>
  <c r="AH62" s="1"/>
  <c r="AF437"/>
  <c r="AF62" s="1"/>
  <c r="AE437"/>
  <c r="AE62" s="1"/>
  <c r="AN437"/>
  <c r="AN62" s="1"/>
  <c r="AB437"/>
  <c r="AB62" s="1"/>
  <c r="AC437"/>
  <c r="AC62" s="1"/>
  <c r="AD437"/>
  <c r="AD62" s="1"/>
  <c r="AK437"/>
  <c r="AK62" s="1"/>
  <c r="AU437"/>
  <c r="AU62" s="1"/>
  <c r="X406"/>
  <c r="V406"/>
  <c r="Y406"/>
  <c r="S406"/>
  <c r="T406"/>
  <c r="AG406"/>
  <c r="AI406"/>
  <c r="AF406"/>
  <c r="AH406"/>
  <c r="W406"/>
  <c r="AB406"/>
  <c r="AC406"/>
  <c r="AJ406"/>
  <c r="W397"/>
  <c r="AF397"/>
  <c r="R369"/>
  <c r="R58" s="1"/>
  <c r="T369"/>
  <c r="T58" s="1"/>
  <c r="U369"/>
  <c r="U58" s="1"/>
  <c r="AR369"/>
  <c r="AR58" s="1"/>
  <c r="AN369"/>
  <c r="AN58" s="1"/>
  <c r="AS369"/>
  <c r="AS58" s="1"/>
  <c r="AO369"/>
  <c r="AO58" s="1"/>
  <c r="AH369"/>
  <c r="AH58" s="1"/>
  <c r="AL369"/>
  <c r="AL58" s="1"/>
  <c r="AP369"/>
  <c r="AP58" s="1"/>
  <c r="AU369"/>
  <c r="AU58" s="1"/>
  <c r="AK369"/>
  <c r="AK58" s="1"/>
  <c r="AJ369"/>
  <c r="AJ58" s="1"/>
  <c r="AM369"/>
  <c r="AM58" s="1"/>
  <c r="AQ369"/>
  <c r="AQ58" s="1"/>
  <c r="AD369"/>
  <c r="AD58" s="1"/>
  <c r="W356"/>
  <c r="AA356"/>
  <c r="AK356"/>
  <c r="AJ356"/>
  <c r="AE356"/>
  <c r="S356"/>
  <c r="AD356"/>
  <c r="V356"/>
  <c r="R169"/>
  <c r="AA169"/>
  <c r="Y169"/>
  <c r="AC169"/>
  <c r="AJ169"/>
  <c r="AK169"/>
  <c r="X169"/>
  <c r="AF169"/>
  <c r="Z169"/>
  <c r="AE169"/>
  <c r="V169"/>
  <c r="S188" i="117"/>
  <c r="X144" i="116"/>
  <c r="AE144"/>
  <c r="AF144"/>
  <c r="AG144"/>
  <c r="Z144"/>
  <c r="U243" i="28"/>
  <c r="U52" s="1"/>
  <c r="R471"/>
  <c r="AC471"/>
  <c r="AH471"/>
  <c r="S471"/>
  <c r="AI471"/>
  <c r="AJ471"/>
  <c r="T471"/>
  <c r="U471"/>
  <c r="AB471"/>
  <c r="AE471"/>
  <c r="W471"/>
  <c r="AF471"/>
  <c r="V437"/>
  <c r="V62" s="1"/>
  <c r="AD437"/>
  <c r="AD62" s="1"/>
  <c r="Z437"/>
  <c r="Z62" s="1"/>
  <c r="AC437"/>
  <c r="AC62" s="1"/>
  <c r="AE437"/>
  <c r="AE62" s="1"/>
  <c r="AB437"/>
  <c r="AB62" s="1"/>
  <c r="R437"/>
  <c r="R62" s="1"/>
  <c r="AF437"/>
  <c r="AF62" s="1"/>
  <c r="AG437"/>
  <c r="AG62" s="1"/>
  <c r="AM437"/>
  <c r="AM62" s="1"/>
  <c r="AO437"/>
  <c r="AO62" s="1"/>
  <c r="AQ437"/>
  <c r="AQ62" s="1"/>
  <c r="AS437"/>
  <c r="AS62" s="1"/>
  <c r="AD382"/>
  <c r="AI382"/>
  <c r="AC382"/>
  <c r="AE382"/>
  <c r="AG382"/>
  <c r="AK382"/>
  <c r="Z382"/>
  <c r="AB382"/>
  <c r="AF382"/>
  <c r="R369"/>
  <c r="R58" s="1"/>
  <c r="X369"/>
  <c r="X58" s="1"/>
  <c r="AB369"/>
  <c r="AB58" s="1"/>
  <c r="AJ369"/>
  <c r="AJ58" s="1"/>
  <c r="AQ369"/>
  <c r="AQ58" s="1"/>
  <c r="AD335"/>
  <c r="Z335"/>
  <c r="AC335"/>
  <c r="Z295"/>
  <c r="T295"/>
  <c r="AF295"/>
  <c r="AG295"/>
  <c r="R295"/>
  <c r="AC295"/>
  <c r="AH295"/>
  <c r="AK295"/>
  <c r="S192"/>
  <c r="AD192"/>
  <c r="AG192"/>
  <c r="T192"/>
  <c r="AB192"/>
  <c r="AC192"/>
  <c r="AJ192"/>
  <c r="AL180"/>
  <c r="AL49" s="1"/>
  <c r="AB180"/>
  <c r="AB49" s="1"/>
  <c r="AJ180"/>
  <c r="AJ49" s="1"/>
  <c r="V169"/>
  <c r="AE169"/>
  <c r="Z169"/>
  <c r="AA169"/>
  <c r="AK169"/>
  <c r="AB169"/>
  <c r="AG104"/>
  <c r="AH104"/>
  <c r="W230" i="119"/>
  <c r="Z230"/>
  <c r="R230"/>
  <c r="AI230"/>
  <c r="AJ230"/>
  <c r="U230"/>
  <c r="X230"/>
  <c r="Y230"/>
  <c r="T230"/>
  <c r="V230"/>
  <c r="AD230"/>
  <c r="AA230"/>
  <c r="AC230"/>
  <c r="AK230"/>
  <c r="AB230"/>
  <c r="R186"/>
  <c r="Z186"/>
  <c r="AE186"/>
  <c r="AH186"/>
  <c r="W186"/>
  <c r="AF186"/>
  <c r="AI186"/>
  <c r="AK186"/>
  <c r="W187"/>
  <c r="X187"/>
  <c r="AB187"/>
  <c r="AE187"/>
  <c r="AD187"/>
  <c r="AJ187"/>
  <c r="V187"/>
  <c r="R96"/>
  <c r="R45" s="1"/>
  <c r="AD96"/>
  <c r="AD45" s="1"/>
  <c r="AE96"/>
  <c r="AE45" s="1"/>
  <c r="AF96"/>
  <c r="AF45" s="1"/>
  <c r="AN96"/>
  <c r="AN45" s="1"/>
  <c r="AR96"/>
  <c r="AR45" s="1"/>
  <c r="AC96"/>
  <c r="AC45" s="1"/>
  <c r="AI96"/>
  <c r="AI45" s="1"/>
  <c r="AS96"/>
  <c r="AS45" s="1"/>
  <c r="S96"/>
  <c r="S45" s="1"/>
  <c r="AO96"/>
  <c r="AO45" s="1"/>
  <c r="AL96"/>
  <c r="AL45" s="1"/>
  <c r="AU96"/>
  <c r="AU45" s="1"/>
  <c r="AG96"/>
  <c r="AG45" s="1"/>
  <c r="T96"/>
  <c r="T45" s="1"/>
  <c r="V96"/>
  <c r="V45" s="1"/>
  <c r="AH96"/>
  <c r="AH45" s="1"/>
  <c r="AQ96"/>
  <c r="AQ45" s="1"/>
  <c r="S339" i="117"/>
  <c r="Z170" i="116"/>
  <c r="AA355" i="28"/>
  <c r="Y489"/>
  <c r="AE489"/>
  <c r="AH489"/>
  <c r="U489"/>
  <c r="AI489"/>
  <c r="AJ489"/>
  <c r="AA489"/>
  <c r="AF489"/>
  <c r="W421"/>
  <c r="Y421"/>
  <c r="AA421"/>
  <c r="AG421"/>
  <c r="AH421"/>
  <c r="Z421"/>
  <c r="AC421"/>
  <c r="T340"/>
  <c r="Z340"/>
  <c r="AA340"/>
  <c r="AB340"/>
  <c r="AD340"/>
  <c r="AI340"/>
  <c r="W306"/>
  <c r="W55" s="1"/>
  <c r="S306"/>
  <c r="S55" s="1"/>
  <c r="U306"/>
  <c r="U55" s="1"/>
  <c r="AB306"/>
  <c r="AB55" s="1"/>
  <c r="AC306"/>
  <c r="AC55" s="1"/>
  <c r="AK306"/>
  <c r="AK55" s="1"/>
  <c r="AQ306"/>
  <c r="AQ55" s="1"/>
  <c r="AS306"/>
  <c r="AS55" s="1"/>
  <c r="AE306"/>
  <c r="AE55" s="1"/>
  <c r="AH306"/>
  <c r="AH55" s="1"/>
  <c r="AM306"/>
  <c r="AM55" s="1"/>
  <c r="AO306"/>
  <c r="AO55" s="1"/>
  <c r="AP306"/>
  <c r="AP55" s="1"/>
  <c r="AR306"/>
  <c r="AR55" s="1"/>
  <c r="AT306"/>
  <c r="AT55" s="1"/>
  <c r="R306"/>
  <c r="R55" s="1"/>
  <c r="T306"/>
  <c r="T55" s="1"/>
  <c r="V306"/>
  <c r="V55" s="1"/>
  <c r="AF306"/>
  <c r="AF55" s="1"/>
  <c r="AC271"/>
  <c r="W271"/>
  <c r="Y271"/>
  <c r="AG271"/>
  <c r="AH271"/>
  <c r="R271"/>
  <c r="U271"/>
  <c r="AB271"/>
  <c r="AF271"/>
  <c r="AA271"/>
  <c r="AB209"/>
  <c r="AI209"/>
  <c r="AJ209"/>
  <c r="AH209"/>
  <c r="X175"/>
  <c r="AB175"/>
  <c r="AJ175"/>
  <c r="T175"/>
  <c r="AC175"/>
  <c r="AH175"/>
  <c r="AI175"/>
  <c r="R175"/>
  <c r="U175"/>
  <c r="AT96" i="119"/>
  <c r="AT45" s="1"/>
  <c r="AA96"/>
  <c r="AA45" s="1"/>
  <c r="Z406"/>
  <c r="U354"/>
  <c r="X354"/>
  <c r="Y354"/>
  <c r="AC354"/>
  <c r="AG354"/>
  <c r="AI354"/>
  <c r="AK354"/>
  <c r="AE354"/>
  <c r="X150"/>
  <c r="Z150"/>
  <c r="AD150"/>
  <c r="AJ150"/>
  <c r="AH150"/>
  <c r="Y150"/>
  <c r="AG150"/>
  <c r="S166" i="117"/>
  <c r="R96"/>
  <c r="R45" s="1"/>
  <c r="S96"/>
  <c r="S45" s="1"/>
  <c r="T96"/>
  <c r="T45" s="1"/>
  <c r="U437" i="116"/>
  <c r="U62" s="1"/>
  <c r="W437"/>
  <c r="W62" s="1"/>
  <c r="Y437"/>
  <c r="Y62" s="1"/>
  <c r="V437"/>
  <c r="V62" s="1"/>
  <c r="T437"/>
  <c r="T62" s="1"/>
  <c r="AA437"/>
  <c r="AA62" s="1"/>
  <c r="AC437"/>
  <c r="AC62" s="1"/>
  <c r="Z437"/>
  <c r="Z62" s="1"/>
  <c r="R437"/>
  <c r="R62" s="1"/>
  <c r="AF437"/>
  <c r="AF62" s="1"/>
  <c r="S437"/>
  <c r="S62" s="1"/>
  <c r="AD437"/>
  <c r="AD62" s="1"/>
  <c r="AG437"/>
  <c r="AG62" s="1"/>
  <c r="AI437"/>
  <c r="AI62" s="1"/>
  <c r="X437"/>
  <c r="X62" s="1"/>
  <c r="AH437"/>
  <c r="AH62" s="1"/>
  <c r="AE437"/>
  <c r="AE62" s="1"/>
  <c r="AB437"/>
  <c r="AB62" s="1"/>
  <c r="Z196"/>
  <c r="T196"/>
  <c r="U196"/>
  <c r="V196"/>
  <c r="S196"/>
  <c r="X196"/>
  <c r="Y196"/>
  <c r="AD196"/>
  <c r="AA196"/>
  <c r="R196"/>
  <c r="AH196"/>
  <c r="AE196"/>
  <c r="AB196"/>
  <c r="AC196"/>
  <c r="AG196"/>
  <c r="W196"/>
  <c r="AF196"/>
  <c r="O170" i="11"/>
  <c r="AE469" i="28"/>
  <c r="X469"/>
  <c r="V469"/>
  <c r="T339"/>
  <c r="W339"/>
  <c r="AA339"/>
  <c r="AD339"/>
  <c r="AI339"/>
  <c r="X339"/>
  <c r="AE339"/>
  <c r="AG339"/>
  <c r="U333"/>
  <c r="AB333"/>
  <c r="AK333"/>
  <c r="R316"/>
  <c r="V316"/>
  <c r="AF316"/>
  <c r="AA316"/>
  <c r="AG316"/>
  <c r="AE316"/>
  <c r="S301"/>
  <c r="AC301"/>
  <c r="AK301"/>
  <c r="AE301"/>
  <c r="AH301"/>
  <c r="AI301"/>
  <c r="AJ301"/>
  <c r="U270"/>
  <c r="AC270"/>
  <c r="S270"/>
  <c r="V243"/>
  <c r="V52" s="1"/>
  <c r="AP243"/>
  <c r="AP52" s="1"/>
  <c r="AQ243"/>
  <c r="AQ52" s="1"/>
  <c r="AR243"/>
  <c r="AR52" s="1"/>
  <c r="AS243"/>
  <c r="AS52" s="1"/>
  <c r="AT243"/>
  <c r="AT52" s="1"/>
  <c r="W243"/>
  <c r="W52" s="1"/>
  <c r="Y243"/>
  <c r="Y52" s="1"/>
  <c r="AM243"/>
  <c r="AM52" s="1"/>
  <c r="AN243"/>
  <c r="AN52" s="1"/>
  <c r="AO243"/>
  <c r="AO52" s="1"/>
  <c r="AB243"/>
  <c r="AB52" s="1"/>
  <c r="AC243"/>
  <c r="AC52" s="1"/>
  <c r="AF243"/>
  <c r="AF52" s="1"/>
  <c r="AL243"/>
  <c r="AL52" s="1"/>
  <c r="AA243"/>
  <c r="AA52" s="1"/>
  <c r="AK243"/>
  <c r="AK52" s="1"/>
  <c r="AC208"/>
  <c r="AJ208"/>
  <c r="AF190"/>
  <c r="AG190"/>
  <c r="X190"/>
  <c r="R190"/>
  <c r="V190"/>
  <c r="AA133"/>
  <c r="AG133"/>
  <c r="AD133"/>
  <c r="AB133"/>
  <c r="AC133"/>
  <c r="AK133"/>
  <c r="AK125"/>
  <c r="AC125"/>
  <c r="R485" i="120"/>
  <c r="R437"/>
  <c r="R62" s="1"/>
  <c r="S437"/>
  <c r="S62" s="1"/>
  <c r="R306"/>
  <c r="R55" s="1"/>
  <c r="R214"/>
  <c r="AG169" i="119"/>
  <c r="T228"/>
  <c r="U228"/>
  <c r="X228"/>
  <c r="AJ228"/>
  <c r="AC228"/>
  <c r="V228"/>
  <c r="AH228"/>
  <c r="AK228"/>
  <c r="R228"/>
  <c r="AA228"/>
  <c r="AB228"/>
  <c r="AD228"/>
  <c r="AG228"/>
  <c r="W228"/>
  <c r="AF228"/>
  <c r="AC192"/>
  <c r="AG192"/>
  <c r="AK192"/>
  <c r="U192"/>
  <c r="AD192"/>
  <c r="Y129"/>
  <c r="W129"/>
  <c r="X129"/>
  <c r="U129"/>
  <c r="AD129"/>
  <c r="AE129"/>
  <c r="AG129"/>
  <c r="T129"/>
  <c r="AB129"/>
  <c r="AK129"/>
  <c r="AH129"/>
  <c r="Z129"/>
  <c r="AA129"/>
  <c r="AC129"/>
  <c r="T106"/>
  <c r="AA106"/>
  <c r="Z106"/>
  <c r="X106"/>
  <c r="AJ106"/>
  <c r="AK106"/>
  <c r="AH106"/>
  <c r="Z123"/>
  <c r="AA123"/>
  <c r="N253" i="120"/>
  <c r="R123"/>
  <c r="Z472" i="119"/>
  <c r="W472"/>
  <c r="AK472"/>
  <c r="AB472"/>
  <c r="AF472"/>
  <c r="AG472"/>
  <c r="S472"/>
  <c r="U472"/>
  <c r="AA472"/>
  <c r="U398"/>
  <c r="W398"/>
  <c r="AA398"/>
  <c r="AK398"/>
  <c r="AC398"/>
  <c r="AI381"/>
  <c r="S375"/>
  <c r="Y375"/>
  <c r="AK375"/>
  <c r="T375"/>
  <c r="U375"/>
  <c r="AF277"/>
  <c r="V277"/>
  <c r="U488" i="118"/>
  <c r="T488"/>
  <c r="X488"/>
  <c r="AA488"/>
  <c r="Z488"/>
  <c r="W488"/>
  <c r="Y488"/>
  <c r="S488"/>
  <c r="AC488"/>
  <c r="S457"/>
  <c r="Y457"/>
  <c r="AA457"/>
  <c r="Z457"/>
  <c r="X457"/>
  <c r="U457"/>
  <c r="S361"/>
  <c r="T361"/>
  <c r="W361"/>
  <c r="X361"/>
  <c r="V361"/>
  <c r="Y361"/>
  <c r="R361"/>
  <c r="U361"/>
  <c r="AB361"/>
  <c r="AC361"/>
  <c r="Z361"/>
  <c r="X322"/>
  <c r="AC322"/>
  <c r="Y322"/>
  <c r="X314"/>
  <c r="R172"/>
  <c r="T172"/>
  <c r="S172"/>
  <c r="AB172"/>
  <c r="AA172"/>
  <c r="AC172"/>
  <c r="V172"/>
  <c r="Z172"/>
  <c r="W172"/>
  <c r="X172"/>
  <c r="Y172"/>
  <c r="W147"/>
  <c r="Y147"/>
  <c r="AB147"/>
  <c r="AA147"/>
  <c r="AC147"/>
  <c r="S147"/>
  <c r="Z147"/>
  <c r="X129"/>
  <c r="AA129"/>
  <c r="T129"/>
  <c r="AC129"/>
  <c r="W129"/>
  <c r="Y129"/>
  <c r="AB129"/>
  <c r="Z129"/>
  <c r="R117"/>
  <c r="R46" s="1"/>
  <c r="V117"/>
  <c r="V46" s="1"/>
  <c r="Y117"/>
  <c r="Y46" s="1"/>
  <c r="W117"/>
  <c r="W46" s="1"/>
  <c r="AB117"/>
  <c r="AB46" s="1"/>
  <c r="X117"/>
  <c r="X46" s="1"/>
  <c r="AA117"/>
  <c r="AA46" s="1"/>
  <c r="AD117"/>
  <c r="AD46" s="1"/>
  <c r="Z117"/>
  <c r="Z46" s="1"/>
  <c r="T117"/>
  <c r="T46" s="1"/>
  <c r="R315" i="117"/>
  <c r="R214"/>
  <c r="S214"/>
  <c r="R189"/>
  <c r="S167"/>
  <c r="R125"/>
  <c r="S125"/>
  <c r="S427" i="28"/>
  <c r="R488"/>
  <c r="R406"/>
  <c r="R385"/>
  <c r="R378"/>
  <c r="R222" i="120"/>
  <c r="R51" s="1"/>
  <c r="AI472" i="119"/>
  <c r="AI375"/>
  <c r="AD398"/>
  <c r="X469"/>
  <c r="S469"/>
  <c r="T469"/>
  <c r="U469"/>
  <c r="AB469"/>
  <c r="V469"/>
  <c r="Z469"/>
  <c r="AC469"/>
  <c r="AD469"/>
  <c r="AE469"/>
  <c r="AK469"/>
  <c r="R455"/>
  <c r="W455"/>
  <c r="V455"/>
  <c r="X455"/>
  <c r="Z455"/>
  <c r="Y455"/>
  <c r="AC455"/>
  <c r="AK455"/>
  <c r="AD455"/>
  <c r="AE455"/>
  <c r="U455"/>
  <c r="AA455"/>
  <c r="T455"/>
  <c r="R403"/>
  <c r="U403"/>
  <c r="Y403"/>
  <c r="AF403"/>
  <c r="V403"/>
  <c r="Z403"/>
  <c r="AA403"/>
  <c r="AJ403"/>
  <c r="S403"/>
  <c r="AB403"/>
  <c r="AC403"/>
  <c r="X339"/>
  <c r="AB339"/>
  <c r="T327"/>
  <c r="T56" s="1"/>
  <c r="AC327"/>
  <c r="AC56" s="1"/>
  <c r="AL327"/>
  <c r="AL56" s="1"/>
  <c r="AP327"/>
  <c r="AP56" s="1"/>
  <c r="AU327"/>
  <c r="AU56" s="1"/>
  <c r="AJ327"/>
  <c r="AJ56" s="1"/>
  <c r="AQ327"/>
  <c r="AQ56" s="1"/>
  <c r="V327"/>
  <c r="V56" s="1"/>
  <c r="AB327"/>
  <c r="AB56" s="1"/>
  <c r="AN327"/>
  <c r="AN56" s="1"/>
  <c r="AS327"/>
  <c r="AS56" s="1"/>
  <c r="W292"/>
  <c r="AK292"/>
  <c r="AI292"/>
  <c r="AA274"/>
  <c r="Y274"/>
  <c r="AE274"/>
  <c r="AI274"/>
  <c r="V252"/>
  <c r="S252"/>
  <c r="U252"/>
  <c r="AA252"/>
  <c r="R252"/>
  <c r="Y252"/>
  <c r="Z252"/>
  <c r="AC252"/>
  <c r="T252"/>
  <c r="AE252"/>
  <c r="AI234"/>
  <c r="S234"/>
  <c r="AA234"/>
  <c r="R312" i="117"/>
  <c r="R96" i="120"/>
  <c r="R45" s="1"/>
  <c r="S96"/>
  <c r="S45" s="1"/>
  <c r="AA375" i="119"/>
  <c r="U381"/>
  <c r="T472"/>
  <c r="R476"/>
  <c r="W476"/>
  <c r="S476"/>
  <c r="T476"/>
  <c r="X476"/>
  <c r="AK476"/>
  <c r="AF476"/>
  <c r="AG476"/>
  <c r="Y476"/>
  <c r="AI476"/>
  <c r="AJ476"/>
  <c r="V463"/>
  <c r="W463"/>
  <c r="Y463"/>
  <c r="AB463"/>
  <c r="AI463"/>
  <c r="AJ463"/>
  <c r="X463"/>
  <c r="AG463"/>
  <c r="AC454"/>
  <c r="U454"/>
  <c r="R454"/>
  <c r="Y454"/>
  <c r="AA454"/>
  <c r="AB454"/>
  <c r="S454"/>
  <c r="T454"/>
  <c r="AD454"/>
  <c r="AE454"/>
  <c r="AH454"/>
  <c r="AG454"/>
  <c r="AI454"/>
  <c r="R361"/>
  <c r="T361"/>
  <c r="W361"/>
  <c r="V361"/>
  <c r="X361"/>
  <c r="U361"/>
  <c r="S361"/>
  <c r="AC361"/>
  <c r="AF361"/>
  <c r="AG361"/>
  <c r="AI361"/>
  <c r="AJ361"/>
  <c r="R322"/>
  <c r="T322"/>
  <c r="V322"/>
  <c r="AC322"/>
  <c r="AB322"/>
  <c r="W322"/>
  <c r="AJ322"/>
  <c r="U322"/>
  <c r="Y322"/>
  <c r="AG322"/>
  <c r="AI322"/>
  <c r="Z322"/>
  <c r="AD322"/>
  <c r="AE322"/>
  <c r="Y314"/>
  <c r="U314"/>
  <c r="V314"/>
  <c r="AB314"/>
  <c r="AI314"/>
  <c r="S314"/>
  <c r="AA314"/>
  <c r="AH314"/>
  <c r="AK314"/>
  <c r="AD314"/>
  <c r="AJ314"/>
  <c r="T298"/>
  <c r="V298"/>
  <c r="W298"/>
  <c r="AJ298"/>
  <c r="W251"/>
  <c r="AE251"/>
  <c r="Y251"/>
  <c r="AA251"/>
  <c r="AH251"/>
  <c r="R175" i="120"/>
  <c r="AG375" i="119"/>
  <c r="AE476"/>
  <c r="AD472"/>
  <c r="AC472"/>
  <c r="AA361"/>
  <c r="Y361"/>
  <c r="V476"/>
  <c r="U476"/>
  <c r="T463"/>
  <c r="T138"/>
  <c r="T47" s="1"/>
  <c r="W138"/>
  <c r="W47" s="1"/>
  <c r="X138"/>
  <c r="X47" s="1"/>
  <c r="R138"/>
  <c r="R47" s="1"/>
  <c r="S138"/>
  <c r="S47" s="1"/>
  <c r="V138"/>
  <c r="V47" s="1"/>
  <c r="AG138"/>
  <c r="AG47" s="1"/>
  <c r="AM138"/>
  <c r="AM47" s="1"/>
  <c r="AQ138"/>
  <c r="AQ47" s="1"/>
  <c r="U138"/>
  <c r="U47" s="1"/>
  <c r="AB138"/>
  <c r="AB47" s="1"/>
  <c r="AN138"/>
  <c r="AN47" s="1"/>
  <c r="AR138"/>
  <c r="AR47" s="1"/>
  <c r="AD138"/>
  <c r="AD47" s="1"/>
  <c r="AE138"/>
  <c r="AE47" s="1"/>
  <c r="AJ138"/>
  <c r="AJ47" s="1"/>
  <c r="AP138"/>
  <c r="AP47" s="1"/>
  <c r="AT138"/>
  <c r="AT47" s="1"/>
  <c r="S108"/>
  <c r="Y108"/>
  <c r="AA108"/>
  <c r="W108"/>
  <c r="AI108"/>
  <c r="T108"/>
  <c r="Z108"/>
  <c r="X108"/>
  <c r="T471" i="118"/>
  <c r="S471"/>
  <c r="V471"/>
  <c r="U471"/>
  <c r="W471"/>
  <c r="Z471"/>
  <c r="AC471"/>
  <c r="X471"/>
  <c r="Y471"/>
  <c r="W459"/>
  <c r="X459"/>
  <c r="AB459"/>
  <c r="Z459"/>
  <c r="AC459"/>
  <c r="Y459"/>
  <c r="U459"/>
  <c r="T459"/>
  <c r="AA459"/>
  <c r="AC334"/>
  <c r="AA334"/>
  <c r="AC250"/>
  <c r="U250"/>
  <c r="Y250"/>
  <c r="AB250"/>
  <c r="U234"/>
  <c r="X234"/>
  <c r="AC234"/>
  <c r="AB234"/>
  <c r="Y377" i="119"/>
  <c r="W377"/>
  <c r="T479"/>
  <c r="U479"/>
  <c r="X479"/>
  <c r="AA479"/>
  <c r="R432"/>
  <c r="R61" s="1"/>
  <c r="W432"/>
  <c r="W61" s="1"/>
  <c r="V432"/>
  <c r="V61" s="1"/>
  <c r="X432"/>
  <c r="X61" s="1"/>
  <c r="N253"/>
  <c r="Y253" s="1"/>
  <c r="R211"/>
  <c r="AC211"/>
  <c r="R167"/>
  <c r="S167"/>
  <c r="Z167"/>
  <c r="T442" i="118"/>
  <c r="T63" s="1"/>
  <c r="U442"/>
  <c r="U63" s="1"/>
  <c r="V442"/>
  <c r="V63" s="1"/>
  <c r="AA442"/>
  <c r="AA63" s="1"/>
  <c r="X442"/>
  <c r="X63" s="1"/>
  <c r="Z442"/>
  <c r="Z63" s="1"/>
  <c r="AB442"/>
  <c r="AB63" s="1"/>
  <c r="AC442"/>
  <c r="AC63" s="1"/>
  <c r="S442"/>
  <c r="S63" s="1"/>
  <c r="AD442"/>
  <c r="AD63" s="1"/>
  <c r="R442"/>
  <c r="R63" s="1"/>
  <c r="T340"/>
  <c r="AA340"/>
  <c r="AC340"/>
  <c r="U340"/>
  <c r="R340"/>
  <c r="R264"/>
  <c r="R53" s="1"/>
  <c r="T264"/>
  <c r="T53" s="1"/>
  <c r="R469" i="120"/>
  <c r="R117"/>
  <c r="R46" s="1"/>
  <c r="S385" i="119"/>
  <c r="T385"/>
  <c r="X385"/>
  <c r="Z385"/>
  <c r="V285"/>
  <c r="V54" s="1"/>
  <c r="Z285"/>
  <c r="Z54" s="1"/>
  <c r="R272"/>
  <c r="Y272"/>
  <c r="AC272"/>
  <c r="U272"/>
  <c r="S256"/>
  <c r="T256"/>
  <c r="R217"/>
  <c r="W217"/>
  <c r="Y217"/>
  <c r="Z217"/>
  <c r="AA217"/>
  <c r="AC217"/>
  <c r="Y190"/>
  <c r="S396" i="118"/>
  <c r="Z396"/>
  <c r="AB396"/>
  <c r="AC396"/>
  <c r="X396"/>
  <c r="R378"/>
  <c r="S378"/>
  <c r="Y378"/>
  <c r="Z378"/>
  <c r="AA378"/>
  <c r="AB378"/>
  <c r="AC378"/>
  <c r="W378"/>
  <c r="X378"/>
  <c r="AB238"/>
  <c r="V238"/>
  <c r="AA238"/>
  <c r="AC238"/>
  <c r="W238"/>
  <c r="Z238"/>
  <c r="AA230"/>
  <c r="V230"/>
  <c r="X230"/>
  <c r="U201"/>
  <c r="U50" s="1"/>
  <c r="R201"/>
  <c r="R50" s="1"/>
  <c r="W201"/>
  <c r="W50" s="1"/>
  <c r="Y201"/>
  <c r="Y50" s="1"/>
  <c r="AA201"/>
  <c r="AA50" s="1"/>
  <c r="AD201"/>
  <c r="AD50" s="1"/>
  <c r="X201"/>
  <c r="X50" s="1"/>
  <c r="Z201"/>
  <c r="Z50" s="1"/>
  <c r="AC189"/>
  <c r="S171"/>
  <c r="AB171"/>
  <c r="X171"/>
  <c r="AA154"/>
  <c r="AC154"/>
  <c r="V154"/>
  <c r="T154"/>
  <c r="AB154"/>
  <c r="Y154"/>
  <c r="R252" i="117"/>
  <c r="S252"/>
  <c r="S234"/>
  <c r="S192"/>
  <c r="R146"/>
  <c r="S146"/>
  <c r="R460" i="119"/>
  <c r="AA460"/>
  <c r="R447"/>
  <c r="R64" s="1"/>
  <c r="V447"/>
  <c r="V64" s="1"/>
  <c r="W447"/>
  <c r="W64" s="1"/>
  <c r="AA418"/>
  <c r="AB418"/>
  <c r="U377"/>
  <c r="X377"/>
  <c r="AA377"/>
  <c r="AB377"/>
  <c r="T377"/>
  <c r="Z280"/>
  <c r="U280"/>
  <c r="AA280"/>
  <c r="R189"/>
  <c r="U189"/>
  <c r="V189"/>
  <c r="R419" i="118"/>
  <c r="Y419"/>
  <c r="AC419"/>
  <c r="W123"/>
  <c r="Z123"/>
  <c r="AA123"/>
  <c r="X123"/>
  <c r="AC123"/>
  <c r="T123"/>
  <c r="U123"/>
  <c r="R123"/>
  <c r="R251" i="117"/>
  <c r="S251"/>
  <c r="T418" i="119"/>
  <c r="S360"/>
  <c r="Z487"/>
  <c r="R487"/>
  <c r="V487"/>
  <c r="AB487"/>
  <c r="S423"/>
  <c r="T423"/>
  <c r="Y423"/>
  <c r="AA423"/>
  <c r="S358"/>
  <c r="AA358"/>
  <c r="U343"/>
  <c r="W343"/>
  <c r="Z343"/>
  <c r="N336"/>
  <c r="AC336" s="1"/>
  <c r="U318"/>
  <c r="X318"/>
  <c r="Z318"/>
  <c r="AA318"/>
  <c r="R306"/>
  <c r="R55" s="1"/>
  <c r="Y306"/>
  <c r="Y55" s="1"/>
  <c r="R214"/>
  <c r="V214"/>
  <c r="S214"/>
  <c r="U214"/>
  <c r="X214"/>
  <c r="AB214"/>
  <c r="R201"/>
  <c r="R50" s="1"/>
  <c r="V201"/>
  <c r="V50" s="1"/>
  <c r="Y201"/>
  <c r="Y50" s="1"/>
  <c r="R151"/>
  <c r="W151"/>
  <c r="Y151"/>
  <c r="U151"/>
  <c r="AC151"/>
  <c r="R104"/>
  <c r="Y104"/>
  <c r="T104"/>
  <c r="U104"/>
  <c r="W104"/>
  <c r="Z104"/>
  <c r="S104"/>
  <c r="X238" i="118"/>
  <c r="R424"/>
  <c r="S424"/>
  <c r="AC424"/>
  <c r="W424"/>
  <c r="Y424"/>
  <c r="T424"/>
  <c r="Z424"/>
  <c r="V424"/>
  <c r="AB424"/>
  <c r="X169"/>
  <c r="Z169"/>
  <c r="Y169"/>
  <c r="S138"/>
  <c r="S47" s="1"/>
  <c r="U138"/>
  <c r="U47" s="1"/>
  <c r="X138"/>
  <c r="X47" s="1"/>
  <c r="Z138"/>
  <c r="Z47" s="1"/>
  <c r="AD138"/>
  <c r="AD47" s="1"/>
  <c r="V138"/>
  <c r="V47" s="1"/>
  <c r="AA138"/>
  <c r="AA47" s="1"/>
  <c r="AB109"/>
  <c r="X109"/>
  <c r="U193"/>
  <c r="T318"/>
  <c r="T476"/>
  <c r="AA476"/>
  <c r="W476"/>
  <c r="AB476"/>
  <c r="AC476"/>
  <c r="Y476"/>
  <c r="Z476"/>
  <c r="AB417"/>
  <c r="R376"/>
  <c r="AC376"/>
  <c r="U327"/>
  <c r="U56" s="1"/>
  <c r="Z327"/>
  <c r="Z56" s="1"/>
  <c r="AD327"/>
  <c r="AD56" s="1"/>
  <c r="R315"/>
  <c r="R357" i="117"/>
  <c r="R340"/>
  <c r="R333"/>
  <c r="R273"/>
  <c r="S273"/>
  <c r="W495" i="118"/>
  <c r="U487"/>
  <c r="X487"/>
  <c r="R312"/>
  <c r="Y312"/>
  <c r="AA312"/>
  <c r="AB312"/>
  <c r="S312"/>
  <c r="T312"/>
  <c r="V312"/>
  <c r="R280"/>
  <c r="W280"/>
  <c r="Z280"/>
  <c r="AC273"/>
  <c r="T273"/>
  <c r="R256"/>
  <c r="W256"/>
  <c r="U256"/>
  <c r="AB256"/>
  <c r="T256"/>
  <c r="AC256"/>
  <c r="R495" i="117"/>
  <c r="S495"/>
  <c r="R486"/>
  <c r="R427"/>
  <c r="S427"/>
  <c r="S271"/>
  <c r="N254" i="119"/>
  <c r="R454" i="118"/>
  <c r="T454"/>
  <c r="V454"/>
  <c r="AA454"/>
  <c r="S454"/>
  <c r="Z454"/>
  <c r="AB454"/>
  <c r="AC454"/>
  <c r="W397"/>
  <c r="X397"/>
  <c r="R379"/>
  <c r="Z379"/>
  <c r="AA379"/>
  <c r="AB379"/>
  <c r="V335"/>
  <c r="AB335"/>
  <c r="X318"/>
  <c r="W318"/>
  <c r="AC318"/>
  <c r="AB318"/>
  <c r="Y301"/>
  <c r="AA301"/>
  <c r="S301"/>
  <c r="V301"/>
  <c r="X301"/>
  <c r="Z301"/>
  <c r="U301"/>
  <c r="Y228"/>
  <c r="U228"/>
  <c r="AB228"/>
  <c r="V193"/>
  <c r="X193"/>
  <c r="AB193"/>
  <c r="AA193"/>
  <c r="AC193"/>
  <c r="R424" i="117"/>
  <c r="S424"/>
  <c r="S491" i="118"/>
  <c r="R316"/>
  <c r="S453" i="117"/>
  <c r="R390"/>
  <c r="R59" s="1"/>
  <c r="S390"/>
  <c r="S59" s="1"/>
  <c r="X421" i="118"/>
  <c r="S277" i="117"/>
  <c r="R229"/>
  <c r="S229"/>
  <c r="S475" i="116"/>
  <c r="U475"/>
  <c r="X475"/>
  <c r="T475"/>
  <c r="W475"/>
  <c r="Z475"/>
  <c r="AC475"/>
  <c r="AB475"/>
  <c r="AA475"/>
  <c r="AE475"/>
  <c r="Y475"/>
  <c r="AH475"/>
  <c r="AD475"/>
  <c r="AG475"/>
  <c r="R456"/>
  <c r="W456"/>
  <c r="Y456"/>
  <c r="AE456"/>
  <c r="AD456"/>
  <c r="U456"/>
  <c r="X456"/>
  <c r="AA456"/>
  <c r="AF456"/>
  <c r="AG456"/>
  <c r="V456"/>
  <c r="AB456"/>
  <c r="S456"/>
  <c r="T390"/>
  <c r="T59" s="1"/>
  <c r="V390"/>
  <c r="V59" s="1"/>
  <c r="S390"/>
  <c r="S59" s="1"/>
  <c r="R390"/>
  <c r="R59" s="1"/>
  <c r="AE390"/>
  <c r="AE59" s="1"/>
  <c r="U390"/>
  <c r="U59" s="1"/>
  <c r="AC390"/>
  <c r="AC59" s="1"/>
  <c r="Z390"/>
  <c r="Z59" s="1"/>
  <c r="AA390"/>
  <c r="AA59" s="1"/>
  <c r="AD390"/>
  <c r="AD59" s="1"/>
  <c r="AI390"/>
  <c r="AI59" s="1"/>
  <c r="AF390"/>
  <c r="AF59" s="1"/>
  <c r="X390"/>
  <c r="X59" s="1"/>
  <c r="AH390"/>
  <c r="AH59" s="1"/>
  <c r="Y390"/>
  <c r="Y59" s="1"/>
  <c r="W390"/>
  <c r="W59" s="1"/>
  <c r="W354"/>
  <c r="U354"/>
  <c r="S354"/>
  <c r="AB354"/>
  <c r="AC354"/>
  <c r="AE354"/>
  <c r="V354"/>
  <c r="AG354"/>
  <c r="X354"/>
  <c r="AA354"/>
  <c r="AF354"/>
  <c r="AH354"/>
  <c r="Y354"/>
  <c r="R337"/>
  <c r="T337"/>
  <c r="V337"/>
  <c r="X337"/>
  <c r="S337"/>
  <c r="AD337"/>
  <c r="AF337"/>
  <c r="U337"/>
  <c r="AH337"/>
  <c r="AE337"/>
  <c r="AG337"/>
  <c r="AC337"/>
  <c r="Z321"/>
  <c r="AC232"/>
  <c r="AH232"/>
  <c r="X232"/>
  <c r="V211"/>
  <c r="AC211"/>
  <c r="AF211"/>
  <c r="AH211"/>
  <c r="S151"/>
  <c r="W151"/>
  <c r="X151"/>
  <c r="AE151"/>
  <c r="AG151"/>
  <c r="V151"/>
  <c r="AD151"/>
  <c r="U151"/>
  <c r="Y151"/>
  <c r="Z151"/>
  <c r="AH151"/>
  <c r="AB151"/>
  <c r="V133"/>
  <c r="W133"/>
  <c r="Z133"/>
  <c r="Y133"/>
  <c r="AA133"/>
  <c r="AC133"/>
  <c r="AE133"/>
  <c r="AG133"/>
  <c r="T133"/>
  <c r="AF133"/>
  <c r="AD133"/>
  <c r="AB133"/>
  <c r="X125"/>
  <c r="Y125"/>
  <c r="AB125"/>
  <c r="T125"/>
  <c r="AC125"/>
  <c r="AA125"/>
  <c r="V125"/>
  <c r="AE125"/>
  <c r="AH125"/>
  <c r="AF125"/>
  <c r="AG125"/>
  <c r="AD125"/>
  <c r="X437" i="118"/>
  <c r="X62" s="1"/>
  <c r="S472"/>
  <c r="S421"/>
  <c r="R476" i="117"/>
  <c r="S476"/>
  <c r="S381"/>
  <c r="R375"/>
  <c r="S375"/>
  <c r="R343"/>
  <c r="R211"/>
  <c r="AD354" i="116"/>
  <c r="W125"/>
  <c r="T285" i="118"/>
  <c r="T54" s="1"/>
  <c r="S293" i="117"/>
  <c r="S222"/>
  <c r="S51" s="1"/>
  <c r="R210"/>
  <c r="S210"/>
  <c r="AG390" i="116"/>
  <c r="AG59" s="1"/>
  <c r="AB211"/>
  <c r="S432" i="117"/>
  <c r="S61" s="1"/>
  <c r="R369"/>
  <c r="R58" s="1"/>
  <c r="N294"/>
  <c r="R228"/>
  <c r="AA479" i="116"/>
  <c r="AD479"/>
  <c r="AH479"/>
  <c r="AG479"/>
  <c r="AC479"/>
  <c r="Z458"/>
  <c r="S447"/>
  <c r="S64" s="1"/>
  <c r="V447"/>
  <c r="V64" s="1"/>
  <c r="X447"/>
  <c r="X64" s="1"/>
  <c r="U447"/>
  <c r="U64" s="1"/>
  <c r="W447"/>
  <c r="W64" s="1"/>
  <c r="AB447"/>
  <c r="AB64" s="1"/>
  <c r="Y447"/>
  <c r="Y64" s="1"/>
  <c r="Z447"/>
  <c r="Z64" s="1"/>
  <c r="AE447"/>
  <c r="AE64" s="1"/>
  <c r="AA447"/>
  <c r="AA64" s="1"/>
  <c r="AH447"/>
  <c r="AH64" s="1"/>
  <c r="AG447"/>
  <c r="AG64" s="1"/>
  <c r="R442" i="117"/>
  <c r="R63" s="1"/>
  <c r="R377"/>
  <c r="S377"/>
  <c r="R285"/>
  <c r="R54" s="1"/>
  <c r="S255"/>
  <c r="R151"/>
  <c r="R109"/>
  <c r="T488" i="116"/>
  <c r="U488"/>
  <c r="S488"/>
  <c r="W488"/>
  <c r="X488"/>
  <c r="V488"/>
  <c r="AD488"/>
  <c r="AB488"/>
  <c r="AE488"/>
  <c r="R488"/>
  <c r="AG488"/>
  <c r="AC488"/>
  <c r="T285" i="117"/>
  <c r="T54" s="1"/>
  <c r="S423"/>
  <c r="S457"/>
  <c r="Y488" i="116"/>
  <c r="AE319"/>
  <c r="AD319"/>
  <c r="T421"/>
  <c r="V421"/>
  <c r="AB421"/>
  <c r="AA421"/>
  <c r="AC421"/>
  <c r="V398"/>
  <c r="S398"/>
  <c r="U189"/>
  <c r="V189"/>
  <c r="W189"/>
  <c r="R189"/>
  <c r="AB189"/>
  <c r="AE189"/>
  <c r="AF189"/>
  <c r="AD189"/>
  <c r="T189"/>
  <c r="Y189"/>
  <c r="S189"/>
  <c r="AG189"/>
  <c r="Z172"/>
  <c r="AB172"/>
  <c r="AE172"/>
  <c r="AG172"/>
  <c r="AC172"/>
  <c r="AF172"/>
  <c r="AH172"/>
  <c r="T495"/>
  <c r="V495"/>
  <c r="Z495"/>
  <c r="AA495"/>
  <c r="AD495"/>
  <c r="AH495"/>
  <c r="V418"/>
  <c r="AC418"/>
  <c r="AE418"/>
  <c r="AG418"/>
  <c r="X418"/>
  <c r="AB418"/>
  <c r="S348"/>
  <c r="S57" s="1"/>
  <c r="R348"/>
  <c r="R57" s="1"/>
  <c r="T348"/>
  <c r="T57" s="1"/>
  <c r="V348"/>
  <c r="V57" s="1"/>
  <c r="X348"/>
  <c r="X57" s="1"/>
  <c r="U348"/>
  <c r="U57" s="1"/>
  <c r="AB348"/>
  <c r="AB57" s="1"/>
  <c r="AC348"/>
  <c r="AC57" s="1"/>
  <c r="AE348"/>
  <c r="AE57" s="1"/>
  <c r="AF348"/>
  <c r="AF57" s="1"/>
  <c r="W348"/>
  <c r="W57" s="1"/>
  <c r="AG348"/>
  <c r="AG57" s="1"/>
  <c r="Y348"/>
  <c r="Y57" s="1"/>
  <c r="Z348"/>
  <c r="Z57" s="1"/>
  <c r="AD348"/>
  <c r="AD57" s="1"/>
  <c r="R312"/>
  <c r="V312"/>
  <c r="X312"/>
  <c r="U312"/>
  <c r="W312"/>
  <c r="S312"/>
  <c r="T312"/>
  <c r="AD312"/>
  <c r="AF312"/>
  <c r="AB312"/>
  <c r="AE312"/>
  <c r="AH312"/>
  <c r="Y312"/>
  <c r="Z312"/>
  <c r="AG312"/>
  <c r="S297"/>
  <c r="W297"/>
  <c r="X297"/>
  <c r="Z297"/>
  <c r="AA297"/>
  <c r="AG297"/>
  <c r="V291"/>
  <c r="Y291"/>
  <c r="Z291"/>
  <c r="AE291"/>
  <c r="S259"/>
  <c r="V259"/>
  <c r="Z259"/>
  <c r="Y259"/>
  <c r="AA259"/>
  <c r="T259"/>
  <c r="AG259"/>
  <c r="AB259"/>
  <c r="W243"/>
  <c r="W52" s="1"/>
  <c r="Z243"/>
  <c r="Z52" s="1"/>
  <c r="AB243"/>
  <c r="AB52" s="1"/>
  <c r="X243"/>
  <c r="X52" s="1"/>
  <c r="AA243"/>
  <c r="AA52" s="1"/>
  <c r="U243"/>
  <c r="U52" s="1"/>
  <c r="AE243"/>
  <c r="AE52" s="1"/>
  <c r="AG243"/>
  <c r="AG52" s="1"/>
  <c r="V243"/>
  <c r="V52" s="1"/>
  <c r="AF243"/>
  <c r="AF52" s="1"/>
  <c r="X222"/>
  <c r="X51" s="1"/>
  <c r="Z222"/>
  <c r="Z51" s="1"/>
  <c r="V222"/>
  <c r="V51" s="1"/>
  <c r="W222"/>
  <c r="W51" s="1"/>
  <c r="AB222"/>
  <c r="AB51" s="1"/>
  <c r="T222"/>
  <c r="T51" s="1"/>
  <c r="AA222"/>
  <c r="AA51" s="1"/>
  <c r="AE222"/>
  <c r="AE51" s="1"/>
  <c r="AF222"/>
  <c r="AF51" s="1"/>
  <c r="AD222"/>
  <c r="AD51" s="1"/>
  <c r="Y222"/>
  <c r="Y51" s="1"/>
  <c r="AH222"/>
  <c r="AH51" s="1"/>
  <c r="AG222"/>
  <c r="AG51" s="1"/>
  <c r="AI222"/>
  <c r="AI51" s="1"/>
  <c r="X424"/>
  <c r="Z424"/>
  <c r="AE424"/>
  <c r="AD424"/>
  <c r="W424"/>
  <c r="AC424"/>
  <c r="AB424"/>
  <c r="U424"/>
  <c r="V424"/>
  <c r="AF424"/>
  <c r="Z384"/>
  <c r="Y375"/>
  <c r="V375"/>
  <c r="AC375"/>
  <c r="R343"/>
  <c r="S343"/>
  <c r="U343"/>
  <c r="AB343"/>
  <c r="AC343"/>
  <c r="AE343"/>
  <c r="W343"/>
  <c r="Y343"/>
  <c r="Z343"/>
  <c r="AD343"/>
  <c r="T343"/>
  <c r="AF343"/>
  <c r="V285"/>
  <c r="V54" s="1"/>
  <c r="X285"/>
  <c r="X54" s="1"/>
  <c r="R285"/>
  <c r="R54" s="1"/>
  <c r="AB285"/>
  <c r="AB54" s="1"/>
  <c r="AA285"/>
  <c r="AA54" s="1"/>
  <c r="U285"/>
  <c r="U54" s="1"/>
  <c r="Y285"/>
  <c r="Y54" s="1"/>
  <c r="AE285"/>
  <c r="AE54" s="1"/>
  <c r="Z285"/>
  <c r="Z54" s="1"/>
  <c r="AD285"/>
  <c r="AD54" s="1"/>
  <c r="R272"/>
  <c r="W272"/>
  <c r="Z272"/>
  <c r="U272"/>
  <c r="AC272"/>
  <c r="X272"/>
  <c r="AB272"/>
  <c r="T272"/>
  <c r="AF272"/>
  <c r="Y272"/>
  <c r="Z258"/>
  <c r="AA238"/>
  <c r="AE238"/>
  <c r="AF238"/>
  <c r="Y231"/>
  <c r="X231"/>
  <c r="Z231"/>
  <c r="AF231"/>
  <c r="AG231"/>
  <c r="V314"/>
  <c r="X314"/>
  <c r="Y314"/>
  <c r="R314"/>
  <c r="W314"/>
  <c r="U314"/>
  <c r="AC314"/>
  <c r="AE314"/>
  <c r="T314"/>
  <c r="AD314"/>
  <c r="AF314"/>
  <c r="T188"/>
  <c r="Y188"/>
  <c r="AE188"/>
  <c r="AF188"/>
  <c r="AD188"/>
  <c r="AA188"/>
  <c r="U127"/>
  <c r="W127"/>
  <c r="AF127"/>
  <c r="AD127"/>
  <c r="AB127"/>
  <c r="R470"/>
  <c r="X470"/>
  <c r="V400"/>
  <c r="U400"/>
  <c r="X400"/>
  <c r="AB400"/>
  <c r="V382"/>
  <c r="X382"/>
  <c r="U382"/>
  <c r="AD382"/>
  <c r="S280"/>
  <c r="AA280"/>
  <c r="W280"/>
  <c r="U271"/>
  <c r="Y271"/>
  <c r="X271"/>
  <c r="S192"/>
  <c r="X192"/>
  <c r="Y192"/>
  <c r="Z192"/>
  <c r="AC192"/>
  <c r="U192"/>
  <c r="W192"/>
  <c r="R469"/>
  <c r="T469"/>
  <c r="V469"/>
  <c r="X469"/>
  <c r="U469"/>
  <c r="W469"/>
  <c r="S469"/>
  <c r="Y469"/>
  <c r="AB469"/>
  <c r="AA469"/>
  <c r="X411"/>
  <c r="X60" s="1"/>
  <c r="Y411"/>
  <c r="Y60" s="1"/>
  <c r="S411"/>
  <c r="S60" s="1"/>
  <c r="AA411"/>
  <c r="AA60" s="1"/>
  <c r="AC411"/>
  <c r="AC60" s="1"/>
  <c r="AE411"/>
  <c r="AE60" s="1"/>
  <c r="W411"/>
  <c r="W60" s="1"/>
  <c r="Z411"/>
  <c r="Z60" s="1"/>
  <c r="R399"/>
  <c r="U399"/>
  <c r="W399"/>
  <c r="V399"/>
  <c r="X399"/>
  <c r="Y399"/>
  <c r="AB399"/>
  <c r="W381"/>
  <c r="T381"/>
  <c r="V358"/>
  <c r="X358"/>
  <c r="AA358"/>
  <c r="U334"/>
  <c r="V334"/>
  <c r="S334"/>
  <c r="W334"/>
  <c r="AB334"/>
  <c r="AC334"/>
  <c r="AE334"/>
  <c r="AF334"/>
  <c r="V340"/>
  <c r="R340"/>
  <c r="Y340"/>
  <c r="U340"/>
  <c r="S340"/>
  <c r="Z301"/>
  <c r="Y301"/>
  <c r="U208"/>
  <c r="W208"/>
  <c r="S208"/>
  <c r="X208"/>
  <c r="Y208"/>
  <c r="Z191"/>
  <c r="R167"/>
  <c r="W167"/>
  <c r="Z149"/>
  <c r="U339"/>
  <c r="T339"/>
  <c r="X339"/>
  <c r="R315"/>
  <c r="Z315"/>
  <c r="R270"/>
  <c r="X270"/>
  <c r="W255"/>
  <c r="U255"/>
  <c r="S255"/>
  <c r="X255"/>
  <c r="T250"/>
  <c r="W250"/>
  <c r="Y250"/>
  <c r="R229"/>
  <c r="S229"/>
  <c r="S175"/>
  <c r="U175"/>
  <c r="R130"/>
  <c r="Z130"/>
  <c r="S130"/>
  <c r="T130"/>
  <c r="X130"/>
  <c r="W106"/>
  <c r="U106"/>
  <c r="X106"/>
  <c r="R378"/>
  <c r="T378"/>
  <c r="V378"/>
  <c r="X378"/>
  <c r="W276"/>
  <c r="Z276"/>
  <c r="T276"/>
  <c r="U276"/>
  <c r="Y276"/>
  <c r="T249"/>
  <c r="V249"/>
  <c r="R159"/>
  <c r="R48" s="1"/>
  <c r="W159"/>
  <c r="W48" s="1"/>
  <c r="S159"/>
  <c r="S48" s="1"/>
  <c r="V159"/>
  <c r="V48" s="1"/>
  <c r="Z159"/>
  <c r="Z48" s="1"/>
  <c r="T159"/>
  <c r="T48" s="1"/>
  <c r="R147"/>
  <c r="Y147"/>
  <c r="T147"/>
  <c r="X147"/>
  <c r="U147"/>
  <c r="N126"/>
  <c r="S126" s="1"/>
  <c r="R453"/>
  <c r="AJ251" i="121"/>
  <c r="AB251"/>
  <c r="S411"/>
  <c r="S60" s="1"/>
  <c r="R411"/>
  <c r="R60" s="1"/>
  <c r="X411"/>
  <c r="X60" s="1"/>
  <c r="T411"/>
  <c r="T60" s="1"/>
  <c r="V411"/>
  <c r="V60" s="1"/>
  <c r="AB411"/>
  <c r="AB60" s="1"/>
  <c r="AC411"/>
  <c r="AC60" s="1"/>
  <c r="AE411"/>
  <c r="AE60" s="1"/>
  <c r="AJ411"/>
  <c r="AJ60" s="1"/>
  <c r="AL411"/>
  <c r="AL60" s="1"/>
  <c r="Y411"/>
  <c r="Y60" s="1"/>
  <c r="W411"/>
  <c r="W60" s="1"/>
  <c r="AN411"/>
  <c r="AN60" s="1"/>
  <c r="AQ411"/>
  <c r="AQ60" s="1"/>
  <c r="U411"/>
  <c r="U60" s="1"/>
  <c r="AG411"/>
  <c r="AG60" s="1"/>
  <c r="AH411"/>
  <c r="AH60" s="1"/>
  <c r="AR411"/>
  <c r="AR60" s="1"/>
  <c r="AF411"/>
  <c r="AF60" s="1"/>
  <c r="AT411"/>
  <c r="AT60" s="1"/>
  <c r="AS411"/>
  <c r="AS60" s="1"/>
  <c r="U285"/>
  <c r="U54" s="1"/>
  <c r="R285"/>
  <c r="R54" s="1"/>
  <c r="W285"/>
  <c r="W54" s="1"/>
  <c r="AD285"/>
  <c r="AD54" s="1"/>
  <c r="AP285"/>
  <c r="AP54" s="1"/>
  <c r="AC285"/>
  <c r="AC54" s="1"/>
  <c r="AA285"/>
  <c r="AA54" s="1"/>
  <c r="AQ285"/>
  <c r="AQ54" s="1"/>
  <c r="Y285"/>
  <c r="Y54" s="1"/>
  <c r="S285"/>
  <c r="S54" s="1"/>
  <c r="AI285"/>
  <c r="AI54" s="1"/>
  <c r="AN285"/>
  <c r="AN54" s="1"/>
  <c r="AE285"/>
  <c r="AE54" s="1"/>
  <c r="AR285"/>
  <c r="AR54" s="1"/>
  <c r="V285"/>
  <c r="V54" s="1"/>
  <c r="AJ285"/>
  <c r="AJ54" s="1"/>
  <c r="AM285"/>
  <c r="AM54" s="1"/>
  <c r="AT285"/>
  <c r="AT54" s="1"/>
  <c r="AU285"/>
  <c r="AU54" s="1"/>
  <c r="T285"/>
  <c r="T54" s="1"/>
  <c r="X285"/>
  <c r="X54" s="1"/>
  <c r="AF285"/>
  <c r="AF54" s="1"/>
  <c r="AL285"/>
  <c r="AL54" s="1"/>
  <c r="AO285"/>
  <c r="AO54" s="1"/>
  <c r="V487"/>
  <c r="U487"/>
  <c r="AH487"/>
  <c r="AC487"/>
  <c r="AF487"/>
  <c r="AE487"/>
  <c r="AJ487"/>
  <c r="W487"/>
  <c r="X487"/>
  <c r="AG487"/>
  <c r="S487"/>
  <c r="AB487"/>
  <c r="AA487"/>
  <c r="AK487"/>
  <c r="Y487"/>
  <c r="R147"/>
  <c r="S147"/>
  <c r="W147"/>
  <c r="X147"/>
  <c r="U147"/>
  <c r="Z147"/>
  <c r="V147"/>
  <c r="T147"/>
  <c r="Y147"/>
  <c r="AD147"/>
  <c r="AF147"/>
  <c r="AJ147"/>
  <c r="AE147"/>
  <c r="AK147"/>
  <c r="AB147"/>
  <c r="AC147"/>
  <c r="AG147"/>
  <c r="U211"/>
  <c r="T211"/>
  <c r="V211"/>
  <c r="Z211"/>
  <c r="AI211"/>
  <c r="W211"/>
  <c r="AB211"/>
  <c r="AJ211"/>
  <c r="AA211"/>
  <c r="S211"/>
  <c r="AC211"/>
  <c r="AE211"/>
  <c r="AG211"/>
  <c r="X211"/>
  <c r="AK211"/>
  <c r="AF172"/>
  <c r="AH172"/>
  <c r="Y172"/>
  <c r="Z172"/>
  <c r="V172"/>
  <c r="X457"/>
  <c r="AG457"/>
  <c r="R294"/>
  <c r="X294"/>
  <c r="T294"/>
  <c r="S294"/>
  <c r="W294"/>
  <c r="U294"/>
  <c r="AA294"/>
  <c r="AE294"/>
  <c r="AH294"/>
  <c r="AI294"/>
  <c r="V294"/>
  <c r="Y294"/>
  <c r="AJ294"/>
  <c r="AC294"/>
  <c r="AF294"/>
  <c r="AG294"/>
  <c r="AE251"/>
  <c r="AD294"/>
  <c r="AC251"/>
  <c r="Y251"/>
  <c r="T397"/>
  <c r="R397"/>
  <c r="S397"/>
  <c r="X397"/>
  <c r="Y397"/>
  <c r="AD397"/>
  <c r="AG397"/>
  <c r="AA397"/>
  <c r="AE397"/>
  <c r="AJ397"/>
  <c r="AK397"/>
  <c r="AC397"/>
  <c r="Z397"/>
  <c r="AB397"/>
  <c r="AH397"/>
  <c r="AI397"/>
  <c r="T207"/>
  <c r="R207"/>
  <c r="W207"/>
  <c r="Y207"/>
  <c r="AD207"/>
  <c r="AF207"/>
  <c r="AH207"/>
  <c r="U207"/>
  <c r="AJ207"/>
  <c r="AC207"/>
  <c r="Z207"/>
  <c r="AB207"/>
  <c r="AK207"/>
  <c r="AI207"/>
  <c r="AA207"/>
  <c r="X112"/>
  <c r="U112"/>
  <c r="AH112"/>
  <c r="Y112"/>
  <c r="AA112"/>
  <c r="AJ112"/>
  <c r="AB112"/>
  <c r="AK112"/>
  <c r="W112"/>
  <c r="S112"/>
  <c r="AE112"/>
  <c r="Z112"/>
  <c r="AI112"/>
  <c r="S280"/>
  <c r="AK280"/>
  <c r="AE280"/>
  <c r="Y280"/>
  <c r="AD280"/>
  <c r="AH280"/>
  <c r="Z280"/>
  <c r="AF280"/>
  <c r="AG280"/>
  <c r="AI280"/>
  <c r="W280"/>
  <c r="AA280"/>
  <c r="AB280"/>
  <c r="AJ280"/>
  <c r="N456" i="28"/>
  <c r="I172" i="11"/>
  <c r="V463" i="28"/>
  <c r="AE463"/>
  <c r="AB463"/>
  <c r="AJ463"/>
  <c r="AF463"/>
  <c r="AC463"/>
  <c r="AG463"/>
  <c r="R463"/>
  <c r="T463"/>
  <c r="AD463"/>
  <c r="U463"/>
  <c r="AK463"/>
  <c r="AK294" i="121"/>
  <c r="AG112"/>
  <c r="AE207"/>
  <c r="AC112"/>
  <c r="U397"/>
  <c r="T190"/>
  <c r="X190"/>
  <c r="AE190"/>
  <c r="AD190"/>
  <c r="AF190"/>
  <c r="AD214"/>
  <c r="S214"/>
  <c r="AE214"/>
  <c r="AK214"/>
  <c r="Y214"/>
  <c r="X214"/>
  <c r="AI214"/>
  <c r="Z214"/>
  <c r="S251"/>
  <c r="T251"/>
  <c r="R251"/>
  <c r="V251"/>
  <c r="W251"/>
  <c r="AF251"/>
  <c r="AD251"/>
  <c r="AI251"/>
  <c r="U251"/>
  <c r="Z251"/>
  <c r="AA251"/>
  <c r="AG251"/>
  <c r="AH251"/>
  <c r="AK251"/>
  <c r="AF112"/>
  <c r="AF397"/>
  <c r="AD487"/>
  <c r="AC280"/>
  <c r="AB285"/>
  <c r="AB54" s="1"/>
  <c r="AA411"/>
  <c r="AA60" s="1"/>
  <c r="Z411"/>
  <c r="Z60" s="1"/>
  <c r="AK456"/>
  <c r="AK361"/>
  <c r="AG319"/>
  <c r="AG418"/>
  <c r="AF336"/>
  <c r="AE319"/>
  <c r="AD192"/>
  <c r="AC418"/>
  <c r="AC456"/>
  <c r="AB361"/>
  <c r="Z319"/>
  <c r="W336"/>
  <c r="R319"/>
  <c r="U108"/>
  <c r="S108"/>
  <c r="S379"/>
  <c r="W379"/>
  <c r="U377"/>
  <c r="V377"/>
  <c r="U145"/>
  <c r="R145"/>
  <c r="S145"/>
  <c r="R375"/>
  <c r="U375"/>
  <c r="V375"/>
  <c r="T312"/>
  <c r="R312"/>
  <c r="U312"/>
  <c r="S343"/>
  <c r="T343"/>
  <c r="U343"/>
  <c r="V343"/>
  <c r="R259"/>
  <c r="W259"/>
  <c r="W292"/>
  <c r="R292"/>
  <c r="T117"/>
  <c r="T46" s="1"/>
  <c r="U117"/>
  <c r="U46" s="1"/>
  <c r="R217"/>
  <c r="W217"/>
  <c r="T217"/>
  <c r="AK167" i="28"/>
  <c r="AH123"/>
  <c r="AD167"/>
  <c r="AA187"/>
  <c r="N207" i="116"/>
  <c r="Y207" s="1"/>
  <c r="J134" i="11"/>
  <c r="U169" i="116"/>
  <c r="W169"/>
  <c r="R169"/>
  <c r="X169"/>
  <c r="AB169"/>
  <c r="AC169"/>
  <c r="AE169"/>
  <c r="AF169"/>
  <c r="V169"/>
  <c r="AD169"/>
  <c r="AA169"/>
  <c r="AG169"/>
  <c r="AH169"/>
  <c r="AK377" i="121"/>
  <c r="AK379"/>
  <c r="AJ192"/>
  <c r="AJ377"/>
  <c r="AJ292"/>
  <c r="AJ343"/>
  <c r="AI381"/>
  <c r="AI259"/>
  <c r="AI375"/>
  <c r="AJ117"/>
  <c r="AJ46" s="1"/>
  <c r="AG343"/>
  <c r="AG336"/>
  <c r="AF319"/>
  <c r="AF361"/>
  <c r="AE312"/>
  <c r="AE292"/>
  <c r="AD343"/>
  <c r="AD472"/>
  <c r="AC259"/>
  <c r="AC377"/>
  <c r="AB381"/>
  <c r="AC117"/>
  <c r="AC46" s="1"/>
  <c r="Z381"/>
  <c r="AA145"/>
  <c r="AA375"/>
  <c r="Z382"/>
  <c r="AA117"/>
  <c r="AA46" s="1"/>
  <c r="Z145"/>
  <c r="Z375"/>
  <c r="Z398"/>
  <c r="Y145"/>
  <c r="Y259"/>
  <c r="Y336"/>
  <c r="Y456"/>
  <c r="Y398"/>
  <c r="X381"/>
  <c r="W319"/>
  <c r="Y117"/>
  <c r="Y46" s="1"/>
  <c r="V217"/>
  <c r="V292"/>
  <c r="V472"/>
  <c r="W117"/>
  <c r="W46" s="1"/>
  <c r="V130"/>
  <c r="R130"/>
  <c r="T130"/>
  <c r="U259"/>
  <c r="T292"/>
  <c r="S292"/>
  <c r="W169"/>
  <c r="R399"/>
  <c r="S399"/>
  <c r="R314" i="28"/>
  <c r="AA314"/>
  <c r="AB314"/>
  <c r="Y314"/>
  <c r="AH314"/>
  <c r="AK314"/>
  <c r="S314"/>
  <c r="T314"/>
  <c r="AE314"/>
  <c r="AG314"/>
  <c r="Z314"/>
  <c r="X314"/>
  <c r="AD314"/>
  <c r="AJ314"/>
  <c r="R230" i="120"/>
  <c r="V361" i="121"/>
  <c r="R361"/>
  <c r="R193" i="28"/>
  <c r="V193"/>
  <c r="Z193"/>
  <c r="AA193"/>
  <c r="AF193"/>
  <c r="T193"/>
  <c r="AB193"/>
  <c r="AC193"/>
  <c r="AH193"/>
  <c r="AJ193"/>
  <c r="W193"/>
  <c r="AG193"/>
  <c r="AI193"/>
  <c r="U193"/>
  <c r="X193"/>
  <c r="AD193"/>
  <c r="AE193"/>
  <c r="AK193"/>
  <c r="AE167"/>
  <c r="AI167"/>
  <c r="AH167"/>
  <c r="AO117" i="121"/>
  <c r="AO46" s="1"/>
  <c r="AK259"/>
  <c r="AI418"/>
  <c r="AG108"/>
  <c r="AI117"/>
  <c r="AI46" s="1"/>
  <c r="AE398"/>
  <c r="AC319"/>
  <c r="AB117"/>
  <c r="AB46" s="1"/>
  <c r="Z259"/>
  <c r="S361"/>
  <c r="V145"/>
  <c r="X167" i="28"/>
  <c r="AU117" i="121"/>
  <c r="AU46" s="1"/>
  <c r="AP117"/>
  <c r="AP46" s="1"/>
  <c r="AK145"/>
  <c r="AJ217"/>
  <c r="AJ418"/>
  <c r="AJ398"/>
  <c r="AJ379"/>
  <c r="AI456"/>
  <c r="AH398"/>
  <c r="AH418"/>
  <c r="AH479"/>
  <c r="AG292"/>
  <c r="AG398"/>
  <c r="AF217"/>
  <c r="AF312"/>
  <c r="AF382"/>
  <c r="AF486"/>
  <c r="AE361"/>
  <c r="AE379"/>
  <c r="AD379"/>
  <c r="AD377"/>
  <c r="AC343"/>
  <c r="AC312"/>
  <c r="AA381"/>
  <c r="AB292"/>
  <c r="AA336"/>
  <c r="Y375"/>
  <c r="U192"/>
  <c r="W312"/>
  <c r="U381"/>
  <c r="V117"/>
  <c r="V46" s="1"/>
  <c r="S259"/>
  <c r="S117"/>
  <c r="S46" s="1"/>
  <c r="X293"/>
  <c r="U293"/>
  <c r="T293"/>
  <c r="V293"/>
  <c r="R313"/>
  <c r="U313"/>
  <c r="S313"/>
  <c r="V313"/>
  <c r="W313"/>
  <c r="R489"/>
  <c r="V489"/>
  <c r="S396"/>
  <c r="T396"/>
  <c r="R250"/>
  <c r="U250"/>
  <c r="V250"/>
  <c r="AG377" i="28"/>
  <c r="T377"/>
  <c r="AH377"/>
  <c r="AK377"/>
  <c r="S377"/>
  <c r="V377"/>
  <c r="W377"/>
  <c r="AB377"/>
  <c r="Y377"/>
  <c r="U377"/>
  <c r="AA377"/>
  <c r="AF377"/>
  <c r="AJ377"/>
  <c r="Z377"/>
  <c r="AE377"/>
  <c r="T276"/>
  <c r="Z276"/>
  <c r="AA276"/>
  <c r="S276"/>
  <c r="AD276"/>
  <c r="AG276"/>
  <c r="X276"/>
  <c r="AH276"/>
  <c r="AK276"/>
  <c r="Y276"/>
  <c r="AE276"/>
  <c r="U276"/>
  <c r="AB276"/>
  <c r="AC276"/>
  <c r="W276"/>
  <c r="AI276"/>
  <c r="R231"/>
  <c r="X231"/>
  <c r="AB231"/>
  <c r="AA231"/>
  <c r="AH231"/>
  <c r="AE231"/>
  <c r="U231"/>
  <c r="Z231"/>
  <c r="AJ231"/>
  <c r="S231"/>
  <c r="T231"/>
  <c r="AF231"/>
  <c r="AI231"/>
  <c r="AD231"/>
  <c r="V231"/>
  <c r="W231"/>
  <c r="AK231"/>
  <c r="Y231"/>
  <c r="AC231"/>
  <c r="AD209"/>
  <c r="AE209"/>
  <c r="Z209"/>
  <c r="AC209"/>
  <c r="T209"/>
  <c r="X209"/>
  <c r="AA209"/>
  <c r="AK209"/>
  <c r="N396" i="120"/>
  <c r="N134" i="11"/>
  <c r="V319" i="121"/>
  <c r="T319"/>
  <c r="AJ403"/>
  <c r="AH319"/>
  <c r="AI336"/>
  <c r="AH361"/>
  <c r="AH192"/>
  <c r="AH259"/>
  <c r="AD375"/>
  <c r="Y312"/>
  <c r="S336"/>
  <c r="S472"/>
  <c r="R472"/>
  <c r="S361" i="28"/>
  <c r="AA361"/>
  <c r="AB361"/>
  <c r="AH361"/>
  <c r="AI361"/>
  <c r="AG361"/>
  <c r="AJ361"/>
  <c r="N186" i="118"/>
  <c r="U186" s="1"/>
  <c r="L134" i="11"/>
  <c r="AR159" i="121"/>
  <c r="AR48" s="1"/>
  <c r="AK486"/>
  <c r="AJ381"/>
  <c r="AJ375"/>
  <c r="AI319"/>
  <c r="AI343"/>
  <c r="AH217"/>
  <c r="AH379"/>
  <c r="AG192"/>
  <c r="AG217"/>
  <c r="AH117"/>
  <c r="AH46" s="1"/>
  <c r="AE381"/>
  <c r="AF379"/>
  <c r="AF456"/>
  <c r="AE145"/>
  <c r="AE375"/>
  <c r="AD382"/>
  <c r="AE117"/>
  <c r="AE46" s="1"/>
  <c r="AC292"/>
  <c r="AC336"/>
  <c r="AB319"/>
  <c r="AD117"/>
  <c r="AD46" s="1"/>
  <c r="AB336"/>
  <c r="AA192"/>
  <c r="AA398"/>
  <c r="AA361"/>
  <c r="Z292"/>
  <c r="Z336"/>
  <c r="Y382"/>
  <c r="X217"/>
  <c r="X343"/>
  <c r="T192"/>
  <c r="W375"/>
  <c r="S381"/>
  <c r="V104"/>
  <c r="V336"/>
  <c r="V398"/>
  <c r="T276"/>
  <c r="R420"/>
  <c r="S420"/>
  <c r="T420"/>
  <c r="U420"/>
  <c r="T145"/>
  <c r="X126"/>
  <c r="R126"/>
  <c r="U126"/>
  <c r="R210"/>
  <c r="V210"/>
  <c r="R117"/>
  <c r="R46" s="1"/>
  <c r="U322"/>
  <c r="S322"/>
  <c r="R291" i="28"/>
  <c r="AC291"/>
  <c r="AJ291"/>
  <c r="AF291"/>
  <c r="V291"/>
  <c r="AD291"/>
  <c r="AB291"/>
  <c r="Y270"/>
  <c r="Z270"/>
  <c r="AF270"/>
  <c r="R270"/>
  <c r="AJ270"/>
  <c r="AB270"/>
  <c r="T270"/>
  <c r="V270"/>
  <c r="AA270"/>
  <c r="AD270"/>
  <c r="AI270"/>
  <c r="W270"/>
  <c r="AH270"/>
  <c r="AE208"/>
  <c r="AK208"/>
  <c r="U208"/>
  <c r="AI208"/>
  <c r="T208"/>
  <c r="AB208"/>
  <c r="AA208"/>
  <c r="AD208"/>
  <c r="R180"/>
  <c r="R49" s="1"/>
  <c r="AC180"/>
  <c r="AC49" s="1"/>
  <c r="AG180"/>
  <c r="AG49" s="1"/>
  <c r="S180"/>
  <c r="S49" s="1"/>
  <c r="AI180"/>
  <c r="AI49" s="1"/>
  <c r="AP180"/>
  <c r="AP49" s="1"/>
  <c r="W180"/>
  <c r="W49" s="1"/>
  <c r="AA180"/>
  <c r="AA49" s="1"/>
  <c r="AD180"/>
  <c r="AD49" s="1"/>
  <c r="AN180"/>
  <c r="AN49" s="1"/>
  <c r="AT180"/>
  <c r="AT49" s="1"/>
  <c r="Z180"/>
  <c r="Z49" s="1"/>
  <c r="AK180"/>
  <c r="AK49" s="1"/>
  <c r="AR180"/>
  <c r="AR49" s="1"/>
  <c r="AG125"/>
  <c r="V125"/>
  <c r="X125"/>
  <c r="AE125"/>
  <c r="AI125"/>
  <c r="AF125"/>
  <c r="Z125"/>
  <c r="Y125"/>
  <c r="AB125"/>
  <c r="AJ125"/>
  <c r="AF103"/>
  <c r="AH103"/>
  <c r="X103"/>
  <c r="R486" i="120"/>
  <c r="R424"/>
  <c r="R418" i="121"/>
  <c r="T418"/>
  <c r="X187" i="28"/>
  <c r="AE187"/>
  <c r="Y187"/>
  <c r="AK187"/>
  <c r="AI187"/>
  <c r="AB187"/>
  <c r="AC187"/>
  <c r="AD187"/>
  <c r="AH187"/>
  <c r="U187"/>
  <c r="AF187"/>
  <c r="AG187"/>
  <c r="T123"/>
  <c r="W123"/>
  <c r="Y123"/>
  <c r="AB123"/>
  <c r="R123"/>
  <c r="S123"/>
  <c r="V123"/>
  <c r="X123"/>
  <c r="Z123"/>
  <c r="AA123"/>
  <c r="AF123"/>
  <c r="AJ123"/>
  <c r="AI123"/>
  <c r="AK123"/>
  <c r="U123"/>
  <c r="AE123"/>
  <c r="AG123"/>
  <c r="R489" i="119"/>
  <c r="V489"/>
  <c r="Y489"/>
  <c r="AC489"/>
  <c r="AE489"/>
  <c r="AF489"/>
  <c r="AD489"/>
  <c r="AA489"/>
  <c r="Z489"/>
  <c r="AH489"/>
  <c r="AK489"/>
  <c r="AG489"/>
  <c r="AJ489"/>
  <c r="AK319" i="121"/>
  <c r="AJ361"/>
  <c r="AJ456"/>
  <c r="AJ336"/>
  <c r="AI145"/>
  <c r="AH343"/>
  <c r="AH456"/>
  <c r="AG377"/>
  <c r="AG379"/>
  <c r="AE377"/>
  <c r="AD259"/>
  <c r="AC192"/>
  <c r="AC379"/>
  <c r="AA217"/>
  <c r="AA312"/>
  <c r="Y192"/>
  <c r="X145"/>
  <c r="X418"/>
  <c r="W418"/>
  <c r="Y354" i="118"/>
  <c r="W354"/>
  <c r="Z354"/>
  <c r="X354"/>
  <c r="AK192" i="121"/>
  <c r="AK217"/>
  <c r="AK336"/>
  <c r="AI361"/>
  <c r="AJ312"/>
  <c r="AJ382"/>
  <c r="AI192"/>
  <c r="AI217"/>
  <c r="AI312"/>
  <c r="AH145"/>
  <c r="AH336"/>
  <c r="AH455"/>
  <c r="AG259"/>
  <c r="AG375"/>
  <c r="AG472"/>
  <c r="AG117"/>
  <c r="AG46" s="1"/>
  <c r="AF259"/>
  <c r="AF398"/>
  <c r="AE259"/>
  <c r="AE382"/>
  <c r="AD361"/>
  <c r="AD217"/>
  <c r="AC382"/>
  <c r="AC381"/>
  <c r="AC145"/>
  <c r="AC361"/>
  <c r="AC375"/>
  <c r="AB145"/>
  <c r="AB217"/>
  <c r="AB375"/>
  <c r="AB379"/>
  <c r="AA377"/>
  <c r="AA456"/>
  <c r="Z192"/>
  <c r="Z104"/>
  <c r="Z217"/>
  <c r="Z312"/>
  <c r="Z472"/>
  <c r="Y361"/>
  <c r="Y343"/>
  <c r="Z117"/>
  <c r="Z46" s="1"/>
  <c r="X259"/>
  <c r="X375"/>
  <c r="T382"/>
  <c r="U319"/>
  <c r="V379"/>
  <c r="U130"/>
  <c r="U476"/>
  <c r="S476"/>
  <c r="U217"/>
  <c r="T336"/>
  <c r="S252"/>
  <c r="S312"/>
  <c r="R356"/>
  <c r="T356"/>
  <c r="V356"/>
  <c r="S356"/>
  <c r="U356"/>
  <c r="W356"/>
  <c r="U168"/>
  <c r="S168"/>
  <c r="T168"/>
  <c r="U138"/>
  <c r="U47" s="1"/>
  <c r="V138"/>
  <c r="V47" s="1"/>
  <c r="T138"/>
  <c r="T47" s="1"/>
  <c r="R222"/>
  <c r="R51" s="1"/>
  <c r="U222"/>
  <c r="U51" s="1"/>
  <c r="V222"/>
  <c r="V51" s="1"/>
  <c r="S306"/>
  <c r="S55" s="1"/>
  <c r="V306"/>
  <c r="V55" s="1"/>
  <c r="T306"/>
  <c r="T55" s="1"/>
  <c r="W306"/>
  <c r="W55" s="1"/>
  <c r="X96"/>
  <c r="X45" s="1"/>
  <c r="S96"/>
  <c r="S45" s="1"/>
  <c r="U96"/>
  <c r="U45" s="1"/>
  <c r="S463"/>
  <c r="U463"/>
  <c r="AJ187" i="28"/>
  <c r="AI377"/>
  <c r="AF314"/>
  <c r="X377"/>
  <c r="V314"/>
  <c r="T469"/>
  <c r="U469"/>
  <c r="Y469"/>
  <c r="AB469"/>
  <c r="W469"/>
  <c r="AA469"/>
  <c r="AF469"/>
  <c r="AK469"/>
  <c r="Z469"/>
  <c r="AI469"/>
  <c r="AD469"/>
  <c r="AJ469"/>
  <c r="R469"/>
  <c r="S469"/>
  <c r="AG469"/>
  <c r="N422"/>
  <c r="O104" i="11"/>
  <c r="S213" i="121"/>
  <c r="T232"/>
  <c r="T274"/>
  <c r="U213"/>
  <c r="S491"/>
  <c r="T420" i="28"/>
  <c r="Z457"/>
  <c r="AG457"/>
  <c r="W423"/>
  <c r="AI423"/>
  <c r="AD423"/>
  <c r="AE423"/>
  <c r="Z423"/>
  <c r="AB423"/>
  <c r="T423"/>
  <c r="X105"/>
  <c r="AD105"/>
  <c r="AE105"/>
  <c r="AI105"/>
  <c r="S105"/>
  <c r="W105"/>
  <c r="R105"/>
  <c r="AB105"/>
  <c r="AJ105"/>
  <c r="U102"/>
  <c r="Z102"/>
  <c r="T102"/>
  <c r="AF102"/>
  <c r="AJ102"/>
  <c r="AE102"/>
  <c r="S334" i="121"/>
  <c r="T369" i="28"/>
  <c r="T58" s="1"/>
  <c r="R390"/>
  <c r="R59" s="1"/>
  <c r="AC390"/>
  <c r="AC59" s="1"/>
  <c r="AG390"/>
  <c r="AG59" s="1"/>
  <c r="AO390"/>
  <c r="AO59" s="1"/>
  <c r="AT390"/>
  <c r="AT59" s="1"/>
  <c r="X390"/>
  <c r="X59" s="1"/>
  <c r="AF390"/>
  <c r="AF59" s="1"/>
  <c r="U390"/>
  <c r="U59" s="1"/>
  <c r="AA390"/>
  <c r="AA59" s="1"/>
  <c r="AI390"/>
  <c r="AI59" s="1"/>
  <c r="S390"/>
  <c r="S59" s="1"/>
  <c r="V390"/>
  <c r="V59" s="1"/>
  <c r="AK390"/>
  <c r="AK59" s="1"/>
  <c r="AM390"/>
  <c r="AM59" s="1"/>
  <c r="AR390"/>
  <c r="AR59" s="1"/>
  <c r="AS390"/>
  <c r="AS59" s="1"/>
  <c r="AF379"/>
  <c r="AJ379"/>
  <c r="AH379"/>
  <c r="AK379"/>
  <c r="AI379"/>
  <c r="R207"/>
  <c r="U207"/>
  <c r="W207"/>
  <c r="AF207"/>
  <c r="Z207"/>
  <c r="AI207"/>
  <c r="V207"/>
  <c r="Y207"/>
  <c r="AA207"/>
  <c r="AG207"/>
  <c r="AH207"/>
  <c r="AJ207"/>
  <c r="AA130"/>
  <c r="U130"/>
  <c r="AH130"/>
  <c r="Y130"/>
  <c r="AB130"/>
  <c r="AF130"/>
  <c r="S130"/>
  <c r="T130"/>
  <c r="AC130"/>
  <c r="AD130"/>
  <c r="AJ130"/>
  <c r="AK130"/>
  <c r="AE130"/>
  <c r="AI130"/>
  <c r="AA492"/>
  <c r="AB492"/>
  <c r="AF492"/>
  <c r="AJ492"/>
  <c r="AC492"/>
  <c r="T492"/>
  <c r="R492"/>
  <c r="U492"/>
  <c r="AE492"/>
  <c r="S420"/>
  <c r="U420"/>
  <c r="Z420"/>
  <c r="AF420"/>
  <c r="R420"/>
  <c r="V420"/>
  <c r="AB420"/>
  <c r="AE420"/>
  <c r="AG420"/>
  <c r="Y420"/>
  <c r="AA420"/>
  <c r="AC420"/>
  <c r="S369"/>
  <c r="S58" s="1"/>
  <c r="V369"/>
  <c r="V58" s="1"/>
  <c r="W369"/>
  <c r="W58" s="1"/>
  <c r="AF369"/>
  <c r="AF58" s="1"/>
  <c r="AG369"/>
  <c r="AG58" s="1"/>
  <c r="AL369"/>
  <c r="AL58" s="1"/>
  <c r="Y369"/>
  <c r="Y58" s="1"/>
  <c r="AI369"/>
  <c r="AI58" s="1"/>
  <c r="Z369"/>
  <c r="Z58" s="1"/>
  <c r="AD369"/>
  <c r="AD58" s="1"/>
  <c r="AK369"/>
  <c r="AK58" s="1"/>
  <c r="AP369"/>
  <c r="AP58" s="1"/>
  <c r="AA348"/>
  <c r="AA57" s="1"/>
  <c r="AG348"/>
  <c r="AG57" s="1"/>
  <c r="AI348"/>
  <c r="AI57" s="1"/>
  <c r="AB348"/>
  <c r="AB57" s="1"/>
  <c r="AL348"/>
  <c r="AL57" s="1"/>
  <c r="Z348"/>
  <c r="Z57" s="1"/>
  <c r="AC348"/>
  <c r="AC57" s="1"/>
  <c r="AN348"/>
  <c r="AN57" s="1"/>
  <c r="W327"/>
  <c r="W56" s="1"/>
  <c r="AB327"/>
  <c r="AB56" s="1"/>
  <c r="AF327"/>
  <c r="AF56" s="1"/>
  <c r="AJ327"/>
  <c r="AJ56" s="1"/>
  <c r="S327"/>
  <c r="S56" s="1"/>
  <c r="Z327"/>
  <c r="Z56" s="1"/>
  <c r="AC327"/>
  <c r="AC56" s="1"/>
  <c r="AD327"/>
  <c r="AD56" s="1"/>
  <c r="AE327"/>
  <c r="AE56" s="1"/>
  <c r="T316"/>
  <c r="U316"/>
  <c r="Z316"/>
  <c r="W316"/>
  <c r="Y316"/>
  <c r="AC316"/>
  <c r="AI316"/>
  <c r="AH316"/>
  <c r="AK316"/>
  <c r="AB316"/>
  <c r="AJ316"/>
  <c r="T259"/>
  <c r="W259"/>
  <c r="X259"/>
  <c r="AG259"/>
  <c r="R259"/>
  <c r="AB259"/>
  <c r="AF259"/>
  <c r="Y259"/>
  <c r="AI259"/>
  <c r="U259"/>
  <c r="AD259"/>
  <c r="S259"/>
  <c r="AC259"/>
  <c r="AE259"/>
  <c r="R471" i="120"/>
  <c r="W213" i="121"/>
  <c r="U460"/>
  <c r="U339"/>
  <c r="S487" i="28"/>
  <c r="Y487"/>
  <c r="U487"/>
  <c r="AE487"/>
  <c r="AI487"/>
  <c r="T487"/>
  <c r="AI472"/>
  <c r="AE472"/>
  <c r="AA472"/>
  <c r="S453"/>
  <c r="Y453"/>
  <c r="Z453"/>
  <c r="R453"/>
  <c r="AE453"/>
  <c r="AJ453"/>
  <c r="T453"/>
  <c r="U453"/>
  <c r="AB453"/>
  <c r="AG453"/>
  <c r="AK453"/>
  <c r="W453"/>
  <c r="AC453"/>
  <c r="U301"/>
  <c r="AB301"/>
  <c r="AA301"/>
  <c r="AF301"/>
  <c r="R301"/>
  <c r="AG301"/>
  <c r="AA273"/>
  <c r="S273"/>
  <c r="AC273"/>
  <c r="AK273"/>
  <c r="X273"/>
  <c r="AE273"/>
  <c r="AH273"/>
  <c r="W273"/>
  <c r="AJ273"/>
  <c r="U273"/>
  <c r="AB235"/>
  <c r="Y235"/>
  <c r="AD235"/>
  <c r="AG235"/>
  <c r="AA235"/>
  <c r="AH235"/>
  <c r="AJ235"/>
  <c r="U229"/>
  <c r="AJ229"/>
  <c r="X229"/>
  <c r="AB229"/>
  <c r="AG229"/>
  <c r="R238" i="120"/>
  <c r="R231"/>
  <c r="S486" i="119"/>
  <c r="W486"/>
  <c r="AC486"/>
  <c r="AH486"/>
  <c r="AJ486"/>
  <c r="AK486"/>
  <c r="V486"/>
  <c r="Z486"/>
  <c r="AI486"/>
  <c r="AA486"/>
  <c r="AG486"/>
  <c r="X486"/>
  <c r="AB486"/>
  <c r="T486"/>
  <c r="Y486"/>
  <c r="AD486"/>
  <c r="AE486"/>
  <c r="R486"/>
  <c r="AF486"/>
  <c r="S473"/>
  <c r="AD473"/>
  <c r="AE473"/>
  <c r="V473"/>
  <c r="AA473"/>
  <c r="AK473"/>
  <c r="AC473"/>
  <c r="AJ473"/>
  <c r="T459"/>
  <c r="W459"/>
  <c r="AA459"/>
  <c r="AC459"/>
  <c r="AB459"/>
  <c r="AI459"/>
  <c r="AG459"/>
  <c r="AJ459"/>
  <c r="Z459"/>
  <c r="S459"/>
  <c r="Y459"/>
  <c r="AD459"/>
  <c r="AE459"/>
  <c r="AH459"/>
  <c r="U459"/>
  <c r="X459"/>
  <c r="AA488" i="28"/>
  <c r="AD488"/>
  <c r="U479"/>
  <c r="V479"/>
  <c r="AA473"/>
  <c r="U447"/>
  <c r="U64" s="1"/>
  <c r="AE447"/>
  <c r="AE64" s="1"/>
  <c r="S399"/>
  <c r="W399"/>
  <c r="Z399"/>
  <c r="Y295"/>
  <c r="AB295"/>
  <c r="R472" i="120"/>
  <c r="T146" i="118"/>
  <c r="R146"/>
  <c r="U146"/>
  <c r="X146"/>
  <c r="Z146"/>
  <c r="AC146"/>
  <c r="W146"/>
  <c r="V146"/>
  <c r="S146"/>
  <c r="AA146"/>
  <c r="Y146"/>
  <c r="AB146"/>
  <c r="Y417" i="28"/>
  <c r="AB417"/>
  <c r="T403"/>
  <c r="AA403"/>
  <c r="X360"/>
  <c r="Y360"/>
  <c r="AE318"/>
  <c r="T293"/>
  <c r="Z293"/>
  <c r="R293"/>
  <c r="T234"/>
  <c r="W234"/>
  <c r="AA234"/>
  <c r="R117"/>
  <c r="R46" s="1"/>
  <c r="R399" i="120"/>
  <c r="R333"/>
  <c r="AH491" i="119"/>
  <c r="AJ491"/>
  <c r="AG491"/>
  <c r="AD491"/>
  <c r="Y491"/>
  <c r="Z491"/>
  <c r="X491"/>
  <c r="AK491"/>
  <c r="R238"/>
  <c r="Z238"/>
  <c r="Y238"/>
  <c r="AC238"/>
  <c r="AH238"/>
  <c r="AJ238"/>
  <c r="W238"/>
  <c r="AF238"/>
  <c r="S238"/>
  <c r="X238"/>
  <c r="V238"/>
  <c r="T238"/>
  <c r="AB238"/>
  <c r="AI238"/>
  <c r="AK238"/>
  <c r="AE238"/>
  <c r="U238"/>
  <c r="AA238"/>
  <c r="T207"/>
  <c r="Y207"/>
  <c r="S207"/>
  <c r="AJ207"/>
  <c r="T375" i="118"/>
  <c r="Y375"/>
  <c r="V375"/>
  <c r="W375"/>
  <c r="AB375"/>
  <c r="Z375"/>
  <c r="X375"/>
  <c r="AA375"/>
  <c r="AC375"/>
  <c r="T486" i="28"/>
  <c r="X486"/>
  <c r="Y471"/>
  <c r="Z471"/>
  <c r="R375"/>
  <c r="U375"/>
  <c r="Z375"/>
  <c r="AD375"/>
  <c r="R340"/>
  <c r="S340"/>
  <c r="AE340"/>
  <c r="X312"/>
  <c r="AC312"/>
  <c r="R222"/>
  <c r="R51" s="1"/>
  <c r="V222"/>
  <c r="V51" s="1"/>
  <c r="AC222"/>
  <c r="AC51" s="1"/>
  <c r="AE222"/>
  <c r="AE51" s="1"/>
  <c r="AF222"/>
  <c r="AF51" s="1"/>
  <c r="AG222"/>
  <c r="AG51" s="1"/>
  <c r="S196"/>
  <c r="Y196"/>
  <c r="AC196"/>
  <c r="AG196"/>
  <c r="R327" i="120"/>
  <c r="R56" s="1"/>
  <c r="S327"/>
  <c r="S56" s="1"/>
  <c r="AE486" i="28"/>
  <c r="AD471"/>
  <c r="AD454"/>
  <c r="AC491"/>
  <c r="AC476"/>
  <c r="AC424"/>
  <c r="AB447"/>
  <c r="AB64" s="1"/>
  <c r="AB375"/>
  <c r="AA381"/>
  <c r="AA318"/>
  <c r="Z454"/>
  <c r="Y479"/>
  <c r="Y340"/>
  <c r="X488"/>
  <c r="X471"/>
  <c r="X357"/>
  <c r="X318"/>
  <c r="W479"/>
  <c r="W340"/>
  <c r="W295"/>
  <c r="V251"/>
  <c r="T473"/>
  <c r="T447"/>
  <c r="T64" s="1"/>
  <c r="T250"/>
  <c r="S476"/>
  <c r="S403"/>
  <c r="R470"/>
  <c r="S470"/>
  <c r="X470"/>
  <c r="T432"/>
  <c r="T61" s="1"/>
  <c r="V432"/>
  <c r="V61" s="1"/>
  <c r="AG432"/>
  <c r="AG61" s="1"/>
  <c r="W354"/>
  <c r="AB354"/>
  <c r="AD354"/>
  <c r="AA334"/>
  <c r="AB334"/>
  <c r="AA255"/>
  <c r="T210"/>
  <c r="X210"/>
  <c r="R210"/>
  <c r="U145"/>
  <c r="AC145"/>
  <c r="AD145"/>
  <c r="R454" i="120"/>
  <c r="R133"/>
  <c r="R125"/>
  <c r="S456" i="119"/>
  <c r="AE456"/>
  <c r="AG456"/>
  <c r="Y456"/>
  <c r="AA456"/>
  <c r="AH456"/>
  <c r="AI456"/>
  <c r="AJ456"/>
  <c r="Z456"/>
  <c r="AK456"/>
  <c r="V127"/>
  <c r="AC127"/>
  <c r="AJ127"/>
  <c r="AK127"/>
  <c r="S127"/>
  <c r="AG127"/>
  <c r="AD127"/>
  <c r="AE127"/>
  <c r="AF127"/>
  <c r="R127"/>
  <c r="AA127"/>
  <c r="Z127"/>
  <c r="Y127"/>
  <c r="AH127"/>
  <c r="R453" i="120"/>
  <c r="R280"/>
  <c r="R272"/>
  <c r="R229"/>
  <c r="R399" i="117"/>
  <c r="S399"/>
  <c r="R378"/>
  <c r="S378"/>
  <c r="R335"/>
  <c r="S335"/>
  <c r="R306"/>
  <c r="R55" s="1"/>
  <c r="S306"/>
  <c r="S55" s="1"/>
  <c r="T306"/>
  <c r="T55" s="1"/>
  <c r="R138"/>
  <c r="R47" s="1"/>
  <c r="S138"/>
  <c r="S47" s="1"/>
  <c r="T138"/>
  <c r="T47" s="1"/>
  <c r="R123"/>
  <c r="S123"/>
  <c r="R315" i="28"/>
  <c r="R252"/>
  <c r="R228"/>
  <c r="R470" i="120"/>
  <c r="R442"/>
  <c r="R63" s="1"/>
  <c r="S390"/>
  <c r="S59" s="1"/>
  <c r="R369"/>
  <c r="R58" s="1"/>
  <c r="S369"/>
  <c r="S58" s="1"/>
  <c r="R343"/>
  <c r="R315"/>
  <c r="R277"/>
  <c r="R193" i="119"/>
  <c r="V193"/>
  <c r="S193"/>
  <c r="Y193"/>
  <c r="AJ193"/>
  <c r="AC193"/>
  <c r="W193"/>
  <c r="AG193"/>
  <c r="AK193"/>
  <c r="X193"/>
  <c r="AI193"/>
  <c r="AF193"/>
  <c r="Z193"/>
  <c r="AH193"/>
  <c r="AB193"/>
  <c r="X369" i="118"/>
  <c r="X58" s="1"/>
  <c r="U369"/>
  <c r="U58" s="1"/>
  <c r="W369"/>
  <c r="W58" s="1"/>
  <c r="AC369"/>
  <c r="AC58" s="1"/>
  <c r="S369"/>
  <c r="S58" s="1"/>
  <c r="V369"/>
  <c r="V58" s="1"/>
  <c r="Z369"/>
  <c r="Z58" s="1"/>
  <c r="AA369"/>
  <c r="AA58" s="1"/>
  <c r="AD369"/>
  <c r="AD58" s="1"/>
  <c r="T369"/>
  <c r="T58" s="1"/>
  <c r="Y369"/>
  <c r="Y58" s="1"/>
  <c r="R369"/>
  <c r="R58" s="1"/>
  <c r="R476" i="120"/>
  <c r="R411"/>
  <c r="R60" s="1"/>
  <c r="R314"/>
  <c r="R243"/>
  <c r="R52" s="1"/>
  <c r="R217"/>
  <c r="R151"/>
  <c r="U357" i="119"/>
  <c r="X357"/>
  <c r="AC357"/>
  <c r="V357"/>
  <c r="Z357"/>
  <c r="AE357"/>
  <c r="AF357"/>
  <c r="S357"/>
  <c r="AA357"/>
  <c r="R357"/>
  <c r="W357"/>
  <c r="AJ357"/>
  <c r="AB357"/>
  <c r="AH357"/>
  <c r="R210"/>
  <c r="W210"/>
  <c r="AH210"/>
  <c r="AK210"/>
  <c r="X210"/>
  <c r="AG210"/>
  <c r="T210"/>
  <c r="U210"/>
  <c r="Y210"/>
  <c r="AA210"/>
  <c r="AB210"/>
  <c r="AD210"/>
  <c r="S210"/>
  <c r="Z210"/>
  <c r="AE210"/>
  <c r="AB186"/>
  <c r="X186"/>
  <c r="AA186"/>
  <c r="AD186"/>
  <c r="Y186"/>
  <c r="AC186"/>
  <c r="V186"/>
  <c r="AG186"/>
  <c r="U186"/>
  <c r="S186"/>
  <c r="S406" i="118"/>
  <c r="W406"/>
  <c r="T406"/>
  <c r="U406"/>
  <c r="R406"/>
  <c r="Y406"/>
  <c r="AC406"/>
  <c r="V406"/>
  <c r="AB406"/>
  <c r="AA406"/>
  <c r="X406"/>
  <c r="AF442" i="28"/>
  <c r="AF63" s="1"/>
  <c r="AF315"/>
  <c r="AE421"/>
  <c r="AE402"/>
  <c r="AD406"/>
  <c r="AD297"/>
  <c r="AC364"/>
  <c r="AB252"/>
  <c r="AA385"/>
  <c r="Y385"/>
  <c r="Y315"/>
  <c r="X385"/>
  <c r="W378"/>
  <c r="V252"/>
  <c r="S256"/>
  <c r="N336"/>
  <c r="V336" s="1"/>
  <c r="S442" i="120"/>
  <c r="S63" s="1"/>
  <c r="N336"/>
  <c r="R319"/>
  <c r="R259"/>
  <c r="N126"/>
  <c r="T357" i="119"/>
  <c r="R492"/>
  <c r="AE492"/>
  <c r="AG492"/>
  <c r="AK492"/>
  <c r="U492"/>
  <c r="AF492"/>
  <c r="W492"/>
  <c r="AC492"/>
  <c r="R379"/>
  <c r="X379"/>
  <c r="Y379"/>
  <c r="Z379"/>
  <c r="AC379"/>
  <c r="AD379"/>
  <c r="AK379"/>
  <c r="AA379"/>
  <c r="V379"/>
  <c r="AJ379"/>
  <c r="AE379"/>
  <c r="AF379"/>
  <c r="AH379"/>
  <c r="R249"/>
  <c r="S249"/>
  <c r="T249"/>
  <c r="AB249"/>
  <c r="AF249"/>
  <c r="U249"/>
  <c r="AA249"/>
  <c r="AG249"/>
  <c r="AI249"/>
  <c r="AC249"/>
  <c r="AH249"/>
  <c r="AJ249"/>
  <c r="AE249"/>
  <c r="W249"/>
  <c r="Y249"/>
  <c r="X249"/>
  <c r="T192"/>
  <c r="X192"/>
  <c r="S192"/>
  <c r="AB192"/>
  <c r="AE192"/>
  <c r="AH192"/>
  <c r="AJ192"/>
  <c r="AI192"/>
  <c r="W192"/>
  <c r="Y192"/>
  <c r="Z192"/>
  <c r="AA192"/>
  <c r="AA417"/>
  <c r="S417"/>
  <c r="S339"/>
  <c r="T339"/>
  <c r="W339"/>
  <c r="AA339"/>
  <c r="AG339"/>
  <c r="Y339"/>
  <c r="AH339"/>
  <c r="AI339"/>
  <c r="U339"/>
  <c r="Z339"/>
  <c r="AD339"/>
  <c r="R264"/>
  <c r="R53" s="1"/>
  <c r="AE264"/>
  <c r="AE53" s="1"/>
  <c r="AC264"/>
  <c r="AC53" s="1"/>
  <c r="AQ264"/>
  <c r="AQ53" s="1"/>
  <c r="AT264"/>
  <c r="AT53" s="1"/>
  <c r="Y264"/>
  <c r="Y53" s="1"/>
  <c r="AJ264"/>
  <c r="AJ53" s="1"/>
  <c r="AN264"/>
  <c r="AN53" s="1"/>
  <c r="W264"/>
  <c r="W53" s="1"/>
  <c r="AF264"/>
  <c r="AF53" s="1"/>
  <c r="AL264"/>
  <c r="AL53" s="1"/>
  <c r="AO264"/>
  <c r="AO53" s="1"/>
  <c r="AR264"/>
  <c r="AR53" s="1"/>
  <c r="AU264"/>
  <c r="AU53" s="1"/>
  <c r="T264"/>
  <c r="T53" s="1"/>
  <c r="U264"/>
  <c r="U53" s="1"/>
  <c r="V264"/>
  <c r="V53" s="1"/>
  <c r="R208"/>
  <c r="S208"/>
  <c r="AB208"/>
  <c r="Z208"/>
  <c r="AD208"/>
  <c r="AI208"/>
  <c r="T208"/>
  <c r="U208"/>
  <c r="V208"/>
  <c r="Y208"/>
  <c r="AA208"/>
  <c r="AC208"/>
  <c r="T103"/>
  <c r="V103"/>
  <c r="AD103"/>
  <c r="AF103"/>
  <c r="Z382" i="118"/>
  <c r="W382"/>
  <c r="T382"/>
  <c r="X382"/>
  <c r="AA382"/>
  <c r="AB382"/>
  <c r="AC382"/>
  <c r="U382"/>
  <c r="Y382"/>
  <c r="S348"/>
  <c r="S57" s="1"/>
  <c r="W348"/>
  <c r="W57" s="1"/>
  <c r="V348"/>
  <c r="V57" s="1"/>
  <c r="AA348"/>
  <c r="AA57" s="1"/>
  <c r="Z348"/>
  <c r="Z57" s="1"/>
  <c r="U348"/>
  <c r="U57" s="1"/>
  <c r="Y348"/>
  <c r="Y57" s="1"/>
  <c r="X272"/>
  <c r="AB272"/>
  <c r="R231"/>
  <c r="U231"/>
  <c r="V231"/>
  <c r="X231"/>
  <c r="AA231"/>
  <c r="AC231"/>
  <c r="S231"/>
  <c r="Y231"/>
  <c r="Z231"/>
  <c r="T231"/>
  <c r="AB231"/>
  <c r="X209"/>
  <c r="U209"/>
  <c r="AA209"/>
  <c r="AB209"/>
  <c r="Z209"/>
  <c r="X168"/>
  <c r="Z168"/>
  <c r="Y168"/>
  <c r="AC168"/>
  <c r="W168"/>
  <c r="T168"/>
  <c r="AA168"/>
  <c r="S168"/>
  <c r="U168"/>
  <c r="R264" i="120"/>
  <c r="R53" s="1"/>
  <c r="R172"/>
  <c r="R130"/>
  <c r="AS264" i="119"/>
  <c r="AS53" s="1"/>
  <c r="AJ339"/>
  <c r="AG264"/>
  <c r="AG53" s="1"/>
  <c r="AE208"/>
  <c r="S298"/>
  <c r="U298"/>
  <c r="X298"/>
  <c r="AB298"/>
  <c r="AD298"/>
  <c r="Z298"/>
  <c r="AA298"/>
  <c r="AI298"/>
  <c r="R292"/>
  <c r="S292"/>
  <c r="U292"/>
  <c r="AA292"/>
  <c r="AC292"/>
  <c r="AE292"/>
  <c r="AG292"/>
  <c r="AJ292"/>
  <c r="T292"/>
  <c r="V292"/>
  <c r="AB292"/>
  <c r="R274"/>
  <c r="V274"/>
  <c r="AH274"/>
  <c r="U274"/>
  <c r="X274"/>
  <c r="Z274"/>
  <c r="AD274"/>
  <c r="AF274"/>
  <c r="AK274"/>
  <c r="AC274"/>
  <c r="AJ274"/>
  <c r="Z259"/>
  <c r="Y259"/>
  <c r="AJ259"/>
  <c r="AB259"/>
  <c r="AH259"/>
  <c r="T259"/>
  <c r="U259"/>
  <c r="V259"/>
  <c r="S259"/>
  <c r="X259"/>
  <c r="AD259"/>
  <c r="R479" i="120"/>
  <c r="R377"/>
  <c r="AI264" i="119"/>
  <c r="AI53" s="1"/>
  <c r="AE339"/>
  <c r="AD264"/>
  <c r="AD53" s="1"/>
  <c r="AB264"/>
  <c r="AB53" s="1"/>
  <c r="T397"/>
  <c r="AB397"/>
  <c r="AE397"/>
  <c r="X397"/>
  <c r="V397"/>
  <c r="AD397"/>
  <c r="AJ397"/>
  <c r="R358"/>
  <c r="Y358"/>
  <c r="Z358"/>
  <c r="AD358"/>
  <c r="AC358"/>
  <c r="V358"/>
  <c r="AE358"/>
  <c r="AF358"/>
  <c r="U313"/>
  <c r="AB313"/>
  <c r="AC313"/>
  <c r="AE313"/>
  <c r="AG313"/>
  <c r="S313"/>
  <c r="AH313"/>
  <c r="Y313"/>
  <c r="Z313"/>
  <c r="AD313"/>
  <c r="X313"/>
  <c r="U146"/>
  <c r="AK146"/>
  <c r="Z146"/>
  <c r="W117"/>
  <c r="W46" s="1"/>
  <c r="AH117"/>
  <c r="AH46" s="1"/>
  <c r="U117"/>
  <c r="U46" s="1"/>
  <c r="AE117"/>
  <c r="AE46" s="1"/>
  <c r="AM117"/>
  <c r="AM46" s="1"/>
  <c r="S117"/>
  <c r="S46" s="1"/>
  <c r="AD117"/>
  <c r="AD46" s="1"/>
  <c r="AF117"/>
  <c r="AF46" s="1"/>
  <c r="AG117"/>
  <c r="AG46" s="1"/>
  <c r="X117"/>
  <c r="X46" s="1"/>
  <c r="Y117"/>
  <c r="Y46" s="1"/>
  <c r="Z117"/>
  <c r="Z46" s="1"/>
  <c r="AI117"/>
  <c r="AI46" s="1"/>
  <c r="AL117"/>
  <c r="N294" i="120"/>
  <c r="N254"/>
  <c r="AC339" i="119"/>
  <c r="AG420"/>
  <c r="AK420"/>
  <c r="V420"/>
  <c r="Z420"/>
  <c r="AD420"/>
  <c r="AF420"/>
  <c r="AE396"/>
  <c r="AF396"/>
  <c r="R364"/>
  <c r="U364"/>
  <c r="V364"/>
  <c r="AH364"/>
  <c r="S364"/>
  <c r="AA364"/>
  <c r="AJ364"/>
  <c r="Y364"/>
  <c r="AC364"/>
  <c r="AG364"/>
  <c r="AK364"/>
  <c r="Z364"/>
  <c r="AD364"/>
  <c r="AF364"/>
  <c r="AI364"/>
  <c r="X343"/>
  <c r="AB343"/>
  <c r="AA343"/>
  <c r="AJ343"/>
  <c r="AK343"/>
  <c r="AG343"/>
  <c r="AH343"/>
  <c r="V343"/>
  <c r="Y343"/>
  <c r="AE343"/>
  <c r="AF343"/>
  <c r="AI343"/>
  <c r="W318"/>
  <c r="AG318"/>
  <c r="Y318"/>
  <c r="AC318"/>
  <c r="AE318"/>
  <c r="AH318"/>
  <c r="AI318"/>
  <c r="S318"/>
  <c r="S171"/>
  <c r="X171"/>
  <c r="AE171"/>
  <c r="W171"/>
  <c r="AG171"/>
  <c r="AI171"/>
  <c r="AA171"/>
  <c r="AD171"/>
  <c r="R145"/>
  <c r="W145"/>
  <c r="AE145"/>
  <c r="AA145"/>
  <c r="T112"/>
  <c r="AB112"/>
  <c r="T130" i="118"/>
  <c r="S130"/>
  <c r="V130"/>
  <c r="X130"/>
  <c r="U130"/>
  <c r="Z130"/>
  <c r="AC130"/>
  <c r="R130"/>
  <c r="Y130"/>
  <c r="AB130"/>
  <c r="W130"/>
  <c r="S222" i="120"/>
  <c r="S51" s="1"/>
  <c r="AI301" i="119"/>
  <c r="AI213"/>
  <c r="AH123"/>
  <c r="AG333"/>
  <c r="AE457"/>
  <c r="AD213"/>
  <c r="AC385"/>
  <c r="AA469"/>
  <c r="AA447"/>
  <c r="AA64" s="1"/>
  <c r="AA333"/>
  <c r="AA301"/>
  <c r="Z457"/>
  <c r="Z234"/>
  <c r="Z213"/>
  <c r="X280"/>
  <c r="V398"/>
  <c r="R472"/>
  <c r="V472"/>
  <c r="AE472"/>
  <c r="V419"/>
  <c r="Y419"/>
  <c r="AF419"/>
  <c r="S402"/>
  <c r="AI402"/>
  <c r="R285"/>
  <c r="R54" s="1"/>
  <c r="T285"/>
  <c r="T54" s="1"/>
  <c r="R273"/>
  <c r="S273"/>
  <c r="W273"/>
  <c r="X273"/>
  <c r="AA138"/>
  <c r="AA47" s="1"/>
  <c r="AF138"/>
  <c r="AF47" s="1"/>
  <c r="AH138"/>
  <c r="AH47" s="1"/>
  <c r="S165"/>
  <c r="R165"/>
  <c r="Z165"/>
  <c r="AA165"/>
  <c r="AB165"/>
  <c r="AB297" i="118"/>
  <c r="U419"/>
  <c r="T469"/>
  <c r="V271"/>
  <c r="S271"/>
  <c r="AA271"/>
  <c r="AC271"/>
  <c r="X271"/>
  <c r="R230"/>
  <c r="U230"/>
  <c r="Y230"/>
  <c r="AC230"/>
  <c r="Z230"/>
  <c r="AK234" i="119"/>
  <c r="AG301"/>
  <c r="AG234"/>
  <c r="AG213"/>
  <c r="AD280"/>
  <c r="Z166"/>
  <c r="X213"/>
  <c r="U471"/>
  <c r="AC471"/>
  <c r="AF471"/>
  <c r="R457"/>
  <c r="X457"/>
  <c r="S447"/>
  <c r="S64" s="1"/>
  <c r="Y447"/>
  <c r="Y64" s="1"/>
  <c r="R385"/>
  <c r="V385"/>
  <c r="AB355"/>
  <c r="AE355"/>
  <c r="R333"/>
  <c r="R280"/>
  <c r="R229"/>
  <c r="S229"/>
  <c r="V229"/>
  <c r="AA229"/>
  <c r="AF229"/>
  <c r="AG229"/>
  <c r="R109"/>
  <c r="T109"/>
  <c r="V109"/>
  <c r="S109"/>
  <c r="AD109"/>
  <c r="AF109"/>
  <c r="AG109"/>
  <c r="AB495" i="118"/>
  <c r="T487"/>
  <c r="AB487"/>
  <c r="AC487"/>
  <c r="W487"/>
  <c r="Y487"/>
  <c r="AA487"/>
  <c r="W423"/>
  <c r="U423"/>
  <c r="AB423"/>
  <c r="X423"/>
  <c r="S419"/>
  <c r="V419"/>
  <c r="W419"/>
  <c r="AB419"/>
  <c r="X419"/>
  <c r="AA419"/>
  <c r="T292"/>
  <c r="V292"/>
  <c r="S292"/>
  <c r="X292"/>
  <c r="Z292"/>
  <c r="AA292"/>
  <c r="AB292"/>
  <c r="U292"/>
  <c r="AC292"/>
  <c r="Y292"/>
  <c r="T270"/>
  <c r="W270"/>
  <c r="Z270"/>
  <c r="AC270"/>
  <c r="AA270"/>
  <c r="Y270"/>
  <c r="T207"/>
  <c r="V207"/>
  <c r="W207"/>
  <c r="AB207"/>
  <c r="AA207"/>
  <c r="Z207"/>
  <c r="R301" i="119"/>
  <c r="T301"/>
  <c r="S213"/>
  <c r="Y213"/>
  <c r="AJ213"/>
  <c r="R166"/>
  <c r="S456" i="118"/>
  <c r="W456"/>
  <c r="Z456"/>
  <c r="U456"/>
  <c r="X456"/>
  <c r="AB456"/>
  <c r="X335"/>
  <c r="Z335"/>
  <c r="R335"/>
  <c r="S335"/>
  <c r="W335"/>
  <c r="Y335"/>
  <c r="U335"/>
  <c r="AC335"/>
  <c r="T335"/>
  <c r="U297"/>
  <c r="Z297"/>
  <c r="W297"/>
  <c r="S297"/>
  <c r="AA297"/>
  <c r="X297"/>
  <c r="AC297"/>
  <c r="AJ333" i="119"/>
  <c r="AE280"/>
  <c r="AE213"/>
  <c r="AD333"/>
  <c r="AD301"/>
  <c r="AB333"/>
  <c r="AB301"/>
  <c r="AB280"/>
  <c r="AB213"/>
  <c r="X301"/>
  <c r="W280"/>
  <c r="W234"/>
  <c r="R469"/>
  <c r="Y469"/>
  <c r="AI469"/>
  <c r="U399"/>
  <c r="AC399"/>
  <c r="AH399"/>
  <c r="R376"/>
  <c r="AB376"/>
  <c r="AE376"/>
  <c r="AG376"/>
  <c r="T255"/>
  <c r="AI255"/>
  <c r="AJ255"/>
  <c r="R250"/>
  <c r="AA250"/>
  <c r="S228"/>
  <c r="AE228"/>
  <c r="R196"/>
  <c r="Z196"/>
  <c r="AD196"/>
  <c r="R172"/>
  <c r="T172"/>
  <c r="Y172"/>
  <c r="Z172"/>
  <c r="AJ172"/>
  <c r="R130"/>
  <c r="T130"/>
  <c r="U130"/>
  <c r="S130"/>
  <c r="Z130"/>
  <c r="AJ130"/>
  <c r="V104" i="118"/>
  <c r="Z104"/>
  <c r="Y104"/>
  <c r="AB104"/>
  <c r="R104"/>
  <c r="AA104"/>
  <c r="X104"/>
  <c r="AJ301" i="119"/>
  <c r="AJ280"/>
  <c r="AH280"/>
  <c r="AH213"/>
  <c r="AE234"/>
  <c r="Y280"/>
  <c r="V301"/>
  <c r="U447"/>
  <c r="U64" s="1"/>
  <c r="U333"/>
  <c r="U301"/>
  <c r="T447"/>
  <c r="T64" s="1"/>
  <c r="T333"/>
  <c r="R495"/>
  <c r="X495"/>
  <c r="AB495"/>
  <c r="R463"/>
  <c r="S463"/>
  <c r="Z463"/>
  <c r="R437"/>
  <c r="R62" s="1"/>
  <c r="AA437"/>
  <c r="AA62" s="1"/>
  <c r="R406"/>
  <c r="U406"/>
  <c r="AD406"/>
  <c r="R348"/>
  <c r="R57" s="1"/>
  <c r="T348"/>
  <c r="T57" s="1"/>
  <c r="S348"/>
  <c r="S57" s="1"/>
  <c r="Y337"/>
  <c r="T187"/>
  <c r="AF187"/>
  <c r="S159"/>
  <c r="S48" s="1"/>
  <c r="AB159"/>
  <c r="AB48" s="1"/>
  <c r="AD159"/>
  <c r="AD48" s="1"/>
  <c r="T102"/>
  <c r="V102"/>
  <c r="X102"/>
  <c r="AE102"/>
  <c r="AC456" i="118"/>
  <c r="Z487"/>
  <c r="X495"/>
  <c r="S339"/>
  <c r="W339"/>
  <c r="U339"/>
  <c r="Y339"/>
  <c r="AB339"/>
  <c r="AA339"/>
  <c r="Y108"/>
  <c r="T108"/>
  <c r="X108"/>
  <c r="U108"/>
  <c r="AB108"/>
  <c r="AC108"/>
  <c r="AH455" i="119"/>
  <c r="AB476"/>
  <c r="AB453"/>
  <c r="Z306"/>
  <c r="Z55" s="1"/>
  <c r="X316"/>
  <c r="X252"/>
  <c r="W252"/>
  <c r="W169"/>
  <c r="V453"/>
  <c r="V209"/>
  <c r="V147"/>
  <c r="U460"/>
  <c r="U256"/>
  <c r="T432"/>
  <c r="T61" s="1"/>
  <c r="S322"/>
  <c r="S276"/>
  <c r="S147"/>
  <c r="R479"/>
  <c r="N126"/>
  <c r="R126" s="1"/>
  <c r="AD390" i="118"/>
  <c r="AD59" s="1"/>
  <c r="AC196"/>
  <c r="AB427"/>
  <c r="Z234"/>
  <c r="W315"/>
  <c r="V427"/>
  <c r="V291"/>
  <c r="U379"/>
  <c r="S306"/>
  <c r="S55" s="1"/>
  <c r="S492"/>
  <c r="V492"/>
  <c r="R492"/>
  <c r="X492"/>
  <c r="T492"/>
  <c r="R455"/>
  <c r="T455"/>
  <c r="W455"/>
  <c r="U455"/>
  <c r="S455"/>
  <c r="V437"/>
  <c r="V62" s="1"/>
  <c r="Y437"/>
  <c r="Y62" s="1"/>
  <c r="W437"/>
  <c r="W62" s="1"/>
  <c r="U437"/>
  <c r="U62" s="1"/>
  <c r="Y418"/>
  <c r="S418"/>
  <c r="W418"/>
  <c r="R396"/>
  <c r="T396"/>
  <c r="Y396"/>
  <c r="W396"/>
  <c r="R327"/>
  <c r="R56" s="1"/>
  <c r="X327"/>
  <c r="X56" s="1"/>
  <c r="S327"/>
  <c r="S56" s="1"/>
  <c r="T327"/>
  <c r="T56" s="1"/>
  <c r="W327"/>
  <c r="W56" s="1"/>
  <c r="AA327"/>
  <c r="AA56" s="1"/>
  <c r="T251"/>
  <c r="R251"/>
  <c r="S251"/>
  <c r="AA251"/>
  <c r="R167"/>
  <c r="Y167"/>
  <c r="T112"/>
  <c r="R112"/>
  <c r="U112"/>
  <c r="W112"/>
  <c r="AB112"/>
  <c r="R454" i="117"/>
  <c r="S454"/>
  <c r="AC427" i="118"/>
  <c r="AC315"/>
  <c r="X315"/>
  <c r="R479"/>
  <c r="T479"/>
  <c r="V479"/>
  <c r="S479"/>
  <c r="X479"/>
  <c r="Y479"/>
  <c r="Z479"/>
  <c r="Y379"/>
  <c r="X379"/>
  <c r="V306"/>
  <c r="V55" s="1"/>
  <c r="Y306"/>
  <c r="Y55" s="1"/>
  <c r="W306"/>
  <c r="W55" s="1"/>
  <c r="AA306"/>
  <c r="AA55" s="1"/>
  <c r="S291"/>
  <c r="T291"/>
  <c r="U291"/>
  <c r="Z291"/>
  <c r="AA291"/>
  <c r="S276"/>
  <c r="U276"/>
  <c r="Z276"/>
  <c r="W276"/>
  <c r="W234"/>
  <c r="T234"/>
  <c r="Y234"/>
  <c r="T228"/>
  <c r="V228"/>
  <c r="X228"/>
  <c r="Z228"/>
  <c r="R228"/>
  <c r="W228"/>
  <c r="R138"/>
  <c r="R47" s="1"/>
  <c r="T138"/>
  <c r="T47" s="1"/>
  <c r="Y138"/>
  <c r="Y47" s="1"/>
  <c r="AB138"/>
  <c r="AB47" s="1"/>
  <c r="R473" i="117"/>
  <c r="U390" i="118"/>
  <c r="U59" s="1"/>
  <c r="X390"/>
  <c r="X59" s="1"/>
  <c r="V390"/>
  <c r="V59" s="1"/>
  <c r="S390"/>
  <c r="S59" s="1"/>
  <c r="AC390"/>
  <c r="AC59" s="1"/>
  <c r="S315"/>
  <c r="V315"/>
  <c r="T315"/>
  <c r="U315"/>
  <c r="Y315"/>
  <c r="T249"/>
  <c r="W249"/>
  <c r="R196"/>
  <c r="S196"/>
  <c r="U196"/>
  <c r="V196"/>
  <c r="Y196"/>
  <c r="AB196"/>
  <c r="AA390"/>
  <c r="AA59" s="1"/>
  <c r="AA315"/>
  <c r="Y427"/>
  <c r="T306"/>
  <c r="T55" s="1"/>
  <c r="T196"/>
  <c r="R476"/>
  <c r="S476"/>
  <c r="X476"/>
  <c r="U476"/>
  <c r="S453"/>
  <c r="R453"/>
  <c r="V453"/>
  <c r="Y453"/>
  <c r="T453"/>
  <c r="X453"/>
  <c r="R377"/>
  <c r="U377"/>
  <c r="S377"/>
  <c r="T377"/>
  <c r="V377"/>
  <c r="Z377"/>
  <c r="R274"/>
  <c r="Y274"/>
  <c r="S274"/>
  <c r="U274"/>
  <c r="X274"/>
  <c r="T232"/>
  <c r="X232"/>
  <c r="Z232"/>
  <c r="X188"/>
  <c r="U188"/>
  <c r="V188"/>
  <c r="AB188"/>
  <c r="AB315"/>
  <c r="Z315"/>
  <c r="Z249"/>
  <c r="X400"/>
  <c r="AA400"/>
  <c r="AB400"/>
  <c r="S319"/>
  <c r="T319"/>
  <c r="W319"/>
  <c r="V319"/>
  <c r="AC319"/>
  <c r="Y243"/>
  <c r="Y52" s="1"/>
  <c r="V243"/>
  <c r="V52" s="1"/>
  <c r="R243"/>
  <c r="R52" s="1"/>
  <c r="T243"/>
  <c r="T52" s="1"/>
  <c r="W243"/>
  <c r="W52" s="1"/>
  <c r="U243"/>
  <c r="U52" s="1"/>
  <c r="S210"/>
  <c r="T210"/>
  <c r="R187"/>
  <c r="Z187"/>
  <c r="S187"/>
  <c r="V187"/>
  <c r="T187"/>
  <c r="T171"/>
  <c r="U171"/>
  <c r="W171"/>
  <c r="Y171"/>
  <c r="AA171"/>
  <c r="AC171"/>
  <c r="R147"/>
  <c r="V147"/>
  <c r="T147"/>
  <c r="U147"/>
  <c r="AC491"/>
  <c r="AC432"/>
  <c r="AC61" s="1"/>
  <c r="AB457"/>
  <c r="AB432"/>
  <c r="AB61" s="1"/>
  <c r="AA491"/>
  <c r="AA447"/>
  <c r="AA64" s="1"/>
  <c r="AA376"/>
  <c r="Z463"/>
  <c r="Z421"/>
  <c r="Z357"/>
  <c r="Y463"/>
  <c r="Y402"/>
  <c r="Y360"/>
  <c r="V488"/>
  <c r="U378"/>
  <c r="S252"/>
  <c r="R488"/>
  <c r="R313"/>
  <c r="N253"/>
  <c r="AA253" s="1"/>
  <c r="R193"/>
  <c r="R479" i="117"/>
  <c r="S479"/>
  <c r="S460"/>
  <c r="R403"/>
  <c r="S403"/>
  <c r="R327"/>
  <c r="R56" s="1"/>
  <c r="S327"/>
  <c r="S56" s="1"/>
  <c r="T327"/>
  <c r="T56" s="1"/>
  <c r="R277"/>
  <c r="R222"/>
  <c r="R51" s="1"/>
  <c r="R172"/>
  <c r="S172"/>
  <c r="S447"/>
  <c r="S64" s="1"/>
  <c r="R417"/>
  <c r="S417"/>
  <c r="R358"/>
  <c r="T491" i="118"/>
  <c r="N294"/>
  <c r="R238"/>
  <c r="S238"/>
  <c r="R291" i="117"/>
  <c r="S291"/>
  <c r="S208"/>
  <c r="N336" i="118"/>
  <c r="U336" s="1"/>
  <c r="R175"/>
  <c r="U175"/>
  <c r="S144"/>
  <c r="R144"/>
  <c r="T144"/>
  <c r="S230" i="117"/>
  <c r="R420"/>
  <c r="S420"/>
  <c r="R376"/>
  <c r="S376"/>
  <c r="R361"/>
  <c r="S361"/>
  <c r="R316"/>
  <c r="X463" i="116"/>
  <c r="W463"/>
  <c r="Z463"/>
  <c r="V463"/>
  <c r="AH463"/>
  <c r="AB463"/>
  <c r="AG463"/>
  <c r="AD463"/>
  <c r="AE463"/>
  <c r="R463"/>
  <c r="Y463"/>
  <c r="AC463"/>
  <c r="AF463"/>
  <c r="T463"/>
  <c r="AA463"/>
  <c r="S360"/>
  <c r="X360"/>
  <c r="AA360"/>
  <c r="AD360"/>
  <c r="W360"/>
  <c r="U360"/>
  <c r="T360"/>
  <c r="Y360"/>
  <c r="AH360"/>
  <c r="AC360"/>
  <c r="AB360"/>
  <c r="AE360"/>
  <c r="AG360"/>
  <c r="S213"/>
  <c r="U213"/>
  <c r="X213"/>
  <c r="AA213"/>
  <c r="AB213"/>
  <c r="AD213"/>
  <c r="AE213"/>
  <c r="Z213"/>
  <c r="Y213"/>
  <c r="AC213"/>
  <c r="AD168"/>
  <c r="AH168"/>
  <c r="AE168"/>
  <c r="AG168"/>
  <c r="U96"/>
  <c r="U45" s="1"/>
  <c r="R96"/>
  <c r="R45" s="1"/>
  <c r="W96"/>
  <c r="W45" s="1"/>
  <c r="V96"/>
  <c r="V45" s="1"/>
  <c r="AC96"/>
  <c r="AD96"/>
  <c r="S96"/>
  <c r="S45" s="1"/>
  <c r="X96"/>
  <c r="X45" s="1"/>
  <c r="T96"/>
  <c r="T45" s="1"/>
  <c r="AE96"/>
  <c r="AE45" s="1"/>
  <c r="AF96"/>
  <c r="AF45" s="1"/>
  <c r="Y96"/>
  <c r="Y45" s="1"/>
  <c r="AH96"/>
  <c r="Z96"/>
  <c r="Z45" s="1"/>
  <c r="AB96"/>
  <c r="AB45" s="1"/>
  <c r="AI96"/>
  <c r="AI45" s="1"/>
  <c r="AA96"/>
  <c r="AA45" s="1"/>
  <c r="AG96"/>
  <c r="N126" i="118"/>
  <c r="T126" s="1"/>
  <c r="R488" i="117"/>
  <c r="S488"/>
  <c r="R470"/>
  <c r="S470"/>
  <c r="R457"/>
  <c r="R348"/>
  <c r="R57" s="1"/>
  <c r="R271"/>
  <c r="R133"/>
  <c r="S133"/>
  <c r="V454" i="116"/>
  <c r="X454"/>
  <c r="U454"/>
  <c r="Z454"/>
  <c r="R454"/>
  <c r="S454"/>
  <c r="AC454"/>
  <c r="AH454"/>
  <c r="AB454"/>
  <c r="AG454"/>
  <c r="T454"/>
  <c r="AD454"/>
  <c r="AE454"/>
  <c r="Y454"/>
  <c r="AF454"/>
  <c r="AA454"/>
  <c r="AG432"/>
  <c r="AG61" s="1"/>
  <c r="AH432"/>
  <c r="AH61" s="1"/>
  <c r="AD432"/>
  <c r="AD61" s="1"/>
  <c r="Y398"/>
  <c r="AB398"/>
  <c r="W398"/>
  <c r="Z398"/>
  <c r="AA398"/>
  <c r="AH398"/>
  <c r="AF398"/>
  <c r="AG398"/>
  <c r="AD398"/>
  <c r="R455" i="117"/>
  <c r="S343"/>
  <c r="S276"/>
  <c r="R232"/>
  <c r="R187"/>
  <c r="S187"/>
  <c r="R103"/>
  <c r="S103"/>
  <c r="AE398" i="116"/>
  <c r="T213"/>
  <c r="S348" i="117"/>
  <c r="S57" s="1"/>
  <c r="S315"/>
  <c r="R463"/>
  <c r="T437"/>
  <c r="T62" s="1"/>
  <c r="S385"/>
  <c r="R193"/>
  <c r="S159"/>
  <c r="S48" s="1"/>
  <c r="R117"/>
  <c r="R46" s="1"/>
  <c r="T117"/>
  <c r="T46" s="1"/>
  <c r="X398" i="116"/>
  <c r="S312" i="117"/>
  <c r="R421"/>
  <c r="S421"/>
  <c r="R382"/>
  <c r="R154"/>
  <c r="R104"/>
  <c r="V492" i="116"/>
  <c r="U492"/>
  <c r="T492"/>
  <c r="Z492"/>
  <c r="AA492"/>
  <c r="AF492"/>
  <c r="S492"/>
  <c r="W492"/>
  <c r="AH492"/>
  <c r="Y492"/>
  <c r="AD492"/>
  <c r="R492"/>
  <c r="AB492"/>
  <c r="AC492"/>
  <c r="R486"/>
  <c r="AB486"/>
  <c r="AC486"/>
  <c r="X486"/>
  <c r="AE486"/>
  <c r="V486"/>
  <c r="Y486"/>
  <c r="S486"/>
  <c r="AF486"/>
  <c r="S375"/>
  <c r="X375"/>
  <c r="AA375"/>
  <c r="W375"/>
  <c r="AF375"/>
  <c r="AE375"/>
  <c r="AD375"/>
  <c r="Z375"/>
  <c r="AB375"/>
  <c r="AG375"/>
  <c r="Z359"/>
  <c r="U232"/>
  <c r="V232"/>
  <c r="AE232"/>
  <c r="AB232"/>
  <c r="AF232"/>
  <c r="W232"/>
  <c r="AA232"/>
  <c r="AD232"/>
  <c r="Y232"/>
  <c r="R319" i="117"/>
  <c r="S319"/>
  <c r="S280"/>
  <c r="R280"/>
  <c r="S259"/>
  <c r="N253"/>
  <c r="W406" i="116"/>
  <c r="V406"/>
  <c r="X406"/>
  <c r="AC406"/>
  <c r="AF406"/>
  <c r="R406"/>
  <c r="T406"/>
  <c r="Y406"/>
  <c r="AB406"/>
  <c r="AA406"/>
  <c r="AH406"/>
  <c r="S406"/>
  <c r="AG406"/>
  <c r="AE406"/>
  <c r="Z406"/>
  <c r="Z174"/>
  <c r="Y166"/>
  <c r="W166"/>
  <c r="AC166"/>
  <c r="U166"/>
  <c r="AD166"/>
  <c r="AH166"/>
  <c r="Z166"/>
  <c r="U148"/>
  <c r="W148"/>
  <c r="AB148"/>
  <c r="AC148"/>
  <c r="AD148"/>
  <c r="AH148"/>
  <c r="V148"/>
  <c r="X148"/>
  <c r="AF148"/>
  <c r="U144"/>
  <c r="AA144"/>
  <c r="AB144"/>
  <c r="W144"/>
  <c r="V144"/>
  <c r="AH144"/>
  <c r="Y144"/>
  <c r="AC144"/>
  <c r="AD144"/>
  <c r="S360" i="117"/>
  <c r="S196"/>
  <c r="R127"/>
  <c r="R112"/>
  <c r="T486" i="116"/>
  <c r="S469" i="117"/>
  <c r="R354"/>
  <c r="R238"/>
  <c r="S217"/>
  <c r="R167"/>
  <c r="Z486" i="116"/>
  <c r="W486"/>
  <c r="U406"/>
  <c r="N254" i="117"/>
  <c r="Z459" i="116"/>
  <c r="V487"/>
  <c r="Y487"/>
  <c r="U487"/>
  <c r="Z487"/>
  <c r="AA487"/>
  <c r="R476"/>
  <c r="X476"/>
  <c r="S476"/>
  <c r="T476"/>
  <c r="U476"/>
  <c r="Y476"/>
  <c r="AC476"/>
  <c r="S459"/>
  <c r="U459"/>
  <c r="AA459"/>
  <c r="AC459"/>
  <c r="T459"/>
  <c r="W459"/>
  <c r="R427"/>
  <c r="S427"/>
  <c r="W427"/>
  <c r="U427"/>
  <c r="Y427"/>
  <c r="Z427"/>
  <c r="X427"/>
  <c r="AD427"/>
  <c r="AA427"/>
  <c r="V420"/>
  <c r="T420"/>
  <c r="AB420"/>
  <c r="X420"/>
  <c r="AC420"/>
  <c r="U397"/>
  <c r="W397"/>
  <c r="R397"/>
  <c r="AC397"/>
  <c r="AF397"/>
  <c r="Y397"/>
  <c r="AB397"/>
  <c r="Z279"/>
  <c r="AB271"/>
  <c r="AA271"/>
  <c r="R238"/>
  <c r="S238"/>
  <c r="X238"/>
  <c r="W238"/>
  <c r="T238"/>
  <c r="U238"/>
  <c r="V238"/>
  <c r="Z238"/>
  <c r="AB238"/>
  <c r="Y238"/>
  <c r="R231"/>
  <c r="U231"/>
  <c r="W231"/>
  <c r="AA231"/>
  <c r="V231"/>
  <c r="W188"/>
  <c r="U188"/>
  <c r="AB188"/>
  <c r="AG188"/>
  <c r="R172"/>
  <c r="Y172"/>
  <c r="AA172"/>
  <c r="X172"/>
  <c r="T172"/>
  <c r="U172"/>
  <c r="V172"/>
  <c r="X124"/>
  <c r="Y124"/>
  <c r="T124"/>
  <c r="W124"/>
  <c r="AE124"/>
  <c r="AD124"/>
  <c r="AA106"/>
  <c r="R495"/>
  <c r="S495"/>
  <c r="X495"/>
  <c r="AB495"/>
  <c r="AC495"/>
  <c r="U495"/>
  <c r="W495"/>
  <c r="AE495"/>
  <c r="Y495"/>
  <c r="T470"/>
  <c r="AB470"/>
  <c r="V470"/>
  <c r="AD470"/>
  <c r="Y470"/>
  <c r="S402"/>
  <c r="X402"/>
  <c r="U402"/>
  <c r="W402"/>
  <c r="Y402"/>
  <c r="AB402"/>
  <c r="V396"/>
  <c r="X396"/>
  <c r="AA396"/>
  <c r="T335"/>
  <c r="X335"/>
  <c r="AC335"/>
  <c r="W335"/>
  <c r="Z335"/>
  <c r="AE335"/>
  <c r="V335"/>
  <c r="T318"/>
  <c r="S318"/>
  <c r="U318"/>
  <c r="X318"/>
  <c r="Y318"/>
  <c r="W318"/>
  <c r="Z318"/>
  <c r="AB318"/>
  <c r="X277"/>
  <c r="W277"/>
  <c r="AA277"/>
  <c r="AC277"/>
  <c r="S252"/>
  <c r="V252"/>
  <c r="AB252"/>
  <c r="AA252"/>
  <c r="T217"/>
  <c r="X217"/>
  <c r="S217"/>
  <c r="AC217"/>
  <c r="W217"/>
  <c r="AA217"/>
  <c r="AD476"/>
  <c r="AC402"/>
  <c r="AA397"/>
  <c r="Z476"/>
  <c r="Z397"/>
  <c r="Z271"/>
  <c r="U418"/>
  <c r="Z418"/>
  <c r="S418"/>
  <c r="W418"/>
  <c r="AD418"/>
  <c r="AA418"/>
  <c r="V460"/>
  <c r="R460"/>
  <c r="T192"/>
  <c r="Y491"/>
  <c r="J172" i="11"/>
  <c r="R280" i="116"/>
  <c r="V280"/>
  <c r="T280"/>
  <c r="T175"/>
  <c r="R175"/>
  <c r="S129"/>
  <c r="R117"/>
  <c r="R46" s="1"/>
  <c r="T117"/>
  <c r="T46" s="1"/>
  <c r="S117"/>
  <c r="S46" s="1"/>
  <c r="U117"/>
  <c r="U46" s="1"/>
  <c r="R455"/>
  <c r="T455"/>
  <c r="R411"/>
  <c r="R60" s="1"/>
  <c r="U411"/>
  <c r="U60" s="1"/>
  <c r="T193"/>
  <c r="R193"/>
  <c r="T256"/>
  <c r="N336"/>
  <c r="S336" s="1"/>
  <c r="N253"/>
  <c r="R253" s="1"/>
  <c r="W235"/>
  <c r="T471"/>
  <c r="T456"/>
  <c r="S379"/>
  <c r="R385"/>
  <c r="U180" i="121"/>
  <c r="U49" s="1"/>
  <c r="R180"/>
  <c r="R49" s="1"/>
  <c r="T180"/>
  <c r="T49" s="1"/>
  <c r="V180"/>
  <c r="V49" s="1"/>
  <c r="AC180"/>
  <c r="AC49" s="1"/>
  <c r="AD180"/>
  <c r="AD49" s="1"/>
  <c r="AP180"/>
  <c r="AP49" s="1"/>
  <c r="AR180"/>
  <c r="AR49" s="1"/>
  <c r="AS180"/>
  <c r="AS49" s="1"/>
  <c r="X180"/>
  <c r="X49" s="1"/>
  <c r="AH180"/>
  <c r="AH49" s="1"/>
  <c r="AK180"/>
  <c r="AK49" s="1"/>
  <c r="Y180"/>
  <c r="Y49" s="1"/>
  <c r="AG180"/>
  <c r="AG49" s="1"/>
  <c r="AM180"/>
  <c r="AM49" s="1"/>
  <c r="Z180"/>
  <c r="Z49" s="1"/>
  <c r="AB180"/>
  <c r="AB49" s="1"/>
  <c r="AJ180"/>
  <c r="AJ49" s="1"/>
  <c r="T479"/>
  <c r="U479"/>
  <c r="V479"/>
  <c r="Y479"/>
  <c r="AE479"/>
  <c r="AK479"/>
  <c r="R479"/>
  <c r="Z479"/>
  <c r="AF479"/>
  <c r="S479"/>
  <c r="AC479"/>
  <c r="AD479"/>
  <c r="AT264"/>
  <c r="AT53" s="1"/>
  <c r="AS264"/>
  <c r="AS53" s="1"/>
  <c r="AO264"/>
  <c r="AO53" s="1"/>
  <c r="AK403"/>
  <c r="AK421"/>
  <c r="AI125"/>
  <c r="AH403"/>
  <c r="AI180"/>
  <c r="AI49" s="1"/>
  <c r="AG301"/>
  <c r="AH159"/>
  <c r="AH48" s="1"/>
  <c r="AF180"/>
  <c r="AF49" s="1"/>
  <c r="AF264"/>
  <c r="AF53" s="1"/>
  <c r="AB301"/>
  <c r="R106"/>
  <c r="V106"/>
  <c r="X106"/>
  <c r="S106"/>
  <c r="U106"/>
  <c r="AF106"/>
  <c r="AK106"/>
  <c r="Z106"/>
  <c r="AJ106"/>
  <c r="AD106"/>
  <c r="S171"/>
  <c r="W171"/>
  <c r="AB171"/>
  <c r="AJ171"/>
  <c r="T171"/>
  <c r="AE171"/>
  <c r="AH171"/>
  <c r="Z171"/>
  <c r="AI171"/>
  <c r="AA171"/>
  <c r="AD171"/>
  <c r="R123"/>
  <c r="V123"/>
  <c r="X123"/>
  <c r="S123"/>
  <c r="AA123"/>
  <c r="Y123"/>
  <c r="W123"/>
  <c r="AK123"/>
  <c r="AG123"/>
  <c r="AH123"/>
  <c r="T291"/>
  <c r="V291"/>
  <c r="R291"/>
  <c r="U291"/>
  <c r="AC291"/>
  <c r="AI291"/>
  <c r="AH291"/>
  <c r="AK291"/>
  <c r="S291"/>
  <c r="AD291"/>
  <c r="AG291"/>
  <c r="X166"/>
  <c r="S166"/>
  <c r="T166"/>
  <c r="AB166"/>
  <c r="AH166"/>
  <c r="AJ166"/>
  <c r="AA166"/>
  <c r="AF166"/>
  <c r="AD166"/>
  <c r="T175"/>
  <c r="V175"/>
  <c r="W175"/>
  <c r="X175"/>
  <c r="Z175"/>
  <c r="AD175"/>
  <c r="AI175"/>
  <c r="R175"/>
  <c r="AC175"/>
  <c r="AJ175"/>
  <c r="AA175"/>
  <c r="T356" i="116"/>
  <c r="U356"/>
  <c r="W356"/>
  <c r="AA356"/>
  <c r="V356"/>
  <c r="S356"/>
  <c r="AB356"/>
  <c r="AD356"/>
  <c r="AH356"/>
  <c r="Y356"/>
  <c r="AG356"/>
  <c r="AF356"/>
  <c r="Z356"/>
  <c r="AE356"/>
  <c r="AC356"/>
  <c r="X356"/>
  <c r="R356"/>
  <c r="Z300"/>
  <c r="T273"/>
  <c r="S273"/>
  <c r="U273"/>
  <c r="X273"/>
  <c r="R273"/>
  <c r="W273"/>
  <c r="AB273"/>
  <c r="AA273"/>
  <c r="Z273"/>
  <c r="AC273"/>
  <c r="AD273"/>
  <c r="AH273"/>
  <c r="AF273"/>
  <c r="V273"/>
  <c r="AG273"/>
  <c r="Y273"/>
  <c r="AE273"/>
  <c r="Z132"/>
  <c r="AK125" i="121"/>
  <c r="AK314"/>
  <c r="AJ314"/>
  <c r="AJ486"/>
  <c r="AI151"/>
  <c r="AI301"/>
  <c r="AJ159"/>
  <c r="AJ48" s="1"/>
  <c r="AH104"/>
  <c r="AH486"/>
  <c r="AG403"/>
  <c r="AF104"/>
  <c r="AF291"/>
  <c r="AF403"/>
  <c r="AE175"/>
  <c r="AD314"/>
  <c r="AD455"/>
  <c r="AD159"/>
  <c r="AD48" s="1"/>
  <c r="AB104"/>
  <c r="AB190"/>
  <c r="AB159"/>
  <c r="AB48" s="1"/>
  <c r="Z301"/>
  <c r="Y291"/>
  <c r="W106"/>
  <c r="V166"/>
  <c r="W256"/>
  <c r="T256"/>
  <c r="X256"/>
  <c r="U256"/>
  <c r="S256"/>
  <c r="V256"/>
  <c r="AI256"/>
  <c r="R256"/>
  <c r="Z256"/>
  <c r="AK256"/>
  <c r="Y256"/>
  <c r="AB256"/>
  <c r="AE256"/>
  <c r="R231"/>
  <c r="S231"/>
  <c r="X231"/>
  <c r="W231"/>
  <c r="T231"/>
  <c r="AA231"/>
  <c r="AG231"/>
  <c r="U231"/>
  <c r="AC231"/>
  <c r="AE231"/>
  <c r="Z231"/>
  <c r="AB231"/>
  <c r="AJ231"/>
  <c r="S272"/>
  <c r="U272"/>
  <c r="X272"/>
  <c r="R272"/>
  <c r="AF272"/>
  <c r="V272"/>
  <c r="Y272"/>
  <c r="AK272"/>
  <c r="W272"/>
  <c r="AD272"/>
  <c r="AG272"/>
  <c r="AC272"/>
  <c r="AE272"/>
  <c r="AH272"/>
  <c r="S377"/>
  <c r="W377"/>
  <c r="R377"/>
  <c r="AB377"/>
  <c r="AF377"/>
  <c r="X377"/>
  <c r="AI377"/>
  <c r="T377"/>
  <c r="AT201" i="28"/>
  <c r="AN180" i="121"/>
  <c r="AN49" s="1"/>
  <c r="S421"/>
  <c r="X421"/>
  <c r="T421"/>
  <c r="V421"/>
  <c r="W421"/>
  <c r="Z421"/>
  <c r="AF421"/>
  <c r="AG421"/>
  <c r="Y421"/>
  <c r="AB421"/>
  <c r="AD421"/>
  <c r="AJ421"/>
  <c r="R125"/>
  <c r="S125"/>
  <c r="T125"/>
  <c r="V125"/>
  <c r="W125"/>
  <c r="AC125"/>
  <c r="AD125"/>
  <c r="AJ125"/>
  <c r="U125"/>
  <c r="Z125"/>
  <c r="W479"/>
  <c r="T108"/>
  <c r="W108"/>
  <c r="Y108"/>
  <c r="Z108"/>
  <c r="AI108"/>
  <c r="X108"/>
  <c r="AK108"/>
  <c r="AE108"/>
  <c r="AJ108"/>
  <c r="R104"/>
  <c r="W104"/>
  <c r="X104"/>
  <c r="S104"/>
  <c r="T104"/>
  <c r="AE104"/>
  <c r="AJ104"/>
  <c r="AC104"/>
  <c r="AD104"/>
  <c r="Y104"/>
  <c r="AG104"/>
  <c r="AI104"/>
  <c r="W129" i="28"/>
  <c r="X129"/>
  <c r="Y129"/>
  <c r="S129"/>
  <c r="AA129"/>
  <c r="U129"/>
  <c r="AH129"/>
  <c r="AI129"/>
  <c r="AC129"/>
  <c r="AD129"/>
  <c r="AG129"/>
  <c r="AJ129"/>
  <c r="AB129"/>
  <c r="AK129"/>
  <c r="AE129"/>
  <c r="T129"/>
  <c r="AT159" i="121"/>
  <c r="AT48" s="1"/>
  <c r="AQ180"/>
  <c r="AQ49" s="1"/>
  <c r="AO180"/>
  <c r="AO49" s="1"/>
  <c r="AI123"/>
  <c r="AG159"/>
  <c r="AG48" s="1"/>
  <c r="AF159"/>
  <c r="AF48" s="1"/>
  <c r="AE106"/>
  <c r="AE403"/>
  <c r="AC123"/>
  <c r="AC421"/>
  <c r="AA108"/>
  <c r="AA159"/>
  <c r="AA48" s="1"/>
  <c r="Y166"/>
  <c r="Y125"/>
  <c r="W166"/>
  <c r="T403"/>
  <c r="S340"/>
  <c r="V340"/>
  <c r="W340"/>
  <c r="U340"/>
  <c r="X340"/>
  <c r="AD340"/>
  <c r="AI340"/>
  <c r="R340"/>
  <c r="T340"/>
  <c r="Y340"/>
  <c r="T123"/>
  <c r="U169"/>
  <c r="S169"/>
  <c r="V169"/>
  <c r="X169"/>
  <c r="T169"/>
  <c r="Z169"/>
  <c r="AC169"/>
  <c r="AI169"/>
  <c r="AJ169"/>
  <c r="AG169"/>
  <c r="R166"/>
  <c r="V271"/>
  <c r="R271"/>
  <c r="AF271"/>
  <c r="AH271"/>
  <c r="AJ271"/>
  <c r="S271"/>
  <c r="X271"/>
  <c r="Z271"/>
  <c r="T271"/>
  <c r="W271"/>
  <c r="AB271"/>
  <c r="AC271"/>
  <c r="AG271"/>
  <c r="AK271"/>
  <c r="Y271"/>
  <c r="U454"/>
  <c r="V454"/>
  <c r="W454"/>
  <c r="AA454"/>
  <c r="AD454"/>
  <c r="AI454"/>
  <c r="R454"/>
  <c r="Z454"/>
  <c r="AB454"/>
  <c r="AH454"/>
  <c r="AG454"/>
  <c r="AJ454"/>
  <c r="S454"/>
  <c r="AE454"/>
  <c r="T364"/>
  <c r="V364"/>
  <c r="X364"/>
  <c r="W364"/>
  <c r="Y364"/>
  <c r="U364"/>
  <c r="Z364"/>
  <c r="R364"/>
  <c r="AB364"/>
  <c r="AF364"/>
  <c r="AH364"/>
  <c r="AI364"/>
  <c r="AK364"/>
  <c r="U327"/>
  <c r="U56" s="1"/>
  <c r="T327"/>
  <c r="T56" s="1"/>
  <c r="Y327"/>
  <c r="Y56" s="1"/>
  <c r="AC327"/>
  <c r="AC56" s="1"/>
  <c r="V327"/>
  <c r="V56" s="1"/>
  <c r="AS327"/>
  <c r="AS56" s="1"/>
  <c r="AP327"/>
  <c r="AP56" s="1"/>
  <c r="Z327"/>
  <c r="Z56" s="1"/>
  <c r="AI327"/>
  <c r="AI56" s="1"/>
  <c r="AK327"/>
  <c r="AK56" s="1"/>
  <c r="AL327"/>
  <c r="AL56" s="1"/>
  <c r="T102"/>
  <c r="W102"/>
  <c r="V102"/>
  <c r="AD102"/>
  <c r="AF102"/>
  <c r="Z102"/>
  <c r="Y102"/>
  <c r="AA102"/>
  <c r="N401" i="28"/>
  <c r="I108" i="11"/>
  <c r="T314" i="121"/>
  <c r="R314"/>
  <c r="U314"/>
  <c r="AE314"/>
  <c r="AC314"/>
  <c r="AF314"/>
  <c r="AG314"/>
  <c r="Y314"/>
  <c r="V314"/>
  <c r="AH314"/>
  <c r="T264"/>
  <c r="T53" s="1"/>
  <c r="Z264"/>
  <c r="Z53" s="1"/>
  <c r="S264"/>
  <c r="S53" s="1"/>
  <c r="V264"/>
  <c r="V53" s="1"/>
  <c r="Y264"/>
  <c r="Y53" s="1"/>
  <c r="AE264"/>
  <c r="AE53" s="1"/>
  <c r="R264"/>
  <c r="R53" s="1"/>
  <c r="AA264"/>
  <c r="AA53" s="1"/>
  <c r="AD264"/>
  <c r="AD53" s="1"/>
  <c r="X264"/>
  <c r="X53" s="1"/>
  <c r="AI264"/>
  <c r="AI53" s="1"/>
  <c r="AJ264"/>
  <c r="AJ53" s="1"/>
  <c r="AL264"/>
  <c r="AL53" s="1"/>
  <c r="AN264"/>
  <c r="AN53" s="1"/>
  <c r="AC264"/>
  <c r="AC53" s="1"/>
  <c r="S159"/>
  <c r="S48" s="1"/>
  <c r="T159"/>
  <c r="T48" s="1"/>
  <c r="Y159"/>
  <c r="Y48" s="1"/>
  <c r="V159"/>
  <c r="V48" s="1"/>
  <c r="X159"/>
  <c r="X48" s="1"/>
  <c r="Z159"/>
  <c r="Z48" s="1"/>
  <c r="U159"/>
  <c r="U48" s="1"/>
  <c r="W159"/>
  <c r="W48" s="1"/>
  <c r="AQ159"/>
  <c r="AQ48" s="1"/>
  <c r="AM159"/>
  <c r="AM48" s="1"/>
  <c r="AC159"/>
  <c r="AC48" s="1"/>
  <c r="AK159"/>
  <c r="AK48" s="1"/>
  <c r="AN159"/>
  <c r="AN48" s="1"/>
  <c r="AO159"/>
  <c r="AO48" s="1"/>
  <c r="AE159"/>
  <c r="AE48" s="1"/>
  <c r="AI159"/>
  <c r="AI48" s="1"/>
  <c r="S301"/>
  <c r="X301"/>
  <c r="R301"/>
  <c r="W301"/>
  <c r="AC301"/>
  <c r="T301"/>
  <c r="AE301"/>
  <c r="AF301"/>
  <c r="AH301"/>
  <c r="AA301"/>
  <c r="AD301"/>
  <c r="AJ301"/>
  <c r="R486"/>
  <c r="U486"/>
  <c r="X486"/>
  <c r="S486"/>
  <c r="Y486"/>
  <c r="V486"/>
  <c r="AA486"/>
  <c r="AD486"/>
  <c r="T486"/>
  <c r="W486"/>
  <c r="AB486"/>
  <c r="AI486"/>
  <c r="Z486"/>
  <c r="AG486"/>
  <c r="T364" i="118"/>
  <c r="U364"/>
  <c r="Z364"/>
  <c r="AA364"/>
  <c r="AB364"/>
  <c r="R364"/>
  <c r="AC364"/>
  <c r="S364"/>
  <c r="V364"/>
  <c r="Y364"/>
  <c r="X364"/>
  <c r="W364"/>
  <c r="W190" i="121"/>
  <c r="U190"/>
  <c r="V190"/>
  <c r="Y190"/>
  <c r="AA190"/>
  <c r="AC190"/>
  <c r="AH190"/>
  <c r="AJ190"/>
  <c r="R455"/>
  <c r="T455"/>
  <c r="V455"/>
  <c r="S455"/>
  <c r="U455"/>
  <c r="X455"/>
  <c r="Y455"/>
  <c r="AK455"/>
  <c r="AC455"/>
  <c r="AE455"/>
  <c r="W455"/>
  <c r="AA455"/>
  <c r="R364" i="120"/>
  <c r="AG190" i="121"/>
  <c r="AA180"/>
  <c r="AA49" s="1"/>
  <c r="W314"/>
  <c r="S190"/>
  <c r="T124" i="28"/>
  <c r="U124"/>
  <c r="R124"/>
  <c r="V124"/>
  <c r="X124"/>
  <c r="S124"/>
  <c r="AE124"/>
  <c r="AA124"/>
  <c r="AF124"/>
  <c r="AB124"/>
  <c r="AH124"/>
  <c r="Z124"/>
  <c r="AK124"/>
  <c r="AC124"/>
  <c r="AD124"/>
  <c r="AJ124"/>
  <c r="AI124"/>
  <c r="W124"/>
  <c r="AS159" i="121"/>
  <c r="AS48" s="1"/>
  <c r="AP264"/>
  <c r="AP53" s="1"/>
  <c r="AM264"/>
  <c r="AM53" s="1"/>
  <c r="AK104"/>
  <c r="AK175"/>
  <c r="AJ455"/>
  <c r="AI421"/>
  <c r="AH125"/>
  <c r="AG455"/>
  <c r="AH264"/>
  <c r="AH53" s="1"/>
  <c r="AE125"/>
  <c r="AE166"/>
  <c r="AC171"/>
  <c r="AC106"/>
  <c r="AC486"/>
  <c r="AB479"/>
  <c r="AA125"/>
  <c r="AA104"/>
  <c r="AA314"/>
  <c r="AA479"/>
  <c r="Z123"/>
  <c r="Z291"/>
  <c r="Z455"/>
  <c r="Y171"/>
  <c r="X125"/>
  <c r="W360"/>
  <c r="T360"/>
  <c r="X360"/>
  <c r="AB360"/>
  <c r="AK360"/>
  <c r="AE360"/>
  <c r="S360"/>
  <c r="Z360"/>
  <c r="AA360"/>
  <c r="AG360"/>
  <c r="AJ360"/>
  <c r="AC360"/>
  <c r="AD360"/>
  <c r="T106"/>
  <c r="U171"/>
  <c r="U423"/>
  <c r="W423"/>
  <c r="S423"/>
  <c r="AB423"/>
  <c r="AG423"/>
  <c r="T423"/>
  <c r="Y423"/>
  <c r="Z423"/>
  <c r="AI423"/>
  <c r="AJ423"/>
  <c r="T214"/>
  <c r="U214"/>
  <c r="W214"/>
  <c r="V214"/>
  <c r="AC214"/>
  <c r="AF214"/>
  <c r="AH214"/>
  <c r="R214"/>
  <c r="AJ214"/>
  <c r="AA214"/>
  <c r="AB214"/>
  <c r="AG214"/>
  <c r="U166"/>
  <c r="R172"/>
  <c r="T172"/>
  <c r="S172"/>
  <c r="W172"/>
  <c r="U172"/>
  <c r="X172"/>
  <c r="AD172"/>
  <c r="AJ172"/>
  <c r="AK172"/>
  <c r="AB172"/>
  <c r="AG172"/>
  <c r="AI172"/>
  <c r="AA172"/>
  <c r="AE172"/>
  <c r="S457"/>
  <c r="U457"/>
  <c r="V457"/>
  <c r="T457"/>
  <c r="W457"/>
  <c r="AB457"/>
  <c r="AD457"/>
  <c r="AE457"/>
  <c r="AJ457"/>
  <c r="AK457"/>
  <c r="Y457"/>
  <c r="AC457"/>
  <c r="AA457"/>
  <c r="AH457"/>
  <c r="AF457"/>
  <c r="S456"/>
  <c r="R456"/>
  <c r="W456"/>
  <c r="AB456"/>
  <c r="AD456"/>
  <c r="AE456"/>
  <c r="Z456"/>
  <c r="AG456"/>
  <c r="T456"/>
  <c r="V456"/>
  <c r="R252"/>
  <c r="U252"/>
  <c r="X252"/>
  <c r="V252"/>
  <c r="Y252"/>
  <c r="AE252"/>
  <c r="AK252"/>
  <c r="AA252"/>
  <c r="AB252"/>
  <c r="W252"/>
  <c r="Z252"/>
  <c r="AD252"/>
  <c r="N253" i="28"/>
  <c r="I117" i="11"/>
  <c r="AK264" i="121"/>
  <c r="AK53" s="1"/>
  <c r="AI479"/>
  <c r="AB314"/>
  <c r="R403"/>
  <c r="W403"/>
  <c r="X403"/>
  <c r="S403"/>
  <c r="V403"/>
  <c r="U403"/>
  <c r="AA403"/>
  <c r="AD403"/>
  <c r="AC403"/>
  <c r="AI403"/>
  <c r="Z403"/>
  <c r="AU264"/>
  <c r="AU53" s="1"/>
  <c r="AU159"/>
  <c r="AU48" s="1"/>
  <c r="AT180"/>
  <c r="AT49" s="1"/>
  <c r="AL180"/>
  <c r="AL49" s="1"/>
  <c r="AB403"/>
  <c r="AB455"/>
  <c r="Y301"/>
  <c r="X479"/>
  <c r="V151"/>
  <c r="W151"/>
  <c r="R151"/>
  <c r="U151"/>
  <c r="T151"/>
  <c r="AA151"/>
  <c r="AK151"/>
  <c r="S151"/>
  <c r="AF151"/>
  <c r="AH151"/>
  <c r="Y151"/>
  <c r="AB151"/>
  <c r="AJ151"/>
  <c r="U301"/>
  <c r="R201" i="28"/>
  <c r="R50" s="1"/>
  <c r="X201"/>
  <c r="X50" s="1"/>
  <c r="Y201"/>
  <c r="Y50" s="1"/>
  <c r="Z201"/>
  <c r="Z50" s="1"/>
  <c r="T201"/>
  <c r="T50" s="1"/>
  <c r="U201"/>
  <c r="U50" s="1"/>
  <c r="W201"/>
  <c r="W50" s="1"/>
  <c r="AA201"/>
  <c r="AA50" s="1"/>
  <c r="AI201"/>
  <c r="AB201"/>
  <c r="AJ201"/>
  <c r="AK201"/>
  <c r="AK50" s="1"/>
  <c r="AM201"/>
  <c r="AM50" s="1"/>
  <c r="AQ201"/>
  <c r="AQ50" s="1"/>
  <c r="AH201"/>
  <c r="S201"/>
  <c r="S50" s="1"/>
  <c r="AF201"/>
  <c r="AF50" s="1"/>
  <c r="AD201"/>
  <c r="AD50" s="1"/>
  <c r="AG201"/>
  <c r="AG50" s="1"/>
  <c r="AS201"/>
  <c r="AS50" s="1"/>
  <c r="AO201"/>
  <c r="AO50" s="1"/>
  <c r="AL201"/>
  <c r="AP201"/>
  <c r="V201"/>
  <c r="V50" s="1"/>
  <c r="AR264" i="121"/>
  <c r="AR53" s="1"/>
  <c r="AQ264"/>
  <c r="AQ53" s="1"/>
  <c r="AP159"/>
  <c r="AP48" s="1"/>
  <c r="AK171"/>
  <c r="AK190"/>
  <c r="AK301"/>
  <c r="AL159"/>
  <c r="AL48" s="1"/>
  <c r="AH108"/>
  <c r="AI190"/>
  <c r="AI314"/>
  <c r="AG264"/>
  <c r="AG53" s="1"/>
  <c r="AF455"/>
  <c r="AE291"/>
  <c r="AE180"/>
  <c r="AE49" s="1"/>
  <c r="AC108"/>
  <c r="AC166"/>
  <c r="AB264"/>
  <c r="AB53" s="1"/>
  <c r="Z190"/>
  <c r="Z166"/>
  <c r="Z314"/>
  <c r="X151"/>
  <c r="Y106"/>
  <c r="X171"/>
  <c r="X291"/>
  <c r="W264"/>
  <c r="W53" s="1"/>
  <c r="S314"/>
  <c r="T188"/>
  <c r="W188"/>
  <c r="X188"/>
  <c r="AI188"/>
  <c r="AK188"/>
  <c r="S188"/>
  <c r="V188"/>
  <c r="Y188"/>
  <c r="AE188"/>
  <c r="AA188"/>
  <c r="AC188"/>
  <c r="Z188"/>
  <c r="AB188"/>
  <c r="AD188"/>
  <c r="AJ188"/>
  <c r="X103"/>
  <c r="W103"/>
  <c r="R103"/>
  <c r="V103"/>
  <c r="AF103"/>
  <c r="AI103"/>
  <c r="AK103"/>
  <c r="AG103"/>
  <c r="S103"/>
  <c r="T103"/>
  <c r="AE103"/>
  <c r="U103"/>
  <c r="R327"/>
  <c r="R56" s="1"/>
  <c r="S406"/>
  <c r="X406"/>
  <c r="V406"/>
  <c r="R406"/>
  <c r="AI406"/>
  <c r="AC406"/>
  <c r="AA406"/>
  <c r="AG406"/>
  <c r="AH406"/>
  <c r="W406"/>
  <c r="X427"/>
  <c r="R427"/>
  <c r="S427"/>
  <c r="U427"/>
  <c r="AA427"/>
  <c r="T427"/>
  <c r="AC427"/>
  <c r="AE427"/>
  <c r="AJ427"/>
  <c r="AK427"/>
  <c r="Z427"/>
  <c r="AB427"/>
  <c r="AF427"/>
  <c r="V322"/>
  <c r="AB322"/>
  <c r="AI322"/>
  <c r="W322"/>
  <c r="AC322"/>
  <c r="AD322"/>
  <c r="AK322"/>
  <c r="Z322"/>
  <c r="AA322"/>
  <c r="AE322"/>
  <c r="AH322"/>
  <c r="T249"/>
  <c r="W249"/>
  <c r="U249"/>
  <c r="S249"/>
  <c r="X249"/>
  <c r="Z249"/>
  <c r="AH249"/>
  <c r="AJ249"/>
  <c r="AD249"/>
  <c r="AI249"/>
  <c r="R249"/>
  <c r="T270"/>
  <c r="S270"/>
  <c r="X270"/>
  <c r="W270"/>
  <c r="R270"/>
  <c r="AB270"/>
  <c r="AC270"/>
  <c r="AF270"/>
  <c r="U270"/>
  <c r="AH270"/>
  <c r="AI270"/>
  <c r="V270"/>
  <c r="Z270"/>
  <c r="AA270"/>
  <c r="AR201" i="28"/>
  <c r="S318" i="121"/>
  <c r="T318"/>
  <c r="U318"/>
  <c r="W192"/>
  <c r="R298"/>
  <c r="V298"/>
  <c r="W298"/>
  <c r="S298"/>
  <c r="T298"/>
  <c r="U379"/>
  <c r="X379"/>
  <c r="S127"/>
  <c r="T127"/>
  <c r="W127"/>
  <c r="X127"/>
  <c r="S489"/>
  <c r="Y489"/>
  <c r="W396"/>
  <c r="U396"/>
  <c r="R396"/>
  <c r="T250"/>
  <c r="X250"/>
  <c r="V243"/>
  <c r="V52" s="1"/>
  <c r="T243"/>
  <c r="T52" s="1"/>
  <c r="U243"/>
  <c r="U52" s="1"/>
  <c r="T144"/>
  <c r="R144"/>
  <c r="U144"/>
  <c r="W232" i="28"/>
  <c r="Y232"/>
  <c r="T232"/>
  <c r="AH232"/>
  <c r="AA232"/>
  <c r="AI232"/>
  <c r="V232"/>
  <c r="AK232"/>
  <c r="Z232"/>
  <c r="AC232"/>
  <c r="AJ232"/>
  <c r="R232"/>
  <c r="AB232"/>
  <c r="AF232"/>
  <c r="AE232"/>
  <c r="T234" i="121"/>
  <c r="U234"/>
  <c r="X234"/>
  <c r="S193"/>
  <c r="T193"/>
  <c r="V193"/>
  <c r="U193"/>
  <c r="X193"/>
  <c r="W399"/>
  <c r="V399"/>
  <c r="T399"/>
  <c r="U399"/>
  <c r="W398"/>
  <c r="S398"/>
  <c r="T398"/>
  <c r="X398"/>
  <c r="U398"/>
  <c r="Y188" i="28"/>
  <c r="Z188"/>
  <c r="S188"/>
  <c r="U188"/>
  <c r="AB188"/>
  <c r="AJ188"/>
  <c r="W188"/>
  <c r="AC188"/>
  <c r="AK188"/>
  <c r="V188"/>
  <c r="X188"/>
  <c r="AD188"/>
  <c r="AH188"/>
  <c r="AI188"/>
  <c r="AA188"/>
  <c r="AE188"/>
  <c r="R188"/>
  <c r="AG188"/>
  <c r="AF188"/>
  <c r="N165"/>
  <c r="I134" i="11"/>
  <c r="T361" i="121"/>
  <c r="U361"/>
  <c r="X402"/>
  <c r="T402"/>
  <c r="R189"/>
  <c r="U189"/>
  <c r="T189"/>
  <c r="X400"/>
  <c r="R400"/>
  <c r="V400"/>
  <c r="T400"/>
  <c r="W400"/>
  <c r="W339"/>
  <c r="X339"/>
  <c r="S210"/>
  <c r="X210"/>
  <c r="W210"/>
  <c r="U210"/>
  <c r="X355"/>
  <c r="T355"/>
  <c r="S355"/>
  <c r="V397"/>
  <c r="W397"/>
  <c r="S207"/>
  <c r="X207"/>
  <c r="V207"/>
  <c r="R112"/>
  <c r="V112"/>
  <c r="T112"/>
  <c r="R280"/>
  <c r="V280"/>
  <c r="X280"/>
  <c r="T280"/>
  <c r="U280"/>
  <c r="R165"/>
  <c r="W165"/>
  <c r="T165"/>
  <c r="S165"/>
  <c r="V165"/>
  <c r="X495"/>
  <c r="R495"/>
  <c r="W495"/>
  <c r="X172" i="28"/>
  <c r="Y172"/>
  <c r="Z172"/>
  <c r="T172"/>
  <c r="R172"/>
  <c r="AA172"/>
  <c r="AI172"/>
  <c r="AB172"/>
  <c r="AJ172"/>
  <c r="U172"/>
  <c r="AG172"/>
  <c r="S172"/>
  <c r="V172"/>
  <c r="AD172"/>
  <c r="AC172"/>
  <c r="AE172"/>
  <c r="AH172"/>
  <c r="AK172"/>
  <c r="U167"/>
  <c r="V167"/>
  <c r="W167"/>
  <c r="R167"/>
  <c r="Y167"/>
  <c r="AF167"/>
  <c r="AG167"/>
  <c r="Z167"/>
  <c r="AC167"/>
  <c r="T167"/>
  <c r="AA167"/>
  <c r="AJ167"/>
  <c r="S167"/>
  <c r="U144"/>
  <c r="V144"/>
  <c r="W144"/>
  <c r="Y144"/>
  <c r="AF144"/>
  <c r="X144"/>
  <c r="Z144"/>
  <c r="AG144"/>
  <c r="AB144"/>
  <c r="T144"/>
  <c r="AE144"/>
  <c r="AH144"/>
  <c r="AC144"/>
  <c r="AK144"/>
  <c r="S144"/>
  <c r="AD144"/>
  <c r="AI144"/>
  <c r="R144"/>
  <c r="U276" i="121"/>
  <c r="W276"/>
  <c r="R382"/>
  <c r="S382"/>
  <c r="U382"/>
  <c r="W382"/>
  <c r="X382"/>
  <c r="U297"/>
  <c r="T297"/>
  <c r="T148"/>
  <c r="U148"/>
  <c r="W148"/>
  <c r="X148"/>
  <c r="U255"/>
  <c r="T255"/>
  <c r="R315"/>
  <c r="S315"/>
  <c r="V315"/>
  <c r="W315"/>
  <c r="T315"/>
  <c r="S253"/>
  <c r="T253"/>
  <c r="R419"/>
  <c r="S419"/>
  <c r="V419"/>
  <c r="X419"/>
  <c r="T419"/>
  <c r="W419"/>
  <c r="S418"/>
  <c r="U418"/>
  <c r="U348"/>
  <c r="U57" s="1"/>
  <c r="T348"/>
  <c r="T57" s="1"/>
  <c r="V348"/>
  <c r="V57" s="1"/>
  <c r="W348"/>
  <c r="W57" s="1"/>
  <c r="X348"/>
  <c r="X57" s="1"/>
  <c r="Y348"/>
  <c r="Y57" s="1"/>
  <c r="Z348"/>
  <c r="Z57" s="1"/>
  <c r="T453"/>
  <c r="V453"/>
  <c r="X453"/>
  <c r="U453"/>
  <c r="R453"/>
  <c r="R270" i="120"/>
  <c r="R180"/>
  <c r="S180"/>
  <c r="N170"/>
  <c r="N108" i="11"/>
  <c r="W231" i="119"/>
  <c r="AE231"/>
  <c r="X231"/>
  <c r="AF231"/>
  <c r="Y231"/>
  <c r="AG231"/>
  <c r="S231"/>
  <c r="AA231"/>
  <c r="AI231"/>
  <c r="T231"/>
  <c r="AK231"/>
  <c r="R231"/>
  <c r="U231"/>
  <c r="Z231"/>
  <c r="AC231"/>
  <c r="AH231"/>
  <c r="V231"/>
  <c r="AJ231"/>
  <c r="AD231"/>
  <c r="AB231"/>
  <c r="U175"/>
  <c r="AC175"/>
  <c r="V175"/>
  <c r="AD175"/>
  <c r="W175"/>
  <c r="AE175"/>
  <c r="Y175"/>
  <c r="AG175"/>
  <c r="R175"/>
  <c r="T175"/>
  <c r="X175"/>
  <c r="AF175"/>
  <c r="AJ175"/>
  <c r="S175"/>
  <c r="AA175"/>
  <c r="AH175"/>
  <c r="AK175"/>
  <c r="AB175"/>
  <c r="Z175"/>
  <c r="AI175"/>
  <c r="Z355" i="28"/>
  <c r="S355"/>
  <c r="T355"/>
  <c r="V355"/>
  <c r="X355"/>
  <c r="Y355"/>
  <c r="AC355"/>
  <c r="AK355"/>
  <c r="AD355"/>
  <c r="R355"/>
  <c r="AF355"/>
  <c r="AG355"/>
  <c r="AJ355"/>
  <c r="AI355"/>
  <c r="AB355"/>
  <c r="AE355"/>
  <c r="U355"/>
  <c r="W355"/>
  <c r="Z280"/>
  <c r="S280"/>
  <c r="T280"/>
  <c r="V280"/>
  <c r="R280"/>
  <c r="AC280"/>
  <c r="AK280"/>
  <c r="AD280"/>
  <c r="Y280"/>
  <c r="AE280"/>
  <c r="AH280"/>
  <c r="U280"/>
  <c r="AJ280"/>
  <c r="R238"/>
  <c r="Z238"/>
  <c r="S238"/>
  <c r="T238"/>
  <c r="V238"/>
  <c r="AC238"/>
  <c r="AK238"/>
  <c r="U238"/>
  <c r="X238"/>
  <c r="Y238"/>
  <c r="AD238"/>
  <c r="AG238"/>
  <c r="W238"/>
  <c r="AB238"/>
  <c r="AF238"/>
  <c r="AE238"/>
  <c r="R109"/>
  <c r="Y109"/>
  <c r="Z109"/>
  <c r="S109"/>
  <c r="U109"/>
  <c r="W109"/>
  <c r="AB109"/>
  <c r="AJ109"/>
  <c r="V109"/>
  <c r="AC109"/>
  <c r="AK109"/>
  <c r="T109"/>
  <c r="AI109"/>
  <c r="AG109"/>
  <c r="AE109"/>
  <c r="R154" i="119"/>
  <c r="X154"/>
  <c r="AF154"/>
  <c r="Y154"/>
  <c r="AG154"/>
  <c r="Z154"/>
  <c r="AH154"/>
  <c r="T154"/>
  <c r="AB154"/>
  <c r="S154"/>
  <c r="V154"/>
  <c r="AD154"/>
  <c r="AK154"/>
  <c r="AA154"/>
  <c r="AE154"/>
  <c r="AJ154"/>
  <c r="U154"/>
  <c r="W154"/>
  <c r="AI154"/>
  <c r="AC154"/>
  <c r="V476" i="28"/>
  <c r="W476"/>
  <c r="X476"/>
  <c r="Z476"/>
  <c r="AG476"/>
  <c r="AH476"/>
  <c r="T476"/>
  <c r="Y476"/>
  <c r="AA476"/>
  <c r="AE476"/>
  <c r="AD476"/>
  <c r="Z472"/>
  <c r="S472"/>
  <c r="T472"/>
  <c r="V472"/>
  <c r="W472"/>
  <c r="AC472"/>
  <c r="AK472"/>
  <c r="AD472"/>
  <c r="U472"/>
  <c r="AH472"/>
  <c r="AJ472"/>
  <c r="X472"/>
  <c r="AF472"/>
  <c r="T457"/>
  <c r="U457"/>
  <c r="V457"/>
  <c r="R457"/>
  <c r="X457"/>
  <c r="AE457"/>
  <c r="W457"/>
  <c r="AF457"/>
  <c r="AB457"/>
  <c r="AC457"/>
  <c r="AH457"/>
  <c r="AI457"/>
  <c r="AA457"/>
  <c r="S379"/>
  <c r="T379"/>
  <c r="U379"/>
  <c r="W379"/>
  <c r="AD379"/>
  <c r="AE379"/>
  <c r="R379"/>
  <c r="Z379"/>
  <c r="AC379"/>
  <c r="V379"/>
  <c r="AA379"/>
  <c r="U335"/>
  <c r="V335"/>
  <c r="W335"/>
  <c r="R335"/>
  <c r="Y335"/>
  <c r="AF335"/>
  <c r="AG335"/>
  <c r="S335"/>
  <c r="AA335"/>
  <c r="AB335"/>
  <c r="AH335"/>
  <c r="AE335"/>
  <c r="AK335"/>
  <c r="X335"/>
  <c r="T335"/>
  <c r="R104"/>
  <c r="Y104"/>
  <c r="Z104"/>
  <c r="S104"/>
  <c r="U104"/>
  <c r="AB104"/>
  <c r="AJ104"/>
  <c r="W104"/>
  <c r="AC104"/>
  <c r="AK104"/>
  <c r="X104"/>
  <c r="AD104"/>
  <c r="AA104"/>
  <c r="AI104"/>
  <c r="T104"/>
  <c r="AF104"/>
  <c r="R277" i="119"/>
  <c r="S277"/>
  <c r="AA277"/>
  <c r="AI277"/>
  <c r="T277"/>
  <c r="AB277"/>
  <c r="U277"/>
  <c r="AC277"/>
  <c r="W277"/>
  <c r="AE277"/>
  <c r="Y277"/>
  <c r="Z277"/>
  <c r="AG277"/>
  <c r="AH277"/>
  <c r="AJ277"/>
  <c r="X277"/>
  <c r="AK277"/>
  <c r="AD277"/>
  <c r="R292" i="28"/>
  <c r="V292"/>
  <c r="W292"/>
  <c r="X292"/>
  <c r="Z292"/>
  <c r="AG292"/>
  <c r="T292"/>
  <c r="AH292"/>
  <c r="AA292"/>
  <c r="AB292"/>
  <c r="S292"/>
  <c r="Y292"/>
  <c r="AK292"/>
  <c r="AC292"/>
  <c r="AE292"/>
  <c r="R217"/>
  <c r="V217"/>
  <c r="W217"/>
  <c r="X217"/>
  <c r="Z217"/>
  <c r="U217"/>
  <c r="AG217"/>
  <c r="AH217"/>
  <c r="S217"/>
  <c r="AI217"/>
  <c r="AK217"/>
  <c r="AA217"/>
  <c r="AC217"/>
  <c r="R189"/>
  <c r="X189"/>
  <c r="Y189"/>
  <c r="Z189"/>
  <c r="T189"/>
  <c r="AA189"/>
  <c r="AI189"/>
  <c r="AB189"/>
  <c r="AJ189"/>
  <c r="W189"/>
  <c r="V189"/>
  <c r="AK189"/>
  <c r="U189"/>
  <c r="AC189"/>
  <c r="AF189"/>
  <c r="Z103"/>
  <c r="S103"/>
  <c r="AA103"/>
  <c r="T103"/>
  <c r="V103"/>
  <c r="W103"/>
  <c r="AC103"/>
  <c r="AK103"/>
  <c r="Y103"/>
  <c r="AD103"/>
  <c r="U103"/>
  <c r="AI103"/>
  <c r="AG103"/>
  <c r="AJ103"/>
  <c r="R103"/>
  <c r="AB103"/>
  <c r="AE103"/>
  <c r="R285" i="120"/>
  <c r="R54" s="1"/>
  <c r="S285"/>
  <c r="S54" s="1"/>
  <c r="W333" i="28"/>
  <c r="X333"/>
  <c r="Y333"/>
  <c r="S333"/>
  <c r="T333"/>
  <c r="AH333"/>
  <c r="AA333"/>
  <c r="AI333"/>
  <c r="R333"/>
  <c r="AC333"/>
  <c r="V333"/>
  <c r="AJ333"/>
  <c r="W249"/>
  <c r="X249"/>
  <c r="Y249"/>
  <c r="S249"/>
  <c r="R249"/>
  <c r="AH249"/>
  <c r="AA249"/>
  <c r="AI249"/>
  <c r="AC249"/>
  <c r="AD249"/>
  <c r="AJ249"/>
  <c r="U249"/>
  <c r="V249"/>
  <c r="AF249"/>
  <c r="Y154"/>
  <c r="Z154"/>
  <c r="S154"/>
  <c r="R154"/>
  <c r="U154"/>
  <c r="V154"/>
  <c r="X154"/>
  <c r="AB154"/>
  <c r="AJ154"/>
  <c r="AC154"/>
  <c r="AK154"/>
  <c r="AG154"/>
  <c r="AH154"/>
  <c r="AI154"/>
  <c r="W147"/>
  <c r="X147"/>
  <c r="Y147"/>
  <c r="S147"/>
  <c r="AA147"/>
  <c r="AH147"/>
  <c r="AI147"/>
  <c r="U147"/>
  <c r="Z147"/>
  <c r="AJ147"/>
  <c r="T147"/>
  <c r="AF147"/>
  <c r="AG147"/>
  <c r="R147"/>
  <c r="Y455"/>
  <c r="U291"/>
  <c r="R486"/>
  <c r="Y486"/>
  <c r="Z486"/>
  <c r="S486"/>
  <c r="U486"/>
  <c r="AB486"/>
  <c r="AJ486"/>
  <c r="AC486"/>
  <c r="AK486"/>
  <c r="W463"/>
  <c r="X463"/>
  <c r="Y463"/>
  <c r="S463"/>
  <c r="Z463"/>
  <c r="AH463"/>
  <c r="AA463"/>
  <c r="AI463"/>
  <c r="S312"/>
  <c r="T312"/>
  <c r="U312"/>
  <c r="R312"/>
  <c r="W312"/>
  <c r="AD312"/>
  <c r="AE312"/>
  <c r="W274"/>
  <c r="X274"/>
  <c r="Y274"/>
  <c r="R274"/>
  <c r="AH274"/>
  <c r="T274"/>
  <c r="AA274"/>
  <c r="AI274"/>
  <c r="Z229"/>
  <c r="S229"/>
  <c r="T229"/>
  <c r="V229"/>
  <c r="W229"/>
  <c r="AC229"/>
  <c r="AK229"/>
  <c r="AD229"/>
  <c r="T211"/>
  <c r="U211"/>
  <c r="R211"/>
  <c r="W211"/>
  <c r="AE211"/>
  <c r="T168"/>
  <c r="U168"/>
  <c r="V168"/>
  <c r="X168"/>
  <c r="R168"/>
  <c r="AE168"/>
  <c r="W168"/>
  <c r="AF168"/>
  <c r="Z138"/>
  <c r="S138"/>
  <c r="AA138"/>
  <c r="AA47" s="1"/>
  <c r="T138"/>
  <c r="T47" s="1"/>
  <c r="V138"/>
  <c r="V47" s="1"/>
  <c r="W138"/>
  <c r="W47" s="1"/>
  <c r="AC138"/>
  <c r="AK138"/>
  <c r="AD138"/>
  <c r="U117"/>
  <c r="V117"/>
  <c r="W117"/>
  <c r="Y117"/>
  <c r="T117"/>
  <c r="AA117"/>
  <c r="AF117"/>
  <c r="AG117"/>
  <c r="AM117"/>
  <c r="AO117"/>
  <c r="AQ117"/>
  <c r="AS117"/>
  <c r="Z108"/>
  <c r="S108"/>
  <c r="AA108"/>
  <c r="T108"/>
  <c r="Y108"/>
  <c r="AC108"/>
  <c r="AK108"/>
  <c r="U108"/>
  <c r="X108"/>
  <c r="AD108"/>
  <c r="S306" i="120"/>
  <c r="S55" s="1"/>
  <c r="R250"/>
  <c r="R104"/>
  <c r="Y381" i="28"/>
  <c r="Z381"/>
  <c r="S381"/>
  <c r="U381"/>
  <c r="AB381"/>
  <c r="AJ381"/>
  <c r="AC381"/>
  <c r="AK381"/>
  <c r="V376"/>
  <c r="R376"/>
  <c r="W376"/>
  <c r="X376"/>
  <c r="Z376"/>
  <c r="AG376"/>
  <c r="Y376"/>
  <c r="AH376"/>
  <c r="T361"/>
  <c r="U361"/>
  <c r="V361"/>
  <c r="R361"/>
  <c r="X361"/>
  <c r="W361"/>
  <c r="AE361"/>
  <c r="Z361"/>
  <c r="AF361"/>
  <c r="R348"/>
  <c r="R57" s="1"/>
  <c r="T348"/>
  <c r="T57" s="1"/>
  <c r="U348"/>
  <c r="U57" s="1"/>
  <c r="V348"/>
  <c r="V57" s="1"/>
  <c r="X348"/>
  <c r="X57" s="1"/>
  <c r="AE348"/>
  <c r="AE57" s="1"/>
  <c r="AM348"/>
  <c r="AM57" s="1"/>
  <c r="AO348"/>
  <c r="AO57" s="1"/>
  <c r="AQ348"/>
  <c r="AQ57" s="1"/>
  <c r="W348"/>
  <c r="W57" s="1"/>
  <c r="AF348"/>
  <c r="AF57" s="1"/>
  <c r="Y339"/>
  <c r="Z339"/>
  <c r="S339"/>
  <c r="U339"/>
  <c r="AB339"/>
  <c r="AJ339"/>
  <c r="AC339"/>
  <c r="AK339"/>
  <c r="V334"/>
  <c r="W334"/>
  <c r="R334"/>
  <c r="X334"/>
  <c r="Z334"/>
  <c r="AG334"/>
  <c r="T334"/>
  <c r="AH334"/>
  <c r="T319"/>
  <c r="U319"/>
  <c r="V319"/>
  <c r="R319"/>
  <c r="X319"/>
  <c r="AE319"/>
  <c r="Z319"/>
  <c r="AF319"/>
  <c r="R264"/>
  <c r="R53" s="1"/>
  <c r="T264"/>
  <c r="T53" s="1"/>
  <c r="U264"/>
  <c r="U53" s="1"/>
  <c r="V264"/>
  <c r="V53" s="1"/>
  <c r="X264"/>
  <c r="X53" s="1"/>
  <c r="AE264"/>
  <c r="AE53" s="1"/>
  <c r="AM264"/>
  <c r="AM53" s="1"/>
  <c r="AO264"/>
  <c r="AO53" s="1"/>
  <c r="AQ264"/>
  <c r="AQ53" s="1"/>
  <c r="AS264"/>
  <c r="AS53" s="1"/>
  <c r="AF264"/>
  <c r="AF53" s="1"/>
  <c r="Y255"/>
  <c r="Z255"/>
  <c r="S255"/>
  <c r="U255"/>
  <c r="X255"/>
  <c r="AB255"/>
  <c r="AJ255"/>
  <c r="T255"/>
  <c r="AC255"/>
  <c r="AK255"/>
  <c r="S186"/>
  <c r="R186"/>
  <c r="T186"/>
  <c r="U186"/>
  <c r="W186"/>
  <c r="AD186"/>
  <c r="X186"/>
  <c r="Y186"/>
  <c r="AE186"/>
  <c r="R151"/>
  <c r="S151"/>
  <c r="T151"/>
  <c r="U151"/>
  <c r="W151"/>
  <c r="Z151"/>
  <c r="AD151"/>
  <c r="AE151"/>
  <c r="T133"/>
  <c r="U133"/>
  <c r="V133"/>
  <c r="R133"/>
  <c r="X133"/>
  <c r="AE133"/>
  <c r="Y133"/>
  <c r="Z133"/>
  <c r="AF133"/>
  <c r="W112"/>
  <c r="X112"/>
  <c r="Y112"/>
  <c r="R112"/>
  <c r="S112"/>
  <c r="AA112"/>
  <c r="AH112"/>
  <c r="AI112"/>
  <c r="R102" i="120"/>
  <c r="U123" i="119"/>
  <c r="AC123"/>
  <c r="V123"/>
  <c r="AD123"/>
  <c r="W123"/>
  <c r="AE123"/>
  <c r="Y123"/>
  <c r="AG123"/>
  <c r="AB123"/>
  <c r="T123"/>
  <c r="X123"/>
  <c r="AF123"/>
  <c r="AJ123"/>
  <c r="R123"/>
  <c r="S123"/>
  <c r="AI123"/>
  <c r="AK123"/>
  <c r="T297" i="28"/>
  <c r="X424"/>
  <c r="Y424"/>
  <c r="R424"/>
  <c r="T424"/>
  <c r="AA424"/>
  <c r="AI424"/>
  <c r="W424"/>
  <c r="AB424"/>
  <c r="AJ424"/>
  <c r="R411"/>
  <c r="R60" s="1"/>
  <c r="X411"/>
  <c r="X60" s="1"/>
  <c r="Y411"/>
  <c r="Y60" s="1"/>
  <c r="T411"/>
  <c r="T60" s="1"/>
  <c r="AA411"/>
  <c r="AA60" s="1"/>
  <c r="AI411"/>
  <c r="AI60" s="1"/>
  <c r="AB411"/>
  <c r="AB60" s="1"/>
  <c r="AJ411"/>
  <c r="AJ60" s="1"/>
  <c r="Y356"/>
  <c r="R356"/>
  <c r="Z356"/>
  <c r="S356"/>
  <c r="U356"/>
  <c r="AB356"/>
  <c r="AJ356"/>
  <c r="V356"/>
  <c r="X356"/>
  <c r="AC356"/>
  <c r="AK356"/>
  <c r="R272"/>
  <c r="Y272"/>
  <c r="Z272"/>
  <c r="S272"/>
  <c r="U272"/>
  <c r="AB272"/>
  <c r="AJ272"/>
  <c r="AC272"/>
  <c r="AK272"/>
  <c r="X146"/>
  <c r="Y146"/>
  <c r="Z146"/>
  <c r="T146"/>
  <c r="AI146"/>
  <c r="AA146"/>
  <c r="AB146"/>
  <c r="AJ146"/>
  <c r="R356" i="120"/>
  <c r="R189"/>
  <c r="Z459" i="28"/>
  <c r="S459"/>
  <c r="T459"/>
  <c r="Y459"/>
  <c r="AC459"/>
  <c r="AK459"/>
  <c r="X459"/>
  <c r="AD459"/>
  <c r="V455"/>
  <c r="W455"/>
  <c r="X455"/>
  <c r="Z455"/>
  <c r="AG455"/>
  <c r="T455"/>
  <c r="AH455"/>
  <c r="Z442"/>
  <c r="Z63" s="1"/>
  <c r="S442"/>
  <c r="S63" s="1"/>
  <c r="T442"/>
  <c r="T63" s="1"/>
  <c r="V442"/>
  <c r="V63" s="1"/>
  <c r="Y442"/>
  <c r="Y63" s="1"/>
  <c r="AC442"/>
  <c r="AC63" s="1"/>
  <c r="AK442"/>
  <c r="AK63" s="1"/>
  <c r="U442"/>
  <c r="U63" s="1"/>
  <c r="AD442"/>
  <c r="AD63" s="1"/>
  <c r="U402"/>
  <c r="W402"/>
  <c r="Y402"/>
  <c r="S402"/>
  <c r="Z402"/>
  <c r="AG402"/>
  <c r="W375"/>
  <c r="X375"/>
  <c r="Y375"/>
  <c r="S375"/>
  <c r="V375"/>
  <c r="AH375"/>
  <c r="T375"/>
  <c r="AA375"/>
  <c r="AI375"/>
  <c r="Y297"/>
  <c r="Z297"/>
  <c r="S297"/>
  <c r="U297"/>
  <c r="AB297"/>
  <c r="AJ297"/>
  <c r="AC297"/>
  <c r="AK297"/>
  <c r="W291"/>
  <c r="X291"/>
  <c r="Y291"/>
  <c r="S291"/>
  <c r="T291"/>
  <c r="AH291"/>
  <c r="AA291"/>
  <c r="AI291"/>
  <c r="V208"/>
  <c r="W208"/>
  <c r="X208"/>
  <c r="Z208"/>
  <c r="R208"/>
  <c r="S208"/>
  <c r="AG208"/>
  <c r="Y208"/>
  <c r="AH208"/>
  <c r="T180"/>
  <c r="T49" s="1"/>
  <c r="U180"/>
  <c r="U49" s="1"/>
  <c r="V180"/>
  <c r="V49" s="1"/>
  <c r="X180"/>
  <c r="X49" s="1"/>
  <c r="Y180"/>
  <c r="Y49" s="1"/>
  <c r="AE180"/>
  <c r="AM180"/>
  <c r="AM49" s="1"/>
  <c r="AO180"/>
  <c r="AO49" s="1"/>
  <c r="AQ180"/>
  <c r="AQ49" s="1"/>
  <c r="AS180"/>
  <c r="AS49" s="1"/>
  <c r="AF180"/>
  <c r="AF49" s="1"/>
  <c r="T150"/>
  <c r="U150"/>
  <c r="X150"/>
  <c r="AE150"/>
  <c r="V106"/>
  <c r="W106"/>
  <c r="Z106"/>
  <c r="AG106"/>
  <c r="R106"/>
  <c r="T106"/>
  <c r="AA106"/>
  <c r="AH106"/>
  <c r="R340" i="120"/>
  <c r="R188"/>
  <c r="R166"/>
  <c r="R427" i="28"/>
  <c r="V427"/>
  <c r="W427"/>
  <c r="X427"/>
  <c r="Z427"/>
  <c r="R364"/>
  <c r="Z364"/>
  <c r="S364"/>
  <c r="T364"/>
  <c r="V364"/>
  <c r="X327"/>
  <c r="X56" s="1"/>
  <c r="Y327"/>
  <c r="Y56" s="1"/>
  <c r="R327"/>
  <c r="R56" s="1"/>
  <c r="T327"/>
  <c r="T56" s="1"/>
  <c r="Z313"/>
  <c r="S313"/>
  <c r="T313"/>
  <c r="V313"/>
  <c r="V301"/>
  <c r="W301"/>
  <c r="X301"/>
  <c r="Z301"/>
  <c r="V250"/>
  <c r="R250"/>
  <c r="W250"/>
  <c r="X250"/>
  <c r="Z250"/>
  <c r="R209"/>
  <c r="U209"/>
  <c r="V209"/>
  <c r="W209"/>
  <c r="Y209"/>
  <c r="U192"/>
  <c r="W192"/>
  <c r="Y192"/>
  <c r="Z187"/>
  <c r="S187"/>
  <c r="T187"/>
  <c r="R187"/>
  <c r="V187"/>
  <c r="R169"/>
  <c r="T169"/>
  <c r="U169"/>
  <c r="W169"/>
  <c r="W159"/>
  <c r="W48" s="1"/>
  <c r="X159"/>
  <c r="Y159"/>
  <c r="Y48" s="1"/>
  <c r="S159"/>
  <c r="S48" s="1"/>
  <c r="R130"/>
  <c r="V130"/>
  <c r="W130"/>
  <c r="X130"/>
  <c r="Z130"/>
  <c r="R411" i="119"/>
  <c r="R60" s="1"/>
  <c r="W411"/>
  <c r="W60" s="1"/>
  <c r="AE411"/>
  <c r="AE60" s="1"/>
  <c r="X411"/>
  <c r="X60" s="1"/>
  <c r="AF411"/>
  <c r="AF60" s="1"/>
  <c r="Y411"/>
  <c r="Y60" s="1"/>
  <c r="AG411"/>
  <c r="AG60" s="1"/>
  <c r="S411"/>
  <c r="S60" s="1"/>
  <c r="AA411"/>
  <c r="AA60" s="1"/>
  <c r="AI411"/>
  <c r="AI60" s="1"/>
  <c r="AB411"/>
  <c r="AB60" s="1"/>
  <c r="T411"/>
  <c r="T60" s="1"/>
  <c r="AJ411"/>
  <c r="AJ60" s="1"/>
  <c r="AH411"/>
  <c r="AH60" s="1"/>
  <c r="AR411"/>
  <c r="AR60" s="1"/>
  <c r="AC411"/>
  <c r="AC60" s="1"/>
  <c r="AK411"/>
  <c r="AK60" s="1"/>
  <c r="AP411"/>
  <c r="V411"/>
  <c r="AN411"/>
  <c r="AU411"/>
  <c r="AU60" s="1"/>
  <c r="AO411"/>
  <c r="AO60" s="1"/>
  <c r="U411"/>
  <c r="U60" s="1"/>
  <c r="AM411"/>
  <c r="AM60" s="1"/>
  <c r="R319"/>
  <c r="S319"/>
  <c r="AA319"/>
  <c r="AI319"/>
  <c r="T319"/>
  <c r="AB319"/>
  <c r="U319"/>
  <c r="AC319"/>
  <c r="W319"/>
  <c r="AE319"/>
  <c r="V319"/>
  <c r="AD319"/>
  <c r="X319"/>
  <c r="AJ319"/>
  <c r="Y319"/>
  <c r="AH319"/>
  <c r="AK319"/>
  <c r="Z319"/>
  <c r="R127" i="118"/>
  <c r="S127"/>
  <c r="W127"/>
  <c r="Y127"/>
  <c r="Z127"/>
  <c r="AA127"/>
  <c r="AC127"/>
  <c r="X127"/>
  <c r="AB127"/>
  <c r="V489" i="28"/>
  <c r="W489"/>
  <c r="Z489"/>
  <c r="Z485"/>
  <c r="S485"/>
  <c r="T485"/>
  <c r="V485"/>
  <c r="R399"/>
  <c r="X399"/>
  <c r="Y399"/>
  <c r="T399"/>
  <c r="X382"/>
  <c r="Y382"/>
  <c r="T382"/>
  <c r="Z322"/>
  <c r="R322"/>
  <c r="S322"/>
  <c r="T322"/>
  <c r="V322"/>
  <c r="Z271"/>
  <c r="S271"/>
  <c r="T271"/>
  <c r="V271"/>
  <c r="N254"/>
  <c r="T235"/>
  <c r="U235"/>
  <c r="V235"/>
  <c r="R235"/>
  <c r="X235"/>
  <c r="S125"/>
  <c r="AA125"/>
  <c r="T125"/>
  <c r="U125"/>
  <c r="R125"/>
  <c r="W125"/>
  <c r="W102"/>
  <c r="R102"/>
  <c r="X102"/>
  <c r="Y102"/>
  <c r="S102"/>
  <c r="AA102"/>
  <c r="R208" i="120"/>
  <c r="AD475" i="119"/>
  <c r="W475"/>
  <c r="AE475"/>
  <c r="X475"/>
  <c r="Z475"/>
  <c r="AH475"/>
  <c r="Y475"/>
  <c r="AB475"/>
  <c r="AG475"/>
  <c r="AK475"/>
  <c r="T475"/>
  <c r="AC475"/>
  <c r="AI475"/>
  <c r="U475"/>
  <c r="AJ475"/>
  <c r="R418" i="120"/>
  <c r="R355"/>
  <c r="R249"/>
  <c r="R186"/>
  <c r="R485" i="119"/>
  <c r="Y485"/>
  <c r="AG485"/>
  <c r="Z485"/>
  <c r="S485"/>
  <c r="AA485"/>
  <c r="AI485"/>
  <c r="U485"/>
  <c r="AC485"/>
  <c r="W485"/>
  <c r="AE485"/>
  <c r="AJ485"/>
  <c r="T485"/>
  <c r="AB485"/>
  <c r="X485"/>
  <c r="V485"/>
  <c r="R427"/>
  <c r="U427"/>
  <c r="AC427"/>
  <c r="V427"/>
  <c r="AD427"/>
  <c r="W427"/>
  <c r="AE427"/>
  <c r="Y427"/>
  <c r="AG427"/>
  <c r="X427"/>
  <c r="AB427"/>
  <c r="AF427"/>
  <c r="T427"/>
  <c r="AK427"/>
  <c r="AJ427"/>
  <c r="S427"/>
  <c r="Z427"/>
  <c r="Z421"/>
  <c r="AH421"/>
  <c r="AA421"/>
  <c r="AJ421"/>
  <c r="V421"/>
  <c r="AD421"/>
  <c r="AE421"/>
  <c r="AK421"/>
  <c r="Y421"/>
  <c r="AF421"/>
  <c r="V400"/>
  <c r="AD400"/>
  <c r="AE400"/>
  <c r="Z400"/>
  <c r="AH400"/>
  <c r="AK400"/>
  <c r="R400"/>
  <c r="Y400"/>
  <c r="W315"/>
  <c r="AE315"/>
  <c r="X315"/>
  <c r="AF315"/>
  <c r="Y315"/>
  <c r="AG315"/>
  <c r="S315"/>
  <c r="AA315"/>
  <c r="AI315"/>
  <c r="R315"/>
  <c r="U315"/>
  <c r="AC315"/>
  <c r="Z315"/>
  <c r="AB315"/>
  <c r="AH315"/>
  <c r="T315"/>
  <c r="AJ315"/>
  <c r="V315"/>
  <c r="AK315"/>
  <c r="S222"/>
  <c r="S51" s="1"/>
  <c r="AA222"/>
  <c r="AI222"/>
  <c r="T222"/>
  <c r="AB222"/>
  <c r="U222"/>
  <c r="AC222"/>
  <c r="AK222"/>
  <c r="W222"/>
  <c r="AE222"/>
  <c r="Z222"/>
  <c r="AH222"/>
  <c r="AM222"/>
  <c r="AO222"/>
  <c r="AQ222"/>
  <c r="AS222"/>
  <c r="AU222"/>
  <c r="R222"/>
  <c r="R51" s="1"/>
  <c r="AJ222"/>
  <c r="AG222"/>
  <c r="AT222"/>
  <c r="AD222"/>
  <c r="AR222"/>
  <c r="R112"/>
  <c r="V112"/>
  <c r="AD112"/>
  <c r="W112"/>
  <c r="AE112"/>
  <c r="S112"/>
  <c r="X112"/>
  <c r="AF112"/>
  <c r="Z112"/>
  <c r="AH112"/>
  <c r="Y112"/>
  <c r="AG112"/>
  <c r="AI112"/>
  <c r="U112"/>
  <c r="AC112"/>
  <c r="AK112"/>
  <c r="AJ112"/>
  <c r="AA112"/>
  <c r="R495" i="120"/>
  <c r="R463"/>
  <c r="R354"/>
  <c r="R298"/>
  <c r="R293"/>
  <c r="R273"/>
  <c r="R109"/>
  <c r="W424" i="119"/>
  <c r="AE424"/>
  <c r="X424"/>
  <c r="AF424"/>
  <c r="Y424"/>
  <c r="AG424"/>
  <c r="R424"/>
  <c r="S424"/>
  <c r="AA424"/>
  <c r="AI424"/>
  <c r="AJ424"/>
  <c r="U424"/>
  <c r="AC424"/>
  <c r="V424"/>
  <c r="AD424"/>
  <c r="Z424"/>
  <c r="AH424"/>
  <c r="R334"/>
  <c r="U334"/>
  <c r="AC334"/>
  <c r="V334"/>
  <c r="AD334"/>
  <c r="W334"/>
  <c r="AE334"/>
  <c r="Y334"/>
  <c r="AG334"/>
  <c r="AB334"/>
  <c r="T334"/>
  <c r="Z334"/>
  <c r="AH334"/>
  <c r="AK334"/>
  <c r="X334"/>
  <c r="AF334"/>
  <c r="AA334"/>
  <c r="S334"/>
  <c r="R190"/>
  <c r="V190"/>
  <c r="AD190"/>
  <c r="W190"/>
  <c r="AE190"/>
  <c r="AF190"/>
  <c r="Z190"/>
  <c r="AH190"/>
  <c r="AC190"/>
  <c r="AK190"/>
  <c r="AJ190"/>
  <c r="AG190"/>
  <c r="R125"/>
  <c r="Z125"/>
  <c r="AH125"/>
  <c r="AA125"/>
  <c r="T125"/>
  <c r="AB125"/>
  <c r="AJ125"/>
  <c r="V125"/>
  <c r="AD125"/>
  <c r="AK125"/>
  <c r="X125"/>
  <c r="AF125"/>
  <c r="Y125"/>
  <c r="AG125"/>
  <c r="W125"/>
  <c r="S125"/>
  <c r="AC125"/>
  <c r="AI125"/>
  <c r="T355" i="118"/>
  <c r="U355"/>
  <c r="R355"/>
  <c r="S355"/>
  <c r="W355"/>
  <c r="Z355"/>
  <c r="AA355"/>
  <c r="AB355"/>
  <c r="V355"/>
  <c r="Y355"/>
  <c r="AC355"/>
  <c r="X355"/>
  <c r="R295"/>
  <c r="U295"/>
  <c r="V295"/>
  <c r="AA295"/>
  <c r="W295"/>
  <c r="AB295"/>
  <c r="Z295"/>
  <c r="X295"/>
  <c r="Y295"/>
  <c r="S295"/>
  <c r="S150"/>
  <c r="AB150"/>
  <c r="AC150"/>
  <c r="X150"/>
  <c r="W150"/>
  <c r="U150"/>
  <c r="AA150"/>
  <c r="Z150"/>
  <c r="T150"/>
  <c r="R488" i="120"/>
  <c r="R456"/>
  <c r="R382"/>
  <c r="R334"/>
  <c r="R313"/>
  <c r="R232"/>
  <c r="R124"/>
  <c r="R105"/>
  <c r="V488" i="119"/>
  <c r="AD488"/>
  <c r="W488"/>
  <c r="AE488"/>
  <c r="X488"/>
  <c r="AF488"/>
  <c r="Z488"/>
  <c r="AH488"/>
  <c r="AK488"/>
  <c r="AA488"/>
  <c r="R488"/>
  <c r="U488"/>
  <c r="AC488"/>
  <c r="Y488"/>
  <c r="S488"/>
  <c r="S378"/>
  <c r="AA378"/>
  <c r="AI378"/>
  <c r="T378"/>
  <c r="AB378"/>
  <c r="U378"/>
  <c r="AC378"/>
  <c r="W378"/>
  <c r="AE378"/>
  <c r="R378"/>
  <c r="AJ378"/>
  <c r="Z378"/>
  <c r="AH378"/>
  <c r="Y378"/>
  <c r="AG378"/>
  <c r="AF378"/>
  <c r="AK378"/>
  <c r="AD378"/>
  <c r="R146"/>
  <c r="W146"/>
  <c r="AE146"/>
  <c r="X146"/>
  <c r="AF146"/>
  <c r="Y146"/>
  <c r="AG146"/>
  <c r="AA146"/>
  <c r="AI146"/>
  <c r="AB146"/>
  <c r="T146"/>
  <c r="S146"/>
  <c r="AD146"/>
  <c r="AC146"/>
  <c r="AH146"/>
  <c r="Y150" i="118"/>
  <c r="R487" i="120"/>
  <c r="R312"/>
  <c r="R256"/>
  <c r="R210"/>
  <c r="R168"/>
  <c r="R145"/>
  <c r="R144"/>
  <c r="T488" i="119"/>
  <c r="R492" i="120"/>
  <c r="S447"/>
  <c r="S64" s="1"/>
  <c r="R417"/>
  <c r="R398"/>
  <c r="R385"/>
  <c r="R375"/>
  <c r="R301"/>
  <c r="R207"/>
  <c r="R187"/>
  <c r="R103"/>
  <c r="R396" i="119"/>
  <c r="Z396"/>
  <c r="AH396"/>
  <c r="S396"/>
  <c r="AA396"/>
  <c r="T396"/>
  <c r="AB396"/>
  <c r="AJ396"/>
  <c r="V396"/>
  <c r="AD396"/>
  <c r="U396"/>
  <c r="Y396"/>
  <c r="AC396"/>
  <c r="AG396"/>
  <c r="AK396"/>
  <c r="R382"/>
  <c r="W382"/>
  <c r="AE382"/>
  <c r="X382"/>
  <c r="AF382"/>
  <c r="Y382"/>
  <c r="AG382"/>
  <c r="S382"/>
  <c r="AA382"/>
  <c r="AI382"/>
  <c r="V382"/>
  <c r="AD382"/>
  <c r="Z382"/>
  <c r="AH382"/>
  <c r="AJ382"/>
  <c r="R188"/>
  <c r="X188"/>
  <c r="AF188"/>
  <c r="Y188"/>
  <c r="AG188"/>
  <c r="Z188"/>
  <c r="AH188"/>
  <c r="T188"/>
  <c r="AB188"/>
  <c r="AK188"/>
  <c r="W188"/>
  <c r="AE188"/>
  <c r="S188"/>
  <c r="AJ188"/>
  <c r="S469" i="118"/>
  <c r="AC469"/>
  <c r="U469"/>
  <c r="W469"/>
  <c r="Y469"/>
  <c r="R469"/>
  <c r="V469"/>
  <c r="X469"/>
  <c r="Z469"/>
  <c r="AA469"/>
  <c r="AB469"/>
  <c r="S399"/>
  <c r="V399"/>
  <c r="X399"/>
  <c r="Y399"/>
  <c r="U399"/>
  <c r="Z399"/>
  <c r="AB399"/>
  <c r="T399"/>
  <c r="W399"/>
  <c r="AC399"/>
  <c r="R399"/>
  <c r="AA399"/>
  <c r="R102"/>
  <c r="S102"/>
  <c r="U102"/>
  <c r="X102"/>
  <c r="V102"/>
  <c r="Y102"/>
  <c r="AA102"/>
  <c r="AB102"/>
  <c r="Z102"/>
  <c r="AC102"/>
  <c r="T102"/>
  <c r="W102"/>
  <c r="R337" i="120"/>
  <c r="V417" i="119"/>
  <c r="AD417"/>
  <c r="W417"/>
  <c r="AE417"/>
  <c r="X417"/>
  <c r="AF417"/>
  <c r="Z417"/>
  <c r="AH417"/>
  <c r="R417"/>
  <c r="Y417"/>
  <c r="AG417"/>
  <c r="AK417"/>
  <c r="AB417"/>
  <c r="T417"/>
  <c r="AJ417"/>
  <c r="U417"/>
  <c r="AC417"/>
  <c r="AI417"/>
  <c r="Z337"/>
  <c r="AH337"/>
  <c r="S337"/>
  <c r="AA337"/>
  <c r="AJ337"/>
  <c r="V337"/>
  <c r="AD337"/>
  <c r="AC337"/>
  <c r="R337"/>
  <c r="AK337"/>
  <c r="T485" i="118"/>
  <c r="U485"/>
  <c r="R485"/>
  <c r="Z485"/>
  <c r="S485"/>
  <c r="V485"/>
  <c r="AA485"/>
  <c r="AB485"/>
  <c r="Y485"/>
  <c r="AC485"/>
  <c r="X485"/>
  <c r="AB403"/>
  <c r="V403"/>
  <c r="AC403"/>
  <c r="S403"/>
  <c r="X403"/>
  <c r="R403"/>
  <c r="U403"/>
  <c r="W403"/>
  <c r="Z403"/>
  <c r="AA403"/>
  <c r="Y403"/>
  <c r="S398"/>
  <c r="T398"/>
  <c r="R398"/>
  <c r="W398"/>
  <c r="Y398"/>
  <c r="U398"/>
  <c r="Z398"/>
  <c r="AA398"/>
  <c r="AC398"/>
  <c r="V398"/>
  <c r="X398"/>
  <c r="AB398"/>
  <c r="R385"/>
  <c r="T385"/>
  <c r="V385"/>
  <c r="W385"/>
  <c r="X385"/>
  <c r="Z385"/>
  <c r="Y385"/>
  <c r="AB385"/>
  <c r="U385"/>
  <c r="AC385"/>
  <c r="S385"/>
  <c r="AA385"/>
  <c r="R460" i="120"/>
  <c r="S411"/>
  <c r="S60" s="1"/>
  <c r="R397"/>
  <c r="S201"/>
  <c r="S50" s="1"/>
  <c r="S470" i="119"/>
  <c r="AA470"/>
  <c r="AI470"/>
  <c r="T470"/>
  <c r="AB470"/>
  <c r="U470"/>
  <c r="AC470"/>
  <c r="W470"/>
  <c r="AE470"/>
  <c r="R470"/>
  <c r="V470"/>
  <c r="AD470"/>
  <c r="AJ470"/>
  <c r="X381"/>
  <c r="Y381"/>
  <c r="AG381"/>
  <c r="Z381"/>
  <c r="AH381"/>
  <c r="T381"/>
  <c r="AB381"/>
  <c r="AA381"/>
  <c r="AD381"/>
  <c r="S381"/>
  <c r="W381"/>
  <c r="AE381"/>
  <c r="R356"/>
  <c r="X356"/>
  <c r="AF356"/>
  <c r="Y356"/>
  <c r="AG356"/>
  <c r="Z356"/>
  <c r="AH356"/>
  <c r="T356"/>
  <c r="AB356"/>
  <c r="U356"/>
  <c r="AC356"/>
  <c r="AI356"/>
  <c r="V207"/>
  <c r="AD207"/>
  <c r="W207"/>
  <c r="AE207"/>
  <c r="X207"/>
  <c r="AF207"/>
  <c r="Z207"/>
  <c r="AH207"/>
  <c r="U207"/>
  <c r="AC207"/>
  <c r="AI207"/>
  <c r="AB207"/>
  <c r="AK207"/>
  <c r="R207"/>
  <c r="AA207"/>
  <c r="R103"/>
  <c r="S103"/>
  <c r="Y103"/>
  <c r="AG103"/>
  <c r="Z103"/>
  <c r="AH103"/>
  <c r="AA103"/>
  <c r="AI103"/>
  <c r="U103"/>
  <c r="AC103"/>
  <c r="AJ103"/>
  <c r="AK103"/>
  <c r="W103"/>
  <c r="AB103"/>
  <c r="AE103"/>
  <c r="AF473"/>
  <c r="Y473"/>
  <c r="AG473"/>
  <c r="Z473"/>
  <c r="AH473"/>
  <c r="R473"/>
  <c r="R456"/>
  <c r="T456"/>
  <c r="AB456"/>
  <c r="U456"/>
  <c r="AC456"/>
  <c r="V456"/>
  <c r="AD456"/>
  <c r="X456"/>
  <c r="AF456"/>
  <c r="S420"/>
  <c r="AA420"/>
  <c r="AI420"/>
  <c r="T420"/>
  <c r="AB420"/>
  <c r="U420"/>
  <c r="AC420"/>
  <c r="R420"/>
  <c r="W420"/>
  <c r="AE420"/>
  <c r="R187"/>
  <c r="Y187"/>
  <c r="AG187"/>
  <c r="Z187"/>
  <c r="AH187"/>
  <c r="S187"/>
  <c r="AA187"/>
  <c r="AI187"/>
  <c r="U187"/>
  <c r="AC187"/>
  <c r="R168"/>
  <c r="S168"/>
  <c r="AA168"/>
  <c r="AI168"/>
  <c r="T168"/>
  <c r="AB168"/>
  <c r="U168"/>
  <c r="AC168"/>
  <c r="AK168"/>
  <c r="W168"/>
  <c r="AE168"/>
  <c r="R417" i="118"/>
  <c r="S417"/>
  <c r="U417"/>
  <c r="W417"/>
  <c r="X417"/>
  <c r="Y417"/>
  <c r="AA417"/>
  <c r="AC417"/>
  <c r="V417"/>
  <c r="Z417"/>
  <c r="R399" i="119"/>
  <c r="W399"/>
  <c r="AE399"/>
  <c r="X399"/>
  <c r="AF399"/>
  <c r="Y399"/>
  <c r="AG399"/>
  <c r="S399"/>
  <c r="AA399"/>
  <c r="AI399"/>
  <c r="R375"/>
  <c r="V375"/>
  <c r="AD375"/>
  <c r="W375"/>
  <c r="AE375"/>
  <c r="X375"/>
  <c r="AF375"/>
  <c r="Z375"/>
  <c r="AH375"/>
  <c r="T360"/>
  <c r="AB360"/>
  <c r="AJ360"/>
  <c r="U360"/>
  <c r="AC360"/>
  <c r="AD360"/>
  <c r="X360"/>
  <c r="R355"/>
  <c r="Y355"/>
  <c r="AG355"/>
  <c r="Z355"/>
  <c r="AH355"/>
  <c r="S355"/>
  <c r="AA355"/>
  <c r="AI355"/>
  <c r="U355"/>
  <c r="AC355"/>
  <c r="R327"/>
  <c r="R56" s="1"/>
  <c r="W327"/>
  <c r="W56" s="1"/>
  <c r="AE327"/>
  <c r="AE56" s="1"/>
  <c r="X327"/>
  <c r="X56" s="1"/>
  <c r="AF327"/>
  <c r="AF56" s="1"/>
  <c r="Y327"/>
  <c r="Y56" s="1"/>
  <c r="AG327"/>
  <c r="AG56" s="1"/>
  <c r="S327"/>
  <c r="S56" s="1"/>
  <c r="AA327"/>
  <c r="AA56" s="1"/>
  <c r="AI327"/>
  <c r="AI56" s="1"/>
  <c r="R312"/>
  <c r="Z312"/>
  <c r="AH312"/>
  <c r="S312"/>
  <c r="AA312"/>
  <c r="T312"/>
  <c r="AB312"/>
  <c r="AJ312"/>
  <c r="V312"/>
  <c r="AD312"/>
  <c r="W285"/>
  <c r="W54" s="1"/>
  <c r="AE285"/>
  <c r="AE54" s="1"/>
  <c r="X285"/>
  <c r="AF285"/>
  <c r="Y285"/>
  <c r="AG285"/>
  <c r="AG54" s="1"/>
  <c r="S285"/>
  <c r="S54" s="1"/>
  <c r="AA285"/>
  <c r="AA54" s="1"/>
  <c r="AI285"/>
  <c r="AI54" s="1"/>
  <c r="R251"/>
  <c r="T251"/>
  <c r="AB251"/>
  <c r="AJ251"/>
  <c r="U251"/>
  <c r="AC251"/>
  <c r="V251"/>
  <c r="AD251"/>
  <c r="X251"/>
  <c r="AF251"/>
  <c r="S150"/>
  <c r="AA150"/>
  <c r="AI150"/>
  <c r="T150"/>
  <c r="AB150"/>
  <c r="U150"/>
  <c r="AC150"/>
  <c r="AK150"/>
  <c r="W150"/>
  <c r="AE150"/>
  <c r="R106"/>
  <c r="AC106"/>
  <c r="V106"/>
  <c r="AD106"/>
  <c r="AE106"/>
  <c r="Y106"/>
  <c r="AG106"/>
  <c r="S250"/>
  <c r="Z492"/>
  <c r="AH492"/>
  <c r="S492"/>
  <c r="AA492"/>
  <c r="T492"/>
  <c r="AB492"/>
  <c r="AJ492"/>
  <c r="V492"/>
  <c r="AD492"/>
  <c r="W487"/>
  <c r="AE487"/>
  <c r="X487"/>
  <c r="AF487"/>
  <c r="Y487"/>
  <c r="AG487"/>
  <c r="S487"/>
  <c r="AA487"/>
  <c r="AI487"/>
  <c r="R471"/>
  <c r="Z471"/>
  <c r="AH471"/>
  <c r="S471"/>
  <c r="AA471"/>
  <c r="T471"/>
  <c r="AB471"/>
  <c r="AJ471"/>
  <c r="V471"/>
  <c r="AD471"/>
  <c r="X460"/>
  <c r="AF460"/>
  <c r="Y460"/>
  <c r="AG460"/>
  <c r="Z460"/>
  <c r="AH460"/>
  <c r="T460"/>
  <c r="AB460"/>
  <c r="R418"/>
  <c r="U418"/>
  <c r="AC418"/>
  <c r="V418"/>
  <c r="AD418"/>
  <c r="W418"/>
  <c r="AE418"/>
  <c r="Y418"/>
  <c r="AG418"/>
  <c r="R398"/>
  <c r="X398"/>
  <c r="AF398"/>
  <c r="Y398"/>
  <c r="AG398"/>
  <c r="Z398"/>
  <c r="AH398"/>
  <c r="T398"/>
  <c r="AB398"/>
  <c r="N294"/>
  <c r="R235"/>
  <c r="S235"/>
  <c r="AA235"/>
  <c r="AI235"/>
  <c r="T235"/>
  <c r="AB235"/>
  <c r="U235"/>
  <c r="AC235"/>
  <c r="AK235"/>
  <c r="W235"/>
  <c r="AE235"/>
  <c r="X145"/>
  <c r="AF145"/>
  <c r="Y145"/>
  <c r="AG145"/>
  <c r="Z145"/>
  <c r="AH145"/>
  <c r="T145"/>
  <c r="AB145"/>
  <c r="R190" i="118"/>
  <c r="S190"/>
  <c r="X190"/>
  <c r="Y190"/>
  <c r="AA190"/>
  <c r="W190"/>
  <c r="R124"/>
  <c r="V124"/>
  <c r="W124"/>
  <c r="AB124"/>
  <c r="U124"/>
  <c r="AC124"/>
  <c r="S124"/>
  <c r="T124"/>
  <c r="X124"/>
  <c r="Z124"/>
  <c r="AA124"/>
  <c r="R105"/>
  <c r="S105"/>
  <c r="T105"/>
  <c r="V105"/>
  <c r="W105"/>
  <c r="X105"/>
  <c r="Y105"/>
  <c r="Z105"/>
  <c r="AB105"/>
  <c r="AC105"/>
  <c r="U105"/>
  <c r="S491" i="119"/>
  <c r="AA491"/>
  <c r="AI491"/>
  <c r="T491"/>
  <c r="AB491"/>
  <c r="U491"/>
  <c r="AC491"/>
  <c r="W491"/>
  <c r="AE491"/>
  <c r="Y397"/>
  <c r="AG397"/>
  <c r="Z397"/>
  <c r="AH397"/>
  <c r="R397"/>
  <c r="S397"/>
  <c r="AA397"/>
  <c r="AI397"/>
  <c r="U397"/>
  <c r="AC397"/>
  <c r="W369"/>
  <c r="W58" s="1"/>
  <c r="AE369"/>
  <c r="AE58" s="1"/>
  <c r="X369"/>
  <c r="X58" s="1"/>
  <c r="AF369"/>
  <c r="AF58" s="1"/>
  <c r="Y369"/>
  <c r="Y58" s="1"/>
  <c r="AG369"/>
  <c r="AG58" s="1"/>
  <c r="S369"/>
  <c r="S58" s="1"/>
  <c r="AA369"/>
  <c r="AA58" s="1"/>
  <c r="AI369"/>
  <c r="AI58" s="1"/>
  <c r="Z354"/>
  <c r="AH354"/>
  <c r="S354"/>
  <c r="AA354"/>
  <c r="T354"/>
  <c r="AB354"/>
  <c r="AJ354"/>
  <c r="R354"/>
  <c r="V354"/>
  <c r="AD354"/>
  <c r="U250"/>
  <c r="AC250"/>
  <c r="V250"/>
  <c r="AD250"/>
  <c r="W250"/>
  <c r="AE250"/>
  <c r="Y250"/>
  <c r="AG250"/>
  <c r="T234"/>
  <c r="AB234"/>
  <c r="AJ234"/>
  <c r="U234"/>
  <c r="AC234"/>
  <c r="AD234"/>
  <c r="X234"/>
  <c r="S189" i="118"/>
  <c r="T189"/>
  <c r="V189"/>
  <c r="X189"/>
  <c r="Y189"/>
  <c r="W189"/>
  <c r="Z189"/>
  <c r="U189"/>
  <c r="AB189"/>
  <c r="AA189"/>
  <c r="R189"/>
  <c r="U151"/>
  <c r="V151"/>
  <c r="R151"/>
  <c r="T151"/>
  <c r="W151"/>
  <c r="AA151"/>
  <c r="S151"/>
  <c r="AB151"/>
  <c r="AC151"/>
  <c r="X151"/>
  <c r="Z151"/>
  <c r="Y151"/>
  <c r="S322" i="117"/>
  <c r="R322"/>
  <c r="S495" i="118"/>
  <c r="T495"/>
  <c r="U495"/>
  <c r="Y495"/>
  <c r="V495"/>
  <c r="Z495"/>
  <c r="AA495"/>
  <c r="AC495"/>
  <c r="R495"/>
  <c r="R285"/>
  <c r="R54" s="1"/>
  <c r="S285"/>
  <c r="S54" s="1"/>
  <c r="V285"/>
  <c r="V54" s="1"/>
  <c r="X285"/>
  <c r="X54" s="1"/>
  <c r="U285"/>
  <c r="U54" s="1"/>
  <c r="Y285"/>
  <c r="Y54" s="1"/>
  <c r="Z285"/>
  <c r="W285"/>
  <c r="W54" s="1"/>
  <c r="AB285"/>
  <c r="AB54" s="1"/>
  <c r="AA285"/>
  <c r="AA54" s="1"/>
  <c r="AC285"/>
  <c r="AC54" s="1"/>
  <c r="AD285"/>
  <c r="AD54" s="1"/>
  <c r="R166"/>
  <c r="T166"/>
  <c r="U166"/>
  <c r="V166"/>
  <c r="X166"/>
  <c r="Z166"/>
  <c r="S166"/>
  <c r="Y166"/>
  <c r="AB166"/>
  <c r="AC166"/>
  <c r="T376" i="116"/>
  <c r="R376"/>
  <c r="X376"/>
  <c r="Y376"/>
  <c r="AB376"/>
  <c r="V376"/>
  <c r="W376"/>
  <c r="AA376"/>
  <c r="S376"/>
  <c r="U376"/>
  <c r="AC376"/>
  <c r="AE376"/>
  <c r="AD376"/>
  <c r="AH376"/>
  <c r="Z376"/>
  <c r="AF376"/>
  <c r="AG376"/>
  <c r="R334" i="118"/>
  <c r="T334"/>
  <c r="X334"/>
  <c r="W334"/>
  <c r="Z334"/>
  <c r="V334"/>
  <c r="S334"/>
  <c r="U334"/>
  <c r="AB334"/>
  <c r="V264"/>
  <c r="V53" s="1"/>
  <c r="AB264"/>
  <c r="AB53" s="1"/>
  <c r="AC264"/>
  <c r="AC53" s="1"/>
  <c r="W264"/>
  <c r="AD264"/>
  <c r="AD53" s="1"/>
  <c r="S264"/>
  <c r="S53" s="1"/>
  <c r="X264"/>
  <c r="X53" s="1"/>
  <c r="U264"/>
  <c r="U53" s="1"/>
  <c r="Y264"/>
  <c r="AA264"/>
  <c r="Y334"/>
  <c r="S314"/>
  <c r="T314"/>
  <c r="W314"/>
  <c r="Y314"/>
  <c r="Z314"/>
  <c r="AA314"/>
  <c r="R314"/>
  <c r="V314"/>
  <c r="AC314"/>
  <c r="AB314"/>
  <c r="U314"/>
  <c r="S109"/>
  <c r="T109"/>
  <c r="W109"/>
  <c r="Y109"/>
  <c r="Z109"/>
  <c r="AA109"/>
  <c r="U109"/>
  <c r="AC109"/>
  <c r="V109"/>
  <c r="R109"/>
  <c r="R180" i="119"/>
  <c r="S180"/>
  <c r="S133"/>
  <c r="R133"/>
  <c r="T376" i="118"/>
  <c r="S376"/>
  <c r="U376"/>
  <c r="V376"/>
  <c r="W376"/>
  <c r="X376"/>
  <c r="Z376"/>
  <c r="Y376"/>
  <c r="AB376"/>
  <c r="S356"/>
  <c r="T356"/>
  <c r="W356"/>
  <c r="U356"/>
  <c r="V356"/>
  <c r="Y356"/>
  <c r="Z356"/>
  <c r="R356"/>
  <c r="AA356"/>
  <c r="AC356"/>
  <c r="AB356"/>
  <c r="X356"/>
  <c r="R337"/>
  <c r="V337"/>
  <c r="AA337"/>
  <c r="S337"/>
  <c r="AB337"/>
  <c r="T337"/>
  <c r="AC337"/>
  <c r="Y337"/>
  <c r="W337"/>
  <c r="X337"/>
  <c r="S333"/>
  <c r="U333"/>
  <c r="X333"/>
  <c r="Y333"/>
  <c r="AA333"/>
  <c r="Z333"/>
  <c r="AB333"/>
  <c r="T333"/>
  <c r="T427"/>
  <c r="R427"/>
  <c r="U427"/>
  <c r="W427"/>
  <c r="X427"/>
  <c r="S427"/>
  <c r="Z427"/>
  <c r="S298"/>
  <c r="V298"/>
  <c r="U298"/>
  <c r="X298"/>
  <c r="Y298"/>
  <c r="Z298"/>
  <c r="T298"/>
  <c r="W298"/>
  <c r="AB298"/>
  <c r="S209"/>
  <c r="R209"/>
  <c r="AC209"/>
  <c r="T209"/>
  <c r="V209"/>
  <c r="W209"/>
  <c r="Y209"/>
  <c r="V169"/>
  <c r="S169"/>
  <c r="W169"/>
  <c r="AA169"/>
  <c r="AB169"/>
  <c r="R169"/>
  <c r="R249" i="117"/>
  <c r="S249"/>
  <c r="R145"/>
  <c r="S145"/>
  <c r="S417" i="116"/>
  <c r="T417"/>
  <c r="R417"/>
  <c r="AB417"/>
  <c r="V417"/>
  <c r="W417"/>
  <c r="AE417"/>
  <c r="U417"/>
  <c r="AD417"/>
  <c r="AH417"/>
  <c r="AG417"/>
  <c r="AA417"/>
  <c r="X417"/>
  <c r="Y417"/>
  <c r="Z417"/>
  <c r="AC417"/>
  <c r="AF417"/>
  <c r="S377"/>
  <c r="R377"/>
  <c r="T377"/>
  <c r="X377"/>
  <c r="Y377"/>
  <c r="AC377"/>
  <c r="U377"/>
  <c r="Z377"/>
  <c r="AF377"/>
  <c r="V377"/>
  <c r="W377"/>
  <c r="AB377"/>
  <c r="AE377"/>
  <c r="AD377"/>
  <c r="AH377"/>
  <c r="AG377"/>
  <c r="AA377"/>
  <c r="R361"/>
  <c r="S361"/>
  <c r="U361"/>
  <c r="V361"/>
  <c r="Z361"/>
  <c r="T361"/>
  <c r="Y361"/>
  <c r="AB361"/>
  <c r="AF361"/>
  <c r="AC361"/>
  <c r="W361"/>
  <c r="X361"/>
  <c r="AA361"/>
  <c r="AG361"/>
  <c r="AD361"/>
  <c r="AH361"/>
  <c r="AE361"/>
  <c r="T322"/>
  <c r="S322"/>
  <c r="W322"/>
  <c r="R322"/>
  <c r="V322"/>
  <c r="U322"/>
  <c r="AA322"/>
  <c r="Z322"/>
  <c r="Y322"/>
  <c r="AB322"/>
  <c r="X322"/>
  <c r="AG322"/>
  <c r="AD322"/>
  <c r="AH322"/>
  <c r="AE322"/>
  <c r="AF322"/>
  <c r="AC322"/>
  <c r="S423" i="118"/>
  <c r="T423"/>
  <c r="Y423"/>
  <c r="Z423"/>
  <c r="AA423"/>
  <c r="AC423"/>
  <c r="T397"/>
  <c r="R397"/>
  <c r="U397"/>
  <c r="Z397"/>
  <c r="S397"/>
  <c r="AA397"/>
  <c r="AB397"/>
  <c r="V397"/>
  <c r="S340"/>
  <c r="V340"/>
  <c r="X340"/>
  <c r="Y340"/>
  <c r="W340"/>
  <c r="Z340"/>
  <c r="AB340"/>
  <c r="S213"/>
  <c r="T213"/>
  <c r="W213"/>
  <c r="U213"/>
  <c r="Y213"/>
  <c r="Z213"/>
  <c r="AA213"/>
  <c r="AC213"/>
  <c r="R470"/>
  <c r="V470"/>
  <c r="AB470"/>
  <c r="S470"/>
  <c r="AC470"/>
  <c r="U470"/>
  <c r="X470"/>
  <c r="U354"/>
  <c r="R354"/>
  <c r="V354"/>
  <c r="AA354"/>
  <c r="AB354"/>
  <c r="T354"/>
  <c r="AC354"/>
  <c r="R273"/>
  <c r="S273"/>
  <c r="V273"/>
  <c r="X273"/>
  <c r="U273"/>
  <c r="Y273"/>
  <c r="Z273"/>
  <c r="AB273"/>
  <c r="T250"/>
  <c r="W250"/>
  <c r="R250"/>
  <c r="V250"/>
  <c r="X250"/>
  <c r="S250"/>
  <c r="Z250"/>
  <c r="R145"/>
  <c r="S145"/>
  <c r="T145"/>
  <c r="W145"/>
  <c r="Y145"/>
  <c r="U145"/>
  <c r="Z145"/>
  <c r="V145"/>
  <c r="AA145"/>
  <c r="AC145"/>
  <c r="T470"/>
  <c r="S354"/>
  <c r="S486"/>
  <c r="T486"/>
  <c r="R486"/>
  <c r="Y486"/>
  <c r="U486"/>
  <c r="Z486"/>
  <c r="V486"/>
  <c r="AA486"/>
  <c r="AC486"/>
  <c r="AB348"/>
  <c r="AB57" s="1"/>
  <c r="T348"/>
  <c r="T57" s="1"/>
  <c r="AC348"/>
  <c r="AC57" s="1"/>
  <c r="AD348"/>
  <c r="AD57" s="1"/>
  <c r="R348"/>
  <c r="R57" s="1"/>
  <c r="X348"/>
  <c r="X57" s="1"/>
  <c r="T322"/>
  <c r="U322"/>
  <c r="Z322"/>
  <c r="W322"/>
  <c r="AA322"/>
  <c r="R322"/>
  <c r="V322"/>
  <c r="AB322"/>
  <c r="S322"/>
  <c r="S272"/>
  <c r="T272"/>
  <c r="W272"/>
  <c r="U272"/>
  <c r="Y272"/>
  <c r="Z272"/>
  <c r="V272"/>
  <c r="AA272"/>
  <c r="R272"/>
  <c r="AC272"/>
  <c r="S249"/>
  <c r="R249"/>
  <c r="U249"/>
  <c r="V249"/>
  <c r="X249"/>
  <c r="Y249"/>
  <c r="AA249"/>
  <c r="T217"/>
  <c r="S217"/>
  <c r="U217"/>
  <c r="V217"/>
  <c r="W217"/>
  <c r="X217"/>
  <c r="R217"/>
  <c r="Z217"/>
  <c r="V180"/>
  <c r="R180"/>
  <c r="AB180"/>
  <c r="U180"/>
  <c r="AC180"/>
  <c r="AD180"/>
  <c r="X180"/>
  <c r="T419"/>
  <c r="S473"/>
  <c r="S411"/>
  <c r="S60" s="1"/>
  <c r="V411"/>
  <c r="V60" s="1"/>
  <c r="S375"/>
  <c r="R375"/>
  <c r="U375"/>
  <c r="S318"/>
  <c r="S234"/>
  <c r="S230"/>
  <c r="T230"/>
  <c r="W230"/>
  <c r="R207"/>
  <c r="S207"/>
  <c r="U207"/>
  <c r="S188"/>
  <c r="T188"/>
  <c r="R188"/>
  <c r="W188"/>
  <c r="V165"/>
  <c r="W165"/>
  <c r="T472"/>
  <c r="U472"/>
  <c r="S382"/>
  <c r="R382"/>
  <c r="V382"/>
  <c r="S360"/>
  <c r="R301"/>
  <c r="T301"/>
  <c r="T271"/>
  <c r="U271"/>
  <c r="R271"/>
  <c r="S201"/>
  <c r="T201"/>
  <c r="V201"/>
  <c r="V50" s="1"/>
  <c r="V168"/>
  <c r="R168"/>
  <c r="R487"/>
  <c r="S487"/>
  <c r="V487"/>
  <c r="R456"/>
  <c r="U396"/>
  <c r="V396"/>
  <c r="T313"/>
  <c r="U313"/>
  <c r="R292"/>
  <c r="S232"/>
  <c r="R232"/>
  <c r="R210"/>
  <c r="V210"/>
  <c r="S129"/>
  <c r="U129"/>
  <c r="S104"/>
  <c r="T104"/>
  <c r="W104"/>
  <c r="S471" i="117"/>
  <c r="R471"/>
  <c r="S459"/>
  <c r="R398"/>
  <c r="S398"/>
  <c r="S460" i="118"/>
  <c r="T460"/>
  <c r="S447"/>
  <c r="S64" s="1"/>
  <c r="T447"/>
  <c r="T64" s="1"/>
  <c r="R418"/>
  <c r="T418"/>
  <c r="R400"/>
  <c r="S400"/>
  <c r="U270"/>
  <c r="R270"/>
  <c r="V270"/>
  <c r="S256"/>
  <c r="V256"/>
  <c r="T238"/>
  <c r="U238"/>
  <c r="T103"/>
  <c r="U103"/>
  <c r="R103"/>
  <c r="S475" i="117"/>
  <c r="S492"/>
  <c r="R492"/>
  <c r="R418"/>
  <c r="S418"/>
  <c r="R355"/>
  <c r="S355"/>
  <c r="S292"/>
  <c r="R485"/>
  <c r="S485"/>
  <c r="R460"/>
  <c r="R301"/>
  <c r="S301"/>
  <c r="R201"/>
  <c r="R50" s="1"/>
  <c r="S201"/>
  <c r="S50" s="1"/>
  <c r="T201"/>
  <c r="T50" s="1"/>
  <c r="S318"/>
  <c r="R180"/>
  <c r="S180"/>
  <c r="T180"/>
  <c r="R489"/>
  <c r="T447"/>
  <c r="T64" s="1"/>
  <c r="R447"/>
  <c r="R64" s="1"/>
  <c r="R334"/>
  <c r="R230"/>
  <c r="R396"/>
  <c r="S396"/>
  <c r="S102" i="116"/>
  <c r="U102"/>
  <c r="V102"/>
  <c r="Y102"/>
  <c r="R102"/>
  <c r="Z102"/>
  <c r="T102"/>
  <c r="AB102"/>
  <c r="AA102"/>
  <c r="X102"/>
  <c r="AF102"/>
  <c r="W102"/>
  <c r="AC102"/>
  <c r="AE102"/>
  <c r="AD102"/>
  <c r="AH102"/>
  <c r="AG102"/>
  <c r="R400" i="117"/>
  <c r="R208"/>
  <c r="S189"/>
  <c r="R168"/>
  <c r="S168"/>
  <c r="R337"/>
  <c r="R295"/>
  <c r="R256"/>
  <c r="S256"/>
  <c r="S193"/>
  <c r="R188"/>
  <c r="R130"/>
  <c r="R124"/>
  <c r="S124"/>
  <c r="S165"/>
  <c r="R487"/>
  <c r="S487"/>
  <c r="R385"/>
  <c r="R356"/>
  <c r="R270"/>
  <c r="S270"/>
  <c r="R207"/>
  <c r="R166"/>
  <c r="R105"/>
  <c r="S105"/>
  <c r="S333"/>
  <c r="S207"/>
  <c r="S491"/>
  <c r="R293"/>
  <c r="S264"/>
  <c r="S53" s="1"/>
  <c r="T264"/>
  <c r="T53" s="1"/>
  <c r="R250"/>
  <c r="S186"/>
  <c r="R186"/>
  <c r="S432" i="116"/>
  <c r="S61" s="1"/>
  <c r="U432"/>
  <c r="U61" s="1"/>
  <c r="V432"/>
  <c r="V61" s="1"/>
  <c r="R432"/>
  <c r="R61" s="1"/>
  <c r="Z432"/>
  <c r="X432"/>
  <c r="Y432"/>
  <c r="Y61" s="1"/>
  <c r="W432"/>
  <c r="AB432"/>
  <c r="AF432"/>
  <c r="AA432"/>
  <c r="T432"/>
  <c r="T61" s="1"/>
  <c r="AE432"/>
  <c r="AI432"/>
  <c r="Z474"/>
  <c r="R319"/>
  <c r="S319"/>
  <c r="U319"/>
  <c r="V319"/>
  <c r="Z319"/>
  <c r="W319"/>
  <c r="Y319"/>
  <c r="T319"/>
  <c r="X319"/>
  <c r="AB319"/>
  <c r="AF319"/>
  <c r="AA319"/>
  <c r="Z212"/>
  <c r="S479"/>
  <c r="U479"/>
  <c r="V479"/>
  <c r="Z479"/>
  <c r="T479"/>
  <c r="X479"/>
  <c r="W479"/>
  <c r="Y479"/>
  <c r="AB479"/>
  <c r="AF479"/>
  <c r="R479"/>
  <c r="S168"/>
  <c r="R168"/>
  <c r="U168"/>
  <c r="V168"/>
  <c r="T168"/>
  <c r="Y168"/>
  <c r="X168"/>
  <c r="Z168"/>
  <c r="W168"/>
  <c r="AB168"/>
  <c r="AA168"/>
  <c r="AC168"/>
  <c r="AF168"/>
  <c r="T453"/>
  <c r="S453"/>
  <c r="W453"/>
  <c r="AB453"/>
  <c r="U453"/>
  <c r="AA453"/>
  <c r="Z453"/>
  <c r="Z380"/>
  <c r="X211"/>
  <c r="U211"/>
  <c r="W211"/>
  <c r="T146"/>
  <c r="S146"/>
  <c r="R146"/>
  <c r="X146"/>
  <c r="W146"/>
  <c r="AB146"/>
  <c r="Y146"/>
  <c r="AA146"/>
  <c r="U146"/>
  <c r="Z146"/>
  <c r="T108"/>
  <c r="S108"/>
  <c r="W108"/>
  <c r="Y108"/>
  <c r="AA108"/>
  <c r="U108"/>
  <c r="Z108"/>
  <c r="AC108"/>
  <c r="S165"/>
  <c r="R165"/>
  <c r="V165"/>
  <c r="W165"/>
  <c r="X165"/>
  <c r="Y165"/>
  <c r="AA165"/>
  <c r="R419"/>
  <c r="T419"/>
  <c r="X419"/>
  <c r="Y419"/>
  <c r="AC419"/>
  <c r="V419"/>
  <c r="W419"/>
  <c r="R251"/>
  <c r="S251"/>
  <c r="U251"/>
  <c r="V251"/>
  <c r="AC251"/>
  <c r="Y251"/>
  <c r="T251"/>
  <c r="X251"/>
  <c r="V127"/>
  <c r="AA127"/>
  <c r="R105"/>
  <c r="T105"/>
  <c r="U105"/>
  <c r="AC105"/>
  <c r="V105"/>
  <c r="W105"/>
  <c r="X105"/>
  <c r="Z338"/>
  <c r="R333"/>
  <c r="T333"/>
  <c r="S333"/>
  <c r="X333"/>
  <c r="AB333"/>
  <c r="U333"/>
  <c r="Z296"/>
  <c r="T291"/>
  <c r="U291"/>
  <c r="S291"/>
  <c r="W291"/>
  <c r="X291"/>
  <c r="AB291"/>
  <c r="S234"/>
  <c r="U234"/>
  <c r="AC234"/>
  <c r="Y234"/>
  <c r="T166"/>
  <c r="R166"/>
  <c r="X166"/>
  <c r="S166"/>
  <c r="AB166"/>
  <c r="V166"/>
  <c r="AA166"/>
  <c r="S150"/>
  <c r="U150"/>
  <c r="Y150"/>
  <c r="Z150"/>
  <c r="W150"/>
  <c r="X150"/>
  <c r="AB150"/>
  <c r="S419"/>
  <c r="R249"/>
  <c r="S249"/>
  <c r="U249"/>
  <c r="Y249"/>
  <c r="AB249"/>
  <c r="R396"/>
  <c r="S396"/>
  <c r="U396"/>
  <c r="T396"/>
  <c r="U381"/>
  <c r="S381"/>
  <c r="R375"/>
  <c r="T375"/>
  <c r="U375"/>
  <c r="T355"/>
  <c r="R355"/>
  <c r="S355"/>
  <c r="W355"/>
  <c r="U355"/>
  <c r="V355"/>
  <c r="V106"/>
  <c r="T487"/>
  <c r="S487"/>
  <c r="W487"/>
  <c r="R487"/>
  <c r="T354"/>
  <c r="R354"/>
  <c r="R335"/>
  <c r="U335"/>
  <c r="T214"/>
  <c r="S214"/>
  <c r="X214"/>
  <c r="R214"/>
  <c r="U214"/>
  <c r="W214"/>
  <c r="S180"/>
  <c r="R180"/>
  <c r="U180"/>
  <c r="T180"/>
  <c r="V180"/>
  <c r="Y180"/>
  <c r="R398"/>
  <c r="U398"/>
  <c r="T398"/>
  <c r="T334"/>
  <c r="R334"/>
  <c r="X334"/>
  <c r="T313"/>
  <c r="S313"/>
  <c r="R313"/>
  <c r="W313"/>
  <c r="V313"/>
  <c r="U313"/>
  <c r="T271"/>
  <c r="R271"/>
  <c r="S271"/>
  <c r="W271"/>
  <c r="V271"/>
  <c r="S491"/>
  <c r="T491"/>
  <c r="U491"/>
  <c r="R485"/>
  <c r="S485"/>
  <c r="W485"/>
  <c r="V485"/>
  <c r="T485"/>
  <c r="S277"/>
  <c r="U277"/>
  <c r="R277"/>
  <c r="V277"/>
  <c r="Y277"/>
  <c r="T277"/>
  <c r="R125"/>
  <c r="S125"/>
  <c r="U125"/>
  <c r="U457"/>
  <c r="R327"/>
  <c r="R56" s="1"/>
  <c r="T327"/>
  <c r="T56" s="1"/>
  <c r="S327"/>
  <c r="S56" s="1"/>
  <c r="N294"/>
  <c r="T285"/>
  <c r="T54" s="1"/>
  <c r="S285"/>
  <c r="S54" s="1"/>
  <c r="R188"/>
  <c r="S188"/>
  <c r="S124"/>
  <c r="U124"/>
  <c r="T144"/>
  <c r="S144"/>
  <c r="R144"/>
  <c r="S472"/>
  <c r="R472"/>
  <c r="S420"/>
  <c r="U420"/>
  <c r="T397"/>
  <c r="S397"/>
  <c r="T369"/>
  <c r="T58" s="1"/>
  <c r="S369"/>
  <c r="S58" s="1"/>
  <c r="T243"/>
  <c r="T52" s="1"/>
  <c r="S243"/>
  <c r="S52" s="1"/>
  <c r="S210"/>
  <c r="U210"/>
  <c r="R187"/>
  <c r="T187"/>
  <c r="S187"/>
  <c r="X250"/>
  <c r="V472"/>
  <c r="U250"/>
  <c r="R424"/>
  <c r="T424"/>
  <c r="S424"/>
  <c r="R382"/>
  <c r="T382"/>
  <c r="S382"/>
  <c r="R154"/>
  <c r="S154"/>
  <c r="S470"/>
  <c r="U470"/>
  <c r="R418"/>
  <c r="T418"/>
  <c r="T357"/>
  <c r="S357"/>
  <c r="T315"/>
  <c r="S315"/>
  <c r="R301"/>
  <c r="T301"/>
  <c r="R292"/>
  <c r="T292"/>
  <c r="N254"/>
  <c r="R250"/>
  <c r="S222"/>
  <c r="S51" s="1"/>
  <c r="U222"/>
  <c r="U51" s="1"/>
  <c r="R208"/>
  <c r="T208"/>
  <c r="R133"/>
  <c r="S133"/>
  <c r="U133"/>
  <c r="R235"/>
  <c r="S235"/>
  <c r="U235"/>
  <c r="T231"/>
  <c r="S231"/>
  <c r="T42" i="117" l="1"/>
  <c r="T67" s="1"/>
  <c r="T267"/>
  <c r="T507"/>
  <c r="T508" s="1"/>
  <c r="T509" s="1"/>
  <c r="T466"/>
  <c r="T499"/>
  <c r="T450"/>
  <c r="T183"/>
  <c r="T157"/>
  <c r="T351"/>
  <c r="T304"/>
  <c r="T178"/>
  <c r="T220"/>
  <c r="T283"/>
  <c r="T482"/>
  <c r="T325"/>
  <c r="T503"/>
  <c r="T288"/>
  <c r="T241"/>
  <c r="T115"/>
  <c r="T309"/>
  <c r="T204"/>
  <c r="T435"/>
  <c r="T330"/>
  <c r="T367"/>
  <c r="T409"/>
  <c r="T414"/>
  <c r="T372"/>
  <c r="T393"/>
  <c r="T199"/>
  <c r="T136"/>
  <c r="T225"/>
  <c r="T16"/>
  <c r="T94"/>
  <c r="T120"/>
  <c r="T440"/>
  <c r="T445"/>
  <c r="T388"/>
  <c r="T99"/>
  <c r="T346"/>
  <c r="T262"/>
  <c r="T246"/>
  <c r="T162"/>
  <c r="U8"/>
  <c r="T430"/>
  <c r="T141"/>
  <c r="AN492" i="28"/>
  <c r="AN496" s="1"/>
  <c r="AN87" s="1"/>
  <c r="AN424"/>
  <c r="AN428" s="1"/>
  <c r="AN84" s="1"/>
  <c r="AN298"/>
  <c r="AN214"/>
  <c r="AN460"/>
  <c r="AN382"/>
  <c r="AN193"/>
  <c r="AN197" s="1"/>
  <c r="AN73" s="1"/>
  <c r="AN130"/>
  <c r="AN134" s="1"/>
  <c r="AN70" s="1"/>
  <c r="AN476"/>
  <c r="AN480" s="1"/>
  <c r="AN86" s="1"/>
  <c r="AN319"/>
  <c r="AN323" s="1"/>
  <c r="AN79" s="1"/>
  <c r="AN235"/>
  <c r="AN151"/>
  <c r="AN155" s="1"/>
  <c r="AN71" s="1"/>
  <c r="AN109"/>
  <c r="AN277"/>
  <c r="AN281" s="1"/>
  <c r="AN77" s="1"/>
  <c r="AN361"/>
  <c r="AN365" s="1"/>
  <c r="AN81" s="1"/>
  <c r="AN340"/>
  <c r="AN256"/>
  <c r="AN260" s="1"/>
  <c r="AN76" s="1"/>
  <c r="AN172"/>
  <c r="AN176" s="1"/>
  <c r="AN72" s="1"/>
  <c r="AN403"/>
  <c r="AN25" i="119"/>
  <c r="AN464" i="28"/>
  <c r="AN85" s="1"/>
  <c r="AO26" i="121"/>
  <c r="AM25" i="28"/>
  <c r="AP25"/>
  <c r="AM26"/>
  <c r="AQ25"/>
  <c r="AS25"/>
  <c r="AQ26"/>
  <c r="AR31" i="119"/>
  <c r="AQ26"/>
  <c r="AS26" i="28"/>
  <c r="M37" i="11"/>
  <c r="M24"/>
  <c r="L24" s="1"/>
  <c r="K24" s="1"/>
  <c r="V513" i="116"/>
  <c r="V513" i="118"/>
  <c r="V513" i="117"/>
  <c r="V513" i="119"/>
  <c r="V513" i="120"/>
  <c r="V513" i="28"/>
  <c r="V513" i="121"/>
  <c r="AI225" i="116"/>
  <c r="AI199"/>
  <c r="AI372"/>
  <c r="AI503"/>
  <c r="AI325"/>
  <c r="AI388"/>
  <c r="AI351"/>
  <c r="AI16"/>
  <c r="AI178"/>
  <c r="AI94"/>
  <c r="AI42"/>
  <c r="AI67" s="1"/>
  <c r="AI507"/>
  <c r="AI508" s="1"/>
  <c r="AI509" s="1"/>
  <c r="AI309"/>
  <c r="AI283"/>
  <c r="AI499"/>
  <c r="AI120"/>
  <c r="AI409"/>
  <c r="AI414"/>
  <c r="AI445"/>
  <c r="AI136"/>
  <c r="AI220"/>
  <c r="AI304"/>
  <c r="AI99"/>
  <c r="AI393"/>
  <c r="AI367"/>
  <c r="AJ8"/>
  <c r="AI204"/>
  <c r="AI440"/>
  <c r="AI157"/>
  <c r="AI262"/>
  <c r="AI162"/>
  <c r="AI435"/>
  <c r="AI430"/>
  <c r="AI246"/>
  <c r="AI183"/>
  <c r="AI141"/>
  <c r="AI115"/>
  <c r="AI288"/>
  <c r="AI466"/>
  <c r="AI241"/>
  <c r="AI267"/>
  <c r="AI346"/>
  <c r="AI482"/>
  <c r="AI450"/>
  <c r="AI330"/>
  <c r="AL106" i="28"/>
  <c r="AL107"/>
  <c r="AL132"/>
  <c r="AL150"/>
  <c r="AL190"/>
  <c r="AL211"/>
  <c r="AL232"/>
  <c r="AL253"/>
  <c r="AL274"/>
  <c r="AL295"/>
  <c r="AL316"/>
  <c r="AL337"/>
  <c r="AL358"/>
  <c r="AL379"/>
  <c r="AL400"/>
  <c r="AL421"/>
  <c r="AL457"/>
  <c r="AL473"/>
  <c r="AL489"/>
  <c r="AL169"/>
  <c r="AL128"/>
  <c r="AL153"/>
  <c r="AL171"/>
  <c r="AL192"/>
  <c r="AL213"/>
  <c r="AL234"/>
  <c r="AL255"/>
  <c r="AL276"/>
  <c r="AL297"/>
  <c r="AL318"/>
  <c r="AL339"/>
  <c r="AL360"/>
  <c r="AL381"/>
  <c r="AL402"/>
  <c r="AL423"/>
  <c r="AL459"/>
  <c r="AL475"/>
  <c r="AL491"/>
  <c r="AL148"/>
  <c r="AL108"/>
  <c r="AL149"/>
  <c r="AL174"/>
  <c r="AL195"/>
  <c r="AL216"/>
  <c r="AL237"/>
  <c r="AL258"/>
  <c r="AL279"/>
  <c r="AL300"/>
  <c r="AL321"/>
  <c r="AL342"/>
  <c r="AL363"/>
  <c r="AL384"/>
  <c r="AL405"/>
  <c r="AL426"/>
  <c r="AL462"/>
  <c r="AL478"/>
  <c r="AL494"/>
  <c r="AL127"/>
  <c r="AL111"/>
  <c r="AL129"/>
  <c r="AL170"/>
  <c r="AL191"/>
  <c r="AL212"/>
  <c r="AL233"/>
  <c r="AL254"/>
  <c r="AL275"/>
  <c r="AL296"/>
  <c r="AL317"/>
  <c r="AL338"/>
  <c r="AL359"/>
  <c r="AL380"/>
  <c r="AL401"/>
  <c r="AL422"/>
  <c r="AL458"/>
  <c r="AL474"/>
  <c r="AL490"/>
  <c r="AL455"/>
  <c r="AL375"/>
  <c r="AL485"/>
  <c r="AL376"/>
  <c r="AL293"/>
  <c r="AL209"/>
  <c r="AL125"/>
  <c r="AL486"/>
  <c r="AL229"/>
  <c r="AL418"/>
  <c r="AL354"/>
  <c r="AL272"/>
  <c r="AL188"/>
  <c r="AL104"/>
  <c r="AL210"/>
  <c r="AL335"/>
  <c r="AL208"/>
  <c r="AL230"/>
  <c r="AL471"/>
  <c r="AL189"/>
  <c r="AL251"/>
  <c r="AL424"/>
  <c r="AL364"/>
  <c r="AL166"/>
  <c r="AL397"/>
  <c r="AL207"/>
  <c r="AL39"/>
  <c r="AL167"/>
  <c r="AL235"/>
  <c r="AL479"/>
  <c r="AL382"/>
  <c r="AL492"/>
  <c r="AL399"/>
  <c r="AL322"/>
  <c r="AL238"/>
  <c r="AL154"/>
  <c r="AL495"/>
  <c r="AL252"/>
  <c r="AL460"/>
  <c r="AL378"/>
  <c r="AL301"/>
  <c r="AL217"/>
  <c r="AL133"/>
  <c r="AL271"/>
  <c r="AL103"/>
  <c r="AL298"/>
  <c r="AL406"/>
  <c r="AL334"/>
  <c r="AL228"/>
  <c r="AL280"/>
  <c r="AL472"/>
  <c r="AL377"/>
  <c r="AL175"/>
  <c r="AL356"/>
  <c r="AL314"/>
  <c r="AL112"/>
  <c r="AL196"/>
  <c r="AL130"/>
  <c r="AL398"/>
  <c r="AL470"/>
  <c r="AL456"/>
  <c r="AL361"/>
  <c r="AL270"/>
  <c r="AL186"/>
  <c r="AL102"/>
  <c r="AL313"/>
  <c r="AL145"/>
  <c r="AL403"/>
  <c r="AL333"/>
  <c r="AL249"/>
  <c r="AL165"/>
  <c r="AL294"/>
  <c r="AL126"/>
  <c r="AL315"/>
  <c r="AL105"/>
  <c r="AL453"/>
  <c r="AL292"/>
  <c r="AL250"/>
  <c r="AL214"/>
  <c r="AL396"/>
  <c r="AL407" s="1"/>
  <c r="AL83" s="1"/>
  <c r="AL273"/>
  <c r="AL476"/>
  <c r="AL343"/>
  <c r="AL291"/>
  <c r="AL454"/>
  <c r="AL147"/>
  <c r="AL427"/>
  <c r="AL488"/>
  <c r="AL463"/>
  <c r="AL385"/>
  <c r="AL277"/>
  <c r="AL193"/>
  <c r="AL109"/>
  <c r="AL336"/>
  <c r="AL168"/>
  <c r="AL417"/>
  <c r="AL340"/>
  <c r="AL256"/>
  <c r="AL172"/>
  <c r="AL487"/>
  <c r="AL187"/>
  <c r="AL319"/>
  <c r="AL144"/>
  <c r="AL123"/>
  <c r="AL355"/>
  <c r="AL259"/>
  <c r="AL231"/>
  <c r="AL420"/>
  <c r="AL312"/>
  <c r="AL146"/>
  <c r="AL357"/>
  <c r="AL419"/>
  <c r="AL469"/>
  <c r="AL151"/>
  <c r="AL124"/>
  <c r="AL492" i="119"/>
  <c r="AL496" s="1"/>
  <c r="AL87" s="1"/>
  <c r="AL382"/>
  <c r="AL386" s="1"/>
  <c r="AL82" s="1"/>
  <c r="AL193"/>
  <c r="AL197" s="1"/>
  <c r="AL73" s="1"/>
  <c r="AL109"/>
  <c r="AL298"/>
  <c r="AL302" s="1"/>
  <c r="AL78" s="1"/>
  <c r="AL277"/>
  <c r="AL281" s="1"/>
  <c r="AL77" s="1"/>
  <c r="AL172"/>
  <c r="AL176" s="1"/>
  <c r="AL72" s="1"/>
  <c r="AL151"/>
  <c r="AL155" s="1"/>
  <c r="AL71" s="1"/>
  <c r="AL361"/>
  <c r="AL365" s="1"/>
  <c r="AL81" s="1"/>
  <c r="AL256"/>
  <c r="AL260" s="1"/>
  <c r="AL76" s="1"/>
  <c r="AL214"/>
  <c r="AL218" s="1"/>
  <c r="AL74" s="1"/>
  <c r="AL460"/>
  <c r="AL464" s="1"/>
  <c r="AL85" s="1"/>
  <c r="AL403"/>
  <c r="AL407" s="1"/>
  <c r="AL83" s="1"/>
  <c r="AL319"/>
  <c r="AL323" s="1"/>
  <c r="AL79" s="1"/>
  <c r="AL424"/>
  <c r="AL428" s="1"/>
  <c r="AL84" s="1"/>
  <c r="AL130"/>
  <c r="AL134" s="1"/>
  <c r="AL70" s="1"/>
  <c r="AL340"/>
  <c r="AL344" s="1"/>
  <c r="AL80" s="1"/>
  <c r="AL476"/>
  <c r="AL480" s="1"/>
  <c r="AL86" s="1"/>
  <c r="AL235"/>
  <c r="AL239" s="1"/>
  <c r="AL75" s="1"/>
  <c r="AU169"/>
  <c r="AU128"/>
  <c r="AU153"/>
  <c r="AU171"/>
  <c r="AU192"/>
  <c r="AU213"/>
  <c r="AU234"/>
  <c r="AU255"/>
  <c r="AU276"/>
  <c r="AU297"/>
  <c r="AU318"/>
  <c r="AU339"/>
  <c r="AU360"/>
  <c r="AU381"/>
  <c r="AU402"/>
  <c r="AU423"/>
  <c r="AU459"/>
  <c r="AU475"/>
  <c r="AU491"/>
  <c r="AU148"/>
  <c r="AU108"/>
  <c r="AU149"/>
  <c r="AU174"/>
  <c r="AU195"/>
  <c r="AU216"/>
  <c r="AU237"/>
  <c r="AU258"/>
  <c r="AU279"/>
  <c r="AU300"/>
  <c r="AU321"/>
  <c r="AU342"/>
  <c r="AU363"/>
  <c r="AU384"/>
  <c r="AU405"/>
  <c r="AU426"/>
  <c r="AU462"/>
  <c r="AU478"/>
  <c r="AU494"/>
  <c r="AU127"/>
  <c r="AU111"/>
  <c r="AU129"/>
  <c r="AU170"/>
  <c r="AU191"/>
  <c r="AU212"/>
  <c r="AU233"/>
  <c r="AU254"/>
  <c r="AU275"/>
  <c r="AU296"/>
  <c r="AU317"/>
  <c r="AU338"/>
  <c r="AU359"/>
  <c r="AU380"/>
  <c r="AU401"/>
  <c r="AU422"/>
  <c r="AU458"/>
  <c r="AU474"/>
  <c r="AU490"/>
  <c r="AU106"/>
  <c r="AU107"/>
  <c r="AU132"/>
  <c r="AU150"/>
  <c r="AU190"/>
  <c r="AU211"/>
  <c r="AU232"/>
  <c r="AU253"/>
  <c r="AU274"/>
  <c r="AU295"/>
  <c r="AU316"/>
  <c r="AU337"/>
  <c r="AU358"/>
  <c r="AU379"/>
  <c r="AU400"/>
  <c r="AU421"/>
  <c r="AU457"/>
  <c r="AU473"/>
  <c r="AU489"/>
  <c r="AU492"/>
  <c r="AU476"/>
  <c r="AU377"/>
  <c r="AU293"/>
  <c r="AU420"/>
  <c r="AU424"/>
  <c r="AU340"/>
  <c r="AU488"/>
  <c r="AU294"/>
  <c r="AU335"/>
  <c r="AU209"/>
  <c r="AU125"/>
  <c r="AU419"/>
  <c r="AU145"/>
  <c r="AU250"/>
  <c r="AU165"/>
  <c r="AU427"/>
  <c r="AU235"/>
  <c r="AU151"/>
  <c r="AU495"/>
  <c r="AU454"/>
  <c r="AU208"/>
  <c r="AU382"/>
  <c r="AU207"/>
  <c r="AU230"/>
  <c r="AU292"/>
  <c r="AU314"/>
  <c r="AU453"/>
  <c r="AU464" s="1"/>
  <c r="AU85" s="1"/>
  <c r="AU313"/>
  <c r="AU487"/>
  <c r="AU406"/>
  <c r="AU322"/>
  <c r="AU471"/>
  <c r="AU472"/>
  <c r="AU356"/>
  <c r="AU272"/>
  <c r="AU355"/>
  <c r="AU376"/>
  <c r="AU238"/>
  <c r="AU154"/>
  <c r="AU456"/>
  <c r="AU168"/>
  <c r="AU312"/>
  <c r="AU172"/>
  <c r="AU460"/>
  <c r="AU256"/>
  <c r="AU167"/>
  <c r="AU39"/>
  <c r="AU105"/>
  <c r="AU315"/>
  <c r="AU403"/>
  <c r="AU214"/>
  <c r="AU398"/>
  <c r="AU251"/>
  <c r="AU418"/>
  <c r="AU103"/>
  <c r="AU20" s="1"/>
  <c r="AU210"/>
  <c r="AU463"/>
  <c r="AU486"/>
  <c r="AU354"/>
  <c r="AU365" s="1"/>
  <c r="AU81" s="1"/>
  <c r="AU270"/>
  <c r="AU336"/>
  <c r="AU385"/>
  <c r="AU301"/>
  <c r="AU378"/>
  <c r="AU470"/>
  <c r="AU249"/>
  <c r="AU186"/>
  <c r="AU102"/>
  <c r="AU229"/>
  <c r="AU334"/>
  <c r="AU188"/>
  <c r="AU104"/>
  <c r="AU319"/>
  <c r="AU196"/>
  <c r="AU112"/>
  <c r="AU298"/>
  <c r="AU357"/>
  <c r="AU146"/>
  <c r="AU252"/>
  <c r="AU124"/>
  <c r="AU280"/>
  <c r="AU123"/>
  <c r="AU130"/>
  <c r="AU147"/>
  <c r="AU396"/>
  <c r="AU485"/>
  <c r="AU469"/>
  <c r="AU480" s="1"/>
  <c r="AU86" s="1"/>
  <c r="AU361"/>
  <c r="AU277"/>
  <c r="AU397"/>
  <c r="AU417"/>
  <c r="AU428" s="1"/>
  <c r="AU84" s="1"/>
  <c r="AU333"/>
  <c r="AU479"/>
  <c r="AU271"/>
  <c r="AU259"/>
  <c r="AU193"/>
  <c r="AU109"/>
  <c r="AU273"/>
  <c r="AU343"/>
  <c r="AU217"/>
  <c r="AU133"/>
  <c r="AU375"/>
  <c r="AU386" s="1"/>
  <c r="AU82" s="1"/>
  <c r="AU228"/>
  <c r="AU144"/>
  <c r="AU455"/>
  <c r="AU399"/>
  <c r="AU175"/>
  <c r="AU291"/>
  <c r="AU166"/>
  <c r="AU187"/>
  <c r="AU231"/>
  <c r="AU189"/>
  <c r="AU364"/>
  <c r="AU126"/>
  <c r="Z12" i="1"/>
  <c r="AA5" s="1"/>
  <c r="AN428" i="119"/>
  <c r="AN84" s="1"/>
  <c r="AN386" i="28"/>
  <c r="AN82" s="1"/>
  <c r="AN302"/>
  <c r="AN78" s="1"/>
  <c r="AN218"/>
  <c r="AN74" s="1"/>
  <c r="AO365" i="119"/>
  <c r="AO81" s="1"/>
  <c r="AO197"/>
  <c r="AO73" s="1"/>
  <c r="AO134"/>
  <c r="AO70" s="1"/>
  <c r="AM428"/>
  <c r="AM84" s="1"/>
  <c r="AP176" i="28"/>
  <c r="AP72" s="1"/>
  <c r="AQ176"/>
  <c r="AQ72" s="1"/>
  <c r="AO26" i="119"/>
  <c r="AP218"/>
  <c r="AP74" s="1"/>
  <c r="AR25"/>
  <c r="AR26" i="28"/>
  <c r="AP26" i="119"/>
  <c r="AT26" i="121"/>
  <c r="AF513" i="116"/>
  <c r="AF513" i="117"/>
  <c r="AF513" i="118"/>
  <c r="AF513" i="120"/>
  <c r="AF513" i="119"/>
  <c r="AF513" i="28"/>
  <c r="AF513" i="121"/>
  <c r="AT503" i="28"/>
  <c r="AT372"/>
  <c r="AT120"/>
  <c r="AT94"/>
  <c r="AT183"/>
  <c r="AT304"/>
  <c r="AT325"/>
  <c r="AT199"/>
  <c r="AT162"/>
  <c r="AT430"/>
  <c r="AT330"/>
  <c r="AT507"/>
  <c r="AT508" s="1"/>
  <c r="AT509" s="1"/>
  <c r="AT499"/>
  <c r="AT409"/>
  <c r="AT204"/>
  <c r="AT178"/>
  <c r="AT267"/>
  <c r="AT445"/>
  <c r="AT346"/>
  <c r="AT115"/>
  <c r="AT351"/>
  <c r="AT309"/>
  <c r="AT141"/>
  <c r="AT393"/>
  <c r="AT440"/>
  <c r="AT288"/>
  <c r="AT262"/>
  <c r="AT414"/>
  <c r="AT450"/>
  <c r="AT136"/>
  <c r="AU8"/>
  <c r="AT388"/>
  <c r="AT246"/>
  <c r="AT157"/>
  <c r="AT466"/>
  <c r="AT367"/>
  <c r="AT482"/>
  <c r="AT435"/>
  <c r="AT99"/>
  <c r="AT220"/>
  <c r="AT42"/>
  <c r="AT67" s="1"/>
  <c r="AT241"/>
  <c r="AT16"/>
  <c r="AT283"/>
  <c r="AT225"/>
  <c r="AL25" i="119"/>
  <c r="AO302" i="28"/>
  <c r="AO78" s="1"/>
  <c r="AO31"/>
  <c r="AN407"/>
  <c r="AN83" s="1"/>
  <c r="AN239"/>
  <c r="AN75" s="1"/>
  <c r="AN25"/>
  <c r="AO480" i="119"/>
  <c r="AO86" s="1"/>
  <c r="AM464"/>
  <c r="AM85" s="1"/>
  <c r="AM25"/>
  <c r="AM464" i="28"/>
  <c r="AM85" s="1"/>
  <c r="AP281"/>
  <c r="AP77" s="1"/>
  <c r="AR25"/>
  <c r="AQ480" i="119"/>
  <c r="AQ86" s="1"/>
  <c r="AS31"/>
  <c r="AM26"/>
  <c r="AN26"/>
  <c r="AQ281" i="28"/>
  <c r="AQ77" s="1"/>
  <c r="AP25" i="119"/>
  <c r="AQ32" i="28"/>
  <c r="AQ19"/>
  <c r="AR176" i="119"/>
  <c r="AR72" s="1"/>
  <c r="AR155"/>
  <c r="AR71" s="1"/>
  <c r="AR26"/>
  <c r="S304" i="120"/>
  <c r="S204"/>
  <c r="S141"/>
  <c r="S246"/>
  <c r="S199"/>
  <c r="S330"/>
  <c r="S99"/>
  <c r="S507"/>
  <c r="S508" s="1"/>
  <c r="S509" s="1"/>
  <c r="S435"/>
  <c r="S372"/>
  <c r="S267"/>
  <c r="S178"/>
  <c r="S409"/>
  <c r="S325"/>
  <c r="S346"/>
  <c r="S136"/>
  <c r="S450"/>
  <c r="S430"/>
  <c r="S499"/>
  <c r="S351"/>
  <c r="S262"/>
  <c r="S241"/>
  <c r="S414"/>
  <c r="S367"/>
  <c r="S220"/>
  <c r="S42"/>
  <c r="S67" s="1"/>
  <c r="S157"/>
  <c r="S482"/>
  <c r="S309"/>
  <c r="S503"/>
  <c r="S283"/>
  <c r="S445"/>
  <c r="S115"/>
  <c r="S120"/>
  <c r="S466"/>
  <c r="S16"/>
  <c r="S393"/>
  <c r="S288"/>
  <c r="S388"/>
  <c r="S440"/>
  <c r="S225"/>
  <c r="S162"/>
  <c r="S94"/>
  <c r="T8"/>
  <c r="S183"/>
  <c r="AD507" i="118"/>
  <c r="AD508" s="1"/>
  <c r="AD509" s="1"/>
  <c r="AD372"/>
  <c r="AD435"/>
  <c r="AD414"/>
  <c r="AD440"/>
  <c r="AD178"/>
  <c r="AD99"/>
  <c r="AD220"/>
  <c r="AD503"/>
  <c r="AD162"/>
  <c r="AD120"/>
  <c r="AD445"/>
  <c r="AD499"/>
  <c r="AD346"/>
  <c r="AD466"/>
  <c r="AD450"/>
  <c r="AD309"/>
  <c r="AD183"/>
  <c r="AD283"/>
  <c r="AD136"/>
  <c r="AD42"/>
  <c r="AD67" s="1"/>
  <c r="AD482"/>
  <c r="AD393"/>
  <c r="AD430"/>
  <c r="AD267"/>
  <c r="AD246"/>
  <c r="AD388"/>
  <c r="AD225"/>
  <c r="AD325"/>
  <c r="AD241"/>
  <c r="AD304"/>
  <c r="AD199"/>
  <c r="AD115"/>
  <c r="AD367"/>
  <c r="AD288"/>
  <c r="AD351"/>
  <c r="AD330"/>
  <c r="AD409"/>
  <c r="AD94"/>
  <c r="AD157"/>
  <c r="AD141"/>
  <c r="AE8"/>
  <c r="AD204"/>
  <c r="AD16"/>
  <c r="AD262"/>
  <c r="T419" i="117"/>
  <c r="T295"/>
  <c r="AO25" i="28"/>
  <c r="AN386" i="119"/>
  <c r="AN82" s="1"/>
  <c r="AN31"/>
  <c r="AN344" i="28"/>
  <c r="AN80" s="1"/>
  <c r="AO496" i="119"/>
  <c r="AO87" s="1"/>
  <c r="AO407"/>
  <c r="AO83" s="1"/>
  <c r="AO323"/>
  <c r="AO79" s="1"/>
  <c r="AO25"/>
  <c r="AM480"/>
  <c r="AM86" s="1"/>
  <c r="AM31"/>
  <c r="AM480" i="28"/>
  <c r="AM86" s="1"/>
  <c r="AP31"/>
  <c r="AP26"/>
  <c r="AQ25" i="119"/>
  <c r="AS25"/>
  <c r="AS26" i="121"/>
  <c r="AP344" i="119"/>
  <c r="AP80" s="1"/>
  <c r="AP176"/>
  <c r="AP72" s="1"/>
  <c r="AS26"/>
  <c r="AT25"/>
  <c r="U25" i="1"/>
  <c r="U8" i="109" s="1"/>
  <c r="O40" i="1"/>
  <c r="O12" i="109" s="1"/>
  <c r="L40" i="1"/>
  <c r="L12" i="109" s="1"/>
  <c r="Z54" i="1"/>
  <c r="AA7" s="1"/>
  <c r="Z33"/>
  <c r="AA6" s="1"/>
  <c r="R25"/>
  <c r="R8" i="109" s="1"/>
  <c r="W400" i="119"/>
  <c r="W473"/>
  <c r="T190" i="117"/>
  <c r="T400"/>
  <c r="T128" i="118"/>
  <c r="T363"/>
  <c r="T216"/>
  <c r="R127" i="121"/>
  <c r="R358"/>
  <c r="R316"/>
  <c r="R148"/>
  <c r="R295"/>
  <c r="R232"/>
  <c r="R421"/>
  <c r="R190"/>
  <c r="R379"/>
  <c r="R457"/>
  <c r="R253"/>
  <c r="R274"/>
  <c r="R473"/>
  <c r="Y489" i="116"/>
  <c r="Y379"/>
  <c r="Y190"/>
  <c r="Y457"/>
  <c r="Y358"/>
  <c r="Y106"/>
  <c r="Y337"/>
  <c r="Y316"/>
  <c r="Y421"/>
  <c r="Y400"/>
  <c r="V473" i="118"/>
  <c r="V489"/>
  <c r="V358"/>
  <c r="V379"/>
  <c r="V400"/>
  <c r="V457"/>
  <c r="V421"/>
  <c r="W148" i="119"/>
  <c r="W211"/>
  <c r="W358"/>
  <c r="W489"/>
  <c r="W379"/>
  <c r="W421"/>
  <c r="W316"/>
  <c r="S337" i="28"/>
  <c r="S400"/>
  <c r="S127"/>
  <c r="S190"/>
  <c r="S316"/>
  <c r="S148"/>
  <c r="S211"/>
  <c r="S421"/>
  <c r="S232"/>
  <c r="S295"/>
  <c r="S169" i="117"/>
  <c r="S148"/>
  <c r="S358"/>
  <c r="S190"/>
  <c r="S295"/>
  <c r="S127"/>
  <c r="S211"/>
  <c r="AB148" i="119"/>
  <c r="AB400"/>
  <c r="AB211"/>
  <c r="AB169"/>
  <c r="AB274"/>
  <c r="AB358"/>
  <c r="AB106"/>
  <c r="AB127"/>
  <c r="AB379"/>
  <c r="AB421"/>
  <c r="AB190"/>
  <c r="AB473"/>
  <c r="AB316"/>
  <c r="Y211" i="116"/>
  <c r="T321" i="118"/>
  <c r="S106" i="28"/>
  <c r="V190" i="118"/>
  <c r="W106" i="119"/>
  <c r="AB337"/>
  <c r="S274" i="28"/>
  <c r="S232" i="117"/>
  <c r="V232" i="118"/>
  <c r="V274"/>
  <c r="S473" i="117"/>
  <c r="S457" i="28"/>
  <c r="AB489" i="119"/>
  <c r="Y169" i="116"/>
  <c r="R211" i="121"/>
  <c r="W274" i="119"/>
  <c r="S358" i="28"/>
  <c r="Y473" i="116"/>
  <c r="S337" i="117"/>
  <c r="S489"/>
  <c r="T489"/>
  <c r="V127" i="118"/>
  <c r="S169" i="28"/>
  <c r="S379" i="117"/>
  <c r="R169" i="121"/>
  <c r="V316" i="118"/>
  <c r="S274" i="117"/>
  <c r="Y274" i="116"/>
  <c r="S400" i="117"/>
  <c r="X358" i="121"/>
  <c r="X253"/>
  <c r="X316"/>
  <c r="X337"/>
  <c r="AK501" i="28"/>
  <c r="AK501" i="117"/>
  <c r="AK501" i="116"/>
  <c r="AK501" i="118"/>
  <c r="AA501" i="116"/>
  <c r="AA501" i="119"/>
  <c r="AA337" i="116"/>
  <c r="AA400"/>
  <c r="AA489"/>
  <c r="AA148"/>
  <c r="S379" i="120"/>
  <c r="S274"/>
  <c r="AJ190" i="28"/>
  <c r="AJ295"/>
  <c r="AJ457"/>
  <c r="AJ127"/>
  <c r="AP501" i="118"/>
  <c r="AP501" i="28"/>
  <c r="AK106"/>
  <c r="AK473"/>
  <c r="AK421"/>
  <c r="AK400"/>
  <c r="AK489"/>
  <c r="AK127"/>
  <c r="AK457"/>
  <c r="S211" i="120"/>
  <c r="AJ337" i="28"/>
  <c r="AP501" i="119"/>
  <c r="AE190" i="28"/>
  <c r="AE274"/>
  <c r="AK501" i="121"/>
  <c r="AK190" i="28"/>
  <c r="W337" i="116"/>
  <c r="X127"/>
  <c r="X457"/>
  <c r="AE473"/>
  <c r="AE316"/>
  <c r="AE274"/>
  <c r="AE211"/>
  <c r="AE127"/>
  <c r="AK501" i="119"/>
  <c r="AR36"/>
  <c r="AS36" i="121"/>
  <c r="AO501"/>
  <c r="AO501" i="117"/>
  <c r="AC358" i="118"/>
  <c r="AC421"/>
  <c r="AC400"/>
  <c r="AC379"/>
  <c r="AC473"/>
  <c r="AC295"/>
  <c r="AC190"/>
  <c r="AC211"/>
  <c r="AC148"/>
  <c r="AC489"/>
  <c r="R316" i="120"/>
  <c r="R148"/>
  <c r="R274"/>
  <c r="R489"/>
  <c r="R295"/>
  <c r="R473"/>
  <c r="R190"/>
  <c r="R316" i="116"/>
  <c r="R400"/>
  <c r="R148"/>
  <c r="R457"/>
  <c r="R379"/>
  <c r="R127"/>
  <c r="R106"/>
  <c r="Z211"/>
  <c r="T421" i="119"/>
  <c r="Z148" i="116"/>
  <c r="T458" i="118"/>
  <c r="AI127" i="119"/>
  <c r="T169"/>
  <c r="Z473" i="116"/>
  <c r="AG400"/>
  <c r="AG274"/>
  <c r="AG190"/>
  <c r="AG489"/>
  <c r="AG457"/>
  <c r="AG148"/>
  <c r="AG232"/>
  <c r="AG211"/>
  <c r="AG127"/>
  <c r="R211"/>
  <c r="T237" i="118"/>
  <c r="AI337" i="119"/>
  <c r="T107" i="118"/>
  <c r="AI190" i="119"/>
  <c r="U400"/>
  <c r="R127" i="120"/>
  <c r="U169" i="119"/>
  <c r="T317" i="118"/>
  <c r="R169" i="120"/>
  <c r="R358"/>
  <c r="R421" i="116"/>
  <c r="AC457" i="118"/>
  <c r="AD489" i="28"/>
  <c r="AG421" i="116"/>
  <c r="AC316" i="118"/>
  <c r="AG358" i="116"/>
  <c r="AG316"/>
  <c r="T300" i="118"/>
  <c r="T191"/>
  <c r="T401"/>
  <c r="T275"/>
  <c r="T474"/>
  <c r="T174"/>
  <c r="T153"/>
  <c r="T111"/>
  <c r="T405"/>
  <c r="T296"/>
  <c r="T342"/>
  <c r="T195"/>
  <c r="T426"/>
  <c r="T478"/>
  <c r="T380"/>
  <c r="T490"/>
  <c r="T212"/>
  <c r="T422"/>
  <c r="Z106" i="116"/>
  <c r="Z358"/>
  <c r="Z274"/>
  <c r="Z190"/>
  <c r="Z337"/>
  <c r="Z421"/>
  <c r="Z489"/>
  <c r="Z496" s="1"/>
  <c r="Z87" s="1"/>
  <c r="Z316"/>
  <c r="Z323" s="1"/>
  <c r="Z79" s="1"/>
  <c r="Z379"/>
  <c r="Z386" s="1"/>
  <c r="Z82" s="1"/>
  <c r="Z400"/>
  <c r="Z127"/>
  <c r="S190"/>
  <c r="S358"/>
  <c r="S127"/>
  <c r="S106"/>
  <c r="S457"/>
  <c r="S232"/>
  <c r="S148"/>
  <c r="T127" i="119"/>
  <c r="T473"/>
  <c r="T148"/>
  <c r="T274"/>
  <c r="T489"/>
  <c r="T358"/>
  <c r="T457"/>
  <c r="T316"/>
  <c r="T337"/>
  <c r="T379"/>
  <c r="AI148"/>
  <c r="AI457"/>
  <c r="AI211"/>
  <c r="AI316"/>
  <c r="AI106"/>
  <c r="AI489"/>
  <c r="AI358"/>
  <c r="AI473"/>
  <c r="AI400"/>
  <c r="AI421"/>
  <c r="AD127" i="28"/>
  <c r="AD274"/>
  <c r="AD295"/>
  <c r="AD337"/>
  <c r="AD148"/>
  <c r="AD190"/>
  <c r="AD473"/>
  <c r="AD211"/>
  <c r="AD421"/>
  <c r="AD169"/>
  <c r="AD400"/>
  <c r="AD457"/>
  <c r="AD316"/>
  <c r="AD232"/>
  <c r="AD106"/>
  <c r="U421" i="119"/>
  <c r="U148"/>
  <c r="U489"/>
  <c r="U457"/>
  <c r="U106"/>
  <c r="U211"/>
  <c r="U379"/>
  <c r="U190"/>
  <c r="U127"/>
  <c r="S211" i="116"/>
  <c r="U337" i="119"/>
  <c r="R106" i="120"/>
  <c r="T190" i="119"/>
  <c r="R457" i="120"/>
  <c r="AI169" i="119"/>
  <c r="AC169" i="118"/>
  <c r="T170"/>
  <c r="T400" i="119"/>
  <c r="R400" i="120"/>
  <c r="Z232" i="116"/>
  <c r="Z239" s="1"/>
  <c r="Z75" s="1"/>
  <c r="R232"/>
  <c r="U473" i="119"/>
  <c r="T359" i="118"/>
  <c r="Z169" i="116"/>
  <c r="Z176" s="1"/>
  <c r="Z72" s="1"/>
  <c r="S169"/>
  <c r="S421"/>
  <c r="U316" i="119"/>
  <c r="S473" i="116"/>
  <c r="AC232" i="118"/>
  <c r="AC274"/>
  <c r="X169" i="28"/>
  <c r="X400"/>
  <c r="X211"/>
  <c r="X211" i="119"/>
  <c r="X148"/>
  <c r="AF106"/>
  <c r="AF148"/>
  <c r="AF211"/>
  <c r="W211" i="118"/>
  <c r="W148"/>
  <c r="W316"/>
  <c r="AG473" i="28"/>
  <c r="AG337"/>
  <c r="AG127"/>
  <c r="AG400"/>
  <c r="AG211"/>
  <c r="U232" i="118"/>
  <c r="U190"/>
  <c r="X473" i="119"/>
  <c r="X190"/>
  <c r="AF400"/>
  <c r="U127" i="118"/>
  <c r="X106" i="28"/>
  <c r="W400" i="118"/>
  <c r="AG489" i="28"/>
  <c r="AF457" i="119"/>
  <c r="AF316"/>
  <c r="X358" i="28"/>
  <c r="W489" i="118"/>
  <c r="X421" i="119"/>
  <c r="Z195" i="116"/>
  <c r="Z422"/>
  <c r="Z216"/>
  <c r="Z153"/>
  <c r="AI473"/>
  <c r="AI400"/>
  <c r="AI148"/>
  <c r="T211"/>
  <c r="U400" i="118"/>
  <c r="U169"/>
  <c r="X400" i="119"/>
  <c r="X489" i="28"/>
  <c r="AG232"/>
  <c r="X232"/>
  <c r="X337" i="119"/>
  <c r="X358"/>
  <c r="X127"/>
  <c r="X489"/>
  <c r="W457" i="118"/>
  <c r="X421" i="28"/>
  <c r="X295"/>
  <c r="AG379"/>
  <c r="AG148"/>
  <c r="X148"/>
  <c r="T400" i="116"/>
  <c r="T473"/>
  <c r="W421" i="118"/>
  <c r="AE316" i="121"/>
  <c r="AE148"/>
  <c r="AE253"/>
  <c r="AF106" i="116"/>
  <c r="AF473"/>
  <c r="AF190"/>
  <c r="AF358"/>
  <c r="AF489"/>
  <c r="AA148" i="118"/>
  <c r="AA473"/>
  <c r="AD489"/>
  <c r="AD274"/>
  <c r="AD190" i="116"/>
  <c r="AD316"/>
  <c r="AH127"/>
  <c r="AH190"/>
  <c r="R489" i="28"/>
  <c r="R400"/>
  <c r="R473"/>
  <c r="R127"/>
  <c r="AH211" i="121"/>
  <c r="AH421"/>
  <c r="AH274"/>
  <c r="AH106"/>
  <c r="AH316"/>
  <c r="AH337"/>
  <c r="AH295"/>
  <c r="U489" i="116"/>
  <c r="U473"/>
  <c r="U358"/>
  <c r="U316"/>
  <c r="AH473" i="28"/>
  <c r="AH127"/>
  <c r="AH211"/>
  <c r="AJ232" i="121"/>
  <c r="AJ274"/>
  <c r="AJ127"/>
  <c r="AI295" i="119"/>
  <c r="AM36" i="121"/>
  <c r="AP88"/>
  <c r="AU36"/>
  <c r="T473" i="118"/>
  <c r="S106" i="119"/>
  <c r="T106" i="116"/>
  <c r="T148"/>
  <c r="T316" i="118"/>
  <c r="T169"/>
  <c r="S190" i="119"/>
  <c r="S169"/>
  <c r="S457"/>
  <c r="T457" i="116"/>
  <c r="T379" i="118"/>
  <c r="T489"/>
  <c r="T316" i="116"/>
  <c r="T494" i="118"/>
  <c r="T149"/>
  <c r="AE274" i="121"/>
  <c r="AE421"/>
  <c r="AE337"/>
  <c r="AE127"/>
  <c r="AE473"/>
  <c r="AP88" i="119"/>
  <c r="AT36" i="121"/>
  <c r="U421" i="118"/>
  <c r="U316"/>
  <c r="U358"/>
  <c r="U489"/>
  <c r="AM501" i="28"/>
  <c r="AM501" i="117"/>
  <c r="AM501" i="119"/>
  <c r="AM501" i="121"/>
  <c r="S274" i="116"/>
  <c r="S489"/>
  <c r="S316"/>
  <c r="T127"/>
  <c r="T190" i="118"/>
  <c r="S400" i="119"/>
  <c r="S421"/>
  <c r="T232" i="116"/>
  <c r="T400" i="118"/>
  <c r="T169" i="116"/>
  <c r="T457" i="118"/>
  <c r="S316" i="119"/>
  <c r="T379" i="116"/>
  <c r="S148" i="119"/>
  <c r="AE489" i="121"/>
  <c r="W358" i="118"/>
  <c r="AF337" i="119"/>
  <c r="W473" i="118"/>
  <c r="AG169" i="28"/>
  <c r="AG106" i="116"/>
  <c r="AG473"/>
  <c r="R211" i="118"/>
  <c r="R421"/>
  <c r="AE400" i="28"/>
  <c r="AE473"/>
  <c r="AE295"/>
  <c r="AK149" i="121"/>
  <c r="AK170"/>
  <c r="AK422"/>
  <c r="AK174"/>
  <c r="AK401"/>
  <c r="AK153"/>
  <c r="AK478"/>
  <c r="AK191" i="119"/>
  <c r="AK128"/>
  <c r="AK494"/>
  <c r="AK296"/>
  <c r="AK279"/>
  <c r="AK149"/>
  <c r="AK233"/>
  <c r="AM501" i="118"/>
  <c r="AQ88" i="121"/>
  <c r="AR36"/>
  <c r="W337" i="119"/>
  <c r="W127"/>
  <c r="T295" i="118"/>
  <c r="T127"/>
  <c r="T489" i="116"/>
  <c r="S379" i="119"/>
  <c r="S489"/>
  <c r="T358" i="116"/>
  <c r="T421" i="118"/>
  <c r="T190" i="116"/>
  <c r="R379" i="120"/>
  <c r="T233" i="118"/>
  <c r="AG274" i="28"/>
  <c r="AE400" i="121"/>
  <c r="R274" i="116"/>
  <c r="T279" i="118"/>
  <c r="T281" s="1"/>
  <c r="T77" s="1"/>
  <c r="T358"/>
  <c r="U211"/>
  <c r="AE358" i="121"/>
  <c r="AM501" i="116"/>
  <c r="T501" i="117"/>
  <c r="T275" s="1"/>
  <c r="T501" i="116"/>
  <c r="AP36" i="121"/>
  <c r="AM36" i="119"/>
  <c r="AS36"/>
  <c r="AN36"/>
  <c r="AT36"/>
  <c r="AM36" i="28"/>
  <c r="AQ88"/>
  <c r="AQ36" i="121"/>
  <c r="AT88"/>
  <c r="AL36"/>
  <c r="U106" i="118"/>
  <c r="AP36" i="28"/>
  <c r="AL88" i="121"/>
  <c r="AN36"/>
  <c r="AP501" i="117"/>
  <c r="AP501" i="116"/>
  <c r="AP501" i="121"/>
  <c r="AP501" i="120"/>
  <c r="T358" i="117"/>
  <c r="T274"/>
  <c r="T337"/>
  <c r="T316"/>
  <c r="T127"/>
  <c r="T421"/>
  <c r="AS36" i="28"/>
  <c r="X379"/>
  <c r="X127"/>
  <c r="X316"/>
  <c r="T473" i="117"/>
  <c r="T169"/>
  <c r="T457"/>
  <c r="T148"/>
  <c r="R421" i="120"/>
  <c r="R211"/>
  <c r="R489" i="116"/>
  <c r="R358"/>
  <c r="T379" i="117"/>
  <c r="T232"/>
  <c r="Z426" i="116"/>
  <c r="Z462"/>
  <c r="Z464" s="1"/>
  <c r="Z85" s="1"/>
  <c r="Z107"/>
  <c r="Z478"/>
  <c r="Z480" s="1"/>
  <c r="Z86" s="1"/>
  <c r="AI106"/>
  <c r="AI358"/>
  <c r="AI274"/>
  <c r="T338" i="118"/>
  <c r="T132"/>
  <c r="T462"/>
  <c r="T384"/>
  <c r="T258"/>
  <c r="V473" i="116"/>
  <c r="V274"/>
  <c r="V457"/>
  <c r="V489"/>
  <c r="AC106"/>
  <c r="AC316"/>
  <c r="AC190"/>
  <c r="AC127"/>
  <c r="AC274"/>
  <c r="AC400"/>
  <c r="AC489"/>
  <c r="AD400" i="118"/>
  <c r="AD358"/>
  <c r="AD379"/>
  <c r="AD190"/>
  <c r="AD421"/>
  <c r="AD211"/>
  <c r="AD169"/>
  <c r="AD473"/>
  <c r="Z501"/>
  <c r="Z501" i="28"/>
  <c r="Z170" s="1"/>
  <c r="Z501" i="119"/>
  <c r="Z300" s="1"/>
  <c r="Z501" i="120"/>
  <c r="Z501" i="121"/>
  <c r="Z501" i="117"/>
  <c r="AD106" i="116"/>
  <c r="AD274"/>
  <c r="AD211"/>
  <c r="AD489"/>
  <c r="AH106"/>
  <c r="AH400"/>
  <c r="AH489"/>
  <c r="AH316"/>
  <c r="AH358"/>
  <c r="AH473"/>
  <c r="V295"/>
  <c r="AO88" i="28"/>
  <c r="AR88"/>
  <c r="AQ36" i="119"/>
  <c r="AR88" i="121"/>
  <c r="AS88"/>
  <c r="S501" i="116"/>
  <c r="S501" i="117"/>
  <c r="S296" s="1"/>
  <c r="S501" i="118"/>
  <c r="S254" s="1"/>
  <c r="S501" i="120"/>
  <c r="S254" s="1"/>
  <c r="S501" i="119"/>
  <c r="S300" s="1"/>
  <c r="S501" i="28"/>
  <c r="S422" s="1"/>
  <c r="S501" i="121"/>
  <c r="AA501" i="118"/>
  <c r="AA501" i="120"/>
  <c r="AA501" i="28"/>
  <c r="AA401" s="1"/>
  <c r="AA501" i="121"/>
  <c r="AO88" i="119"/>
  <c r="AM88"/>
  <c r="AN88"/>
  <c r="AM88" i="28"/>
  <c r="AS88"/>
  <c r="AO36" i="121"/>
  <c r="T501" i="28"/>
  <c r="T254" s="1"/>
  <c r="T501" i="121"/>
  <c r="T501" i="119"/>
  <c r="T300" s="1"/>
  <c r="T501" i="120"/>
  <c r="AP36" i="119"/>
  <c r="AE501" i="116"/>
  <c r="AE501" i="117"/>
  <c r="AE501" i="118"/>
  <c r="AE501" i="120"/>
  <c r="AE501" i="119"/>
  <c r="AE300" s="1"/>
  <c r="AE501" i="28"/>
  <c r="AE254" s="1"/>
  <c r="AE501" i="121"/>
  <c r="AA258" i="119"/>
  <c r="AA279"/>
  <c r="AA191"/>
  <c r="AE106" i="116"/>
  <c r="AE358"/>
  <c r="AN88" i="121"/>
  <c r="AU88"/>
  <c r="AH501" i="116"/>
  <c r="AH254" s="1"/>
  <c r="AH501" i="117"/>
  <c r="AH501" i="118"/>
  <c r="AH501" i="119"/>
  <c r="AH254" s="1"/>
  <c r="AH501" i="28"/>
  <c r="AH401" s="1"/>
  <c r="AH501" i="120"/>
  <c r="AH501" i="121"/>
  <c r="Y501" i="116"/>
  <c r="Y254" s="1"/>
  <c r="Y501" i="119"/>
  <c r="Y254" s="1"/>
  <c r="Y501" i="120"/>
  <c r="Y501" i="118"/>
  <c r="Y501" i="117"/>
  <c r="Y501" i="28"/>
  <c r="Y170" s="1"/>
  <c r="Y501" i="121"/>
  <c r="AJ501" i="116"/>
  <c r="AJ501" i="117"/>
  <c r="AJ501" i="118"/>
  <c r="AJ501" i="28"/>
  <c r="AJ501" i="119"/>
  <c r="AJ300" s="1"/>
  <c r="AJ501" i="120"/>
  <c r="AJ501" i="121"/>
  <c r="V501" i="116"/>
  <c r="V501" i="117"/>
  <c r="V501" i="118"/>
  <c r="V254" s="1"/>
  <c r="V501" i="28"/>
  <c r="V254" s="1"/>
  <c r="V501" i="121"/>
  <c r="V501" i="119"/>
  <c r="V254" s="1"/>
  <c r="V501" i="120"/>
  <c r="AC501" i="116"/>
  <c r="AC501" i="119"/>
  <c r="AC300" s="1"/>
  <c r="AC501" i="117"/>
  <c r="AC501" i="120"/>
  <c r="AC501" i="28"/>
  <c r="AC401" s="1"/>
  <c r="AC501" i="118"/>
  <c r="AC501" i="121"/>
  <c r="W501" i="116"/>
  <c r="W254" s="1"/>
  <c r="W501" i="117"/>
  <c r="W501" i="119"/>
  <c r="W501" i="118"/>
  <c r="W254" s="1"/>
  <c r="W501" i="120"/>
  <c r="W501" i="28"/>
  <c r="W401" s="1"/>
  <c r="W501" i="121"/>
  <c r="AG501" i="116"/>
  <c r="AG254" s="1"/>
  <c r="AG501" i="119"/>
  <c r="AG300" s="1"/>
  <c r="AG501" i="117"/>
  <c r="AG501" i="118"/>
  <c r="AG501" i="120"/>
  <c r="AG501" i="28"/>
  <c r="AG422" s="1"/>
  <c r="AG501" i="121"/>
  <c r="AO36" i="119"/>
  <c r="AS88"/>
  <c r="AO36" i="28"/>
  <c r="AP88"/>
  <c r="AR36"/>
  <c r="AO33" i="11"/>
  <c r="AN30"/>
  <c r="AO88" i="121"/>
  <c r="AB501" i="116"/>
  <c r="AB254" s="1"/>
  <c r="AB501" i="117"/>
  <c r="AB501" i="118"/>
  <c r="AB501" i="119"/>
  <c r="AB300" s="1"/>
  <c r="AB501" i="28"/>
  <c r="AB170" s="1"/>
  <c r="AB501" i="120"/>
  <c r="AB501" i="121"/>
  <c r="R501" i="116"/>
  <c r="R254" s="1"/>
  <c r="R501" i="117"/>
  <c r="R296" s="1"/>
  <c r="R501" i="119"/>
  <c r="R300" s="1"/>
  <c r="R501" i="118"/>
  <c r="R501" i="120"/>
  <c r="R254" s="1"/>
  <c r="R501" i="121"/>
  <c r="R501" i="28"/>
  <c r="R422" s="1"/>
  <c r="AF501" i="116"/>
  <c r="AF254" s="1"/>
  <c r="AF501" i="117"/>
  <c r="AF501" i="118"/>
  <c r="AF501" i="28"/>
  <c r="AF422" s="1"/>
  <c r="AF501" i="119"/>
  <c r="AF501" i="121"/>
  <c r="AF501" i="120"/>
  <c r="AR88" i="119"/>
  <c r="AQ88"/>
  <c r="AQ36" i="28"/>
  <c r="AR505" i="118"/>
  <c r="AR505" i="120"/>
  <c r="AR505" i="28"/>
  <c r="AR505" i="116"/>
  <c r="AR505" i="119"/>
  <c r="AR505" i="121"/>
  <c r="AR505" i="117"/>
  <c r="AM88" i="121"/>
  <c r="AD501" i="116"/>
  <c r="AD501" i="117"/>
  <c r="AD501" i="118"/>
  <c r="AD254" s="1"/>
  <c r="AD501" i="28"/>
  <c r="AD254" s="1"/>
  <c r="AD501" i="119"/>
  <c r="AD501" i="121"/>
  <c r="AD501" i="120"/>
  <c r="X501" i="116"/>
  <c r="X254" s="1"/>
  <c r="X501" i="117"/>
  <c r="X501" i="118"/>
  <c r="X501" i="28"/>
  <c r="X254" s="1"/>
  <c r="X501" i="121"/>
  <c r="X501" i="119"/>
  <c r="X254" s="1"/>
  <c r="X501" i="120"/>
  <c r="AI501" i="116"/>
  <c r="AI501" i="117"/>
  <c r="AI501" i="119"/>
  <c r="AI300" s="1"/>
  <c r="AI501" i="120"/>
  <c r="AI501" i="28"/>
  <c r="AI170" s="1"/>
  <c r="AI501" i="121"/>
  <c r="AI501" i="118"/>
  <c r="U501" i="116"/>
  <c r="U501" i="119"/>
  <c r="U300" s="1"/>
  <c r="U501" i="120"/>
  <c r="U501" i="118"/>
  <c r="U501" i="117"/>
  <c r="U501" i="28"/>
  <c r="U422" s="1"/>
  <c r="U501" i="121"/>
  <c r="AT88" i="119"/>
  <c r="AN29" i="11"/>
  <c r="AO43"/>
  <c r="H54" i="1"/>
  <c r="I7" s="1"/>
  <c r="E194" i="109"/>
  <c r="AA4" i="1"/>
  <c r="I16" i="109"/>
  <c r="E185" s="1"/>
  <c r="O55" i="1"/>
  <c r="R55"/>
  <c r="U55"/>
  <c r="L55"/>
  <c r="X55"/>
  <c r="L7" i="100"/>
  <c r="AC166" i="119"/>
  <c r="V294" i="118"/>
  <c r="AH295" i="119"/>
  <c r="R293" i="116"/>
  <c r="R21" s="1"/>
  <c r="AK297" i="119"/>
  <c r="AK25" s="1"/>
  <c r="AG293"/>
  <c r="AG21" s="1"/>
  <c r="AB293"/>
  <c r="AB21" s="1"/>
  <c r="AA300"/>
  <c r="AF297"/>
  <c r="AH186" i="116"/>
  <c r="AC106" i="118"/>
  <c r="AC109" i="116"/>
  <c r="W293"/>
  <c r="W21" s="1"/>
  <c r="S106" i="118"/>
  <c r="V166" i="119"/>
  <c r="AK271"/>
  <c r="X253"/>
  <c r="V126" i="118"/>
  <c r="H8" i="100"/>
  <c r="C8"/>
  <c r="E8"/>
  <c r="F8"/>
  <c r="D8"/>
  <c r="AB186" i="116"/>
  <c r="R456" i="117"/>
  <c r="AA126" i="28"/>
  <c r="S186" i="116"/>
  <c r="V109"/>
  <c r="V26" s="1"/>
  <c r="X186"/>
  <c r="R186"/>
  <c r="AE109"/>
  <c r="S106" i="117"/>
  <c r="AI126" i="28"/>
  <c r="AE186" i="116"/>
  <c r="T106" i="117"/>
  <c r="AH109" i="116"/>
  <c r="AH26" s="1"/>
  <c r="S293" i="119"/>
  <c r="S21" s="1"/>
  <c r="AK293"/>
  <c r="AK21" s="1"/>
  <c r="T313" i="117"/>
  <c r="R106"/>
  <c r="S313"/>
  <c r="S20" s="1"/>
  <c r="W293" i="119"/>
  <c r="W21" s="1"/>
  <c r="T102" i="117"/>
  <c r="R293" i="119"/>
  <c r="R21" s="1"/>
  <c r="V293"/>
  <c r="V21" s="1"/>
  <c r="R313" i="117"/>
  <c r="R20" s="1"/>
  <c r="S419"/>
  <c r="R419"/>
  <c r="AC293" i="119"/>
  <c r="AC21" s="1"/>
  <c r="AH293"/>
  <c r="AH21" s="1"/>
  <c r="AJ293"/>
  <c r="AJ21" s="1"/>
  <c r="T296" i="117"/>
  <c r="AA109" i="116"/>
  <c r="AA26" s="1"/>
  <c r="AE293" i="119"/>
  <c r="AE21" s="1"/>
  <c r="U293"/>
  <c r="U21" s="1"/>
  <c r="U419" i="28"/>
  <c r="Z293" i="116"/>
  <c r="Z21" s="1"/>
  <c r="AF109"/>
  <c r="Y186"/>
  <c r="AC186"/>
  <c r="AG109"/>
  <c r="U293"/>
  <c r="U21" s="1"/>
  <c r="V271" i="119"/>
  <c r="Z109" i="116"/>
  <c r="Z26" s="1"/>
  <c r="S109"/>
  <c r="S26" s="1"/>
  <c r="AC271" i="119"/>
  <c r="Z293"/>
  <c r="Z21" s="1"/>
  <c r="AF293"/>
  <c r="AF21" s="1"/>
  <c r="T293"/>
  <c r="T21" s="1"/>
  <c r="X109" i="116"/>
  <c r="U186"/>
  <c r="V186"/>
  <c r="AD109"/>
  <c r="U109"/>
  <c r="U26" s="1"/>
  <c r="R109"/>
  <c r="AA186"/>
  <c r="Y109"/>
  <c r="Y26" s="1"/>
  <c r="AG271" i="119"/>
  <c r="Y293"/>
  <c r="Y21" s="1"/>
  <c r="X293"/>
  <c r="X21" s="1"/>
  <c r="T109" i="116"/>
  <c r="T26" s="1"/>
  <c r="Z186"/>
  <c r="AI109"/>
  <c r="AB109"/>
  <c r="S102" i="117"/>
  <c r="T293" i="116"/>
  <c r="T21" s="1"/>
  <c r="AD186"/>
  <c r="Y271" i="119"/>
  <c r="AA293"/>
  <c r="AA21" s="1"/>
  <c r="AD293"/>
  <c r="AD21" s="1"/>
  <c r="AG186" i="116"/>
  <c r="W186"/>
  <c r="R102" i="117"/>
  <c r="R19" s="1"/>
  <c r="AA208" i="118"/>
  <c r="AA271" i="119"/>
  <c r="X254" i="118"/>
  <c r="R293"/>
  <c r="R21" s="1"/>
  <c r="AB291" i="119"/>
  <c r="AB270"/>
  <c r="R253" i="120"/>
  <c r="S271" i="119"/>
  <c r="W270"/>
  <c r="V293" i="118"/>
  <c r="V21" s="1"/>
  <c r="R275" i="117"/>
  <c r="AB271" i="119"/>
  <c r="T232"/>
  <c r="AE271"/>
  <c r="AF166"/>
  <c r="Z293" i="118"/>
  <c r="Z21" s="1"/>
  <c r="T270" i="119"/>
  <c r="R232"/>
  <c r="AC291"/>
  <c r="AF291"/>
  <c r="AD271"/>
  <c r="AH271"/>
  <c r="T317" i="117"/>
  <c r="W166" i="119"/>
  <c r="S232"/>
  <c r="AA254" i="118"/>
  <c r="W293"/>
  <c r="W21" s="1"/>
  <c r="AC293"/>
  <c r="AC21" s="1"/>
  <c r="AE166" i="119"/>
  <c r="AF271"/>
  <c r="AD166"/>
  <c r="V232"/>
  <c r="AD293" i="118"/>
  <c r="AG166" i="119"/>
  <c r="T456" i="117"/>
  <c r="S293" i="118"/>
  <c r="X291" i="119"/>
  <c r="S208" i="118"/>
  <c r="W271" i="119"/>
  <c r="Z271"/>
  <c r="W253"/>
  <c r="X294" i="28"/>
  <c r="R317" i="117"/>
  <c r="Y254" i="118"/>
  <c r="AA293"/>
  <c r="AA21" s="1"/>
  <c r="U293"/>
  <c r="U21" s="1"/>
  <c r="AJ166" i="119"/>
  <c r="X293" i="118"/>
  <c r="X21" s="1"/>
  <c r="T254"/>
  <c r="U208"/>
  <c r="AI166" i="119"/>
  <c r="T293" i="118"/>
  <c r="T21" s="1"/>
  <c r="U126"/>
  <c r="AJ271" i="119"/>
  <c r="U271"/>
  <c r="R271"/>
  <c r="R20" s="1"/>
  <c r="S166"/>
  <c r="U166"/>
  <c r="AB293" i="118"/>
  <c r="AB21" s="1"/>
  <c r="AG295" i="116"/>
  <c r="AK166" i="119"/>
  <c r="S456" i="117"/>
  <c r="Z126" i="118"/>
  <c r="T253" i="119"/>
  <c r="X166"/>
  <c r="X271"/>
  <c r="AI271"/>
  <c r="AJ398" i="28"/>
  <c r="AA166" i="119"/>
  <c r="T166"/>
  <c r="AH166"/>
  <c r="AB398" i="28"/>
  <c r="T294"/>
  <c r="Y398"/>
  <c r="AA144" i="119"/>
  <c r="AA253"/>
  <c r="AG294" i="28"/>
  <c r="AD398"/>
  <c r="V398"/>
  <c r="V21" s="1"/>
  <c r="Y144" i="119"/>
  <c r="T398" i="28"/>
  <c r="S396"/>
  <c r="AA294"/>
  <c r="Z144" i="119"/>
  <c r="R294" i="28"/>
  <c r="AE144" i="119"/>
  <c r="V144"/>
  <c r="W294" i="28"/>
  <c r="AH253" i="119"/>
  <c r="AF398" i="28"/>
  <c r="AH126" i="119"/>
  <c r="AK398" i="28"/>
  <c r="R253" i="119"/>
  <c r="AI294" i="28"/>
  <c r="S144" i="119"/>
  <c r="R419" i="28"/>
  <c r="AC398"/>
  <c r="AE253" i="119"/>
  <c r="S294" i="28"/>
  <c r="U144" i="119"/>
  <c r="AB295" i="116"/>
  <c r="W295"/>
  <c r="AG253" i="119"/>
  <c r="AF253"/>
  <c r="S253"/>
  <c r="Z418" i="28"/>
  <c r="AF295" i="116"/>
  <c r="S295"/>
  <c r="AA254" i="119"/>
  <c r="S294" i="118"/>
  <c r="U253" i="119"/>
  <c r="AD253"/>
  <c r="Z253"/>
  <c r="W336"/>
  <c r="Y295" i="116"/>
  <c r="AB166" i="119"/>
  <c r="AK336"/>
  <c r="U295" i="116"/>
  <c r="V253" i="119"/>
  <c r="V336"/>
  <c r="AE295" i="116"/>
  <c r="T295"/>
  <c r="AK253" i="119"/>
  <c r="AJ253"/>
  <c r="AC295" i="116"/>
  <c r="O161" i="11"/>
  <c r="Z295" i="116"/>
  <c r="AD295"/>
  <c r="AC253" i="119"/>
  <c r="R295" i="116"/>
  <c r="AI253" i="119"/>
  <c r="AB253"/>
  <c r="AE291"/>
  <c r="Y291"/>
  <c r="V186" i="118"/>
  <c r="AD270" i="119"/>
  <c r="AH270"/>
  <c r="AD291"/>
  <c r="R271" i="120"/>
  <c r="R20" s="1"/>
  <c r="AF419" i="28"/>
  <c r="Y232" i="119"/>
  <c r="AD295"/>
  <c r="AD336"/>
  <c r="AI336"/>
  <c r="AE397" i="28"/>
  <c r="Z124" i="119"/>
  <c r="AA291"/>
  <c r="AA295" i="116"/>
  <c r="X295"/>
  <c r="AI295"/>
  <c r="AH295"/>
  <c r="AJ336" i="119"/>
  <c r="R253" i="118"/>
  <c r="S270" i="119"/>
  <c r="Y336"/>
  <c r="R336" i="117"/>
  <c r="W253" i="118"/>
  <c r="V270" i="119"/>
  <c r="Z270"/>
  <c r="V291"/>
  <c r="Y419" i="28"/>
  <c r="X232" i="119"/>
  <c r="AB336"/>
  <c r="AE336"/>
  <c r="AK170" i="28"/>
  <c r="AG397"/>
  <c r="AJ291" i="119"/>
  <c r="AJ19" s="1"/>
  <c r="AH336"/>
  <c r="N59"/>
  <c r="AG419" i="28"/>
  <c r="AH232" i="119"/>
  <c r="S336" i="117"/>
  <c r="R270" i="119"/>
  <c r="AH291"/>
  <c r="R291"/>
  <c r="W419" i="28"/>
  <c r="W21" s="1"/>
  <c r="AE336"/>
  <c r="W232" i="119"/>
  <c r="Z336"/>
  <c r="R336"/>
  <c r="Z397" i="28"/>
  <c r="AG232" i="119"/>
  <c r="AK291"/>
  <c r="Z297"/>
  <c r="Z25" s="1"/>
  <c r="AI186" i="116"/>
  <c r="AF186"/>
  <c r="AB253" i="118"/>
  <c r="AA270" i="119"/>
  <c r="X270"/>
  <c r="W291"/>
  <c r="X336"/>
  <c r="T291"/>
  <c r="X207" i="116"/>
  <c r="Z291" i="119"/>
  <c r="U232"/>
  <c r="T297"/>
  <c r="T25" s="1"/>
  <c r="W124"/>
  <c r="Y300"/>
  <c r="Z126" i="28"/>
  <c r="AB294"/>
  <c r="AJ294"/>
  <c r="V294"/>
  <c r="AA23" i="121"/>
  <c r="Y295" i="119"/>
  <c r="R144"/>
  <c r="AJ295"/>
  <c r="AI397" i="28"/>
  <c r="AB397"/>
  <c r="AI398"/>
  <c r="R398"/>
  <c r="R106" i="118"/>
  <c r="S124" i="119"/>
  <c r="AK144"/>
  <c r="X144"/>
  <c r="AB126" i="28"/>
  <c r="AI297" i="119"/>
  <c r="AI25" s="1"/>
  <c r="AB297"/>
  <c r="AB25" s="1"/>
  <c r="N63"/>
  <c r="N59" i="121"/>
  <c r="AD126" i="28"/>
  <c r="R126"/>
  <c r="AC294"/>
  <c r="Z294"/>
  <c r="U294"/>
  <c r="AK418"/>
  <c r="AA295" i="119"/>
  <c r="S295"/>
  <c r="AK295"/>
  <c r="AJ397" i="28"/>
  <c r="AA398"/>
  <c r="U297" i="119"/>
  <c r="U25" s="1"/>
  <c r="AG144"/>
  <c r="W126" i="28"/>
  <c r="AI144" i="119"/>
  <c r="AD297"/>
  <c r="AD25" s="1"/>
  <c r="X297"/>
  <c r="X25" s="1"/>
  <c r="T124"/>
  <c r="AA124"/>
  <c r="AG124"/>
  <c r="V124"/>
  <c r="AH124"/>
  <c r="U124"/>
  <c r="AF124"/>
  <c r="AI124"/>
  <c r="Y124"/>
  <c r="AJ124"/>
  <c r="X124"/>
  <c r="AE124"/>
  <c r="AB124"/>
  <c r="AC124"/>
  <c r="AD124"/>
  <c r="AK124"/>
  <c r="AH126" i="28"/>
  <c r="T397"/>
  <c r="S397"/>
  <c r="W397"/>
  <c r="AC397"/>
  <c r="V397"/>
  <c r="AK397"/>
  <c r="X397"/>
  <c r="R295" i="119"/>
  <c r="AA293" i="116"/>
  <c r="AA21" s="1"/>
  <c r="AB293"/>
  <c r="AB21" s="1"/>
  <c r="AD293"/>
  <c r="AD21" s="1"/>
  <c r="AF293"/>
  <c r="AF21" s="1"/>
  <c r="AE293"/>
  <c r="AE21" s="1"/>
  <c r="AI293"/>
  <c r="AH293"/>
  <c r="AH21" s="1"/>
  <c r="AC293"/>
  <c r="AC21" s="1"/>
  <c r="AG293"/>
  <c r="AG21" s="1"/>
  <c r="V253" i="118"/>
  <c r="U398" i="28"/>
  <c r="AC126"/>
  <c r="AK294"/>
  <c r="AD294"/>
  <c r="Y293" i="116"/>
  <c r="Y21" s="1"/>
  <c r="R126" i="117"/>
  <c r="AA397" i="28"/>
  <c r="U397"/>
  <c r="AH398"/>
  <c r="AB106" i="118"/>
  <c r="Y297" i="119"/>
  <c r="Y25" s="1"/>
  <c r="AC144"/>
  <c r="T144"/>
  <c r="Y126" i="28"/>
  <c r="AB144" i="119"/>
  <c r="AC297"/>
  <c r="AC25" s="1"/>
  <c r="S297"/>
  <c r="S25" s="1"/>
  <c r="N52"/>
  <c r="AI22" i="121"/>
  <c r="U336" i="116"/>
  <c r="AK126" i="28"/>
  <c r="T126" i="117"/>
  <c r="AF397" i="28"/>
  <c r="X126"/>
  <c r="AG297" i="119"/>
  <c r="AG25" s="1"/>
  <c r="S126" i="117"/>
  <c r="T336"/>
  <c r="X253" i="118"/>
  <c r="U253"/>
  <c r="U254" i="119"/>
  <c r="Y208" i="118"/>
  <c r="Y20" s="1"/>
  <c r="AD208"/>
  <c r="AK300" i="119"/>
  <c r="S398" i="28"/>
  <c r="V126"/>
  <c r="AH294"/>
  <c r="AF294"/>
  <c r="V293" i="116"/>
  <c r="V21" s="1"/>
  <c r="AD397" i="28"/>
  <c r="AG398"/>
  <c r="W106" i="118"/>
  <c r="AH144" i="119"/>
  <c r="AJ126" i="28"/>
  <c r="AF144" i="119"/>
  <c r="AA297"/>
  <c r="AA25" s="1"/>
  <c r="AH297"/>
  <c r="AH25" s="1"/>
  <c r="S126" i="28"/>
  <c r="R397"/>
  <c r="W297" i="119"/>
  <c r="W25" s="1"/>
  <c r="Y253" i="118"/>
  <c r="Z398" i="28"/>
  <c r="T126"/>
  <c r="Y294"/>
  <c r="X293" i="116"/>
  <c r="X21" s="1"/>
  <c r="AH397" i="28"/>
  <c r="W144" i="119"/>
  <c r="AD144"/>
  <c r="AJ297"/>
  <c r="AJ25" s="1"/>
  <c r="V297"/>
  <c r="AG170" i="28"/>
  <c r="AA294" i="118"/>
  <c r="X294"/>
  <c r="Z336"/>
  <c r="W208"/>
  <c r="W20" s="1"/>
  <c r="X208"/>
  <c r="X20" s="1"/>
  <c r="R396" i="28"/>
  <c r="AB396"/>
  <c r="T170"/>
  <c r="AE398"/>
  <c r="X398"/>
  <c r="Y294" i="118"/>
  <c r="AA32" i="119"/>
  <c r="AB207" i="116"/>
  <c r="Y336" i="28"/>
  <c r="S207" i="116"/>
  <c r="R294" i="118"/>
  <c r="AB294"/>
  <c r="AB208"/>
  <c r="T208"/>
  <c r="T218" s="1"/>
  <c r="T74" s="1"/>
  <c r="R396" i="120"/>
  <c r="X336" i="28"/>
  <c r="Z232" i="119"/>
  <c r="AE232"/>
  <c r="AB232"/>
  <c r="AI232"/>
  <c r="AD232"/>
  <c r="AK232"/>
  <c r="AF232"/>
  <c r="AJ232"/>
  <c r="AC232"/>
  <c r="AG291"/>
  <c r="AI291"/>
  <c r="U291"/>
  <c r="AI270"/>
  <c r="U270"/>
  <c r="AF270"/>
  <c r="Y270"/>
  <c r="AE270"/>
  <c r="AG270"/>
  <c r="AC270"/>
  <c r="AK270"/>
  <c r="AD294" i="118"/>
  <c r="AC294"/>
  <c r="U170" i="28"/>
  <c r="U207" i="116"/>
  <c r="Z294" i="118"/>
  <c r="W294"/>
  <c r="V208"/>
  <c r="V20" s="1"/>
  <c r="R208"/>
  <c r="N50" i="121"/>
  <c r="S396" i="120"/>
  <c r="T126" i="116"/>
  <c r="T207"/>
  <c r="T19" s="1"/>
  <c r="U294" i="118"/>
  <c r="T294"/>
  <c r="AC208"/>
  <c r="Z208"/>
  <c r="W170" i="28"/>
  <c r="V106" i="118"/>
  <c r="AD106"/>
  <c r="T106"/>
  <c r="X106"/>
  <c r="AA106"/>
  <c r="Y106"/>
  <c r="Z106"/>
  <c r="W295" i="119"/>
  <c r="AE295"/>
  <c r="AG295"/>
  <c r="AC295"/>
  <c r="Z295"/>
  <c r="AB295"/>
  <c r="X295"/>
  <c r="V295"/>
  <c r="U295"/>
  <c r="AF295"/>
  <c r="T295"/>
  <c r="N48"/>
  <c r="AH20" i="116"/>
  <c r="R186" i="118"/>
  <c r="AB186"/>
  <c r="AB19" s="1"/>
  <c r="V336"/>
  <c r="AB336"/>
  <c r="T336"/>
  <c r="W336"/>
  <c r="AD336"/>
  <c r="Y336"/>
  <c r="X336"/>
  <c r="S336"/>
  <c r="AF20" i="116"/>
  <c r="AA186" i="118"/>
  <c r="W186"/>
  <c r="AI26" i="121"/>
  <c r="AH32" i="116"/>
  <c r="AE61" i="121"/>
  <c r="N61" i="119"/>
  <c r="V170" i="28"/>
  <c r="N45" i="119"/>
  <c r="N58" i="121"/>
  <c r="L16" i="100"/>
  <c r="X25" i="118"/>
  <c r="N62" i="119"/>
  <c r="D17" i="100"/>
  <c r="E17"/>
  <c r="G17"/>
  <c r="F17"/>
  <c r="H17"/>
  <c r="C17"/>
  <c r="AJ32" i="28"/>
  <c r="W396"/>
  <c r="Z407" i="116"/>
  <c r="Z83" s="1"/>
  <c r="AD170" i="28"/>
  <c r="N50" i="119"/>
  <c r="AE126" i="28"/>
  <c r="AF126"/>
  <c r="AG126"/>
  <c r="AA25" i="116"/>
  <c r="Z254" i="119"/>
  <c r="S271" i="120"/>
  <c r="U396" i="28"/>
  <c r="AG396"/>
  <c r="AB126" i="118"/>
  <c r="AC20" i="116"/>
  <c r="S294" i="120"/>
  <c r="T396" i="28"/>
  <c r="AE25" i="116"/>
  <c r="AK254" i="119"/>
  <c r="X170" i="28"/>
  <c r="T419"/>
  <c r="AC419"/>
  <c r="AE419"/>
  <c r="Z419"/>
  <c r="AH419"/>
  <c r="AD419"/>
  <c r="S419"/>
  <c r="AB419"/>
  <c r="X419"/>
  <c r="AA419"/>
  <c r="AJ419"/>
  <c r="AK419"/>
  <c r="AI419"/>
  <c r="R336" i="120"/>
  <c r="S336"/>
  <c r="N64" i="119"/>
  <c r="AJ418" i="28"/>
  <c r="AG418"/>
  <c r="S418"/>
  <c r="AB418"/>
  <c r="T418"/>
  <c r="AE418"/>
  <c r="V418"/>
  <c r="AC418"/>
  <c r="R418"/>
  <c r="AB26" i="119"/>
  <c r="AH418" i="28"/>
  <c r="AB25" i="118"/>
  <c r="N47" i="119"/>
  <c r="N54" i="121"/>
  <c r="O134" i="11"/>
  <c r="R336" i="116"/>
  <c r="AG25"/>
  <c r="U32" i="118"/>
  <c r="Z20" i="116"/>
  <c r="T26" i="119"/>
  <c r="Y418" i="28"/>
  <c r="AD25" i="121"/>
  <c r="N55" i="119"/>
  <c r="AC126"/>
  <c r="AG126"/>
  <c r="Z126"/>
  <c r="U20" i="116"/>
  <c r="W20" i="121"/>
  <c r="N60"/>
  <c r="AH25" i="28"/>
  <c r="AJ22" i="121"/>
  <c r="AD32" i="116"/>
  <c r="AI126" i="119"/>
  <c r="AI418" i="28"/>
  <c r="S253" i="117"/>
  <c r="AE32" i="116"/>
  <c r="AA32"/>
  <c r="AD32" i="121"/>
  <c r="AD418" i="28"/>
  <c r="X418"/>
  <c r="U126" i="119"/>
  <c r="S126" i="120"/>
  <c r="AA418" i="28"/>
  <c r="W418"/>
  <c r="S32" i="116"/>
  <c r="Z155"/>
  <c r="Z71" s="1"/>
  <c r="AB20"/>
  <c r="AA126" i="119"/>
  <c r="AE32" i="28"/>
  <c r="Z25"/>
  <c r="AE19" i="121"/>
  <c r="U418" i="28"/>
  <c r="N46" i="121"/>
  <c r="AA22"/>
  <c r="AB22"/>
  <c r="AF61"/>
  <c r="X126" i="116"/>
  <c r="Y126"/>
  <c r="AD126"/>
  <c r="AB126"/>
  <c r="AC126"/>
  <c r="AA126"/>
  <c r="AI126"/>
  <c r="Z126"/>
  <c r="V126"/>
  <c r="AF126"/>
  <c r="W126"/>
  <c r="U126"/>
  <c r="AE126"/>
  <c r="AH126"/>
  <c r="AG126"/>
  <c r="AA126" i="118"/>
  <c r="T186"/>
  <c r="AG32" i="116"/>
  <c r="T253" i="118"/>
  <c r="AC253"/>
  <c r="AC336"/>
  <c r="T25"/>
  <c r="R294" i="120"/>
  <c r="AH26" i="121"/>
  <c r="AO62"/>
  <c r="AD25" i="116"/>
  <c r="N57" i="119"/>
  <c r="N47" i="121"/>
  <c r="AN10" i="28"/>
  <c r="AN14" s="1"/>
  <c r="AE170"/>
  <c r="AA396"/>
  <c r="AJ396"/>
  <c r="AI396"/>
  <c r="V396"/>
  <c r="X396"/>
  <c r="Z396"/>
  <c r="Y396"/>
  <c r="AF396"/>
  <c r="AH396"/>
  <c r="AK396"/>
  <c r="AE396"/>
  <c r="AC396"/>
  <c r="AC186" i="118"/>
  <c r="T32" i="121"/>
  <c r="AH20"/>
  <c r="AJ254" i="119"/>
  <c r="N55" i="121"/>
  <c r="AH22"/>
  <c r="R146" i="120"/>
  <c r="R126" i="116"/>
  <c r="AB25"/>
  <c r="X32" i="118"/>
  <c r="AA32"/>
  <c r="AG20" i="116"/>
  <c r="AA336" i="118"/>
  <c r="AK26" i="28"/>
  <c r="R62" i="121"/>
  <c r="AJ20"/>
  <c r="S336" i="119"/>
  <c r="AF336"/>
  <c r="U336"/>
  <c r="AA336"/>
  <c r="T336"/>
  <c r="AG336"/>
  <c r="R294" i="117"/>
  <c r="T294"/>
  <c r="S294"/>
  <c r="V166" i="28"/>
  <c r="R166"/>
  <c r="S166"/>
  <c r="AD166"/>
  <c r="AG166"/>
  <c r="U166"/>
  <c r="W166"/>
  <c r="AF166"/>
  <c r="X166"/>
  <c r="Y166"/>
  <c r="AC166"/>
  <c r="AH166"/>
  <c r="AB166"/>
  <c r="Z166"/>
  <c r="AA166"/>
  <c r="AE166"/>
  <c r="AJ166"/>
  <c r="T166"/>
  <c r="AK166"/>
  <c r="AI166"/>
  <c r="AH422"/>
  <c r="AE422"/>
  <c r="T422"/>
  <c r="V422"/>
  <c r="AC422"/>
  <c r="Z22" i="121"/>
  <c r="AF22"/>
  <c r="W26" i="116"/>
  <c r="X20"/>
  <c r="R253" i="117"/>
  <c r="U25" i="118"/>
  <c r="V32" i="116"/>
  <c r="AI26" i="119"/>
  <c r="AD25" i="28"/>
  <c r="AA25"/>
  <c r="W422"/>
  <c r="Z26" i="121"/>
  <c r="AB25"/>
  <c r="T126" i="119"/>
  <c r="X126"/>
  <c r="AJ126"/>
  <c r="AK126"/>
  <c r="AD126"/>
  <c r="AE126"/>
  <c r="AF126"/>
  <c r="AB126"/>
  <c r="S126"/>
  <c r="V126"/>
  <c r="W126"/>
  <c r="Y126"/>
  <c r="N45" i="121"/>
  <c r="U62"/>
  <c r="AG61"/>
  <c r="V32" i="118"/>
  <c r="AC32" i="116"/>
  <c r="AE26" i="119"/>
  <c r="Y32"/>
  <c r="T22" i="121"/>
  <c r="X422" i="28"/>
  <c r="AB20" i="121"/>
  <c r="AB23"/>
  <c r="R126" i="118"/>
  <c r="X126"/>
  <c r="AC126"/>
  <c r="S126"/>
  <c r="W126"/>
  <c r="Y126"/>
  <c r="AD126"/>
  <c r="R32" i="120"/>
  <c r="W25" i="118"/>
  <c r="Y20" i="116"/>
  <c r="AH32" i="28"/>
  <c r="T20" i="121"/>
  <c r="AR61"/>
  <c r="Y26"/>
  <c r="R26"/>
  <c r="AK21"/>
  <c r="R32" i="116"/>
  <c r="R26" i="118"/>
  <c r="U25" i="28"/>
  <c r="X25" i="116"/>
  <c r="Z25"/>
  <c r="AB32" i="118"/>
  <c r="X22" i="121"/>
  <c r="AH25" i="116"/>
  <c r="N53" i="119"/>
  <c r="Z336" i="28"/>
  <c r="AC336"/>
  <c r="AD336"/>
  <c r="AG336"/>
  <c r="AI336"/>
  <c r="AA336"/>
  <c r="AJ336"/>
  <c r="AB336"/>
  <c r="AH336"/>
  <c r="AK336"/>
  <c r="W336"/>
  <c r="S336"/>
  <c r="AF336"/>
  <c r="R336"/>
  <c r="T336"/>
  <c r="U336"/>
  <c r="AA26" i="118"/>
  <c r="AH32" i="119"/>
  <c r="AE20" i="121"/>
  <c r="AA20" i="116"/>
  <c r="T25"/>
  <c r="T253" i="117"/>
  <c r="Z32" i="116"/>
  <c r="U26" i="119"/>
  <c r="AK422" i="28"/>
  <c r="AJ26"/>
  <c r="X32" i="121"/>
  <c r="AC22"/>
  <c r="T254" i="117"/>
  <c r="R126" i="120"/>
  <c r="N51" i="121"/>
  <c r="X32" i="116"/>
  <c r="W32"/>
  <c r="X26" i="118"/>
  <c r="AC32" i="119"/>
  <c r="AA32" i="28"/>
  <c r="AB32"/>
  <c r="AB26"/>
  <c r="N57" i="121"/>
  <c r="V22"/>
  <c r="AO61"/>
  <c r="Y32"/>
  <c r="AI25" i="28"/>
  <c r="S253" i="116"/>
  <c r="W253"/>
  <c r="AA253"/>
  <c r="V253"/>
  <c r="X253"/>
  <c r="AF253"/>
  <c r="T253"/>
  <c r="U253"/>
  <c r="AB253"/>
  <c r="AG253"/>
  <c r="Z253"/>
  <c r="AC253"/>
  <c r="AH253"/>
  <c r="AE253"/>
  <c r="AI253"/>
  <c r="Y253"/>
  <c r="AD253"/>
  <c r="AD26" i="28"/>
  <c r="W32" i="121"/>
  <c r="U32"/>
  <c r="AE32"/>
  <c r="AJ26"/>
  <c r="AC26"/>
  <c r="V23"/>
  <c r="W336" i="116"/>
  <c r="V336"/>
  <c r="AA336"/>
  <c r="AB336"/>
  <c r="Z336"/>
  <c r="AE336"/>
  <c r="AC336"/>
  <c r="AD336"/>
  <c r="AF336"/>
  <c r="Y336"/>
  <c r="AG336"/>
  <c r="T336"/>
  <c r="X336"/>
  <c r="AH336"/>
  <c r="AI336"/>
  <c r="AG45"/>
  <c r="AG65" s="1"/>
  <c r="AG10"/>
  <c r="AG14" s="1"/>
  <c r="AH45"/>
  <c r="AH65" s="1"/>
  <c r="AH10"/>
  <c r="AH14" s="1"/>
  <c r="R336" i="118"/>
  <c r="S186"/>
  <c r="Z186"/>
  <c r="Y186"/>
  <c r="AD186"/>
  <c r="X186"/>
  <c r="R207" i="116"/>
  <c r="W207"/>
  <c r="AC207"/>
  <c r="AA207"/>
  <c r="AD207"/>
  <c r="AF207"/>
  <c r="AG207"/>
  <c r="AH207"/>
  <c r="Z207"/>
  <c r="AE207"/>
  <c r="AI207"/>
  <c r="V207"/>
  <c r="W456" i="28"/>
  <c r="AA456"/>
  <c r="AC456"/>
  <c r="AD456"/>
  <c r="V456"/>
  <c r="AH456"/>
  <c r="Z456"/>
  <c r="AI456"/>
  <c r="R456"/>
  <c r="X456"/>
  <c r="Y456"/>
  <c r="AK456"/>
  <c r="AB456"/>
  <c r="AG456"/>
  <c r="T456"/>
  <c r="AE456"/>
  <c r="AF456"/>
  <c r="AJ456"/>
  <c r="S456"/>
  <c r="U456"/>
  <c r="U25" i="121"/>
  <c r="AC25"/>
  <c r="AQ62"/>
  <c r="AA25"/>
  <c r="AD45" i="116"/>
  <c r="AD65" s="1"/>
  <c r="AD10"/>
  <c r="AD14" s="1"/>
  <c r="AD253" i="118"/>
  <c r="S253"/>
  <c r="Z253"/>
  <c r="AL46" i="119"/>
  <c r="AL65" s="1"/>
  <c r="AL10"/>
  <c r="AL14" s="1"/>
  <c r="AG32"/>
  <c r="AE62" i="121"/>
  <c r="AE26"/>
  <c r="AG23"/>
  <c r="Z281" i="116"/>
  <c r="Z77" s="1"/>
  <c r="AC45"/>
  <c r="AC10"/>
  <c r="AC14" s="1"/>
  <c r="T46" i="28"/>
  <c r="T10"/>
  <c r="T14" s="1"/>
  <c r="T10" i="117"/>
  <c r="T14" s="1"/>
  <c r="T49"/>
  <c r="AS46" i="28"/>
  <c r="AS10"/>
  <c r="AS14" s="1"/>
  <c r="R20" i="116"/>
  <c r="T50" i="118"/>
  <c r="T10"/>
  <c r="T14" s="1"/>
  <c r="S32"/>
  <c r="R49" i="119"/>
  <c r="R10"/>
  <c r="Z26" i="118"/>
  <c r="R49" i="116"/>
  <c r="R10"/>
  <c r="T20"/>
  <c r="W25"/>
  <c r="AI61"/>
  <c r="AI10"/>
  <c r="AI14" s="1"/>
  <c r="Z61"/>
  <c r="Z10"/>
  <c r="Z14" s="1"/>
  <c r="S26" i="117"/>
  <c r="S49"/>
  <c r="S10"/>
  <c r="S14" s="1"/>
  <c r="S25" i="118"/>
  <c r="S10"/>
  <c r="S14" s="1"/>
  <c r="S50"/>
  <c r="X49"/>
  <c r="X10"/>
  <c r="X14" s="1"/>
  <c r="Z32"/>
  <c r="AB32" i="116"/>
  <c r="Y26" i="118"/>
  <c r="AD20" i="116"/>
  <c r="AC25" i="118"/>
  <c r="X26" i="28"/>
  <c r="V32"/>
  <c r="Y25" i="116"/>
  <c r="W10"/>
  <c r="W14" s="1"/>
  <c r="W61"/>
  <c r="W61" i="121"/>
  <c r="W62"/>
  <c r="V49" i="118"/>
  <c r="V10"/>
  <c r="V14" s="1"/>
  <c r="Y10"/>
  <c r="Y14" s="1"/>
  <c r="Y53"/>
  <c r="AE25" i="119"/>
  <c r="R22" i="121"/>
  <c r="R32" i="117"/>
  <c r="AU62" i="121"/>
  <c r="T32" i="116"/>
  <c r="S21"/>
  <c r="S49"/>
  <c r="S10"/>
  <c r="S14" s="1"/>
  <c r="AC25"/>
  <c r="S25"/>
  <c r="AE61"/>
  <c r="AE10"/>
  <c r="AE14" s="1"/>
  <c r="AA61"/>
  <c r="AA10"/>
  <c r="AA14" s="1"/>
  <c r="W20"/>
  <c r="R49" i="117"/>
  <c r="R10"/>
  <c r="AD49" i="118"/>
  <c r="AD10"/>
  <c r="AD14" s="1"/>
  <c r="R32"/>
  <c r="Y32" i="116"/>
  <c r="W26" i="118"/>
  <c r="AA26" i="119"/>
  <c r="W32"/>
  <c r="AJ10"/>
  <c r="AJ14" s="1"/>
  <c r="AJ51"/>
  <c r="Z51"/>
  <c r="Z10"/>
  <c r="Z14" s="1"/>
  <c r="AI51"/>
  <c r="AI10"/>
  <c r="AI14" s="1"/>
  <c r="AE26" i="28"/>
  <c r="T61" i="121"/>
  <c r="N52"/>
  <c r="AJ50" i="28"/>
  <c r="AJ10"/>
  <c r="AJ14" s="1"/>
  <c r="AG62" i="121"/>
  <c r="AH61"/>
  <c r="AH62"/>
  <c r="T49" i="116"/>
  <c r="T10"/>
  <c r="T14" s="1"/>
  <c r="S49" i="119"/>
  <c r="S10"/>
  <c r="S14" s="1"/>
  <c r="AH19" i="121"/>
  <c r="U49" i="116"/>
  <c r="U10"/>
  <c r="U14" s="1"/>
  <c r="T32" i="118"/>
  <c r="V26"/>
  <c r="T26"/>
  <c r="AE20" i="116"/>
  <c r="W26" i="119"/>
  <c r="S26"/>
  <c r="AD32"/>
  <c r="AE51"/>
  <c r="AE10"/>
  <c r="AE14" s="1"/>
  <c r="AA51"/>
  <c r="AA10"/>
  <c r="AA14" s="1"/>
  <c r="AN10"/>
  <c r="AN14" s="1"/>
  <c r="AN38" s="1"/>
  <c r="AN60"/>
  <c r="T165" i="28"/>
  <c r="R165"/>
  <c r="U165"/>
  <c r="V165"/>
  <c r="X165"/>
  <c r="AE165"/>
  <c r="AF165"/>
  <c r="Z165"/>
  <c r="AC165"/>
  <c r="AG165"/>
  <c r="AJ165"/>
  <c r="W165"/>
  <c r="AB165"/>
  <c r="AH165"/>
  <c r="AA165"/>
  <c r="AK165"/>
  <c r="S165"/>
  <c r="AI165"/>
  <c r="Y165"/>
  <c r="AD165"/>
  <c r="AK22" i="121"/>
  <c r="AD23"/>
  <c r="X10" i="116"/>
  <c r="X14" s="1"/>
  <c r="X61"/>
  <c r="U49" i="118"/>
  <c r="U10"/>
  <c r="U14" s="1"/>
  <c r="Y21"/>
  <c r="AC26"/>
  <c r="S26"/>
  <c r="AB26"/>
  <c r="AK26" i="119"/>
  <c r="R26"/>
  <c r="V32"/>
  <c r="AU51"/>
  <c r="AU10"/>
  <c r="AU14" s="1"/>
  <c r="W10"/>
  <c r="W14" s="1"/>
  <c r="W51"/>
  <c r="AC254" i="28"/>
  <c r="AK254"/>
  <c r="R254"/>
  <c r="AH254"/>
  <c r="AI254"/>
  <c r="AJ254"/>
  <c r="AA254"/>
  <c r="U254"/>
  <c r="V60" i="119"/>
  <c r="V10"/>
  <c r="V14" s="1"/>
  <c r="Z32" i="28"/>
  <c r="AN61" i="121"/>
  <c r="AN62"/>
  <c r="X62"/>
  <c r="X61"/>
  <c r="AI32"/>
  <c r="AG19"/>
  <c r="R19"/>
  <c r="V10" i="116"/>
  <c r="V14" s="1"/>
  <c r="V49"/>
  <c r="R10" i="118"/>
  <c r="R49"/>
  <c r="Z10"/>
  <c r="Z14" s="1"/>
  <c r="Z54"/>
  <c r="X10" i="119"/>
  <c r="X14" s="1"/>
  <c r="X54"/>
  <c r="S254" i="116"/>
  <c r="AA254"/>
  <c r="Z254"/>
  <c r="U254"/>
  <c r="AC254"/>
  <c r="AE254"/>
  <c r="AI254"/>
  <c r="AD254"/>
  <c r="AA53" i="118"/>
  <c r="AA10"/>
  <c r="AA14" s="1"/>
  <c r="AK25" i="28"/>
  <c r="Y10"/>
  <c r="Y14" s="1"/>
  <c r="Y46"/>
  <c r="S32" i="117"/>
  <c r="AC49" i="118"/>
  <c r="AC10"/>
  <c r="AC14" s="1"/>
  <c r="AF32" i="116"/>
  <c r="S294"/>
  <c r="S22" s="1"/>
  <c r="R294"/>
  <c r="U294"/>
  <c r="V294"/>
  <c r="T294"/>
  <c r="Z294"/>
  <c r="Y294"/>
  <c r="X294"/>
  <c r="AB294"/>
  <c r="AF294"/>
  <c r="AC294"/>
  <c r="AD294"/>
  <c r="AH294"/>
  <c r="AE294"/>
  <c r="AI294"/>
  <c r="AG294"/>
  <c r="W294"/>
  <c r="AA294"/>
  <c r="V20"/>
  <c r="U25"/>
  <c r="AF61"/>
  <c r="AF10"/>
  <c r="AF14" s="1"/>
  <c r="R26" i="117"/>
  <c r="U32" i="116"/>
  <c r="S20"/>
  <c r="Y10"/>
  <c r="Y14" s="1"/>
  <c r="Y49"/>
  <c r="AB61"/>
  <c r="AB10"/>
  <c r="AB14" s="1"/>
  <c r="S25" i="117"/>
  <c r="AB10" i="118"/>
  <c r="AB14" s="1"/>
  <c r="AB49"/>
  <c r="W32"/>
  <c r="U26"/>
  <c r="W10"/>
  <c r="W14" s="1"/>
  <c r="W53"/>
  <c r="AF10" i="119"/>
  <c r="AF14" s="1"/>
  <c r="AF54"/>
  <c r="AP61" i="121"/>
  <c r="AP62"/>
  <c r="AC26" i="119"/>
  <c r="R294"/>
  <c r="S294"/>
  <c r="AA294"/>
  <c r="AI294"/>
  <c r="T294"/>
  <c r="AB294"/>
  <c r="U294"/>
  <c r="AC294"/>
  <c r="W294"/>
  <c r="AE294"/>
  <c r="AJ294"/>
  <c r="X294"/>
  <c r="AF294"/>
  <c r="V294"/>
  <c r="AD294"/>
  <c r="Y294"/>
  <c r="Z294"/>
  <c r="AG294"/>
  <c r="AH294"/>
  <c r="AK294"/>
  <c r="AJ32"/>
  <c r="Z32"/>
  <c r="R32"/>
  <c r="AS51"/>
  <c r="AS10"/>
  <c r="AS14" s="1"/>
  <c r="AS38" s="1"/>
  <c r="AK51"/>
  <c r="AK10"/>
  <c r="AK14" s="1"/>
  <c r="AP60"/>
  <c r="AP10"/>
  <c r="AP14" s="1"/>
  <c r="AP38" s="1"/>
  <c r="Y32" i="28"/>
  <c r="R49" i="120"/>
  <c r="R10"/>
  <c r="S20" i="121"/>
  <c r="X20"/>
  <c r="Z20"/>
  <c r="AP50" i="28"/>
  <c r="AP10"/>
  <c r="AP14" s="1"/>
  <c r="AP38" s="1"/>
  <c r="AK61" i="121"/>
  <c r="AK62"/>
  <c r="V61"/>
  <c r="V62"/>
  <c r="S61"/>
  <c r="AD19"/>
  <c r="T21"/>
  <c r="AE25"/>
  <c r="AB62"/>
  <c r="N58" i="119"/>
  <c r="AF26"/>
  <c r="AK32"/>
  <c r="AF32"/>
  <c r="AR51"/>
  <c r="AR10"/>
  <c r="AR14" s="1"/>
  <c r="AR38" s="1"/>
  <c r="AQ51"/>
  <c r="AQ10"/>
  <c r="AQ14" s="1"/>
  <c r="AC51"/>
  <c r="AC10"/>
  <c r="AC14" s="1"/>
  <c r="X48" i="28"/>
  <c r="X10"/>
  <c r="X14" s="1"/>
  <c r="X32"/>
  <c r="AG26" i="119"/>
  <c r="U19" i="121"/>
  <c r="AL61"/>
  <c r="AL62"/>
  <c r="AG26"/>
  <c r="AG25"/>
  <c r="AF23"/>
  <c r="N48"/>
  <c r="U19" i="118"/>
  <c r="Z25"/>
  <c r="X32" i="119"/>
  <c r="AD10"/>
  <c r="AD14" s="1"/>
  <c r="AD51"/>
  <c r="AO51"/>
  <c r="AO10"/>
  <c r="AO14" s="1"/>
  <c r="U51"/>
  <c r="U10"/>
  <c r="U14" s="1"/>
  <c r="W32" i="28"/>
  <c r="AM46"/>
  <c r="AM10"/>
  <c r="AM14" s="1"/>
  <c r="AM38" s="1"/>
  <c r="U10"/>
  <c r="U14" s="1"/>
  <c r="U46"/>
  <c r="S47"/>
  <c r="S10"/>
  <c r="S14" s="1"/>
  <c r="Z26" i="119"/>
  <c r="T26" i="28"/>
  <c r="S26"/>
  <c r="S22" i="121"/>
  <c r="S26"/>
  <c r="AE25" i="28"/>
  <c r="AA32" i="121"/>
  <c r="AA25" i="118"/>
  <c r="AI21" i="119"/>
  <c r="R26" i="120"/>
  <c r="U32" i="119"/>
  <c r="S32"/>
  <c r="AT10"/>
  <c r="AT14" s="1"/>
  <c r="AT51"/>
  <c r="AM51"/>
  <c r="AM10"/>
  <c r="AM14" s="1"/>
  <c r="AM38" s="1"/>
  <c r="AB51"/>
  <c r="AB10"/>
  <c r="AB14" s="1"/>
  <c r="T25" i="28"/>
  <c r="AG46"/>
  <c r="AG10"/>
  <c r="AG14" s="1"/>
  <c r="AD47"/>
  <c r="AD10"/>
  <c r="AD14" s="1"/>
  <c r="Z10"/>
  <c r="Z14" s="1"/>
  <c r="Z47"/>
  <c r="S32" i="121"/>
  <c r="AI20"/>
  <c r="AK26"/>
  <c r="AH32"/>
  <c r="AJ61"/>
  <c r="AJ62"/>
  <c r="AC61"/>
  <c r="Y54" i="119"/>
  <c r="Y10"/>
  <c r="Y14" s="1"/>
  <c r="N56"/>
  <c r="Y25" i="118"/>
  <c r="AI32" i="119"/>
  <c r="AE32"/>
  <c r="AG51"/>
  <c r="AG10"/>
  <c r="AG14" s="1"/>
  <c r="AH51"/>
  <c r="AH10"/>
  <c r="AH14" s="1"/>
  <c r="T10"/>
  <c r="T14" s="1"/>
  <c r="T51"/>
  <c r="V26"/>
  <c r="AF32" i="28"/>
  <c r="T32"/>
  <c r="AF46"/>
  <c r="AF10"/>
  <c r="AF14" s="1"/>
  <c r="AK47"/>
  <c r="AK10"/>
  <c r="AK14" s="1"/>
  <c r="R65"/>
  <c r="AK32" i="121"/>
  <c r="V401" i="28"/>
  <c r="X401"/>
  <c r="U401"/>
  <c r="S401"/>
  <c r="AK401"/>
  <c r="AB401"/>
  <c r="AF401"/>
  <c r="T401"/>
  <c r="AD401"/>
  <c r="AE401"/>
  <c r="AI401"/>
  <c r="AA19" i="121"/>
  <c r="AF62"/>
  <c r="AB61"/>
  <c r="U61"/>
  <c r="AI32" i="28"/>
  <c r="U32"/>
  <c r="AF26"/>
  <c r="X25"/>
  <c r="S25"/>
  <c r="AA46"/>
  <c r="AA10"/>
  <c r="AA14" s="1"/>
  <c r="AC47"/>
  <c r="AC10"/>
  <c r="AC14" s="1"/>
  <c r="Y26" i="119"/>
  <c r="AG26" i="28"/>
  <c r="W26"/>
  <c r="AA26"/>
  <c r="V32" i="121"/>
  <c r="AB50" i="28"/>
  <c r="AB10"/>
  <c r="AB14" s="1"/>
  <c r="AA26" i="121"/>
  <c r="AA61"/>
  <c r="AA62"/>
  <c r="AI21"/>
  <c r="S21"/>
  <c r="AK25"/>
  <c r="V21"/>
  <c r="AE22"/>
  <c r="AB21"/>
  <c r="AG32"/>
  <c r="AS61"/>
  <c r="AD26" i="119"/>
  <c r="AI26" i="28"/>
  <c r="U26"/>
  <c r="S49" i="120"/>
  <c r="S10"/>
  <c r="S14" s="1"/>
  <c r="R32" i="121"/>
  <c r="U22"/>
  <c r="AI50" i="28"/>
  <c r="AI10"/>
  <c r="AI14" s="1"/>
  <c r="AU61" i="121"/>
  <c r="S253" i="28"/>
  <c r="R253"/>
  <c r="T253"/>
  <c r="U253"/>
  <c r="W253"/>
  <c r="W23" s="1"/>
  <c r="AD253"/>
  <c r="AE253"/>
  <c r="AF253"/>
  <c r="AF23" s="1"/>
  <c r="AH253"/>
  <c r="X253"/>
  <c r="Z253"/>
  <c r="AK253"/>
  <c r="AC253"/>
  <c r="AC23" s="1"/>
  <c r="AJ253"/>
  <c r="V253"/>
  <c r="V23" s="1"/>
  <c r="AB253"/>
  <c r="AA253"/>
  <c r="AA23" s="1"/>
  <c r="AI253"/>
  <c r="AI23" s="1"/>
  <c r="Y253"/>
  <c r="AG253"/>
  <c r="AA21" i="121"/>
  <c r="AC23"/>
  <c r="AM61"/>
  <c r="AM62"/>
  <c r="T62"/>
  <c r="AJ25" i="28"/>
  <c r="AG21" i="121"/>
  <c r="X21"/>
  <c r="X25"/>
  <c r="AD62"/>
  <c r="AB32"/>
  <c r="AE49" i="28"/>
  <c r="AE10"/>
  <c r="AE14" s="1"/>
  <c r="S32"/>
  <c r="AC25"/>
  <c r="AQ46"/>
  <c r="AQ10"/>
  <c r="AQ14" s="1"/>
  <c r="W10"/>
  <c r="W14" s="1"/>
  <c r="W46"/>
  <c r="AG32"/>
  <c r="X26" i="119"/>
  <c r="Z26" i="28"/>
  <c r="AD32"/>
  <c r="R170" i="120"/>
  <c r="X19" i="121"/>
  <c r="AR50" i="28"/>
  <c r="AR10"/>
  <c r="AR14" s="1"/>
  <c r="N56" i="121"/>
  <c r="AF20"/>
  <c r="Y23"/>
  <c r="AB19"/>
  <c r="AH25"/>
  <c r="R61"/>
  <c r="AI61"/>
  <c r="Y19"/>
  <c r="AI23"/>
  <c r="AI19"/>
  <c r="AD21"/>
  <c r="R21"/>
  <c r="Z25"/>
  <c r="AA20"/>
  <c r="AK19"/>
  <c r="AG22"/>
  <c r="AF26"/>
  <c r="R32" i="28"/>
  <c r="Y25"/>
  <c r="AO46"/>
  <c r="AO10"/>
  <c r="AO14" s="1"/>
  <c r="AO38" s="1"/>
  <c r="V46"/>
  <c r="V10"/>
  <c r="V14" s="1"/>
  <c r="AK32"/>
  <c r="AJ26" i="119"/>
  <c r="AB32"/>
  <c r="AC26" i="28"/>
  <c r="Y26"/>
  <c r="U20" i="121"/>
  <c r="V20"/>
  <c r="X26"/>
  <c r="W26"/>
  <c r="Y22"/>
  <c r="AS62"/>
  <c r="Z19"/>
  <c r="AD20"/>
  <c r="Y20"/>
  <c r="AT50" i="28"/>
  <c r="AT10"/>
  <c r="AT14" s="1"/>
  <c r="W23" i="121"/>
  <c r="AH21"/>
  <c r="Z32"/>
  <c r="Z23"/>
  <c r="AD61"/>
  <c r="AR62"/>
  <c r="AC32" i="28"/>
  <c r="AH26" i="119"/>
  <c r="T32"/>
  <c r="V26" i="28"/>
  <c r="R26"/>
  <c r="AH26"/>
  <c r="W22" i="121"/>
  <c r="AJ19"/>
  <c r="R20"/>
  <c r="AC20"/>
  <c r="V26"/>
  <c r="AN65" i="28"/>
  <c r="AD22" i="121"/>
  <c r="AD26"/>
  <c r="Z62"/>
  <c r="Z61"/>
  <c r="R10" i="28"/>
  <c r="W25"/>
  <c r="U21" i="121"/>
  <c r="Y32" i="118"/>
  <c r="AF19" i="121"/>
  <c r="AB25" i="28"/>
  <c r="Y21" i="121"/>
  <c r="W21"/>
  <c r="AI25"/>
  <c r="Y62"/>
  <c r="Z365" i="116"/>
  <c r="Z81" s="1"/>
  <c r="AK23" i="121"/>
  <c r="S62"/>
  <c r="AC62"/>
  <c r="AG20"/>
  <c r="AL50" i="28"/>
  <c r="AL10"/>
  <c r="AL14" s="1"/>
  <c r="AH50"/>
  <c r="AH10"/>
  <c r="AH14" s="1"/>
  <c r="T26" i="121"/>
  <c r="AQ61"/>
  <c r="V19"/>
  <c r="AC19"/>
  <c r="AG25" i="28"/>
  <c r="AC21" i="121"/>
  <c r="Y25"/>
  <c r="AI62"/>
  <c r="AJ32"/>
  <c r="S19"/>
  <c r="U23"/>
  <c r="AK20"/>
  <c r="AB26"/>
  <c r="U26"/>
  <c r="AC32" i="118"/>
  <c r="AF32" i="121"/>
  <c r="N53"/>
  <c r="W19"/>
  <c r="AJ21"/>
  <c r="W25"/>
  <c r="AF21"/>
  <c r="AC32"/>
  <c r="S25"/>
  <c r="S23"/>
  <c r="Y61"/>
  <c r="T23"/>
  <c r="T19"/>
  <c r="AT62"/>
  <c r="AE21"/>
  <c r="AJ25"/>
  <c r="T25"/>
  <c r="Z21"/>
  <c r="N49"/>
  <c r="AT61"/>
  <c r="I18" i="8"/>
  <c r="I28"/>
  <c r="I11"/>
  <c r="I13"/>
  <c r="K18"/>
  <c r="I29"/>
  <c r="K15"/>
  <c r="I24"/>
  <c r="K11"/>
  <c r="I30"/>
  <c r="K13"/>
  <c r="K16"/>
  <c r="K26"/>
  <c r="K21"/>
  <c r="K20"/>
  <c r="K23"/>
  <c r="I27"/>
  <c r="K17"/>
  <c r="I16"/>
  <c r="I25"/>
  <c r="I19"/>
  <c r="K14"/>
  <c r="K24"/>
  <c r="I14"/>
  <c r="K22"/>
  <c r="K12"/>
  <c r="I21"/>
  <c r="K25"/>
  <c r="I22"/>
  <c r="K19"/>
  <c r="I23"/>
  <c r="AF459" i="121" l="1"/>
  <c r="AF360"/>
  <c r="AF339"/>
  <c r="AF276"/>
  <c r="AF491"/>
  <c r="AF192"/>
  <c r="AF297"/>
  <c r="AF255"/>
  <c r="AF129"/>
  <c r="AF213"/>
  <c r="AF381"/>
  <c r="AF475"/>
  <c r="AF150"/>
  <c r="AF234"/>
  <c r="AF402"/>
  <c r="AF318"/>
  <c r="AF171"/>
  <c r="AF108"/>
  <c r="AF25" s="1"/>
  <c r="AF423"/>
  <c r="AL19" i="28"/>
  <c r="AL113"/>
  <c r="AL69" s="1"/>
  <c r="AJ367" i="116"/>
  <c r="AK8"/>
  <c r="AJ204"/>
  <c r="AJ346"/>
  <c r="AJ445"/>
  <c r="AJ162"/>
  <c r="AJ466"/>
  <c r="AJ136"/>
  <c r="AJ309"/>
  <c r="AJ450"/>
  <c r="AJ325"/>
  <c r="AJ99"/>
  <c r="AJ115"/>
  <c r="AJ288"/>
  <c r="AJ430"/>
  <c r="AJ94"/>
  <c r="AJ246"/>
  <c r="AJ16"/>
  <c r="AJ351"/>
  <c r="AJ435"/>
  <c r="AJ183"/>
  <c r="AJ220"/>
  <c r="AJ141"/>
  <c r="AJ199"/>
  <c r="AJ372"/>
  <c r="AJ482"/>
  <c r="AJ178"/>
  <c r="AJ330"/>
  <c r="AJ409"/>
  <c r="AJ440"/>
  <c r="AJ241"/>
  <c r="AJ157"/>
  <c r="AJ267"/>
  <c r="AJ283"/>
  <c r="AJ499"/>
  <c r="AJ120"/>
  <c r="AJ262"/>
  <c r="AJ414"/>
  <c r="AJ42"/>
  <c r="AJ67" s="1"/>
  <c r="AJ225"/>
  <c r="AJ503"/>
  <c r="AJ304"/>
  <c r="AJ393"/>
  <c r="AJ388"/>
  <c r="AJ507"/>
  <c r="AJ508" s="1"/>
  <c r="AJ509" s="1"/>
  <c r="AJ411"/>
  <c r="AJ60" s="1"/>
  <c r="AJ243"/>
  <c r="AJ52" s="1"/>
  <c r="AJ285"/>
  <c r="AJ54" s="1"/>
  <c r="AJ201"/>
  <c r="AJ50" s="1"/>
  <c r="AJ138"/>
  <c r="AJ47" s="1"/>
  <c r="AJ264"/>
  <c r="AJ53" s="1"/>
  <c r="AJ369"/>
  <c r="AJ58" s="1"/>
  <c r="AJ180"/>
  <c r="AJ49" s="1"/>
  <c r="AJ117"/>
  <c r="AJ46" s="1"/>
  <c r="AJ159"/>
  <c r="AJ48" s="1"/>
  <c r="AJ306"/>
  <c r="AJ55" s="1"/>
  <c r="AJ348"/>
  <c r="AJ57" s="1"/>
  <c r="AJ96"/>
  <c r="AJ442"/>
  <c r="AJ63" s="1"/>
  <c r="AJ447"/>
  <c r="AJ64" s="1"/>
  <c r="AJ390"/>
  <c r="AJ59" s="1"/>
  <c r="AJ222"/>
  <c r="AJ51" s="1"/>
  <c r="AJ327"/>
  <c r="AJ56" s="1"/>
  <c r="AJ437"/>
  <c r="AJ62" s="1"/>
  <c r="AJ432"/>
  <c r="AJ61" s="1"/>
  <c r="V255"/>
  <c r="V318"/>
  <c r="V171"/>
  <c r="V339"/>
  <c r="V213"/>
  <c r="V129"/>
  <c r="V459"/>
  <c r="V423"/>
  <c r="V276"/>
  <c r="V381"/>
  <c r="V475"/>
  <c r="V297"/>
  <c r="V360"/>
  <c r="V192"/>
  <c r="V234"/>
  <c r="V402"/>
  <c r="V491"/>
  <c r="V108"/>
  <c r="V150"/>
  <c r="U499" i="117"/>
  <c r="U503"/>
  <c r="U430"/>
  <c r="U241"/>
  <c r="U288"/>
  <c r="U409"/>
  <c r="U204"/>
  <c r="U178"/>
  <c r="U199"/>
  <c r="U440"/>
  <c r="U99"/>
  <c r="U330"/>
  <c r="U393"/>
  <c r="U482"/>
  <c r="U325"/>
  <c r="U246"/>
  <c r="U225"/>
  <c r="U115"/>
  <c r="U136"/>
  <c r="V8"/>
  <c r="U466"/>
  <c r="U414"/>
  <c r="U388"/>
  <c r="U262"/>
  <c r="U351"/>
  <c r="U42"/>
  <c r="U67" s="1"/>
  <c r="U283"/>
  <c r="U507"/>
  <c r="U508" s="1"/>
  <c r="U509" s="1"/>
  <c r="U304"/>
  <c r="U267"/>
  <c r="U141"/>
  <c r="U94"/>
  <c r="U367"/>
  <c r="U445"/>
  <c r="U450"/>
  <c r="U346"/>
  <c r="U157"/>
  <c r="U162"/>
  <c r="U372"/>
  <c r="U120"/>
  <c r="U309"/>
  <c r="U16"/>
  <c r="U220"/>
  <c r="U183"/>
  <c r="U435"/>
  <c r="U437"/>
  <c r="U62" s="1"/>
  <c r="U138"/>
  <c r="U47" s="1"/>
  <c r="U117"/>
  <c r="U46" s="1"/>
  <c r="U348"/>
  <c r="U57" s="1"/>
  <c r="U411"/>
  <c r="U60" s="1"/>
  <c r="U369"/>
  <c r="U58" s="1"/>
  <c r="U327"/>
  <c r="U56" s="1"/>
  <c r="U96"/>
  <c r="U390"/>
  <c r="U59" s="1"/>
  <c r="U442"/>
  <c r="U63" s="1"/>
  <c r="U432"/>
  <c r="U61" s="1"/>
  <c r="U222"/>
  <c r="U51" s="1"/>
  <c r="U159"/>
  <c r="U48" s="1"/>
  <c r="U285"/>
  <c r="U54" s="1"/>
  <c r="U243"/>
  <c r="U52" s="1"/>
  <c r="U306"/>
  <c r="U55" s="1"/>
  <c r="U201"/>
  <c r="U50" s="1"/>
  <c r="U180"/>
  <c r="U49" s="1"/>
  <c r="U447"/>
  <c r="U64" s="1"/>
  <c r="U264"/>
  <c r="U53" s="1"/>
  <c r="AU496" i="119"/>
  <c r="AU87" s="1"/>
  <c r="AU134"/>
  <c r="AU70" s="1"/>
  <c r="AU260"/>
  <c r="AU76" s="1"/>
  <c r="AU323"/>
  <c r="AU79" s="1"/>
  <c r="AU24"/>
  <c r="AL480" i="28"/>
  <c r="AL86" s="1"/>
  <c r="AL323"/>
  <c r="AL79" s="1"/>
  <c r="AL26"/>
  <c r="AL344"/>
  <c r="AL80" s="1"/>
  <c r="AL239"/>
  <c r="AL75" s="1"/>
  <c r="AL20"/>
  <c r="AL23"/>
  <c r="AE430" i="118"/>
  <c r="AE351"/>
  <c r="AE241"/>
  <c r="AE220"/>
  <c r="AE499"/>
  <c r="AE99"/>
  <c r="AE162"/>
  <c r="AE466"/>
  <c r="AE115"/>
  <c r="AE283"/>
  <c r="AE309"/>
  <c r="AE136"/>
  <c r="AE482"/>
  <c r="AE435"/>
  <c r="AE325"/>
  <c r="AE304"/>
  <c r="AE183"/>
  <c r="AE204"/>
  <c r="AE16"/>
  <c r="AE367"/>
  <c r="AE246"/>
  <c r="AE120"/>
  <c r="AE94"/>
  <c r="AE450"/>
  <c r="AE262"/>
  <c r="AE409"/>
  <c r="AE388"/>
  <c r="AE225"/>
  <c r="AE330"/>
  <c r="AE372"/>
  <c r="AE440"/>
  <c r="AE393"/>
  <c r="AE178"/>
  <c r="AE346"/>
  <c r="AE445"/>
  <c r="AE503"/>
  <c r="AE507"/>
  <c r="AE508" s="1"/>
  <c r="AE509" s="1"/>
  <c r="AE288"/>
  <c r="AE157"/>
  <c r="AE42"/>
  <c r="AE67" s="1"/>
  <c r="AE414"/>
  <c r="AF8"/>
  <c r="AE199"/>
  <c r="AE267"/>
  <c r="AE141"/>
  <c r="AE96"/>
  <c r="AE437"/>
  <c r="AE62" s="1"/>
  <c r="AE306"/>
  <c r="AE55" s="1"/>
  <c r="AE432"/>
  <c r="AE61" s="1"/>
  <c r="AE180"/>
  <c r="AE49" s="1"/>
  <c r="AE442"/>
  <c r="AE63" s="1"/>
  <c r="AE201"/>
  <c r="AE50" s="1"/>
  <c r="AE327"/>
  <c r="AE56" s="1"/>
  <c r="AE159"/>
  <c r="AE48" s="1"/>
  <c r="AE117"/>
  <c r="AE46" s="1"/>
  <c r="AE390"/>
  <c r="AE59" s="1"/>
  <c r="AE243"/>
  <c r="AE52" s="1"/>
  <c r="AE348"/>
  <c r="AE57" s="1"/>
  <c r="AE447"/>
  <c r="AE64" s="1"/>
  <c r="AE222"/>
  <c r="AE51" s="1"/>
  <c r="AE411"/>
  <c r="AE60" s="1"/>
  <c r="AE138"/>
  <c r="AE47" s="1"/>
  <c r="AE369"/>
  <c r="AE58" s="1"/>
  <c r="AE285"/>
  <c r="AE54" s="1"/>
  <c r="AE264"/>
  <c r="AE53" s="1"/>
  <c r="S420" i="120"/>
  <c r="S167"/>
  <c r="S463"/>
  <c r="S172"/>
  <c r="S335"/>
  <c r="S417"/>
  <c r="S229"/>
  <c r="S234"/>
  <c r="S235"/>
  <c r="S360"/>
  <c r="S358"/>
  <c r="S196"/>
  <c r="S151"/>
  <c r="S291"/>
  <c r="S147"/>
  <c r="S319"/>
  <c r="S377"/>
  <c r="S312"/>
  <c r="S280"/>
  <c r="S469"/>
  <c r="S154"/>
  <c r="S406"/>
  <c r="S381"/>
  <c r="S293"/>
  <c r="S492"/>
  <c r="S297"/>
  <c r="S453"/>
  <c r="S231"/>
  <c r="S354"/>
  <c r="S133"/>
  <c r="S455"/>
  <c r="S375"/>
  <c r="S454"/>
  <c r="S277"/>
  <c r="S475"/>
  <c r="S123"/>
  <c r="S318"/>
  <c r="S485"/>
  <c r="S339"/>
  <c r="S150"/>
  <c r="S214"/>
  <c r="S252"/>
  <c r="S228"/>
  <c r="S357"/>
  <c r="S470"/>
  <c r="S361"/>
  <c r="S316"/>
  <c r="S125"/>
  <c r="S488"/>
  <c r="S421"/>
  <c r="S175"/>
  <c r="S112"/>
  <c r="S108"/>
  <c r="S251"/>
  <c r="S171"/>
  <c r="S479"/>
  <c r="S419"/>
  <c r="S402"/>
  <c r="S337"/>
  <c r="S255"/>
  <c r="S192"/>
  <c r="S471"/>
  <c r="S343"/>
  <c r="S457"/>
  <c r="S129"/>
  <c r="S207"/>
  <c r="S102"/>
  <c r="S378"/>
  <c r="S491"/>
  <c r="S424"/>
  <c r="S333"/>
  <c r="S315"/>
  <c r="S259"/>
  <c r="S249"/>
  <c r="S276"/>
  <c r="S250"/>
  <c r="S188"/>
  <c r="S166"/>
  <c r="S209"/>
  <c r="S473"/>
  <c r="S403"/>
  <c r="S472"/>
  <c r="S273"/>
  <c r="S334"/>
  <c r="S105"/>
  <c r="S487"/>
  <c r="S256"/>
  <c r="S168"/>
  <c r="S145"/>
  <c r="S144"/>
  <c r="S301"/>
  <c r="S103"/>
  <c r="S20" s="1"/>
  <c r="S460"/>
  <c r="S130"/>
  <c r="S104"/>
  <c r="S400"/>
  <c r="S208"/>
  <c r="S399"/>
  <c r="S495"/>
  <c r="S106"/>
  <c r="S23" s="1"/>
  <c r="S456"/>
  <c r="S313"/>
  <c r="S232"/>
  <c r="S210"/>
  <c r="S427"/>
  <c r="S398"/>
  <c r="S187"/>
  <c r="S486"/>
  <c r="S476"/>
  <c r="S364"/>
  <c r="S459"/>
  <c r="S127"/>
  <c r="S356"/>
  <c r="S322"/>
  <c r="S189"/>
  <c r="S376"/>
  <c r="S340"/>
  <c r="S190"/>
  <c r="S314"/>
  <c r="S217"/>
  <c r="S270"/>
  <c r="S295"/>
  <c r="S213"/>
  <c r="S423"/>
  <c r="S193"/>
  <c r="S418"/>
  <c r="S355"/>
  <c r="S186"/>
  <c r="S148"/>
  <c r="S489"/>
  <c r="S298"/>
  <c r="S109"/>
  <c r="S26" s="1"/>
  <c r="S165"/>
  <c r="S382"/>
  <c r="S169"/>
  <c r="S124"/>
  <c r="S292"/>
  <c r="S385"/>
  <c r="S238"/>
  <c r="S272"/>
  <c r="S397"/>
  <c r="S230"/>
  <c r="AI402" i="116"/>
  <c r="AI385"/>
  <c r="AI147"/>
  <c r="AI378"/>
  <c r="AI229"/>
  <c r="AI251"/>
  <c r="AI489"/>
  <c r="AI476"/>
  <c r="AI235"/>
  <c r="AI105"/>
  <c r="AI234"/>
  <c r="AI192"/>
  <c r="AI340"/>
  <c r="AI214"/>
  <c r="AI298"/>
  <c r="AI277"/>
  <c r="AI491"/>
  <c r="AI485"/>
  <c r="AI357"/>
  <c r="AI238"/>
  <c r="AI427"/>
  <c r="AI217"/>
  <c r="AI453"/>
  <c r="AI255"/>
  <c r="AI333"/>
  <c r="AI108"/>
  <c r="AI355"/>
  <c r="AI187"/>
  <c r="AI124"/>
  <c r="AI188"/>
  <c r="AI123"/>
  <c r="AI334"/>
  <c r="AI312"/>
  <c r="AI375"/>
  <c r="AI280"/>
  <c r="AI382"/>
  <c r="AI270"/>
  <c r="AI301"/>
  <c r="AI318"/>
  <c r="AI424"/>
  <c r="AI259"/>
  <c r="AI487"/>
  <c r="AI316"/>
  <c r="AI193"/>
  <c r="AI210"/>
  <c r="AI150"/>
  <c r="AI230"/>
  <c r="AI455"/>
  <c r="AI399"/>
  <c r="AI460"/>
  <c r="AI343"/>
  <c r="AI471"/>
  <c r="AI419"/>
  <c r="AI209"/>
  <c r="AI271"/>
  <c r="AI319"/>
  <c r="AI252"/>
  <c r="AI272"/>
  <c r="AI167"/>
  <c r="AI130"/>
  <c r="AI420"/>
  <c r="AI315"/>
  <c r="AI250"/>
  <c r="AI459"/>
  <c r="AI339"/>
  <c r="AI175"/>
  <c r="AI129"/>
  <c r="AI171"/>
  <c r="AI421"/>
  <c r="AI397"/>
  <c r="AI335"/>
  <c r="AI423"/>
  <c r="AI297"/>
  <c r="AI169"/>
  <c r="AI213"/>
  <c r="AI190"/>
  <c r="AI172"/>
  <c r="AI127"/>
  <c r="AI396"/>
  <c r="AI381"/>
  <c r="AI256"/>
  <c r="AI228"/>
  <c r="AI470"/>
  <c r="AI406"/>
  <c r="AI249"/>
  <c r="AI457"/>
  <c r="AI145"/>
  <c r="AI165"/>
  <c r="AI472"/>
  <c r="AI354"/>
  <c r="AI337"/>
  <c r="AI211"/>
  <c r="AI231"/>
  <c r="AI463"/>
  <c r="AI360"/>
  <c r="AI154"/>
  <c r="AI469"/>
  <c r="AI364"/>
  <c r="AI112"/>
  <c r="AI379"/>
  <c r="AI276"/>
  <c r="AI104"/>
  <c r="AI21" s="1"/>
  <c r="AI103"/>
  <c r="AI196"/>
  <c r="AI133"/>
  <c r="AI488"/>
  <c r="AI418"/>
  <c r="AI398"/>
  <c r="AI291"/>
  <c r="AI146"/>
  <c r="AI403"/>
  <c r="AI292"/>
  <c r="AI313"/>
  <c r="AI166"/>
  <c r="AI314"/>
  <c r="AI208"/>
  <c r="AI144"/>
  <c r="AI475"/>
  <c r="AI456"/>
  <c r="AI151"/>
  <c r="AI125"/>
  <c r="AI479"/>
  <c r="AI189"/>
  <c r="AI495"/>
  <c r="AI168"/>
  <c r="AI454"/>
  <c r="AI492"/>
  <c r="AI232"/>
  <c r="AI377"/>
  <c r="AI356"/>
  <c r="AI376"/>
  <c r="AI361"/>
  <c r="AI486"/>
  <c r="AI273"/>
  <c r="AI322"/>
  <c r="AI417"/>
  <c r="AI102"/>
  <c r="V339" i="28"/>
  <c r="V381"/>
  <c r="V255"/>
  <c r="V171"/>
  <c r="V423"/>
  <c r="V475"/>
  <c r="V318"/>
  <c r="V297"/>
  <c r="V234"/>
  <c r="V360"/>
  <c r="V213"/>
  <c r="V491"/>
  <c r="V129"/>
  <c r="V276"/>
  <c r="V459"/>
  <c r="V402"/>
  <c r="V192"/>
  <c r="V108"/>
  <c r="V150"/>
  <c r="V213" i="118"/>
  <c r="V192"/>
  <c r="V491"/>
  <c r="V402"/>
  <c r="V234"/>
  <c r="V475"/>
  <c r="V339"/>
  <c r="V360"/>
  <c r="V108"/>
  <c r="V423"/>
  <c r="V297"/>
  <c r="V459"/>
  <c r="V318"/>
  <c r="V255"/>
  <c r="V381"/>
  <c r="V129"/>
  <c r="V171"/>
  <c r="V276"/>
  <c r="V150"/>
  <c r="AU239" i="119"/>
  <c r="AU75" s="1"/>
  <c r="AU32"/>
  <c r="AU197"/>
  <c r="AU73" s="1"/>
  <c r="AU218"/>
  <c r="AU74" s="1"/>
  <c r="AU176"/>
  <c r="AU72" s="1"/>
  <c r="AU31"/>
  <c r="AL260" i="28"/>
  <c r="AL76" s="1"/>
  <c r="AL218"/>
  <c r="AL74" s="1"/>
  <c r="AL21"/>
  <c r="AL386"/>
  <c r="AL82" s="1"/>
  <c r="AL197"/>
  <c r="AL73" s="1"/>
  <c r="AL24"/>
  <c r="S253" i="120"/>
  <c r="AD356" i="118"/>
  <c r="AD123"/>
  <c r="AD314"/>
  <c r="AD231"/>
  <c r="AD125"/>
  <c r="AD271"/>
  <c r="AD276"/>
  <c r="AD259"/>
  <c r="AD210"/>
  <c r="AD377"/>
  <c r="AD167"/>
  <c r="AD491"/>
  <c r="AD460"/>
  <c r="AD108"/>
  <c r="AD105"/>
  <c r="AD133"/>
  <c r="AD297"/>
  <c r="AD340"/>
  <c r="AD492"/>
  <c r="AD479"/>
  <c r="AD313"/>
  <c r="AD453"/>
  <c r="AD235"/>
  <c r="AD343"/>
  <c r="AD229"/>
  <c r="AD402"/>
  <c r="AD333"/>
  <c r="AD319"/>
  <c r="AD252"/>
  <c r="AD291"/>
  <c r="AD424"/>
  <c r="AD214"/>
  <c r="AD188"/>
  <c r="AD228"/>
  <c r="AD187"/>
  <c r="AD360"/>
  <c r="AD476"/>
  <c r="AD298"/>
  <c r="AD175"/>
  <c r="AD165"/>
  <c r="AD357"/>
  <c r="AD213"/>
  <c r="AD196"/>
  <c r="AD103"/>
  <c r="AD20" s="1"/>
  <c r="AD486"/>
  <c r="AD418"/>
  <c r="AD145"/>
  <c r="AD472"/>
  <c r="AD192"/>
  <c r="AD318"/>
  <c r="AD234"/>
  <c r="AD251"/>
  <c r="AD455"/>
  <c r="AD112"/>
  <c r="AD270"/>
  <c r="AD249"/>
  <c r="AD292"/>
  <c r="AD361"/>
  <c r="AD147"/>
  <c r="AD471"/>
  <c r="AD459"/>
  <c r="AD396"/>
  <c r="AD109"/>
  <c r="AD315"/>
  <c r="AD273"/>
  <c r="AD256"/>
  <c r="AD354"/>
  <c r="AD146"/>
  <c r="AD272"/>
  <c r="AD475"/>
  <c r="AD316"/>
  <c r="AD232"/>
  <c r="AD463"/>
  <c r="AD312"/>
  <c r="AD454"/>
  <c r="AD301"/>
  <c r="AD193"/>
  <c r="AD151"/>
  <c r="AD375"/>
  <c r="AD382"/>
  <c r="AD168"/>
  <c r="AD130"/>
  <c r="AD487"/>
  <c r="AD104"/>
  <c r="AD339"/>
  <c r="AD255"/>
  <c r="AD420"/>
  <c r="AD456"/>
  <c r="AD277"/>
  <c r="AD381"/>
  <c r="AD457"/>
  <c r="AD172"/>
  <c r="AD238"/>
  <c r="AD230"/>
  <c r="AD171"/>
  <c r="AD280"/>
  <c r="AD207"/>
  <c r="AD335"/>
  <c r="AD148"/>
  <c r="AD144"/>
  <c r="AD406"/>
  <c r="AD488"/>
  <c r="AD129"/>
  <c r="AD378"/>
  <c r="AD154"/>
  <c r="AD419"/>
  <c r="AD423"/>
  <c r="AD364"/>
  <c r="AD355"/>
  <c r="AD469"/>
  <c r="AD399"/>
  <c r="AD403"/>
  <c r="AD189"/>
  <c r="AD470"/>
  <c r="AD295"/>
  <c r="AD485"/>
  <c r="AD124"/>
  <c r="AD166"/>
  <c r="AD376"/>
  <c r="AD427"/>
  <c r="AD209"/>
  <c r="AD217"/>
  <c r="AD150"/>
  <c r="AD102"/>
  <c r="AD398"/>
  <c r="AD385"/>
  <c r="AD417"/>
  <c r="AD495"/>
  <c r="AD250"/>
  <c r="AD322"/>
  <c r="AD127"/>
  <c r="AD334"/>
  <c r="AD337"/>
  <c r="AD397"/>
  <c r="T283" i="120"/>
  <c r="T466"/>
  <c r="T183"/>
  <c r="T241"/>
  <c r="T450"/>
  <c r="T120"/>
  <c r="T99"/>
  <c r="T388"/>
  <c r="T115"/>
  <c r="T141"/>
  <c r="T178"/>
  <c r="T367"/>
  <c r="T346"/>
  <c r="T440"/>
  <c r="T288"/>
  <c r="T199"/>
  <c r="T162"/>
  <c r="T372"/>
  <c r="T393"/>
  <c r="T157"/>
  <c r="T225"/>
  <c r="U8"/>
  <c r="T507"/>
  <c r="T508" s="1"/>
  <c r="T509" s="1"/>
  <c r="T435"/>
  <c r="T409"/>
  <c r="T482"/>
  <c r="T430"/>
  <c r="T304"/>
  <c r="T267"/>
  <c r="T503"/>
  <c r="T136"/>
  <c r="T330"/>
  <c r="T16"/>
  <c r="T499"/>
  <c r="T414"/>
  <c r="T325"/>
  <c r="T445"/>
  <c r="T246"/>
  <c r="T351"/>
  <c r="T94"/>
  <c r="T262"/>
  <c r="T309"/>
  <c r="T204"/>
  <c r="T42"/>
  <c r="T67" s="1"/>
  <c r="T220"/>
  <c r="T201"/>
  <c r="T50" s="1"/>
  <c r="T117"/>
  <c r="T46" s="1"/>
  <c r="T348"/>
  <c r="T57" s="1"/>
  <c r="T390"/>
  <c r="T59" s="1"/>
  <c r="T138"/>
  <c r="T47" s="1"/>
  <c r="T96"/>
  <c r="T369"/>
  <c r="T58" s="1"/>
  <c r="T222"/>
  <c r="T51" s="1"/>
  <c r="T442"/>
  <c r="T63" s="1"/>
  <c r="T159"/>
  <c r="T48" s="1"/>
  <c r="T327"/>
  <c r="T56" s="1"/>
  <c r="T437"/>
  <c r="T62" s="1"/>
  <c r="T411"/>
  <c r="T60" s="1"/>
  <c r="T432"/>
  <c r="T61" s="1"/>
  <c r="T243"/>
  <c r="T52" s="1"/>
  <c r="T306"/>
  <c r="T55" s="1"/>
  <c r="T447"/>
  <c r="T64" s="1"/>
  <c r="T285"/>
  <c r="T54" s="1"/>
  <c r="T264"/>
  <c r="T53" s="1"/>
  <c r="T180"/>
  <c r="T49" s="1"/>
  <c r="AF255" i="119"/>
  <c r="AF318"/>
  <c r="AF402"/>
  <c r="AF171"/>
  <c r="AF129"/>
  <c r="AF459"/>
  <c r="AF150"/>
  <c r="AF108"/>
  <c r="AF25" s="1"/>
  <c r="AF491"/>
  <c r="AF192"/>
  <c r="AF339"/>
  <c r="AF213"/>
  <c r="AF423"/>
  <c r="AF276"/>
  <c r="AF475"/>
  <c r="AF381"/>
  <c r="AF234"/>
  <c r="AF360"/>
  <c r="AF150" i="116"/>
  <c r="AF491"/>
  <c r="AF318"/>
  <c r="AF402"/>
  <c r="AF108"/>
  <c r="AF297"/>
  <c r="AF276"/>
  <c r="AF255"/>
  <c r="AF234"/>
  <c r="AF192"/>
  <c r="AF360"/>
  <c r="AF339"/>
  <c r="AF381"/>
  <c r="AF129"/>
  <c r="AF423"/>
  <c r="AF213"/>
  <c r="AF459"/>
  <c r="AF171"/>
  <c r="AF475"/>
  <c r="AU19" i="119"/>
  <c r="AU113"/>
  <c r="AU69" s="1"/>
  <c r="AL26"/>
  <c r="AL36" s="1"/>
  <c r="AL113"/>
  <c r="AL69" s="1"/>
  <c r="AL88" s="1"/>
  <c r="V255" i="121"/>
  <c r="V234"/>
  <c r="V491"/>
  <c r="V381"/>
  <c r="V459"/>
  <c r="V171"/>
  <c r="V129"/>
  <c r="V339"/>
  <c r="V150"/>
  <c r="V276"/>
  <c r="V318"/>
  <c r="V213"/>
  <c r="V475"/>
  <c r="V360"/>
  <c r="V423"/>
  <c r="V108"/>
  <c r="V402"/>
  <c r="V297"/>
  <c r="V192"/>
  <c r="M56" i="11"/>
  <c r="L37"/>
  <c r="S19" i="120"/>
  <c r="T496" i="118"/>
  <c r="T87" s="1"/>
  <c r="AU302" i="119"/>
  <c r="AU78" s="1"/>
  <c r="AU155"/>
  <c r="AU71" s="1"/>
  <c r="AU344"/>
  <c r="AU80" s="1"/>
  <c r="AU21"/>
  <c r="AU281"/>
  <c r="AU77" s="1"/>
  <c r="AU22"/>
  <c r="AU25"/>
  <c r="AL155" i="28"/>
  <c r="AL71" s="1"/>
  <c r="AL22"/>
  <c r="AL176"/>
  <c r="AL72" s="1"/>
  <c r="AL281"/>
  <c r="AL77" s="1"/>
  <c r="AL365"/>
  <c r="AL81" s="1"/>
  <c r="AL496"/>
  <c r="AL87" s="1"/>
  <c r="AL31"/>
  <c r="AT106"/>
  <c r="AT107"/>
  <c r="AT132"/>
  <c r="AT150"/>
  <c r="AT190"/>
  <c r="AT211"/>
  <c r="AT232"/>
  <c r="AT253"/>
  <c r="AT274"/>
  <c r="AT295"/>
  <c r="AT316"/>
  <c r="AT337"/>
  <c r="AT358"/>
  <c r="AT379"/>
  <c r="AT400"/>
  <c r="AT421"/>
  <c r="AT457"/>
  <c r="AT473"/>
  <c r="AT489"/>
  <c r="AT169"/>
  <c r="AT128"/>
  <c r="AT153"/>
  <c r="AT171"/>
  <c r="AT192"/>
  <c r="AT213"/>
  <c r="AT234"/>
  <c r="AT255"/>
  <c r="AT276"/>
  <c r="AT297"/>
  <c r="AT318"/>
  <c r="AT339"/>
  <c r="AT360"/>
  <c r="AT381"/>
  <c r="AT402"/>
  <c r="AT423"/>
  <c r="AT459"/>
  <c r="AT475"/>
  <c r="AT491"/>
  <c r="AT148"/>
  <c r="AT108"/>
  <c r="AT149"/>
  <c r="AT174"/>
  <c r="AT195"/>
  <c r="AT216"/>
  <c r="AT237"/>
  <c r="AT258"/>
  <c r="AT279"/>
  <c r="AT300"/>
  <c r="AT321"/>
  <c r="AT342"/>
  <c r="AT363"/>
  <c r="AT384"/>
  <c r="AT405"/>
  <c r="AT426"/>
  <c r="AT462"/>
  <c r="AT478"/>
  <c r="AT494"/>
  <c r="AT127"/>
  <c r="AT111"/>
  <c r="AT31" s="1"/>
  <c r="AT129"/>
  <c r="AT170"/>
  <c r="AT191"/>
  <c r="AT212"/>
  <c r="AT233"/>
  <c r="AT254"/>
  <c r="AT275"/>
  <c r="AT296"/>
  <c r="AT317"/>
  <c r="AT338"/>
  <c r="AT359"/>
  <c r="AT380"/>
  <c r="AT401"/>
  <c r="AT422"/>
  <c r="AT458"/>
  <c r="AT474"/>
  <c r="AT490"/>
  <c r="AT427"/>
  <c r="AT488"/>
  <c r="AT463"/>
  <c r="AT424"/>
  <c r="AT355"/>
  <c r="AT270"/>
  <c r="AT186"/>
  <c r="AT102"/>
  <c r="AT313"/>
  <c r="AT145"/>
  <c r="AT340"/>
  <c r="AT256"/>
  <c r="AT172"/>
  <c r="AT495"/>
  <c r="AT356"/>
  <c r="AT187"/>
  <c r="AT334"/>
  <c r="AT319"/>
  <c r="AT259"/>
  <c r="AT397"/>
  <c r="AT112"/>
  <c r="AT124"/>
  <c r="AT460"/>
  <c r="AT147"/>
  <c r="AT471"/>
  <c r="AT123"/>
  <c r="AT292"/>
  <c r="AT312"/>
  <c r="AT146"/>
  <c r="AT455"/>
  <c r="AT375"/>
  <c r="AT386" s="1"/>
  <c r="AT82" s="1"/>
  <c r="AT485"/>
  <c r="AT376"/>
  <c r="AT377"/>
  <c r="AT277"/>
  <c r="AT193"/>
  <c r="AT109"/>
  <c r="AT336"/>
  <c r="AT168"/>
  <c r="AT361"/>
  <c r="AT272"/>
  <c r="AT188"/>
  <c r="AT104"/>
  <c r="AT417"/>
  <c r="AT210"/>
  <c r="AT420"/>
  <c r="AT231"/>
  <c r="AT144"/>
  <c r="AT453"/>
  <c r="AT291"/>
  <c r="AT214"/>
  <c r="AT476"/>
  <c r="AT151"/>
  <c r="AT251"/>
  <c r="AT105"/>
  <c r="AT403"/>
  <c r="AT354"/>
  <c r="AT166"/>
  <c r="AT398"/>
  <c r="AT470"/>
  <c r="AT456"/>
  <c r="AT406"/>
  <c r="AT322"/>
  <c r="AT238"/>
  <c r="AT154"/>
  <c r="AT487"/>
  <c r="AT252"/>
  <c r="AT469"/>
  <c r="AT333"/>
  <c r="AT249"/>
  <c r="AT165"/>
  <c r="AT176" s="1"/>
  <c r="AT72" s="1"/>
  <c r="AT486"/>
  <c r="AT294"/>
  <c r="AT126"/>
  <c r="AT314"/>
  <c r="AT315"/>
  <c r="AT230"/>
  <c r="AT378"/>
  <c r="AT39"/>
  <c r="AT364"/>
  <c r="AT196"/>
  <c r="AT130"/>
  <c r="AT335"/>
  <c r="AT454"/>
  <c r="AT228"/>
  <c r="AT273"/>
  <c r="AT492"/>
  <c r="AT209"/>
  <c r="AT385"/>
  <c r="AT418"/>
  <c r="AT208"/>
  <c r="AT250"/>
  <c r="AT419"/>
  <c r="AT382"/>
  <c r="AT293"/>
  <c r="AT229"/>
  <c r="AT133"/>
  <c r="AT207"/>
  <c r="AT235"/>
  <c r="AT298"/>
  <c r="AT479"/>
  <c r="AT396"/>
  <c r="AT357"/>
  <c r="AT217"/>
  <c r="AT103"/>
  <c r="AT343"/>
  <c r="AT280"/>
  <c r="AT175"/>
  <c r="AT399"/>
  <c r="AT125"/>
  <c r="AT301"/>
  <c r="AT271"/>
  <c r="AT472"/>
  <c r="AT167"/>
  <c r="AT189"/>
  <c r="AU499"/>
  <c r="AU414"/>
  <c r="AU507"/>
  <c r="AU508" s="1"/>
  <c r="AU509" s="1"/>
  <c r="AU267"/>
  <c r="AU409"/>
  <c r="AU157"/>
  <c r="AU225"/>
  <c r="AU16"/>
  <c r="AU288"/>
  <c r="AU204"/>
  <c r="AU440"/>
  <c r="AU42"/>
  <c r="AU67" s="1"/>
  <c r="AU367"/>
  <c r="AU445"/>
  <c r="AU94"/>
  <c r="AU435"/>
  <c r="AU466"/>
  <c r="AU241"/>
  <c r="AU309"/>
  <c r="AU304"/>
  <c r="AU372"/>
  <c r="AU450"/>
  <c r="AU246"/>
  <c r="AU136"/>
  <c r="AU430"/>
  <c r="AU178"/>
  <c r="AU99"/>
  <c r="AU325"/>
  <c r="AU346"/>
  <c r="AU503"/>
  <c r="AU120"/>
  <c r="AU162"/>
  <c r="AU283"/>
  <c r="AU388"/>
  <c r="AU482"/>
  <c r="AU262"/>
  <c r="AU183"/>
  <c r="AU393"/>
  <c r="AU351"/>
  <c r="AU141"/>
  <c r="AU220"/>
  <c r="AU199"/>
  <c r="AU115"/>
  <c r="AU330"/>
  <c r="AU159"/>
  <c r="AU48" s="1"/>
  <c r="AU264"/>
  <c r="AU53" s="1"/>
  <c r="N53" s="1"/>
  <c r="AU222"/>
  <c r="AU51" s="1"/>
  <c r="N51" s="1"/>
  <c r="AU306"/>
  <c r="AU55" s="1"/>
  <c r="N55" s="1"/>
  <c r="AU138"/>
  <c r="AU47" s="1"/>
  <c r="AU437"/>
  <c r="AU62" s="1"/>
  <c r="N62" s="1"/>
  <c r="AU96"/>
  <c r="AU348"/>
  <c r="AU57" s="1"/>
  <c r="N57" s="1"/>
  <c r="AU411"/>
  <c r="AU60" s="1"/>
  <c r="N60" s="1"/>
  <c r="AU447"/>
  <c r="AU64" s="1"/>
  <c r="N64" s="1"/>
  <c r="AU243"/>
  <c r="AU52" s="1"/>
  <c r="N52" s="1"/>
  <c r="AU442"/>
  <c r="AU63" s="1"/>
  <c r="N63" s="1"/>
  <c r="AU327"/>
  <c r="AU56" s="1"/>
  <c r="N56" s="1"/>
  <c r="AU369"/>
  <c r="AU58" s="1"/>
  <c r="N58" s="1"/>
  <c r="AU432"/>
  <c r="AU61" s="1"/>
  <c r="N61" s="1"/>
  <c r="AU390"/>
  <c r="AU59" s="1"/>
  <c r="N59" s="1"/>
  <c r="AU117"/>
  <c r="AU46" s="1"/>
  <c r="AU285"/>
  <c r="AU54" s="1"/>
  <c r="N54" s="1"/>
  <c r="AU180"/>
  <c r="AU49" s="1"/>
  <c r="N49" s="1"/>
  <c r="AU201"/>
  <c r="AU50" s="1"/>
  <c r="AF339"/>
  <c r="AF234"/>
  <c r="AF192"/>
  <c r="AF360"/>
  <c r="AF381"/>
  <c r="AF255"/>
  <c r="AF318"/>
  <c r="AF423"/>
  <c r="AF276"/>
  <c r="AF459"/>
  <c r="AF297"/>
  <c r="AF213"/>
  <c r="AF129"/>
  <c r="AF491"/>
  <c r="AF108"/>
  <c r="AF475"/>
  <c r="AF171"/>
  <c r="AF150"/>
  <c r="AF402"/>
  <c r="V255" i="119"/>
  <c r="V402"/>
  <c r="V423"/>
  <c r="V491"/>
  <c r="V339"/>
  <c r="V276"/>
  <c r="V150"/>
  <c r="V108"/>
  <c r="V25" s="1"/>
  <c r="V459"/>
  <c r="V318"/>
  <c r="V171"/>
  <c r="V192"/>
  <c r="V129"/>
  <c r="V213"/>
  <c r="V475"/>
  <c r="V234"/>
  <c r="V381"/>
  <c r="V360"/>
  <c r="AN26" i="28"/>
  <c r="AN36" s="1"/>
  <c r="AN113"/>
  <c r="AN69" s="1"/>
  <c r="AN88" s="1"/>
  <c r="T196" i="117"/>
  <c r="T495"/>
  <c r="T354"/>
  <c r="T259"/>
  <c r="T209"/>
  <c r="T298"/>
  <c r="T125"/>
  <c r="T129"/>
  <c r="T453"/>
  <c r="T150"/>
  <c r="T406"/>
  <c r="T472"/>
  <c r="T291"/>
  <c r="T335"/>
  <c r="T235"/>
  <c r="T154"/>
  <c r="T147"/>
  <c r="T292"/>
  <c r="T217"/>
  <c r="T229"/>
  <c r="T175"/>
  <c r="T207"/>
  <c r="T455"/>
  <c r="T105"/>
  <c r="T315"/>
  <c r="T312"/>
  <c r="T252"/>
  <c r="T273"/>
  <c r="T427"/>
  <c r="T271"/>
  <c r="T476"/>
  <c r="T228"/>
  <c r="T151"/>
  <c r="T423"/>
  <c r="T470"/>
  <c r="T123"/>
  <c r="T19" s="1"/>
  <c r="T417"/>
  <c r="T208"/>
  <c r="T376"/>
  <c r="T343"/>
  <c r="T214"/>
  <c r="T130"/>
  <c r="T144"/>
  <c r="T364"/>
  <c r="T167"/>
  <c r="T256"/>
  <c r="T486"/>
  <c r="T238"/>
  <c r="T211"/>
  <c r="T297"/>
  <c r="T399"/>
  <c r="T454"/>
  <c r="T403"/>
  <c r="T192"/>
  <c r="T361"/>
  <c r="T276"/>
  <c r="T272"/>
  <c r="T280"/>
  <c r="T255"/>
  <c r="T231"/>
  <c r="T339"/>
  <c r="T189"/>
  <c r="T146"/>
  <c r="T251"/>
  <c r="T385"/>
  <c r="T357"/>
  <c r="T424"/>
  <c r="T375"/>
  <c r="T488"/>
  <c r="T210"/>
  <c r="T187"/>
  <c r="T250"/>
  <c r="T319"/>
  <c r="T378"/>
  <c r="T277"/>
  <c r="T172"/>
  <c r="T166"/>
  <c r="T420"/>
  <c r="T133"/>
  <c r="T402"/>
  <c r="T381"/>
  <c r="T108"/>
  <c r="T397"/>
  <c r="T382"/>
  <c r="T479"/>
  <c r="T103"/>
  <c r="T20" s="1"/>
  <c r="T463"/>
  <c r="T360"/>
  <c r="T469"/>
  <c r="T322"/>
  <c r="T249"/>
  <c r="T145"/>
  <c r="T471"/>
  <c r="T318"/>
  <c r="T334"/>
  <c r="T396"/>
  <c r="T124"/>
  <c r="T213"/>
  <c r="T487"/>
  <c r="T186"/>
  <c r="T171"/>
  <c r="T418"/>
  <c r="T485"/>
  <c r="T460"/>
  <c r="T314"/>
  <c r="T165"/>
  <c r="T356"/>
  <c r="T293"/>
  <c r="T333"/>
  <c r="T340"/>
  <c r="T459"/>
  <c r="T475"/>
  <c r="T168"/>
  <c r="T109"/>
  <c r="T188"/>
  <c r="T234"/>
  <c r="T377"/>
  <c r="T104"/>
  <c r="T112"/>
  <c r="T398"/>
  <c r="T492"/>
  <c r="T355"/>
  <c r="T301"/>
  <c r="T230"/>
  <c r="T193"/>
  <c r="T270"/>
  <c r="T491"/>
  <c r="AD21" i="118"/>
  <c r="AI26" i="116"/>
  <c r="AJ254"/>
  <c r="T254" i="120"/>
  <c r="AU26" i="119"/>
  <c r="AU407"/>
  <c r="AU83" s="1"/>
  <c r="AU23"/>
  <c r="AL134" i="28"/>
  <c r="AL70" s="1"/>
  <c r="AL428"/>
  <c r="AL84" s="1"/>
  <c r="AL302"/>
  <c r="AL78" s="1"/>
  <c r="AL464"/>
  <c r="AL85" s="1"/>
  <c r="AL32"/>
  <c r="AL25"/>
  <c r="S146" i="120"/>
  <c r="Z134" i="116"/>
  <c r="Z70" s="1"/>
  <c r="Z344"/>
  <c r="Z80" s="1"/>
  <c r="AK176" i="121"/>
  <c r="AK72" s="1"/>
  <c r="AJ23"/>
  <c r="X23"/>
  <c r="R23"/>
  <c r="Z428" i="116"/>
  <c r="Z84" s="1"/>
  <c r="Z218"/>
  <c r="Z74" s="1"/>
  <c r="T134" i="118"/>
  <c r="T70" s="1"/>
  <c r="AK155" i="121"/>
  <c r="AK71" s="1"/>
  <c r="T176" i="118"/>
  <c r="T72" s="1"/>
  <c r="T480"/>
  <c r="T86" s="1"/>
  <c r="AH23" i="121"/>
  <c r="T407" i="118"/>
  <c r="T83" s="1"/>
  <c r="T464"/>
  <c r="T85" s="1"/>
  <c r="AJ23" i="28"/>
  <c r="X23"/>
  <c r="T365" i="118"/>
  <c r="T81" s="1"/>
  <c r="Z31" i="116"/>
  <c r="Z401" i="28"/>
  <c r="AT38" i="119"/>
  <c r="AS38" i="28"/>
  <c r="AL38" i="119"/>
  <c r="Z422" i="28"/>
  <c r="AB254" i="119"/>
  <c r="T113" i="118"/>
  <c r="T69" s="1"/>
  <c r="V300" i="119"/>
  <c r="Z254" i="28"/>
  <c r="AL90" i="119"/>
  <c r="AD422" i="28"/>
  <c r="T254" i="119"/>
  <c r="R23" i="116"/>
  <c r="T155" i="118"/>
  <c r="T71" s="1"/>
  <c r="T239"/>
  <c r="T75" s="1"/>
  <c r="AK359" i="119"/>
  <c r="AK153"/>
  <c r="AK155" s="1"/>
  <c r="AK71" s="1"/>
  <c r="AK342"/>
  <c r="AK237"/>
  <c r="AK239" s="1"/>
  <c r="AK75" s="1"/>
  <c r="AK462"/>
  <c r="AK174"/>
  <c r="AK426"/>
  <c r="AK216"/>
  <c r="AK405"/>
  <c r="AK380"/>
  <c r="AK401"/>
  <c r="AK132"/>
  <c r="AK363"/>
  <c r="AK458"/>
  <c r="AK317"/>
  <c r="AK422"/>
  <c r="AK490"/>
  <c r="AK496" s="1"/>
  <c r="AK87" s="1"/>
  <c r="AK321"/>
  <c r="AK275"/>
  <c r="AK474"/>
  <c r="AK195"/>
  <c r="AK197" s="1"/>
  <c r="AK73" s="1"/>
  <c r="AK338"/>
  <c r="AK170"/>
  <c r="AK478"/>
  <c r="AK384"/>
  <c r="AK111"/>
  <c r="AK212"/>
  <c r="AK258"/>
  <c r="AK107"/>
  <c r="AK458" i="121"/>
  <c r="AK384"/>
  <c r="AK426"/>
  <c r="AK428" s="1"/>
  <c r="AK84" s="1"/>
  <c r="AK191"/>
  <c r="AK275"/>
  <c r="AK363"/>
  <c r="AK296"/>
  <c r="AK128"/>
  <c r="AK258"/>
  <c r="AK254"/>
  <c r="AK380"/>
  <c r="AK317"/>
  <c r="AK359"/>
  <c r="AK212"/>
  <c r="AK342"/>
  <c r="AK321"/>
  <c r="AK279"/>
  <c r="AK195"/>
  <c r="AK405"/>
  <c r="AK407" s="1"/>
  <c r="AK83" s="1"/>
  <c r="AK107"/>
  <c r="AK474"/>
  <c r="AK480" s="1"/>
  <c r="AK86" s="1"/>
  <c r="AK132"/>
  <c r="AK494"/>
  <c r="AK233"/>
  <c r="AK239" s="1"/>
  <c r="AK75" s="1"/>
  <c r="AK462"/>
  <c r="AK111"/>
  <c r="AK216"/>
  <c r="AK300"/>
  <c r="AK490"/>
  <c r="AK338"/>
  <c r="AK237"/>
  <c r="AA422" i="119"/>
  <c r="AA490"/>
  <c r="AA275"/>
  <c r="AA170"/>
  <c r="AA296"/>
  <c r="AA216"/>
  <c r="AA153"/>
  <c r="AA155" s="1"/>
  <c r="AA71" s="1"/>
  <c r="AA384"/>
  <c r="AA359"/>
  <c r="AA478"/>
  <c r="AA111"/>
  <c r="AA494"/>
  <c r="AA380"/>
  <c r="AA386" s="1"/>
  <c r="AA82" s="1"/>
  <c r="AA128"/>
  <c r="AA342"/>
  <c r="AA212"/>
  <c r="AA401"/>
  <c r="AA458"/>
  <c r="AA107"/>
  <c r="AA113" s="1"/>
  <c r="AA69" s="1"/>
  <c r="AA321"/>
  <c r="AA462"/>
  <c r="AA132"/>
  <c r="AA363"/>
  <c r="AA149"/>
  <c r="AA237"/>
  <c r="AA405"/>
  <c r="AA426"/>
  <c r="AA233"/>
  <c r="AA174"/>
  <c r="AA176" s="1"/>
  <c r="AA72" s="1"/>
  <c r="AA317"/>
  <c r="AA474"/>
  <c r="AA195"/>
  <c r="AA197" s="1"/>
  <c r="AA73" s="1"/>
  <c r="AA338"/>
  <c r="AE254"/>
  <c r="AA23" i="118"/>
  <c r="AA422" i="116"/>
  <c r="AA237"/>
  <c r="AA462"/>
  <c r="AA490"/>
  <c r="AA153"/>
  <c r="AA195"/>
  <c r="AA149"/>
  <c r="AA128"/>
  <c r="AA426"/>
  <c r="AA233"/>
  <c r="AA239" s="1"/>
  <c r="AA75" s="1"/>
  <c r="AA317"/>
  <c r="AA401"/>
  <c r="AA384"/>
  <c r="AA258"/>
  <c r="AA474"/>
  <c r="AA338"/>
  <c r="AA296"/>
  <c r="AA321"/>
  <c r="AA494"/>
  <c r="AA458"/>
  <c r="AA464" s="1"/>
  <c r="AA85" s="1"/>
  <c r="AA478"/>
  <c r="AA363"/>
  <c r="AA111"/>
  <c r="AA405"/>
  <c r="AA216"/>
  <c r="AA132"/>
  <c r="AA275"/>
  <c r="AA174"/>
  <c r="AA170"/>
  <c r="AA300"/>
  <c r="AA380"/>
  <c r="AA359"/>
  <c r="AA212"/>
  <c r="AA218" s="1"/>
  <c r="AA74" s="1"/>
  <c r="AA342"/>
  <c r="AA107"/>
  <c r="AA279"/>
  <c r="AA191"/>
  <c r="AK490" i="28"/>
  <c r="AK195"/>
  <c r="AK132"/>
  <c r="AK478"/>
  <c r="AK107"/>
  <c r="AK296"/>
  <c r="AK153"/>
  <c r="AK342"/>
  <c r="AK426"/>
  <c r="AK458"/>
  <c r="AK149"/>
  <c r="AK155" s="1"/>
  <c r="AK71" s="1"/>
  <c r="AK279"/>
  <c r="AK462"/>
  <c r="AK216"/>
  <c r="AK363"/>
  <c r="AK233"/>
  <c r="AK321"/>
  <c r="AK174"/>
  <c r="AK258"/>
  <c r="AK111"/>
  <c r="AK384"/>
  <c r="AK275"/>
  <c r="AK212"/>
  <c r="AK218" s="1"/>
  <c r="AK74" s="1"/>
  <c r="AK128"/>
  <c r="AK405"/>
  <c r="AK300"/>
  <c r="AK191"/>
  <c r="AK197" s="1"/>
  <c r="AK73" s="1"/>
  <c r="AK338"/>
  <c r="AK344" s="1"/>
  <c r="AK80" s="1"/>
  <c r="AK237"/>
  <c r="AK474"/>
  <c r="AK359"/>
  <c r="AK365" s="1"/>
  <c r="AK81" s="1"/>
  <c r="AK317"/>
  <c r="AK380"/>
  <c r="AK386" s="1"/>
  <c r="AK82" s="1"/>
  <c r="AK494"/>
  <c r="AR38"/>
  <c r="T170" i="120"/>
  <c r="AH23" i="28"/>
  <c r="Y401"/>
  <c r="W254"/>
  <c r="Y254"/>
  <c r="AB422"/>
  <c r="AI422"/>
  <c r="R254" i="117"/>
  <c r="AC170" i="28"/>
  <c r="U23" i="118"/>
  <c r="AH170" i="28"/>
  <c r="Z197" i="116"/>
  <c r="Z73" s="1"/>
  <c r="T386" i="118"/>
  <c r="T82" s="1"/>
  <c r="T428"/>
  <c r="T84" s="1"/>
  <c r="AE23" i="121"/>
  <c r="N23" s="1"/>
  <c r="T323" i="118"/>
  <c r="T79" s="1"/>
  <c r="S170" i="120"/>
  <c r="AQ38" i="119"/>
  <c r="Y422" i="28"/>
  <c r="T197" i="118"/>
  <c r="T73" s="1"/>
  <c r="S254" i="117"/>
  <c r="T216"/>
  <c r="T107" i="116"/>
  <c r="T458"/>
  <c r="T216"/>
  <c r="T384"/>
  <c r="T174"/>
  <c r="T321"/>
  <c r="T338"/>
  <c r="T149"/>
  <c r="T462"/>
  <c r="T401"/>
  <c r="T111"/>
  <c r="T233"/>
  <c r="T478"/>
  <c r="T279"/>
  <c r="T258"/>
  <c r="T300"/>
  <c r="T296"/>
  <c r="T153"/>
  <c r="T195"/>
  <c r="T494"/>
  <c r="T490"/>
  <c r="T363"/>
  <c r="T237"/>
  <c r="T132"/>
  <c r="T474"/>
  <c r="T480" s="1"/>
  <c r="T86" s="1"/>
  <c r="T212"/>
  <c r="T380"/>
  <c r="T191"/>
  <c r="T405"/>
  <c r="T170"/>
  <c r="T422"/>
  <c r="T359"/>
  <c r="T317"/>
  <c r="T275"/>
  <c r="T281" s="1"/>
  <c r="T77" s="1"/>
  <c r="T128"/>
  <c r="T426"/>
  <c r="T342"/>
  <c r="R401" i="28"/>
  <c r="T254" i="116"/>
  <c r="AG254" i="28"/>
  <c r="T128" i="117"/>
  <c r="T170"/>
  <c r="T359"/>
  <c r="T384"/>
  <c r="T321"/>
  <c r="T323" s="1"/>
  <c r="T79" s="1"/>
  <c r="T401"/>
  <c r="T111"/>
  <c r="T405"/>
  <c r="T426"/>
  <c r="T462"/>
  <c r="T363"/>
  <c r="T153"/>
  <c r="T212"/>
  <c r="T191"/>
  <c r="T458"/>
  <c r="T380"/>
  <c r="T386" s="1"/>
  <c r="T82" s="1"/>
  <c r="T279"/>
  <c r="T281" s="1"/>
  <c r="T77" s="1"/>
  <c r="T342"/>
  <c r="T474"/>
  <c r="T300"/>
  <c r="T302" s="1"/>
  <c r="T78" s="1"/>
  <c r="T490"/>
  <c r="T478"/>
  <c r="T258"/>
  <c r="T260" s="1"/>
  <c r="T76" s="1"/>
  <c r="T494"/>
  <c r="T132"/>
  <c r="T233"/>
  <c r="T149"/>
  <c r="T195"/>
  <c r="T422"/>
  <c r="T428" s="1"/>
  <c r="T84" s="1"/>
  <c r="T338"/>
  <c r="T344" s="1"/>
  <c r="T80" s="1"/>
  <c r="T237"/>
  <c r="T174"/>
  <c r="T107"/>
  <c r="AF254" i="28"/>
  <c r="AF170"/>
  <c r="R170"/>
  <c r="AN38"/>
  <c r="S254" i="119"/>
  <c r="R254"/>
  <c r="T31" i="118"/>
  <c r="AE321" i="121"/>
  <c r="AE405"/>
  <c r="AE170"/>
  <c r="AE254"/>
  <c r="AE401"/>
  <c r="AE458"/>
  <c r="AE153"/>
  <c r="AE384"/>
  <c r="AE191"/>
  <c r="AE380"/>
  <c r="AE490"/>
  <c r="AE237"/>
  <c r="AE212"/>
  <c r="AE216"/>
  <c r="AE233"/>
  <c r="AE474"/>
  <c r="AE426"/>
  <c r="AE174"/>
  <c r="AE128"/>
  <c r="AE462"/>
  <c r="AE111"/>
  <c r="AE342"/>
  <c r="AE359"/>
  <c r="AE422"/>
  <c r="AE363"/>
  <c r="AE107"/>
  <c r="AE317"/>
  <c r="AE149"/>
  <c r="AE338"/>
  <c r="AE300"/>
  <c r="AE478"/>
  <c r="AE275"/>
  <c r="AE494"/>
  <c r="AE258"/>
  <c r="AE132"/>
  <c r="AE296"/>
  <c r="AE195"/>
  <c r="AE279"/>
  <c r="AE462" i="118"/>
  <c r="AE405"/>
  <c r="AE458"/>
  <c r="AE149"/>
  <c r="AE494"/>
  <c r="AE195"/>
  <c r="AE275"/>
  <c r="AE111"/>
  <c r="AE279"/>
  <c r="AE338"/>
  <c r="AE212"/>
  <c r="AE107"/>
  <c r="AE153"/>
  <c r="AE300"/>
  <c r="AE191"/>
  <c r="AE233"/>
  <c r="AE174"/>
  <c r="AE296"/>
  <c r="AE342"/>
  <c r="AE474"/>
  <c r="AE317"/>
  <c r="AE132"/>
  <c r="AE128"/>
  <c r="AE359"/>
  <c r="AE478"/>
  <c r="AE237"/>
  <c r="AE216"/>
  <c r="AE426"/>
  <c r="AE384"/>
  <c r="AE321"/>
  <c r="AE490"/>
  <c r="AE363"/>
  <c r="AE258"/>
  <c r="AE401"/>
  <c r="AE380"/>
  <c r="AE170"/>
  <c r="AE422"/>
  <c r="T296" i="121"/>
  <c r="T275"/>
  <c r="T384"/>
  <c r="T426"/>
  <c r="T359"/>
  <c r="T174"/>
  <c r="T478"/>
  <c r="T107"/>
  <c r="T338"/>
  <c r="T279"/>
  <c r="T191"/>
  <c r="T237"/>
  <c r="T153"/>
  <c r="T422"/>
  <c r="T363"/>
  <c r="T380"/>
  <c r="T401"/>
  <c r="T254"/>
  <c r="T170"/>
  <c r="T195"/>
  <c r="T300"/>
  <c r="T128"/>
  <c r="T132"/>
  <c r="T490"/>
  <c r="T494"/>
  <c r="T111"/>
  <c r="T216"/>
  <c r="T474"/>
  <c r="T405"/>
  <c r="T258"/>
  <c r="T342"/>
  <c r="T321"/>
  <c r="T212"/>
  <c r="T149"/>
  <c r="T458"/>
  <c r="T233"/>
  <c r="T239" s="1"/>
  <c r="T75" s="1"/>
  <c r="T462"/>
  <c r="T317"/>
  <c r="AA405" i="28"/>
  <c r="AA258"/>
  <c r="AA260" s="1"/>
  <c r="AA76" s="1"/>
  <c r="AA174"/>
  <c r="AA342"/>
  <c r="AA490"/>
  <c r="AA111"/>
  <c r="AA338"/>
  <c r="AA128"/>
  <c r="AA237"/>
  <c r="AA462"/>
  <c r="AA363"/>
  <c r="AA212"/>
  <c r="AA426"/>
  <c r="AA321"/>
  <c r="AA195"/>
  <c r="AA107"/>
  <c r="AA474"/>
  <c r="AA279"/>
  <c r="AA191"/>
  <c r="AA197" s="1"/>
  <c r="AA73" s="1"/>
  <c r="AA384"/>
  <c r="AA233"/>
  <c r="AA239" s="1"/>
  <c r="AA75" s="1"/>
  <c r="AA296"/>
  <c r="AA149"/>
  <c r="AA494"/>
  <c r="AA153"/>
  <c r="AA275"/>
  <c r="AA281" s="1"/>
  <c r="AA77" s="1"/>
  <c r="AA359"/>
  <c r="AA365" s="1"/>
  <c r="AA81" s="1"/>
  <c r="AA317"/>
  <c r="AA380"/>
  <c r="AA300"/>
  <c r="AA478"/>
  <c r="AA216"/>
  <c r="AA458"/>
  <c r="AA132"/>
  <c r="S149"/>
  <c r="S405"/>
  <c r="S407" s="1"/>
  <c r="S83" s="1"/>
  <c r="S258"/>
  <c r="S195"/>
  <c r="S478"/>
  <c r="S216"/>
  <c r="S275"/>
  <c r="S359"/>
  <c r="S128"/>
  <c r="S191"/>
  <c r="S338"/>
  <c r="S153"/>
  <c r="S462"/>
  <c r="S363"/>
  <c r="S212"/>
  <c r="S317"/>
  <c r="S474"/>
  <c r="S480" s="1"/>
  <c r="S86" s="1"/>
  <c r="S279"/>
  <c r="S233"/>
  <c r="S321"/>
  <c r="S458"/>
  <c r="S464" s="1"/>
  <c r="S85" s="1"/>
  <c r="S426"/>
  <c r="S428" s="1"/>
  <c r="S84" s="1"/>
  <c r="S494"/>
  <c r="S237"/>
  <c r="S342"/>
  <c r="S490"/>
  <c r="S107"/>
  <c r="S132"/>
  <c r="S300"/>
  <c r="S384"/>
  <c r="S380"/>
  <c r="S111"/>
  <c r="S174"/>
  <c r="S296"/>
  <c r="S195" i="117"/>
  <c r="S321"/>
  <c r="S359"/>
  <c r="S128"/>
  <c r="S279"/>
  <c r="S426"/>
  <c r="S174"/>
  <c r="S405"/>
  <c r="S474"/>
  <c r="S342"/>
  <c r="S401"/>
  <c r="S258"/>
  <c r="S458"/>
  <c r="S490"/>
  <c r="S191"/>
  <c r="S300"/>
  <c r="S302" s="1"/>
  <c r="S78" s="1"/>
  <c r="S338"/>
  <c r="S478"/>
  <c r="S212"/>
  <c r="S149"/>
  <c r="S111"/>
  <c r="S384"/>
  <c r="S170"/>
  <c r="S176" s="1"/>
  <c r="S72" s="1"/>
  <c r="S153"/>
  <c r="S380"/>
  <c r="S363"/>
  <c r="S237"/>
  <c r="S132"/>
  <c r="S233"/>
  <c r="S107"/>
  <c r="S422"/>
  <c r="S462"/>
  <c r="S494"/>
  <c r="Z191" i="121"/>
  <c r="Z128"/>
  <c r="Z195"/>
  <c r="Z174"/>
  <c r="Z384"/>
  <c r="Z426"/>
  <c r="Z321"/>
  <c r="Z401"/>
  <c r="Z296"/>
  <c r="Z300"/>
  <c r="Z258"/>
  <c r="Z458"/>
  <c r="Z338"/>
  <c r="Z462"/>
  <c r="Z149"/>
  <c r="Z279"/>
  <c r="Z153"/>
  <c r="Z478"/>
  <c r="Z275"/>
  <c r="Z490"/>
  <c r="Z359"/>
  <c r="Z216"/>
  <c r="Z111"/>
  <c r="Z107"/>
  <c r="Z317"/>
  <c r="Z422"/>
  <c r="Z428" s="1"/>
  <c r="Z84" s="1"/>
  <c r="Z380"/>
  <c r="Z363"/>
  <c r="Z494"/>
  <c r="Z405"/>
  <c r="Z342"/>
  <c r="Z170"/>
  <c r="Z176" s="1"/>
  <c r="Z72" s="1"/>
  <c r="Z237"/>
  <c r="Z212"/>
  <c r="Z218" s="1"/>
  <c r="Z74" s="1"/>
  <c r="Z474"/>
  <c r="Z233"/>
  <c r="Z254"/>
  <c r="Z132"/>
  <c r="Z132" i="118"/>
  <c r="Z153"/>
  <c r="Z494"/>
  <c r="Z458"/>
  <c r="Z191"/>
  <c r="Z462"/>
  <c r="Z363"/>
  <c r="Z195"/>
  <c r="Z149"/>
  <c r="Z359"/>
  <c r="Z317"/>
  <c r="Z279"/>
  <c r="Z405"/>
  <c r="Z422"/>
  <c r="Z258"/>
  <c r="Z275"/>
  <c r="Z281" s="1"/>
  <c r="Z77" s="1"/>
  <c r="Z300"/>
  <c r="Z128"/>
  <c r="Z474"/>
  <c r="Z216"/>
  <c r="Z296"/>
  <c r="Z302" s="1"/>
  <c r="Z78" s="1"/>
  <c r="Z342"/>
  <c r="Z174"/>
  <c r="Z401"/>
  <c r="Z490"/>
  <c r="Z321"/>
  <c r="Z170"/>
  <c r="Z176" s="1"/>
  <c r="Z72" s="1"/>
  <c r="Z338"/>
  <c r="Z233"/>
  <c r="Z212"/>
  <c r="Z107"/>
  <c r="Z426"/>
  <c r="Z478"/>
  <c r="Z237"/>
  <c r="Z380"/>
  <c r="Z111"/>
  <c r="Z384"/>
  <c r="AG401" i="28"/>
  <c r="AB254"/>
  <c r="AA422"/>
  <c r="S170"/>
  <c r="AA170"/>
  <c r="S317" i="117"/>
  <c r="R23" i="120"/>
  <c r="AE342" i="28"/>
  <c r="AE380"/>
  <c r="AE149"/>
  <c r="AE494"/>
  <c r="AE462"/>
  <c r="AE174"/>
  <c r="AE176" s="1"/>
  <c r="AE72" s="1"/>
  <c r="AE405"/>
  <c r="AE407" s="1"/>
  <c r="AE83" s="1"/>
  <c r="AE474"/>
  <c r="AE300"/>
  <c r="AE426"/>
  <c r="AE428" s="1"/>
  <c r="AE84" s="1"/>
  <c r="AE237"/>
  <c r="AE321"/>
  <c r="AE458"/>
  <c r="AE464" s="1"/>
  <c r="AE85" s="1"/>
  <c r="AE107"/>
  <c r="AE111"/>
  <c r="AE233"/>
  <c r="AE153"/>
  <c r="AE132"/>
  <c r="AE216"/>
  <c r="AE212"/>
  <c r="AE128"/>
  <c r="AE317"/>
  <c r="AE258"/>
  <c r="AE260" s="1"/>
  <c r="AE76" s="1"/>
  <c r="AE195"/>
  <c r="AE279"/>
  <c r="AE191"/>
  <c r="AE478"/>
  <c r="AE363"/>
  <c r="AE296"/>
  <c r="AE302" s="1"/>
  <c r="AE78" s="1"/>
  <c r="AE384"/>
  <c r="AE338"/>
  <c r="AE275"/>
  <c r="AE359"/>
  <c r="AE490"/>
  <c r="T258"/>
  <c r="T260" s="1"/>
  <c r="T76" s="1"/>
  <c r="T342"/>
  <c r="T174"/>
  <c r="T176" s="1"/>
  <c r="T72" s="1"/>
  <c r="T191"/>
  <c r="T132"/>
  <c r="T384"/>
  <c r="T380"/>
  <c r="T296"/>
  <c r="T149"/>
  <c r="T359"/>
  <c r="T474"/>
  <c r="T216"/>
  <c r="T233"/>
  <c r="T275"/>
  <c r="T338"/>
  <c r="T111"/>
  <c r="T195"/>
  <c r="T478"/>
  <c r="T153"/>
  <c r="T490"/>
  <c r="T363"/>
  <c r="T212"/>
  <c r="T405"/>
  <c r="T407" s="1"/>
  <c r="T83" s="1"/>
  <c r="T317"/>
  <c r="T107"/>
  <c r="T462"/>
  <c r="T494"/>
  <c r="T128"/>
  <c r="T237"/>
  <c r="T321"/>
  <c r="T300"/>
  <c r="T279"/>
  <c r="T458"/>
  <c r="T426"/>
  <c r="T428" s="1"/>
  <c r="T84" s="1"/>
  <c r="S258" i="119"/>
  <c r="S422"/>
  <c r="S490"/>
  <c r="S478"/>
  <c r="S153"/>
  <c r="S359"/>
  <c r="S170"/>
  <c r="S462"/>
  <c r="S132"/>
  <c r="S494"/>
  <c r="S296"/>
  <c r="S302" s="1"/>
  <c r="S78" s="1"/>
  <c r="S384"/>
  <c r="S216"/>
  <c r="S233"/>
  <c r="S279"/>
  <c r="S426"/>
  <c r="S474"/>
  <c r="S212"/>
  <c r="S401"/>
  <c r="S195"/>
  <c r="S363"/>
  <c r="S458"/>
  <c r="S380"/>
  <c r="S107"/>
  <c r="S191"/>
  <c r="S405"/>
  <c r="S237"/>
  <c r="S321"/>
  <c r="S317"/>
  <c r="S338"/>
  <c r="S149"/>
  <c r="S275"/>
  <c r="S111"/>
  <c r="S174"/>
  <c r="S128"/>
  <c r="S342"/>
  <c r="S279" i="116"/>
  <c r="S405"/>
  <c r="S258"/>
  <c r="S107"/>
  <c r="S191"/>
  <c r="S384"/>
  <c r="S237"/>
  <c r="S300"/>
  <c r="S494"/>
  <c r="S216"/>
  <c r="S233"/>
  <c r="S239" s="1"/>
  <c r="S75" s="1"/>
  <c r="S490"/>
  <c r="S275"/>
  <c r="S281" s="1"/>
  <c r="S77" s="1"/>
  <c r="S363"/>
  <c r="S174"/>
  <c r="S359"/>
  <c r="S458"/>
  <c r="S132"/>
  <c r="S296"/>
  <c r="S422"/>
  <c r="S195"/>
  <c r="S128"/>
  <c r="S134" s="1"/>
  <c r="S70" s="1"/>
  <c r="S401"/>
  <c r="S478"/>
  <c r="S212"/>
  <c r="S338"/>
  <c r="S149"/>
  <c r="S170"/>
  <c r="S462"/>
  <c r="S317"/>
  <c r="S153"/>
  <c r="S474"/>
  <c r="S480" s="1"/>
  <c r="S86" s="1"/>
  <c r="S380"/>
  <c r="S342"/>
  <c r="S321"/>
  <c r="S111"/>
  <c r="S426"/>
  <c r="AG254" i="119"/>
  <c r="T344" i="118"/>
  <c r="T80" s="1"/>
  <c r="T24"/>
  <c r="S216" i="117"/>
  <c r="AH300" i="119"/>
  <c r="AE279"/>
  <c r="AE191"/>
  <c r="AE494"/>
  <c r="AE422"/>
  <c r="AE233"/>
  <c r="AE458"/>
  <c r="AE478"/>
  <c r="AE338"/>
  <c r="AE363"/>
  <c r="AE401"/>
  <c r="AE490"/>
  <c r="AE496" s="1"/>
  <c r="AE87" s="1"/>
  <c r="AE384"/>
  <c r="AE380"/>
  <c r="AE474"/>
  <c r="AE212"/>
  <c r="AE195"/>
  <c r="AE296"/>
  <c r="AE302" s="1"/>
  <c r="AE78" s="1"/>
  <c r="AE174"/>
  <c r="AE170"/>
  <c r="AE111"/>
  <c r="AE149"/>
  <c r="AE107"/>
  <c r="AE216"/>
  <c r="AE153"/>
  <c r="AE462"/>
  <c r="AE275"/>
  <c r="AE258"/>
  <c r="AE128"/>
  <c r="AE132"/>
  <c r="AE426"/>
  <c r="AE321"/>
  <c r="AE237"/>
  <c r="AE405"/>
  <c r="AE317"/>
  <c r="AE342"/>
  <c r="AE359"/>
  <c r="AE342" i="116"/>
  <c r="AE237"/>
  <c r="AE191"/>
  <c r="AE405"/>
  <c r="AE380"/>
  <c r="AE359"/>
  <c r="AE212"/>
  <c r="AE128"/>
  <c r="AE474"/>
  <c r="AE195"/>
  <c r="AE462"/>
  <c r="AE490"/>
  <c r="AE174"/>
  <c r="AE494"/>
  <c r="AE422"/>
  <c r="AE478"/>
  <c r="AE170"/>
  <c r="AE176" s="1"/>
  <c r="AE72" s="1"/>
  <c r="AE458"/>
  <c r="AE401"/>
  <c r="AE279"/>
  <c r="AE153"/>
  <c r="AE233"/>
  <c r="AE239" s="1"/>
  <c r="AE75" s="1"/>
  <c r="AE258"/>
  <c r="AE260" s="1"/>
  <c r="AE76" s="1"/>
  <c r="AE300"/>
  <c r="AE132"/>
  <c r="AE321"/>
  <c r="AE426"/>
  <c r="AE216"/>
  <c r="AE363"/>
  <c r="AE149"/>
  <c r="AE384"/>
  <c r="AE296"/>
  <c r="AE302" s="1"/>
  <c r="AE78" s="1"/>
  <c r="AE317"/>
  <c r="AE107"/>
  <c r="AE338"/>
  <c r="AE111"/>
  <c r="AE275"/>
  <c r="T474" i="120"/>
  <c r="T111"/>
  <c r="T107"/>
  <c r="T128"/>
  <c r="T258"/>
  <c r="T380"/>
  <c r="T149"/>
  <c r="T153"/>
  <c r="T233"/>
  <c r="T174"/>
  <c r="T275"/>
  <c r="T191"/>
  <c r="T317"/>
  <c r="T363"/>
  <c r="T216"/>
  <c r="T458"/>
  <c r="T359"/>
  <c r="T462"/>
  <c r="T279"/>
  <c r="T478"/>
  <c r="T401"/>
  <c r="T342"/>
  <c r="T494"/>
  <c r="T338"/>
  <c r="T405"/>
  <c r="T422"/>
  <c r="T426"/>
  <c r="T300"/>
  <c r="T237"/>
  <c r="T195"/>
  <c r="T296"/>
  <c r="T212"/>
  <c r="T384"/>
  <c r="T490"/>
  <c r="T321"/>
  <c r="T132"/>
  <c r="AA149" i="118"/>
  <c r="AA275"/>
  <c r="AA111"/>
  <c r="AA279"/>
  <c r="AA195"/>
  <c r="AA132"/>
  <c r="AA153"/>
  <c r="AA405"/>
  <c r="AA494"/>
  <c r="AA300"/>
  <c r="AA191"/>
  <c r="AA233"/>
  <c r="AA174"/>
  <c r="AA422"/>
  <c r="AA490"/>
  <c r="AA296"/>
  <c r="AA216"/>
  <c r="AA462"/>
  <c r="AA458"/>
  <c r="AA474"/>
  <c r="AA317"/>
  <c r="AA401"/>
  <c r="AA342"/>
  <c r="AA338"/>
  <c r="AA258"/>
  <c r="AA260" s="1"/>
  <c r="AA76" s="1"/>
  <c r="AA359"/>
  <c r="AA107"/>
  <c r="AA113" s="1"/>
  <c r="AA69" s="1"/>
  <c r="AA426"/>
  <c r="AA478"/>
  <c r="AA237"/>
  <c r="AA321"/>
  <c r="AA363"/>
  <c r="AA170"/>
  <c r="AA176" s="1"/>
  <c r="AA72" s="1"/>
  <c r="AA380"/>
  <c r="AA128"/>
  <c r="AA384"/>
  <c r="AA212"/>
  <c r="AA218" s="1"/>
  <c r="AA74" s="1"/>
  <c r="S216" i="120"/>
  <c r="S321"/>
  <c r="S478"/>
  <c r="S405"/>
  <c r="S275"/>
  <c r="S359"/>
  <c r="S107"/>
  <c r="S128"/>
  <c r="S174"/>
  <c r="S237"/>
  <c r="S132"/>
  <c r="S300"/>
  <c r="S363"/>
  <c r="S233"/>
  <c r="S239" s="1"/>
  <c r="S75" s="1"/>
  <c r="S494"/>
  <c r="S426"/>
  <c r="S195"/>
  <c r="S258"/>
  <c r="S260" s="1"/>
  <c r="S76" s="1"/>
  <c r="S474"/>
  <c r="S480" s="1"/>
  <c r="S86" s="1"/>
  <c r="S458"/>
  <c r="S462"/>
  <c r="S296"/>
  <c r="S149"/>
  <c r="S490"/>
  <c r="S422"/>
  <c r="S191"/>
  <c r="S384"/>
  <c r="S212"/>
  <c r="S279"/>
  <c r="S342"/>
  <c r="S401"/>
  <c r="S153"/>
  <c r="S338"/>
  <c r="S380"/>
  <c r="S317"/>
  <c r="S111"/>
  <c r="Z191" i="119"/>
  <c r="Z128"/>
  <c r="Z490"/>
  <c r="Z296"/>
  <c r="Z302" s="1"/>
  <c r="Z78" s="1"/>
  <c r="Z132"/>
  <c r="Z279"/>
  <c r="Z275"/>
  <c r="Z170"/>
  <c r="Z401"/>
  <c r="Z258"/>
  <c r="Z260" s="1"/>
  <c r="Z76" s="1"/>
  <c r="Z174"/>
  <c r="Z233"/>
  <c r="Z317"/>
  <c r="Z107"/>
  <c r="Z153"/>
  <c r="Z111"/>
  <c r="Z212"/>
  <c r="Z195"/>
  <c r="Z474"/>
  <c r="Z462"/>
  <c r="Z338"/>
  <c r="Z426"/>
  <c r="Z405"/>
  <c r="Z342"/>
  <c r="Z422"/>
  <c r="Z384"/>
  <c r="Z380"/>
  <c r="Z458"/>
  <c r="Z464" s="1"/>
  <c r="Z85" s="1"/>
  <c r="Z359"/>
  <c r="Z216"/>
  <c r="Z237"/>
  <c r="Z478"/>
  <c r="Z494"/>
  <c r="Z363"/>
  <c r="Z149"/>
  <c r="Z155" s="1"/>
  <c r="Z71" s="1"/>
  <c r="Z321"/>
  <c r="S254" i="28"/>
  <c r="S260" s="1"/>
  <c r="S76" s="1"/>
  <c r="Z254" i="118"/>
  <c r="Z260" s="1"/>
  <c r="Z76" s="1"/>
  <c r="S275" i="117"/>
  <c r="S281" s="1"/>
  <c r="S77" s="1"/>
  <c r="T279" i="119"/>
  <c r="T490"/>
  <c r="T191"/>
  <c r="T401"/>
  <c r="T233"/>
  <c r="T317"/>
  <c r="T384"/>
  <c r="T380"/>
  <c r="T422"/>
  <c r="T111"/>
  <c r="T474"/>
  <c r="T212"/>
  <c r="T195"/>
  <c r="T363"/>
  <c r="T426"/>
  <c r="T359"/>
  <c r="T216"/>
  <c r="T342"/>
  <c r="T174"/>
  <c r="T478"/>
  <c r="T128"/>
  <c r="T275"/>
  <c r="T153"/>
  <c r="T296"/>
  <c r="T302" s="1"/>
  <c r="T78" s="1"/>
  <c r="T258"/>
  <c r="T494"/>
  <c r="T237"/>
  <c r="T149"/>
  <c r="T170"/>
  <c r="T458"/>
  <c r="T107"/>
  <c r="T338"/>
  <c r="T462"/>
  <c r="T132"/>
  <c r="T405"/>
  <c r="T321"/>
  <c r="AA254" i="121"/>
  <c r="AA494"/>
  <c r="AA478"/>
  <c r="AA474"/>
  <c r="AA384"/>
  <c r="AA426"/>
  <c r="AA321"/>
  <c r="AA153"/>
  <c r="AA275"/>
  <c r="AA422"/>
  <c r="AA428" s="1"/>
  <c r="AA84" s="1"/>
  <c r="AA237"/>
  <c r="AA296"/>
  <c r="AA401"/>
  <c r="AA195"/>
  <c r="AA359"/>
  <c r="AA490"/>
  <c r="AA342"/>
  <c r="AA111"/>
  <c r="AA317"/>
  <c r="AA323" s="1"/>
  <c r="AA79" s="1"/>
  <c r="AA128"/>
  <c r="AA174"/>
  <c r="AA258"/>
  <c r="AA458"/>
  <c r="AA149"/>
  <c r="AA155" s="1"/>
  <c r="AA71" s="1"/>
  <c r="AA191"/>
  <c r="AA363"/>
  <c r="AA300"/>
  <c r="AA212"/>
  <c r="AA233"/>
  <c r="AA107"/>
  <c r="AA279"/>
  <c r="AA170"/>
  <c r="AA216"/>
  <c r="AA338"/>
  <c r="AA380"/>
  <c r="AA405"/>
  <c r="AA462"/>
  <c r="AA132"/>
  <c r="S426"/>
  <c r="S384"/>
  <c r="S422"/>
  <c r="S174"/>
  <c r="S275"/>
  <c r="S401"/>
  <c r="S321"/>
  <c r="S153"/>
  <c r="S254"/>
  <c r="S405"/>
  <c r="S170"/>
  <c r="S300"/>
  <c r="S380"/>
  <c r="S363"/>
  <c r="S132"/>
  <c r="S195"/>
  <c r="S342"/>
  <c r="S494"/>
  <c r="S111"/>
  <c r="S338"/>
  <c r="S279"/>
  <c r="S474"/>
  <c r="S237"/>
  <c r="S258"/>
  <c r="S128"/>
  <c r="S478"/>
  <c r="S296"/>
  <c r="S462"/>
  <c r="S149"/>
  <c r="S317"/>
  <c r="S233"/>
  <c r="S239" s="1"/>
  <c r="S75" s="1"/>
  <c r="S458"/>
  <c r="S464" s="1"/>
  <c r="S85" s="1"/>
  <c r="S216"/>
  <c r="S107"/>
  <c r="S359"/>
  <c r="S490"/>
  <c r="S191"/>
  <c r="S212"/>
  <c r="S195" i="118"/>
  <c r="S462"/>
  <c r="S153"/>
  <c r="S494"/>
  <c r="S128"/>
  <c r="S258"/>
  <c r="S422"/>
  <c r="S149"/>
  <c r="S342"/>
  <c r="S405"/>
  <c r="S338"/>
  <c r="S401"/>
  <c r="S279"/>
  <c r="S233"/>
  <c r="S363"/>
  <c r="S275"/>
  <c r="S359"/>
  <c r="S458"/>
  <c r="S464" s="1"/>
  <c r="S85" s="1"/>
  <c r="S107"/>
  <c r="S384"/>
  <c r="S478"/>
  <c r="S170"/>
  <c r="S490"/>
  <c r="S216"/>
  <c r="S174"/>
  <c r="S191"/>
  <c r="S300"/>
  <c r="S321"/>
  <c r="S380"/>
  <c r="S212"/>
  <c r="S132"/>
  <c r="S296"/>
  <c r="S474"/>
  <c r="S480" s="1"/>
  <c r="S86" s="1"/>
  <c r="S237"/>
  <c r="S317"/>
  <c r="S426"/>
  <c r="S111"/>
  <c r="Z426" i="28"/>
  <c r="Z428" s="1"/>
  <c r="Z84" s="1"/>
  <c r="Z111"/>
  <c r="Z342"/>
  <c r="Z107"/>
  <c r="Z474"/>
  <c r="Z279"/>
  <c r="Z384"/>
  <c r="Z233"/>
  <c r="Z212"/>
  <c r="Z317"/>
  <c r="Z149"/>
  <c r="Z478"/>
  <c r="Z237"/>
  <c r="Z321"/>
  <c r="Z494"/>
  <c r="Z195"/>
  <c r="Z174"/>
  <c r="Z176" s="1"/>
  <c r="Z72" s="1"/>
  <c r="Z300"/>
  <c r="Z132"/>
  <c r="Z405"/>
  <c r="Z490"/>
  <c r="Z216"/>
  <c r="Z363"/>
  <c r="Z458"/>
  <c r="Z128"/>
  <c r="Z380"/>
  <c r="Z296"/>
  <c r="Z462"/>
  <c r="Z359"/>
  <c r="Z258"/>
  <c r="Z260" s="1"/>
  <c r="Z76" s="1"/>
  <c r="Z275"/>
  <c r="Z191"/>
  <c r="Z197" s="1"/>
  <c r="Z73" s="1"/>
  <c r="Z338"/>
  <c r="Z153"/>
  <c r="AD279" i="119"/>
  <c r="AD191"/>
  <c r="AD107"/>
  <c r="AD128"/>
  <c r="AD296"/>
  <c r="AD494"/>
  <c r="AD478"/>
  <c r="AD153"/>
  <c r="AD384"/>
  <c r="AD474"/>
  <c r="AD174"/>
  <c r="AD212"/>
  <c r="AD132"/>
  <c r="AD195"/>
  <c r="AD317"/>
  <c r="AD233"/>
  <c r="AD149"/>
  <c r="AD405"/>
  <c r="AD490"/>
  <c r="AD111"/>
  <c r="AD401"/>
  <c r="AD458"/>
  <c r="AD342"/>
  <c r="AD237"/>
  <c r="AD216"/>
  <c r="AD359"/>
  <c r="AD380"/>
  <c r="AD462"/>
  <c r="AD258"/>
  <c r="AD338"/>
  <c r="AD422"/>
  <c r="AD170"/>
  <c r="AD363"/>
  <c r="AD426"/>
  <c r="AD275"/>
  <c r="AD321"/>
  <c r="W494" i="121"/>
  <c r="W153"/>
  <c r="W174"/>
  <c r="W426"/>
  <c r="W462"/>
  <c r="W422"/>
  <c r="W363"/>
  <c r="W254"/>
  <c r="W258"/>
  <c r="W478"/>
  <c r="W170"/>
  <c r="W176" s="1"/>
  <c r="W72" s="1"/>
  <c r="W384"/>
  <c r="W321"/>
  <c r="W490"/>
  <c r="W296"/>
  <c r="W132"/>
  <c r="W212"/>
  <c r="W111"/>
  <c r="W195"/>
  <c r="W458"/>
  <c r="W342"/>
  <c r="W191"/>
  <c r="W275"/>
  <c r="W359"/>
  <c r="W149"/>
  <c r="W380"/>
  <c r="W233"/>
  <c r="W128"/>
  <c r="W134" s="1"/>
  <c r="W70" s="1"/>
  <c r="W338"/>
  <c r="W344" s="1"/>
  <c r="W80" s="1"/>
  <c r="W216"/>
  <c r="W474"/>
  <c r="W405"/>
  <c r="W401"/>
  <c r="W317"/>
  <c r="W300"/>
  <c r="W237"/>
  <c r="W107"/>
  <c r="W279"/>
  <c r="AC275" i="118"/>
  <c r="AC195"/>
  <c r="AC149"/>
  <c r="AC170"/>
  <c r="AC153"/>
  <c r="AC422"/>
  <c r="AC111"/>
  <c r="AC132"/>
  <c r="AC462"/>
  <c r="AC191"/>
  <c r="AC197" s="1"/>
  <c r="AC73" s="1"/>
  <c r="AC279"/>
  <c r="AC174"/>
  <c r="AC342"/>
  <c r="AC458"/>
  <c r="AC296"/>
  <c r="AC258"/>
  <c r="AC233"/>
  <c r="AC338"/>
  <c r="AC300"/>
  <c r="AC128"/>
  <c r="AC134" s="1"/>
  <c r="AC70" s="1"/>
  <c r="AC212"/>
  <c r="AC218" s="1"/>
  <c r="AC74" s="1"/>
  <c r="AC359"/>
  <c r="AC317"/>
  <c r="AC401"/>
  <c r="AC426"/>
  <c r="AC384"/>
  <c r="AC216"/>
  <c r="AC405"/>
  <c r="AC380"/>
  <c r="AC237"/>
  <c r="AC490"/>
  <c r="AC107"/>
  <c r="AC321"/>
  <c r="AC474"/>
  <c r="AC478"/>
  <c r="AC363"/>
  <c r="AC494"/>
  <c r="V426" i="116"/>
  <c r="V474"/>
  <c r="V233"/>
  <c r="V462"/>
  <c r="V191"/>
  <c r="V195"/>
  <c r="V490"/>
  <c r="V153"/>
  <c r="V363"/>
  <c r="V107"/>
  <c r="V405"/>
  <c r="V237"/>
  <c r="V111"/>
  <c r="V384"/>
  <c r="V174"/>
  <c r="V401"/>
  <c r="V494"/>
  <c r="V216"/>
  <c r="V478"/>
  <c r="V128"/>
  <c r="V275"/>
  <c r="V359"/>
  <c r="V149"/>
  <c r="V279"/>
  <c r="V321"/>
  <c r="V300"/>
  <c r="V132"/>
  <c r="V380"/>
  <c r="V338"/>
  <c r="V212"/>
  <c r="V218" s="1"/>
  <c r="V74" s="1"/>
  <c r="V170"/>
  <c r="V176" s="1"/>
  <c r="V72" s="1"/>
  <c r="V317"/>
  <c r="V342"/>
  <c r="V458"/>
  <c r="V258"/>
  <c r="V296"/>
  <c r="V302" s="1"/>
  <c r="V78" s="1"/>
  <c r="V422"/>
  <c r="V428" s="1"/>
  <c r="V84" s="1"/>
  <c r="Y212" i="121"/>
  <c r="Y153"/>
  <c r="Y174"/>
  <c r="Y321"/>
  <c r="Y478"/>
  <c r="Y422"/>
  <c r="Y401"/>
  <c r="Y384"/>
  <c r="Y426"/>
  <c r="Y363"/>
  <c r="Y132"/>
  <c r="Y237"/>
  <c r="Y494"/>
  <c r="Y170"/>
  <c r="Y490"/>
  <c r="Y258"/>
  <c r="Y474"/>
  <c r="Y480" s="1"/>
  <c r="Y86" s="1"/>
  <c r="Y359"/>
  <c r="Y365" s="1"/>
  <c r="Y81" s="1"/>
  <c r="Y191"/>
  <c r="Y128"/>
  <c r="Y317"/>
  <c r="Y195"/>
  <c r="Y405"/>
  <c r="Y296"/>
  <c r="Y107"/>
  <c r="Y216"/>
  <c r="Y338"/>
  <c r="Y233"/>
  <c r="Y239" s="1"/>
  <c r="Y75" s="1"/>
  <c r="Y279"/>
  <c r="Y275"/>
  <c r="Y149"/>
  <c r="Y458"/>
  <c r="Y380"/>
  <c r="Y254"/>
  <c r="Y462"/>
  <c r="Y300"/>
  <c r="Y342"/>
  <c r="Y111"/>
  <c r="AQ38" i="28"/>
  <c r="V254" i="116"/>
  <c r="AC254" i="119"/>
  <c r="U191" i="28"/>
  <c r="U384"/>
  <c r="U405"/>
  <c r="U407" s="1"/>
  <c r="U83" s="1"/>
  <c r="U128"/>
  <c r="U174"/>
  <c r="U176" s="1"/>
  <c r="U72" s="1"/>
  <c r="U462"/>
  <c r="U212"/>
  <c r="U342"/>
  <c r="U153"/>
  <c r="U300"/>
  <c r="U490"/>
  <c r="U474"/>
  <c r="U279"/>
  <c r="U426"/>
  <c r="U428" s="1"/>
  <c r="U84" s="1"/>
  <c r="U275"/>
  <c r="U132"/>
  <c r="U233"/>
  <c r="U359"/>
  <c r="U458"/>
  <c r="U317"/>
  <c r="U107"/>
  <c r="U380"/>
  <c r="U386" s="1"/>
  <c r="U82" s="1"/>
  <c r="U258"/>
  <c r="U260" s="1"/>
  <c r="U76" s="1"/>
  <c r="U296"/>
  <c r="U111"/>
  <c r="U338"/>
  <c r="U237"/>
  <c r="U216"/>
  <c r="U478"/>
  <c r="U195"/>
  <c r="U149"/>
  <c r="U494"/>
  <c r="U321"/>
  <c r="U363"/>
  <c r="U462" i="119"/>
  <c r="U296"/>
  <c r="U302" s="1"/>
  <c r="U78" s="1"/>
  <c r="U490"/>
  <c r="U422"/>
  <c r="U128"/>
  <c r="U363"/>
  <c r="U216"/>
  <c r="U174"/>
  <c r="U458"/>
  <c r="U464" s="1"/>
  <c r="U85" s="1"/>
  <c r="U191"/>
  <c r="U111"/>
  <c r="U237"/>
  <c r="U233"/>
  <c r="U474"/>
  <c r="U258"/>
  <c r="U260" s="1"/>
  <c r="U76" s="1"/>
  <c r="U494"/>
  <c r="U359"/>
  <c r="U195"/>
  <c r="U317"/>
  <c r="U478"/>
  <c r="U426"/>
  <c r="U321"/>
  <c r="U342"/>
  <c r="U170"/>
  <c r="U176" s="1"/>
  <c r="U72" s="1"/>
  <c r="U380"/>
  <c r="U275"/>
  <c r="U132"/>
  <c r="U149"/>
  <c r="U405"/>
  <c r="U384"/>
  <c r="U279"/>
  <c r="U401"/>
  <c r="U107"/>
  <c r="U153"/>
  <c r="U212"/>
  <c r="U218" s="1"/>
  <c r="U74" s="1"/>
  <c r="U338"/>
  <c r="AI258" i="28"/>
  <c r="AI260" s="1"/>
  <c r="AI76" s="1"/>
  <c r="AI462"/>
  <c r="AI405"/>
  <c r="AI407" s="1"/>
  <c r="AI83" s="1"/>
  <c r="AI380"/>
  <c r="AI174"/>
  <c r="AI176" s="1"/>
  <c r="AI72" s="1"/>
  <c r="AI494"/>
  <c r="AI149"/>
  <c r="AI111"/>
  <c r="AI195"/>
  <c r="AI474"/>
  <c r="AI296"/>
  <c r="AI317"/>
  <c r="AI300"/>
  <c r="AI216"/>
  <c r="AI384"/>
  <c r="AI275"/>
  <c r="AI128"/>
  <c r="AI342"/>
  <c r="AI212"/>
  <c r="AI338"/>
  <c r="AI107"/>
  <c r="AI153"/>
  <c r="AI359"/>
  <c r="AI279"/>
  <c r="AI321"/>
  <c r="AI458"/>
  <c r="AI464" s="1"/>
  <c r="AI85" s="1"/>
  <c r="AI490"/>
  <c r="AI132"/>
  <c r="AI478"/>
  <c r="AI363"/>
  <c r="AI233"/>
  <c r="AI191"/>
  <c r="AI237"/>
  <c r="AI426"/>
  <c r="AI428" s="1"/>
  <c r="AI84" s="1"/>
  <c r="AI342" i="116"/>
  <c r="AI426"/>
  <c r="AI128"/>
  <c r="AI275"/>
  <c r="AI212"/>
  <c r="AI474"/>
  <c r="AI237"/>
  <c r="AI174"/>
  <c r="AI490"/>
  <c r="AI195"/>
  <c r="AI258"/>
  <c r="AI260" s="1"/>
  <c r="AI76" s="1"/>
  <c r="AI191"/>
  <c r="AI149"/>
  <c r="AI494"/>
  <c r="AI216"/>
  <c r="AI462"/>
  <c r="AI422"/>
  <c r="AI321"/>
  <c r="AI458"/>
  <c r="AI107"/>
  <c r="AI296"/>
  <c r="AI338"/>
  <c r="AI317"/>
  <c r="AI111"/>
  <c r="AI380"/>
  <c r="AI401"/>
  <c r="AI279"/>
  <c r="AI153"/>
  <c r="AI405"/>
  <c r="AI170"/>
  <c r="AI300"/>
  <c r="AI132"/>
  <c r="AI384"/>
  <c r="AI359"/>
  <c r="AI363"/>
  <c r="AI233"/>
  <c r="AI478"/>
  <c r="X494" i="28"/>
  <c r="X195"/>
  <c r="X405"/>
  <c r="X478"/>
  <c r="X174"/>
  <c r="X176" s="1"/>
  <c r="X72" s="1"/>
  <c r="X258"/>
  <c r="X260" s="1"/>
  <c r="X76" s="1"/>
  <c r="X490"/>
  <c r="X132"/>
  <c r="X380"/>
  <c r="X111"/>
  <c r="X279"/>
  <c r="X216"/>
  <c r="X359"/>
  <c r="X317"/>
  <c r="X321"/>
  <c r="X474"/>
  <c r="X480" s="1"/>
  <c r="X86" s="1"/>
  <c r="X149"/>
  <c r="X237"/>
  <c r="X153"/>
  <c r="X128"/>
  <c r="X191"/>
  <c r="X458"/>
  <c r="X342"/>
  <c r="X296"/>
  <c r="X363"/>
  <c r="X275"/>
  <c r="X107"/>
  <c r="X384"/>
  <c r="X212"/>
  <c r="X300"/>
  <c r="X233"/>
  <c r="X426"/>
  <c r="X428" s="1"/>
  <c r="X84" s="1"/>
  <c r="X462"/>
  <c r="X338"/>
  <c r="AD132" i="118"/>
  <c r="AD279"/>
  <c r="AD153"/>
  <c r="AD258"/>
  <c r="AD260" s="1"/>
  <c r="AD76" s="1"/>
  <c r="AD195"/>
  <c r="AD405"/>
  <c r="AD275"/>
  <c r="AD233"/>
  <c r="AD462"/>
  <c r="AD111"/>
  <c r="AD458"/>
  <c r="AD359"/>
  <c r="AD300"/>
  <c r="AD128"/>
  <c r="AD338"/>
  <c r="AD149"/>
  <c r="AD363"/>
  <c r="AD422"/>
  <c r="AD401"/>
  <c r="AD296"/>
  <c r="AD474"/>
  <c r="AD342"/>
  <c r="AD216"/>
  <c r="AD218" s="1"/>
  <c r="AD74" s="1"/>
  <c r="AD174"/>
  <c r="AD107"/>
  <c r="AD426"/>
  <c r="AD384"/>
  <c r="AD321"/>
  <c r="AD212"/>
  <c r="AD478"/>
  <c r="AD380"/>
  <c r="AD386" s="1"/>
  <c r="AD82" s="1"/>
  <c r="AD170"/>
  <c r="AD176" s="1"/>
  <c r="AD72" s="1"/>
  <c r="AD490"/>
  <c r="AD494"/>
  <c r="AD317"/>
  <c r="AD237"/>
  <c r="AD191"/>
  <c r="AD197" s="1"/>
  <c r="AD73" s="1"/>
  <c r="R321" i="121"/>
  <c r="R233"/>
  <c r="R153"/>
  <c r="R254"/>
  <c r="R422"/>
  <c r="R426"/>
  <c r="R174"/>
  <c r="R478"/>
  <c r="R275"/>
  <c r="R212"/>
  <c r="R359"/>
  <c r="R384"/>
  <c r="R462"/>
  <c r="R128"/>
  <c r="R380"/>
  <c r="R111"/>
  <c r="R279"/>
  <c r="R317"/>
  <c r="R191"/>
  <c r="R300"/>
  <c r="R401"/>
  <c r="R237"/>
  <c r="R494"/>
  <c r="R170"/>
  <c r="R490"/>
  <c r="R216"/>
  <c r="R149"/>
  <c r="R458"/>
  <c r="R474"/>
  <c r="R363"/>
  <c r="R107"/>
  <c r="R405"/>
  <c r="R132"/>
  <c r="R296"/>
  <c r="R338"/>
  <c r="R195"/>
  <c r="R342"/>
  <c r="R258"/>
  <c r="R128" i="117"/>
  <c r="R321"/>
  <c r="R478"/>
  <c r="R405"/>
  <c r="R258"/>
  <c r="R384"/>
  <c r="R212"/>
  <c r="R401"/>
  <c r="R490"/>
  <c r="R149"/>
  <c r="R342"/>
  <c r="R191"/>
  <c r="R233"/>
  <c r="R170"/>
  <c r="R494"/>
  <c r="R237"/>
  <c r="R458"/>
  <c r="R132"/>
  <c r="R279"/>
  <c r="R462"/>
  <c r="R107"/>
  <c r="R380"/>
  <c r="R174"/>
  <c r="R359"/>
  <c r="R153"/>
  <c r="R300"/>
  <c r="R426"/>
  <c r="R111"/>
  <c r="R363"/>
  <c r="R474"/>
  <c r="R338"/>
  <c r="R422"/>
  <c r="R195"/>
  <c r="AB107" i="28"/>
  <c r="AB405"/>
  <c r="AB407" s="1"/>
  <c r="AB83" s="1"/>
  <c r="AB149"/>
  <c r="AB174"/>
  <c r="AB176" s="1"/>
  <c r="AB72" s="1"/>
  <c r="AB380"/>
  <c r="AB258"/>
  <c r="AB462"/>
  <c r="AB111"/>
  <c r="AB490"/>
  <c r="AB474"/>
  <c r="AB478"/>
  <c r="AB338"/>
  <c r="AB153"/>
  <c r="AB426"/>
  <c r="AB191"/>
  <c r="AB237"/>
  <c r="AB384"/>
  <c r="AB321"/>
  <c r="AB275"/>
  <c r="AB458"/>
  <c r="AB195"/>
  <c r="AB494"/>
  <c r="AB216"/>
  <c r="AB359"/>
  <c r="AB128"/>
  <c r="AB300"/>
  <c r="AB279"/>
  <c r="AB132"/>
  <c r="AB212"/>
  <c r="AB317"/>
  <c r="AB323" s="1"/>
  <c r="AB79" s="1"/>
  <c r="AB363"/>
  <c r="AB233"/>
  <c r="AB239" s="1"/>
  <c r="AB75" s="1"/>
  <c r="AB342"/>
  <c r="AB296"/>
  <c r="AB302" s="1"/>
  <c r="AB78" s="1"/>
  <c r="AB317" i="116"/>
  <c r="AB111"/>
  <c r="AB490"/>
  <c r="AB494"/>
  <c r="AB195"/>
  <c r="AB279"/>
  <c r="AB275"/>
  <c r="AB149"/>
  <c r="AB174"/>
  <c r="AB107"/>
  <c r="AB113" s="1"/>
  <c r="AB69" s="1"/>
  <c r="AB342"/>
  <c r="AB233"/>
  <c r="AB128"/>
  <c r="AB212"/>
  <c r="AB384"/>
  <c r="AB426"/>
  <c r="AB237"/>
  <c r="AB153"/>
  <c r="AB191"/>
  <c r="AB321"/>
  <c r="AB359"/>
  <c r="AB380"/>
  <c r="AB258"/>
  <c r="AB260" s="1"/>
  <c r="AB76" s="1"/>
  <c r="AB462"/>
  <c r="AB363"/>
  <c r="AB338"/>
  <c r="AB216"/>
  <c r="AB405"/>
  <c r="AB170"/>
  <c r="AB176" s="1"/>
  <c r="AB72" s="1"/>
  <c r="AB401"/>
  <c r="AB478"/>
  <c r="AB296"/>
  <c r="AB300"/>
  <c r="AB474"/>
  <c r="AB458"/>
  <c r="AB132"/>
  <c r="AB422"/>
  <c r="AS505" i="120"/>
  <c r="AS505" i="28"/>
  <c r="AS505" i="118"/>
  <c r="AS505" i="116"/>
  <c r="AS505" i="119"/>
  <c r="AS505" i="117"/>
  <c r="AS505" i="121"/>
  <c r="AG279" i="28"/>
  <c r="AG405"/>
  <c r="AG212"/>
  <c r="AG342"/>
  <c r="AG494"/>
  <c r="AG380"/>
  <c r="AG300"/>
  <c r="AG174"/>
  <c r="AG111"/>
  <c r="AG258"/>
  <c r="AG338"/>
  <c r="AG107"/>
  <c r="AG132"/>
  <c r="AG296"/>
  <c r="AG462"/>
  <c r="AG128"/>
  <c r="AG490"/>
  <c r="AG496" s="1"/>
  <c r="AG87" s="1"/>
  <c r="AG474"/>
  <c r="AG426"/>
  <c r="AG428" s="1"/>
  <c r="AG84" s="1"/>
  <c r="AG458"/>
  <c r="AG478"/>
  <c r="AG153"/>
  <c r="AG237"/>
  <c r="AG359"/>
  <c r="AG216"/>
  <c r="AG321"/>
  <c r="AG384"/>
  <c r="AG149"/>
  <c r="AG363"/>
  <c r="AG317"/>
  <c r="AG323" s="1"/>
  <c r="AG79" s="1"/>
  <c r="AG191"/>
  <c r="AG195"/>
  <c r="AG233"/>
  <c r="AG275"/>
  <c r="AG321" i="119"/>
  <c r="AG216"/>
  <c r="AG107"/>
  <c r="AG279"/>
  <c r="AG342"/>
  <c r="AG478"/>
  <c r="AG149"/>
  <c r="AG384"/>
  <c r="AG233"/>
  <c r="AG153"/>
  <c r="AG296"/>
  <c r="AG302" s="1"/>
  <c r="AG78" s="1"/>
  <c r="AG405"/>
  <c r="AG237"/>
  <c r="AG474"/>
  <c r="AG480" s="1"/>
  <c r="AG86" s="1"/>
  <c r="AG422"/>
  <c r="AG462"/>
  <c r="AG195"/>
  <c r="AG317"/>
  <c r="AG128"/>
  <c r="AG132"/>
  <c r="AG426"/>
  <c r="AG170"/>
  <c r="AG111"/>
  <c r="AG458"/>
  <c r="AG464" s="1"/>
  <c r="AG85" s="1"/>
  <c r="AG275"/>
  <c r="AG380"/>
  <c r="AG490"/>
  <c r="AG363"/>
  <c r="AG191"/>
  <c r="AG197" s="1"/>
  <c r="AG73" s="1"/>
  <c r="AG174"/>
  <c r="AG212"/>
  <c r="AG401"/>
  <c r="AG407" s="1"/>
  <c r="AG83" s="1"/>
  <c r="AG258"/>
  <c r="AG494"/>
  <c r="AG338"/>
  <c r="AG359"/>
  <c r="AG365" s="1"/>
  <c r="AG81" s="1"/>
  <c r="W426" i="116"/>
  <c r="W195"/>
  <c r="W359"/>
  <c r="W191"/>
  <c r="W317"/>
  <c r="W153"/>
  <c r="W279"/>
  <c r="W128"/>
  <c r="W462"/>
  <c r="W494"/>
  <c r="W363"/>
  <c r="W478"/>
  <c r="W342"/>
  <c r="W132"/>
  <c r="W233"/>
  <c r="W490"/>
  <c r="W401"/>
  <c r="W275"/>
  <c r="W405"/>
  <c r="W174"/>
  <c r="W111"/>
  <c r="W216"/>
  <c r="W321"/>
  <c r="W258"/>
  <c r="W260" s="1"/>
  <c r="W76" s="1"/>
  <c r="W237"/>
  <c r="W300"/>
  <c r="W212"/>
  <c r="W474"/>
  <c r="W480" s="1"/>
  <c r="W86" s="1"/>
  <c r="W296"/>
  <c r="W422"/>
  <c r="W149"/>
  <c r="W107"/>
  <c r="W384"/>
  <c r="W458"/>
  <c r="W338"/>
  <c r="W380"/>
  <c r="W170"/>
  <c r="V195" i="118"/>
  <c r="V494"/>
  <c r="V212"/>
  <c r="V279"/>
  <c r="V275"/>
  <c r="V153"/>
  <c r="V405"/>
  <c r="V191"/>
  <c r="V359"/>
  <c r="V128"/>
  <c r="V490"/>
  <c r="V174"/>
  <c r="V149"/>
  <c r="V338"/>
  <c r="V296"/>
  <c r="V216"/>
  <c r="V380"/>
  <c r="V462"/>
  <c r="V458"/>
  <c r="V170"/>
  <c r="V176" s="1"/>
  <c r="V72" s="1"/>
  <c r="V384"/>
  <c r="V422"/>
  <c r="V132"/>
  <c r="V426"/>
  <c r="V111"/>
  <c r="V478"/>
  <c r="V363"/>
  <c r="V321"/>
  <c r="V474"/>
  <c r="V237"/>
  <c r="V258"/>
  <c r="V260" s="1"/>
  <c r="V76" s="1"/>
  <c r="V317"/>
  <c r="V323" s="1"/>
  <c r="V79" s="1"/>
  <c r="V401"/>
  <c r="V342"/>
  <c r="V300"/>
  <c r="V233"/>
  <c r="V107"/>
  <c r="V113" s="1"/>
  <c r="V69" s="1"/>
  <c r="Y128" i="116"/>
  <c r="Y426"/>
  <c r="Y237"/>
  <c r="Y462"/>
  <c r="Y342"/>
  <c r="Y149"/>
  <c r="Y317"/>
  <c r="Y490"/>
  <c r="Y384"/>
  <c r="Y275"/>
  <c r="Y107"/>
  <c r="Y153"/>
  <c r="Y216"/>
  <c r="Y458"/>
  <c r="Y405"/>
  <c r="Y363"/>
  <c r="Y174"/>
  <c r="Y279"/>
  <c r="Y494"/>
  <c r="Y212"/>
  <c r="Y170"/>
  <c r="Y195"/>
  <c r="Y111"/>
  <c r="Y233"/>
  <c r="Y401"/>
  <c r="Y191"/>
  <c r="Y197" s="1"/>
  <c r="Y73" s="1"/>
  <c r="Y300"/>
  <c r="Y380"/>
  <c r="Y338"/>
  <c r="Y344" s="1"/>
  <c r="Y80" s="1"/>
  <c r="Y474"/>
  <c r="Y478"/>
  <c r="Y422"/>
  <c r="Y296"/>
  <c r="Y258"/>
  <c r="Y260" s="1"/>
  <c r="Y76" s="1"/>
  <c r="Y359"/>
  <c r="Y132"/>
  <c r="Y321"/>
  <c r="AH384" i="119"/>
  <c r="AH191"/>
  <c r="AH279"/>
  <c r="AH132"/>
  <c r="AH490"/>
  <c r="AH174"/>
  <c r="AH422"/>
  <c r="AH359"/>
  <c r="AH478"/>
  <c r="AH233"/>
  <c r="AH296"/>
  <c r="AH170"/>
  <c r="AH111"/>
  <c r="AH107"/>
  <c r="AH128"/>
  <c r="AH153"/>
  <c r="AH474"/>
  <c r="AH480" s="1"/>
  <c r="AH86" s="1"/>
  <c r="AH401"/>
  <c r="AH342"/>
  <c r="AH216"/>
  <c r="AH317"/>
  <c r="AH195"/>
  <c r="AH494"/>
  <c r="AH363"/>
  <c r="AH149"/>
  <c r="AH405"/>
  <c r="AH321"/>
  <c r="AH458"/>
  <c r="AH237"/>
  <c r="AH275"/>
  <c r="AH212"/>
  <c r="AH462"/>
  <c r="AH338"/>
  <c r="AH380"/>
  <c r="AH258"/>
  <c r="AH260" s="1"/>
  <c r="AH76" s="1"/>
  <c r="AH426"/>
  <c r="R216" i="117"/>
  <c r="AO29" i="11"/>
  <c r="AP43"/>
  <c r="AP29" s="1"/>
  <c r="U478" i="118"/>
  <c r="U132"/>
  <c r="U195"/>
  <c r="U462"/>
  <c r="U275"/>
  <c r="U300"/>
  <c r="U494"/>
  <c r="U233"/>
  <c r="U405"/>
  <c r="U258"/>
  <c r="U359"/>
  <c r="U111"/>
  <c r="U128"/>
  <c r="U338"/>
  <c r="U149"/>
  <c r="U401"/>
  <c r="U191"/>
  <c r="U317"/>
  <c r="U107"/>
  <c r="U384"/>
  <c r="U490"/>
  <c r="U474"/>
  <c r="U296"/>
  <c r="U342"/>
  <c r="U426"/>
  <c r="U170"/>
  <c r="U363"/>
  <c r="U216"/>
  <c r="U380"/>
  <c r="U174"/>
  <c r="U422"/>
  <c r="U237"/>
  <c r="U279"/>
  <c r="U458"/>
  <c r="U321"/>
  <c r="U153"/>
  <c r="U212"/>
  <c r="AI426" i="119"/>
  <c r="AI422"/>
  <c r="AI237"/>
  <c r="AI191"/>
  <c r="AI478"/>
  <c r="AI195"/>
  <c r="AI279"/>
  <c r="AI153"/>
  <c r="AI359"/>
  <c r="AI233"/>
  <c r="AI490"/>
  <c r="AI275"/>
  <c r="AI363"/>
  <c r="AI458"/>
  <c r="AI111"/>
  <c r="AI212"/>
  <c r="AI401"/>
  <c r="AI338"/>
  <c r="AI149"/>
  <c r="AI380"/>
  <c r="AI107"/>
  <c r="AI342"/>
  <c r="AI405"/>
  <c r="AI474"/>
  <c r="AI132"/>
  <c r="AI128"/>
  <c r="AI494"/>
  <c r="AI170"/>
  <c r="AI384"/>
  <c r="AI174"/>
  <c r="AI317"/>
  <c r="AI216"/>
  <c r="AI321"/>
  <c r="AI296"/>
  <c r="AI302" s="1"/>
  <c r="AI78" s="1"/>
  <c r="AI258"/>
  <c r="AI462"/>
  <c r="X490"/>
  <c r="X422"/>
  <c r="X279"/>
  <c r="X237"/>
  <c r="X212"/>
  <c r="X233"/>
  <c r="X317"/>
  <c r="X384"/>
  <c r="X380"/>
  <c r="X111"/>
  <c r="X191"/>
  <c r="X359"/>
  <c r="X494"/>
  <c r="X338"/>
  <c r="X321"/>
  <c r="X170"/>
  <c r="X258"/>
  <c r="X260" s="1"/>
  <c r="X76" s="1"/>
  <c r="X426"/>
  <c r="X401"/>
  <c r="X174"/>
  <c r="X107"/>
  <c r="X296"/>
  <c r="X363"/>
  <c r="X149"/>
  <c r="X458"/>
  <c r="X474"/>
  <c r="X462"/>
  <c r="X132"/>
  <c r="X195"/>
  <c r="X342"/>
  <c r="X216"/>
  <c r="X128"/>
  <c r="X153"/>
  <c r="X405"/>
  <c r="X478"/>
  <c r="X275"/>
  <c r="AD426" i="116"/>
  <c r="AD401"/>
  <c r="AD212"/>
  <c r="AD342"/>
  <c r="AD174"/>
  <c r="AD191"/>
  <c r="AD462"/>
  <c r="AD380"/>
  <c r="AD149"/>
  <c r="AD494"/>
  <c r="AD195"/>
  <c r="AD107"/>
  <c r="AD405"/>
  <c r="AD338"/>
  <c r="AD359"/>
  <c r="AD458"/>
  <c r="AD422"/>
  <c r="AD428" s="1"/>
  <c r="AD84" s="1"/>
  <c r="AD233"/>
  <c r="AD111"/>
  <c r="AD275"/>
  <c r="AD237"/>
  <c r="AD216"/>
  <c r="AD153"/>
  <c r="AD279"/>
  <c r="AD296"/>
  <c r="AD384"/>
  <c r="AD300"/>
  <c r="AD363"/>
  <c r="AD478"/>
  <c r="AD321"/>
  <c r="AD128"/>
  <c r="AD258"/>
  <c r="AD490"/>
  <c r="AD474"/>
  <c r="AD317"/>
  <c r="AD132"/>
  <c r="AD170"/>
  <c r="AD176" s="1"/>
  <c r="AD72" s="1"/>
  <c r="AF107" i="119"/>
  <c r="AF191"/>
  <c r="AF494"/>
  <c r="AF478"/>
  <c r="AF279"/>
  <c r="AF422"/>
  <c r="AF338"/>
  <c r="AF490"/>
  <c r="AF174"/>
  <c r="AF237"/>
  <c r="AF233"/>
  <c r="AF275"/>
  <c r="AF317"/>
  <c r="AF153"/>
  <c r="AF170"/>
  <c r="AF296"/>
  <c r="AF359"/>
  <c r="AF380"/>
  <c r="AF111"/>
  <c r="AF405"/>
  <c r="AF458"/>
  <c r="AF426"/>
  <c r="AF474"/>
  <c r="AF212"/>
  <c r="AF462"/>
  <c r="AF132"/>
  <c r="AF195"/>
  <c r="AF342"/>
  <c r="AF216"/>
  <c r="AF128"/>
  <c r="AF134" s="1"/>
  <c r="AF70" s="1"/>
  <c r="AF363"/>
  <c r="AF149"/>
  <c r="AF384"/>
  <c r="AF258"/>
  <c r="AF321"/>
  <c r="AF401"/>
  <c r="AF407" s="1"/>
  <c r="AF83" s="1"/>
  <c r="AF359" i="116"/>
  <c r="AF426"/>
  <c r="AF128"/>
  <c r="AF317"/>
  <c r="AF212"/>
  <c r="AF401"/>
  <c r="AF384"/>
  <c r="AF474"/>
  <c r="AF490"/>
  <c r="AF216"/>
  <c r="AF195"/>
  <c r="AF279"/>
  <c r="AF237"/>
  <c r="AF462"/>
  <c r="AF233"/>
  <c r="AF380"/>
  <c r="AF149"/>
  <c r="AF494"/>
  <c r="AF342"/>
  <c r="AF458"/>
  <c r="AF153"/>
  <c r="AF363"/>
  <c r="AF405"/>
  <c r="AF170"/>
  <c r="AF321"/>
  <c r="AF258"/>
  <c r="AF260" s="1"/>
  <c r="AF76" s="1"/>
  <c r="AF275"/>
  <c r="AF422"/>
  <c r="AF478"/>
  <c r="AF191"/>
  <c r="AF111"/>
  <c r="AF300"/>
  <c r="AF132"/>
  <c r="AF338"/>
  <c r="AF107"/>
  <c r="AF113" s="1"/>
  <c r="AF69" s="1"/>
  <c r="AF174"/>
  <c r="AF296"/>
  <c r="R195" i="118"/>
  <c r="R279"/>
  <c r="R174"/>
  <c r="R128"/>
  <c r="R490"/>
  <c r="R149"/>
  <c r="R296"/>
  <c r="R342"/>
  <c r="R458"/>
  <c r="R494"/>
  <c r="R338"/>
  <c r="R258"/>
  <c r="R422"/>
  <c r="R474"/>
  <c r="R107"/>
  <c r="R380"/>
  <c r="R405"/>
  <c r="R237"/>
  <c r="R359"/>
  <c r="R275"/>
  <c r="R384"/>
  <c r="R478"/>
  <c r="R317"/>
  <c r="R401"/>
  <c r="R233"/>
  <c r="R426"/>
  <c r="R170"/>
  <c r="R212"/>
  <c r="R216"/>
  <c r="R153"/>
  <c r="R462"/>
  <c r="R111"/>
  <c r="R363"/>
  <c r="R132"/>
  <c r="R191"/>
  <c r="R300"/>
  <c r="R321"/>
  <c r="AB405" i="121"/>
  <c r="AB338"/>
  <c r="AB384"/>
  <c r="AB170"/>
  <c r="AB153"/>
  <c r="AB478"/>
  <c r="AB254"/>
  <c r="AB296"/>
  <c r="AB363"/>
  <c r="AB275"/>
  <c r="AB422"/>
  <c r="AB174"/>
  <c r="AB494"/>
  <c r="AB317"/>
  <c r="AB237"/>
  <c r="AB321"/>
  <c r="AB132"/>
  <c r="AB490"/>
  <c r="AB212"/>
  <c r="AB359"/>
  <c r="AB342"/>
  <c r="AB149"/>
  <c r="AB216"/>
  <c r="AB195"/>
  <c r="AB462"/>
  <c r="AB128"/>
  <c r="AB258"/>
  <c r="AB380"/>
  <c r="AB279"/>
  <c r="AB111"/>
  <c r="AB233"/>
  <c r="AB239" s="1"/>
  <c r="AB75" s="1"/>
  <c r="AB107"/>
  <c r="AB426"/>
  <c r="AB191"/>
  <c r="AB300"/>
  <c r="AB401"/>
  <c r="AB458"/>
  <c r="AB464" s="1"/>
  <c r="AB85" s="1"/>
  <c r="AB474"/>
  <c r="AB480" s="1"/>
  <c r="AB86" s="1"/>
  <c r="AB494" i="118"/>
  <c r="AB195"/>
  <c r="AB317"/>
  <c r="AB132"/>
  <c r="AB426"/>
  <c r="AB279"/>
  <c r="AB275"/>
  <c r="AB153"/>
  <c r="AB300"/>
  <c r="AB149"/>
  <c r="AB462"/>
  <c r="AB111"/>
  <c r="AB474"/>
  <c r="AB401"/>
  <c r="AB359"/>
  <c r="AB191"/>
  <c r="AB233"/>
  <c r="AB174"/>
  <c r="AB128"/>
  <c r="AB338"/>
  <c r="AB321"/>
  <c r="AB422"/>
  <c r="AB258"/>
  <c r="AB384"/>
  <c r="AB458"/>
  <c r="AB490"/>
  <c r="AB237"/>
  <c r="AB380"/>
  <c r="AB363"/>
  <c r="AB107"/>
  <c r="AB170"/>
  <c r="AB212"/>
  <c r="AB405"/>
  <c r="AB216"/>
  <c r="AB478"/>
  <c r="AB296"/>
  <c r="AB342"/>
  <c r="W195" i="119"/>
  <c r="W237"/>
  <c r="W490"/>
  <c r="W279"/>
  <c r="W422"/>
  <c r="W153"/>
  <c r="W321"/>
  <c r="W174"/>
  <c r="W458"/>
  <c r="W494"/>
  <c r="W338"/>
  <c r="W384"/>
  <c r="W170"/>
  <c r="W405"/>
  <c r="W296"/>
  <c r="W191"/>
  <c r="W401"/>
  <c r="W359"/>
  <c r="W380"/>
  <c r="W111"/>
  <c r="W212"/>
  <c r="W363"/>
  <c r="W478"/>
  <c r="W258"/>
  <c r="W426"/>
  <c r="W107"/>
  <c r="W275"/>
  <c r="W462"/>
  <c r="W149"/>
  <c r="W216"/>
  <c r="W132"/>
  <c r="W317"/>
  <c r="W233"/>
  <c r="W474"/>
  <c r="W342"/>
  <c r="W128"/>
  <c r="AC490"/>
  <c r="AC279"/>
  <c r="AC191"/>
  <c r="AC405"/>
  <c r="AC458"/>
  <c r="AC342"/>
  <c r="AC363"/>
  <c r="AC296"/>
  <c r="AC302" s="1"/>
  <c r="AC78" s="1"/>
  <c r="AC426"/>
  <c r="AC170"/>
  <c r="AC174"/>
  <c r="AC237"/>
  <c r="AC478"/>
  <c r="AC233"/>
  <c r="AC216"/>
  <c r="AC422"/>
  <c r="AC401"/>
  <c r="AC107"/>
  <c r="AC321"/>
  <c r="AC359"/>
  <c r="AC128"/>
  <c r="AC212"/>
  <c r="AC258"/>
  <c r="AC462"/>
  <c r="AC132"/>
  <c r="AC195"/>
  <c r="AC338"/>
  <c r="AC149"/>
  <c r="AC317"/>
  <c r="AC275"/>
  <c r="AC281" s="1"/>
  <c r="AC77" s="1"/>
  <c r="AC384"/>
  <c r="AC153"/>
  <c r="AC111"/>
  <c r="AC380"/>
  <c r="AC474"/>
  <c r="AC494"/>
  <c r="V474" i="121"/>
  <c r="V170"/>
  <c r="V384"/>
  <c r="V321"/>
  <c r="V275"/>
  <c r="V478"/>
  <c r="V174"/>
  <c r="V426"/>
  <c r="V153"/>
  <c r="V422"/>
  <c r="V363"/>
  <c r="V300"/>
  <c r="V296"/>
  <c r="V107"/>
  <c r="V254"/>
  <c r="V490"/>
  <c r="V237"/>
  <c r="V380"/>
  <c r="V405"/>
  <c r="V494"/>
  <c r="V401"/>
  <c r="V458"/>
  <c r="V338"/>
  <c r="V212"/>
  <c r="V359"/>
  <c r="V279"/>
  <c r="V128"/>
  <c r="V342"/>
  <c r="V191"/>
  <c r="V111"/>
  <c r="V462"/>
  <c r="V233"/>
  <c r="V317"/>
  <c r="V258"/>
  <c r="V132"/>
  <c r="V195"/>
  <c r="V216"/>
  <c r="V149"/>
  <c r="AJ359" i="28"/>
  <c r="AJ405"/>
  <c r="AJ317"/>
  <c r="AJ195"/>
  <c r="AJ111"/>
  <c r="AJ462"/>
  <c r="AJ258"/>
  <c r="AJ494"/>
  <c r="AJ279"/>
  <c r="AJ233"/>
  <c r="AJ212"/>
  <c r="AJ107"/>
  <c r="AJ153"/>
  <c r="AJ380"/>
  <c r="AJ300"/>
  <c r="AJ191"/>
  <c r="AJ197" s="1"/>
  <c r="AJ73" s="1"/>
  <c r="AJ174"/>
  <c r="AJ176" s="1"/>
  <c r="AJ72" s="1"/>
  <c r="AJ490"/>
  <c r="AJ342"/>
  <c r="AJ474"/>
  <c r="AJ149"/>
  <c r="AJ155" s="1"/>
  <c r="AJ71" s="1"/>
  <c r="AJ478"/>
  <c r="AJ216"/>
  <c r="AJ338"/>
  <c r="AJ132"/>
  <c r="AJ458"/>
  <c r="AJ464" s="1"/>
  <c r="AJ85" s="1"/>
  <c r="AJ296"/>
  <c r="AJ302" s="1"/>
  <c r="AJ78" s="1"/>
  <c r="AJ321"/>
  <c r="AJ237"/>
  <c r="AJ363"/>
  <c r="AJ128"/>
  <c r="AJ426"/>
  <c r="AJ384"/>
  <c r="AJ275"/>
  <c r="AJ170"/>
  <c r="AJ401"/>
  <c r="AO38" i="119"/>
  <c r="W254"/>
  <c r="AD300"/>
  <c r="AI254"/>
  <c r="X300"/>
  <c r="U254" i="118"/>
  <c r="U321" i="117"/>
  <c r="U342"/>
  <c r="U128"/>
  <c r="U458"/>
  <c r="U174"/>
  <c r="U363"/>
  <c r="U405"/>
  <c r="U490"/>
  <c r="U132"/>
  <c r="U195"/>
  <c r="U474"/>
  <c r="U384"/>
  <c r="U191"/>
  <c r="U478"/>
  <c r="U149"/>
  <c r="U401"/>
  <c r="U111"/>
  <c r="U338"/>
  <c r="U237"/>
  <c r="U153"/>
  <c r="U426"/>
  <c r="U300"/>
  <c r="U170"/>
  <c r="U494"/>
  <c r="U107"/>
  <c r="U359"/>
  <c r="U279"/>
  <c r="U233"/>
  <c r="U258"/>
  <c r="U380"/>
  <c r="U422"/>
  <c r="U212"/>
  <c r="U462"/>
  <c r="U191" i="116"/>
  <c r="U279"/>
  <c r="U342"/>
  <c r="U426"/>
  <c r="U462"/>
  <c r="U233"/>
  <c r="U458"/>
  <c r="U216"/>
  <c r="U317"/>
  <c r="U490"/>
  <c r="U128"/>
  <c r="U401"/>
  <c r="U107"/>
  <c r="U300"/>
  <c r="U149"/>
  <c r="U153"/>
  <c r="U275"/>
  <c r="U380"/>
  <c r="U405"/>
  <c r="U363"/>
  <c r="U338"/>
  <c r="U195"/>
  <c r="U237"/>
  <c r="U494"/>
  <c r="U296"/>
  <c r="U170"/>
  <c r="U422"/>
  <c r="U258"/>
  <c r="U260" s="1"/>
  <c r="U76" s="1"/>
  <c r="U384"/>
  <c r="U359"/>
  <c r="U174"/>
  <c r="U132"/>
  <c r="U111"/>
  <c r="U474"/>
  <c r="U321"/>
  <c r="U478"/>
  <c r="U212"/>
  <c r="X212" i="118"/>
  <c r="X494"/>
  <c r="X275"/>
  <c r="X380"/>
  <c r="X153"/>
  <c r="X111"/>
  <c r="X233"/>
  <c r="X317"/>
  <c r="X296"/>
  <c r="X279"/>
  <c r="X191"/>
  <c r="X458"/>
  <c r="X338"/>
  <c r="X258"/>
  <c r="X260" s="1"/>
  <c r="X76" s="1"/>
  <c r="X216"/>
  <c r="X195"/>
  <c r="X300"/>
  <c r="X422"/>
  <c r="X363"/>
  <c r="X405"/>
  <c r="X490"/>
  <c r="X359"/>
  <c r="X174"/>
  <c r="X384"/>
  <c r="X401"/>
  <c r="X321"/>
  <c r="X128"/>
  <c r="X342"/>
  <c r="X474"/>
  <c r="X426"/>
  <c r="X237"/>
  <c r="X170"/>
  <c r="X478"/>
  <c r="X149"/>
  <c r="X132"/>
  <c r="X107"/>
  <c r="X462"/>
  <c r="AD478" i="121"/>
  <c r="AD321"/>
  <c r="AD153"/>
  <c r="AD174"/>
  <c r="AD258"/>
  <c r="AD191"/>
  <c r="AD300"/>
  <c r="AD132"/>
  <c r="AD426"/>
  <c r="AD422"/>
  <c r="AD380"/>
  <c r="AD233"/>
  <c r="AD279"/>
  <c r="AD107"/>
  <c r="AD363"/>
  <c r="AD275"/>
  <c r="AD490"/>
  <c r="AD128"/>
  <c r="AD296"/>
  <c r="AD302" s="1"/>
  <c r="AD78" s="1"/>
  <c r="AD405"/>
  <c r="AD384"/>
  <c r="AD170"/>
  <c r="AD458"/>
  <c r="AD494"/>
  <c r="AD359"/>
  <c r="AD342"/>
  <c r="AD462"/>
  <c r="AD474"/>
  <c r="AD317"/>
  <c r="AD216"/>
  <c r="AD237"/>
  <c r="AD111"/>
  <c r="AD338"/>
  <c r="AD254"/>
  <c r="AD401"/>
  <c r="AD212"/>
  <c r="AD149"/>
  <c r="AD195"/>
  <c r="AF458"/>
  <c r="AF170"/>
  <c r="AF132"/>
  <c r="AF321"/>
  <c r="AF384"/>
  <c r="AF426"/>
  <c r="AF422"/>
  <c r="AF216"/>
  <c r="AF494"/>
  <c r="AF153"/>
  <c r="AF296"/>
  <c r="AF174"/>
  <c r="AF300"/>
  <c r="AF237"/>
  <c r="AF359"/>
  <c r="AF342"/>
  <c r="AF478"/>
  <c r="AF258"/>
  <c r="AF401"/>
  <c r="AF195"/>
  <c r="AF462"/>
  <c r="AF275"/>
  <c r="AF128"/>
  <c r="AF134" s="1"/>
  <c r="AF70" s="1"/>
  <c r="AF490"/>
  <c r="AF405"/>
  <c r="AF107"/>
  <c r="AF111"/>
  <c r="AF279"/>
  <c r="AF363"/>
  <c r="AF212"/>
  <c r="AF474"/>
  <c r="AF254"/>
  <c r="AF380"/>
  <c r="AF386" s="1"/>
  <c r="AF82" s="1"/>
  <c r="AF149"/>
  <c r="AF155" s="1"/>
  <c r="AF71" s="1"/>
  <c r="AF233"/>
  <c r="AF317"/>
  <c r="AF323" s="1"/>
  <c r="AF79" s="1"/>
  <c r="AF191"/>
  <c r="AF338"/>
  <c r="R233" i="120"/>
  <c r="R174"/>
  <c r="R462"/>
  <c r="R338"/>
  <c r="R195"/>
  <c r="R474"/>
  <c r="R128"/>
  <c r="R279"/>
  <c r="R275"/>
  <c r="R258"/>
  <c r="R494"/>
  <c r="R401"/>
  <c r="R384"/>
  <c r="R342"/>
  <c r="R458"/>
  <c r="R191"/>
  <c r="R478"/>
  <c r="R132"/>
  <c r="R300"/>
  <c r="R237"/>
  <c r="R111"/>
  <c r="R405"/>
  <c r="R426"/>
  <c r="R153"/>
  <c r="R212"/>
  <c r="R216"/>
  <c r="R359"/>
  <c r="R296"/>
  <c r="R363"/>
  <c r="R380"/>
  <c r="R490"/>
  <c r="R321"/>
  <c r="R422"/>
  <c r="R317"/>
  <c r="R149"/>
  <c r="R107"/>
  <c r="R426" i="116"/>
  <c r="R401"/>
  <c r="R233"/>
  <c r="R490"/>
  <c r="R342"/>
  <c r="R153"/>
  <c r="R107"/>
  <c r="R363"/>
  <c r="R384"/>
  <c r="R494"/>
  <c r="R321"/>
  <c r="R300"/>
  <c r="R132"/>
  <c r="R462"/>
  <c r="R170"/>
  <c r="R458"/>
  <c r="R216"/>
  <c r="R279"/>
  <c r="R237"/>
  <c r="R296"/>
  <c r="R174"/>
  <c r="R191"/>
  <c r="R422"/>
  <c r="R478"/>
  <c r="R405"/>
  <c r="R149"/>
  <c r="R258"/>
  <c r="R111"/>
  <c r="R275"/>
  <c r="R474"/>
  <c r="R212"/>
  <c r="R128"/>
  <c r="R317"/>
  <c r="R338"/>
  <c r="R380"/>
  <c r="R195"/>
  <c r="R359"/>
  <c r="AB490" i="119"/>
  <c r="AB153"/>
  <c r="AB338"/>
  <c r="AB191"/>
  <c r="AB296"/>
  <c r="AB302" s="1"/>
  <c r="AB78" s="1"/>
  <c r="AB233"/>
  <c r="AB128"/>
  <c r="AB279"/>
  <c r="AB342"/>
  <c r="AB359"/>
  <c r="AB384"/>
  <c r="AB212"/>
  <c r="AB478"/>
  <c r="AB426"/>
  <c r="AB174"/>
  <c r="AB275"/>
  <c r="AB281" s="1"/>
  <c r="AB77" s="1"/>
  <c r="AB111"/>
  <c r="AB474"/>
  <c r="AB258"/>
  <c r="AB260" s="1"/>
  <c r="AB76" s="1"/>
  <c r="AB462"/>
  <c r="AB363"/>
  <c r="AB107"/>
  <c r="AB405"/>
  <c r="AB321"/>
  <c r="AB132"/>
  <c r="AB149"/>
  <c r="AB155" s="1"/>
  <c r="AB71" s="1"/>
  <c r="AB317"/>
  <c r="AB401"/>
  <c r="AB195"/>
  <c r="AB494"/>
  <c r="AB380"/>
  <c r="AB386" s="1"/>
  <c r="AB82" s="1"/>
  <c r="AB422"/>
  <c r="AB170"/>
  <c r="AB458"/>
  <c r="AB237"/>
  <c r="AB216"/>
  <c r="AO30" i="11"/>
  <c r="AP33"/>
  <c r="AP30" s="1"/>
  <c r="AG128" i="116"/>
  <c r="AG474"/>
  <c r="AG426"/>
  <c r="AG195"/>
  <c r="AG279"/>
  <c r="AG191"/>
  <c r="AG233"/>
  <c r="AG490"/>
  <c r="AG149"/>
  <c r="AG275"/>
  <c r="AG342"/>
  <c r="AG494"/>
  <c r="AG401"/>
  <c r="AG384"/>
  <c r="AG237"/>
  <c r="AG317"/>
  <c r="AG111"/>
  <c r="AG170"/>
  <c r="AG153"/>
  <c r="AG363"/>
  <c r="AG338"/>
  <c r="AG216"/>
  <c r="AG174"/>
  <c r="AG132"/>
  <c r="AG258"/>
  <c r="AG260" s="1"/>
  <c r="AG76" s="1"/>
  <c r="AG422"/>
  <c r="AG478"/>
  <c r="AG458"/>
  <c r="AG296"/>
  <c r="AG462"/>
  <c r="AG321"/>
  <c r="AG380"/>
  <c r="AG300"/>
  <c r="AG212"/>
  <c r="AG218" s="1"/>
  <c r="AG74" s="1"/>
  <c r="AG359"/>
  <c r="AG107"/>
  <c r="AG405"/>
  <c r="W359" i="118"/>
  <c r="W462"/>
  <c r="W275"/>
  <c r="W111"/>
  <c r="W153"/>
  <c r="W494"/>
  <c r="W174"/>
  <c r="W363"/>
  <c r="W338"/>
  <c r="W401"/>
  <c r="W422"/>
  <c r="W279"/>
  <c r="W300"/>
  <c r="W128"/>
  <c r="W405"/>
  <c r="W258"/>
  <c r="W260" s="1"/>
  <c r="W76" s="1"/>
  <c r="W474"/>
  <c r="W233"/>
  <c r="W296"/>
  <c r="W426"/>
  <c r="W380"/>
  <c r="W170"/>
  <c r="W216"/>
  <c r="W149"/>
  <c r="W458"/>
  <c r="W107"/>
  <c r="W321"/>
  <c r="W384"/>
  <c r="W490"/>
  <c r="W191"/>
  <c r="W212"/>
  <c r="W218" s="1"/>
  <c r="W74" s="1"/>
  <c r="W342"/>
  <c r="W132"/>
  <c r="W478"/>
  <c r="W317"/>
  <c r="W323" s="1"/>
  <c r="W79" s="1"/>
  <c r="W195"/>
  <c r="W237"/>
  <c r="AC384" i="121"/>
  <c r="AC422"/>
  <c r="AC321"/>
  <c r="AC490"/>
  <c r="AC275"/>
  <c r="AC174"/>
  <c r="AC494"/>
  <c r="AC426"/>
  <c r="AC153"/>
  <c r="AC300"/>
  <c r="AC401"/>
  <c r="AC380"/>
  <c r="AC258"/>
  <c r="AC107"/>
  <c r="AC170"/>
  <c r="AC254"/>
  <c r="AC342"/>
  <c r="AC279"/>
  <c r="AC478"/>
  <c r="AC363"/>
  <c r="AC237"/>
  <c r="AC132"/>
  <c r="AC212"/>
  <c r="AC359"/>
  <c r="AC365" s="1"/>
  <c r="AC81" s="1"/>
  <c r="AC296"/>
  <c r="AC405"/>
  <c r="AC111"/>
  <c r="AC474"/>
  <c r="AC128"/>
  <c r="AC216"/>
  <c r="AC462"/>
  <c r="AC149"/>
  <c r="AC317"/>
  <c r="AC195"/>
  <c r="AC233"/>
  <c r="AC458"/>
  <c r="AC338"/>
  <c r="AC344" s="1"/>
  <c r="AC80" s="1"/>
  <c r="AC191"/>
  <c r="AC197" s="1"/>
  <c r="AC73" s="1"/>
  <c r="V191" i="119"/>
  <c r="V474"/>
  <c r="V107"/>
  <c r="V494"/>
  <c r="V279"/>
  <c r="V490"/>
  <c r="V478"/>
  <c r="V128"/>
  <c r="V153"/>
  <c r="V422"/>
  <c r="V174"/>
  <c r="V338"/>
  <c r="V170"/>
  <c r="V258"/>
  <c r="V260" s="1"/>
  <c r="V76" s="1"/>
  <c r="V462"/>
  <c r="V363"/>
  <c r="V149"/>
  <c r="V155" s="1"/>
  <c r="V71" s="1"/>
  <c r="V426"/>
  <c r="V405"/>
  <c r="V275"/>
  <c r="V321"/>
  <c r="V401"/>
  <c r="V342"/>
  <c r="V216"/>
  <c r="V380"/>
  <c r="V359"/>
  <c r="V195"/>
  <c r="V317"/>
  <c r="V296"/>
  <c r="V302" s="1"/>
  <c r="V78" s="1"/>
  <c r="V111"/>
  <c r="V237"/>
  <c r="V233"/>
  <c r="V384"/>
  <c r="V212"/>
  <c r="V132"/>
  <c r="V458"/>
  <c r="AJ380"/>
  <c r="AJ317"/>
  <c r="AJ191"/>
  <c r="AJ128"/>
  <c r="AJ296"/>
  <c r="AJ302" s="1"/>
  <c r="AJ78" s="1"/>
  <c r="AJ478"/>
  <c r="AJ107"/>
  <c r="AJ279"/>
  <c r="AJ422"/>
  <c r="AJ338"/>
  <c r="AJ275"/>
  <c r="AJ342"/>
  <c r="AJ490"/>
  <c r="AJ359"/>
  <c r="AJ174"/>
  <c r="AJ426"/>
  <c r="AJ111"/>
  <c r="AJ212"/>
  <c r="AJ258"/>
  <c r="AJ260" s="1"/>
  <c r="AJ76" s="1"/>
  <c r="AJ132"/>
  <c r="AJ458"/>
  <c r="AJ149"/>
  <c r="AJ237"/>
  <c r="AJ153"/>
  <c r="AJ170"/>
  <c r="AJ384"/>
  <c r="AJ216"/>
  <c r="AJ401"/>
  <c r="AJ195"/>
  <c r="AJ462"/>
  <c r="AJ494"/>
  <c r="AJ233"/>
  <c r="AJ474"/>
  <c r="AJ363"/>
  <c r="AJ405"/>
  <c r="AJ321"/>
  <c r="AJ216" i="116"/>
  <c r="AJ212"/>
  <c r="AJ128"/>
  <c r="AJ317"/>
  <c r="AJ384"/>
  <c r="AJ474"/>
  <c r="AJ401"/>
  <c r="AJ296"/>
  <c r="AJ258"/>
  <c r="AJ458"/>
  <c r="AJ237"/>
  <c r="AJ490"/>
  <c r="AJ342"/>
  <c r="AJ107"/>
  <c r="AJ405"/>
  <c r="AJ426"/>
  <c r="AJ195"/>
  <c r="AJ279"/>
  <c r="AJ191"/>
  <c r="AJ462"/>
  <c r="AJ275"/>
  <c r="AJ149"/>
  <c r="AJ494"/>
  <c r="AJ153"/>
  <c r="AJ363"/>
  <c r="AJ338"/>
  <c r="AJ422"/>
  <c r="AJ478"/>
  <c r="AJ359"/>
  <c r="AJ132"/>
  <c r="AJ233"/>
  <c r="AJ111"/>
  <c r="AJ170"/>
  <c r="AJ321"/>
  <c r="AJ174"/>
  <c r="AJ300"/>
  <c r="AJ380"/>
  <c r="Y170" i="118"/>
  <c r="Y233"/>
  <c r="Y462"/>
  <c r="Y275"/>
  <c r="Y111"/>
  <c r="Y191"/>
  <c r="Y363"/>
  <c r="Y342"/>
  <c r="Y338"/>
  <c r="Y132"/>
  <c r="Y237"/>
  <c r="Y279"/>
  <c r="Y174"/>
  <c r="Y128"/>
  <c r="Y134" s="1"/>
  <c r="Y70" s="1"/>
  <c r="Y258"/>
  <c r="Y260" s="1"/>
  <c r="Y76" s="1"/>
  <c r="Y216"/>
  <c r="Y296"/>
  <c r="Y153"/>
  <c r="Y405"/>
  <c r="Y212"/>
  <c r="Y218" s="1"/>
  <c r="Y74" s="1"/>
  <c r="Y474"/>
  <c r="Y422"/>
  <c r="Y149"/>
  <c r="Y401"/>
  <c r="Y195"/>
  <c r="Y426"/>
  <c r="Y300"/>
  <c r="Y494"/>
  <c r="Y317"/>
  <c r="Y384"/>
  <c r="Y490"/>
  <c r="Y107"/>
  <c r="Y321"/>
  <c r="Y458"/>
  <c r="Y478"/>
  <c r="Y359"/>
  <c r="Y380"/>
  <c r="AH258" i="121"/>
  <c r="AH321"/>
  <c r="AH426"/>
  <c r="AH153"/>
  <c r="AH128"/>
  <c r="AH380"/>
  <c r="AH170"/>
  <c r="AH174"/>
  <c r="AH401"/>
  <c r="AH275"/>
  <c r="AH494"/>
  <c r="AH254"/>
  <c r="AH384"/>
  <c r="AH132"/>
  <c r="AH195"/>
  <c r="AH212"/>
  <c r="AH237"/>
  <c r="AH422"/>
  <c r="AH216"/>
  <c r="AH233"/>
  <c r="AH363"/>
  <c r="AH300"/>
  <c r="AH342"/>
  <c r="AH296"/>
  <c r="AH359"/>
  <c r="AH365" s="1"/>
  <c r="AH81" s="1"/>
  <c r="AH111"/>
  <c r="AH317"/>
  <c r="AH149"/>
  <c r="AH155" s="1"/>
  <c r="AH71" s="1"/>
  <c r="AH474"/>
  <c r="AH191"/>
  <c r="AH405"/>
  <c r="AH107"/>
  <c r="AH338"/>
  <c r="AH478"/>
  <c r="AH462"/>
  <c r="AH490"/>
  <c r="AH279"/>
  <c r="AH458"/>
  <c r="AJ422" i="28"/>
  <c r="AF254" i="119"/>
  <c r="W300"/>
  <c r="AF300"/>
  <c r="AD254"/>
  <c r="R254" i="118"/>
  <c r="AC254"/>
  <c r="AS501" i="117"/>
  <c r="AS501" i="120"/>
  <c r="AS501" i="28"/>
  <c r="AS501" i="119"/>
  <c r="AS501" i="116"/>
  <c r="AS501" i="118"/>
  <c r="AS501" i="121"/>
  <c r="U275"/>
  <c r="U128"/>
  <c r="U321"/>
  <c r="U384"/>
  <c r="U170"/>
  <c r="U363"/>
  <c r="U474"/>
  <c r="U426"/>
  <c r="U153"/>
  <c r="U422"/>
  <c r="U380"/>
  <c r="U279"/>
  <c r="U237"/>
  <c r="U494"/>
  <c r="U478"/>
  <c r="U174"/>
  <c r="U296"/>
  <c r="U458"/>
  <c r="U195"/>
  <c r="U359"/>
  <c r="U111"/>
  <c r="U216"/>
  <c r="U107"/>
  <c r="U338"/>
  <c r="U258"/>
  <c r="U132"/>
  <c r="U401"/>
  <c r="U233"/>
  <c r="U254"/>
  <c r="U490"/>
  <c r="U496" s="1"/>
  <c r="U87" s="1"/>
  <c r="U342"/>
  <c r="U149"/>
  <c r="U462"/>
  <c r="U317"/>
  <c r="U300"/>
  <c r="U191"/>
  <c r="U405"/>
  <c r="U212"/>
  <c r="U218" s="1"/>
  <c r="U74" s="1"/>
  <c r="AI107"/>
  <c r="AI342"/>
  <c r="AI384"/>
  <c r="AI153"/>
  <c r="AI338"/>
  <c r="AI494"/>
  <c r="AI174"/>
  <c r="AI380"/>
  <c r="AI170"/>
  <c r="AI237"/>
  <c r="AI401"/>
  <c r="AI296"/>
  <c r="AI426"/>
  <c r="AI321"/>
  <c r="AI258"/>
  <c r="AI478"/>
  <c r="AI363"/>
  <c r="AI195"/>
  <c r="AI359"/>
  <c r="AI405"/>
  <c r="AI254"/>
  <c r="AI212"/>
  <c r="AI233"/>
  <c r="AI149"/>
  <c r="AI155" s="1"/>
  <c r="AI71" s="1"/>
  <c r="AI279"/>
  <c r="AI317"/>
  <c r="AI323" s="1"/>
  <c r="AI79" s="1"/>
  <c r="AI474"/>
  <c r="AI128"/>
  <c r="AI490"/>
  <c r="AI275"/>
  <c r="AI111"/>
  <c r="AI458"/>
  <c r="AI300"/>
  <c r="AI132"/>
  <c r="AI216"/>
  <c r="AI462"/>
  <c r="AI191"/>
  <c r="AI422"/>
  <c r="X384"/>
  <c r="X478"/>
  <c r="X426"/>
  <c r="X321"/>
  <c r="X174"/>
  <c r="X494"/>
  <c r="X153"/>
  <c r="X422"/>
  <c r="X363"/>
  <c r="X258"/>
  <c r="X191"/>
  <c r="X170"/>
  <c r="X296"/>
  <c r="X401"/>
  <c r="X405"/>
  <c r="X149"/>
  <c r="X317"/>
  <c r="X338"/>
  <c r="X279"/>
  <c r="X233"/>
  <c r="X458"/>
  <c r="X212"/>
  <c r="X275"/>
  <c r="X281" s="1"/>
  <c r="X77" s="1"/>
  <c r="X342"/>
  <c r="X107"/>
  <c r="X111"/>
  <c r="X462"/>
  <c r="X132"/>
  <c r="X195"/>
  <c r="X380"/>
  <c r="X490"/>
  <c r="X254"/>
  <c r="X474"/>
  <c r="X300"/>
  <c r="X237"/>
  <c r="X128"/>
  <c r="X134" s="1"/>
  <c r="X70" s="1"/>
  <c r="X359"/>
  <c r="X365" s="1"/>
  <c r="X81" s="1"/>
  <c r="X216"/>
  <c r="X342" i="116"/>
  <c r="X149"/>
  <c r="X490"/>
  <c r="X422"/>
  <c r="X426"/>
  <c r="X462"/>
  <c r="X170"/>
  <c r="X401"/>
  <c r="X296"/>
  <c r="X233"/>
  <c r="X128"/>
  <c r="X494"/>
  <c r="X321"/>
  <c r="X458"/>
  <c r="X464" s="1"/>
  <c r="X85" s="1"/>
  <c r="X275"/>
  <c r="X279"/>
  <c r="X237"/>
  <c r="X195"/>
  <c r="X363"/>
  <c r="X338"/>
  <c r="X317"/>
  <c r="X323" s="1"/>
  <c r="X79" s="1"/>
  <c r="X107"/>
  <c r="X478"/>
  <c r="X174"/>
  <c r="X258"/>
  <c r="X260" s="1"/>
  <c r="X76" s="1"/>
  <c r="X380"/>
  <c r="X405"/>
  <c r="X216"/>
  <c r="X132"/>
  <c r="X191"/>
  <c r="X197" s="1"/>
  <c r="X73" s="1"/>
  <c r="X111"/>
  <c r="X359"/>
  <c r="X212"/>
  <c r="X300"/>
  <c r="X474"/>
  <c r="X480" s="1"/>
  <c r="X86" s="1"/>
  <c r="X153"/>
  <c r="X384"/>
  <c r="AD462" i="28"/>
  <c r="AD111"/>
  <c r="AD342"/>
  <c r="AD279"/>
  <c r="AD258"/>
  <c r="AD260" s="1"/>
  <c r="AD76" s="1"/>
  <c r="AD405"/>
  <c r="AD407" s="1"/>
  <c r="AD83" s="1"/>
  <c r="AD174"/>
  <c r="AD176" s="1"/>
  <c r="AD72" s="1"/>
  <c r="AD317"/>
  <c r="AD426"/>
  <c r="AD428" s="1"/>
  <c r="AD84" s="1"/>
  <c r="AD237"/>
  <c r="AD195"/>
  <c r="AD128"/>
  <c r="AD474"/>
  <c r="AD191"/>
  <c r="AD132"/>
  <c r="AD363"/>
  <c r="AD490"/>
  <c r="AD478"/>
  <c r="AD300"/>
  <c r="AD275"/>
  <c r="AD281" s="1"/>
  <c r="AD77" s="1"/>
  <c r="AD107"/>
  <c r="AD149"/>
  <c r="AD380"/>
  <c r="AD153"/>
  <c r="AD384"/>
  <c r="AD458"/>
  <c r="AD338"/>
  <c r="AD296"/>
  <c r="AD216"/>
  <c r="AD233"/>
  <c r="AD239" s="1"/>
  <c r="AD75" s="1"/>
  <c r="AD359"/>
  <c r="AD212"/>
  <c r="AD494"/>
  <c r="AD321"/>
  <c r="AB254" i="118"/>
  <c r="AF426" i="28"/>
  <c r="AF428" s="1"/>
  <c r="AF84" s="1"/>
  <c r="AF153"/>
  <c r="AF174"/>
  <c r="AF176" s="1"/>
  <c r="AF72" s="1"/>
  <c r="AF111"/>
  <c r="AF195"/>
  <c r="AF191"/>
  <c r="AF279"/>
  <c r="AF494"/>
  <c r="AF237"/>
  <c r="AF405"/>
  <c r="AF407" s="1"/>
  <c r="AF83" s="1"/>
  <c r="AF258"/>
  <c r="AF380"/>
  <c r="AF149"/>
  <c r="AF296"/>
  <c r="AF490"/>
  <c r="AF363"/>
  <c r="AF212"/>
  <c r="AF300"/>
  <c r="AF216"/>
  <c r="AF384"/>
  <c r="AF233"/>
  <c r="AF239" s="1"/>
  <c r="AF75" s="1"/>
  <c r="AF359"/>
  <c r="AF317"/>
  <c r="AF107"/>
  <c r="AF113" s="1"/>
  <c r="AF69" s="1"/>
  <c r="AF275"/>
  <c r="AF462"/>
  <c r="AF342"/>
  <c r="AF458"/>
  <c r="AF474"/>
  <c r="AF132"/>
  <c r="AF338"/>
  <c r="AF344" s="1"/>
  <c r="AF80" s="1"/>
  <c r="AF321"/>
  <c r="AF128"/>
  <c r="AF478"/>
  <c r="R174"/>
  <c r="R258"/>
  <c r="R474"/>
  <c r="R296"/>
  <c r="R153"/>
  <c r="R384"/>
  <c r="R233"/>
  <c r="R494"/>
  <c r="R111"/>
  <c r="R342"/>
  <c r="R132"/>
  <c r="R338"/>
  <c r="R279"/>
  <c r="R275"/>
  <c r="R359"/>
  <c r="R107"/>
  <c r="R149"/>
  <c r="R458"/>
  <c r="R195"/>
  <c r="R405"/>
  <c r="R478"/>
  <c r="R490"/>
  <c r="R212"/>
  <c r="R128"/>
  <c r="R426"/>
  <c r="R191"/>
  <c r="R237"/>
  <c r="R216"/>
  <c r="R462"/>
  <c r="R363"/>
  <c r="R321"/>
  <c r="R317"/>
  <c r="R380"/>
  <c r="R300"/>
  <c r="R258" i="119"/>
  <c r="R490"/>
  <c r="R191"/>
  <c r="R174"/>
  <c r="R478"/>
  <c r="R279"/>
  <c r="R384"/>
  <c r="R296"/>
  <c r="R474"/>
  <c r="R342"/>
  <c r="R363"/>
  <c r="R317"/>
  <c r="R405"/>
  <c r="R275"/>
  <c r="R321"/>
  <c r="R216"/>
  <c r="R422"/>
  <c r="R111"/>
  <c r="R212"/>
  <c r="R494"/>
  <c r="R338"/>
  <c r="R458"/>
  <c r="R153"/>
  <c r="R462"/>
  <c r="R132"/>
  <c r="R359"/>
  <c r="R107"/>
  <c r="R149"/>
  <c r="R380"/>
  <c r="R170"/>
  <c r="R401"/>
  <c r="R195"/>
  <c r="R426"/>
  <c r="R233"/>
  <c r="R237"/>
  <c r="R128"/>
  <c r="AG363" i="121"/>
  <c r="AG426"/>
  <c r="AG258"/>
  <c r="AG422"/>
  <c r="AG359"/>
  <c r="AG365" s="1"/>
  <c r="AG81" s="1"/>
  <c r="AG321"/>
  <c r="AG254"/>
  <c r="AG260" s="1"/>
  <c r="AG76" s="1"/>
  <c r="AG170"/>
  <c r="AG401"/>
  <c r="AG128"/>
  <c r="AG384"/>
  <c r="AG153"/>
  <c r="AG478"/>
  <c r="AG212"/>
  <c r="AG279"/>
  <c r="AG338"/>
  <c r="AG405"/>
  <c r="AG149"/>
  <c r="AG174"/>
  <c r="AG275"/>
  <c r="AG237"/>
  <c r="AG494"/>
  <c r="AG490"/>
  <c r="AG233"/>
  <c r="AG458"/>
  <c r="AG474"/>
  <c r="AG296"/>
  <c r="AG132"/>
  <c r="AG342"/>
  <c r="AG462"/>
  <c r="AG107"/>
  <c r="AG195"/>
  <c r="AG216"/>
  <c r="AG191"/>
  <c r="AG317"/>
  <c r="AG300"/>
  <c r="AG380"/>
  <c r="AG111"/>
  <c r="W494" i="28"/>
  <c r="W111"/>
  <c r="W174"/>
  <c r="W176" s="1"/>
  <c r="W72" s="1"/>
  <c r="W195"/>
  <c r="W478"/>
  <c r="W405"/>
  <c r="W407" s="1"/>
  <c r="W83" s="1"/>
  <c r="W258"/>
  <c r="W260" s="1"/>
  <c r="W76" s="1"/>
  <c r="W107"/>
  <c r="W128"/>
  <c r="W342"/>
  <c r="W474"/>
  <c r="W279"/>
  <c r="W296"/>
  <c r="W132"/>
  <c r="W462"/>
  <c r="W384"/>
  <c r="W321"/>
  <c r="W458"/>
  <c r="W212"/>
  <c r="W300"/>
  <c r="W317"/>
  <c r="W323" s="1"/>
  <c r="W79" s="1"/>
  <c r="W237"/>
  <c r="W338"/>
  <c r="W380"/>
  <c r="W386" s="1"/>
  <c r="W82" s="1"/>
  <c r="W216"/>
  <c r="W363"/>
  <c r="W233"/>
  <c r="W359"/>
  <c r="W426"/>
  <c r="W428" s="1"/>
  <c r="W84" s="1"/>
  <c r="W275"/>
  <c r="W153"/>
  <c r="W490"/>
  <c r="W191"/>
  <c r="W149"/>
  <c r="AC216"/>
  <c r="AC342"/>
  <c r="AC258"/>
  <c r="AC260" s="1"/>
  <c r="AC76" s="1"/>
  <c r="AC300"/>
  <c r="AC153"/>
  <c r="AC296"/>
  <c r="AC275"/>
  <c r="AC149"/>
  <c r="AC490"/>
  <c r="AC195"/>
  <c r="AC107"/>
  <c r="AC359"/>
  <c r="AC212"/>
  <c r="AC218" s="1"/>
  <c r="AC74" s="1"/>
  <c r="AC111"/>
  <c r="AC128"/>
  <c r="AC237"/>
  <c r="AC279"/>
  <c r="AC426"/>
  <c r="AC191"/>
  <c r="AC317"/>
  <c r="AC462"/>
  <c r="AC494"/>
  <c r="AC132"/>
  <c r="AC384"/>
  <c r="AC233"/>
  <c r="AC321"/>
  <c r="AC380"/>
  <c r="AC338"/>
  <c r="AC478"/>
  <c r="AC363"/>
  <c r="AC458"/>
  <c r="AC174"/>
  <c r="AC176" s="1"/>
  <c r="AC72" s="1"/>
  <c r="AC405"/>
  <c r="AC407" s="1"/>
  <c r="AC83" s="1"/>
  <c r="AC474"/>
  <c r="AC474" i="116"/>
  <c r="AC128"/>
  <c r="AC426"/>
  <c r="AC462"/>
  <c r="AC490"/>
  <c r="AC258"/>
  <c r="AC260" s="1"/>
  <c r="AC76" s="1"/>
  <c r="AC191"/>
  <c r="AC494"/>
  <c r="AC422"/>
  <c r="AC401"/>
  <c r="AC237"/>
  <c r="AC380"/>
  <c r="AC149"/>
  <c r="AC478"/>
  <c r="AC363"/>
  <c r="AC338"/>
  <c r="AC321"/>
  <c r="AC458"/>
  <c r="AC342"/>
  <c r="AC233"/>
  <c r="AC170"/>
  <c r="AC359"/>
  <c r="AC107"/>
  <c r="AC174"/>
  <c r="AC153"/>
  <c r="AC317"/>
  <c r="AC275"/>
  <c r="AC216"/>
  <c r="AC384"/>
  <c r="AC132"/>
  <c r="AC212"/>
  <c r="AC296"/>
  <c r="AC405"/>
  <c r="AC111"/>
  <c r="AC300"/>
  <c r="AC195"/>
  <c r="AC279"/>
  <c r="V237" i="28"/>
  <c r="V111"/>
  <c r="V342"/>
  <c r="V405"/>
  <c r="V407" s="1"/>
  <c r="V83" s="1"/>
  <c r="V132"/>
  <c r="V462"/>
  <c r="V478"/>
  <c r="V258"/>
  <c r="V260" s="1"/>
  <c r="V76" s="1"/>
  <c r="V490"/>
  <c r="V153"/>
  <c r="V384"/>
  <c r="V363"/>
  <c r="V174"/>
  <c r="V176" s="1"/>
  <c r="V72" s="1"/>
  <c r="V474"/>
  <c r="V300"/>
  <c r="V195"/>
  <c r="V128"/>
  <c r="V134" s="1"/>
  <c r="V70" s="1"/>
  <c r="V275"/>
  <c r="V317"/>
  <c r="V494"/>
  <c r="V296"/>
  <c r="V279"/>
  <c r="V233"/>
  <c r="V359"/>
  <c r="V365" s="1"/>
  <c r="V81" s="1"/>
  <c r="V191"/>
  <c r="V149"/>
  <c r="V155" s="1"/>
  <c r="V71" s="1"/>
  <c r="V380"/>
  <c r="V386" s="1"/>
  <c r="V82" s="1"/>
  <c r="V338"/>
  <c r="V321"/>
  <c r="V458"/>
  <c r="V464" s="1"/>
  <c r="V85" s="1"/>
  <c r="V426"/>
  <c r="V216"/>
  <c r="V212"/>
  <c r="V107"/>
  <c r="V113" s="1"/>
  <c r="V69" s="1"/>
  <c r="AJ490" i="121"/>
  <c r="AJ321"/>
  <c r="AJ426"/>
  <c r="AJ478"/>
  <c r="AJ494"/>
  <c r="AJ170"/>
  <c r="AJ174"/>
  <c r="AJ128"/>
  <c r="AJ275"/>
  <c r="AJ384"/>
  <c r="AJ153"/>
  <c r="AJ422"/>
  <c r="AJ363"/>
  <c r="AJ296"/>
  <c r="AJ212"/>
  <c r="AJ359"/>
  <c r="AJ132"/>
  <c r="AJ401"/>
  <c r="AJ342"/>
  <c r="AJ149"/>
  <c r="AJ195"/>
  <c r="AJ191"/>
  <c r="AJ254"/>
  <c r="AJ474"/>
  <c r="AJ480" s="1"/>
  <c r="AJ86" s="1"/>
  <c r="AJ258"/>
  <c r="AJ405"/>
  <c r="AJ338"/>
  <c r="AJ344" s="1"/>
  <c r="AJ80" s="1"/>
  <c r="AJ380"/>
  <c r="AJ233"/>
  <c r="AJ237"/>
  <c r="AJ111"/>
  <c r="AJ107"/>
  <c r="AJ279"/>
  <c r="AJ317"/>
  <c r="AJ323" s="1"/>
  <c r="AJ79" s="1"/>
  <c r="AJ458"/>
  <c r="AJ300"/>
  <c r="AJ462"/>
  <c r="AJ216"/>
  <c r="Y111" i="28"/>
  <c r="Y174"/>
  <c r="Y176" s="1"/>
  <c r="Y72" s="1"/>
  <c r="Y342"/>
  <c r="Y191"/>
  <c r="Y132"/>
  <c r="Y338"/>
  <c r="Y405"/>
  <c r="Y407" s="1"/>
  <c r="Y83" s="1"/>
  <c r="Y195"/>
  <c r="Y380"/>
  <c r="Y458"/>
  <c r="Y363"/>
  <c r="Y321"/>
  <c r="Y128"/>
  <c r="Y134" s="1"/>
  <c r="Y70" s="1"/>
  <c r="Y494"/>
  <c r="Y490"/>
  <c r="Y258"/>
  <c r="Y478"/>
  <c r="Y107"/>
  <c r="Y153"/>
  <c r="Y317"/>
  <c r="Y323" s="1"/>
  <c r="Y79" s="1"/>
  <c r="Y279"/>
  <c r="Y296"/>
  <c r="Y237"/>
  <c r="Y474"/>
  <c r="Y426"/>
  <c r="Y428" s="1"/>
  <c r="Y84" s="1"/>
  <c r="Y462"/>
  <c r="Y149"/>
  <c r="Y155" s="1"/>
  <c r="Y71" s="1"/>
  <c r="Y384"/>
  <c r="Y275"/>
  <c r="Y281" s="1"/>
  <c r="Y77" s="1"/>
  <c r="Y359"/>
  <c r="Y300"/>
  <c r="Y233"/>
  <c r="Y216"/>
  <c r="Y212"/>
  <c r="Y296" i="119"/>
  <c r="Y302" s="1"/>
  <c r="Y78" s="1"/>
  <c r="Y342"/>
  <c r="Y149"/>
  <c r="Y191"/>
  <c r="Y422"/>
  <c r="Y279"/>
  <c r="Y490"/>
  <c r="Y216"/>
  <c r="Y174"/>
  <c r="Y426"/>
  <c r="Y321"/>
  <c r="Y405"/>
  <c r="Y153"/>
  <c r="Y233"/>
  <c r="Y478"/>
  <c r="Y384"/>
  <c r="Y363"/>
  <c r="Y132"/>
  <c r="Y458"/>
  <c r="Y258"/>
  <c r="Y260" s="1"/>
  <c r="Y76" s="1"/>
  <c r="Y212"/>
  <c r="Y401"/>
  <c r="Y494"/>
  <c r="Y338"/>
  <c r="Y380"/>
  <c r="Y359"/>
  <c r="Y462"/>
  <c r="Y317"/>
  <c r="Y128"/>
  <c r="Y275"/>
  <c r="Y281" s="1"/>
  <c r="Y77" s="1"/>
  <c r="Y237"/>
  <c r="Y107"/>
  <c r="Y474"/>
  <c r="Y195"/>
  <c r="Y170"/>
  <c r="Y111"/>
  <c r="AH111" i="28"/>
  <c r="AH195"/>
  <c r="AH174"/>
  <c r="AH176" s="1"/>
  <c r="AH72" s="1"/>
  <c r="AH494"/>
  <c r="AH212"/>
  <c r="AH258"/>
  <c r="AH260" s="1"/>
  <c r="AH76" s="1"/>
  <c r="AH153"/>
  <c r="AH490"/>
  <c r="AH496" s="1"/>
  <c r="AH87" s="1"/>
  <c r="AH128"/>
  <c r="AH237"/>
  <c r="AH149"/>
  <c r="AH155" s="1"/>
  <c r="AH71" s="1"/>
  <c r="AH474"/>
  <c r="AH478"/>
  <c r="AH107"/>
  <c r="AH296"/>
  <c r="AH216"/>
  <c r="AH321"/>
  <c r="AH275"/>
  <c r="AH317"/>
  <c r="AH191"/>
  <c r="AH300"/>
  <c r="AH380"/>
  <c r="AH132"/>
  <c r="AH338"/>
  <c r="AH384"/>
  <c r="AH363"/>
  <c r="AH458"/>
  <c r="AH426"/>
  <c r="AH405"/>
  <c r="AH407" s="1"/>
  <c r="AH83" s="1"/>
  <c r="AH462"/>
  <c r="AH359"/>
  <c r="AH342"/>
  <c r="AH279"/>
  <c r="AH233"/>
  <c r="AH239" s="1"/>
  <c r="AH75" s="1"/>
  <c r="AH422" i="116"/>
  <c r="AH317"/>
  <c r="AH128"/>
  <c r="AH212"/>
  <c r="AH342"/>
  <c r="AH338"/>
  <c r="AH279"/>
  <c r="AH275"/>
  <c r="AH107"/>
  <c r="AH426"/>
  <c r="AH401"/>
  <c r="AH195"/>
  <c r="AH462"/>
  <c r="AH478"/>
  <c r="AH296"/>
  <c r="AH258"/>
  <c r="AH260" s="1"/>
  <c r="AH76" s="1"/>
  <c r="AH191"/>
  <c r="AH405"/>
  <c r="AH216"/>
  <c r="AH170"/>
  <c r="AH458"/>
  <c r="AH464" s="1"/>
  <c r="AH85" s="1"/>
  <c r="AH490"/>
  <c r="AH149"/>
  <c r="AH111"/>
  <c r="AH321"/>
  <c r="AH233"/>
  <c r="AH384"/>
  <c r="AH153"/>
  <c r="AH359"/>
  <c r="AH494"/>
  <c r="AH237"/>
  <c r="AH363"/>
  <c r="AH474"/>
  <c r="AH380"/>
  <c r="AH174"/>
  <c r="AH132"/>
  <c r="AH300"/>
  <c r="E195" i="109"/>
  <c r="K54" i="1"/>
  <c r="L7" s="1"/>
  <c r="L16" i="109"/>
  <c r="E186" s="1"/>
  <c r="T54" i="1"/>
  <c r="U7" s="1"/>
  <c r="E198" i="109"/>
  <c r="U16"/>
  <c r="E189" s="1"/>
  <c r="E197"/>
  <c r="R16"/>
  <c r="E188" s="1"/>
  <c r="Q54" i="1"/>
  <c r="R7" s="1"/>
  <c r="E199" i="109"/>
  <c r="F199" s="1"/>
  <c r="W54" i="1"/>
  <c r="X7" s="1"/>
  <c r="X16" i="109"/>
  <c r="E190" s="1"/>
  <c r="E196"/>
  <c r="N54" i="1"/>
  <c r="O7" s="1"/>
  <c r="O16" i="109"/>
  <c r="E187" s="1"/>
  <c r="R26" i="116"/>
  <c r="H9" i="100"/>
  <c r="H10" s="1"/>
  <c r="AC26" i="116"/>
  <c r="AK281" i="119"/>
  <c r="AK77" s="1"/>
  <c r="AF26" i="116"/>
  <c r="S21" i="117"/>
  <c r="U20" i="118"/>
  <c r="R21" i="117"/>
  <c r="R19" i="116"/>
  <c r="AG26"/>
  <c r="V19" i="118"/>
  <c r="Y20" i="119"/>
  <c r="S23" i="117"/>
  <c r="D9" i="100"/>
  <c r="D10" s="1"/>
  <c r="C9"/>
  <c r="C10" s="1"/>
  <c r="F9"/>
  <c r="F10" s="1"/>
  <c r="Z113" i="116"/>
  <c r="Z69" s="1"/>
  <c r="AA113"/>
  <c r="AA69" s="1"/>
  <c r="AB19"/>
  <c r="E9" i="100"/>
  <c r="E10" s="1"/>
  <c r="G9"/>
  <c r="G10" s="1"/>
  <c r="AI113" i="116"/>
  <c r="AI69" s="1"/>
  <c r="AB23" i="118"/>
  <c r="AE19" i="28"/>
  <c r="T23" i="119"/>
  <c r="AC20"/>
  <c r="U19" i="116"/>
  <c r="T23" i="117"/>
  <c r="AE26" i="116"/>
  <c r="V20" i="119"/>
  <c r="AD26" i="116"/>
  <c r="X26"/>
  <c r="AH23"/>
  <c r="AE19" i="119"/>
  <c r="Y19" i="116"/>
  <c r="R23" i="117"/>
  <c r="AK20" i="119"/>
  <c r="S19" i="117"/>
  <c r="AB26" i="116"/>
  <c r="T21" i="28"/>
  <c r="AH20" i="119"/>
  <c r="R21" i="28"/>
  <c r="AA23" i="119"/>
  <c r="X21" i="28"/>
  <c r="AG20" i="119"/>
  <c r="AA20" i="118"/>
  <c r="AA281" i="119"/>
  <c r="AA77" s="1"/>
  <c r="T20" i="118"/>
  <c r="U21" i="28"/>
  <c r="S20" i="119"/>
  <c r="S20" i="118"/>
  <c r="Y21" i="28"/>
  <c r="AF21"/>
  <c r="AF20" i="119"/>
  <c r="AF20" i="28"/>
  <c r="AB21"/>
  <c r="X20" i="119"/>
  <c r="AB19"/>
  <c r="S260" i="118"/>
  <c r="S76" s="1"/>
  <c r="T19" i="119"/>
  <c r="AA20"/>
  <c r="AK134"/>
  <c r="AK70" s="1"/>
  <c r="T260" i="118"/>
  <c r="T76" s="1"/>
  <c r="AG23" i="116"/>
  <c r="T22" i="117"/>
  <c r="AD21" i="28"/>
  <c r="X23" i="118"/>
  <c r="T20" i="119"/>
  <c r="X19"/>
  <c r="AC23" i="116"/>
  <c r="AJ21" i="28"/>
  <c r="AE20" i="119"/>
  <c r="S21" i="118"/>
  <c r="AC21" i="28"/>
  <c r="S23" i="119"/>
  <c r="AA19"/>
  <c r="AB20"/>
  <c r="AJ20"/>
  <c r="AD20"/>
  <c r="AE23" i="116"/>
  <c r="U23"/>
  <c r="U22" i="118"/>
  <c r="AK260" i="119"/>
  <c r="AK76" s="1"/>
  <c r="AB20" i="28"/>
  <c r="T302" i="118"/>
  <c r="T78" s="1"/>
  <c r="AI20" i="119"/>
  <c r="Z20"/>
  <c r="W23" i="118"/>
  <c r="U20" i="119"/>
  <c r="T23" i="116"/>
  <c r="AH21" i="28"/>
  <c r="R19" i="119"/>
  <c r="AB23"/>
  <c r="V23"/>
  <c r="AF23" i="116"/>
  <c r="AK21" i="28"/>
  <c r="AC134" i="119"/>
  <c r="AC70" s="1"/>
  <c r="R23"/>
  <c r="AI21" i="28"/>
  <c r="Y23" i="119"/>
  <c r="U22" i="116"/>
  <c r="Y23"/>
  <c r="W23"/>
  <c r="AB22" i="118"/>
  <c r="AE21" i="28"/>
  <c r="R19"/>
  <c r="W19" i="119"/>
  <c r="W20"/>
  <c r="X19" i="116"/>
  <c r="S19" i="28"/>
  <c r="AI23" i="116"/>
  <c r="AB23"/>
  <c r="S23"/>
  <c r="AH20" i="28"/>
  <c r="AG21"/>
  <c r="X23" i="119"/>
  <c r="S19"/>
  <c r="Z20" i="28"/>
  <c r="Z22" i="118"/>
  <c r="U19" i="119"/>
  <c r="AI23"/>
  <c r="Z19"/>
  <c r="R23" i="118"/>
  <c r="AD23" i="119"/>
  <c r="AH23"/>
  <c r="AD20" i="28"/>
  <c r="AK19" i="119"/>
  <c r="AD23" i="116"/>
  <c r="Z23"/>
  <c r="AG23" i="119"/>
  <c r="V23" i="118"/>
  <c r="AK23" i="119"/>
  <c r="Z302" i="116"/>
  <c r="Z78" s="1"/>
  <c r="AA260" i="119"/>
  <c r="AA76" s="1"/>
  <c r="AI19"/>
  <c r="T23" i="118"/>
  <c r="AK20" i="28"/>
  <c r="S20"/>
  <c r="AC23" i="119"/>
  <c r="AE23"/>
  <c r="V22" i="28"/>
  <c r="X19" i="118"/>
  <c r="Z23"/>
  <c r="AA21" i="28"/>
  <c r="S19" i="118"/>
  <c r="AD19"/>
  <c r="R22" i="119"/>
  <c r="AI19" i="116"/>
  <c r="S22" i="117"/>
  <c r="X23" i="116"/>
  <c r="S22" i="118"/>
  <c r="Y23"/>
  <c r="AK302" i="119"/>
  <c r="AK78" s="1"/>
  <c r="V19"/>
  <c r="AH19"/>
  <c r="R20" i="118"/>
  <c r="AJ22" i="28"/>
  <c r="Y20"/>
  <c r="Z21"/>
  <c r="U23" i="119"/>
  <c r="W23"/>
  <c r="AF19"/>
  <c r="AF23"/>
  <c r="AF19" i="116"/>
  <c r="AD19"/>
  <c r="AD19" i="119"/>
  <c r="V19" i="116"/>
  <c r="V22" i="118"/>
  <c r="AA23" i="116"/>
  <c r="AK428" i="28"/>
  <c r="AK84" s="1"/>
  <c r="AD22" i="118"/>
  <c r="W22"/>
  <c r="AI20" i="28"/>
  <c r="S19" i="116"/>
  <c r="X134" i="119"/>
  <c r="X70" s="1"/>
  <c r="Z20" i="118"/>
  <c r="AG19" i="119"/>
  <c r="T20" i="28"/>
  <c r="T19"/>
  <c r="AE63" i="121"/>
  <c r="X22" i="28"/>
  <c r="AE20"/>
  <c r="S21"/>
  <c r="AB64" i="121"/>
  <c r="AA302" i="119"/>
  <c r="AA78" s="1"/>
  <c r="Y19" i="118"/>
  <c r="AH64" i="121"/>
  <c r="W63"/>
  <c r="AA20" i="28"/>
  <c r="Z23" i="119"/>
  <c r="R19" i="120"/>
  <c r="AE64" i="121"/>
  <c r="AU63"/>
  <c r="X407" i="28"/>
  <c r="X83" s="1"/>
  <c r="AC23" i="118"/>
  <c r="AB20"/>
  <c r="AC20"/>
  <c r="AB218" i="116"/>
  <c r="AB74" s="1"/>
  <c r="AC20" i="28"/>
  <c r="AJ23" i="119"/>
  <c r="AK407" i="28"/>
  <c r="AK83" s="1"/>
  <c r="AF22" i="119"/>
  <c r="X20" i="28"/>
  <c r="AC19" i="119"/>
  <c r="V428" i="28"/>
  <c r="V84" s="1"/>
  <c r="Y19" i="119"/>
  <c r="T22" i="28"/>
  <c r="S22" i="119"/>
  <c r="AA22" i="118"/>
  <c r="AC19" i="116"/>
  <c r="AO64" i="121"/>
  <c r="W22" i="119"/>
  <c r="S260" i="116"/>
  <c r="S76" s="1"/>
  <c r="AK176" i="28"/>
  <c r="AK72" s="1"/>
  <c r="AI19"/>
  <c r="E18" i="100"/>
  <c r="E19" s="1"/>
  <c r="E20" s="1"/>
  <c r="AQ64" i="121"/>
  <c r="AA19" i="118"/>
  <c r="R20" i="28"/>
  <c r="S23" i="118"/>
  <c r="W19"/>
  <c r="AG22" i="119"/>
  <c r="W19" i="116"/>
  <c r="AC22" i="28"/>
  <c r="AA428"/>
  <c r="AA84" s="1"/>
  <c r="Z22" i="119"/>
  <c r="U22" i="28"/>
  <c r="AJ20"/>
  <c r="V20"/>
  <c r="C18" i="100"/>
  <c r="C19" s="1"/>
  <c r="C20" s="1"/>
  <c r="C22" s="1"/>
  <c r="J36" i="1" s="1"/>
  <c r="I34" s="1"/>
  <c r="T22" i="118"/>
  <c r="W22" i="28"/>
  <c r="AC428"/>
  <c r="AC84" s="1"/>
  <c r="H18" i="100"/>
  <c r="H19" s="1"/>
  <c r="H20" s="1"/>
  <c r="AG22" i="28"/>
  <c r="T19" i="118"/>
  <c r="D18" i="100"/>
  <c r="D19" s="1"/>
  <c r="D20" s="1"/>
  <c r="D22" s="1"/>
  <c r="M36" i="1" s="1"/>
  <c r="L34" s="1"/>
  <c r="AU64" i="121"/>
  <c r="AD22" i="28"/>
  <c r="R21" i="120"/>
  <c r="X22" i="116"/>
  <c r="Z19"/>
  <c r="Y22" i="118"/>
  <c r="AG64" i="121"/>
  <c r="F18" i="100"/>
  <c r="F19" s="1"/>
  <c r="F20" s="1"/>
  <c r="AL64" i="121"/>
  <c r="R19" i="118"/>
  <c r="AH19" i="116"/>
  <c r="AB22" i="28"/>
  <c r="AI22"/>
  <c r="U64" i="121"/>
  <c r="AH428" i="28"/>
  <c r="AH84" s="1"/>
  <c r="U20"/>
  <c r="R22" i="116"/>
  <c r="X19" i="28"/>
  <c r="S22" i="120"/>
  <c r="AG20" i="28"/>
  <c r="G18" i="100"/>
  <c r="G19" s="1"/>
  <c r="G20" s="1"/>
  <c r="AA19" i="116"/>
  <c r="AE22" i="28"/>
  <c r="AQ63" i="121"/>
  <c r="Z63"/>
  <c r="Z22" i="116"/>
  <c r="AD23" i="118"/>
  <c r="AH63" i="121"/>
  <c r="AE19" i="116"/>
  <c r="AB22"/>
  <c r="AD64" i="121"/>
  <c r="AA407" i="28"/>
  <c r="AA83" s="1"/>
  <c r="AF22"/>
  <c r="R22" i="117"/>
  <c r="AF63" i="121"/>
  <c r="AC19" i="118"/>
  <c r="N26" i="121"/>
  <c r="AC22" i="118"/>
  <c r="W20" i="28"/>
  <c r="AG260"/>
  <c r="AG76" s="1"/>
  <c r="R23"/>
  <c r="R22" i="120"/>
  <c r="N50" i="28"/>
  <c r="AA64" i="121"/>
  <c r="AL63"/>
  <c r="AD22" i="119"/>
  <c r="X63" i="121"/>
  <c r="W64"/>
  <c r="AA22" i="28"/>
  <c r="U344"/>
  <c r="U80" s="1"/>
  <c r="AK22"/>
  <c r="R22" i="118"/>
  <c r="S22" i="28"/>
  <c r="AF64" i="121"/>
  <c r="AG63"/>
  <c r="AO63"/>
  <c r="X22" i="118"/>
  <c r="Z22" i="28"/>
  <c r="AH22"/>
  <c r="Z19" i="118"/>
  <c r="AE22" i="119"/>
  <c r="AN64" i="121"/>
  <c r="AF22" i="116"/>
  <c r="T22"/>
  <c r="V23"/>
  <c r="N62" i="121"/>
  <c r="AS63"/>
  <c r="R22" i="28"/>
  <c r="AC64" i="121"/>
  <c r="AB22" i="119"/>
  <c r="V22"/>
  <c r="AP64" i="121"/>
  <c r="Y23" i="28"/>
  <c r="Y22"/>
  <c r="AK19"/>
  <c r="U23"/>
  <c r="S23"/>
  <c r="T22" i="119"/>
  <c r="AG19" i="116"/>
  <c r="AF19" i="28"/>
  <c r="U22" i="119"/>
  <c r="AA19" i="28"/>
  <c r="AJ64" i="121"/>
  <c r="X22" i="119"/>
  <c r="AA260" i="116"/>
  <c r="AA76" s="1"/>
  <c r="T63" i="121"/>
  <c r="AC65" i="116"/>
  <c r="AK63" i="121"/>
  <c r="Z64"/>
  <c r="Z23" i="28"/>
  <c r="AG23"/>
  <c r="AJ260"/>
  <c r="AJ76" s="1"/>
  <c r="N51" i="119"/>
  <c r="N46"/>
  <c r="AT64" i="121"/>
  <c r="AT65" i="119"/>
  <c r="AT90" s="1"/>
  <c r="AJ22"/>
  <c r="AC22" i="116"/>
  <c r="AI64" i="121"/>
  <c r="V65" i="119"/>
  <c r="AJ19" i="28"/>
  <c r="U19"/>
  <c r="AN65" i="119"/>
  <c r="AN90" s="1"/>
  <c r="T64" i="121"/>
  <c r="AE65" i="116"/>
  <c r="AS65" i="28"/>
  <c r="AS90" s="1"/>
  <c r="AT63" i="121"/>
  <c r="N21"/>
  <c r="W65" i="28"/>
  <c r="AE65"/>
  <c r="AM64" i="121"/>
  <c r="AM63"/>
  <c r="AB65" i="28"/>
  <c r="AA65"/>
  <c r="U63" i="121"/>
  <c r="AI22" i="119"/>
  <c r="AG65" i="28"/>
  <c r="U65" i="119"/>
  <c r="Y22"/>
  <c r="R14" i="120"/>
  <c r="AP63" i="121"/>
  <c r="Y19" i="28"/>
  <c r="AF65" i="119"/>
  <c r="W65" i="118"/>
  <c r="AC65"/>
  <c r="AI63" i="121"/>
  <c r="X64"/>
  <c r="AN63"/>
  <c r="N26" i="119"/>
  <c r="X65" i="116"/>
  <c r="AG176" i="28"/>
  <c r="AG72" s="1"/>
  <c r="AG19"/>
  <c r="AA65" i="119"/>
  <c r="S65"/>
  <c r="Z65"/>
  <c r="W22" i="116"/>
  <c r="S65"/>
  <c r="N22" i="121"/>
  <c r="X65" i="118"/>
  <c r="AC65" i="28"/>
  <c r="AR65" i="119"/>
  <c r="AR90" s="1"/>
  <c r="V19" i="28"/>
  <c r="AD63" i="121"/>
  <c r="W19" i="28"/>
  <c r="V65"/>
  <c r="AK260"/>
  <c r="AK76" s="1"/>
  <c r="AI65"/>
  <c r="AE23"/>
  <c r="AG65" i="119"/>
  <c r="N21"/>
  <c r="S65" i="28"/>
  <c r="N47"/>
  <c r="X65"/>
  <c r="AC63" i="121"/>
  <c r="S63"/>
  <c r="R65" i="120"/>
  <c r="AD23" i="28"/>
  <c r="AB65" i="118"/>
  <c r="Y65" i="116"/>
  <c r="AG22"/>
  <c r="V22"/>
  <c r="Z260"/>
  <c r="Z76" s="1"/>
  <c r="Z24"/>
  <c r="N19" i="121"/>
  <c r="AC19" i="28"/>
  <c r="U65" i="116"/>
  <c r="AJ65" i="28"/>
  <c r="AJ65" i="119"/>
  <c r="V65" i="118"/>
  <c r="R14" i="119"/>
  <c r="N10"/>
  <c r="N14" s="1"/>
  <c r="T65" i="117"/>
  <c r="AA22" i="116"/>
  <c r="AF65" i="28"/>
  <c r="AA65" i="118"/>
  <c r="AU65" i="119"/>
  <c r="AH65"/>
  <c r="Y65"/>
  <c r="AR65" i="28"/>
  <c r="AR90" s="1"/>
  <c r="AO65" i="119"/>
  <c r="AO90" s="1"/>
  <c r="S64" i="121"/>
  <c r="AP65" i="119"/>
  <c r="AP90" s="1"/>
  <c r="AK65"/>
  <c r="AF65" i="116"/>
  <c r="Y65" i="28"/>
  <c r="Z19"/>
  <c r="AE65" i="119"/>
  <c r="AB63" i="121"/>
  <c r="AH22" i="119"/>
  <c r="Y63" i="121"/>
  <c r="AT65" i="28"/>
  <c r="AO65"/>
  <c r="AO90" s="1"/>
  <c r="AQ65"/>
  <c r="AQ90" s="1"/>
  <c r="R64" i="121"/>
  <c r="AS64"/>
  <c r="T23" i="28"/>
  <c r="AD19"/>
  <c r="AJ63" i="121"/>
  <c r="Z65" i="28"/>
  <c r="AD65" i="119"/>
  <c r="V64" i="121"/>
  <c r="AP65" i="28"/>
  <c r="AP90" s="1"/>
  <c r="AK23"/>
  <c r="AE22" i="116"/>
  <c r="Y22"/>
  <c r="R65" i="118"/>
  <c r="W65" i="119"/>
  <c r="AD65" i="118"/>
  <c r="Y64" i="121"/>
  <c r="Z65" i="116"/>
  <c r="T65" i="118"/>
  <c r="AA22" i="119"/>
  <c r="AC22"/>
  <c r="AM65"/>
  <c r="AM90" s="1"/>
  <c r="AI65"/>
  <c r="AK22"/>
  <c r="AH65" i="28"/>
  <c r="U65"/>
  <c r="AC65" i="119"/>
  <c r="AI22" i="116"/>
  <c r="N54" i="119"/>
  <c r="W65" i="116"/>
  <c r="R65" i="119"/>
  <c r="N49"/>
  <c r="AL65" i="28"/>
  <c r="N32" i="121"/>
  <c r="AA63"/>
  <c r="AK65" i="28"/>
  <c r="T65" i="119"/>
  <c r="AB65"/>
  <c r="AQ65"/>
  <c r="AQ90" s="1"/>
  <c r="V63" i="121"/>
  <c r="AK64"/>
  <c r="AS65" i="119"/>
  <c r="AS90" s="1"/>
  <c r="AH22" i="116"/>
  <c r="X65" i="119"/>
  <c r="R14" i="118"/>
  <c r="V65" i="116"/>
  <c r="AH19" i="28"/>
  <c r="S65" i="118"/>
  <c r="S65" i="117"/>
  <c r="R14" i="116"/>
  <c r="N61" i="121"/>
  <c r="R63"/>
  <c r="AD65" i="28"/>
  <c r="Z65" i="118"/>
  <c r="R65" i="117"/>
  <c r="R14" i="28"/>
  <c r="N20" i="121"/>
  <c r="AR63"/>
  <c r="AR64"/>
  <c r="S65" i="120"/>
  <c r="AM65" i="28"/>
  <c r="AM90" s="1"/>
  <c r="N60" i="119"/>
  <c r="N32"/>
  <c r="AB65" i="116"/>
  <c r="AD22"/>
  <c r="AD260"/>
  <c r="AD76" s="1"/>
  <c r="U65" i="118"/>
  <c r="AB23" i="28"/>
  <c r="T65" i="116"/>
  <c r="N48" i="28"/>
  <c r="R14" i="117"/>
  <c r="AA65" i="116"/>
  <c r="Y65" i="118"/>
  <c r="AI65" i="116"/>
  <c r="R65"/>
  <c r="AB19" i="28"/>
  <c r="T65"/>
  <c r="N46"/>
  <c r="E19" i="8"/>
  <c r="E28"/>
  <c r="E30"/>
  <c r="E24"/>
  <c r="E20"/>
  <c r="E26"/>
  <c r="E22"/>
  <c r="E21"/>
  <c r="E23"/>
  <c r="E29"/>
  <c r="E25"/>
  <c r="E17"/>
  <c r="E18"/>
  <c r="E27"/>
  <c r="E15"/>
  <c r="I20"/>
  <c r="K27"/>
  <c r="I17"/>
  <c r="E12"/>
  <c r="K74" i="109"/>
  <c r="I15" i="8"/>
  <c r="E16"/>
  <c r="E14"/>
  <c r="I75" i="109"/>
  <c r="I26" i="8"/>
  <c r="I12"/>
  <c r="K75" i="109"/>
  <c r="K73"/>
  <c r="K28" i="8"/>
  <c r="K76" i="109"/>
  <c r="E13" i="8"/>
  <c r="K77" i="109"/>
  <c r="AU45" i="28" l="1"/>
  <c r="AU10"/>
  <c r="AU106"/>
  <c r="AU107"/>
  <c r="AU132"/>
  <c r="AU150"/>
  <c r="AU190"/>
  <c r="AU211"/>
  <c r="AU232"/>
  <c r="AU253"/>
  <c r="AU274"/>
  <c r="AU295"/>
  <c r="AU316"/>
  <c r="AU337"/>
  <c r="AU358"/>
  <c r="AU379"/>
  <c r="AU400"/>
  <c r="AU421"/>
  <c r="AU457"/>
  <c r="AU473"/>
  <c r="AU489"/>
  <c r="AU169"/>
  <c r="AU128"/>
  <c r="AU153"/>
  <c r="AU171"/>
  <c r="AU192"/>
  <c r="AU213"/>
  <c r="AU234"/>
  <c r="AU255"/>
  <c r="AU276"/>
  <c r="AU297"/>
  <c r="AU318"/>
  <c r="AU339"/>
  <c r="AU360"/>
  <c r="AU381"/>
  <c r="AU402"/>
  <c r="AU423"/>
  <c r="AU459"/>
  <c r="AU475"/>
  <c r="AU491"/>
  <c r="AU148"/>
  <c r="AU108"/>
  <c r="AU149"/>
  <c r="AU174"/>
  <c r="AU195"/>
  <c r="AU216"/>
  <c r="AU237"/>
  <c r="AU258"/>
  <c r="AU279"/>
  <c r="AU300"/>
  <c r="AU321"/>
  <c r="AU342"/>
  <c r="AU363"/>
  <c r="AU384"/>
  <c r="AU405"/>
  <c r="AU426"/>
  <c r="AU462"/>
  <c r="AU478"/>
  <c r="AU494"/>
  <c r="AU127"/>
  <c r="AU111"/>
  <c r="AU31" s="1"/>
  <c r="AU129"/>
  <c r="AU170"/>
  <c r="AU191"/>
  <c r="AU212"/>
  <c r="AU233"/>
  <c r="AU254"/>
  <c r="AU275"/>
  <c r="AU296"/>
  <c r="AU317"/>
  <c r="AU338"/>
  <c r="AU359"/>
  <c r="AU380"/>
  <c r="AU401"/>
  <c r="AU422"/>
  <c r="AU458"/>
  <c r="AU474"/>
  <c r="AU490"/>
  <c r="AU418"/>
  <c r="AU463"/>
  <c r="AU495"/>
  <c r="AU419"/>
  <c r="AU487"/>
  <c r="AU229"/>
  <c r="AU469"/>
  <c r="AU340"/>
  <c r="AU256"/>
  <c r="AU172"/>
  <c r="AU315"/>
  <c r="AU147"/>
  <c r="AU382"/>
  <c r="AU291"/>
  <c r="AU207"/>
  <c r="AU123"/>
  <c r="AU378"/>
  <c r="AU210"/>
  <c r="AU187"/>
  <c r="AU294"/>
  <c r="AU125"/>
  <c r="AU277"/>
  <c r="AU235"/>
  <c r="AU144"/>
  <c r="AU334"/>
  <c r="AU273"/>
  <c r="AU486"/>
  <c r="AU250"/>
  <c r="AU126"/>
  <c r="AU470"/>
  <c r="AU485"/>
  <c r="AU420"/>
  <c r="AU453"/>
  <c r="AU364"/>
  <c r="AU252"/>
  <c r="AU479"/>
  <c r="AU361"/>
  <c r="AU272"/>
  <c r="AU188"/>
  <c r="AU104"/>
  <c r="AU208"/>
  <c r="AU397"/>
  <c r="AU298"/>
  <c r="AU214"/>
  <c r="AU130"/>
  <c r="AU406"/>
  <c r="AU322"/>
  <c r="AU335"/>
  <c r="AU417"/>
  <c r="AU151"/>
  <c r="AU189"/>
  <c r="AU251"/>
  <c r="AU319"/>
  <c r="AU377"/>
  <c r="AU312"/>
  <c r="AU323" s="1"/>
  <c r="AU79" s="1"/>
  <c r="AU109"/>
  <c r="AU270"/>
  <c r="AU238"/>
  <c r="AU488"/>
  <c r="AU492"/>
  <c r="AU454"/>
  <c r="AU460"/>
  <c r="AU396"/>
  <c r="AU313"/>
  <c r="AU145"/>
  <c r="AU385"/>
  <c r="AU301"/>
  <c r="AU217"/>
  <c r="AU133"/>
  <c r="AU231"/>
  <c r="AU455"/>
  <c r="AU314"/>
  <c r="AU230"/>
  <c r="AU146"/>
  <c r="AU424"/>
  <c r="AU343"/>
  <c r="AU39"/>
  <c r="AU476"/>
  <c r="AU167"/>
  <c r="AU271"/>
  <c r="AU280"/>
  <c r="AU103"/>
  <c r="AU102"/>
  <c r="AU354"/>
  <c r="AU166"/>
  <c r="AU355"/>
  <c r="AU154"/>
  <c r="AU357"/>
  <c r="AU472"/>
  <c r="AU471"/>
  <c r="AU403"/>
  <c r="AU336"/>
  <c r="AU168"/>
  <c r="AU399"/>
  <c r="AU333"/>
  <c r="AU344" s="1"/>
  <c r="AU80" s="1"/>
  <c r="AU249"/>
  <c r="AU260" s="1"/>
  <c r="AU76" s="1"/>
  <c r="AU165"/>
  <c r="AU292"/>
  <c r="AU124"/>
  <c r="AU375"/>
  <c r="AU259"/>
  <c r="AU175"/>
  <c r="AU456"/>
  <c r="AU356"/>
  <c r="AU112"/>
  <c r="AU105"/>
  <c r="AU22" s="1"/>
  <c r="AU196"/>
  <c r="AU293"/>
  <c r="AU398"/>
  <c r="AU209"/>
  <c r="AU228"/>
  <c r="AU239" s="1"/>
  <c r="AU75" s="1"/>
  <c r="AU427"/>
  <c r="AU186"/>
  <c r="AU376"/>
  <c r="AU193"/>
  <c r="R513" i="116"/>
  <c r="R513" i="117"/>
  <c r="R513" i="118"/>
  <c r="R513" i="119"/>
  <c r="R513" i="120"/>
  <c r="R513" i="28"/>
  <c r="R513" i="121"/>
  <c r="U482" i="120"/>
  <c r="U409"/>
  <c r="U351"/>
  <c r="U450"/>
  <c r="U241"/>
  <c r="U267"/>
  <c r="U94"/>
  <c r="U199"/>
  <c r="U141"/>
  <c r="U309"/>
  <c r="U388"/>
  <c r="U42"/>
  <c r="U67" s="1"/>
  <c r="U499"/>
  <c r="U440"/>
  <c r="U414"/>
  <c r="U430"/>
  <c r="U367"/>
  <c r="U325"/>
  <c r="U393"/>
  <c r="U304"/>
  <c r="U225"/>
  <c r="U120"/>
  <c r="U183"/>
  <c r="U466"/>
  <c r="U288"/>
  <c r="U445"/>
  <c r="U246"/>
  <c r="U204"/>
  <c r="U99"/>
  <c r="U157"/>
  <c r="U115"/>
  <c r="U162"/>
  <c r="V8"/>
  <c r="U283"/>
  <c r="U503"/>
  <c r="U372"/>
  <c r="U507"/>
  <c r="U508" s="1"/>
  <c r="U509" s="1"/>
  <c r="U330"/>
  <c r="U435"/>
  <c r="U220"/>
  <c r="U346"/>
  <c r="U178"/>
  <c r="U136"/>
  <c r="U16"/>
  <c r="U262"/>
  <c r="U96"/>
  <c r="U222"/>
  <c r="U51" s="1"/>
  <c r="U117"/>
  <c r="U46" s="1"/>
  <c r="U390"/>
  <c r="U59" s="1"/>
  <c r="U159"/>
  <c r="U48" s="1"/>
  <c r="U138"/>
  <c r="U47" s="1"/>
  <c r="U437"/>
  <c r="U62" s="1"/>
  <c r="U442"/>
  <c r="U63" s="1"/>
  <c r="U243"/>
  <c r="U52" s="1"/>
  <c r="U327"/>
  <c r="U56" s="1"/>
  <c r="U432"/>
  <c r="U61" s="1"/>
  <c r="U447"/>
  <c r="U64" s="1"/>
  <c r="U369"/>
  <c r="U58" s="1"/>
  <c r="U180"/>
  <c r="U49" s="1"/>
  <c r="U411"/>
  <c r="U60" s="1"/>
  <c r="U264"/>
  <c r="U53" s="1"/>
  <c r="U285"/>
  <c r="U54" s="1"/>
  <c r="U348"/>
  <c r="U57" s="1"/>
  <c r="U306"/>
  <c r="U55" s="1"/>
  <c r="U201"/>
  <c r="U50" s="1"/>
  <c r="V499" i="117"/>
  <c r="V304"/>
  <c r="V435"/>
  <c r="V288"/>
  <c r="V445"/>
  <c r="V220"/>
  <c r="V94"/>
  <c r="V372"/>
  <c r="V414"/>
  <c r="V120"/>
  <c r="V99"/>
  <c r="V241"/>
  <c r="V388"/>
  <c r="V367"/>
  <c r="V325"/>
  <c r="V262"/>
  <c r="V178"/>
  <c r="V16"/>
  <c r="V141"/>
  <c r="V430"/>
  <c r="V466"/>
  <c r="V225"/>
  <c r="V450"/>
  <c r="V482"/>
  <c r="V267"/>
  <c r="V42"/>
  <c r="V67" s="1"/>
  <c r="V330"/>
  <c r="V309"/>
  <c r="V204"/>
  <c r="V115"/>
  <c r="V157"/>
  <c r="W8"/>
  <c r="V199"/>
  <c r="V507"/>
  <c r="V508" s="1"/>
  <c r="V509" s="1"/>
  <c r="V503"/>
  <c r="V393"/>
  <c r="V351"/>
  <c r="V162"/>
  <c r="V440"/>
  <c r="V136"/>
  <c r="V246"/>
  <c r="V346"/>
  <c r="V283"/>
  <c r="V183"/>
  <c r="V409"/>
  <c r="V264"/>
  <c r="V53" s="1"/>
  <c r="V159"/>
  <c r="V48" s="1"/>
  <c r="V437"/>
  <c r="V62" s="1"/>
  <c r="V369"/>
  <c r="V58" s="1"/>
  <c r="V138"/>
  <c r="V47" s="1"/>
  <c r="V390"/>
  <c r="V59" s="1"/>
  <c r="V222"/>
  <c r="V51" s="1"/>
  <c r="V348"/>
  <c r="V57" s="1"/>
  <c r="V117"/>
  <c r="V46" s="1"/>
  <c r="V327"/>
  <c r="V56" s="1"/>
  <c r="V432"/>
  <c r="V61" s="1"/>
  <c r="V306"/>
  <c r="V55" s="1"/>
  <c r="V411"/>
  <c r="V60" s="1"/>
  <c r="V285"/>
  <c r="V54" s="1"/>
  <c r="V243"/>
  <c r="V52" s="1"/>
  <c r="V96"/>
  <c r="V442"/>
  <c r="V63" s="1"/>
  <c r="V447"/>
  <c r="V64" s="1"/>
  <c r="V180"/>
  <c r="V49" s="1"/>
  <c r="V201"/>
  <c r="V50" s="1"/>
  <c r="AJ217" i="116"/>
  <c r="AJ235"/>
  <c r="AJ403"/>
  <c r="AJ402"/>
  <c r="AJ381"/>
  <c r="AJ491"/>
  <c r="AJ277"/>
  <c r="AJ255"/>
  <c r="AJ485"/>
  <c r="AJ357"/>
  <c r="AJ238"/>
  <c r="AJ382"/>
  <c r="AJ301"/>
  <c r="AJ453"/>
  <c r="AJ259"/>
  <c r="AJ385"/>
  <c r="AJ193"/>
  <c r="AJ486"/>
  <c r="AJ334"/>
  <c r="AJ150"/>
  <c r="AJ230"/>
  <c r="AJ460"/>
  <c r="AJ251"/>
  <c r="AJ476"/>
  <c r="AJ276"/>
  <c r="AJ252"/>
  <c r="AJ192"/>
  <c r="AJ420"/>
  <c r="AJ214"/>
  <c r="AJ488"/>
  <c r="AJ188"/>
  <c r="AJ292"/>
  <c r="AJ108"/>
  <c r="AJ123"/>
  <c r="AJ455"/>
  <c r="AJ147"/>
  <c r="AJ471"/>
  <c r="AJ427"/>
  <c r="AJ313"/>
  <c r="AJ318"/>
  <c r="AJ208"/>
  <c r="AJ127"/>
  <c r="AJ250"/>
  <c r="AJ167"/>
  <c r="AJ130"/>
  <c r="AJ210"/>
  <c r="AJ340"/>
  <c r="AJ315"/>
  <c r="AJ187"/>
  <c r="AJ124"/>
  <c r="AJ343"/>
  <c r="AJ399"/>
  <c r="AJ364"/>
  <c r="AJ151"/>
  <c r="AJ419"/>
  <c r="AJ339"/>
  <c r="AJ280"/>
  <c r="AJ229"/>
  <c r="AJ418"/>
  <c r="AJ209"/>
  <c r="AJ487"/>
  <c r="AJ105"/>
  <c r="AJ234"/>
  <c r="AJ333"/>
  <c r="AJ378"/>
  <c r="AJ175"/>
  <c r="AJ470"/>
  <c r="AJ397"/>
  <c r="AJ475"/>
  <c r="AJ456"/>
  <c r="AJ133"/>
  <c r="AJ231"/>
  <c r="AJ463"/>
  <c r="AJ454"/>
  <c r="AJ172"/>
  <c r="AJ469"/>
  <c r="AJ166"/>
  <c r="AJ129"/>
  <c r="AJ249"/>
  <c r="AJ260" s="1"/>
  <c r="AJ76" s="1"/>
  <c r="AJ144"/>
  <c r="AJ196"/>
  <c r="AJ189"/>
  <c r="AJ495"/>
  <c r="AJ213"/>
  <c r="AJ154"/>
  <c r="AJ146"/>
  <c r="AJ355"/>
  <c r="AJ314"/>
  <c r="AJ335"/>
  <c r="AJ145"/>
  <c r="AJ165"/>
  <c r="AJ103"/>
  <c r="AJ297"/>
  <c r="AJ291"/>
  <c r="AJ272"/>
  <c r="AJ459"/>
  <c r="AJ298"/>
  <c r="AJ396"/>
  <c r="AJ256"/>
  <c r="AJ171"/>
  <c r="AJ228"/>
  <c r="AJ112"/>
  <c r="AJ271"/>
  <c r="AJ270"/>
  <c r="AJ104"/>
  <c r="AJ472"/>
  <c r="AJ423"/>
  <c r="AJ354"/>
  <c r="AJ125"/>
  <c r="AJ312"/>
  <c r="AJ424"/>
  <c r="AJ360"/>
  <c r="AJ398"/>
  <c r="AJ356"/>
  <c r="AJ319"/>
  <c r="AJ168"/>
  <c r="AJ377"/>
  <c r="AJ361"/>
  <c r="AJ322"/>
  <c r="AJ492"/>
  <c r="AJ375"/>
  <c r="AJ406"/>
  <c r="AJ273"/>
  <c r="AJ376"/>
  <c r="AJ417"/>
  <c r="AJ102"/>
  <c r="AJ479"/>
  <c r="AJ148"/>
  <c r="AJ169"/>
  <c r="AJ421"/>
  <c r="AJ232"/>
  <c r="AJ489"/>
  <c r="AJ274"/>
  <c r="AJ109"/>
  <c r="AJ26" s="1"/>
  <c r="AJ293"/>
  <c r="AJ21" s="1"/>
  <c r="AJ207"/>
  <c r="AJ358"/>
  <c r="AJ211"/>
  <c r="AJ379"/>
  <c r="AJ386" s="1"/>
  <c r="AJ82" s="1"/>
  <c r="AJ106"/>
  <c r="AJ253"/>
  <c r="AJ336"/>
  <c r="AJ473"/>
  <c r="AJ186"/>
  <c r="AJ295"/>
  <c r="AJ126"/>
  <c r="AJ294"/>
  <c r="AJ190"/>
  <c r="AJ337"/>
  <c r="AJ457"/>
  <c r="AJ400"/>
  <c r="AJ316"/>
  <c r="AH281" i="119"/>
  <c r="AH77" s="1"/>
  <c r="T302" i="28"/>
  <c r="T78" s="1"/>
  <c r="AA302" i="116"/>
  <c r="AA78" s="1"/>
  <c r="AK365" i="121"/>
  <c r="AK81" s="1"/>
  <c r="AK344" i="119"/>
  <c r="AK80" s="1"/>
  <c r="AF25" i="28"/>
  <c r="AT407"/>
  <c r="AT83" s="1"/>
  <c r="AT218"/>
  <c r="AT74" s="1"/>
  <c r="AT260"/>
  <c r="AT76" s="1"/>
  <c r="AT302"/>
  <c r="AT78" s="1"/>
  <c r="AT134"/>
  <c r="AT70" s="1"/>
  <c r="AT281"/>
  <c r="AT77" s="1"/>
  <c r="AT24"/>
  <c r="V25" i="121"/>
  <c r="V25" i="118"/>
  <c r="S21" i="120"/>
  <c r="AL88" i="28"/>
  <c r="K37" i="11"/>
  <c r="K56" s="1"/>
  <c r="L56"/>
  <c r="T45" i="120"/>
  <c r="T10"/>
  <c r="T335"/>
  <c r="T455"/>
  <c r="T234"/>
  <c r="T235"/>
  <c r="T382"/>
  <c r="T487"/>
  <c r="T420"/>
  <c r="T357"/>
  <c r="T406"/>
  <c r="T319"/>
  <c r="T196"/>
  <c r="T165"/>
  <c r="T171"/>
  <c r="T130"/>
  <c r="T276"/>
  <c r="T318"/>
  <c r="T154"/>
  <c r="T255"/>
  <c r="T144"/>
  <c r="T172"/>
  <c r="T381"/>
  <c r="T456"/>
  <c r="T217"/>
  <c r="T471"/>
  <c r="T256"/>
  <c r="T454"/>
  <c r="T125"/>
  <c r="T280"/>
  <c r="T339"/>
  <c r="T469"/>
  <c r="T124"/>
  <c r="T340"/>
  <c r="T228"/>
  <c r="T385"/>
  <c r="T298"/>
  <c r="T168"/>
  <c r="T427"/>
  <c r="T297"/>
  <c r="T193"/>
  <c r="T377"/>
  <c r="T147"/>
  <c r="T485"/>
  <c r="T150"/>
  <c r="T112"/>
  <c r="T214"/>
  <c r="T378"/>
  <c r="T192"/>
  <c r="T343"/>
  <c r="T453"/>
  <c r="T210"/>
  <c r="T315"/>
  <c r="T402"/>
  <c r="T231"/>
  <c r="T399"/>
  <c r="T301"/>
  <c r="T229"/>
  <c r="T476"/>
  <c r="T259"/>
  <c r="T167"/>
  <c r="T251"/>
  <c r="T360"/>
  <c r="T334"/>
  <c r="T491"/>
  <c r="T361"/>
  <c r="T175"/>
  <c r="T424"/>
  <c r="T108"/>
  <c r="T252"/>
  <c r="T133"/>
  <c r="T470"/>
  <c r="T277"/>
  <c r="T479"/>
  <c r="T123"/>
  <c r="T104"/>
  <c r="T208"/>
  <c r="T186"/>
  <c r="T495"/>
  <c r="T354"/>
  <c r="T313"/>
  <c r="T129"/>
  <c r="T398"/>
  <c r="T375"/>
  <c r="T187"/>
  <c r="T486"/>
  <c r="T151"/>
  <c r="T291"/>
  <c r="T364"/>
  <c r="T459"/>
  <c r="T356"/>
  <c r="T322"/>
  <c r="T376"/>
  <c r="T166"/>
  <c r="T249"/>
  <c r="T463"/>
  <c r="T492"/>
  <c r="T314"/>
  <c r="T397"/>
  <c r="T213"/>
  <c r="T423"/>
  <c r="T419"/>
  <c r="T209"/>
  <c r="T403"/>
  <c r="T355"/>
  <c r="T273"/>
  <c r="T109"/>
  <c r="T488"/>
  <c r="T105"/>
  <c r="T418"/>
  <c r="T292"/>
  <c r="T417"/>
  <c r="T238"/>
  <c r="T207"/>
  <c r="T272"/>
  <c r="T475"/>
  <c r="T333"/>
  <c r="T230"/>
  <c r="T270"/>
  <c r="T250"/>
  <c r="T102"/>
  <c r="T189"/>
  <c r="T188"/>
  <c r="T472"/>
  <c r="T293"/>
  <c r="T312"/>
  <c r="T145"/>
  <c r="T103"/>
  <c r="T460"/>
  <c r="T316"/>
  <c r="T400"/>
  <c r="T232"/>
  <c r="T473"/>
  <c r="T274"/>
  <c r="T253"/>
  <c r="T295"/>
  <c r="T190"/>
  <c r="T358"/>
  <c r="T396"/>
  <c r="T271"/>
  <c r="T294"/>
  <c r="T457"/>
  <c r="T169"/>
  <c r="T379"/>
  <c r="T148"/>
  <c r="T126"/>
  <c r="T336"/>
  <c r="T146"/>
  <c r="T21" s="1"/>
  <c r="T127"/>
  <c r="T337"/>
  <c r="T489"/>
  <c r="T106"/>
  <c r="T23" s="1"/>
  <c r="T211"/>
  <c r="T421"/>
  <c r="U45" i="117"/>
  <c r="U10"/>
  <c r="F185" i="109"/>
  <c r="AT22" i="28"/>
  <c r="AT21"/>
  <c r="AT197"/>
  <c r="AT73" s="1"/>
  <c r="AU36" i="119"/>
  <c r="AU38" s="1"/>
  <c r="AI25" i="116"/>
  <c r="S32" i="120"/>
  <c r="AT19" i="28"/>
  <c r="AT113"/>
  <c r="AT69" s="1"/>
  <c r="AE45" i="118"/>
  <c r="AE10"/>
  <c r="AF351"/>
  <c r="AF325"/>
  <c r="AF246"/>
  <c r="AF346"/>
  <c r="AF42"/>
  <c r="AF67" s="1"/>
  <c r="AF136"/>
  <c r="AF503"/>
  <c r="AF288"/>
  <c r="AF99"/>
  <c r="AF115"/>
  <c r="AF372"/>
  <c r="AF507"/>
  <c r="AF508" s="1"/>
  <c r="AF509" s="1"/>
  <c r="AF435"/>
  <c r="AF409"/>
  <c r="AF330"/>
  <c r="AF225"/>
  <c r="AF162"/>
  <c r="AF241"/>
  <c r="AF120"/>
  <c r="AG8"/>
  <c r="AF178"/>
  <c r="AF367"/>
  <c r="AF450"/>
  <c r="AF499"/>
  <c r="AF445"/>
  <c r="AF414"/>
  <c r="AF309"/>
  <c r="AF204"/>
  <c r="AF262"/>
  <c r="AF199"/>
  <c r="AF220"/>
  <c r="AF183"/>
  <c r="AF430"/>
  <c r="AF141"/>
  <c r="AF304"/>
  <c r="AF267"/>
  <c r="AF466"/>
  <c r="AF393"/>
  <c r="AF157"/>
  <c r="AF482"/>
  <c r="AF388"/>
  <c r="AF283"/>
  <c r="AF94"/>
  <c r="AF16"/>
  <c r="AF440"/>
  <c r="AF201"/>
  <c r="AF50" s="1"/>
  <c r="AF327"/>
  <c r="AF56" s="1"/>
  <c r="AF138"/>
  <c r="AF47" s="1"/>
  <c r="AF432"/>
  <c r="AF61" s="1"/>
  <c r="AF222"/>
  <c r="AF51" s="1"/>
  <c r="AF96"/>
  <c r="AF306"/>
  <c r="AF55" s="1"/>
  <c r="AF411"/>
  <c r="AF60" s="1"/>
  <c r="AF447"/>
  <c r="AF64" s="1"/>
  <c r="AF442"/>
  <c r="AF63" s="1"/>
  <c r="AF437"/>
  <c r="AF62" s="1"/>
  <c r="AF117"/>
  <c r="AF46" s="1"/>
  <c r="AF369"/>
  <c r="AF58" s="1"/>
  <c r="AF243"/>
  <c r="AF52" s="1"/>
  <c r="AF159"/>
  <c r="AF48" s="1"/>
  <c r="AF390"/>
  <c r="AF59" s="1"/>
  <c r="AF264"/>
  <c r="AF53" s="1"/>
  <c r="AF348"/>
  <c r="AF57" s="1"/>
  <c r="AF285"/>
  <c r="AF54" s="1"/>
  <c r="AF180"/>
  <c r="AF49" s="1"/>
  <c r="AE472"/>
  <c r="AE165"/>
  <c r="AE133"/>
  <c r="AE360"/>
  <c r="AE105"/>
  <c r="AE421"/>
  <c r="AE486"/>
  <c r="AE193"/>
  <c r="AE470"/>
  <c r="AE423"/>
  <c r="AE154"/>
  <c r="AE397"/>
  <c r="AE192"/>
  <c r="AE187"/>
  <c r="AE485"/>
  <c r="AE357"/>
  <c r="AE273"/>
  <c r="AE251"/>
  <c r="AE229"/>
  <c r="AE298"/>
  <c r="AE123"/>
  <c r="AE479"/>
  <c r="AE228"/>
  <c r="AE453"/>
  <c r="AE213"/>
  <c r="AE255"/>
  <c r="AE235"/>
  <c r="AE460"/>
  <c r="AE487"/>
  <c r="AE455"/>
  <c r="AE402"/>
  <c r="AE418"/>
  <c r="AE318"/>
  <c r="AE167"/>
  <c r="AE364"/>
  <c r="AE214"/>
  <c r="AE256"/>
  <c r="AE188"/>
  <c r="AE125"/>
  <c r="AE291"/>
  <c r="AE492"/>
  <c r="AE276"/>
  <c r="AE259"/>
  <c r="AE252"/>
  <c r="AE145"/>
  <c r="AE108"/>
  <c r="AE210"/>
  <c r="AE175"/>
  <c r="AE148"/>
  <c r="AE144"/>
  <c r="AE475"/>
  <c r="AE456"/>
  <c r="AE488"/>
  <c r="AE147"/>
  <c r="AE471"/>
  <c r="AE459"/>
  <c r="AE312"/>
  <c r="AE280"/>
  <c r="AE454"/>
  <c r="AE301"/>
  <c r="AE230"/>
  <c r="AE495"/>
  <c r="AE315"/>
  <c r="AE400"/>
  <c r="AE476"/>
  <c r="AE381"/>
  <c r="AE103"/>
  <c r="AE457"/>
  <c r="AE171"/>
  <c r="AE382"/>
  <c r="AE272"/>
  <c r="AE168"/>
  <c r="AE271"/>
  <c r="AE207"/>
  <c r="AE420"/>
  <c r="AE313"/>
  <c r="AE129"/>
  <c r="AE172"/>
  <c r="AE314"/>
  <c r="AE396"/>
  <c r="AE378"/>
  <c r="AE238"/>
  <c r="AE419"/>
  <c r="AE375"/>
  <c r="AE231"/>
  <c r="AE130"/>
  <c r="AE339"/>
  <c r="AE343"/>
  <c r="AE319"/>
  <c r="AE112"/>
  <c r="AE270"/>
  <c r="AE292"/>
  <c r="AE277"/>
  <c r="AE463"/>
  <c r="AE361"/>
  <c r="AE322"/>
  <c r="AE340"/>
  <c r="AE424"/>
  <c r="AE356"/>
  <c r="AE335"/>
  <c r="AE146"/>
  <c r="AE406"/>
  <c r="AE297"/>
  <c r="AE104"/>
  <c r="AE234"/>
  <c r="AE196"/>
  <c r="AE377"/>
  <c r="AE491"/>
  <c r="AE150"/>
  <c r="AE399"/>
  <c r="AE385"/>
  <c r="AE417"/>
  <c r="AE166"/>
  <c r="AE376"/>
  <c r="AE337"/>
  <c r="AE209"/>
  <c r="AE217"/>
  <c r="AE403"/>
  <c r="AE109"/>
  <c r="AE26" s="1"/>
  <c r="AE355"/>
  <c r="AE469"/>
  <c r="AE102"/>
  <c r="AE398"/>
  <c r="AE190"/>
  <c r="AE189"/>
  <c r="AE151"/>
  <c r="AE334"/>
  <c r="AE354"/>
  <c r="AE124"/>
  <c r="AE333"/>
  <c r="AE427"/>
  <c r="AE250"/>
  <c r="AE249"/>
  <c r="AE379"/>
  <c r="AE295"/>
  <c r="AE127"/>
  <c r="AE211"/>
  <c r="AE253"/>
  <c r="AE186"/>
  <c r="AE274"/>
  <c r="AE473"/>
  <c r="AE489"/>
  <c r="AE358"/>
  <c r="AE208"/>
  <c r="AE106"/>
  <c r="AE316"/>
  <c r="AE232"/>
  <c r="AE294"/>
  <c r="AE126"/>
  <c r="AE169"/>
  <c r="AE254"/>
  <c r="AE260" s="1"/>
  <c r="AE76" s="1"/>
  <c r="AE336"/>
  <c r="AE293"/>
  <c r="AJ45" i="116"/>
  <c r="AJ10"/>
  <c r="AK288"/>
  <c r="AK430"/>
  <c r="AK94"/>
  <c r="AK183"/>
  <c r="AK304"/>
  <c r="AK409"/>
  <c r="AK199"/>
  <c r="AK507"/>
  <c r="AK508" s="1"/>
  <c r="AK509" s="1"/>
  <c r="AK367"/>
  <c r="AK325"/>
  <c r="AK42"/>
  <c r="AK67" s="1"/>
  <c r="AK241"/>
  <c r="AK372"/>
  <c r="AK482"/>
  <c r="AK178"/>
  <c r="AK267"/>
  <c r="AK388"/>
  <c r="AK445"/>
  <c r="AK309"/>
  <c r="AL8"/>
  <c r="AK157"/>
  <c r="AK414"/>
  <c r="AK225"/>
  <c r="AK283"/>
  <c r="AK499"/>
  <c r="AK120"/>
  <c r="AK262"/>
  <c r="AK351"/>
  <c r="AK450"/>
  <c r="AK136"/>
  <c r="AK440"/>
  <c r="AK16"/>
  <c r="AK141"/>
  <c r="AK466"/>
  <c r="AK115"/>
  <c r="AK204"/>
  <c r="AK346"/>
  <c r="AK435"/>
  <c r="AK99"/>
  <c r="AK220"/>
  <c r="AK503"/>
  <c r="AK162"/>
  <c r="AK330"/>
  <c r="AK246"/>
  <c r="AK393"/>
  <c r="AK369"/>
  <c r="AK58" s="1"/>
  <c r="AK159"/>
  <c r="AK48" s="1"/>
  <c r="AK411"/>
  <c r="AK60" s="1"/>
  <c r="AK117"/>
  <c r="AK46" s="1"/>
  <c r="AK243"/>
  <c r="AK52" s="1"/>
  <c r="AK180"/>
  <c r="AK49" s="1"/>
  <c r="AK348"/>
  <c r="AK57" s="1"/>
  <c r="AK327"/>
  <c r="AK56" s="1"/>
  <c r="AK222"/>
  <c r="AK51" s="1"/>
  <c r="AK201"/>
  <c r="AK50" s="1"/>
  <c r="AK138"/>
  <c r="AK47" s="1"/>
  <c r="AK264"/>
  <c r="AK53" s="1"/>
  <c r="AK442"/>
  <c r="AK63" s="1"/>
  <c r="AK437"/>
  <c r="AK62" s="1"/>
  <c r="AK306"/>
  <c r="AK55" s="1"/>
  <c r="AK285"/>
  <c r="AK54" s="1"/>
  <c r="AK96"/>
  <c r="AK390"/>
  <c r="AK59" s="1"/>
  <c r="AK447"/>
  <c r="AK64" s="1"/>
  <c r="AK432"/>
  <c r="AK61" s="1"/>
  <c r="AJ239"/>
  <c r="AJ75" s="1"/>
  <c r="T21" i="117"/>
  <c r="T26"/>
  <c r="T25"/>
  <c r="AT480" i="28"/>
  <c r="AT86" s="1"/>
  <c r="AT155"/>
  <c r="AT71" s="1"/>
  <c r="AT428"/>
  <c r="AT84" s="1"/>
  <c r="AT496"/>
  <c r="AT87" s="1"/>
  <c r="AT323"/>
  <c r="AT79" s="1"/>
  <c r="AT239"/>
  <c r="AT75" s="1"/>
  <c r="AT25"/>
  <c r="AN90"/>
  <c r="AU88" i="119"/>
  <c r="AF25" i="116"/>
  <c r="AD32" i="118"/>
  <c r="AD25"/>
  <c r="V25" i="28"/>
  <c r="AI20" i="116"/>
  <c r="AI32"/>
  <c r="S25" i="120"/>
  <c r="U175" i="117"/>
  <c r="U129"/>
  <c r="U150"/>
  <c r="U238"/>
  <c r="U472"/>
  <c r="U460"/>
  <c r="U228"/>
  <c r="U280"/>
  <c r="U147"/>
  <c r="U235"/>
  <c r="U453"/>
  <c r="U378"/>
  <c r="U273"/>
  <c r="U108"/>
  <c r="U112"/>
  <c r="U291"/>
  <c r="U231"/>
  <c r="U402"/>
  <c r="U229"/>
  <c r="U406"/>
  <c r="U210"/>
  <c r="U375"/>
  <c r="U209"/>
  <c r="U469"/>
  <c r="U364"/>
  <c r="U255"/>
  <c r="U188"/>
  <c r="U251"/>
  <c r="U495"/>
  <c r="U486"/>
  <c r="U207"/>
  <c r="U218" s="1"/>
  <c r="U74" s="1"/>
  <c r="U335"/>
  <c r="U361"/>
  <c r="U133"/>
  <c r="U171"/>
  <c r="U354"/>
  <c r="U105"/>
  <c r="U272"/>
  <c r="U356"/>
  <c r="U172"/>
  <c r="U189"/>
  <c r="U192"/>
  <c r="U333"/>
  <c r="U344" s="1"/>
  <c r="U80" s="1"/>
  <c r="U256"/>
  <c r="U187"/>
  <c r="U123"/>
  <c r="U358"/>
  <c r="U420"/>
  <c r="U488"/>
  <c r="U470"/>
  <c r="U455"/>
  <c r="U396"/>
  <c r="U109"/>
  <c r="U213"/>
  <c r="U397"/>
  <c r="U314"/>
  <c r="U214"/>
  <c r="U125"/>
  <c r="U146"/>
  <c r="U271"/>
  <c r="U424"/>
  <c r="U476"/>
  <c r="U423"/>
  <c r="U377"/>
  <c r="U403"/>
  <c r="U381"/>
  <c r="U230"/>
  <c r="U315"/>
  <c r="U103"/>
  <c r="U343"/>
  <c r="U151"/>
  <c r="U463"/>
  <c r="U144"/>
  <c r="U382"/>
  <c r="U297"/>
  <c r="U339"/>
  <c r="U167"/>
  <c r="U312"/>
  <c r="U252"/>
  <c r="U357"/>
  <c r="U479"/>
  <c r="U277"/>
  <c r="U276"/>
  <c r="U399"/>
  <c r="U454"/>
  <c r="U270"/>
  <c r="U281" s="1"/>
  <c r="U77" s="1"/>
  <c r="U417"/>
  <c r="U186"/>
  <c r="U457"/>
  <c r="U154"/>
  <c r="U319"/>
  <c r="U249"/>
  <c r="U398"/>
  <c r="U485"/>
  <c r="U168"/>
  <c r="U166"/>
  <c r="U250"/>
  <c r="U234"/>
  <c r="U340"/>
  <c r="U298"/>
  <c r="U322"/>
  <c r="U471"/>
  <c r="U475"/>
  <c r="U292"/>
  <c r="U193"/>
  <c r="U385"/>
  <c r="U487"/>
  <c r="U491"/>
  <c r="U104"/>
  <c r="U217"/>
  <c r="U145"/>
  <c r="U492"/>
  <c r="U355"/>
  <c r="U365" s="1"/>
  <c r="U81" s="1"/>
  <c r="U318"/>
  <c r="U334"/>
  <c r="U208"/>
  <c r="U376"/>
  <c r="U124"/>
  <c r="U427"/>
  <c r="U259"/>
  <c r="U360"/>
  <c r="U196"/>
  <c r="U459"/>
  <c r="U418"/>
  <c r="U301"/>
  <c r="U130"/>
  <c r="U165"/>
  <c r="U293"/>
  <c r="U169"/>
  <c r="U379"/>
  <c r="U295"/>
  <c r="U294"/>
  <c r="U489"/>
  <c r="U127"/>
  <c r="U232"/>
  <c r="U106"/>
  <c r="U190"/>
  <c r="U419"/>
  <c r="U456"/>
  <c r="U336"/>
  <c r="U253"/>
  <c r="U148"/>
  <c r="U473"/>
  <c r="U211"/>
  <c r="U274"/>
  <c r="U102"/>
  <c r="U254"/>
  <c r="U316"/>
  <c r="U400"/>
  <c r="U421"/>
  <c r="U337"/>
  <c r="U313"/>
  <c r="U296"/>
  <c r="U302" s="1"/>
  <c r="U78" s="1"/>
  <c r="U317"/>
  <c r="U216"/>
  <c r="U275"/>
  <c r="U126"/>
  <c r="AU90" i="119"/>
  <c r="AL90" i="28"/>
  <c r="W302" i="118"/>
  <c r="W78" s="1"/>
  <c r="T260" i="120"/>
  <c r="T76" s="1"/>
  <c r="AE407" i="118"/>
  <c r="AE83" s="1"/>
  <c r="AE302"/>
  <c r="AE78" s="1"/>
  <c r="T197" i="117"/>
  <c r="T73" s="1"/>
  <c r="AA344" i="119"/>
  <c r="AA80" s="1"/>
  <c r="AA365"/>
  <c r="AA81" s="1"/>
  <c r="AA428"/>
  <c r="AA84" s="1"/>
  <c r="AK134" i="121"/>
  <c r="AK70" s="1"/>
  <c r="AK197"/>
  <c r="AK73" s="1"/>
  <c r="T32" i="117"/>
  <c r="AT20" i="28"/>
  <c r="AT344"/>
  <c r="AT80" s="1"/>
  <c r="AT365"/>
  <c r="AT81" s="1"/>
  <c r="AT464"/>
  <c r="AT85" s="1"/>
  <c r="AT26"/>
  <c r="AT32"/>
  <c r="AT23"/>
  <c r="AD26" i="118"/>
  <c r="V25" i="116"/>
  <c r="AL36" i="28"/>
  <c r="AL38" s="1"/>
  <c r="X344" i="119"/>
  <c r="X80" s="1"/>
  <c r="S134"/>
  <c r="S70" s="1"/>
  <c r="AG407" i="28"/>
  <c r="AG83" s="1"/>
  <c r="T344" i="116"/>
  <c r="T80" s="1"/>
  <c r="T218" i="117"/>
  <c r="T74" s="1"/>
  <c r="AA24" i="116"/>
  <c r="AA323" i="119"/>
  <c r="AA79" s="1"/>
  <c r="AA496"/>
  <c r="AA87" s="1"/>
  <c r="AK496" i="121"/>
  <c r="AK87" s="1"/>
  <c r="W302" i="119"/>
  <c r="W78" s="1"/>
  <c r="Y113" i="116"/>
  <c r="Y69" s="1"/>
  <c r="AA134" i="119"/>
  <c r="AA70" s="1"/>
  <c r="AE218" i="116"/>
  <c r="AE74" s="1"/>
  <c r="U302" i="118"/>
  <c r="U78" s="1"/>
  <c r="AB302" i="116"/>
  <c r="AB78" s="1"/>
  <c r="X464" i="28"/>
  <c r="X85" s="1"/>
  <c r="AK24"/>
  <c r="W344" i="116"/>
  <c r="W80" s="1"/>
  <c r="AA176" i="28"/>
  <c r="AA72" s="1"/>
  <c r="S260" i="119"/>
  <c r="S76" s="1"/>
  <c r="AB134" i="118"/>
  <c r="AB70" s="1"/>
  <c r="S407" i="120"/>
  <c r="S83" s="1"/>
  <c r="AE134" i="118"/>
  <c r="AE70" s="1"/>
  <c r="AA407" i="119"/>
  <c r="AA83" s="1"/>
  <c r="AA24"/>
  <c r="AK113"/>
  <c r="AK69" s="1"/>
  <c r="Z407" i="28"/>
  <c r="Z83" s="1"/>
  <c r="S302" i="116"/>
  <c r="S78" s="1"/>
  <c r="AK496" i="28"/>
  <c r="AK87" s="1"/>
  <c r="AA344" i="116"/>
  <c r="AA80" s="1"/>
  <c r="AK344" i="121"/>
  <c r="AK80" s="1"/>
  <c r="AK218"/>
  <c r="AK74" s="1"/>
  <c r="AK218" i="119"/>
  <c r="AK74" s="1"/>
  <c r="F187" i="109"/>
  <c r="AJ134" i="28"/>
  <c r="AJ70" s="1"/>
  <c r="AF134" i="116"/>
  <c r="AF70" s="1"/>
  <c r="AF176" i="119"/>
  <c r="AF72" s="1"/>
  <c r="AD344" i="116"/>
  <c r="AD80" s="1"/>
  <c r="X239" i="119"/>
  <c r="X75" s="1"/>
  <c r="AI176"/>
  <c r="AI72" s="1"/>
  <c r="AG176"/>
  <c r="AG72" s="1"/>
  <c r="AI197" i="116"/>
  <c r="AI73" s="1"/>
  <c r="T344" i="119"/>
  <c r="T80" s="1"/>
  <c r="S155"/>
  <c r="S71" s="1"/>
  <c r="S239"/>
  <c r="S75" s="1"/>
  <c r="Z344" i="118"/>
  <c r="Z80" s="1"/>
  <c r="Z218"/>
  <c r="Z74" s="1"/>
  <c r="S218" i="117"/>
  <c r="S74" s="1"/>
  <c r="S344" i="28"/>
  <c r="S80" s="1"/>
  <c r="AK113"/>
  <c r="AK69" s="1"/>
  <c r="AA197" i="116"/>
  <c r="AA73" s="1"/>
  <c r="AK134" i="28"/>
  <c r="AK70" s="1"/>
  <c r="AF260"/>
  <c r="AF76" s="1"/>
  <c r="AD260" i="119"/>
  <c r="AD76" s="1"/>
  <c r="AF260"/>
  <c r="AF76" s="1"/>
  <c r="Z281"/>
  <c r="Z77" s="1"/>
  <c r="T302" i="120"/>
  <c r="T78" s="1"/>
  <c r="T155"/>
  <c r="T71" s="1"/>
  <c r="AE134" i="119"/>
  <c r="AE70" s="1"/>
  <c r="AH302"/>
  <c r="AH78" s="1"/>
  <c r="S323" i="117"/>
  <c r="S79" s="1"/>
  <c r="T239"/>
  <c r="T75" s="1"/>
  <c r="T407"/>
  <c r="T83" s="1"/>
  <c r="T176"/>
  <c r="T72" s="1"/>
  <c r="AA134" i="116"/>
  <c r="AA70" s="1"/>
  <c r="T260" i="119"/>
  <c r="T76" s="1"/>
  <c r="AJ365" i="116"/>
  <c r="AJ81" s="1"/>
  <c r="Y176"/>
  <c r="Y72" s="1"/>
  <c r="F194" i="109"/>
  <c r="AC176" i="119"/>
  <c r="AC72" s="1"/>
  <c r="AB302" i="118"/>
  <c r="AB78" s="1"/>
  <c r="AB218"/>
  <c r="AB74" s="1"/>
  <c r="AB197"/>
  <c r="AB73" s="1"/>
  <c r="AF302" i="116"/>
  <c r="AF78" s="1"/>
  <c r="AF155" i="119"/>
  <c r="AF71" s="1"/>
  <c r="AF281"/>
  <c r="AF77" s="1"/>
  <c r="AD302" i="116"/>
  <c r="AD78" s="1"/>
  <c r="AI134" i="119"/>
  <c r="AI70" s="1"/>
  <c r="AD281"/>
  <c r="AD77" s="1"/>
  <c r="T239"/>
  <c r="T75" s="1"/>
  <c r="AE260"/>
  <c r="AE76" s="1"/>
  <c r="Z239" i="118"/>
  <c r="Z75" s="1"/>
  <c r="Z155"/>
  <c r="Z71" s="1"/>
  <c r="Z134"/>
  <c r="Z70" s="1"/>
  <c r="Z281" i="121"/>
  <c r="Z77" s="1"/>
  <c r="S464" i="117"/>
  <c r="S85" s="1"/>
  <c r="S496" i="28"/>
  <c r="S87" s="1"/>
  <c r="T134" i="121"/>
  <c r="T70" s="1"/>
  <c r="AE344"/>
  <c r="AE80" s="1"/>
  <c r="AE218"/>
  <c r="AE74" s="1"/>
  <c r="AE407"/>
  <c r="AE83" s="1"/>
  <c r="AK480" i="28"/>
  <c r="AK86" s="1"/>
  <c r="AK281"/>
  <c r="AK77" s="1"/>
  <c r="AK464"/>
  <c r="AK85" s="1"/>
  <c r="AK302"/>
  <c r="AK78" s="1"/>
  <c r="AA386" i="116"/>
  <c r="AA82" s="1"/>
  <c r="AA480"/>
  <c r="AA86" s="1"/>
  <c r="AA155"/>
  <c r="AA71" s="1"/>
  <c r="AA480" i="119"/>
  <c r="AA86" s="1"/>
  <c r="AK176"/>
  <c r="AK72" s="1"/>
  <c r="T24" i="120"/>
  <c r="AK113" i="121"/>
  <c r="AK69" s="1"/>
  <c r="AK24"/>
  <c r="AK323"/>
  <c r="AK79" s="1"/>
  <c r="AK365" i="119"/>
  <c r="AK81" s="1"/>
  <c r="X302" i="116"/>
  <c r="X78" s="1"/>
  <c r="AI480" i="121"/>
  <c r="AI86" s="1"/>
  <c r="AA31" i="119"/>
  <c r="AJ302" i="116"/>
  <c r="AJ78" s="1"/>
  <c r="AJ134" i="119"/>
  <c r="AJ70" s="1"/>
  <c r="W344" i="118"/>
  <c r="W80" s="1"/>
  <c r="X113"/>
  <c r="X69" s="1"/>
  <c r="U113" i="116"/>
  <c r="U69" s="1"/>
  <c r="Z407" i="119"/>
  <c r="Z83" s="1"/>
  <c r="AA386" i="118"/>
  <c r="AA82" s="1"/>
  <c r="AA365"/>
  <c r="AA81" s="1"/>
  <c r="AA407"/>
  <c r="AA83" s="1"/>
  <c r="AA428"/>
  <c r="AA84" s="1"/>
  <c r="AA281"/>
  <c r="AA77" s="1"/>
  <c r="T176" i="120"/>
  <c r="T72" s="1"/>
  <c r="AE344" i="116"/>
  <c r="AE80" s="1"/>
  <c r="Z113" i="118"/>
  <c r="Z69" s="1"/>
  <c r="Z323"/>
  <c r="Z79" s="1"/>
  <c r="Z365" i="121"/>
  <c r="Z81" s="1"/>
  <c r="Z302"/>
  <c r="Z78" s="1"/>
  <c r="S113" i="117"/>
  <c r="S69" s="1"/>
  <c r="S496"/>
  <c r="S87" s="1"/>
  <c r="S344"/>
  <c r="S80" s="1"/>
  <c r="S428"/>
  <c r="S84" s="1"/>
  <c r="S134" i="28"/>
  <c r="S70" s="1"/>
  <c r="AA464"/>
  <c r="AA85" s="1"/>
  <c r="T480" i="121"/>
  <c r="T86" s="1"/>
  <c r="T496"/>
  <c r="T87" s="1"/>
  <c r="T386"/>
  <c r="T82" s="1"/>
  <c r="AE428" i="118"/>
  <c r="AE84" s="1"/>
  <c r="AE323"/>
  <c r="AE79" s="1"/>
  <c r="AE239" i="121"/>
  <c r="AE75" s="1"/>
  <c r="AE176"/>
  <c r="AE72" s="1"/>
  <c r="T113" i="117"/>
  <c r="T69" s="1"/>
  <c r="AK323" i="28"/>
  <c r="AK79" s="1"/>
  <c r="AK31"/>
  <c r="AK239"/>
  <c r="AK75" s="1"/>
  <c r="AA176" i="116"/>
  <c r="AA72" s="1"/>
  <c r="AA428"/>
  <c r="AA84" s="1"/>
  <c r="AA239" i="119"/>
  <c r="AA75" s="1"/>
  <c r="AA218"/>
  <c r="AA74" s="1"/>
  <c r="AK386" i="121"/>
  <c r="AK82" s="1"/>
  <c r="AK302"/>
  <c r="AK78" s="1"/>
  <c r="AK480" i="119"/>
  <c r="AK86" s="1"/>
  <c r="AK428"/>
  <c r="AK84" s="1"/>
  <c r="AD302" i="118"/>
  <c r="AD78" s="1"/>
  <c r="S302" i="120"/>
  <c r="S78" s="1"/>
  <c r="AA323" i="118"/>
  <c r="AA79" s="1"/>
  <c r="AE113" i="116"/>
  <c r="AE69" s="1"/>
  <c r="S176" i="28"/>
  <c r="S72" s="1"/>
  <c r="AK31" i="119"/>
  <c r="T260" i="116"/>
  <c r="T76" s="1"/>
  <c r="T302"/>
  <c r="T78" s="1"/>
  <c r="T113"/>
  <c r="T69" s="1"/>
  <c r="AA365"/>
  <c r="AA81" s="1"/>
  <c r="AA407"/>
  <c r="AA83" s="1"/>
  <c r="AA496"/>
  <c r="AA87" s="1"/>
  <c r="AK31" i="121"/>
  <c r="AK260"/>
  <c r="AK76" s="1"/>
  <c r="AK323" i="119"/>
  <c r="AK79" s="1"/>
  <c r="AK407"/>
  <c r="AK83" s="1"/>
  <c r="X155"/>
  <c r="X71" s="1"/>
  <c r="Z197" i="118"/>
  <c r="Z73" s="1"/>
  <c r="Z480" i="121"/>
  <c r="Z86" s="1"/>
  <c r="S260" i="117"/>
  <c r="S76" s="1"/>
  <c r="S302" i="28"/>
  <c r="S78" s="1"/>
  <c r="AA24"/>
  <c r="AA344"/>
  <c r="AA80" s="1"/>
  <c r="T155" i="121"/>
  <c r="T71" s="1"/>
  <c r="AE344" i="118"/>
  <c r="AE80" s="1"/>
  <c r="AE197"/>
  <c r="AE73" s="1"/>
  <c r="AE218"/>
  <c r="AE74" s="1"/>
  <c r="S176" i="120"/>
  <c r="S72" s="1"/>
  <c r="AK24" i="119"/>
  <c r="AB428" i="28"/>
  <c r="AB84" s="1"/>
  <c r="Y260"/>
  <c r="Y76" s="1"/>
  <c r="AA281" i="116"/>
  <c r="AA77" s="1"/>
  <c r="AA31"/>
  <c r="AA323"/>
  <c r="AA79" s="1"/>
  <c r="AA464" i="119"/>
  <c r="AA85" s="1"/>
  <c r="AK281" i="121"/>
  <c r="AK77" s="1"/>
  <c r="AK464"/>
  <c r="AK85" s="1"/>
  <c r="AK464" i="119"/>
  <c r="AK85" s="1"/>
  <c r="AK386"/>
  <c r="AK82" s="1"/>
  <c r="W24"/>
  <c r="W134" i="116"/>
  <c r="W70" s="1"/>
  <c r="W197"/>
  <c r="W73" s="1"/>
  <c r="U155" i="119"/>
  <c r="U71" s="1"/>
  <c r="U302" i="28"/>
  <c r="U78" s="1"/>
  <c r="Z464"/>
  <c r="Z85" s="1"/>
  <c r="S218" i="118"/>
  <c r="S74" s="1"/>
  <c r="T281" i="120"/>
  <c r="T77" s="1"/>
  <c r="S134" i="117"/>
  <c r="S70" s="1"/>
  <c r="AH480" i="121"/>
  <c r="AH86" s="1"/>
  <c r="AH134"/>
  <c r="AH70" s="1"/>
  <c r="Y464" i="118"/>
  <c r="Y85" s="1"/>
  <c r="Y239"/>
  <c r="Y75" s="1"/>
  <c r="AJ428" i="116"/>
  <c r="AJ84" s="1"/>
  <c r="AJ281" i="119"/>
  <c r="AJ77" s="1"/>
  <c r="V281"/>
  <c r="V77" s="1"/>
  <c r="W218" i="116"/>
  <c r="W74" s="1"/>
  <c r="AG134" i="119"/>
  <c r="AG70" s="1"/>
  <c r="AG134" i="28"/>
  <c r="AG70" s="1"/>
  <c r="AB464"/>
  <c r="AB85" s="1"/>
  <c r="U464"/>
  <c r="U85" s="1"/>
  <c r="Y155" i="121"/>
  <c r="Y71" s="1"/>
  <c r="Y197"/>
  <c r="Y73" s="1"/>
  <c r="V134" i="116"/>
  <c r="V70" s="1"/>
  <c r="V407"/>
  <c r="V83" s="1"/>
  <c r="W480" i="121"/>
  <c r="W86" s="1"/>
  <c r="W281"/>
  <c r="W77" s="1"/>
  <c r="AD428" i="119"/>
  <c r="AD84" s="1"/>
  <c r="AD344"/>
  <c r="AD80" s="1"/>
  <c r="AD496"/>
  <c r="AD87" s="1"/>
  <c r="Z281" i="28"/>
  <c r="Z77" s="1"/>
  <c r="Z302"/>
  <c r="Z78" s="1"/>
  <c r="Z155"/>
  <c r="Z71" s="1"/>
  <c r="S386" i="118"/>
  <c r="S82" s="1"/>
  <c r="S365" i="121"/>
  <c r="S81" s="1"/>
  <c r="S302"/>
  <c r="S78" s="1"/>
  <c r="S176"/>
  <c r="S72" s="1"/>
  <c r="AA197"/>
  <c r="AA73" s="1"/>
  <c r="AA407"/>
  <c r="AA83" s="1"/>
  <c r="AA260"/>
  <c r="AA76" s="1"/>
  <c r="T134" i="119"/>
  <c r="T70" s="1"/>
  <c r="T281"/>
  <c r="T77" s="1"/>
  <c r="Z134"/>
  <c r="Z70" s="1"/>
  <c r="S344" i="120"/>
  <c r="S80" s="1"/>
  <c r="S281"/>
  <c r="S77" s="1"/>
  <c r="AE344" i="119"/>
  <c r="AE80" s="1"/>
  <c r="S323" i="116"/>
  <c r="S79" s="1"/>
  <c r="S176" i="119"/>
  <c r="S72" s="1"/>
  <c r="S218"/>
  <c r="S74" s="1"/>
  <c r="S365"/>
  <c r="S81" s="1"/>
  <c r="T134" i="28"/>
  <c r="T70" s="1"/>
  <c r="T496"/>
  <c r="T87" s="1"/>
  <c r="T197"/>
  <c r="T73" s="1"/>
  <c r="T31" i="117"/>
  <c r="T496"/>
  <c r="T87" s="1"/>
  <c r="T134"/>
  <c r="T70" s="1"/>
  <c r="T176" i="116"/>
  <c r="T72" s="1"/>
  <c r="T218"/>
  <c r="T74" s="1"/>
  <c r="T407"/>
  <c r="T83" s="1"/>
  <c r="T464"/>
  <c r="T85" s="1"/>
  <c r="T323" i="120"/>
  <c r="T79" s="1"/>
  <c r="AE113" i="119"/>
  <c r="AE69" s="1"/>
  <c r="AE197"/>
  <c r="AE73" s="1"/>
  <c r="AE496" i="28"/>
  <c r="AE87" s="1"/>
  <c r="AE323"/>
  <c r="AE79" s="1"/>
  <c r="Y407" i="119"/>
  <c r="Y83" s="1"/>
  <c r="AJ464" i="121"/>
  <c r="AJ85" s="1"/>
  <c r="AJ260"/>
  <c r="AJ76" s="1"/>
  <c r="V302" i="28"/>
  <c r="V78" s="1"/>
  <c r="AC464" i="116"/>
  <c r="AC85" s="1"/>
  <c r="AC344" i="28"/>
  <c r="AC80" s="1"/>
  <c r="AC323"/>
  <c r="AC79" s="1"/>
  <c r="AC365"/>
  <c r="AC81" s="1"/>
  <c r="AC302"/>
  <c r="AC78" s="1"/>
  <c r="W218"/>
  <c r="W74" s="1"/>
  <c r="W480"/>
  <c r="W86" s="1"/>
  <c r="AG197" i="121"/>
  <c r="AG73" s="1"/>
  <c r="AG155"/>
  <c r="AG71" s="1"/>
  <c r="AG134"/>
  <c r="AG70" s="1"/>
  <c r="AD155" i="28"/>
  <c r="AD71" s="1"/>
  <c r="X134" i="116"/>
  <c r="X70" s="1"/>
  <c r="X464" i="121"/>
  <c r="X85" s="1"/>
  <c r="AJ428" i="28"/>
  <c r="AJ84" s="1"/>
  <c r="AH176" i="119"/>
  <c r="AH72" s="1"/>
  <c r="Y302" i="116"/>
  <c r="Y78" s="1"/>
  <c r="Y407"/>
  <c r="Y83" s="1"/>
  <c r="V218" i="118"/>
  <c r="V74" s="1"/>
  <c r="AG260" i="119"/>
  <c r="AG76" s="1"/>
  <c r="AG239"/>
  <c r="AG75" s="1"/>
  <c r="AG464" i="28"/>
  <c r="AG85" s="1"/>
  <c r="AB344"/>
  <c r="AB80" s="1"/>
  <c r="U24"/>
  <c r="V260" i="116"/>
  <c r="V76" s="1"/>
  <c r="AC302" i="118"/>
  <c r="AC78" s="1"/>
  <c r="AC113"/>
  <c r="AC69" s="1"/>
  <c r="AD302" i="119"/>
  <c r="AD78" s="1"/>
  <c r="Z344" i="28"/>
  <c r="Z80" s="1"/>
  <c r="Z365"/>
  <c r="Z81" s="1"/>
  <c r="Z134"/>
  <c r="Z70" s="1"/>
  <c r="Z496"/>
  <c r="Z87" s="1"/>
  <c r="Z218"/>
  <c r="Z74" s="1"/>
  <c r="Z480"/>
  <c r="Z86" s="1"/>
  <c r="S323" i="118"/>
  <c r="S79" s="1"/>
  <c r="S134"/>
  <c r="S70" s="1"/>
  <c r="S302"/>
  <c r="S78" s="1"/>
  <c r="S496"/>
  <c r="S87" s="1"/>
  <c r="S113"/>
  <c r="S69" s="1"/>
  <c r="S344"/>
  <c r="S80" s="1"/>
  <c r="S428"/>
  <c r="S84" s="1"/>
  <c r="S197" i="121"/>
  <c r="S73" s="1"/>
  <c r="S155"/>
  <c r="S71" s="1"/>
  <c r="S134"/>
  <c r="S70" s="1"/>
  <c r="S386"/>
  <c r="S82" s="1"/>
  <c r="S260"/>
  <c r="S76" s="1"/>
  <c r="AA386"/>
  <c r="AA82" s="1"/>
  <c r="AA464"/>
  <c r="AA85" s="1"/>
  <c r="AA365"/>
  <c r="AA81" s="1"/>
  <c r="T155" i="119"/>
  <c r="T71" s="1"/>
  <c r="T480"/>
  <c r="T86" s="1"/>
  <c r="T197"/>
  <c r="T73" s="1"/>
  <c r="AA302" i="118"/>
  <c r="AA78" s="1"/>
  <c r="T344" i="120"/>
  <c r="T80" s="1"/>
  <c r="T134"/>
  <c r="T70" s="1"/>
  <c r="AE155" i="119"/>
  <c r="AE71" s="1"/>
  <c r="AE239"/>
  <c r="AE75" s="1"/>
  <c r="S31" i="116"/>
  <c r="S176"/>
  <c r="S72" s="1"/>
  <c r="S428"/>
  <c r="S84" s="1"/>
  <c r="S365"/>
  <c r="S81" s="1"/>
  <c r="S496"/>
  <c r="S87" s="1"/>
  <c r="S281" i="119"/>
  <c r="S77" s="1"/>
  <c r="T464" i="28"/>
  <c r="T85" s="1"/>
  <c r="T218"/>
  <c r="T74" s="1"/>
  <c r="T281"/>
  <c r="T77" s="1"/>
  <c r="T365"/>
  <c r="T81" s="1"/>
  <c r="AE365"/>
  <c r="AE81" s="1"/>
  <c r="AE134"/>
  <c r="AE70" s="1"/>
  <c r="T155" i="117"/>
  <c r="T71" s="1"/>
  <c r="T480"/>
  <c r="T86" s="1"/>
  <c r="T464"/>
  <c r="T85" s="1"/>
  <c r="T197" i="116"/>
  <c r="T73" s="1"/>
  <c r="T134"/>
  <c r="T70" s="1"/>
  <c r="T239"/>
  <c r="T75" s="1"/>
  <c r="S24" i="28"/>
  <c r="T24" i="117"/>
  <c r="T176" i="119"/>
  <c r="T72" s="1"/>
  <c r="Z386" i="118"/>
  <c r="Z82" s="1"/>
  <c r="Z480"/>
  <c r="Z86" s="1"/>
  <c r="Z260" i="121"/>
  <c r="Z76" s="1"/>
  <c r="Z323"/>
  <c r="Z79" s="1"/>
  <c r="Z344"/>
  <c r="Z80" s="1"/>
  <c r="Z197"/>
  <c r="Z73" s="1"/>
  <c r="S31" i="28"/>
  <c r="S365"/>
  <c r="S81" s="1"/>
  <c r="AA134"/>
  <c r="AA70" s="1"/>
  <c r="AA302"/>
  <c r="AA78" s="1"/>
  <c r="AE323" i="121"/>
  <c r="AE79" s="1"/>
  <c r="AE365"/>
  <c r="AE81" s="1"/>
  <c r="AE496"/>
  <c r="AE87" s="1"/>
  <c r="T365" i="117"/>
  <c r="T81" s="1"/>
  <c r="T365" i="116"/>
  <c r="T81" s="1"/>
  <c r="T155"/>
  <c r="T71" s="1"/>
  <c r="AB386" i="118"/>
  <c r="AB82" s="1"/>
  <c r="S113" i="116"/>
  <c r="S69" s="1"/>
  <c r="Z24" i="28"/>
  <c r="U260" i="121"/>
  <c r="U76" s="1"/>
  <c r="AJ197" i="116"/>
  <c r="AJ73" s="1"/>
  <c r="AG344"/>
  <c r="AG80" s="1"/>
  <c r="AB344" i="119"/>
  <c r="AB80" s="1"/>
  <c r="T24" i="28"/>
  <c r="T24" i="116"/>
  <c r="Y197" i="118"/>
  <c r="Y73" s="1"/>
  <c r="Y302"/>
  <c r="Y78" s="1"/>
  <c r="AJ344" i="119"/>
  <c r="AJ80" s="1"/>
  <c r="V344"/>
  <c r="V80" s="1"/>
  <c r="W260"/>
  <c r="W76" s="1"/>
  <c r="AH239"/>
  <c r="AH75" s="1"/>
  <c r="S407" i="118"/>
  <c r="S83" s="1"/>
  <c r="AA134" i="121"/>
  <c r="AA70" s="1"/>
  <c r="AA496"/>
  <c r="AA87" s="1"/>
  <c r="T365" i="119"/>
  <c r="T81" s="1"/>
  <c r="S386" i="120"/>
  <c r="S82" s="1"/>
  <c r="S197"/>
  <c r="S73" s="1"/>
  <c r="S365"/>
  <c r="S81" s="1"/>
  <c r="AA134" i="118"/>
  <c r="AA70" s="1"/>
  <c r="AA344"/>
  <c r="AA80" s="1"/>
  <c r="AA464"/>
  <c r="AA85" s="1"/>
  <c r="T113" i="120"/>
  <c r="T69" s="1"/>
  <c r="AE134" i="116"/>
  <c r="AE70" s="1"/>
  <c r="AE365" i="119"/>
  <c r="AE81" s="1"/>
  <c r="S218" i="116"/>
  <c r="S74" s="1"/>
  <c r="S197"/>
  <c r="S73" s="1"/>
  <c r="AE197" i="28"/>
  <c r="AE73" s="1"/>
  <c r="AB260"/>
  <c r="AB76" s="1"/>
  <c r="T428" i="116"/>
  <c r="T84" s="1"/>
  <c r="T386"/>
  <c r="T82" s="1"/>
  <c r="T31"/>
  <c r="S24"/>
  <c r="Y134" i="119"/>
  <c r="Y70" s="1"/>
  <c r="W344" i="28"/>
  <c r="W80" s="1"/>
  <c r="W464"/>
  <c r="W85" s="1"/>
  <c r="AD464"/>
  <c r="AD85" s="1"/>
  <c r="AF302" i="119"/>
  <c r="AF78" s="1"/>
  <c r="U197" i="116"/>
  <c r="U73" s="1"/>
  <c r="U260" i="118"/>
  <c r="U76" s="1"/>
  <c r="AC31" i="119"/>
  <c r="W239"/>
  <c r="W75" s="1"/>
  <c r="W155"/>
  <c r="W71" s="1"/>
  <c r="AF344"/>
  <c r="AF80" s="1"/>
  <c r="AD134" i="116"/>
  <c r="AD70" s="1"/>
  <c r="U218" i="118"/>
  <c r="U74" s="1"/>
  <c r="U134"/>
  <c r="U70" s="1"/>
  <c r="V134"/>
  <c r="V70" s="1"/>
  <c r="AI134" i="116"/>
  <c r="AI70" s="1"/>
  <c r="S197" i="118"/>
  <c r="S73" s="1"/>
  <c r="Z31" i="119"/>
  <c r="Z239"/>
  <c r="Z75" s="1"/>
  <c r="Z176"/>
  <c r="Z72" s="1"/>
  <c r="S31" i="120"/>
  <c r="S218"/>
  <c r="S74" s="1"/>
  <c r="S496"/>
  <c r="S87" s="1"/>
  <c r="S464"/>
  <c r="S85" s="1"/>
  <c r="S134"/>
  <c r="S70" s="1"/>
  <c r="T407"/>
  <c r="T83" s="1"/>
  <c r="T365"/>
  <c r="T81" s="1"/>
  <c r="T480"/>
  <c r="T86" s="1"/>
  <c r="AE155" i="116"/>
  <c r="AE71" s="1"/>
  <c r="AE464"/>
  <c r="AE85" s="1"/>
  <c r="AE197"/>
  <c r="AE73" s="1"/>
  <c r="AE365"/>
  <c r="AE81" s="1"/>
  <c r="AE323" i="119"/>
  <c r="AE79" s="1"/>
  <c r="AE281"/>
  <c r="AE77" s="1"/>
  <c r="AE480"/>
  <c r="AE86" s="1"/>
  <c r="AE407"/>
  <c r="AE83" s="1"/>
  <c r="AE464"/>
  <c r="AE85" s="1"/>
  <c r="Z464" i="118"/>
  <c r="Z85" s="1"/>
  <c r="S197" i="117"/>
  <c r="S73" s="1"/>
  <c r="AA155" i="28"/>
  <c r="AA71" s="1"/>
  <c r="T218" i="121"/>
  <c r="T74" s="1"/>
  <c r="T344"/>
  <c r="T80" s="1"/>
  <c r="T365"/>
  <c r="T81" s="1"/>
  <c r="AE302"/>
  <c r="AE78" s="1"/>
  <c r="AE281"/>
  <c r="AE77" s="1"/>
  <c r="AE428"/>
  <c r="AE84" s="1"/>
  <c r="T323" i="116"/>
  <c r="T79" s="1"/>
  <c r="T496"/>
  <c r="T87" s="1"/>
  <c r="AA155" i="118"/>
  <c r="AA71" s="1"/>
  <c r="AA24"/>
  <c r="T239" i="120"/>
  <c r="T75" s="1"/>
  <c r="S113" i="119"/>
  <c r="S69" s="1"/>
  <c r="S24"/>
  <c r="S323" i="28"/>
  <c r="S79" s="1"/>
  <c r="AA31"/>
  <c r="T113" i="121"/>
  <c r="T69" s="1"/>
  <c r="T24"/>
  <c r="AE134"/>
  <c r="AE70" s="1"/>
  <c r="AE24" i="116"/>
  <c r="AE24" i="28"/>
  <c r="S24" i="120"/>
  <c r="AH155" i="116"/>
  <c r="AH71" s="1"/>
  <c r="AH407"/>
  <c r="AH83" s="1"/>
  <c r="AH134"/>
  <c r="AH70" s="1"/>
  <c r="AH218" i="28"/>
  <c r="AH74" s="1"/>
  <c r="Y386" i="119"/>
  <c r="Y82" s="1"/>
  <c r="Y218"/>
  <c r="Y74" s="1"/>
  <c r="Y428"/>
  <c r="Y84" s="1"/>
  <c r="Y496" i="28"/>
  <c r="Y87" s="1"/>
  <c r="AJ197" i="121"/>
  <c r="AJ73" s="1"/>
  <c r="AJ176"/>
  <c r="AJ72" s="1"/>
  <c r="V344" i="28"/>
  <c r="V80" s="1"/>
  <c r="AC176" i="116"/>
  <c r="AC72" s="1"/>
  <c r="AC496"/>
  <c r="AC87" s="1"/>
  <c r="AC480"/>
  <c r="AC86" s="1"/>
  <c r="AC386" i="28"/>
  <c r="AC82" s="1"/>
  <c r="AC197"/>
  <c r="AC73" s="1"/>
  <c r="AC113"/>
  <c r="AC69" s="1"/>
  <c r="W155"/>
  <c r="W71" s="1"/>
  <c r="W134"/>
  <c r="W70" s="1"/>
  <c r="AG464" i="121"/>
  <c r="AG85" s="1"/>
  <c r="AF134" i="28"/>
  <c r="AF70" s="1"/>
  <c r="AF197"/>
  <c r="AF73" s="1"/>
  <c r="AD113"/>
  <c r="AD69" s="1"/>
  <c r="AD480"/>
  <c r="AD86" s="1"/>
  <c r="X386" i="116"/>
  <c r="X82" s="1"/>
  <c r="X113"/>
  <c r="X69" s="1"/>
  <c r="X239"/>
  <c r="X75" s="1"/>
  <c r="X239" i="121"/>
  <c r="X75" s="1"/>
  <c r="X155"/>
  <c r="X71" s="1"/>
  <c r="X176"/>
  <c r="X72" s="1"/>
  <c r="X428"/>
  <c r="X84" s="1"/>
  <c r="S24" i="118"/>
  <c r="S31" i="117"/>
  <c r="AE24" i="118"/>
  <c r="Z24" i="119"/>
  <c r="S24" i="117"/>
  <c r="X176" i="119"/>
  <c r="X72" s="1"/>
  <c r="S281" i="121"/>
  <c r="S77" s="1"/>
  <c r="T113" i="119"/>
  <c r="T69" s="1"/>
  <c r="T24"/>
  <c r="AA197" i="118"/>
  <c r="AA73" s="1"/>
  <c r="AE31" i="119"/>
  <c r="S344"/>
  <c r="S80" s="1"/>
  <c r="AE344" i="28"/>
  <c r="AE80" s="1"/>
  <c r="AE24" i="119"/>
  <c r="AE36" s="1"/>
  <c r="AE38" s="1"/>
  <c r="V302" i="118"/>
  <c r="V78" s="1"/>
  <c r="Z344" i="119"/>
  <c r="Z80" s="1"/>
  <c r="AE176"/>
  <c r="AE72" s="1"/>
  <c r="S31"/>
  <c r="T344" i="28"/>
  <c r="T80" s="1"/>
  <c r="AH302" i="116"/>
  <c r="AH78" s="1"/>
  <c r="AH480"/>
  <c r="AH86" s="1"/>
  <c r="AH365"/>
  <c r="AH81" s="1"/>
  <c r="AH197"/>
  <c r="AH73" s="1"/>
  <c r="AH113"/>
  <c r="AH69" s="1"/>
  <c r="AH428"/>
  <c r="AH84" s="1"/>
  <c r="AH365" i="28"/>
  <c r="AH81" s="1"/>
  <c r="AH464"/>
  <c r="AH85" s="1"/>
  <c r="AH323"/>
  <c r="AH79" s="1"/>
  <c r="AH302"/>
  <c r="AH78" s="1"/>
  <c r="Y176" i="119"/>
  <c r="Y72" s="1"/>
  <c r="Y31"/>
  <c r="Y155"/>
  <c r="Y71" s="1"/>
  <c r="Y386" i="28"/>
  <c r="Y82" s="1"/>
  <c r="AJ386" i="121"/>
  <c r="AJ82" s="1"/>
  <c r="AJ155"/>
  <c r="AJ71" s="1"/>
  <c r="AJ365"/>
  <c r="AJ81" s="1"/>
  <c r="AJ428"/>
  <c r="AJ84" s="1"/>
  <c r="AJ134"/>
  <c r="AJ70" s="1"/>
  <c r="V480" i="28"/>
  <c r="V86" s="1"/>
  <c r="V31"/>
  <c r="AC302" i="116"/>
  <c r="AC78" s="1"/>
  <c r="AC218"/>
  <c r="AC74" s="1"/>
  <c r="AC281"/>
  <c r="AC77" s="1"/>
  <c r="AC113"/>
  <c r="AC69" s="1"/>
  <c r="AC344"/>
  <c r="AC80" s="1"/>
  <c r="AC197"/>
  <c r="AC73" s="1"/>
  <c r="AC239" i="28"/>
  <c r="AC75" s="1"/>
  <c r="AC464"/>
  <c r="AC85" s="1"/>
  <c r="AC496"/>
  <c r="AC87" s="1"/>
  <c r="W496"/>
  <c r="W87" s="1"/>
  <c r="W365"/>
  <c r="W81" s="1"/>
  <c r="W302"/>
  <c r="W78" s="1"/>
  <c r="W113"/>
  <c r="W69" s="1"/>
  <c r="AG323" i="121"/>
  <c r="AG79" s="1"/>
  <c r="AG302"/>
  <c r="AG78" s="1"/>
  <c r="AG496"/>
  <c r="AG87" s="1"/>
  <c r="AF464" i="28"/>
  <c r="AF85" s="1"/>
  <c r="AF31"/>
  <c r="AB260" i="118"/>
  <c r="AB76" s="1"/>
  <c r="AD365" i="28"/>
  <c r="AD81" s="1"/>
  <c r="AD24"/>
  <c r="AD386"/>
  <c r="AD82" s="1"/>
  <c r="AD302"/>
  <c r="AD78" s="1"/>
  <c r="X365" i="116"/>
  <c r="X81" s="1"/>
  <c r="X24"/>
  <c r="X407"/>
  <c r="X83" s="1"/>
  <c r="X428"/>
  <c r="X84" s="1"/>
  <c r="X386" i="121"/>
  <c r="X82" s="1"/>
  <c r="X31"/>
  <c r="X344"/>
  <c r="X80" s="1"/>
  <c r="X407"/>
  <c r="X83" s="1"/>
  <c r="AI197"/>
  <c r="AI73" s="1"/>
  <c r="AI496"/>
  <c r="AI87" s="1"/>
  <c r="AI260"/>
  <c r="AI76" s="1"/>
  <c r="AI176"/>
  <c r="AI72" s="1"/>
  <c r="AI344"/>
  <c r="AI80" s="1"/>
  <c r="U407"/>
  <c r="U83" s="1"/>
  <c r="U386"/>
  <c r="U82" s="1"/>
  <c r="AH323"/>
  <c r="AH79" s="1"/>
  <c r="AH176"/>
  <c r="AH72" s="1"/>
  <c r="Y365" i="118"/>
  <c r="Y81" s="1"/>
  <c r="Y407"/>
  <c r="Y83" s="1"/>
  <c r="AJ281" i="116"/>
  <c r="AJ77" s="1"/>
  <c r="AJ344"/>
  <c r="AJ80" s="1"/>
  <c r="AJ480" i="119"/>
  <c r="AJ86" s="1"/>
  <c r="AJ464"/>
  <c r="AJ85" s="1"/>
  <c r="AJ428"/>
  <c r="AJ84" s="1"/>
  <c r="AJ386"/>
  <c r="AJ82" s="1"/>
  <c r="V407"/>
  <c r="V83" s="1"/>
  <c r="V480"/>
  <c r="V86" s="1"/>
  <c r="AC134" i="121"/>
  <c r="AC70" s="1"/>
  <c r="AC302"/>
  <c r="AC78" s="1"/>
  <c r="AC281"/>
  <c r="AC77" s="1"/>
  <c r="W176" i="118"/>
  <c r="W72" s="1"/>
  <c r="W239"/>
  <c r="W75" s="1"/>
  <c r="W134"/>
  <c r="W70" s="1"/>
  <c r="W407"/>
  <c r="W83" s="1"/>
  <c r="AG365" i="116"/>
  <c r="AG81" s="1"/>
  <c r="AB496" i="119"/>
  <c r="AB87" s="1"/>
  <c r="AF197" i="121"/>
  <c r="AF73" s="1"/>
  <c r="AJ281" i="28"/>
  <c r="AJ77" s="1"/>
  <c r="AJ386"/>
  <c r="AJ82" s="1"/>
  <c r="AJ239"/>
  <c r="AJ75" s="1"/>
  <c r="AC365" i="119"/>
  <c r="AC81" s="1"/>
  <c r="W134"/>
  <c r="W70" s="1"/>
  <c r="W323"/>
  <c r="W79" s="1"/>
  <c r="W281"/>
  <c r="W77" s="1"/>
  <c r="AB496" i="118"/>
  <c r="AB87" s="1"/>
  <c r="AB428"/>
  <c r="AB84" s="1"/>
  <c r="AB407"/>
  <c r="AB83" s="1"/>
  <c r="AB386" i="121"/>
  <c r="AB82" s="1"/>
  <c r="AB302"/>
  <c r="AB78" s="1"/>
  <c r="AF218" i="116"/>
  <c r="AF74" s="1"/>
  <c r="AF386" i="119"/>
  <c r="AF82" s="1"/>
  <c r="AD323" i="116"/>
  <c r="AD79" s="1"/>
  <c r="AD197"/>
  <c r="AD73" s="1"/>
  <c r="AD218"/>
  <c r="AD74" s="1"/>
  <c r="X407" i="119"/>
  <c r="X83" s="1"/>
  <c r="AI323"/>
  <c r="AI79" s="1"/>
  <c r="AI239"/>
  <c r="AI75" s="1"/>
  <c r="AH386"/>
  <c r="AH82" s="1"/>
  <c r="AH113"/>
  <c r="AH69" s="1"/>
  <c r="Y365" i="116"/>
  <c r="Y81" s="1"/>
  <c r="W155"/>
  <c r="W71" s="1"/>
  <c r="AG218" i="119"/>
  <c r="AG74" s="1"/>
  <c r="AG496"/>
  <c r="AG87" s="1"/>
  <c r="AG155"/>
  <c r="AG71" s="1"/>
  <c r="AB428" i="116"/>
  <c r="AB84" s="1"/>
  <c r="AB134"/>
  <c r="AB70" s="1"/>
  <c r="AB323"/>
  <c r="AB79" s="1"/>
  <c r="AD155" i="118"/>
  <c r="AD71" s="1"/>
  <c r="AD365"/>
  <c r="AD81" s="1"/>
  <c r="X344" i="28"/>
  <c r="X80" s="1"/>
  <c r="X281"/>
  <c r="X77" s="1"/>
  <c r="X323"/>
  <c r="X79" s="1"/>
  <c r="AI323" i="116"/>
  <c r="AI79" s="1"/>
  <c r="AI464"/>
  <c r="AI85" s="1"/>
  <c r="AI113" i="28"/>
  <c r="AI69" s="1"/>
  <c r="AI134"/>
  <c r="AI70" s="1"/>
  <c r="AI302"/>
  <c r="AI78" s="1"/>
  <c r="U365" i="119"/>
  <c r="U81" s="1"/>
  <c r="U239"/>
  <c r="U75" s="1"/>
  <c r="Y464" i="121"/>
  <c r="Y85" s="1"/>
  <c r="Y134"/>
  <c r="Y70" s="1"/>
  <c r="V344" i="116"/>
  <c r="V80" s="1"/>
  <c r="V281"/>
  <c r="V77" s="1"/>
  <c r="V31"/>
  <c r="V197"/>
  <c r="V73" s="1"/>
  <c r="AC480" i="118"/>
  <c r="AC86" s="1"/>
  <c r="AC365"/>
  <c r="AC81" s="1"/>
  <c r="AC344"/>
  <c r="AC80" s="1"/>
  <c r="AC464"/>
  <c r="AC85" s="1"/>
  <c r="AC428"/>
  <c r="AC84" s="1"/>
  <c r="W365" i="121"/>
  <c r="W81" s="1"/>
  <c r="W464"/>
  <c r="W85" s="1"/>
  <c r="W260"/>
  <c r="W76" s="1"/>
  <c r="AD176" i="119"/>
  <c r="AD72" s="1"/>
  <c r="AD218"/>
  <c r="AD74" s="1"/>
  <c r="AD155"/>
  <c r="AD71" s="1"/>
  <c r="AD134"/>
  <c r="AD70" s="1"/>
  <c r="Z239" i="28"/>
  <c r="Z75" s="1"/>
  <c r="Z113"/>
  <c r="Z69" s="1"/>
  <c r="S176" i="118"/>
  <c r="S72" s="1"/>
  <c r="S239"/>
  <c r="S75" s="1"/>
  <c r="S496" i="121"/>
  <c r="S87" s="1"/>
  <c r="S344"/>
  <c r="S80" s="1"/>
  <c r="AA344"/>
  <c r="AA80" s="1"/>
  <c r="AA113"/>
  <c r="AA69" s="1"/>
  <c r="AA24"/>
  <c r="AA31"/>
  <c r="T464" i="119"/>
  <c r="T85" s="1"/>
  <c r="T31"/>
  <c r="T323"/>
  <c r="T79" s="1"/>
  <c r="T496"/>
  <c r="T87" s="1"/>
  <c r="Z24" i="118"/>
  <c r="Z386" i="119"/>
  <c r="Z82" s="1"/>
  <c r="Z480"/>
  <c r="Z86" s="1"/>
  <c r="Z496"/>
  <c r="Z87" s="1"/>
  <c r="S323" i="120"/>
  <c r="S79" s="1"/>
  <c r="S155"/>
  <c r="S71" s="1"/>
  <c r="S113"/>
  <c r="S69" s="1"/>
  <c r="AA480" i="118"/>
  <c r="AA86" s="1"/>
  <c r="AA239"/>
  <c r="AA75" s="1"/>
  <c r="T218" i="120"/>
  <c r="T74" s="1"/>
  <c r="T464"/>
  <c r="T85" s="1"/>
  <c r="T197"/>
  <c r="T73" s="1"/>
  <c r="AE281" i="116"/>
  <c r="AE77" s="1"/>
  <c r="AE323"/>
  <c r="AE79" s="1"/>
  <c r="AE480"/>
  <c r="AE86" s="1"/>
  <c r="AE386"/>
  <c r="AE82" s="1"/>
  <c r="AE386" i="119"/>
  <c r="AE82" s="1"/>
  <c r="S155" i="116"/>
  <c r="S71" s="1"/>
  <c r="S407"/>
  <c r="S83" s="1"/>
  <c r="S386" i="119"/>
  <c r="S82" s="1"/>
  <c r="S407"/>
  <c r="S83" s="1"/>
  <c r="S496"/>
  <c r="S87" s="1"/>
  <c r="T113" i="28"/>
  <c r="T69" s="1"/>
  <c r="T239"/>
  <c r="T75" s="1"/>
  <c r="T155"/>
  <c r="T71" s="1"/>
  <c r="AE281"/>
  <c r="AE77" s="1"/>
  <c r="AE218"/>
  <c r="AE74" s="1"/>
  <c r="AE239"/>
  <c r="AE75" s="1"/>
  <c r="AE480"/>
  <c r="AE86" s="1"/>
  <c r="Z428" i="118"/>
  <c r="Z84" s="1"/>
  <c r="Z365"/>
  <c r="Z81" s="1"/>
  <c r="Z239" i="121"/>
  <c r="Z75" s="1"/>
  <c r="Z113"/>
  <c r="Z69" s="1"/>
  <c r="Z24"/>
  <c r="Z496"/>
  <c r="Z87" s="1"/>
  <c r="Z464"/>
  <c r="Z85" s="1"/>
  <c r="Z407"/>
  <c r="Z83" s="1"/>
  <c r="S239" i="117"/>
  <c r="S75" s="1"/>
  <c r="S386"/>
  <c r="S82" s="1"/>
  <c r="S480"/>
  <c r="S86" s="1"/>
  <c r="S386" i="28"/>
  <c r="S82" s="1"/>
  <c r="S113"/>
  <c r="S69" s="1"/>
  <c r="S239"/>
  <c r="S75" s="1"/>
  <c r="S218"/>
  <c r="S74" s="1"/>
  <c r="S281"/>
  <c r="S77" s="1"/>
  <c r="AA386"/>
  <c r="AA82" s="1"/>
  <c r="AA480"/>
  <c r="AA86" s="1"/>
  <c r="AA496"/>
  <c r="AA87" s="1"/>
  <c r="T464" i="121"/>
  <c r="T85" s="1"/>
  <c r="T176"/>
  <c r="T72" s="1"/>
  <c r="T197"/>
  <c r="T73" s="1"/>
  <c r="AE176" i="118"/>
  <c r="AE72" s="1"/>
  <c r="AE365"/>
  <c r="AE81" s="1"/>
  <c r="AE480"/>
  <c r="AE86" s="1"/>
  <c r="AE239"/>
  <c r="AE75" s="1"/>
  <c r="AE31"/>
  <c r="AE155"/>
  <c r="AE71" s="1"/>
  <c r="AE24" i="121"/>
  <c r="AE113"/>
  <c r="AE69" s="1"/>
  <c r="AE386"/>
  <c r="AE82" s="1"/>
  <c r="AE464"/>
  <c r="AE85" s="1"/>
  <c r="AI134"/>
  <c r="AI70" s="1"/>
  <c r="U428"/>
  <c r="U84" s="1"/>
  <c r="W31" i="119"/>
  <c r="AI344" i="28"/>
  <c r="AI80" s="1"/>
  <c r="Y344" i="121"/>
  <c r="Y80" s="1"/>
  <c r="Y496"/>
  <c r="Y87" s="1"/>
  <c r="V386" i="116"/>
  <c r="V82" s="1"/>
  <c r="AC281" i="118"/>
  <c r="AC77" s="1"/>
  <c r="AD386" i="119"/>
  <c r="AD82" s="1"/>
  <c r="S31" i="118"/>
  <c r="S365"/>
  <c r="S81" s="1"/>
  <c r="S31" i="121"/>
  <c r="S428"/>
  <c r="S84" s="1"/>
  <c r="AA239"/>
  <c r="AA75" s="1"/>
  <c r="AA281"/>
  <c r="AA77" s="1"/>
  <c r="T428" i="119"/>
  <c r="T84" s="1"/>
  <c r="Z113"/>
  <c r="Z69" s="1"/>
  <c r="AA496" i="118"/>
  <c r="AA87" s="1"/>
  <c r="AA31"/>
  <c r="AE31" i="116"/>
  <c r="AE36" s="1"/>
  <c r="AE38" s="1"/>
  <c r="AE496"/>
  <c r="AE87" s="1"/>
  <c r="AE428" i="119"/>
  <c r="AE84" s="1"/>
  <c r="S344" i="116"/>
  <c r="S80" s="1"/>
  <c r="S464" i="119"/>
  <c r="S85" s="1"/>
  <c r="S428"/>
  <c r="S84" s="1"/>
  <c r="T323" i="28"/>
  <c r="T79" s="1"/>
  <c r="T31"/>
  <c r="AE31"/>
  <c r="AE155"/>
  <c r="AE71" s="1"/>
  <c r="Z496" i="118"/>
  <c r="Z87" s="1"/>
  <c r="Z386" i="121"/>
  <c r="Z82" s="1"/>
  <c r="Z31"/>
  <c r="Z155"/>
  <c r="Z71" s="1"/>
  <c r="S155" i="117"/>
  <c r="S71" s="1"/>
  <c r="S197" i="28"/>
  <c r="S73" s="1"/>
  <c r="AA323"/>
  <c r="AA79" s="1"/>
  <c r="AA113"/>
  <c r="AA69" s="1"/>
  <c r="AA218"/>
  <c r="AA74" s="1"/>
  <c r="T323" i="121"/>
  <c r="T79" s="1"/>
  <c r="T31"/>
  <c r="T260"/>
  <c r="T76" s="1"/>
  <c r="T428"/>
  <c r="T84" s="1"/>
  <c r="T281"/>
  <c r="T77" s="1"/>
  <c r="AE386" i="118"/>
  <c r="AE82" s="1"/>
  <c r="AE496"/>
  <c r="AE87" s="1"/>
  <c r="AE281"/>
  <c r="AE77" s="1"/>
  <c r="AE464"/>
  <c r="AE85" s="1"/>
  <c r="AE31" i="121"/>
  <c r="AE197"/>
  <c r="AE73" s="1"/>
  <c r="AI239"/>
  <c r="AI75" s="1"/>
  <c r="AI407"/>
  <c r="AI83" s="1"/>
  <c r="U176"/>
  <c r="U72" s="1"/>
  <c r="U281"/>
  <c r="U77" s="1"/>
  <c r="AJ134" i="116"/>
  <c r="AJ70" s="1"/>
  <c r="V464" i="119"/>
  <c r="V85" s="1"/>
  <c r="V239"/>
  <c r="V75" s="1"/>
  <c r="V323"/>
  <c r="V79" s="1"/>
  <c r="V134"/>
  <c r="V70" s="1"/>
  <c r="AC218" i="121"/>
  <c r="AC74" s="1"/>
  <c r="AC176"/>
  <c r="AC72" s="1"/>
  <c r="AC407"/>
  <c r="AC83" s="1"/>
  <c r="W155" i="118"/>
  <c r="W71" s="1"/>
  <c r="AG302" i="116"/>
  <c r="AG78" s="1"/>
  <c r="AG134"/>
  <c r="AG70" s="1"/>
  <c r="AB239" i="119"/>
  <c r="AB75" s="1"/>
  <c r="AB323"/>
  <c r="AB79" s="1"/>
  <c r="AB24"/>
  <c r="R24" i="116"/>
  <c r="AF239" i="121"/>
  <c r="AF75" s="1"/>
  <c r="AF428"/>
  <c r="AF84" s="1"/>
  <c r="AD260"/>
  <c r="AD76" s="1"/>
  <c r="AD428"/>
  <c r="AD84" s="1"/>
  <c r="X134" i="118"/>
  <c r="X70" s="1"/>
  <c r="X197"/>
  <c r="X73" s="1"/>
  <c r="X281"/>
  <c r="X77" s="1"/>
  <c r="U134" i="116"/>
  <c r="U70" s="1"/>
  <c r="U407"/>
  <c r="U83" s="1"/>
  <c r="U218"/>
  <c r="U74" s="1"/>
  <c r="U31" i="117"/>
  <c r="U197"/>
  <c r="U73" s="1"/>
  <c r="AJ113" i="28"/>
  <c r="AJ69" s="1"/>
  <c r="V464" i="121"/>
  <c r="V85" s="1"/>
  <c r="V386"/>
  <c r="V82" s="1"/>
  <c r="V176"/>
  <c r="V72" s="1"/>
  <c r="AC386" i="119"/>
  <c r="AC82" s="1"/>
  <c r="AC218"/>
  <c r="AC74" s="1"/>
  <c r="W480"/>
  <c r="W86" s="1"/>
  <c r="AB344" i="118"/>
  <c r="AB80" s="1"/>
  <c r="AF480" i="116"/>
  <c r="AF86" s="1"/>
  <c r="AF323"/>
  <c r="AF79" s="1"/>
  <c r="AF218" i="119"/>
  <c r="AF74" s="1"/>
  <c r="AD496" i="116"/>
  <c r="AD87" s="1"/>
  <c r="X113" i="119"/>
  <c r="X69" s="1"/>
  <c r="U323" i="118"/>
  <c r="U79" s="1"/>
  <c r="AH155" i="119"/>
  <c r="AH71" s="1"/>
  <c r="AH31"/>
  <c r="Y134" i="116"/>
  <c r="Y70" s="1"/>
  <c r="V197" i="118"/>
  <c r="V73" s="1"/>
  <c r="W176" i="116"/>
  <c r="W72" s="1"/>
  <c r="AG281" i="119"/>
  <c r="AG77" s="1"/>
  <c r="AG302" i="28"/>
  <c r="AG78" s="1"/>
  <c r="AB281" i="116"/>
  <c r="AB77" s="1"/>
  <c r="AB134" i="28"/>
  <c r="AB70" s="1"/>
  <c r="AB113"/>
  <c r="AB69" s="1"/>
  <c r="AD134" i="118"/>
  <c r="AD70" s="1"/>
  <c r="AI155" i="116"/>
  <c r="AI71" s="1"/>
  <c r="AI496" i="28"/>
  <c r="AI87" s="1"/>
  <c r="AI365"/>
  <c r="AI81" s="1"/>
  <c r="AI218"/>
  <c r="AI74" s="1"/>
  <c r="AI155"/>
  <c r="AI71" s="1"/>
  <c r="U281" i="119"/>
  <c r="U77" s="1"/>
  <c r="U323"/>
  <c r="U79" s="1"/>
  <c r="Y281" i="121"/>
  <c r="Y77" s="1"/>
  <c r="Y428"/>
  <c r="Y84" s="1"/>
  <c r="W323"/>
  <c r="W79" s="1"/>
  <c r="W496"/>
  <c r="W87" s="1"/>
  <c r="AD365" i="119"/>
  <c r="AD81" s="1"/>
  <c r="Z386" i="28"/>
  <c r="Z82" s="1"/>
  <c r="Z323"/>
  <c r="Z79" s="1"/>
  <c r="Z31"/>
  <c r="S281" i="118"/>
  <c r="S77" s="1"/>
  <c r="S155"/>
  <c r="S71" s="1"/>
  <c r="S218" i="121"/>
  <c r="S74" s="1"/>
  <c r="S113"/>
  <c r="S69" s="1"/>
  <c r="S24"/>
  <c r="S36" s="1"/>
  <c r="S323"/>
  <c r="S79" s="1"/>
  <c r="S480"/>
  <c r="S86" s="1"/>
  <c r="S407"/>
  <c r="S83" s="1"/>
  <c r="AA176"/>
  <c r="AA72" s="1"/>
  <c r="AA218"/>
  <c r="AA74" s="1"/>
  <c r="AA302"/>
  <c r="AA78" s="1"/>
  <c r="AA480"/>
  <c r="AA86" s="1"/>
  <c r="T218" i="119"/>
  <c r="T74" s="1"/>
  <c r="T386"/>
  <c r="T82" s="1"/>
  <c r="T407"/>
  <c r="T83" s="1"/>
  <c r="Z365"/>
  <c r="Z81" s="1"/>
  <c r="Z428"/>
  <c r="Z84" s="1"/>
  <c r="Z218"/>
  <c r="Z74" s="1"/>
  <c r="Z323"/>
  <c r="Z79" s="1"/>
  <c r="Z197"/>
  <c r="Z73" s="1"/>
  <c r="S428" i="120"/>
  <c r="S84" s="1"/>
  <c r="T496"/>
  <c r="T87" s="1"/>
  <c r="T428"/>
  <c r="T84" s="1"/>
  <c r="T386"/>
  <c r="T82" s="1"/>
  <c r="T31"/>
  <c r="AE407" i="116"/>
  <c r="AE83" s="1"/>
  <c r="AE428"/>
  <c r="AE84" s="1"/>
  <c r="AE218" i="119"/>
  <c r="AE74" s="1"/>
  <c r="S386" i="116"/>
  <c r="S82" s="1"/>
  <c r="S464"/>
  <c r="S85" s="1"/>
  <c r="S323" i="119"/>
  <c r="S79" s="1"/>
  <c r="S197"/>
  <c r="S73" s="1"/>
  <c r="S480"/>
  <c r="S86" s="1"/>
  <c r="T480" i="28"/>
  <c r="T86" s="1"/>
  <c r="T386"/>
  <c r="T82" s="1"/>
  <c r="AE113"/>
  <c r="AE69" s="1"/>
  <c r="AE386"/>
  <c r="AE82" s="1"/>
  <c r="Z31" i="118"/>
  <c r="Z407"/>
  <c r="Z83" s="1"/>
  <c r="Z134" i="121"/>
  <c r="Z70" s="1"/>
  <c r="S407" i="117"/>
  <c r="S83" s="1"/>
  <c r="S365"/>
  <c r="S81" s="1"/>
  <c r="S155" i="28"/>
  <c r="S71" s="1"/>
  <c r="T407" i="121"/>
  <c r="T83" s="1"/>
  <c r="T302"/>
  <c r="T78" s="1"/>
  <c r="AE155"/>
  <c r="AE71" s="1"/>
  <c r="AE480"/>
  <c r="AE86" s="1"/>
  <c r="AE260"/>
  <c r="AE76" s="1"/>
  <c r="AH134" i="119"/>
  <c r="AH70" s="1"/>
  <c r="AH134" i="28"/>
  <c r="AH70" s="1"/>
  <c r="AC134"/>
  <c r="AC70" s="1"/>
  <c r="R31" i="119"/>
  <c r="AF302" i="28"/>
  <c r="AF78" s="1"/>
  <c r="Y24" i="118"/>
  <c r="AJ176" i="116"/>
  <c r="AJ72" s="1"/>
  <c r="AJ176" i="119"/>
  <c r="AJ72" s="1"/>
  <c r="AJ31"/>
  <c r="AJ496"/>
  <c r="AJ87" s="1"/>
  <c r="V218"/>
  <c r="V74" s="1"/>
  <c r="V31"/>
  <c r="V365"/>
  <c r="V81" s="1"/>
  <c r="V496"/>
  <c r="V87" s="1"/>
  <c r="AC323" i="121"/>
  <c r="AC79" s="1"/>
  <c r="W197" i="118"/>
  <c r="W73" s="1"/>
  <c r="W24"/>
  <c r="AB176" i="119"/>
  <c r="AB72" s="1"/>
  <c r="AB134"/>
  <c r="AB70" s="1"/>
  <c r="AB31"/>
  <c r="Y24" i="116"/>
  <c r="V344" i="118"/>
  <c r="V80" s="1"/>
  <c r="AD239" i="119"/>
  <c r="AD75" s="1"/>
  <c r="AH24" i="116"/>
  <c r="AH344"/>
  <c r="AH80" s="1"/>
  <c r="AH344" i="28"/>
  <c r="AH80" s="1"/>
  <c r="Y24" i="119"/>
  <c r="Y344"/>
  <c r="Y80" s="1"/>
  <c r="Y302" i="28"/>
  <c r="Y78" s="1"/>
  <c r="Y464"/>
  <c r="Y85" s="1"/>
  <c r="Y344"/>
  <c r="Y80" s="1"/>
  <c r="AD134"/>
  <c r="AD70" s="1"/>
  <c r="X218" i="116"/>
  <c r="X74" s="1"/>
  <c r="AC24" i="118"/>
  <c r="U24" i="116"/>
  <c r="AJ323"/>
  <c r="AJ79" s="1"/>
  <c r="AJ239" i="119"/>
  <c r="AJ75" s="1"/>
  <c r="V176"/>
  <c r="V72" s="1"/>
  <c r="V197"/>
  <c r="V73" s="1"/>
  <c r="AG197" i="116"/>
  <c r="AG73" s="1"/>
  <c r="AB428" i="119"/>
  <c r="AB84" s="1"/>
  <c r="AF260" i="121"/>
  <c r="AF76" s="1"/>
  <c r="AD386"/>
  <c r="AD82" s="1"/>
  <c r="X323" i="118"/>
  <c r="X79" s="1"/>
  <c r="U344" i="116"/>
  <c r="U80" s="1"/>
  <c r="U323"/>
  <c r="U79" s="1"/>
  <c r="U386" i="117"/>
  <c r="U82" s="1"/>
  <c r="AJ496" i="28"/>
  <c r="AJ87" s="1"/>
  <c r="AJ407"/>
  <c r="AJ83" s="1"/>
  <c r="V239" i="121"/>
  <c r="V75" s="1"/>
  <c r="V218"/>
  <c r="V74" s="1"/>
  <c r="V496"/>
  <c r="V87" s="1"/>
  <c r="AC155" i="119"/>
  <c r="AC71" s="1"/>
  <c r="AC428"/>
  <c r="AC84" s="1"/>
  <c r="AC239"/>
  <c r="AC75" s="1"/>
  <c r="W197"/>
  <c r="W73" s="1"/>
  <c r="W176"/>
  <c r="W72" s="1"/>
  <c r="AB113" i="118"/>
  <c r="AB69" s="1"/>
  <c r="AB155"/>
  <c r="AB71" s="1"/>
  <c r="AB407" i="121"/>
  <c r="AB83" s="1"/>
  <c r="AB365"/>
  <c r="AB81" s="1"/>
  <c r="AB176"/>
  <c r="AB72" s="1"/>
  <c r="AF344" i="116"/>
  <c r="AF80" s="1"/>
  <c r="AF197"/>
  <c r="AF73" s="1"/>
  <c r="AF407"/>
  <c r="AF83" s="1"/>
  <c r="AF239" i="119"/>
  <c r="AF75" s="1"/>
  <c r="AF197"/>
  <c r="AF73" s="1"/>
  <c r="AD24" i="116"/>
  <c r="AD31"/>
  <c r="AD365"/>
  <c r="AD81" s="1"/>
  <c r="X197" i="119"/>
  <c r="X73" s="1"/>
  <c r="X281"/>
  <c r="X77" s="1"/>
  <c r="AI260"/>
  <c r="AI76" s="1"/>
  <c r="AI155"/>
  <c r="AI71" s="1"/>
  <c r="AI31"/>
  <c r="AI281"/>
  <c r="AI77" s="1"/>
  <c r="U407" i="118"/>
  <c r="U83" s="1"/>
  <c r="AH218" i="116"/>
  <c r="AH74" s="1"/>
  <c r="Y239" i="119"/>
  <c r="Y75" s="1"/>
  <c r="AC134" i="116"/>
  <c r="AC70" s="1"/>
  <c r="Y344" i="118"/>
  <c r="Y80" s="1"/>
  <c r="AJ218" i="116"/>
  <c r="AJ74" s="1"/>
  <c r="AG24"/>
  <c r="U464" i="117"/>
  <c r="U85" s="1"/>
  <c r="X31" i="119"/>
  <c r="AJ344" i="28"/>
  <c r="AJ80" s="1"/>
  <c r="V155" i="121"/>
  <c r="V71" s="1"/>
  <c r="AC113" i="119"/>
  <c r="AC69" s="1"/>
  <c r="AB134" i="121"/>
  <c r="AB70" s="1"/>
  <c r="AB155"/>
  <c r="AB71" s="1"/>
  <c r="AB496"/>
  <c r="AB87" s="1"/>
  <c r="AB281"/>
  <c r="AB77" s="1"/>
  <c r="AB344"/>
  <c r="AB80" s="1"/>
  <c r="AF386" i="116"/>
  <c r="AF82" s="1"/>
  <c r="AF496" i="119"/>
  <c r="AF87" s="1"/>
  <c r="X386"/>
  <c r="X82" s="1"/>
  <c r="U480" i="118"/>
  <c r="U86" s="1"/>
  <c r="V239"/>
  <c r="V75" s="1"/>
  <c r="W302" i="116"/>
  <c r="W78" s="1"/>
  <c r="W31"/>
  <c r="W407"/>
  <c r="W83" s="1"/>
  <c r="W323"/>
  <c r="W79" s="1"/>
  <c r="AG31" i="119"/>
  <c r="AG344"/>
  <c r="AG80" s="1"/>
  <c r="AG197" i="28"/>
  <c r="AG73" s="1"/>
  <c r="AG344"/>
  <c r="AG80" s="1"/>
  <c r="AG218"/>
  <c r="AG74" s="1"/>
  <c r="AB464" i="116"/>
  <c r="AB85" s="1"/>
  <c r="AB197"/>
  <c r="AB73" s="1"/>
  <c r="AB496"/>
  <c r="AB87" s="1"/>
  <c r="AB218" i="28"/>
  <c r="AB74" s="1"/>
  <c r="AB496"/>
  <c r="AB87" s="1"/>
  <c r="R31" i="121"/>
  <c r="AD344" i="118"/>
  <c r="AD80" s="1"/>
  <c r="AD31"/>
  <c r="X302" i="28"/>
  <c r="X78" s="1"/>
  <c r="X24"/>
  <c r="AI302" i="116"/>
  <c r="AI78" s="1"/>
  <c r="AI428"/>
  <c r="AI84" s="1"/>
  <c r="AI496"/>
  <c r="AI87" s="1"/>
  <c r="AI218"/>
  <c r="AI74" s="1"/>
  <c r="AI344"/>
  <c r="AI80" s="1"/>
  <c r="AI239" i="28"/>
  <c r="AI75" s="1"/>
  <c r="U134" i="119"/>
  <c r="U70" s="1"/>
  <c r="U344"/>
  <c r="U80" s="1"/>
  <c r="U31"/>
  <c r="U496"/>
  <c r="U87" s="1"/>
  <c r="U31" i="28"/>
  <c r="U36" s="1"/>
  <c r="U38" s="1"/>
  <c r="U113"/>
  <c r="U69" s="1"/>
  <c r="U239"/>
  <c r="U75" s="1"/>
  <c r="U197"/>
  <c r="U73" s="1"/>
  <c r="V155" i="116"/>
  <c r="V71" s="1"/>
  <c r="AD218" i="121"/>
  <c r="AD74" s="1"/>
  <c r="AD31"/>
  <c r="AD480"/>
  <c r="AD86" s="1"/>
  <c r="AD281"/>
  <c r="AD77" s="1"/>
  <c r="AD239"/>
  <c r="AD75" s="1"/>
  <c r="X407" i="118"/>
  <c r="X83" s="1"/>
  <c r="X496"/>
  <c r="X87" s="1"/>
  <c r="X344"/>
  <c r="X80" s="1"/>
  <c r="X302"/>
  <c r="X78" s="1"/>
  <c r="X218"/>
  <c r="X74" s="1"/>
  <c r="U480" i="116"/>
  <c r="U86" s="1"/>
  <c r="U365"/>
  <c r="U81" s="1"/>
  <c r="U176"/>
  <c r="U72" s="1"/>
  <c r="U386"/>
  <c r="U82" s="1"/>
  <c r="U302"/>
  <c r="U78" s="1"/>
  <c r="U496"/>
  <c r="U87" s="1"/>
  <c r="U239"/>
  <c r="U75" s="1"/>
  <c r="U428" i="117"/>
  <c r="U84" s="1"/>
  <c r="U176"/>
  <c r="U72" s="1"/>
  <c r="U155"/>
  <c r="U71" s="1"/>
  <c r="U480"/>
  <c r="U86" s="1"/>
  <c r="U134"/>
  <c r="U70" s="1"/>
  <c r="AC480" i="119"/>
  <c r="AC86" s="1"/>
  <c r="W344"/>
  <c r="W80" s="1"/>
  <c r="AB464" i="118"/>
  <c r="AB85" s="1"/>
  <c r="AB239"/>
  <c r="AB75" s="1"/>
  <c r="AB480"/>
  <c r="AB86" s="1"/>
  <c r="AB428" i="121"/>
  <c r="AB84" s="1"/>
  <c r="AF365" i="119"/>
  <c r="AF81" s="1"/>
  <c r="AF323"/>
  <c r="AF79" s="1"/>
  <c r="AF113"/>
  <c r="AF69" s="1"/>
  <c r="AI344"/>
  <c r="AI80" s="1"/>
  <c r="AI464"/>
  <c r="AI85" s="1"/>
  <c r="U428" i="118"/>
  <c r="U84" s="1"/>
  <c r="AH344" i="119"/>
  <c r="AH80" s="1"/>
  <c r="Y428" i="116"/>
  <c r="Y84" s="1"/>
  <c r="W496"/>
  <c r="W87" s="1"/>
  <c r="AB407"/>
  <c r="AB83" s="1"/>
  <c r="AB344"/>
  <c r="AB80" s="1"/>
  <c r="X239" i="28"/>
  <c r="X75" s="1"/>
  <c r="X113"/>
  <c r="X69" s="1"/>
  <c r="X496"/>
  <c r="X87" s="1"/>
  <c r="AI239" i="116"/>
  <c r="AI75" s="1"/>
  <c r="U480" i="119"/>
  <c r="U86" s="1"/>
  <c r="Y496"/>
  <c r="Y87" s="1"/>
  <c r="AJ113" i="121"/>
  <c r="AJ69" s="1"/>
  <c r="AJ24"/>
  <c r="AF386" i="28"/>
  <c r="AF82" s="1"/>
  <c r="X218" i="121"/>
  <c r="X74" s="1"/>
  <c r="V428" i="119"/>
  <c r="V84" s="1"/>
  <c r="AT505" i="120"/>
  <c r="AT505" i="28"/>
  <c r="AT505" i="118"/>
  <c r="AT505" i="119"/>
  <c r="AT505" i="116"/>
  <c r="AT505" i="121"/>
  <c r="AT505" i="117"/>
  <c r="X480" i="118"/>
  <c r="X86" s="1"/>
  <c r="AF428" i="119"/>
  <c r="AF84" s="1"/>
  <c r="X323"/>
  <c r="X79" s="1"/>
  <c r="AI496"/>
  <c r="AI87" s="1"/>
  <c r="X24" i="118"/>
  <c r="AD428"/>
  <c r="AD84" s="1"/>
  <c r="AD24"/>
  <c r="Y302" i="121"/>
  <c r="Y78" s="1"/>
  <c r="AF24" i="28"/>
  <c r="AF36" s="1"/>
  <c r="AF38" s="1"/>
  <c r="AB24"/>
  <c r="W113" i="118"/>
  <c r="W69" s="1"/>
  <c r="AC260"/>
  <c r="AC76" s="1"/>
  <c r="AH31" i="28"/>
  <c r="Y480" i="119"/>
  <c r="Y86" s="1"/>
  <c r="AJ407" i="121"/>
  <c r="AJ83" s="1"/>
  <c r="AJ302"/>
  <c r="AJ78" s="1"/>
  <c r="AC155" i="116"/>
  <c r="AC71" s="1"/>
  <c r="AC428"/>
  <c r="AC84" s="1"/>
  <c r="AC281" i="28"/>
  <c r="AC77" s="1"/>
  <c r="W281"/>
  <c r="W77" s="1"/>
  <c r="W31"/>
  <c r="AG386" i="121"/>
  <c r="AG82" s="1"/>
  <c r="AG407"/>
  <c r="AG83" s="1"/>
  <c r="AF365" i="28"/>
  <c r="AF81" s="1"/>
  <c r="AD496"/>
  <c r="AD87" s="1"/>
  <c r="X155" i="116"/>
  <c r="X71" s="1"/>
  <c r="X260" i="121"/>
  <c r="X76" s="1"/>
  <c r="AI31"/>
  <c r="AI365"/>
  <c r="AI81" s="1"/>
  <c r="U31"/>
  <c r="U302"/>
  <c r="U78" s="1"/>
  <c r="R24" i="118"/>
  <c r="AD24" i="119"/>
  <c r="X344" i="116"/>
  <c r="X80" s="1"/>
  <c r="AH344" i="121"/>
  <c r="AH80" s="1"/>
  <c r="AH407"/>
  <c r="AH83" s="1"/>
  <c r="Y428" i="118"/>
  <c r="Y84" s="1"/>
  <c r="AJ407" i="116"/>
  <c r="AJ83" s="1"/>
  <c r="AJ113" i="119"/>
  <c r="AJ69" s="1"/>
  <c r="AJ197"/>
  <c r="AJ73" s="1"/>
  <c r="AC239" i="121"/>
  <c r="AC75" s="1"/>
  <c r="AC31"/>
  <c r="W31" i="118"/>
  <c r="AG31" i="116"/>
  <c r="AG36" s="1"/>
  <c r="AG38" s="1"/>
  <c r="AG407"/>
  <c r="AG83" s="1"/>
  <c r="AG155"/>
  <c r="AG71" s="1"/>
  <c r="R31"/>
  <c r="AF480" i="121"/>
  <c r="AF86" s="1"/>
  <c r="AF31"/>
  <c r="AF407"/>
  <c r="AF83" s="1"/>
  <c r="AF365"/>
  <c r="AF81" s="1"/>
  <c r="AF302"/>
  <c r="AF78" s="1"/>
  <c r="AD176"/>
  <c r="AD72" s="1"/>
  <c r="AD134"/>
  <c r="AD70" s="1"/>
  <c r="AD24"/>
  <c r="AD113"/>
  <c r="AD69" s="1"/>
  <c r="AD197"/>
  <c r="AD73" s="1"/>
  <c r="X239" i="118"/>
  <c r="X75" s="1"/>
  <c r="U24"/>
  <c r="AD31" i="119"/>
  <c r="AD113" i="118"/>
  <c r="AD69" s="1"/>
  <c r="AJ480" i="28"/>
  <c r="AJ86" s="1"/>
  <c r="V31" i="121"/>
  <c r="V24"/>
  <c r="V113"/>
  <c r="V69" s="1"/>
  <c r="V428"/>
  <c r="V84" s="1"/>
  <c r="W113" i="119"/>
  <c r="W69" s="1"/>
  <c r="W365"/>
  <c r="W81" s="1"/>
  <c r="AB31" i="118"/>
  <c r="AB197" i="121"/>
  <c r="AB73" s="1"/>
  <c r="AB31"/>
  <c r="AB323"/>
  <c r="AB79" s="1"/>
  <c r="AF428" i="116"/>
  <c r="AF84" s="1"/>
  <c r="AF176"/>
  <c r="AF72" s="1"/>
  <c r="AF464"/>
  <c r="AF85" s="1"/>
  <c r="AD155"/>
  <c r="AD71" s="1"/>
  <c r="X464" i="119"/>
  <c r="X85" s="1"/>
  <c r="X218"/>
  <c r="X74" s="1"/>
  <c r="X496"/>
  <c r="X87" s="1"/>
  <c r="AI113"/>
  <c r="AI69" s="1"/>
  <c r="AI407"/>
  <c r="AI83" s="1"/>
  <c r="AI365"/>
  <c r="AI81" s="1"/>
  <c r="U464" i="118"/>
  <c r="U85" s="1"/>
  <c r="U176"/>
  <c r="U72" s="1"/>
  <c r="U344"/>
  <c r="U80" s="1"/>
  <c r="AB24" i="116"/>
  <c r="AH407" i="119"/>
  <c r="AH83" s="1"/>
  <c r="AH197"/>
  <c r="AH73" s="1"/>
  <c r="Y31" i="116"/>
  <c r="Y323"/>
  <c r="Y79" s="1"/>
  <c r="V428" i="118"/>
  <c r="V84" s="1"/>
  <c r="W239" i="116"/>
  <c r="W75" s="1"/>
  <c r="W365"/>
  <c r="W81" s="1"/>
  <c r="AG428" i="119"/>
  <c r="AG84" s="1"/>
  <c r="AG113"/>
  <c r="AG69" s="1"/>
  <c r="AG239" i="28"/>
  <c r="AG75" s="1"/>
  <c r="AG31"/>
  <c r="AB365" i="116"/>
  <c r="AB81" s="1"/>
  <c r="AB281" i="28"/>
  <c r="AB77" s="1"/>
  <c r="AB197"/>
  <c r="AB73" s="1"/>
  <c r="AB155"/>
  <c r="AB71" s="1"/>
  <c r="R31" i="117"/>
  <c r="AD239" i="118"/>
  <c r="AD75" s="1"/>
  <c r="X31" i="28"/>
  <c r="X36" s="1"/>
  <c r="X38" s="1"/>
  <c r="U113" i="119"/>
  <c r="U69" s="1"/>
  <c r="U386"/>
  <c r="U82" s="1"/>
  <c r="U155" i="28"/>
  <c r="U71" s="1"/>
  <c r="U281"/>
  <c r="U77" s="1"/>
  <c r="U496"/>
  <c r="U87" s="1"/>
  <c r="U218"/>
  <c r="U74" s="1"/>
  <c r="AG113" i="116"/>
  <c r="AG69" s="1"/>
  <c r="U24" i="119"/>
  <c r="Y31" i="121"/>
  <c r="Y260"/>
  <c r="Y76" s="1"/>
  <c r="Y176"/>
  <c r="Y72" s="1"/>
  <c r="V496" i="116"/>
  <c r="V87" s="1"/>
  <c r="V239"/>
  <c r="V75" s="1"/>
  <c r="AC407" i="118"/>
  <c r="AC83" s="1"/>
  <c r="AC176"/>
  <c r="AC72" s="1"/>
  <c r="W386" i="121"/>
  <c r="W82" s="1"/>
  <c r="W197"/>
  <c r="W73" s="1"/>
  <c r="W31"/>
  <c r="W428"/>
  <c r="W84" s="1"/>
  <c r="AD464" i="119"/>
  <c r="AD85" s="1"/>
  <c r="AD480"/>
  <c r="AD86" s="1"/>
  <c r="AD197"/>
  <c r="AD73" s="1"/>
  <c r="Y113" i="118"/>
  <c r="Y69" s="1"/>
  <c r="Y31" i="28"/>
  <c r="AG113" i="121"/>
  <c r="AG69" s="1"/>
  <c r="AG24"/>
  <c r="AI24"/>
  <c r="AI113"/>
  <c r="AI69" s="1"/>
  <c r="Y281" i="118"/>
  <c r="Y77" s="1"/>
  <c r="AG239" i="116"/>
  <c r="AG75" s="1"/>
  <c r="AB113" i="121"/>
  <c r="AB69" s="1"/>
  <c r="AB24"/>
  <c r="U31" i="118"/>
  <c r="AH464" i="119"/>
  <c r="AH85" s="1"/>
  <c r="AI386" i="116"/>
  <c r="AI82" s="1"/>
  <c r="AC24" i="119"/>
  <c r="X24"/>
  <c r="W24" i="28"/>
  <c r="AJ24" i="116"/>
  <c r="AI24"/>
  <c r="AG24" i="28"/>
  <c r="AI24"/>
  <c r="Y24"/>
  <c r="Y36" s="1"/>
  <c r="Y38" s="1"/>
  <c r="X302" i="119"/>
  <c r="X78" s="1"/>
  <c r="AH24" i="28"/>
  <c r="AF24" i="116"/>
  <c r="AC24"/>
  <c r="AJ24" i="28"/>
  <c r="AC24"/>
  <c r="R24"/>
  <c r="AG24" i="119"/>
  <c r="AJ24"/>
  <c r="R24" i="117"/>
  <c r="AH386" i="116"/>
  <c r="AH82" s="1"/>
  <c r="AH239"/>
  <c r="AH75" s="1"/>
  <c r="AH496"/>
  <c r="AH87" s="1"/>
  <c r="AH323"/>
  <c r="AH79" s="1"/>
  <c r="AH197" i="28"/>
  <c r="AH73" s="1"/>
  <c r="AH480"/>
  <c r="AH86" s="1"/>
  <c r="Y113" i="119"/>
  <c r="Y69" s="1"/>
  <c r="Y323"/>
  <c r="Y79" s="1"/>
  <c r="Y197"/>
  <c r="Y73" s="1"/>
  <c r="Y218" i="28"/>
  <c r="Y74" s="1"/>
  <c r="Y365"/>
  <c r="Y81" s="1"/>
  <c r="Y113"/>
  <c r="Y69" s="1"/>
  <c r="AJ239" i="121"/>
  <c r="AJ75" s="1"/>
  <c r="AJ281"/>
  <c r="AJ77" s="1"/>
  <c r="AJ496"/>
  <c r="AJ87" s="1"/>
  <c r="V239" i="28"/>
  <c r="V75" s="1"/>
  <c r="V323"/>
  <c r="V79" s="1"/>
  <c r="AC239" i="116"/>
  <c r="AC75" s="1"/>
  <c r="AC386"/>
  <c r="AC82" s="1"/>
  <c r="AC480" i="28"/>
  <c r="AC86" s="1"/>
  <c r="AC31"/>
  <c r="W197"/>
  <c r="W73" s="1"/>
  <c r="AG239" i="121"/>
  <c r="AG75" s="1"/>
  <c r="AG281"/>
  <c r="AG77" s="1"/>
  <c r="AG344"/>
  <c r="AG80" s="1"/>
  <c r="AG176"/>
  <c r="AG72" s="1"/>
  <c r="AG428"/>
  <c r="AG84" s="1"/>
  <c r="AF480" i="28"/>
  <c r="AF86" s="1"/>
  <c r="AF281"/>
  <c r="AF77" s="1"/>
  <c r="AF218"/>
  <c r="AF74" s="1"/>
  <c r="AF155"/>
  <c r="AF71" s="1"/>
  <c r="AD218"/>
  <c r="AD74" s="1"/>
  <c r="AD323"/>
  <c r="AD79" s="1"/>
  <c r="X496" i="121"/>
  <c r="X87" s="1"/>
  <c r="X197"/>
  <c r="X73" s="1"/>
  <c r="AI428"/>
  <c r="AI84" s="1"/>
  <c r="AI281"/>
  <c r="AI77" s="1"/>
  <c r="AI218"/>
  <c r="AI74" s="1"/>
  <c r="U197"/>
  <c r="U73" s="1"/>
  <c r="U155"/>
  <c r="U71" s="1"/>
  <c r="U239"/>
  <c r="U75" s="1"/>
  <c r="U344"/>
  <c r="U80" s="1"/>
  <c r="U365"/>
  <c r="U81" s="1"/>
  <c r="AF31" i="119"/>
  <c r="X134" i="28"/>
  <c r="X70" s="1"/>
  <c r="AD344"/>
  <c r="AD80" s="1"/>
  <c r="AH496" i="121"/>
  <c r="AH87" s="1"/>
  <c r="AH113"/>
  <c r="AH69" s="1"/>
  <c r="AH24"/>
  <c r="AH302"/>
  <c r="AH78" s="1"/>
  <c r="AH239"/>
  <c r="AH75" s="1"/>
  <c r="AH218"/>
  <c r="AH74" s="1"/>
  <c r="AH260"/>
  <c r="AH76" s="1"/>
  <c r="Y386" i="118"/>
  <c r="Y82" s="1"/>
  <c r="Y323"/>
  <c r="Y79" s="1"/>
  <c r="Y480"/>
  <c r="Y86" s="1"/>
  <c r="Y31"/>
  <c r="Y176"/>
  <c r="Y72" s="1"/>
  <c r="AJ155" i="116"/>
  <c r="AJ71" s="1"/>
  <c r="AJ464"/>
  <c r="AJ85" s="1"/>
  <c r="AJ480"/>
  <c r="AJ86" s="1"/>
  <c r="AJ155" i="119"/>
  <c r="AJ71" s="1"/>
  <c r="AJ218"/>
  <c r="AJ74" s="1"/>
  <c r="AJ365"/>
  <c r="AJ81" s="1"/>
  <c r="AJ323"/>
  <c r="AJ79" s="1"/>
  <c r="V113"/>
  <c r="V69" s="1"/>
  <c r="V24"/>
  <c r="AC113" i="121"/>
  <c r="AC69" s="1"/>
  <c r="AC24"/>
  <c r="AC428"/>
  <c r="AC84" s="1"/>
  <c r="W428" i="118"/>
  <c r="W84" s="1"/>
  <c r="W281"/>
  <c r="W77" s="1"/>
  <c r="AG386" i="116"/>
  <c r="AG82" s="1"/>
  <c r="AG464"/>
  <c r="AG85" s="1"/>
  <c r="AG323"/>
  <c r="AG79" s="1"/>
  <c r="AG496"/>
  <c r="AG87" s="1"/>
  <c r="AU505" i="121"/>
  <c r="AU505" i="119"/>
  <c r="AU505" i="118"/>
  <c r="AU505" i="28"/>
  <c r="AU505" i="117"/>
  <c r="AU505" i="120"/>
  <c r="AU505" i="116"/>
  <c r="AB464" i="119"/>
  <c r="AB85" s="1"/>
  <c r="AB113"/>
  <c r="AB69" s="1"/>
  <c r="AB480"/>
  <c r="AB86" s="1"/>
  <c r="AB365"/>
  <c r="AB81" s="1"/>
  <c r="AF344" i="121"/>
  <c r="AF80" s="1"/>
  <c r="AF218"/>
  <c r="AF74" s="1"/>
  <c r="AF24"/>
  <c r="AF36" s="1"/>
  <c r="AF113"/>
  <c r="AF69" s="1"/>
  <c r="AF281"/>
  <c r="AF77" s="1"/>
  <c r="AF176"/>
  <c r="AF72" s="1"/>
  <c r="AD155"/>
  <c r="AD71" s="1"/>
  <c r="AD344"/>
  <c r="AD80" s="1"/>
  <c r="AD323"/>
  <c r="AD79" s="1"/>
  <c r="AD365"/>
  <c r="AD81" s="1"/>
  <c r="AD496"/>
  <c r="AD87" s="1"/>
  <c r="X155" i="118"/>
  <c r="X71" s="1"/>
  <c r="X365"/>
  <c r="X81" s="1"/>
  <c r="X428"/>
  <c r="X84" s="1"/>
  <c r="X31"/>
  <c r="U428" i="116"/>
  <c r="U84" s="1"/>
  <c r="U155"/>
  <c r="U71" s="1"/>
  <c r="U464"/>
  <c r="U85" s="1"/>
  <c r="U239" i="117"/>
  <c r="U75" s="1"/>
  <c r="U407"/>
  <c r="U83" s="1"/>
  <c r="U496"/>
  <c r="U87" s="1"/>
  <c r="AJ218" i="28"/>
  <c r="AJ74" s="1"/>
  <c r="AJ323"/>
  <c r="AJ79" s="1"/>
  <c r="V323" i="121"/>
  <c r="V79" s="1"/>
  <c r="V197"/>
  <c r="V73" s="1"/>
  <c r="V365"/>
  <c r="V81" s="1"/>
  <c r="V407"/>
  <c r="V83" s="1"/>
  <c r="V302"/>
  <c r="V78" s="1"/>
  <c r="V281"/>
  <c r="V77" s="1"/>
  <c r="V480"/>
  <c r="V86" s="1"/>
  <c r="AC323" i="119"/>
  <c r="AC79" s="1"/>
  <c r="AC407"/>
  <c r="AC83" s="1"/>
  <c r="AC464"/>
  <c r="AC85" s="1"/>
  <c r="AC496"/>
  <c r="AC87" s="1"/>
  <c r="W218"/>
  <c r="W74" s="1"/>
  <c r="W407"/>
  <c r="W83" s="1"/>
  <c r="W464"/>
  <c r="W85" s="1"/>
  <c r="W428"/>
  <c r="W84" s="1"/>
  <c r="AB176" i="118"/>
  <c r="AB72" s="1"/>
  <c r="AB365"/>
  <c r="AB81" s="1"/>
  <c r="AB281"/>
  <c r="AB77" s="1"/>
  <c r="AB323"/>
  <c r="AB79" s="1"/>
  <c r="AF31" i="116"/>
  <c r="AF281"/>
  <c r="AF77" s="1"/>
  <c r="AF239"/>
  <c r="AF75" s="1"/>
  <c r="AF480" i="119"/>
  <c r="AF86" s="1"/>
  <c r="AD281" i="116"/>
  <c r="AD77" s="1"/>
  <c r="AD464"/>
  <c r="AD85" s="1"/>
  <c r="AD386"/>
  <c r="AD82" s="1"/>
  <c r="X365" i="119"/>
  <c r="X81" s="1"/>
  <c r="AI480"/>
  <c r="AI86" s="1"/>
  <c r="AI386"/>
  <c r="AI82" s="1"/>
  <c r="AI218"/>
  <c r="AI74" s="1"/>
  <c r="AI197"/>
  <c r="AI73" s="1"/>
  <c r="U386" i="118"/>
  <c r="U82" s="1"/>
  <c r="U496"/>
  <c r="U87" s="1"/>
  <c r="U197"/>
  <c r="U73" s="1"/>
  <c r="U281"/>
  <c r="U77" s="1"/>
  <c r="AH323" i="119"/>
  <c r="AH79" s="1"/>
  <c r="AH496"/>
  <c r="AH87" s="1"/>
  <c r="Y480" i="116"/>
  <c r="Y86" s="1"/>
  <c r="Y464"/>
  <c r="Y85" s="1"/>
  <c r="Y281"/>
  <c r="Y77" s="1"/>
  <c r="Y155"/>
  <c r="Y71" s="1"/>
  <c r="V407" i="118"/>
  <c r="V83" s="1"/>
  <c r="V480"/>
  <c r="V86" s="1"/>
  <c r="V31"/>
  <c r="V386"/>
  <c r="V82" s="1"/>
  <c r="V155"/>
  <c r="V71" s="1"/>
  <c r="V365"/>
  <c r="V81" s="1"/>
  <c r="V281"/>
  <c r="V77" s="1"/>
  <c r="W464" i="116"/>
  <c r="W85" s="1"/>
  <c r="W428"/>
  <c r="W84" s="1"/>
  <c r="W281"/>
  <c r="W77" s="1"/>
  <c r="AG386" i="119"/>
  <c r="AG82" s="1"/>
  <c r="AG323"/>
  <c r="AG79" s="1"/>
  <c r="AG155" i="28"/>
  <c r="AG71" s="1"/>
  <c r="AG365"/>
  <c r="AG81" s="1"/>
  <c r="AG113"/>
  <c r="AG69" s="1"/>
  <c r="AB239" i="116"/>
  <c r="AB75" s="1"/>
  <c r="AB155"/>
  <c r="AB71" s="1"/>
  <c r="AB480" i="28"/>
  <c r="AB86" s="1"/>
  <c r="AD323" i="118"/>
  <c r="AD79" s="1"/>
  <c r="AD407"/>
  <c r="AD83" s="1"/>
  <c r="AD464"/>
  <c r="AD85" s="1"/>
  <c r="AD281"/>
  <c r="AD77" s="1"/>
  <c r="X218" i="28"/>
  <c r="X74" s="1"/>
  <c r="X197"/>
  <c r="X73" s="1"/>
  <c r="X155"/>
  <c r="X71" s="1"/>
  <c r="X365"/>
  <c r="X81" s="1"/>
  <c r="X386"/>
  <c r="X82" s="1"/>
  <c r="AI365" i="116"/>
  <c r="AI81" s="1"/>
  <c r="AI176"/>
  <c r="AI72" s="1"/>
  <c r="AI407"/>
  <c r="AI83" s="1"/>
  <c r="AI480"/>
  <c r="AI86" s="1"/>
  <c r="AI197" i="28"/>
  <c r="AI73" s="1"/>
  <c r="AI281"/>
  <c r="AI77" s="1"/>
  <c r="AI323"/>
  <c r="AI79" s="1"/>
  <c r="AI31"/>
  <c r="AI386"/>
  <c r="AI82" s="1"/>
  <c r="U407" i="119"/>
  <c r="U83" s="1"/>
  <c r="U428"/>
  <c r="U84" s="1"/>
  <c r="U365" i="28"/>
  <c r="U81" s="1"/>
  <c r="Y386" i="121"/>
  <c r="Y82" s="1"/>
  <c r="Y24"/>
  <c r="Y113"/>
  <c r="Y69" s="1"/>
  <c r="Y323"/>
  <c r="Y79" s="1"/>
  <c r="Y218"/>
  <c r="Y74" s="1"/>
  <c r="V464" i="116"/>
  <c r="V85" s="1"/>
  <c r="V365"/>
  <c r="V81" s="1"/>
  <c r="V480"/>
  <c r="V86" s="1"/>
  <c r="AC496" i="118"/>
  <c r="AC87" s="1"/>
  <c r="AC323"/>
  <c r="AC79" s="1"/>
  <c r="AC31"/>
  <c r="AC155"/>
  <c r="AC71" s="1"/>
  <c r="W24" i="121"/>
  <c r="W113"/>
  <c r="W69" s="1"/>
  <c r="W407"/>
  <c r="W83" s="1"/>
  <c r="W155"/>
  <c r="W71" s="1"/>
  <c r="W218"/>
  <c r="W74" s="1"/>
  <c r="AD407" i="119"/>
  <c r="AD83" s="1"/>
  <c r="Y464"/>
  <c r="Y85" s="1"/>
  <c r="V281" i="28"/>
  <c r="V77" s="1"/>
  <c r="U113" i="121"/>
  <c r="U69" s="1"/>
  <c r="U24"/>
  <c r="U480"/>
  <c r="U86" s="1"/>
  <c r="AF464"/>
  <c r="AF85" s="1"/>
  <c r="R24" i="119"/>
  <c r="AB24" i="118"/>
  <c r="U239"/>
  <c r="U75" s="1"/>
  <c r="AU501"/>
  <c r="AU501" i="116"/>
  <c r="AU501" i="121"/>
  <c r="AU501" i="119"/>
  <c r="AU501" i="117"/>
  <c r="AU501" i="120"/>
  <c r="AU501" i="28"/>
  <c r="AH365" i="119"/>
  <c r="AH81" s="1"/>
  <c r="AB386" i="28"/>
  <c r="AB82" s="1"/>
  <c r="AD113" i="116"/>
  <c r="AD69" s="1"/>
  <c r="V24" i="28"/>
  <c r="R24" i="120"/>
  <c r="AC260" i="119"/>
  <c r="AC76" s="1"/>
  <c r="U24" i="117"/>
  <c r="V113" i="116"/>
  <c r="V69" s="1"/>
  <c r="AH31"/>
  <c r="AH176"/>
  <c r="AH72" s="1"/>
  <c r="AH281"/>
  <c r="AH77" s="1"/>
  <c r="AH386" i="28"/>
  <c r="AH82" s="1"/>
  <c r="AH281"/>
  <c r="AH77" s="1"/>
  <c r="AH113"/>
  <c r="AH69" s="1"/>
  <c r="Y365" i="119"/>
  <c r="Y81" s="1"/>
  <c r="Y239" i="28"/>
  <c r="Y75" s="1"/>
  <c r="Y480"/>
  <c r="Y86" s="1"/>
  <c r="Y197"/>
  <c r="Y73" s="1"/>
  <c r="AJ31" i="121"/>
  <c r="AJ218"/>
  <c r="AJ74" s="1"/>
  <c r="V218" i="28"/>
  <c r="V74" s="1"/>
  <c r="V197"/>
  <c r="V73" s="1"/>
  <c r="V496"/>
  <c r="V87" s="1"/>
  <c r="AC31" i="116"/>
  <c r="AC323"/>
  <c r="AC79" s="1"/>
  <c r="AC365"/>
  <c r="AC81" s="1"/>
  <c r="AC407"/>
  <c r="AC83" s="1"/>
  <c r="AC155" i="28"/>
  <c r="AC71" s="1"/>
  <c r="W239"/>
  <c r="W75" s="1"/>
  <c r="AG31" i="121"/>
  <c r="AG480"/>
  <c r="AG86" s="1"/>
  <c r="AG218"/>
  <c r="AG74" s="1"/>
  <c r="R31" i="28"/>
  <c r="AF323"/>
  <c r="AF79" s="1"/>
  <c r="AF496"/>
  <c r="AF87" s="1"/>
  <c r="AD197"/>
  <c r="AD73" s="1"/>
  <c r="AD31"/>
  <c r="X31" i="116"/>
  <c r="X281"/>
  <c r="X77" s="1"/>
  <c r="X176"/>
  <c r="X72" s="1"/>
  <c r="X496"/>
  <c r="X87" s="1"/>
  <c r="X480" i="121"/>
  <c r="X86" s="1"/>
  <c r="X113"/>
  <c r="X69" s="1"/>
  <c r="X24"/>
  <c r="X323"/>
  <c r="X79" s="1"/>
  <c r="X302"/>
  <c r="X78" s="1"/>
  <c r="AI464"/>
  <c r="AI85" s="1"/>
  <c r="AI302"/>
  <c r="AI78" s="1"/>
  <c r="AI386"/>
  <c r="AI82" s="1"/>
  <c r="U323"/>
  <c r="U79" s="1"/>
  <c r="U464"/>
  <c r="U85" s="1"/>
  <c r="U134"/>
  <c r="U70" s="1"/>
  <c r="V24" i="118"/>
  <c r="AF24" i="119"/>
  <c r="AH464" i="121"/>
  <c r="AH85" s="1"/>
  <c r="AH197"/>
  <c r="AH73" s="1"/>
  <c r="AH31"/>
  <c r="AH428"/>
  <c r="AH84" s="1"/>
  <c r="AH281"/>
  <c r="AH77" s="1"/>
  <c r="AH386"/>
  <c r="AH82" s="1"/>
  <c r="Y496" i="118"/>
  <c r="Y87" s="1"/>
  <c r="Y155"/>
  <c r="Y71" s="1"/>
  <c r="AJ31" i="116"/>
  <c r="AJ496"/>
  <c r="AJ87" s="1"/>
  <c r="AJ407" i="119"/>
  <c r="AJ83" s="1"/>
  <c r="V386"/>
  <c r="V82" s="1"/>
  <c r="AC464" i="121"/>
  <c r="AC85" s="1"/>
  <c r="AC155"/>
  <c r="AC71" s="1"/>
  <c r="AC480"/>
  <c r="AC86" s="1"/>
  <c r="AC260"/>
  <c r="AC76" s="1"/>
  <c r="AC386"/>
  <c r="AC82" s="1"/>
  <c r="AC496"/>
  <c r="AC87" s="1"/>
  <c r="W496" i="118"/>
  <c r="W87" s="1"/>
  <c r="W464"/>
  <c r="W85" s="1"/>
  <c r="W386"/>
  <c r="W82" s="1"/>
  <c r="W480"/>
  <c r="W86" s="1"/>
  <c r="W365"/>
  <c r="W81" s="1"/>
  <c r="AG428" i="116"/>
  <c r="AG84" s="1"/>
  <c r="AG176"/>
  <c r="AG72" s="1"/>
  <c r="AG281"/>
  <c r="AG77" s="1"/>
  <c r="AG480"/>
  <c r="AG86" s="1"/>
  <c r="AB407" i="119"/>
  <c r="AB83" s="1"/>
  <c r="AB218"/>
  <c r="AB74" s="1"/>
  <c r="AB197"/>
  <c r="AB73" s="1"/>
  <c r="R31" i="120"/>
  <c r="AF496" i="121"/>
  <c r="AF87" s="1"/>
  <c r="AD407"/>
  <c r="AD83" s="1"/>
  <c r="AD464"/>
  <c r="AD85" s="1"/>
  <c r="X176" i="118"/>
  <c r="X72" s="1"/>
  <c r="X464"/>
  <c r="X85" s="1"/>
  <c r="X386"/>
  <c r="X82" s="1"/>
  <c r="U31" i="116"/>
  <c r="U281"/>
  <c r="U77" s="1"/>
  <c r="AI24" i="119"/>
  <c r="AI36" s="1"/>
  <c r="AI38" s="1"/>
  <c r="AJ31" i="28"/>
  <c r="AJ365"/>
  <c r="AJ81" s="1"/>
  <c r="V134" i="121"/>
  <c r="V70" s="1"/>
  <c r="V344"/>
  <c r="V80" s="1"/>
  <c r="V260"/>
  <c r="V76" s="1"/>
  <c r="AC344" i="119"/>
  <c r="AC80" s="1"/>
  <c r="AC197"/>
  <c r="AC73" s="1"/>
  <c r="W386"/>
  <c r="W82" s="1"/>
  <c r="W496"/>
  <c r="W87" s="1"/>
  <c r="AB218" i="121"/>
  <c r="AB74" s="1"/>
  <c r="AB260"/>
  <c r="AB76" s="1"/>
  <c r="R31" i="118"/>
  <c r="AF155" i="116"/>
  <c r="AF71" s="1"/>
  <c r="AF496"/>
  <c r="AF87" s="1"/>
  <c r="AF365"/>
  <c r="AF81" s="1"/>
  <c r="AF464" i="119"/>
  <c r="AF85" s="1"/>
  <c r="AD480" i="116"/>
  <c r="AD86" s="1"/>
  <c r="AD239"/>
  <c r="AD75" s="1"/>
  <c r="AD407"/>
  <c r="AD83" s="1"/>
  <c r="X480" i="119"/>
  <c r="X86" s="1"/>
  <c r="X428"/>
  <c r="X84" s="1"/>
  <c r="AI428"/>
  <c r="AI84" s="1"/>
  <c r="U113" i="118"/>
  <c r="U69" s="1"/>
  <c r="U155"/>
  <c r="U71" s="1"/>
  <c r="U365"/>
  <c r="U81" s="1"/>
  <c r="AT501" i="117"/>
  <c r="AT501" i="118"/>
  <c r="AT501" i="28"/>
  <c r="AT501" i="120"/>
  <c r="AT501" i="119"/>
  <c r="AT501" i="116"/>
  <c r="AT501" i="121"/>
  <c r="W24" i="116"/>
  <c r="AH218" i="119"/>
  <c r="AH74" s="1"/>
  <c r="AH428"/>
  <c r="AH84" s="1"/>
  <c r="Y386" i="116"/>
  <c r="Y82" s="1"/>
  <c r="Y239"/>
  <c r="Y75" s="1"/>
  <c r="Y218"/>
  <c r="Y74" s="1"/>
  <c r="Y496"/>
  <c r="Y87" s="1"/>
  <c r="V464" i="118"/>
  <c r="V85" s="1"/>
  <c r="V496"/>
  <c r="V87" s="1"/>
  <c r="W386" i="116"/>
  <c r="W82" s="1"/>
  <c r="W113"/>
  <c r="W69" s="1"/>
  <c r="AG281" i="28"/>
  <c r="AG77" s="1"/>
  <c r="AG480"/>
  <c r="AG86" s="1"/>
  <c r="AG386"/>
  <c r="AG82" s="1"/>
  <c r="AB480" i="116"/>
  <c r="AB86" s="1"/>
  <c r="AB386"/>
  <c r="AB82" s="1"/>
  <c r="AB31"/>
  <c r="AB36" s="1"/>
  <c r="AB38" s="1"/>
  <c r="AB365" i="28"/>
  <c r="AB81" s="1"/>
  <c r="AB31"/>
  <c r="R24" i="121"/>
  <c r="AD496" i="118"/>
  <c r="AD87" s="1"/>
  <c r="AD480"/>
  <c r="AD86" s="1"/>
  <c r="AI31" i="116"/>
  <c r="AI281"/>
  <c r="AI77" s="1"/>
  <c r="AI480" i="28"/>
  <c r="AI86" s="1"/>
  <c r="U197" i="119"/>
  <c r="U73" s="1"/>
  <c r="U323" i="28"/>
  <c r="U79" s="1"/>
  <c r="U480"/>
  <c r="U86" s="1"/>
  <c r="U134"/>
  <c r="U70" s="1"/>
  <c r="AH24" i="119"/>
  <c r="AH36" s="1"/>
  <c r="AH38" s="1"/>
  <c r="V24" i="116"/>
  <c r="Y407" i="121"/>
  <c r="Y83" s="1"/>
  <c r="V323" i="116"/>
  <c r="V79" s="1"/>
  <c r="AC386" i="118"/>
  <c r="AC82" s="1"/>
  <c r="AC239"/>
  <c r="AC75" s="1"/>
  <c r="W239" i="121"/>
  <c r="W75" s="1"/>
  <c r="W302"/>
  <c r="W78" s="1"/>
  <c r="AD323" i="119"/>
  <c r="AD79" s="1"/>
  <c r="AD113"/>
  <c r="AD69" s="1"/>
  <c r="F196" i="109"/>
  <c r="F189"/>
  <c r="F190"/>
  <c r="F198"/>
  <c r="F186"/>
  <c r="F188"/>
  <c r="F197"/>
  <c r="F195"/>
  <c r="H22" i="100"/>
  <c r="Y36" i="1" s="1"/>
  <c r="X34" s="1"/>
  <c r="E22" i="100"/>
  <c r="P36" i="1" s="1"/>
  <c r="O34" s="1"/>
  <c r="F22" i="100"/>
  <c r="S36" i="1" s="1"/>
  <c r="R34" s="1"/>
  <c r="Q33" s="1"/>
  <c r="R6" s="1"/>
  <c r="G22" i="100"/>
  <c r="V36" i="1" s="1"/>
  <c r="U34" s="1"/>
  <c r="U11" i="109" s="1"/>
  <c r="E180" s="1"/>
  <c r="N20" i="119"/>
  <c r="T88" i="118"/>
  <c r="T90" s="1"/>
  <c r="T36" i="117"/>
  <c r="T38" s="1"/>
  <c r="T36" i="118"/>
  <c r="T38" s="1"/>
  <c r="Z88" i="116"/>
  <c r="Z90" s="1"/>
  <c r="AA36" i="119"/>
  <c r="AA38" s="1"/>
  <c r="AH65" i="121"/>
  <c r="AH10" s="1"/>
  <c r="AH14" s="1"/>
  <c r="AG65"/>
  <c r="AG10" s="1"/>
  <c r="AG14" s="1"/>
  <c r="AE65"/>
  <c r="AE10" s="1"/>
  <c r="AE14" s="1"/>
  <c r="AB65"/>
  <c r="AB10" s="1"/>
  <c r="AB14" s="1"/>
  <c r="AK36" i="119"/>
  <c r="AK38" s="1"/>
  <c r="AU65" i="121"/>
  <c r="AU10" s="1"/>
  <c r="AU14" s="1"/>
  <c r="AU38" s="1"/>
  <c r="Z65"/>
  <c r="Z10" s="1"/>
  <c r="Z14" s="1"/>
  <c r="AQ65"/>
  <c r="AQ10" s="1"/>
  <c r="AQ14" s="1"/>
  <c r="AQ38" s="1"/>
  <c r="W65"/>
  <c r="W10" s="1"/>
  <c r="W14" s="1"/>
  <c r="N19" i="119"/>
  <c r="Z36" i="116"/>
  <c r="Z38" s="1"/>
  <c r="N23" i="119"/>
  <c r="AA36" i="116"/>
  <c r="AA38" s="1"/>
  <c r="Z36" i="119"/>
  <c r="Z38" s="1"/>
  <c r="AO65" i="121"/>
  <c r="AO10" s="1"/>
  <c r="AO14" s="1"/>
  <c r="AO38" s="1"/>
  <c r="AK36" i="28"/>
  <c r="AK38" s="1"/>
  <c r="AL65" i="121"/>
  <c r="AL10" s="1"/>
  <c r="AL14" s="1"/>
  <c r="AL38" s="1"/>
  <c r="K33" i="1"/>
  <c r="L6" s="1"/>
  <c r="L11" i="109"/>
  <c r="E177" s="1"/>
  <c r="H33" i="1"/>
  <c r="I6" s="1"/>
  <c r="I11" i="109"/>
  <c r="E176" s="1"/>
  <c r="AA36" i="28"/>
  <c r="AA38" s="1"/>
  <c r="AF65" i="121"/>
  <c r="AF10" s="1"/>
  <c r="AF14" s="1"/>
  <c r="AJ65"/>
  <c r="AJ10" s="1"/>
  <c r="AJ14" s="1"/>
  <c r="X11" i="109"/>
  <c r="E181" s="1"/>
  <c r="W33" i="1"/>
  <c r="X6" s="1"/>
  <c r="AD65" i="121"/>
  <c r="AD10" s="1"/>
  <c r="AD14" s="1"/>
  <c r="N22" i="28"/>
  <c r="V65" i="121"/>
  <c r="V10" s="1"/>
  <c r="V14" s="1"/>
  <c r="AA65"/>
  <c r="AA10" s="1"/>
  <c r="AA14" s="1"/>
  <c r="AR65"/>
  <c r="AR10" s="1"/>
  <c r="AR14" s="1"/>
  <c r="AR38" s="1"/>
  <c r="X65"/>
  <c r="X10" s="1"/>
  <c r="X14" s="1"/>
  <c r="AM65"/>
  <c r="AM10" s="1"/>
  <c r="AM14" s="1"/>
  <c r="AM38" s="1"/>
  <c r="AC65"/>
  <c r="AC10" s="1"/>
  <c r="AC14" s="1"/>
  <c r="T65"/>
  <c r="T10" s="1"/>
  <c r="T14" s="1"/>
  <c r="AK65"/>
  <c r="AK10" s="1"/>
  <c r="AK14" s="1"/>
  <c r="AI65"/>
  <c r="AI10" s="1"/>
  <c r="AI14" s="1"/>
  <c r="N22" i="119"/>
  <c r="AP65" i="121"/>
  <c r="AP10" s="1"/>
  <c r="AP14" s="1"/>
  <c r="AP38" s="1"/>
  <c r="R65"/>
  <c r="R10" s="1"/>
  <c r="R14" s="1"/>
  <c r="I31" i="8"/>
  <c r="AN65" i="121"/>
  <c r="AN10" s="1"/>
  <c r="AN14" s="1"/>
  <c r="AN38" s="1"/>
  <c r="S65"/>
  <c r="S10" s="1"/>
  <c r="S14" s="1"/>
  <c r="AT65"/>
  <c r="AT10" s="1"/>
  <c r="AT14" s="1"/>
  <c r="AT38" s="1"/>
  <c r="AS65"/>
  <c r="AS10" s="1"/>
  <c r="AS14" s="1"/>
  <c r="AS38" s="1"/>
  <c r="N64"/>
  <c r="Y65"/>
  <c r="Y10" s="1"/>
  <c r="Y14" s="1"/>
  <c r="N63"/>
  <c r="U65"/>
  <c r="U10" s="1"/>
  <c r="U14" s="1"/>
  <c r="N65" i="119"/>
  <c r="K30" i="8"/>
  <c r="K29"/>
  <c r="I74" i="109"/>
  <c r="I76"/>
  <c r="E76"/>
  <c r="I73"/>
  <c r="I77"/>
  <c r="AK470" i="116" l="1"/>
  <c r="AK381"/>
  <c r="AK312"/>
  <c r="AK187"/>
  <c r="AK124"/>
  <c r="AK487"/>
  <c r="AK230"/>
  <c r="AK491"/>
  <c r="AK355"/>
  <c r="AK364"/>
  <c r="AK471"/>
  <c r="AK427"/>
  <c r="AK382"/>
  <c r="AK476"/>
  <c r="AK463"/>
  <c r="AK319"/>
  <c r="AK259"/>
  <c r="AK255"/>
  <c r="AK130"/>
  <c r="AK333"/>
  <c r="AK475"/>
  <c r="AK108"/>
  <c r="AK123"/>
  <c r="AK455"/>
  <c r="AK277"/>
  <c r="AK399"/>
  <c r="AK292"/>
  <c r="AK485"/>
  <c r="AK375"/>
  <c r="AK339"/>
  <c r="AK418"/>
  <c r="AK313"/>
  <c r="AK217"/>
  <c r="AK209"/>
  <c r="AK252"/>
  <c r="AK495"/>
  <c r="AK402"/>
  <c r="AK193"/>
  <c r="AK167"/>
  <c r="AK340"/>
  <c r="AK314"/>
  <c r="AK272"/>
  <c r="AK291"/>
  <c r="AK150"/>
  <c r="AK378"/>
  <c r="AK419"/>
  <c r="AK229"/>
  <c r="AK453"/>
  <c r="AK234"/>
  <c r="AK420"/>
  <c r="AK315"/>
  <c r="AK214"/>
  <c r="AK492"/>
  <c r="AK188"/>
  <c r="AK459"/>
  <c r="AK334"/>
  <c r="AK147"/>
  <c r="AK235"/>
  <c r="AK460"/>
  <c r="AK251"/>
  <c r="AK318"/>
  <c r="AK454"/>
  <c r="AK354"/>
  <c r="AK403"/>
  <c r="AK385"/>
  <c r="AK297"/>
  <c r="AK105"/>
  <c r="AK210"/>
  <c r="AK192"/>
  <c r="AK189"/>
  <c r="AK256"/>
  <c r="AK166"/>
  <c r="AK112"/>
  <c r="AK379"/>
  <c r="AK301"/>
  <c r="AK196"/>
  <c r="AK211"/>
  <c r="AK238"/>
  <c r="AK154"/>
  <c r="AK129"/>
  <c r="AK276"/>
  <c r="AK472"/>
  <c r="AK103"/>
  <c r="AK125"/>
  <c r="AK479"/>
  <c r="AK424"/>
  <c r="AK298"/>
  <c r="AK146"/>
  <c r="AK148"/>
  <c r="AK171"/>
  <c r="AK397"/>
  <c r="AK280"/>
  <c r="AK271"/>
  <c r="AK270"/>
  <c r="AK335"/>
  <c r="AK145"/>
  <c r="AK423"/>
  <c r="AK144"/>
  <c r="AK151"/>
  <c r="AK398"/>
  <c r="AK168"/>
  <c r="AK250"/>
  <c r="AK357"/>
  <c r="AK175"/>
  <c r="AK228"/>
  <c r="AK406"/>
  <c r="AK249"/>
  <c r="AK469"/>
  <c r="AK396"/>
  <c r="AK208"/>
  <c r="AK104"/>
  <c r="AK165"/>
  <c r="AK456"/>
  <c r="AK133"/>
  <c r="AK488"/>
  <c r="AK172"/>
  <c r="AK343"/>
  <c r="AK231"/>
  <c r="AK169"/>
  <c r="AK360"/>
  <c r="AK213"/>
  <c r="AK486"/>
  <c r="AK322"/>
  <c r="AK273"/>
  <c r="AK377"/>
  <c r="AK356"/>
  <c r="AK376"/>
  <c r="AK417"/>
  <c r="AK361"/>
  <c r="AK102"/>
  <c r="AK421"/>
  <c r="AK359"/>
  <c r="AK478"/>
  <c r="AK400"/>
  <c r="AK174"/>
  <c r="AK195"/>
  <c r="AK279"/>
  <c r="AK401"/>
  <c r="AK109"/>
  <c r="AK26" s="1"/>
  <c r="AK254"/>
  <c r="AK316"/>
  <c r="AK232"/>
  <c r="AK149"/>
  <c r="AK384"/>
  <c r="AK462"/>
  <c r="AK473"/>
  <c r="AK474"/>
  <c r="AK317"/>
  <c r="AK490"/>
  <c r="AK275"/>
  <c r="AK358"/>
  <c r="AK295"/>
  <c r="AK293"/>
  <c r="AK21" s="1"/>
  <c r="AK126"/>
  <c r="AK294"/>
  <c r="AK337"/>
  <c r="AK190"/>
  <c r="AK426"/>
  <c r="AK107"/>
  <c r="AK132"/>
  <c r="AK153"/>
  <c r="AK216"/>
  <c r="AK380"/>
  <c r="AK274"/>
  <c r="AK127"/>
  <c r="AK128"/>
  <c r="AK422"/>
  <c r="AK191"/>
  <c r="AK338"/>
  <c r="AK186"/>
  <c r="AK253"/>
  <c r="AK207"/>
  <c r="AK457"/>
  <c r="AK494"/>
  <c r="AK363"/>
  <c r="AK106"/>
  <c r="AK489"/>
  <c r="AK212"/>
  <c r="AK233"/>
  <c r="AK237"/>
  <c r="AK296"/>
  <c r="AK336"/>
  <c r="AK405"/>
  <c r="AK407" s="1"/>
  <c r="AK83" s="1"/>
  <c r="AK458"/>
  <c r="AK342"/>
  <c r="AK111"/>
  <c r="AK300"/>
  <c r="AK258"/>
  <c r="AK321"/>
  <c r="AK323" s="1"/>
  <c r="AK79" s="1"/>
  <c r="AK170"/>
  <c r="AK176" s="1"/>
  <c r="AK72" s="1"/>
  <c r="AJ65"/>
  <c r="AE19" i="118"/>
  <c r="AE113"/>
  <c r="AE69" s="1"/>
  <c r="AF45"/>
  <c r="AF65" s="1"/>
  <c r="AF10"/>
  <c r="AF14" s="1"/>
  <c r="AE65"/>
  <c r="U65" i="117"/>
  <c r="R108" i="28"/>
  <c r="R213"/>
  <c r="R218" s="1"/>
  <c r="R74" s="1"/>
  <c r="R491"/>
  <c r="R496" s="1"/>
  <c r="R87" s="1"/>
  <c r="R192"/>
  <c r="R197" s="1"/>
  <c r="R73" s="1"/>
  <c r="R276"/>
  <c r="R281" s="1"/>
  <c r="R77" s="1"/>
  <c r="R150"/>
  <c r="R155" s="1"/>
  <c r="R71" s="1"/>
  <c r="R402"/>
  <c r="R407" s="1"/>
  <c r="R83" s="1"/>
  <c r="R297"/>
  <c r="R302" s="1"/>
  <c r="R78" s="1"/>
  <c r="R171"/>
  <c r="R176" s="1"/>
  <c r="R72" s="1"/>
  <c r="R423"/>
  <c r="R428" s="1"/>
  <c r="R84" s="1"/>
  <c r="R234"/>
  <c r="R239" s="1"/>
  <c r="R75" s="1"/>
  <c r="R475"/>
  <c r="R480" s="1"/>
  <c r="R86" s="1"/>
  <c r="R318"/>
  <c r="R323" s="1"/>
  <c r="R79" s="1"/>
  <c r="R339"/>
  <c r="R344" s="1"/>
  <c r="R80" s="1"/>
  <c r="R360"/>
  <c r="R365" s="1"/>
  <c r="R81" s="1"/>
  <c r="R255"/>
  <c r="R260" s="1"/>
  <c r="R76" s="1"/>
  <c r="R459"/>
  <c r="R464" s="1"/>
  <c r="R85" s="1"/>
  <c r="R129"/>
  <c r="R134" s="1"/>
  <c r="R70" s="1"/>
  <c r="R381"/>
  <c r="R386" s="1"/>
  <c r="R82" s="1"/>
  <c r="R150" i="117"/>
  <c r="R155" s="1"/>
  <c r="R71" s="1"/>
  <c r="R402"/>
  <c r="R407" s="1"/>
  <c r="R83" s="1"/>
  <c r="R108"/>
  <c r="R192"/>
  <c r="R197" s="1"/>
  <c r="R73" s="1"/>
  <c r="R423"/>
  <c r="R428" s="1"/>
  <c r="R84" s="1"/>
  <c r="R297"/>
  <c r="R302" s="1"/>
  <c r="R78" s="1"/>
  <c r="R255"/>
  <c r="R260" s="1"/>
  <c r="R76" s="1"/>
  <c r="R276"/>
  <c r="R281" s="1"/>
  <c r="R77" s="1"/>
  <c r="R171"/>
  <c r="R176" s="1"/>
  <c r="R72" s="1"/>
  <c r="R381"/>
  <c r="R386" s="1"/>
  <c r="R82" s="1"/>
  <c r="R213"/>
  <c r="R218" s="1"/>
  <c r="R74" s="1"/>
  <c r="R459"/>
  <c r="R464" s="1"/>
  <c r="R85" s="1"/>
  <c r="R129"/>
  <c r="R134" s="1"/>
  <c r="R70" s="1"/>
  <c r="R491"/>
  <c r="R496" s="1"/>
  <c r="R87" s="1"/>
  <c r="R318"/>
  <c r="R323" s="1"/>
  <c r="R79" s="1"/>
  <c r="R360"/>
  <c r="R365" s="1"/>
  <c r="R81" s="1"/>
  <c r="R475"/>
  <c r="R480" s="1"/>
  <c r="R86" s="1"/>
  <c r="R339"/>
  <c r="R344" s="1"/>
  <c r="R80" s="1"/>
  <c r="R234"/>
  <c r="R239" s="1"/>
  <c r="R75" s="1"/>
  <c r="U20"/>
  <c r="U23"/>
  <c r="U260"/>
  <c r="U76" s="1"/>
  <c r="AE32" i="118"/>
  <c r="AE25"/>
  <c r="T26" i="120"/>
  <c r="AJ25" i="116"/>
  <c r="AU197" i="28"/>
  <c r="AU73" s="1"/>
  <c r="AU32"/>
  <c r="AU176"/>
  <c r="AU72" s="1"/>
  <c r="AU281"/>
  <c r="AU77" s="1"/>
  <c r="AU428"/>
  <c r="AU84" s="1"/>
  <c r="AU464"/>
  <c r="AU85" s="1"/>
  <c r="AU23"/>
  <c r="N23" s="1"/>
  <c r="AL346" i="116"/>
  <c r="AL435"/>
  <c r="AL99"/>
  <c r="AL409"/>
  <c r="AL507"/>
  <c r="AL508" s="1"/>
  <c r="AL509" s="1"/>
  <c r="AL309"/>
  <c r="AL199"/>
  <c r="AM8"/>
  <c r="AL246"/>
  <c r="AL330"/>
  <c r="AL115"/>
  <c r="AL430"/>
  <c r="AL94"/>
  <c r="AL183"/>
  <c r="AL440"/>
  <c r="AL157"/>
  <c r="AL393"/>
  <c r="AL204"/>
  <c r="AL16"/>
  <c r="AL283"/>
  <c r="AL42"/>
  <c r="AL67" s="1"/>
  <c r="AL367"/>
  <c r="AL445"/>
  <c r="AL482"/>
  <c r="AL178"/>
  <c r="AL267"/>
  <c r="AL466"/>
  <c r="AL241"/>
  <c r="AL141"/>
  <c r="AL136"/>
  <c r="AL288"/>
  <c r="AL450"/>
  <c r="AL120"/>
  <c r="AL388"/>
  <c r="AL262"/>
  <c r="AL351"/>
  <c r="AL503"/>
  <c r="AL325"/>
  <c r="AL225"/>
  <c r="AL162"/>
  <c r="AL499"/>
  <c r="AL220"/>
  <c r="AL304"/>
  <c r="AL372"/>
  <c r="AL414"/>
  <c r="AL306"/>
  <c r="AL55" s="1"/>
  <c r="AL117"/>
  <c r="AL46" s="1"/>
  <c r="AL222"/>
  <c r="AL51" s="1"/>
  <c r="AL369"/>
  <c r="AL58" s="1"/>
  <c r="AL159"/>
  <c r="AL48" s="1"/>
  <c r="AL348"/>
  <c r="AL57" s="1"/>
  <c r="AL201"/>
  <c r="AL50" s="1"/>
  <c r="AL138"/>
  <c r="AL47" s="1"/>
  <c r="AL411"/>
  <c r="AL60" s="1"/>
  <c r="AL180"/>
  <c r="AL49" s="1"/>
  <c r="AL442"/>
  <c r="AL63" s="1"/>
  <c r="AL437"/>
  <c r="AL62" s="1"/>
  <c r="AL285"/>
  <c r="AL54" s="1"/>
  <c r="AL327"/>
  <c r="AL56" s="1"/>
  <c r="AL390"/>
  <c r="AL59" s="1"/>
  <c r="AL447"/>
  <c r="AL64" s="1"/>
  <c r="AL243"/>
  <c r="AL52" s="1"/>
  <c r="AL96"/>
  <c r="AL264"/>
  <c r="AL53" s="1"/>
  <c r="AL432"/>
  <c r="AL61" s="1"/>
  <c r="AJ14"/>
  <c r="AG440" i="118"/>
  <c r="AG241"/>
  <c r="AG388"/>
  <c r="AG367"/>
  <c r="AG204"/>
  <c r="AG16"/>
  <c r="AG141"/>
  <c r="AG94"/>
  <c r="AG99"/>
  <c r="AG225"/>
  <c r="AG372"/>
  <c r="AG267"/>
  <c r="AG466"/>
  <c r="AG325"/>
  <c r="AG499"/>
  <c r="AG450"/>
  <c r="AG351"/>
  <c r="AG430"/>
  <c r="AG178"/>
  <c r="AG183"/>
  <c r="AG120"/>
  <c r="AG435"/>
  <c r="AG503"/>
  <c r="AG409"/>
  <c r="AG330"/>
  <c r="AG220"/>
  <c r="AG199"/>
  <c r="AG42"/>
  <c r="AG67" s="1"/>
  <c r="AG136"/>
  <c r="AG246"/>
  <c r="AG346"/>
  <c r="AH8"/>
  <c r="AG115"/>
  <c r="AG482"/>
  <c r="AG445"/>
  <c r="AG414"/>
  <c r="AG304"/>
  <c r="AG283"/>
  <c r="AG162"/>
  <c r="AG262"/>
  <c r="AG393"/>
  <c r="AG288"/>
  <c r="AG507"/>
  <c r="AG508" s="1"/>
  <c r="AG509" s="1"/>
  <c r="AG309"/>
  <c r="AG157"/>
  <c r="AG411"/>
  <c r="AG60" s="1"/>
  <c r="AG432"/>
  <c r="AG61" s="1"/>
  <c r="AG180"/>
  <c r="AG49" s="1"/>
  <c r="AG222"/>
  <c r="AG51" s="1"/>
  <c r="AG96"/>
  <c r="AG138"/>
  <c r="AG47" s="1"/>
  <c r="AG437"/>
  <c r="AG62" s="1"/>
  <c r="AG447"/>
  <c r="AG64" s="1"/>
  <c r="AG306"/>
  <c r="AG55" s="1"/>
  <c r="AG159"/>
  <c r="AG48" s="1"/>
  <c r="AG117"/>
  <c r="AG46" s="1"/>
  <c r="AG442"/>
  <c r="AG63" s="1"/>
  <c r="AG348"/>
  <c r="AG57" s="1"/>
  <c r="AG390"/>
  <c r="AG59" s="1"/>
  <c r="AG243"/>
  <c r="AG52" s="1"/>
  <c r="AG201"/>
  <c r="AG50" s="1"/>
  <c r="AG369"/>
  <c r="AG58" s="1"/>
  <c r="AG327"/>
  <c r="AG56" s="1"/>
  <c r="AG264"/>
  <c r="AG53" s="1"/>
  <c r="AG285"/>
  <c r="AG54" s="1"/>
  <c r="AE14"/>
  <c r="U14" i="117"/>
  <c r="AJ113" i="116"/>
  <c r="AJ69" s="1"/>
  <c r="AJ19"/>
  <c r="V103" i="117"/>
  <c r="V193"/>
  <c r="V154"/>
  <c r="V196"/>
  <c r="V168"/>
  <c r="V105"/>
  <c r="V147"/>
  <c r="V165"/>
  <c r="V291"/>
  <c r="V271"/>
  <c r="V378"/>
  <c r="V486"/>
  <c r="V232"/>
  <c r="V210"/>
  <c r="V150"/>
  <c r="V217"/>
  <c r="V175"/>
  <c r="V235"/>
  <c r="V112"/>
  <c r="V472"/>
  <c r="V406"/>
  <c r="V187"/>
  <c r="V354"/>
  <c r="V259"/>
  <c r="V148"/>
  <c r="V491"/>
  <c r="V314"/>
  <c r="V274"/>
  <c r="V189"/>
  <c r="V125"/>
  <c r="V256"/>
  <c r="V453"/>
  <c r="V457"/>
  <c r="V335"/>
  <c r="V123"/>
  <c r="V473"/>
  <c r="V403"/>
  <c r="V381"/>
  <c r="V172"/>
  <c r="V192"/>
  <c r="V214"/>
  <c r="V455"/>
  <c r="V375"/>
  <c r="V495"/>
  <c r="V151"/>
  <c r="V272"/>
  <c r="V108"/>
  <c r="V231"/>
  <c r="V297"/>
  <c r="V339"/>
  <c r="V124"/>
  <c r="V251"/>
  <c r="V238"/>
  <c r="V276"/>
  <c r="V487"/>
  <c r="V277"/>
  <c r="V417"/>
  <c r="V420"/>
  <c r="V315"/>
  <c r="V171"/>
  <c r="V377"/>
  <c r="V209"/>
  <c r="V144"/>
  <c r="V228"/>
  <c r="V421"/>
  <c r="V397"/>
  <c r="V312"/>
  <c r="V252"/>
  <c r="V127"/>
  <c r="V357"/>
  <c r="V340"/>
  <c r="V229"/>
  <c r="V109"/>
  <c r="V360"/>
  <c r="V399"/>
  <c r="V479"/>
  <c r="V358"/>
  <c r="V361"/>
  <c r="V402"/>
  <c r="V469"/>
  <c r="V280"/>
  <c r="V356"/>
  <c r="V188"/>
  <c r="V167"/>
  <c r="V146"/>
  <c r="V273"/>
  <c r="V476"/>
  <c r="V211"/>
  <c r="V423"/>
  <c r="V255"/>
  <c r="V169"/>
  <c r="V454"/>
  <c r="V398"/>
  <c r="V316"/>
  <c r="V470"/>
  <c r="V133"/>
  <c r="V343"/>
  <c r="V463"/>
  <c r="V382"/>
  <c r="V475"/>
  <c r="V355"/>
  <c r="V292"/>
  <c r="V485"/>
  <c r="V318"/>
  <c r="V333"/>
  <c r="V295"/>
  <c r="V385"/>
  <c r="V104"/>
  <c r="V145"/>
  <c r="V459"/>
  <c r="V492"/>
  <c r="V489"/>
  <c r="V334"/>
  <c r="V230"/>
  <c r="V400"/>
  <c r="V208"/>
  <c r="V376"/>
  <c r="V337"/>
  <c r="V270"/>
  <c r="V207"/>
  <c r="V427"/>
  <c r="V293"/>
  <c r="V364"/>
  <c r="V298"/>
  <c r="V322"/>
  <c r="V471"/>
  <c r="V418"/>
  <c r="V301"/>
  <c r="V396"/>
  <c r="V130"/>
  <c r="V250"/>
  <c r="V234"/>
  <c r="V186"/>
  <c r="V213"/>
  <c r="V319"/>
  <c r="V424"/>
  <c r="V249"/>
  <c r="V460"/>
  <c r="V488"/>
  <c r="V166"/>
  <c r="V129"/>
  <c r="V419"/>
  <c r="V102"/>
  <c r="V379"/>
  <c r="V313"/>
  <c r="V106"/>
  <c r="V190"/>
  <c r="V275"/>
  <c r="V216"/>
  <c r="V317"/>
  <c r="V126"/>
  <c r="V253"/>
  <c r="V294"/>
  <c r="V296"/>
  <c r="V456"/>
  <c r="V336"/>
  <c r="V170"/>
  <c r="V401"/>
  <c r="V191"/>
  <c r="V384"/>
  <c r="V422"/>
  <c r="V174"/>
  <c r="V458"/>
  <c r="V490"/>
  <c r="V405"/>
  <c r="V128"/>
  <c r="V338"/>
  <c r="V258"/>
  <c r="V260" s="1"/>
  <c r="V76" s="1"/>
  <c r="V149"/>
  <c r="V494"/>
  <c r="V107"/>
  <c r="V426"/>
  <c r="V359"/>
  <c r="V321"/>
  <c r="V195"/>
  <c r="V111"/>
  <c r="V342"/>
  <c r="V233"/>
  <c r="V237"/>
  <c r="V300"/>
  <c r="V302" s="1"/>
  <c r="V78" s="1"/>
  <c r="V462"/>
  <c r="V254"/>
  <c r="V478"/>
  <c r="V279"/>
  <c r="V281" s="1"/>
  <c r="V77" s="1"/>
  <c r="V153"/>
  <c r="V474"/>
  <c r="V212"/>
  <c r="V218" s="1"/>
  <c r="V74" s="1"/>
  <c r="V363"/>
  <c r="V380"/>
  <c r="V132"/>
  <c r="R491" i="121"/>
  <c r="R496" s="1"/>
  <c r="R87" s="1"/>
  <c r="R459"/>
  <c r="R464" s="1"/>
  <c r="R85" s="1"/>
  <c r="R475"/>
  <c r="R480" s="1"/>
  <c r="R86" s="1"/>
  <c r="R234"/>
  <c r="R239" s="1"/>
  <c r="R75" s="1"/>
  <c r="R129"/>
  <c r="R134" s="1"/>
  <c r="R70" s="1"/>
  <c r="R318"/>
  <c r="R323" s="1"/>
  <c r="R79" s="1"/>
  <c r="R150"/>
  <c r="R155" s="1"/>
  <c r="R71" s="1"/>
  <c r="R276"/>
  <c r="R281" s="1"/>
  <c r="R77" s="1"/>
  <c r="R381"/>
  <c r="R386" s="1"/>
  <c r="R82" s="1"/>
  <c r="R423"/>
  <c r="R428" s="1"/>
  <c r="R84" s="1"/>
  <c r="R213"/>
  <c r="R218" s="1"/>
  <c r="R74" s="1"/>
  <c r="R339"/>
  <c r="R344" s="1"/>
  <c r="R80" s="1"/>
  <c r="R108"/>
  <c r="R402"/>
  <c r="R407" s="1"/>
  <c r="R83" s="1"/>
  <c r="R297"/>
  <c r="R302" s="1"/>
  <c r="R78" s="1"/>
  <c r="R360"/>
  <c r="R365" s="1"/>
  <c r="R81" s="1"/>
  <c r="R192"/>
  <c r="R197" s="1"/>
  <c r="R73" s="1"/>
  <c r="R255"/>
  <c r="R260" s="1"/>
  <c r="R76" s="1"/>
  <c r="R171"/>
  <c r="R176" s="1"/>
  <c r="R72" s="1"/>
  <c r="R459" i="118"/>
  <c r="R464" s="1"/>
  <c r="R85" s="1"/>
  <c r="R213"/>
  <c r="R218" s="1"/>
  <c r="R74" s="1"/>
  <c r="R192"/>
  <c r="R197" s="1"/>
  <c r="R73" s="1"/>
  <c r="R297"/>
  <c r="R302" s="1"/>
  <c r="R78" s="1"/>
  <c r="R276"/>
  <c r="R281" s="1"/>
  <c r="R77" s="1"/>
  <c r="R171"/>
  <c r="R176" s="1"/>
  <c r="R72" s="1"/>
  <c r="R475"/>
  <c r="R480" s="1"/>
  <c r="R86" s="1"/>
  <c r="R255"/>
  <c r="R260" s="1"/>
  <c r="R76" s="1"/>
  <c r="R491"/>
  <c r="R496" s="1"/>
  <c r="R87" s="1"/>
  <c r="R381"/>
  <c r="R386" s="1"/>
  <c r="R82" s="1"/>
  <c r="R402"/>
  <c r="R407" s="1"/>
  <c r="R83" s="1"/>
  <c r="R339"/>
  <c r="R344" s="1"/>
  <c r="R80" s="1"/>
  <c r="R108"/>
  <c r="R129"/>
  <c r="R134" s="1"/>
  <c r="R70" s="1"/>
  <c r="R234"/>
  <c r="R239" s="1"/>
  <c r="R75" s="1"/>
  <c r="R150"/>
  <c r="R155" s="1"/>
  <c r="R71" s="1"/>
  <c r="R423"/>
  <c r="R428" s="1"/>
  <c r="R84" s="1"/>
  <c r="R360"/>
  <c r="R365" s="1"/>
  <c r="R81" s="1"/>
  <c r="R318"/>
  <c r="R323" s="1"/>
  <c r="R79" s="1"/>
  <c r="U26" i="117"/>
  <c r="U22"/>
  <c r="AE20" i="118"/>
  <c r="T20" i="120"/>
  <c r="AJ32" i="116"/>
  <c r="AJ22"/>
  <c r="AU20" i="28"/>
  <c r="N20" s="1"/>
  <c r="AU302"/>
  <c r="AU78" s="1"/>
  <c r="AU24"/>
  <c r="AF104" i="118"/>
  <c r="AF109"/>
  <c r="AF187"/>
  <c r="AF256"/>
  <c r="AF213"/>
  <c r="AF455"/>
  <c r="AF210"/>
  <c r="AF133"/>
  <c r="AF280"/>
  <c r="AF479"/>
  <c r="AF252"/>
  <c r="AF423"/>
  <c r="AF123"/>
  <c r="AF103"/>
  <c r="AF476"/>
  <c r="AF486"/>
  <c r="AF463"/>
  <c r="AF298"/>
  <c r="AF491"/>
  <c r="AF460"/>
  <c r="AF472"/>
  <c r="AF318"/>
  <c r="AF301"/>
  <c r="AF175"/>
  <c r="AF235"/>
  <c r="AF188"/>
  <c r="AF165"/>
  <c r="AF357"/>
  <c r="AF255"/>
  <c r="AF231"/>
  <c r="AF291"/>
  <c r="AF402"/>
  <c r="AF492"/>
  <c r="AF259"/>
  <c r="AF145"/>
  <c r="AF108"/>
  <c r="AF377"/>
  <c r="AF397"/>
  <c r="AF214"/>
  <c r="AF125"/>
  <c r="AF453"/>
  <c r="AF335"/>
  <c r="AF276"/>
  <c r="AF229"/>
  <c r="AF167"/>
  <c r="AF192"/>
  <c r="AF322"/>
  <c r="AF172"/>
  <c r="AF129"/>
  <c r="AF471"/>
  <c r="AF459"/>
  <c r="AF424"/>
  <c r="AF193"/>
  <c r="AF382"/>
  <c r="AF272"/>
  <c r="AF271"/>
  <c r="AF487"/>
  <c r="AF207"/>
  <c r="AF297"/>
  <c r="AF339"/>
  <c r="AF234"/>
  <c r="AF420"/>
  <c r="AF112"/>
  <c r="AF292"/>
  <c r="AF277"/>
  <c r="AF381"/>
  <c r="AF313"/>
  <c r="AF361"/>
  <c r="AF396"/>
  <c r="AF378"/>
  <c r="AF238"/>
  <c r="AF419"/>
  <c r="AF315"/>
  <c r="AF273"/>
  <c r="AF228"/>
  <c r="AF354"/>
  <c r="AF375"/>
  <c r="AF270"/>
  <c r="AF456"/>
  <c r="AF251"/>
  <c r="AF171"/>
  <c r="AF360"/>
  <c r="AF343"/>
  <c r="AF418"/>
  <c r="AF144"/>
  <c r="AF475"/>
  <c r="AF154"/>
  <c r="AF312"/>
  <c r="AF151"/>
  <c r="AF168"/>
  <c r="AF130"/>
  <c r="AF356"/>
  <c r="AF196"/>
  <c r="AF319"/>
  <c r="AF488"/>
  <c r="AF147"/>
  <c r="AF340"/>
  <c r="AF454"/>
  <c r="AF146"/>
  <c r="AF406"/>
  <c r="AF209"/>
  <c r="AF230"/>
  <c r="AF495"/>
  <c r="AF295"/>
  <c r="AF150"/>
  <c r="AF102"/>
  <c r="AF398"/>
  <c r="AF166"/>
  <c r="AF334"/>
  <c r="AF376"/>
  <c r="AF469"/>
  <c r="AF485"/>
  <c r="AF403"/>
  <c r="AF385"/>
  <c r="AF124"/>
  <c r="AF189"/>
  <c r="AF314"/>
  <c r="AF333"/>
  <c r="AF427"/>
  <c r="AF250"/>
  <c r="AF249"/>
  <c r="AF364"/>
  <c r="AF399"/>
  <c r="AF417"/>
  <c r="AF470"/>
  <c r="AF217"/>
  <c r="AF355"/>
  <c r="AF105"/>
  <c r="AF148"/>
  <c r="AF127"/>
  <c r="AF473"/>
  <c r="AF489"/>
  <c r="AF169"/>
  <c r="AF457"/>
  <c r="AF421"/>
  <c r="AF358"/>
  <c r="AF293"/>
  <c r="AF21" s="1"/>
  <c r="AF336"/>
  <c r="AF294"/>
  <c r="AF186"/>
  <c r="AF274"/>
  <c r="AF337"/>
  <c r="AF211"/>
  <c r="AF208"/>
  <c r="AF20" s="1"/>
  <c r="AF106"/>
  <c r="AF400"/>
  <c r="AF190"/>
  <c r="AF316"/>
  <c r="AF232"/>
  <c r="AF379"/>
  <c r="AF253"/>
  <c r="AF126"/>
  <c r="AF170"/>
  <c r="AF153"/>
  <c r="AF111"/>
  <c r="AF258"/>
  <c r="AF174"/>
  <c r="AF458"/>
  <c r="AF317"/>
  <c r="AF474"/>
  <c r="AF490"/>
  <c r="AF149"/>
  <c r="AF363"/>
  <c r="AF275"/>
  <c r="AF338"/>
  <c r="AF191"/>
  <c r="AF401"/>
  <c r="AF422"/>
  <c r="AF237"/>
  <c r="AF216"/>
  <c r="AF384"/>
  <c r="AF254"/>
  <c r="AF195"/>
  <c r="AF405"/>
  <c r="AF128"/>
  <c r="AF494"/>
  <c r="AF212"/>
  <c r="AF107"/>
  <c r="AF426"/>
  <c r="AF359"/>
  <c r="AF132"/>
  <c r="AF462"/>
  <c r="AF300"/>
  <c r="AF233"/>
  <c r="AF279"/>
  <c r="AF342"/>
  <c r="AF478"/>
  <c r="AF380"/>
  <c r="AF321"/>
  <c r="AF296"/>
  <c r="T65" i="120"/>
  <c r="W482" i="117"/>
  <c r="W367"/>
  <c r="W372"/>
  <c r="W325"/>
  <c r="W262"/>
  <c r="W225"/>
  <c r="W267"/>
  <c r="W162"/>
  <c r="W120"/>
  <c r="W283"/>
  <c r="W414"/>
  <c r="W204"/>
  <c r="W309"/>
  <c r="W409"/>
  <c r="W330"/>
  <c r="W388"/>
  <c r="W304"/>
  <c r="W346"/>
  <c r="W241"/>
  <c r="W288"/>
  <c r="W450"/>
  <c r="W435"/>
  <c r="W393"/>
  <c r="W440"/>
  <c r="W351"/>
  <c r="W136"/>
  <c r="W430"/>
  <c r="W99"/>
  <c r="W499"/>
  <c r="X8"/>
  <c r="W157"/>
  <c r="W42"/>
  <c r="W67" s="1"/>
  <c r="W246"/>
  <c r="W503"/>
  <c r="W507"/>
  <c r="W508" s="1"/>
  <c r="W509" s="1"/>
  <c r="W466"/>
  <c r="W445"/>
  <c r="W220"/>
  <c r="W141"/>
  <c r="W183"/>
  <c r="W115"/>
  <c r="W94"/>
  <c r="W199"/>
  <c r="W178"/>
  <c r="W16"/>
  <c r="W222"/>
  <c r="W51" s="1"/>
  <c r="W159"/>
  <c r="W48" s="1"/>
  <c r="W442"/>
  <c r="W63" s="1"/>
  <c r="W432"/>
  <c r="W61" s="1"/>
  <c r="W306"/>
  <c r="W55" s="1"/>
  <c r="W138"/>
  <c r="W47" s="1"/>
  <c r="W411"/>
  <c r="W60" s="1"/>
  <c r="W437"/>
  <c r="W62" s="1"/>
  <c r="W285"/>
  <c r="W54" s="1"/>
  <c r="W327"/>
  <c r="W56" s="1"/>
  <c r="W348"/>
  <c r="W57" s="1"/>
  <c r="W243"/>
  <c r="W52" s="1"/>
  <c r="W96"/>
  <c r="W390"/>
  <c r="W59" s="1"/>
  <c r="W117"/>
  <c r="W46" s="1"/>
  <c r="W369"/>
  <c r="W58" s="1"/>
  <c r="W180"/>
  <c r="W49" s="1"/>
  <c r="W447"/>
  <c r="W64" s="1"/>
  <c r="W264"/>
  <c r="W53" s="1"/>
  <c r="W201"/>
  <c r="W50" s="1"/>
  <c r="V482" i="120"/>
  <c r="V409"/>
  <c r="V304"/>
  <c r="V162"/>
  <c r="V393"/>
  <c r="V309"/>
  <c r="V241"/>
  <c r="V157"/>
  <c r="V183"/>
  <c r="V466"/>
  <c r="V351"/>
  <c r="V499"/>
  <c r="V346"/>
  <c r="V388"/>
  <c r="V246"/>
  <c r="V220"/>
  <c r="V330"/>
  <c r="V440"/>
  <c r="V199"/>
  <c r="V42"/>
  <c r="V67" s="1"/>
  <c r="W8"/>
  <c r="V136"/>
  <c r="V414"/>
  <c r="V325"/>
  <c r="V288"/>
  <c r="V267"/>
  <c r="V450"/>
  <c r="V178"/>
  <c r="V372"/>
  <c r="V115"/>
  <c r="V141"/>
  <c r="V283"/>
  <c r="V430"/>
  <c r="V445"/>
  <c r="V503"/>
  <c r="V435"/>
  <c r="V367"/>
  <c r="V225"/>
  <c r="V262"/>
  <c r="V99"/>
  <c r="V507"/>
  <c r="V508" s="1"/>
  <c r="V509" s="1"/>
  <c r="V204"/>
  <c r="V16"/>
  <c r="V120"/>
  <c r="V94"/>
  <c r="V222"/>
  <c r="V51" s="1"/>
  <c r="V390"/>
  <c r="V59" s="1"/>
  <c r="V201"/>
  <c r="V50" s="1"/>
  <c r="V96"/>
  <c r="V117"/>
  <c r="V46" s="1"/>
  <c r="V411"/>
  <c r="V60" s="1"/>
  <c r="V327"/>
  <c r="V56" s="1"/>
  <c r="V437"/>
  <c r="V62" s="1"/>
  <c r="V432"/>
  <c r="V61" s="1"/>
  <c r="V243"/>
  <c r="V52" s="1"/>
  <c r="V369"/>
  <c r="V58" s="1"/>
  <c r="V442"/>
  <c r="V63" s="1"/>
  <c r="V159"/>
  <c r="V48" s="1"/>
  <c r="V138"/>
  <c r="V47" s="1"/>
  <c r="V264"/>
  <c r="V53" s="1"/>
  <c r="V348"/>
  <c r="V57" s="1"/>
  <c r="V285"/>
  <c r="V54" s="1"/>
  <c r="V306"/>
  <c r="V55" s="1"/>
  <c r="V180"/>
  <c r="V49" s="1"/>
  <c r="V447"/>
  <c r="V64" s="1"/>
  <c r="U255"/>
  <c r="U144"/>
  <c r="U455"/>
  <c r="U130"/>
  <c r="U379"/>
  <c r="U335"/>
  <c r="U358"/>
  <c r="U417"/>
  <c r="U235"/>
  <c r="U211"/>
  <c r="U343"/>
  <c r="U251"/>
  <c r="U175"/>
  <c r="U420"/>
  <c r="U427"/>
  <c r="U491"/>
  <c r="U291"/>
  <c r="U154"/>
  <c r="U293"/>
  <c r="U192"/>
  <c r="U361"/>
  <c r="U319"/>
  <c r="U125"/>
  <c r="U454"/>
  <c r="U167"/>
  <c r="U148"/>
  <c r="U234"/>
  <c r="U360"/>
  <c r="U172"/>
  <c r="U377"/>
  <c r="U488"/>
  <c r="U339"/>
  <c r="U333"/>
  <c r="U297"/>
  <c r="U112"/>
  <c r="U292"/>
  <c r="U274"/>
  <c r="U378"/>
  <c r="U489"/>
  <c r="U171"/>
  <c r="U228"/>
  <c r="U357"/>
  <c r="U419"/>
  <c r="U123"/>
  <c r="U230"/>
  <c r="U471"/>
  <c r="U133"/>
  <c r="U476"/>
  <c r="U314"/>
  <c r="U217"/>
  <c r="U485"/>
  <c r="U147"/>
  <c r="U129"/>
  <c r="U207"/>
  <c r="U108"/>
  <c r="U402"/>
  <c r="U421"/>
  <c r="U229"/>
  <c r="U470"/>
  <c r="U196"/>
  <c r="U406"/>
  <c r="U272"/>
  <c r="U475"/>
  <c r="U457"/>
  <c r="U214"/>
  <c r="U424"/>
  <c r="U375"/>
  <c r="U231"/>
  <c r="U301"/>
  <c r="U316"/>
  <c r="U277"/>
  <c r="U460"/>
  <c r="U381"/>
  <c r="U280"/>
  <c r="U318"/>
  <c r="U232"/>
  <c r="U252"/>
  <c r="U453"/>
  <c r="U259"/>
  <c r="U479"/>
  <c r="U315"/>
  <c r="U473"/>
  <c r="U486"/>
  <c r="U398"/>
  <c r="U385"/>
  <c r="U109"/>
  <c r="U364"/>
  <c r="U459"/>
  <c r="U102"/>
  <c r="U322"/>
  <c r="U400"/>
  <c r="U193"/>
  <c r="U399"/>
  <c r="U106"/>
  <c r="U456"/>
  <c r="U495"/>
  <c r="U168"/>
  <c r="U492"/>
  <c r="U397"/>
  <c r="U276"/>
  <c r="U270"/>
  <c r="U295"/>
  <c r="U250"/>
  <c r="U127"/>
  <c r="U189"/>
  <c r="U376"/>
  <c r="U340"/>
  <c r="U188"/>
  <c r="U418"/>
  <c r="U355"/>
  <c r="U382"/>
  <c r="U169"/>
  <c r="U210"/>
  <c r="U238"/>
  <c r="U213"/>
  <c r="U104"/>
  <c r="U423"/>
  <c r="U208"/>
  <c r="U469"/>
  <c r="U472"/>
  <c r="U354"/>
  <c r="U298"/>
  <c r="U312"/>
  <c r="U187"/>
  <c r="U103"/>
  <c r="U150"/>
  <c r="U356"/>
  <c r="U166"/>
  <c r="U209"/>
  <c r="U403"/>
  <c r="U249"/>
  <c r="U186"/>
  <c r="U273"/>
  <c r="U165"/>
  <c r="U334"/>
  <c r="U313"/>
  <c r="U190"/>
  <c r="U124"/>
  <c r="U105"/>
  <c r="U463"/>
  <c r="U487"/>
  <c r="U256"/>
  <c r="U145"/>
  <c r="U337"/>
  <c r="U151"/>
  <c r="U294"/>
  <c r="U396"/>
  <c r="U126"/>
  <c r="U336"/>
  <c r="U271"/>
  <c r="U20" s="1"/>
  <c r="U253"/>
  <c r="U23" s="1"/>
  <c r="U146"/>
  <c r="U170"/>
  <c r="U490"/>
  <c r="U174"/>
  <c r="U176" s="1"/>
  <c r="U72" s="1"/>
  <c r="U478"/>
  <c r="U474"/>
  <c r="U338"/>
  <c r="U458"/>
  <c r="U237"/>
  <c r="U296"/>
  <c r="U359"/>
  <c r="U342"/>
  <c r="U233"/>
  <c r="U405"/>
  <c r="U195"/>
  <c r="U422"/>
  <c r="U380"/>
  <c r="U494"/>
  <c r="U317"/>
  <c r="U279"/>
  <c r="U254"/>
  <c r="U128"/>
  <c r="U426"/>
  <c r="U401"/>
  <c r="U258"/>
  <c r="U149"/>
  <c r="U363"/>
  <c r="U153"/>
  <c r="U111"/>
  <c r="U132"/>
  <c r="U384"/>
  <c r="U462"/>
  <c r="U275"/>
  <c r="U216"/>
  <c r="U300"/>
  <c r="U107"/>
  <c r="U212"/>
  <c r="U321"/>
  <c r="U191"/>
  <c r="R213" i="119"/>
  <c r="R218" s="1"/>
  <c r="R74" s="1"/>
  <c r="R402"/>
  <c r="R407" s="1"/>
  <c r="R83" s="1"/>
  <c r="R255"/>
  <c r="R260" s="1"/>
  <c r="R76" s="1"/>
  <c r="R192"/>
  <c r="R197" s="1"/>
  <c r="R73" s="1"/>
  <c r="R423"/>
  <c r="R428" s="1"/>
  <c r="R84" s="1"/>
  <c r="R381"/>
  <c r="R386" s="1"/>
  <c r="R82" s="1"/>
  <c r="R339"/>
  <c r="R344" s="1"/>
  <c r="R80" s="1"/>
  <c r="R318"/>
  <c r="R323" s="1"/>
  <c r="R79" s="1"/>
  <c r="R171"/>
  <c r="R176" s="1"/>
  <c r="R72" s="1"/>
  <c r="R276"/>
  <c r="R281" s="1"/>
  <c r="R77" s="1"/>
  <c r="R129"/>
  <c r="R134" s="1"/>
  <c r="R70" s="1"/>
  <c r="R108"/>
  <c r="R113" s="1"/>
  <c r="R69" s="1"/>
  <c r="R459"/>
  <c r="R464" s="1"/>
  <c r="R85" s="1"/>
  <c r="R360"/>
  <c r="R365" s="1"/>
  <c r="R81" s="1"/>
  <c r="R150"/>
  <c r="R155" s="1"/>
  <c r="R71" s="1"/>
  <c r="R475"/>
  <c r="R480" s="1"/>
  <c r="R86" s="1"/>
  <c r="R491"/>
  <c r="R496" s="1"/>
  <c r="R87" s="1"/>
  <c r="R234"/>
  <c r="R239" s="1"/>
  <c r="R75" s="1"/>
  <c r="R297"/>
  <c r="AU19" i="28"/>
  <c r="AU113"/>
  <c r="AU69" s="1"/>
  <c r="N45"/>
  <c r="AU65"/>
  <c r="S36" i="120"/>
  <c r="S38" s="1"/>
  <c r="U19" i="117"/>
  <c r="U21"/>
  <c r="U323"/>
  <c r="U79" s="1"/>
  <c r="U25"/>
  <c r="AT36" i="28"/>
  <c r="AT38" s="1"/>
  <c r="T19" i="120"/>
  <c r="T22"/>
  <c r="T25"/>
  <c r="AU407" i="28"/>
  <c r="AU83" s="1"/>
  <c r="AU496"/>
  <c r="AU87" s="1"/>
  <c r="AU218"/>
  <c r="AU74" s="1"/>
  <c r="AU480"/>
  <c r="AU86" s="1"/>
  <c r="AK45" i="116"/>
  <c r="AK65" s="1"/>
  <c r="AK10"/>
  <c r="AK14" s="1"/>
  <c r="T14" i="120"/>
  <c r="V45" i="117"/>
  <c r="V65" s="1"/>
  <c r="V10"/>
  <c r="V14" s="1"/>
  <c r="U45" i="120"/>
  <c r="U65" s="1"/>
  <c r="U10"/>
  <c r="U14" s="1"/>
  <c r="R339"/>
  <c r="R344" s="1"/>
  <c r="R80" s="1"/>
  <c r="R491"/>
  <c r="R496" s="1"/>
  <c r="R87" s="1"/>
  <c r="R192"/>
  <c r="R197" s="1"/>
  <c r="R73" s="1"/>
  <c r="R108"/>
  <c r="R381"/>
  <c r="R386" s="1"/>
  <c r="R82" s="1"/>
  <c r="R297"/>
  <c r="R302" s="1"/>
  <c r="R78" s="1"/>
  <c r="R171"/>
  <c r="R176" s="1"/>
  <c r="R72" s="1"/>
  <c r="R255"/>
  <c r="R260" s="1"/>
  <c r="R76" s="1"/>
  <c r="R402"/>
  <c r="R407" s="1"/>
  <c r="R83" s="1"/>
  <c r="R459"/>
  <c r="R464" s="1"/>
  <c r="R85" s="1"/>
  <c r="R213"/>
  <c r="R218" s="1"/>
  <c r="R74" s="1"/>
  <c r="R423"/>
  <c r="R428" s="1"/>
  <c r="R84" s="1"/>
  <c r="R360"/>
  <c r="R365" s="1"/>
  <c r="R81" s="1"/>
  <c r="R234"/>
  <c r="R239" s="1"/>
  <c r="R75" s="1"/>
  <c r="R129"/>
  <c r="R134" s="1"/>
  <c r="R70" s="1"/>
  <c r="R276"/>
  <c r="R281" s="1"/>
  <c r="R77" s="1"/>
  <c r="R318"/>
  <c r="R323" s="1"/>
  <c r="R79" s="1"/>
  <c r="R475"/>
  <c r="R480" s="1"/>
  <c r="R86" s="1"/>
  <c r="R150"/>
  <c r="R155" s="1"/>
  <c r="R71" s="1"/>
  <c r="R423" i="116"/>
  <c r="R428" s="1"/>
  <c r="R84" s="1"/>
  <c r="R339"/>
  <c r="R344" s="1"/>
  <c r="R80" s="1"/>
  <c r="R255"/>
  <c r="R260" s="1"/>
  <c r="R76" s="1"/>
  <c r="R276"/>
  <c r="R281" s="1"/>
  <c r="R77" s="1"/>
  <c r="R171"/>
  <c r="R176" s="1"/>
  <c r="R72" s="1"/>
  <c r="R360"/>
  <c r="R365" s="1"/>
  <c r="R81" s="1"/>
  <c r="R213"/>
  <c r="R218" s="1"/>
  <c r="R74" s="1"/>
  <c r="R475"/>
  <c r="R480" s="1"/>
  <c r="R86" s="1"/>
  <c r="R297"/>
  <c r="R302" s="1"/>
  <c r="R78" s="1"/>
  <c r="R129"/>
  <c r="R134" s="1"/>
  <c r="R70" s="1"/>
  <c r="R459"/>
  <c r="R464" s="1"/>
  <c r="R85" s="1"/>
  <c r="R150"/>
  <c r="R155" s="1"/>
  <c r="R71" s="1"/>
  <c r="R491"/>
  <c r="R496" s="1"/>
  <c r="R87" s="1"/>
  <c r="R192"/>
  <c r="R197" s="1"/>
  <c r="R73" s="1"/>
  <c r="R108"/>
  <c r="R234"/>
  <c r="R239" s="1"/>
  <c r="R75" s="1"/>
  <c r="R318"/>
  <c r="R323" s="1"/>
  <c r="R79" s="1"/>
  <c r="R402"/>
  <c r="R407" s="1"/>
  <c r="R83" s="1"/>
  <c r="R381"/>
  <c r="R386" s="1"/>
  <c r="R82" s="1"/>
  <c r="AU14" i="28"/>
  <c r="N10"/>
  <c r="N14" s="1"/>
  <c r="N72"/>
  <c r="N32"/>
  <c r="U32" i="117"/>
  <c r="U113"/>
  <c r="U69" s="1"/>
  <c r="AE21" i="118"/>
  <c r="AE23"/>
  <c r="AE22"/>
  <c r="AT88" i="28"/>
  <c r="AT90" s="1"/>
  <c r="T32" i="120"/>
  <c r="AJ23" i="116"/>
  <c r="AJ20"/>
  <c r="AU386" i="28"/>
  <c r="AU82" s="1"/>
  <c r="AU365"/>
  <c r="AU81" s="1"/>
  <c r="N81" s="1"/>
  <c r="AU26"/>
  <c r="N26" s="1"/>
  <c r="AU21"/>
  <c r="N21" s="1"/>
  <c r="AU155"/>
  <c r="AU71" s="1"/>
  <c r="AU134"/>
  <c r="AU70" s="1"/>
  <c r="N70" s="1"/>
  <c r="AU25"/>
  <c r="S36"/>
  <c r="S38" s="1"/>
  <c r="T88"/>
  <c r="T90" s="1"/>
  <c r="N76"/>
  <c r="Y36" i="118"/>
  <c r="Y38" s="1"/>
  <c r="AD36" i="28"/>
  <c r="AD38" s="1"/>
  <c r="AC36" i="118"/>
  <c r="AC38" s="1"/>
  <c r="Z36"/>
  <c r="Z38" s="1"/>
  <c r="T88" i="116"/>
  <c r="T90" s="1"/>
  <c r="AA88"/>
  <c r="AA90" s="1"/>
  <c r="N84" i="28"/>
  <c r="AK88" i="119"/>
  <c r="AK90" s="1"/>
  <c r="AA88"/>
  <c r="AA90" s="1"/>
  <c r="AK88" i="28"/>
  <c r="AK90" s="1"/>
  <c r="T88" i="117"/>
  <c r="T90" s="1"/>
  <c r="Z88" i="119"/>
  <c r="Z90" s="1"/>
  <c r="Z36" i="28"/>
  <c r="Z38" s="1"/>
  <c r="AJ36" i="119"/>
  <c r="AJ38" s="1"/>
  <c r="T36" i="28"/>
  <c r="T38" s="1"/>
  <c r="AK38" i="121"/>
  <c r="AK36"/>
  <c r="U36"/>
  <c r="U38" s="1"/>
  <c r="AF36" i="119"/>
  <c r="AF38" s="1"/>
  <c r="AI36" i="116"/>
  <c r="AI38" s="1"/>
  <c r="U36" i="119"/>
  <c r="U38" s="1"/>
  <c r="AB36"/>
  <c r="AB38" s="1"/>
  <c r="S88" i="120"/>
  <c r="S90" s="1"/>
  <c r="AA36" i="118"/>
  <c r="AA38" s="1"/>
  <c r="T88" i="120"/>
  <c r="T90" s="1"/>
  <c r="T36" i="116"/>
  <c r="T38" s="1"/>
  <c r="S88"/>
  <c r="S90" s="1"/>
  <c r="N83" i="28"/>
  <c r="AK88" i="121"/>
  <c r="AK90" s="1"/>
  <c r="W36" i="119"/>
  <c r="W38" s="1"/>
  <c r="AB36" i="118"/>
  <c r="AB38" s="1"/>
  <c r="AD36" i="121"/>
  <c r="AD38" s="1"/>
  <c r="Y36" i="119"/>
  <c r="Y38" s="1"/>
  <c r="T36"/>
  <c r="T38" s="1"/>
  <c r="AE36" i="28"/>
  <c r="AE38" s="1"/>
  <c r="AE88" i="116"/>
  <c r="AE90" s="1"/>
  <c r="AE88" i="119"/>
  <c r="AE90" s="1"/>
  <c r="AF36" i="116"/>
  <c r="AF38" s="1"/>
  <c r="AC36" i="119"/>
  <c r="AC38" s="1"/>
  <c r="W36" i="118"/>
  <c r="W38" s="1"/>
  <c r="Z88" i="28"/>
  <c r="Z90" s="1"/>
  <c r="AE88" i="118"/>
  <c r="AE90" s="1"/>
  <c r="X36" i="116"/>
  <c r="X38" s="1"/>
  <c r="S36" i="119"/>
  <c r="S38" s="1"/>
  <c r="S36" i="116"/>
  <c r="S38" s="1"/>
  <c r="V36" i="119"/>
  <c r="V38" s="1"/>
  <c r="S36" i="118"/>
  <c r="S38" s="1"/>
  <c r="W36" i="116"/>
  <c r="W38" s="1"/>
  <c r="N76" i="119"/>
  <c r="AG36" i="28"/>
  <c r="AG38" s="1"/>
  <c r="V36" i="118"/>
  <c r="V38" s="1"/>
  <c r="X36" i="121"/>
  <c r="X38" s="1"/>
  <c r="V36" i="28"/>
  <c r="V38" s="1"/>
  <c r="S38" i="121"/>
  <c r="N70"/>
  <c r="N24" i="119"/>
  <c r="W36" i="121"/>
  <c r="W38" s="1"/>
  <c r="AI36" i="28"/>
  <c r="AI38" s="1"/>
  <c r="Y36" i="116"/>
  <c r="Y38" s="1"/>
  <c r="AG36" i="119"/>
  <c r="AG38" s="1"/>
  <c r="X36"/>
  <c r="X38" s="1"/>
  <c r="N77"/>
  <c r="AD36" i="116"/>
  <c r="AD38" s="1"/>
  <c r="N85" i="28"/>
  <c r="S88"/>
  <c r="S90" s="1"/>
  <c r="Z88" i="118"/>
  <c r="Z90" s="1"/>
  <c r="T88" i="119"/>
  <c r="T90" s="1"/>
  <c r="V88"/>
  <c r="V90" s="1"/>
  <c r="AA88" i="28"/>
  <c r="AA90" s="1"/>
  <c r="AE88"/>
  <c r="AE90" s="1"/>
  <c r="S88" i="117"/>
  <c r="S90" s="1"/>
  <c r="AA88" i="118"/>
  <c r="AA90" s="1"/>
  <c r="S88"/>
  <c r="S90" s="1"/>
  <c r="N78" i="28"/>
  <c r="S88" i="119"/>
  <c r="S90" s="1"/>
  <c r="V36" i="116"/>
  <c r="V38" s="1"/>
  <c r="N81" i="121"/>
  <c r="W88" i="116"/>
  <c r="W90" s="1"/>
  <c r="U88" i="118"/>
  <c r="U90" s="1"/>
  <c r="AJ36" i="28"/>
  <c r="AJ38" s="1"/>
  <c r="AC88" i="116"/>
  <c r="AC90" s="1"/>
  <c r="AH88" i="28"/>
  <c r="AH90" s="1"/>
  <c r="AH36" i="116"/>
  <c r="AH38" s="1"/>
  <c r="V88" i="118"/>
  <c r="V90" s="1"/>
  <c r="AI88" i="119"/>
  <c r="AI90" s="1"/>
  <c r="W88"/>
  <c r="W90" s="1"/>
  <c r="AJ88" i="28"/>
  <c r="AJ90" s="1"/>
  <c r="AF88"/>
  <c r="AF90" s="1"/>
  <c r="AH36"/>
  <c r="AH38" s="1"/>
  <c r="N72" i="119"/>
  <c r="S88" i="121"/>
  <c r="S90" s="1"/>
  <c r="Z88"/>
  <c r="Z90" s="1"/>
  <c r="AA88"/>
  <c r="AA90" s="1"/>
  <c r="T88"/>
  <c r="T90" s="1"/>
  <c r="Y88" i="116"/>
  <c r="Y90" s="1"/>
  <c r="AC88" i="28"/>
  <c r="AC90" s="1"/>
  <c r="U36" i="117"/>
  <c r="U38" s="1"/>
  <c r="Y88" i="28"/>
  <c r="Y90" s="1"/>
  <c r="U88" i="117"/>
  <c r="U90" s="1"/>
  <c r="AH88" i="116"/>
  <c r="AH90" s="1"/>
  <c r="X88" i="119"/>
  <c r="X90" s="1"/>
  <c r="N75"/>
  <c r="U36" i="116"/>
  <c r="U38" s="1"/>
  <c r="N70" i="119"/>
  <c r="AE88" i="121"/>
  <c r="AE90" s="1"/>
  <c r="S36" i="117"/>
  <c r="S38" s="1"/>
  <c r="AB36" i="28"/>
  <c r="AB38" s="1"/>
  <c r="N80" i="119"/>
  <c r="N71"/>
  <c r="AD88" i="118"/>
  <c r="AD90" s="1"/>
  <c r="AB88" i="28"/>
  <c r="AB90" s="1"/>
  <c r="V36" i="121"/>
  <c r="V38" s="1"/>
  <c r="X88" i="116"/>
  <c r="X90" s="1"/>
  <c r="AE36" i="121"/>
  <c r="AE38" s="1"/>
  <c r="Z36"/>
  <c r="Z38" s="1"/>
  <c r="AA36"/>
  <c r="AA38" s="1"/>
  <c r="T36"/>
  <c r="T38" s="1"/>
  <c r="AH88" i="119"/>
  <c r="AH90" s="1"/>
  <c r="N85" i="121"/>
  <c r="N24" i="28"/>
  <c r="U36" i="118"/>
  <c r="U38" s="1"/>
  <c r="N71" i="28"/>
  <c r="N31" i="119"/>
  <c r="AJ88"/>
  <c r="AJ90" s="1"/>
  <c r="W88" i="28"/>
  <c r="W90" s="1"/>
  <c r="N79" i="119"/>
  <c r="AJ36" i="121"/>
  <c r="AJ38" s="1"/>
  <c r="AD88" i="119"/>
  <c r="AD90" s="1"/>
  <c r="U88"/>
  <c r="U90" s="1"/>
  <c r="N82" i="121"/>
  <c r="AB88" i="116"/>
  <c r="AB90" s="1"/>
  <c r="AF88"/>
  <c r="AF90" s="1"/>
  <c r="W88" i="118"/>
  <c r="W90" s="1"/>
  <c r="N86" i="119"/>
  <c r="AJ88" i="116"/>
  <c r="AJ90" s="1"/>
  <c r="AD88"/>
  <c r="AD90" s="1"/>
  <c r="AC88" i="118"/>
  <c r="AC90" s="1"/>
  <c r="AI88" i="28"/>
  <c r="AI90" s="1"/>
  <c r="AI88" i="116"/>
  <c r="AI90" s="1"/>
  <c r="X88" i="28"/>
  <c r="X90" s="1"/>
  <c r="N77" i="121"/>
  <c r="AG88" i="119"/>
  <c r="AG90" s="1"/>
  <c r="N81"/>
  <c r="AF88"/>
  <c r="AF90" s="1"/>
  <c r="AB88" i="118"/>
  <c r="AB90" s="1"/>
  <c r="AC88" i="119"/>
  <c r="AC90" s="1"/>
  <c r="U88" i="116"/>
  <c r="U90" s="1"/>
  <c r="X36" i="118"/>
  <c r="X38" s="1"/>
  <c r="AB88" i="119"/>
  <c r="AB90" s="1"/>
  <c r="AG88" i="116"/>
  <c r="AG90" s="1"/>
  <c r="AD88" i="28"/>
  <c r="AD90" s="1"/>
  <c r="AC36"/>
  <c r="AC38" s="1"/>
  <c r="Y88" i="119"/>
  <c r="Y90" s="1"/>
  <c r="AB36" i="121"/>
  <c r="AB38" s="1"/>
  <c r="X88" i="118"/>
  <c r="X90" s="1"/>
  <c r="X88" i="121"/>
  <c r="X90" s="1"/>
  <c r="V88" i="28"/>
  <c r="V90" s="1"/>
  <c r="AC36" i="121"/>
  <c r="AC38" s="1"/>
  <c r="N75" i="28"/>
  <c r="AG88" i="121"/>
  <c r="AG90" s="1"/>
  <c r="U88" i="28"/>
  <c r="U90" s="1"/>
  <c r="AC36" i="116"/>
  <c r="AC38" s="1"/>
  <c r="V88"/>
  <c r="V90" s="1"/>
  <c r="W36" i="28"/>
  <c r="W38" s="1"/>
  <c r="Y88" i="118"/>
  <c r="Y90" s="1"/>
  <c r="N79" i="121"/>
  <c r="N31" i="28"/>
  <c r="N69" i="119"/>
  <c r="N80" i="28"/>
  <c r="W88" i="121"/>
  <c r="W90" s="1"/>
  <c r="Y36"/>
  <c r="Y38" s="1"/>
  <c r="N87"/>
  <c r="AH88"/>
  <c r="AH90" s="1"/>
  <c r="N80"/>
  <c r="N74" i="28"/>
  <c r="AB88" i="121"/>
  <c r="AB90" s="1"/>
  <c r="AI36"/>
  <c r="AI38" s="1"/>
  <c r="N72"/>
  <c r="N87" i="28"/>
  <c r="N78" i="121"/>
  <c r="N85" i="119"/>
  <c r="N71" i="121"/>
  <c r="N82" i="119"/>
  <c r="N75" i="121"/>
  <c r="AG88" i="28"/>
  <c r="AG90" s="1"/>
  <c r="N73" i="121"/>
  <c r="AD36" i="119"/>
  <c r="AD38" s="1"/>
  <c r="N24" i="121"/>
  <c r="AD36" i="118"/>
  <c r="AD38" s="1"/>
  <c r="AF38" i="121"/>
  <c r="N79" i="28"/>
  <c r="N76" i="121"/>
  <c r="N82" i="28"/>
  <c r="N73"/>
  <c r="N84" i="121"/>
  <c r="N86"/>
  <c r="AF88"/>
  <c r="AF90" s="1"/>
  <c r="AC88"/>
  <c r="AC90" s="1"/>
  <c r="N86" i="28"/>
  <c r="N84" i="119"/>
  <c r="AG36" i="121"/>
  <c r="AG38" s="1"/>
  <c r="N77" i="28"/>
  <c r="AD88" i="121"/>
  <c r="AD90" s="1"/>
  <c r="N73" i="119"/>
  <c r="U88" i="121"/>
  <c r="U90" s="1"/>
  <c r="N74" i="119"/>
  <c r="Y88" i="121"/>
  <c r="Y90" s="1"/>
  <c r="N83" i="119"/>
  <c r="N83" i="121"/>
  <c r="AH36"/>
  <c r="AH38" s="1"/>
  <c r="AI88"/>
  <c r="AI90" s="1"/>
  <c r="N74"/>
  <c r="V88"/>
  <c r="V90" s="1"/>
  <c r="N31"/>
  <c r="N87" i="119"/>
  <c r="AJ88" i="121"/>
  <c r="AJ90" s="1"/>
  <c r="R11" i="109"/>
  <c r="E179" s="1"/>
  <c r="T33" i="1"/>
  <c r="U6" s="1"/>
  <c r="N33"/>
  <c r="O6" s="1"/>
  <c r="O11" i="109"/>
  <c r="E178" s="1"/>
  <c r="AO90" i="121"/>
  <c r="AQ90"/>
  <c r="AU90"/>
  <c r="AM90"/>
  <c r="AL90"/>
  <c r="AR90"/>
  <c r="AP90"/>
  <c r="K31" i="8"/>
  <c r="N65" i="121"/>
  <c r="AN90"/>
  <c r="AS90"/>
  <c r="N10"/>
  <c r="N14" s="1"/>
  <c r="AT90"/>
  <c r="E77" i="109"/>
  <c r="E37" i="8"/>
  <c r="E11"/>
  <c r="E74" i="109"/>
  <c r="E75"/>
  <c r="E43" i="8"/>
  <c r="E35"/>
  <c r="E46"/>
  <c r="K35"/>
  <c r="K44"/>
  <c r="K52"/>
  <c r="E78" i="109"/>
  <c r="I37" i="8"/>
  <c r="I34"/>
  <c r="K47"/>
  <c r="I38"/>
  <c r="I41"/>
  <c r="K39"/>
  <c r="K49"/>
  <c r="I40"/>
  <c r="I48"/>
  <c r="E48"/>
  <c r="I46"/>
  <c r="E47"/>
  <c r="K40"/>
  <c r="E39"/>
  <c r="I44"/>
  <c r="E50"/>
  <c r="I78" i="109"/>
  <c r="K45" i="8"/>
  <c r="K38"/>
  <c r="E36"/>
  <c r="I35"/>
  <c r="E51"/>
  <c r="E44"/>
  <c r="E41"/>
  <c r="K50"/>
  <c r="K41"/>
  <c r="I51"/>
  <c r="I42"/>
  <c r="K46"/>
  <c r="K43"/>
  <c r="I39"/>
  <c r="K36"/>
  <c r="K51"/>
  <c r="K37"/>
  <c r="K48"/>
  <c r="I52"/>
  <c r="K42"/>
  <c r="E42"/>
  <c r="E45"/>
  <c r="E40"/>
  <c r="E38"/>
  <c r="I47"/>
  <c r="K78" i="109"/>
  <c r="I45" i="8"/>
  <c r="E49"/>
  <c r="I49"/>
  <c r="I36"/>
  <c r="I50"/>
  <c r="E52"/>
  <c r="E31" l="1"/>
  <c r="R25" i="116"/>
  <c r="R113"/>
  <c r="R69" s="1"/>
  <c r="AU36" i="28"/>
  <c r="N19"/>
  <c r="W104" i="117"/>
  <c r="W453"/>
  <c r="W186"/>
  <c r="W486"/>
  <c r="W112"/>
  <c r="W145"/>
  <c r="W231"/>
  <c r="W318"/>
  <c r="W229"/>
  <c r="W235"/>
  <c r="W424"/>
  <c r="W154"/>
  <c r="W217"/>
  <c r="W175"/>
  <c r="W406"/>
  <c r="W469"/>
  <c r="W228"/>
  <c r="W171"/>
  <c r="W150"/>
  <c r="W190"/>
  <c r="W109"/>
  <c r="W147"/>
  <c r="W472"/>
  <c r="W298"/>
  <c r="W319"/>
  <c r="W314"/>
  <c r="W272"/>
  <c r="W280"/>
  <c r="W108"/>
  <c r="W133"/>
  <c r="W125"/>
  <c r="W312"/>
  <c r="W252"/>
  <c r="W251"/>
  <c r="W340"/>
  <c r="W375"/>
  <c r="W210"/>
  <c r="W276"/>
  <c r="W399"/>
  <c r="W378"/>
  <c r="W454"/>
  <c r="W479"/>
  <c r="W381"/>
  <c r="W293"/>
  <c r="W417"/>
  <c r="W358"/>
  <c r="W420"/>
  <c r="W295"/>
  <c r="W463"/>
  <c r="W379"/>
  <c r="W361"/>
  <c r="W255"/>
  <c r="W343"/>
  <c r="W167"/>
  <c r="W357"/>
  <c r="W277"/>
  <c r="W421"/>
  <c r="W360"/>
  <c r="W473"/>
  <c r="W396"/>
  <c r="W315"/>
  <c r="W103"/>
  <c r="W403"/>
  <c r="W144"/>
  <c r="W196"/>
  <c r="W423"/>
  <c r="W188"/>
  <c r="W339"/>
  <c r="W273"/>
  <c r="W238"/>
  <c r="W335"/>
  <c r="W398"/>
  <c r="W270"/>
  <c r="W214"/>
  <c r="W377"/>
  <c r="W476"/>
  <c r="W259"/>
  <c r="W209"/>
  <c r="W402"/>
  <c r="W455"/>
  <c r="W397"/>
  <c r="W356"/>
  <c r="W297"/>
  <c r="W234"/>
  <c r="W146"/>
  <c r="W187"/>
  <c r="W151"/>
  <c r="W470"/>
  <c r="W457"/>
  <c r="W123"/>
  <c r="W355"/>
  <c r="W172"/>
  <c r="W291"/>
  <c r="W230"/>
  <c r="W192"/>
  <c r="W232"/>
  <c r="W271"/>
  <c r="W495"/>
  <c r="W354"/>
  <c r="W459"/>
  <c r="W460"/>
  <c r="W489"/>
  <c r="W334"/>
  <c r="W400"/>
  <c r="W208"/>
  <c r="W376"/>
  <c r="W124"/>
  <c r="W487"/>
  <c r="W207"/>
  <c r="W427"/>
  <c r="W364"/>
  <c r="W127"/>
  <c r="W322"/>
  <c r="W471"/>
  <c r="W492"/>
  <c r="W418"/>
  <c r="W301"/>
  <c r="W130"/>
  <c r="W165"/>
  <c r="W250"/>
  <c r="W213"/>
  <c r="W249"/>
  <c r="W189"/>
  <c r="W168"/>
  <c r="W488"/>
  <c r="W256"/>
  <c r="W166"/>
  <c r="W129"/>
  <c r="W105"/>
  <c r="W382"/>
  <c r="W274"/>
  <c r="W475"/>
  <c r="W292"/>
  <c r="W485"/>
  <c r="W333"/>
  <c r="W193"/>
  <c r="W385"/>
  <c r="W491"/>
  <c r="W294"/>
  <c r="W337"/>
  <c r="W169"/>
  <c r="W317"/>
  <c r="W216"/>
  <c r="W253"/>
  <c r="W148"/>
  <c r="W313"/>
  <c r="W20" s="1"/>
  <c r="W102"/>
  <c r="W336"/>
  <c r="W126"/>
  <c r="W316"/>
  <c r="W106"/>
  <c r="W456"/>
  <c r="W275"/>
  <c r="W211"/>
  <c r="W419"/>
  <c r="W254"/>
  <c r="W170"/>
  <c r="W458"/>
  <c r="W405"/>
  <c r="W490"/>
  <c r="W363"/>
  <c r="W233"/>
  <c r="W401"/>
  <c r="W407" s="1"/>
  <c r="W83" s="1"/>
  <c r="W338"/>
  <c r="W296"/>
  <c r="W128"/>
  <c r="W342"/>
  <c r="W474"/>
  <c r="W426"/>
  <c r="W212"/>
  <c r="W218" s="1"/>
  <c r="W74" s="1"/>
  <c r="W153"/>
  <c r="W359"/>
  <c r="W494"/>
  <c r="W195"/>
  <c r="W279"/>
  <c r="W258"/>
  <c r="W132"/>
  <c r="W384"/>
  <c r="W149"/>
  <c r="W462"/>
  <c r="W174"/>
  <c r="W321"/>
  <c r="W111"/>
  <c r="W380"/>
  <c r="W191"/>
  <c r="W107"/>
  <c r="W422"/>
  <c r="W478"/>
  <c r="W300"/>
  <c r="W302" s="1"/>
  <c r="W78" s="1"/>
  <c r="W237"/>
  <c r="R25" i="121"/>
  <c r="R113"/>
  <c r="R69" s="1"/>
  <c r="V19" i="117"/>
  <c r="V113"/>
  <c r="V69" s="1"/>
  <c r="AG45" i="118"/>
  <c r="AG10"/>
  <c r="U26" i="120"/>
  <c r="U464"/>
  <c r="U85" s="1"/>
  <c r="U155"/>
  <c r="U71" s="1"/>
  <c r="AF260" i="118"/>
  <c r="AF76" s="1"/>
  <c r="AF197"/>
  <c r="AF73" s="1"/>
  <c r="AF22"/>
  <c r="AF428"/>
  <c r="AF84" s="1"/>
  <c r="AF496"/>
  <c r="AF87" s="1"/>
  <c r="AF323"/>
  <c r="AF79" s="1"/>
  <c r="AF365"/>
  <c r="AF81" s="1"/>
  <c r="AF25"/>
  <c r="V24" i="117"/>
  <c r="V496"/>
  <c r="V87" s="1"/>
  <c r="V155"/>
  <c r="V71" s="1"/>
  <c r="V25"/>
  <c r="V386"/>
  <c r="V82" s="1"/>
  <c r="V134"/>
  <c r="V70" s="1"/>
  <c r="V365"/>
  <c r="V81" s="1"/>
  <c r="V32"/>
  <c r="AK24" i="116"/>
  <c r="AK20"/>
  <c r="AK22"/>
  <c r="AK365"/>
  <c r="AK81" s="1"/>
  <c r="AK302"/>
  <c r="AK78" s="1"/>
  <c r="AK134"/>
  <c r="AK70" s="1"/>
  <c r="U19" i="120"/>
  <c r="U407"/>
  <c r="U83" s="1"/>
  <c r="V453"/>
  <c r="V313"/>
  <c r="V361"/>
  <c r="V491"/>
  <c r="V255"/>
  <c r="V291"/>
  <c r="V335"/>
  <c r="V252"/>
  <c r="V277"/>
  <c r="V189"/>
  <c r="V154"/>
  <c r="V463"/>
  <c r="V147"/>
  <c r="V319"/>
  <c r="V229"/>
  <c r="V130"/>
  <c r="V175"/>
  <c r="V420"/>
  <c r="V172"/>
  <c r="V455"/>
  <c r="V406"/>
  <c r="V376"/>
  <c r="V358"/>
  <c r="V196"/>
  <c r="V381"/>
  <c r="V235"/>
  <c r="V251"/>
  <c r="V259"/>
  <c r="V238"/>
  <c r="V301"/>
  <c r="V125"/>
  <c r="V470"/>
  <c r="V280"/>
  <c r="V343"/>
  <c r="V355"/>
  <c r="V249"/>
  <c r="V214"/>
  <c r="V232"/>
  <c r="V167"/>
  <c r="V105"/>
  <c r="V334"/>
  <c r="V228"/>
  <c r="V485"/>
  <c r="V192"/>
  <c r="V424"/>
  <c r="V375"/>
  <c r="V108"/>
  <c r="V399"/>
  <c r="V454"/>
  <c r="V208"/>
  <c r="V103"/>
  <c r="V187"/>
  <c r="V207"/>
  <c r="V475"/>
  <c r="V171"/>
  <c r="V357"/>
  <c r="V123"/>
  <c r="V378"/>
  <c r="V471"/>
  <c r="V315"/>
  <c r="V339"/>
  <c r="V112"/>
  <c r="V217"/>
  <c r="V333"/>
  <c r="V297"/>
  <c r="V377"/>
  <c r="V292"/>
  <c r="V479"/>
  <c r="V402"/>
  <c r="V231"/>
  <c r="V418"/>
  <c r="V273"/>
  <c r="V427"/>
  <c r="V133"/>
  <c r="V385"/>
  <c r="V417"/>
  <c r="V476"/>
  <c r="V397"/>
  <c r="V270"/>
  <c r="V295"/>
  <c r="V250"/>
  <c r="V356"/>
  <c r="V340"/>
  <c r="V166"/>
  <c r="V234"/>
  <c r="V312"/>
  <c r="V256"/>
  <c r="V210"/>
  <c r="V144"/>
  <c r="V314"/>
  <c r="V276"/>
  <c r="V213"/>
  <c r="V127"/>
  <c r="V102"/>
  <c r="V188"/>
  <c r="V423"/>
  <c r="V469"/>
  <c r="V472"/>
  <c r="V354"/>
  <c r="V365" s="1"/>
  <c r="V81" s="1"/>
  <c r="V109"/>
  <c r="V488"/>
  <c r="V456"/>
  <c r="V318"/>
  <c r="V272"/>
  <c r="V230"/>
  <c r="V150"/>
  <c r="V403"/>
  <c r="V186"/>
  <c r="V298"/>
  <c r="V165"/>
  <c r="V129"/>
  <c r="V124"/>
  <c r="V487"/>
  <c r="V145"/>
  <c r="V398"/>
  <c r="V151"/>
  <c r="V460"/>
  <c r="V364"/>
  <c r="V459"/>
  <c r="V104"/>
  <c r="V322"/>
  <c r="V419"/>
  <c r="V209"/>
  <c r="V193"/>
  <c r="V473"/>
  <c r="V495"/>
  <c r="V293"/>
  <c r="V382"/>
  <c r="V168"/>
  <c r="V492"/>
  <c r="V486"/>
  <c r="V360"/>
  <c r="V316"/>
  <c r="V421"/>
  <c r="V169"/>
  <c r="V274"/>
  <c r="V106"/>
  <c r="V396"/>
  <c r="V211"/>
  <c r="V190"/>
  <c r="V337"/>
  <c r="V379"/>
  <c r="V489"/>
  <c r="V457"/>
  <c r="V148"/>
  <c r="V253"/>
  <c r="V271"/>
  <c r="V336"/>
  <c r="V400"/>
  <c r="V294"/>
  <c r="V126"/>
  <c r="V146"/>
  <c r="V170"/>
  <c r="V212"/>
  <c r="V474"/>
  <c r="V342"/>
  <c r="V405"/>
  <c r="V338"/>
  <c r="V344" s="1"/>
  <c r="V80" s="1"/>
  <c r="V422"/>
  <c r="V359"/>
  <c r="V317"/>
  <c r="V275"/>
  <c r="V254"/>
  <c r="V195"/>
  <c r="V363"/>
  <c r="V279"/>
  <c r="V174"/>
  <c r="V176" s="1"/>
  <c r="V72" s="1"/>
  <c r="V111"/>
  <c r="V233"/>
  <c r="V191"/>
  <c r="V197" s="1"/>
  <c r="V73" s="1"/>
  <c r="V458"/>
  <c r="V380"/>
  <c r="V401"/>
  <c r="V296"/>
  <c r="V494"/>
  <c r="V153"/>
  <c r="V132"/>
  <c r="V384"/>
  <c r="V258"/>
  <c r="V260" s="1"/>
  <c r="V76" s="1"/>
  <c r="V216"/>
  <c r="V237"/>
  <c r="V462"/>
  <c r="V300"/>
  <c r="V128"/>
  <c r="V490"/>
  <c r="V478"/>
  <c r="V321"/>
  <c r="V426"/>
  <c r="V149"/>
  <c r="V107"/>
  <c r="V24" s="1"/>
  <c r="AU38" i="28"/>
  <c r="AU88"/>
  <c r="U24" i="120"/>
  <c r="U22"/>
  <c r="U260"/>
  <c r="U76" s="1"/>
  <c r="U323"/>
  <c r="U79" s="1"/>
  <c r="U386"/>
  <c r="U82" s="1"/>
  <c r="U25"/>
  <c r="U496"/>
  <c r="U87" s="1"/>
  <c r="U32"/>
  <c r="AF23" i="118"/>
  <c r="AF155"/>
  <c r="AF71" s="1"/>
  <c r="AF386"/>
  <c r="AF82" s="1"/>
  <c r="AF407"/>
  <c r="AF83" s="1"/>
  <c r="AF464"/>
  <c r="AF85" s="1"/>
  <c r="AF134"/>
  <c r="AF70" s="1"/>
  <c r="V31" i="117"/>
  <c r="V239"/>
  <c r="V75" s="1"/>
  <c r="V464"/>
  <c r="V85" s="1"/>
  <c r="V176"/>
  <c r="V72" s="1"/>
  <c r="AK260" i="116"/>
  <c r="AK76" s="1"/>
  <c r="AK23"/>
  <c r="AK218"/>
  <c r="AK74" s="1"/>
  <c r="AK428"/>
  <c r="AK84" s="1"/>
  <c r="AK480"/>
  <c r="AK86" s="1"/>
  <c r="AK464"/>
  <c r="AK85" s="1"/>
  <c r="AK496"/>
  <c r="AK87" s="1"/>
  <c r="AK344"/>
  <c r="AK80" s="1"/>
  <c r="R25" i="120"/>
  <c r="R113"/>
  <c r="R69" s="1"/>
  <c r="N65" i="28"/>
  <c r="V45" i="120"/>
  <c r="V65" s="1"/>
  <c r="V10"/>
  <c r="V14" s="1"/>
  <c r="W466"/>
  <c r="W351"/>
  <c r="W393"/>
  <c r="W220"/>
  <c r="W325"/>
  <c r="W183"/>
  <c r="W120"/>
  <c r="W162"/>
  <c r="W288"/>
  <c r="W241"/>
  <c r="W503"/>
  <c r="W409"/>
  <c r="W440"/>
  <c r="W267"/>
  <c r="W346"/>
  <c r="W283"/>
  <c r="W136"/>
  <c r="W42"/>
  <c r="W67" s="1"/>
  <c r="W246"/>
  <c r="W435"/>
  <c r="W262"/>
  <c r="W430"/>
  <c r="W414"/>
  <c r="W507"/>
  <c r="W508" s="1"/>
  <c r="W509" s="1"/>
  <c r="W445"/>
  <c r="W367"/>
  <c r="W372"/>
  <c r="W388"/>
  <c r="W178"/>
  <c r="W99"/>
  <c r="W304"/>
  <c r="X8"/>
  <c r="W141"/>
  <c r="W482"/>
  <c r="W450"/>
  <c r="W499"/>
  <c r="W330"/>
  <c r="W309"/>
  <c r="W225"/>
  <c r="W199"/>
  <c r="W157"/>
  <c r="W204"/>
  <c r="W16"/>
  <c r="W94"/>
  <c r="W115"/>
  <c r="W222"/>
  <c r="W51" s="1"/>
  <c r="W447"/>
  <c r="W64" s="1"/>
  <c r="W442"/>
  <c r="W63" s="1"/>
  <c r="W117"/>
  <c r="W46" s="1"/>
  <c r="W201"/>
  <c r="W50" s="1"/>
  <c r="W369"/>
  <c r="W58" s="1"/>
  <c r="W411"/>
  <c r="W60" s="1"/>
  <c r="W437"/>
  <c r="W62" s="1"/>
  <c r="W159"/>
  <c r="W48" s="1"/>
  <c r="W432"/>
  <c r="W61" s="1"/>
  <c r="W243"/>
  <c r="W52" s="1"/>
  <c r="W327"/>
  <c r="W56" s="1"/>
  <c r="W96"/>
  <c r="W390"/>
  <c r="W59" s="1"/>
  <c r="W138"/>
  <c r="W47" s="1"/>
  <c r="W285"/>
  <c r="W54" s="1"/>
  <c r="W348"/>
  <c r="W57" s="1"/>
  <c r="W306"/>
  <c r="W55" s="1"/>
  <c r="W180"/>
  <c r="W49" s="1"/>
  <c r="W264"/>
  <c r="W53" s="1"/>
  <c r="W45" i="117"/>
  <c r="W65" s="1"/>
  <c r="W10"/>
  <c r="W14" s="1"/>
  <c r="X430"/>
  <c r="X330"/>
  <c r="X393"/>
  <c r="X435"/>
  <c r="X157"/>
  <c r="Y8"/>
  <c r="X99"/>
  <c r="X162"/>
  <c r="X178"/>
  <c r="X288"/>
  <c r="X351"/>
  <c r="X507"/>
  <c r="X508" s="1"/>
  <c r="X509" s="1"/>
  <c r="X372"/>
  <c r="X414"/>
  <c r="X440"/>
  <c r="X141"/>
  <c r="X241"/>
  <c r="X94"/>
  <c r="X450"/>
  <c r="X325"/>
  <c r="X220"/>
  <c r="X409"/>
  <c r="X304"/>
  <c r="X367"/>
  <c r="X482"/>
  <c r="X445"/>
  <c r="X503"/>
  <c r="X225"/>
  <c r="X115"/>
  <c r="X120"/>
  <c r="X466"/>
  <c r="X262"/>
  <c r="X16"/>
  <c r="X283"/>
  <c r="X499"/>
  <c r="X346"/>
  <c r="X246"/>
  <c r="X388"/>
  <c r="X199"/>
  <c r="X267"/>
  <c r="X183"/>
  <c r="X42"/>
  <c r="X67" s="1"/>
  <c r="X309"/>
  <c r="X136"/>
  <c r="X204"/>
  <c r="X369"/>
  <c r="X58" s="1"/>
  <c r="X264"/>
  <c r="X53" s="1"/>
  <c r="X348"/>
  <c r="X57" s="1"/>
  <c r="X285"/>
  <c r="X54" s="1"/>
  <c r="X159"/>
  <c r="X48" s="1"/>
  <c r="X96"/>
  <c r="X390"/>
  <c r="X59" s="1"/>
  <c r="X243"/>
  <c r="X52" s="1"/>
  <c r="X442"/>
  <c r="X63" s="1"/>
  <c r="X437"/>
  <c r="X62" s="1"/>
  <c r="X306"/>
  <c r="X55" s="1"/>
  <c r="X327"/>
  <c r="X56" s="1"/>
  <c r="X180"/>
  <c r="X49" s="1"/>
  <c r="X411"/>
  <c r="X60" s="1"/>
  <c r="X432"/>
  <c r="X61" s="1"/>
  <c r="X138"/>
  <c r="X47" s="1"/>
  <c r="X222"/>
  <c r="X51" s="1"/>
  <c r="X201"/>
  <c r="X50" s="1"/>
  <c r="X447"/>
  <c r="X64" s="1"/>
  <c r="X117"/>
  <c r="X46" s="1"/>
  <c r="AF113" i="118"/>
  <c r="AF69" s="1"/>
  <c r="AF19"/>
  <c r="AH330"/>
  <c r="AH503"/>
  <c r="AH507"/>
  <c r="AH508" s="1"/>
  <c r="AH509" s="1"/>
  <c r="AH372"/>
  <c r="AH136"/>
  <c r="AH435"/>
  <c r="AI8"/>
  <c r="AH346"/>
  <c r="AH94"/>
  <c r="AH482"/>
  <c r="AH351"/>
  <c r="AH157"/>
  <c r="AH414"/>
  <c r="AH388"/>
  <c r="AH225"/>
  <c r="AH440"/>
  <c r="AH262"/>
  <c r="AH141"/>
  <c r="AH115"/>
  <c r="AH99"/>
  <c r="AH178"/>
  <c r="AH162"/>
  <c r="AH16"/>
  <c r="AH445"/>
  <c r="AH466"/>
  <c r="AH309"/>
  <c r="AH204"/>
  <c r="AH241"/>
  <c r="AH283"/>
  <c r="AH183"/>
  <c r="AH199"/>
  <c r="AH409"/>
  <c r="AH42"/>
  <c r="AH67" s="1"/>
  <c r="AH220"/>
  <c r="AH499"/>
  <c r="AH246"/>
  <c r="AH393"/>
  <c r="AH288"/>
  <c r="AH430"/>
  <c r="AH304"/>
  <c r="AH267"/>
  <c r="AH325"/>
  <c r="AH450"/>
  <c r="AH120"/>
  <c r="AH367"/>
  <c r="AH243"/>
  <c r="AH52" s="1"/>
  <c r="AH180"/>
  <c r="AH49" s="1"/>
  <c r="AH437"/>
  <c r="AH62" s="1"/>
  <c r="AH138"/>
  <c r="AH47" s="1"/>
  <c r="AH222"/>
  <c r="AH51" s="1"/>
  <c r="AH96"/>
  <c r="AH432"/>
  <c r="AH61" s="1"/>
  <c r="AH447"/>
  <c r="AH64" s="1"/>
  <c r="AH411"/>
  <c r="AH60" s="1"/>
  <c r="AH442"/>
  <c r="AH63" s="1"/>
  <c r="AH264"/>
  <c r="AH53" s="1"/>
  <c r="AH348"/>
  <c r="AH57" s="1"/>
  <c r="AH327"/>
  <c r="AH56" s="1"/>
  <c r="AH369"/>
  <c r="AH58" s="1"/>
  <c r="AH390"/>
  <c r="AH59" s="1"/>
  <c r="AH159"/>
  <c r="AH48" s="1"/>
  <c r="AH117"/>
  <c r="AH46" s="1"/>
  <c r="AH201"/>
  <c r="AH50" s="1"/>
  <c r="AH306"/>
  <c r="AH55" s="1"/>
  <c r="AH285"/>
  <c r="AH54" s="1"/>
  <c r="AL45" i="116"/>
  <c r="AL65" s="1"/>
  <c r="AL10"/>
  <c r="AL14" s="1"/>
  <c r="AL148"/>
  <c r="AL108"/>
  <c r="AL149"/>
  <c r="AL174"/>
  <c r="AL195"/>
  <c r="AL216"/>
  <c r="AL237"/>
  <c r="AL258"/>
  <c r="AL279"/>
  <c r="AL300"/>
  <c r="AL321"/>
  <c r="AL342"/>
  <c r="AL363"/>
  <c r="AL384"/>
  <c r="AL405"/>
  <c r="AL426"/>
  <c r="AL462"/>
  <c r="AL478"/>
  <c r="AL494"/>
  <c r="AL127"/>
  <c r="AL111"/>
  <c r="AL129"/>
  <c r="AL170"/>
  <c r="AL191"/>
  <c r="AL212"/>
  <c r="AL233"/>
  <c r="AL254"/>
  <c r="AL275"/>
  <c r="AL296"/>
  <c r="AL317"/>
  <c r="AL338"/>
  <c r="AL359"/>
  <c r="AL380"/>
  <c r="AL401"/>
  <c r="AL422"/>
  <c r="AL458"/>
  <c r="AL474"/>
  <c r="AL490"/>
  <c r="AL106"/>
  <c r="AL107"/>
  <c r="AL132"/>
  <c r="AL150"/>
  <c r="AL190"/>
  <c r="AL211"/>
  <c r="AL232"/>
  <c r="AL253"/>
  <c r="AL274"/>
  <c r="AL295"/>
  <c r="AL316"/>
  <c r="AL337"/>
  <c r="AL358"/>
  <c r="AL379"/>
  <c r="AL400"/>
  <c r="AL421"/>
  <c r="AL457"/>
  <c r="AL473"/>
  <c r="AL489"/>
  <c r="AL169"/>
  <c r="AL128"/>
  <c r="AL153"/>
  <c r="AL171"/>
  <c r="AL192"/>
  <c r="AL213"/>
  <c r="AL234"/>
  <c r="AL255"/>
  <c r="AL276"/>
  <c r="AL297"/>
  <c r="AL318"/>
  <c r="AL339"/>
  <c r="AL360"/>
  <c r="AL381"/>
  <c r="AL402"/>
  <c r="AL423"/>
  <c r="AL459"/>
  <c r="AL475"/>
  <c r="AL491"/>
  <c r="AL397"/>
  <c r="AL229"/>
  <c r="AL476"/>
  <c r="AL385"/>
  <c r="AL301"/>
  <c r="AL217"/>
  <c r="AL133"/>
  <c r="AL376"/>
  <c r="AL208"/>
  <c r="AL455"/>
  <c r="AL375"/>
  <c r="AL291"/>
  <c r="AL207"/>
  <c r="AL123"/>
  <c r="AL280"/>
  <c r="AL319"/>
  <c r="AL126"/>
  <c r="AL271"/>
  <c r="AL419"/>
  <c r="AL250"/>
  <c r="AL334"/>
  <c r="AL166"/>
  <c r="AL361"/>
  <c r="AL463"/>
  <c r="AL485"/>
  <c r="AL235"/>
  <c r="AL238"/>
  <c r="AL403"/>
  <c r="AL420"/>
  <c r="AL252"/>
  <c r="AL487"/>
  <c r="AL417"/>
  <c r="AL333"/>
  <c r="AL249"/>
  <c r="AL165"/>
  <c r="AL399"/>
  <c r="AL231"/>
  <c r="AL479"/>
  <c r="AL382"/>
  <c r="AL298"/>
  <c r="AL214"/>
  <c r="AL130"/>
  <c r="AL354"/>
  <c r="AL418"/>
  <c r="AL154"/>
  <c r="AL364"/>
  <c r="AL102"/>
  <c r="AL277"/>
  <c r="AL492"/>
  <c r="AL196"/>
  <c r="AL193"/>
  <c r="AL471"/>
  <c r="AL378"/>
  <c r="AL312"/>
  <c r="AL273"/>
  <c r="AL453"/>
  <c r="AL112"/>
  <c r="AL454"/>
  <c r="AL313"/>
  <c r="AL145"/>
  <c r="AL424"/>
  <c r="AL340"/>
  <c r="AL256"/>
  <c r="AL172"/>
  <c r="AL456"/>
  <c r="AL292"/>
  <c r="AL124"/>
  <c r="AL398"/>
  <c r="AL314"/>
  <c r="AL230"/>
  <c r="AL146"/>
  <c r="AL396"/>
  <c r="AL105"/>
  <c r="AL251"/>
  <c r="AL488"/>
  <c r="AL144"/>
  <c r="AL294"/>
  <c r="AL125"/>
  <c r="AL210"/>
  <c r="AL355"/>
  <c r="AL103"/>
  <c r="AL209"/>
  <c r="AL406"/>
  <c r="AL460"/>
  <c r="AL39"/>
  <c r="AL167"/>
  <c r="AL472"/>
  <c r="AL336"/>
  <c r="AL168"/>
  <c r="AL469"/>
  <c r="AL480" s="1"/>
  <c r="AL86" s="1"/>
  <c r="AL356"/>
  <c r="AL272"/>
  <c r="AL188"/>
  <c r="AL104"/>
  <c r="AL21" s="1"/>
  <c r="AL315"/>
  <c r="AL147"/>
  <c r="AL427"/>
  <c r="AL343"/>
  <c r="AL259"/>
  <c r="AL175"/>
  <c r="AL486"/>
  <c r="AL187"/>
  <c r="AL293"/>
  <c r="AL109"/>
  <c r="AL189"/>
  <c r="AL322"/>
  <c r="AL151"/>
  <c r="AL228"/>
  <c r="AL470"/>
  <c r="AL270"/>
  <c r="AL281" s="1"/>
  <c r="AL77" s="1"/>
  <c r="AL335"/>
  <c r="AL377"/>
  <c r="AL495"/>
  <c r="AL186"/>
  <c r="AL197" s="1"/>
  <c r="AL73" s="1"/>
  <c r="AL357"/>
  <c r="R25" i="28"/>
  <c r="R113"/>
  <c r="R69" s="1"/>
  <c r="AJ36" i="116"/>
  <c r="AJ38" s="1"/>
  <c r="AE36" i="118"/>
  <c r="AE38" s="1"/>
  <c r="T36" i="120"/>
  <c r="T38" s="1"/>
  <c r="U218"/>
  <c r="U74" s="1"/>
  <c r="U31"/>
  <c r="U21"/>
  <c r="U197"/>
  <c r="U73" s="1"/>
  <c r="U134"/>
  <c r="U70" s="1"/>
  <c r="U428"/>
  <c r="U84" s="1"/>
  <c r="AF302" i="118"/>
  <c r="AF78" s="1"/>
  <c r="AF24"/>
  <c r="AF344"/>
  <c r="AF80" s="1"/>
  <c r="AF281"/>
  <c r="AF77" s="1"/>
  <c r="AF218"/>
  <c r="AF74" s="1"/>
  <c r="AF26"/>
  <c r="V20" i="117"/>
  <c r="V197"/>
  <c r="V73" s="1"/>
  <c r="V407"/>
  <c r="V83" s="1"/>
  <c r="V344"/>
  <c r="V80" s="1"/>
  <c r="V26"/>
  <c r="V428"/>
  <c r="V84" s="1"/>
  <c r="AK239" i="116"/>
  <c r="AK75" s="1"/>
  <c r="AK32"/>
  <c r="AK386"/>
  <c r="AK82" s="1"/>
  <c r="R25" i="119"/>
  <c r="R302"/>
  <c r="R78" s="1"/>
  <c r="R25" i="118"/>
  <c r="R113"/>
  <c r="R69" s="1"/>
  <c r="AG230"/>
  <c r="AG291"/>
  <c r="AG187"/>
  <c r="AG479"/>
  <c r="AG423"/>
  <c r="AG491"/>
  <c r="AG104"/>
  <c r="AG252"/>
  <c r="AG271"/>
  <c r="AG486"/>
  <c r="AG377"/>
  <c r="AG193"/>
  <c r="AG123"/>
  <c r="AG460"/>
  <c r="AG397"/>
  <c r="AG214"/>
  <c r="AG188"/>
  <c r="AG125"/>
  <c r="AG255"/>
  <c r="AG402"/>
  <c r="AG492"/>
  <c r="AG470"/>
  <c r="AG360"/>
  <c r="AG276"/>
  <c r="AG145"/>
  <c r="AG108"/>
  <c r="AG455"/>
  <c r="AG175"/>
  <c r="AG133"/>
  <c r="AG355"/>
  <c r="AG249"/>
  <c r="AG213"/>
  <c r="AG210"/>
  <c r="AG259"/>
  <c r="AG103"/>
  <c r="AG454"/>
  <c r="AG424"/>
  <c r="AG167"/>
  <c r="AG472"/>
  <c r="AG192"/>
  <c r="AG166"/>
  <c r="AG319"/>
  <c r="AG144"/>
  <c r="AG165"/>
  <c r="AG418"/>
  <c r="AG235"/>
  <c r="AG378"/>
  <c r="AG154"/>
  <c r="AG312"/>
  <c r="AG280"/>
  <c r="AG463"/>
  <c r="AG229"/>
  <c r="AG381"/>
  <c r="AG488"/>
  <c r="AG361"/>
  <c r="AG171"/>
  <c r="AG228"/>
  <c r="AG487"/>
  <c r="AG339"/>
  <c r="AG196"/>
  <c r="AG453"/>
  <c r="AG356"/>
  <c r="AG147"/>
  <c r="AG343"/>
  <c r="AG420"/>
  <c r="AG270"/>
  <c r="AG475"/>
  <c r="AG292"/>
  <c r="AG314"/>
  <c r="AG172"/>
  <c r="AG250"/>
  <c r="AG238"/>
  <c r="AG169"/>
  <c r="AG318"/>
  <c r="AG406"/>
  <c r="AG168"/>
  <c r="AG476"/>
  <c r="AG274"/>
  <c r="AG251"/>
  <c r="AG112"/>
  <c r="AG217"/>
  <c r="AG427"/>
  <c r="AG316"/>
  <c r="AG232"/>
  <c r="AG456"/>
  <c r="AG337"/>
  <c r="AG471"/>
  <c r="AG459"/>
  <c r="AG419"/>
  <c r="AG146"/>
  <c r="AG375"/>
  <c r="AG382"/>
  <c r="AG231"/>
  <c r="AG335"/>
  <c r="AG297"/>
  <c r="AG234"/>
  <c r="AG357"/>
  <c r="AG148"/>
  <c r="AG277"/>
  <c r="AG313"/>
  <c r="AG129"/>
  <c r="AG322"/>
  <c r="AG396"/>
  <c r="AG495"/>
  <c r="AG256"/>
  <c r="AG379"/>
  <c r="AG301"/>
  <c r="AG354"/>
  <c r="AG272"/>
  <c r="AG130"/>
  <c r="AG207"/>
  <c r="AG315"/>
  <c r="AG469"/>
  <c r="AG403"/>
  <c r="AG398"/>
  <c r="AG124"/>
  <c r="AG151"/>
  <c r="AG333"/>
  <c r="AG150"/>
  <c r="AG399"/>
  <c r="AG102"/>
  <c r="AG485"/>
  <c r="AG385"/>
  <c r="AG417"/>
  <c r="AG105"/>
  <c r="AG334"/>
  <c r="AG109"/>
  <c r="AG298"/>
  <c r="AG127"/>
  <c r="AG295"/>
  <c r="AG190"/>
  <c r="AG376"/>
  <c r="AG340"/>
  <c r="AG364"/>
  <c r="AG189"/>
  <c r="AG209"/>
  <c r="AG273"/>
  <c r="AG457"/>
  <c r="AG293"/>
  <c r="AG489"/>
  <c r="AG400"/>
  <c r="AG211"/>
  <c r="AG421"/>
  <c r="AG294"/>
  <c r="AG208"/>
  <c r="AG253"/>
  <c r="AG336"/>
  <c r="AG186"/>
  <c r="AG473"/>
  <c r="AG358"/>
  <c r="AG106"/>
  <c r="AG126"/>
  <c r="AG195"/>
  <c r="AG170"/>
  <c r="AG258"/>
  <c r="AG342"/>
  <c r="AG380"/>
  <c r="AG149"/>
  <c r="AG338"/>
  <c r="AG478"/>
  <c r="AG191"/>
  <c r="AG254"/>
  <c r="AG321"/>
  <c r="AG233"/>
  <c r="AG153"/>
  <c r="AG359"/>
  <c r="AG474"/>
  <c r="AG422"/>
  <c r="AG384"/>
  <c r="AG317"/>
  <c r="AG323" s="1"/>
  <c r="AG79" s="1"/>
  <c r="AG237"/>
  <c r="AG405"/>
  <c r="AG300"/>
  <c r="AG132"/>
  <c r="AG128"/>
  <c r="AG296"/>
  <c r="AG462"/>
  <c r="AG279"/>
  <c r="AG107"/>
  <c r="AG426"/>
  <c r="AG216"/>
  <c r="AG363"/>
  <c r="AG494"/>
  <c r="AG111"/>
  <c r="AG458"/>
  <c r="AG401"/>
  <c r="AG275"/>
  <c r="AG212"/>
  <c r="AG490"/>
  <c r="AG174"/>
  <c r="AM183" i="116"/>
  <c r="AM440"/>
  <c r="AM157"/>
  <c r="AM246"/>
  <c r="AM16"/>
  <c r="AM115"/>
  <c r="AM507"/>
  <c r="AM508" s="1"/>
  <c r="AM509" s="1"/>
  <c r="AM288"/>
  <c r="AM388"/>
  <c r="AM225"/>
  <c r="AM141"/>
  <c r="AM304"/>
  <c r="AM267"/>
  <c r="AM466"/>
  <c r="AM241"/>
  <c r="AM330"/>
  <c r="AM199"/>
  <c r="AM309"/>
  <c r="AM346"/>
  <c r="AM393"/>
  <c r="AM372"/>
  <c r="AM482"/>
  <c r="AM94"/>
  <c r="AM351"/>
  <c r="AM503"/>
  <c r="AM325"/>
  <c r="AM414"/>
  <c r="AM42"/>
  <c r="AM67" s="1"/>
  <c r="AM283"/>
  <c r="AM499"/>
  <c r="AM430"/>
  <c r="AM120"/>
  <c r="AM136"/>
  <c r="AM262"/>
  <c r="AM435"/>
  <c r="AM99"/>
  <c r="AM409"/>
  <c r="AM445"/>
  <c r="AM162"/>
  <c r="AM367"/>
  <c r="AN8"/>
  <c r="AM220"/>
  <c r="AM178"/>
  <c r="AM450"/>
  <c r="AM204"/>
  <c r="AM327"/>
  <c r="AM56" s="1"/>
  <c r="AM411"/>
  <c r="AM60" s="1"/>
  <c r="AM180"/>
  <c r="AM49" s="1"/>
  <c r="AM243"/>
  <c r="AM52" s="1"/>
  <c r="AM138"/>
  <c r="AM47" s="1"/>
  <c r="AM264"/>
  <c r="AM53" s="1"/>
  <c r="AM369"/>
  <c r="AM58" s="1"/>
  <c r="AM285"/>
  <c r="AM54" s="1"/>
  <c r="AM201"/>
  <c r="AM50" s="1"/>
  <c r="AM159"/>
  <c r="AM48" s="1"/>
  <c r="AM442"/>
  <c r="AM63" s="1"/>
  <c r="AM117"/>
  <c r="AM46" s="1"/>
  <c r="AM437"/>
  <c r="AM62" s="1"/>
  <c r="AM96"/>
  <c r="AM432"/>
  <c r="AM61" s="1"/>
  <c r="AM447"/>
  <c r="AM64" s="1"/>
  <c r="AM390"/>
  <c r="AM59" s="1"/>
  <c r="AM222"/>
  <c r="AM51" s="1"/>
  <c r="AM348"/>
  <c r="AM57" s="1"/>
  <c r="AM306"/>
  <c r="AM55" s="1"/>
  <c r="R25" i="117"/>
  <c r="R113"/>
  <c r="R69" s="1"/>
  <c r="AK113" i="116"/>
  <c r="AK69" s="1"/>
  <c r="AK88" s="1"/>
  <c r="AK90" s="1"/>
  <c r="AK19"/>
  <c r="AU90" i="28"/>
  <c r="U480" i="120"/>
  <c r="U86" s="1"/>
  <c r="U365"/>
  <c r="U81" s="1"/>
  <c r="U281"/>
  <c r="U77" s="1"/>
  <c r="U113"/>
  <c r="U69" s="1"/>
  <c r="U239"/>
  <c r="U75" s="1"/>
  <c r="U344"/>
  <c r="U80" s="1"/>
  <c r="U302"/>
  <c r="U78" s="1"/>
  <c r="AF31" i="118"/>
  <c r="AF480"/>
  <c r="AF86" s="1"/>
  <c r="AF239"/>
  <c r="AF75" s="1"/>
  <c r="AF32"/>
  <c r="AF176"/>
  <c r="AF72" s="1"/>
  <c r="V480" i="117"/>
  <c r="V86" s="1"/>
  <c r="V323"/>
  <c r="V79" s="1"/>
  <c r="V23"/>
  <c r="V21"/>
  <c r="V22"/>
  <c r="AK31" i="116"/>
  <c r="AK197"/>
  <c r="AK73" s="1"/>
  <c r="AK155"/>
  <c r="AK71" s="1"/>
  <c r="AK281"/>
  <c r="AK77" s="1"/>
  <c r="AK25"/>
  <c r="F180" i="109"/>
  <c r="F178"/>
  <c r="F176"/>
  <c r="F177"/>
  <c r="F179"/>
  <c r="F181"/>
  <c r="E73"/>
  <c r="AM148" i="116" l="1"/>
  <c r="AM108"/>
  <c r="AM149"/>
  <c r="AM174"/>
  <c r="AM195"/>
  <c r="AM216"/>
  <c r="AM237"/>
  <c r="AM258"/>
  <c r="AM279"/>
  <c r="AM300"/>
  <c r="AM321"/>
  <c r="AM342"/>
  <c r="AM363"/>
  <c r="AM384"/>
  <c r="AM405"/>
  <c r="AM426"/>
  <c r="AM462"/>
  <c r="AM478"/>
  <c r="AM494"/>
  <c r="AM127"/>
  <c r="AM111"/>
  <c r="AM129"/>
  <c r="AM170"/>
  <c r="AM191"/>
  <c r="AM212"/>
  <c r="AM233"/>
  <c r="AM254"/>
  <c r="AM275"/>
  <c r="AM296"/>
  <c r="AM317"/>
  <c r="AM338"/>
  <c r="AM359"/>
  <c r="AM380"/>
  <c r="AM401"/>
  <c r="AM422"/>
  <c r="AM458"/>
  <c r="AM474"/>
  <c r="AM490"/>
  <c r="AM106"/>
  <c r="AM107"/>
  <c r="AM132"/>
  <c r="AM150"/>
  <c r="AM190"/>
  <c r="AM211"/>
  <c r="AM232"/>
  <c r="AM253"/>
  <c r="AM274"/>
  <c r="AM295"/>
  <c r="AM316"/>
  <c r="AM337"/>
  <c r="AM358"/>
  <c r="AM379"/>
  <c r="AM400"/>
  <c r="AM421"/>
  <c r="AM457"/>
  <c r="AM473"/>
  <c r="AM489"/>
  <c r="AM169"/>
  <c r="AM128"/>
  <c r="AM153"/>
  <c r="AM171"/>
  <c r="AM192"/>
  <c r="AM213"/>
  <c r="AM234"/>
  <c r="AM255"/>
  <c r="AM276"/>
  <c r="AM297"/>
  <c r="AM318"/>
  <c r="AM339"/>
  <c r="AM360"/>
  <c r="AM381"/>
  <c r="AM402"/>
  <c r="AM423"/>
  <c r="AM459"/>
  <c r="AM475"/>
  <c r="AM491"/>
  <c r="AM487"/>
  <c r="AM417"/>
  <c r="AM333"/>
  <c r="AM249"/>
  <c r="AM165"/>
  <c r="AM399"/>
  <c r="AM231"/>
  <c r="AM495"/>
  <c r="AM419"/>
  <c r="AM335"/>
  <c r="AM251"/>
  <c r="AM167"/>
  <c r="AM39"/>
  <c r="AM357"/>
  <c r="AM189"/>
  <c r="AM382"/>
  <c r="AM154"/>
  <c r="AM427"/>
  <c r="AM102"/>
  <c r="AM238"/>
  <c r="AM130"/>
  <c r="AM270"/>
  <c r="AM354"/>
  <c r="AM252"/>
  <c r="AM146"/>
  <c r="AM209"/>
  <c r="AM406"/>
  <c r="AM420"/>
  <c r="AM259"/>
  <c r="AM424"/>
  <c r="AM340"/>
  <c r="AM256"/>
  <c r="AM172"/>
  <c r="AM456"/>
  <c r="AM292"/>
  <c r="AM124"/>
  <c r="AM453"/>
  <c r="AM364"/>
  <c r="AM280"/>
  <c r="AM196"/>
  <c r="AM112"/>
  <c r="AM418"/>
  <c r="AM250"/>
  <c r="AM454"/>
  <c r="AM230"/>
  <c r="AM109"/>
  <c r="AM271"/>
  <c r="AM314"/>
  <c r="AM193"/>
  <c r="AM455"/>
  <c r="AM103"/>
  <c r="AM294"/>
  <c r="AM187"/>
  <c r="AM355"/>
  <c r="AM486"/>
  <c r="AM125"/>
  <c r="AM361"/>
  <c r="AM469"/>
  <c r="AM356"/>
  <c r="AM272"/>
  <c r="AM188"/>
  <c r="AM104"/>
  <c r="AM315"/>
  <c r="AM147"/>
  <c r="AM460"/>
  <c r="AM396"/>
  <c r="AM312"/>
  <c r="AM323" s="1"/>
  <c r="AM79" s="1"/>
  <c r="AM228"/>
  <c r="AM144"/>
  <c r="AM470"/>
  <c r="AM273"/>
  <c r="AM105"/>
  <c r="AM293"/>
  <c r="AM126"/>
  <c r="AM336"/>
  <c r="AM377"/>
  <c r="AM210"/>
  <c r="AM463"/>
  <c r="AM168"/>
  <c r="AM313"/>
  <c r="AM123"/>
  <c r="AM479"/>
  <c r="AM186"/>
  <c r="AM197" s="1"/>
  <c r="AM73" s="1"/>
  <c r="AM214"/>
  <c r="AM378"/>
  <c r="AM277"/>
  <c r="AM476"/>
  <c r="AM385"/>
  <c r="AM301"/>
  <c r="AM217"/>
  <c r="AM133"/>
  <c r="AM376"/>
  <c r="AM208"/>
  <c r="AM471"/>
  <c r="AM403"/>
  <c r="AM319"/>
  <c r="AM235"/>
  <c r="AM151"/>
  <c r="AM488"/>
  <c r="AM334"/>
  <c r="AM166"/>
  <c r="AM343"/>
  <c r="AM145"/>
  <c r="AM375"/>
  <c r="AM492"/>
  <c r="AM229"/>
  <c r="AM472"/>
  <c r="AM207"/>
  <c r="AM322"/>
  <c r="AM175"/>
  <c r="AM485"/>
  <c r="AM496" s="1"/>
  <c r="AM87" s="1"/>
  <c r="AM291"/>
  <c r="AM397"/>
  <c r="AM298"/>
  <c r="AM398"/>
  <c r="R88" i="119"/>
  <c r="R90" s="1"/>
  <c r="N90" s="1"/>
  <c r="N78"/>
  <c r="V19" i="120"/>
  <c r="V113"/>
  <c r="V69" s="1"/>
  <c r="R36" i="116"/>
  <c r="AG281" i="118"/>
  <c r="AG77" s="1"/>
  <c r="AG25"/>
  <c r="AL323" i="116"/>
  <c r="AL79" s="1"/>
  <c r="AL260"/>
  <c r="AL76" s="1"/>
  <c r="AL134"/>
  <c r="AL70" s="1"/>
  <c r="AL25"/>
  <c r="V407" i="120"/>
  <c r="V83" s="1"/>
  <c r="V323"/>
  <c r="V79" s="1"/>
  <c r="V32"/>
  <c r="V386"/>
  <c r="V82" s="1"/>
  <c r="V239"/>
  <c r="V75" s="1"/>
  <c r="V302"/>
  <c r="V78" s="1"/>
  <c r="V36" i="117"/>
  <c r="V38" s="1"/>
  <c r="W22"/>
  <c r="W428"/>
  <c r="W84" s="1"/>
  <c r="W25"/>
  <c r="W26"/>
  <c r="W239"/>
  <c r="W75" s="1"/>
  <c r="W32"/>
  <c r="W21"/>
  <c r="AN466" i="116"/>
  <c r="AN241"/>
  <c r="AN330"/>
  <c r="AN304"/>
  <c r="AN372"/>
  <c r="AN507"/>
  <c r="AN508" s="1"/>
  <c r="AN509" s="1"/>
  <c r="AN346"/>
  <c r="AN283"/>
  <c r="AN115"/>
  <c r="AN267"/>
  <c r="AN309"/>
  <c r="AN503"/>
  <c r="AN325"/>
  <c r="AN414"/>
  <c r="AN42"/>
  <c r="AN67" s="1"/>
  <c r="AN388"/>
  <c r="AN499"/>
  <c r="AN120"/>
  <c r="AN351"/>
  <c r="AN393"/>
  <c r="AN225"/>
  <c r="AN482"/>
  <c r="AO8"/>
  <c r="AN409"/>
  <c r="AN445"/>
  <c r="AN162"/>
  <c r="AN450"/>
  <c r="AN136"/>
  <c r="AN204"/>
  <c r="AN430"/>
  <c r="AN94"/>
  <c r="AN178"/>
  <c r="AN367"/>
  <c r="AN183"/>
  <c r="AN440"/>
  <c r="AN157"/>
  <c r="AN246"/>
  <c r="AN16"/>
  <c r="AN220"/>
  <c r="AN288"/>
  <c r="AN435"/>
  <c r="AN99"/>
  <c r="AN199"/>
  <c r="AN141"/>
  <c r="AN262"/>
  <c r="AN117"/>
  <c r="AN46" s="1"/>
  <c r="AN348"/>
  <c r="AN57" s="1"/>
  <c r="AN222"/>
  <c r="AN51" s="1"/>
  <c r="AN201"/>
  <c r="AN50" s="1"/>
  <c r="AN264"/>
  <c r="AN53" s="1"/>
  <c r="AN138"/>
  <c r="AN47" s="1"/>
  <c r="AN411"/>
  <c r="AN60" s="1"/>
  <c r="AN306"/>
  <c r="AN55" s="1"/>
  <c r="AN180"/>
  <c r="AN49" s="1"/>
  <c r="AN369"/>
  <c r="AN58" s="1"/>
  <c r="AN159"/>
  <c r="AN48" s="1"/>
  <c r="AN390"/>
  <c r="AN59" s="1"/>
  <c r="AN285"/>
  <c r="AN54" s="1"/>
  <c r="AN96"/>
  <c r="AN327"/>
  <c r="AN56" s="1"/>
  <c r="AN442"/>
  <c r="AN63" s="1"/>
  <c r="AN447"/>
  <c r="AN64" s="1"/>
  <c r="AN437"/>
  <c r="AN62" s="1"/>
  <c r="AN243"/>
  <c r="AN52" s="1"/>
  <c r="AN432"/>
  <c r="AN61" s="1"/>
  <c r="R36" i="118"/>
  <c r="AL19" i="116"/>
  <c r="AL113"/>
  <c r="AL69" s="1"/>
  <c r="X435" i="120"/>
  <c r="X482"/>
  <c r="X430"/>
  <c r="X393"/>
  <c r="X351"/>
  <c r="X178"/>
  <c r="X288"/>
  <c r="X246"/>
  <c r="X99"/>
  <c r="X440"/>
  <c r="X220"/>
  <c r="X507"/>
  <c r="X508" s="1"/>
  <c r="X509" s="1"/>
  <c r="X325"/>
  <c r="X304"/>
  <c r="X225"/>
  <c r="X204"/>
  <c r="X199"/>
  <c r="X309"/>
  <c r="X330"/>
  <c r="X157"/>
  <c r="X16"/>
  <c r="X115"/>
  <c r="X445"/>
  <c r="X466"/>
  <c r="X499"/>
  <c r="X388"/>
  <c r="X283"/>
  <c r="X346"/>
  <c r="X414"/>
  <c r="X136"/>
  <c r="X141"/>
  <c r="X94"/>
  <c r="X120"/>
  <c r="X267"/>
  <c r="X503"/>
  <c r="X450"/>
  <c r="X367"/>
  <c r="X372"/>
  <c r="X241"/>
  <c r="X183"/>
  <c r="X262"/>
  <c r="X162"/>
  <c r="X42"/>
  <c r="X67" s="1"/>
  <c r="X409"/>
  <c r="Y8"/>
  <c r="X117"/>
  <c r="X46" s="1"/>
  <c r="X411"/>
  <c r="X60" s="1"/>
  <c r="X96"/>
  <c r="X442"/>
  <c r="X63" s="1"/>
  <c r="X390"/>
  <c r="X59" s="1"/>
  <c r="X447"/>
  <c r="X64" s="1"/>
  <c r="X201"/>
  <c r="X50" s="1"/>
  <c r="X159"/>
  <c r="X48" s="1"/>
  <c r="X327"/>
  <c r="X56" s="1"/>
  <c r="X432"/>
  <c r="X61" s="1"/>
  <c r="X243"/>
  <c r="X52" s="1"/>
  <c r="X138"/>
  <c r="X47" s="1"/>
  <c r="X348"/>
  <c r="X57" s="1"/>
  <c r="X437"/>
  <c r="X62" s="1"/>
  <c r="X369"/>
  <c r="X58" s="1"/>
  <c r="X222"/>
  <c r="X51" s="1"/>
  <c r="X264"/>
  <c r="X53" s="1"/>
  <c r="X180"/>
  <c r="X49" s="1"/>
  <c r="X285"/>
  <c r="X54" s="1"/>
  <c r="X306"/>
  <c r="X55" s="1"/>
  <c r="R36"/>
  <c r="W113" i="117"/>
  <c r="W69" s="1"/>
  <c r="W24"/>
  <c r="R88" i="116"/>
  <c r="R90" s="1"/>
  <c r="AK36"/>
  <c r="AK38" s="1"/>
  <c r="AG24" i="118"/>
  <c r="AG134"/>
  <c r="AG70" s="1"/>
  <c r="AG344"/>
  <c r="AG80" s="1"/>
  <c r="AG23"/>
  <c r="AG21"/>
  <c r="AG26"/>
  <c r="AG218"/>
  <c r="AG74" s="1"/>
  <c r="AG407"/>
  <c r="AG83" s="1"/>
  <c r="AG386"/>
  <c r="AG82" s="1"/>
  <c r="AG155"/>
  <c r="AG71" s="1"/>
  <c r="AG20"/>
  <c r="AG260"/>
  <c r="AG76" s="1"/>
  <c r="AL365" i="116"/>
  <c r="AL81" s="1"/>
  <c r="AL176"/>
  <c r="AL72" s="1"/>
  <c r="AL386"/>
  <c r="AL82" s="1"/>
  <c r="AL23"/>
  <c r="V281" i="120"/>
  <c r="V77" s="1"/>
  <c r="V20"/>
  <c r="V25"/>
  <c r="V496"/>
  <c r="V87" s="1"/>
  <c r="V88" i="117"/>
  <c r="V90" s="1"/>
  <c r="W496"/>
  <c r="W87" s="1"/>
  <c r="W134"/>
  <c r="W70" s="1"/>
  <c r="W464"/>
  <c r="W85" s="1"/>
  <c r="R88" i="118"/>
  <c r="R90" s="1"/>
  <c r="N25" i="28"/>
  <c r="R36"/>
  <c r="AH45" i="118"/>
  <c r="AH65" s="1"/>
  <c r="AH10"/>
  <c r="AH14" s="1"/>
  <c r="AI440"/>
  <c r="AI220"/>
  <c r="AI283"/>
  <c r="AI241"/>
  <c r="AI115"/>
  <c r="AI309"/>
  <c r="AI199"/>
  <c r="AI94"/>
  <c r="AI42"/>
  <c r="AI67" s="1"/>
  <c r="AI136"/>
  <c r="AI325"/>
  <c r="AI466"/>
  <c r="AI304"/>
  <c r="AI367"/>
  <c r="AI262"/>
  <c r="AI330"/>
  <c r="AI445"/>
  <c r="AI246"/>
  <c r="AI99"/>
  <c r="AI225"/>
  <c r="AI351"/>
  <c r="AI16"/>
  <c r="AI503"/>
  <c r="AI388"/>
  <c r="AI393"/>
  <c r="AI346"/>
  <c r="AI435"/>
  <c r="AI120"/>
  <c r="AI157"/>
  <c r="AI178"/>
  <c r="AI267"/>
  <c r="AJ8"/>
  <c r="AI409"/>
  <c r="AI507"/>
  <c r="AI508" s="1"/>
  <c r="AI509" s="1"/>
  <c r="AI482"/>
  <c r="AI450"/>
  <c r="AI499"/>
  <c r="AI430"/>
  <c r="AI141"/>
  <c r="AI372"/>
  <c r="AI288"/>
  <c r="AI183"/>
  <c r="AI414"/>
  <c r="AI204"/>
  <c r="AI162"/>
  <c r="AI432"/>
  <c r="AI61" s="1"/>
  <c r="AI96"/>
  <c r="AI306"/>
  <c r="AI55" s="1"/>
  <c r="AI222"/>
  <c r="AI51" s="1"/>
  <c r="AI437"/>
  <c r="AI62" s="1"/>
  <c r="AI447"/>
  <c r="AI64" s="1"/>
  <c r="AI138"/>
  <c r="AI47" s="1"/>
  <c r="AI180"/>
  <c r="AI49" s="1"/>
  <c r="AI411"/>
  <c r="AI60" s="1"/>
  <c r="AI117"/>
  <c r="AI46" s="1"/>
  <c r="AI348"/>
  <c r="AI57" s="1"/>
  <c r="AI159"/>
  <c r="AI48" s="1"/>
  <c r="AI369"/>
  <c r="AI58" s="1"/>
  <c r="AI390"/>
  <c r="AI59" s="1"/>
  <c r="AI264"/>
  <c r="AI53" s="1"/>
  <c r="AI442"/>
  <c r="AI63" s="1"/>
  <c r="AI201"/>
  <c r="AI50" s="1"/>
  <c r="AI243"/>
  <c r="AI52" s="1"/>
  <c r="AI327"/>
  <c r="AI56" s="1"/>
  <c r="AI285"/>
  <c r="AI54" s="1"/>
  <c r="Y430" i="117"/>
  <c r="Y450"/>
  <c r="Y115"/>
  <c r="Y120"/>
  <c r="Z8"/>
  <c r="Y141"/>
  <c r="Y178"/>
  <c r="Y309"/>
  <c r="Y440"/>
  <c r="Y99"/>
  <c r="Y288"/>
  <c r="Y351"/>
  <c r="Y199"/>
  <c r="Y204"/>
  <c r="Y42"/>
  <c r="Y67" s="1"/>
  <c r="Y94"/>
  <c r="Y183"/>
  <c r="Y445"/>
  <c r="Y330"/>
  <c r="Y225"/>
  <c r="Y246"/>
  <c r="Y507"/>
  <c r="Y508" s="1"/>
  <c r="Y509" s="1"/>
  <c r="Y372"/>
  <c r="Y435"/>
  <c r="Y304"/>
  <c r="Y283"/>
  <c r="Y162"/>
  <c r="Y267"/>
  <c r="Y241"/>
  <c r="Y220"/>
  <c r="Y16"/>
  <c r="Y414"/>
  <c r="Y157"/>
  <c r="Y503"/>
  <c r="Y482"/>
  <c r="Y346"/>
  <c r="Y388"/>
  <c r="Y466"/>
  <c r="Y367"/>
  <c r="Y393"/>
  <c r="Y499"/>
  <c r="Y409"/>
  <c r="Y136"/>
  <c r="Y262"/>
  <c r="Y325"/>
  <c r="Y264"/>
  <c r="Y53" s="1"/>
  <c r="Y159"/>
  <c r="Y48" s="1"/>
  <c r="Y411"/>
  <c r="Y60" s="1"/>
  <c r="Y285"/>
  <c r="Y54" s="1"/>
  <c r="Y96"/>
  <c r="Y180"/>
  <c r="Y49" s="1"/>
  <c r="Y348"/>
  <c r="Y57" s="1"/>
  <c r="Y117"/>
  <c r="Y46" s="1"/>
  <c r="Y243"/>
  <c r="Y52" s="1"/>
  <c r="Y306"/>
  <c r="Y55" s="1"/>
  <c r="Y369"/>
  <c r="Y58" s="1"/>
  <c r="Y432"/>
  <c r="Y61" s="1"/>
  <c r="Y138"/>
  <c r="Y47" s="1"/>
  <c r="Y327"/>
  <c r="Y56" s="1"/>
  <c r="Y222"/>
  <c r="Y51" s="1"/>
  <c r="Y390"/>
  <c r="Y59" s="1"/>
  <c r="Y442"/>
  <c r="Y63" s="1"/>
  <c r="Y201"/>
  <c r="Y50" s="1"/>
  <c r="Y447"/>
  <c r="Y64" s="1"/>
  <c r="Y437"/>
  <c r="Y62" s="1"/>
  <c r="R88" i="120"/>
  <c r="R90" s="1"/>
  <c r="AG65" i="118"/>
  <c r="N25" i="121"/>
  <c r="R36"/>
  <c r="U88" i="120"/>
  <c r="U90" s="1"/>
  <c r="AG31" i="118"/>
  <c r="AG302"/>
  <c r="AG78" s="1"/>
  <c r="AG19"/>
  <c r="AG428"/>
  <c r="AG84" s="1"/>
  <c r="AG365"/>
  <c r="AG81" s="1"/>
  <c r="AG32"/>
  <c r="AG176"/>
  <c r="AG72" s="1"/>
  <c r="AL239" i="116"/>
  <c r="AL75" s="1"/>
  <c r="AL26"/>
  <c r="AL155"/>
  <c r="AL71" s="1"/>
  <c r="AL407"/>
  <c r="AL83" s="1"/>
  <c r="AL464"/>
  <c r="AL85" s="1"/>
  <c r="AL428"/>
  <c r="AL84" s="1"/>
  <c r="AL302"/>
  <c r="AL78" s="1"/>
  <c r="AL24"/>
  <c r="AF88" i="118"/>
  <c r="AF90" s="1"/>
  <c r="V31" i="120"/>
  <c r="V21"/>
  <c r="V26"/>
  <c r="V428"/>
  <c r="V84" s="1"/>
  <c r="V22"/>
  <c r="W31" i="117"/>
  <c r="W281"/>
  <c r="W77" s="1"/>
  <c r="W23"/>
  <c r="W19"/>
  <c r="W344"/>
  <c r="W80" s="1"/>
  <c r="W176"/>
  <c r="W72" s="1"/>
  <c r="W365"/>
  <c r="W81" s="1"/>
  <c r="W197"/>
  <c r="W73" s="1"/>
  <c r="R36"/>
  <c r="R88"/>
  <c r="R90" s="1"/>
  <c r="AM45" i="116"/>
  <c r="AM65" s="1"/>
  <c r="AM10"/>
  <c r="N25" i="119"/>
  <c r="R36"/>
  <c r="U36" i="120"/>
  <c r="U38" s="1"/>
  <c r="N69" i="28"/>
  <c r="R88"/>
  <c r="R90" s="1"/>
  <c r="N90" s="1"/>
  <c r="AH193" i="118"/>
  <c r="AH297"/>
  <c r="AH492"/>
  <c r="AH470"/>
  <c r="AH487"/>
  <c r="AH108"/>
  <c r="AH298"/>
  <c r="AH318"/>
  <c r="AH175"/>
  <c r="AH475"/>
  <c r="AH256"/>
  <c r="AH214"/>
  <c r="AH188"/>
  <c r="AH357"/>
  <c r="AH460"/>
  <c r="AH235"/>
  <c r="AH343"/>
  <c r="AH252"/>
  <c r="AH418"/>
  <c r="AH472"/>
  <c r="AH397"/>
  <c r="AH130"/>
  <c r="AH273"/>
  <c r="AH125"/>
  <c r="AH165"/>
  <c r="AH479"/>
  <c r="AH276"/>
  <c r="AH486"/>
  <c r="AH377"/>
  <c r="AH229"/>
  <c r="AH259"/>
  <c r="AH192"/>
  <c r="AH463"/>
  <c r="AH339"/>
  <c r="AH255"/>
  <c r="AH213"/>
  <c r="AH402"/>
  <c r="AH313"/>
  <c r="AH423"/>
  <c r="AH360"/>
  <c r="AH210"/>
  <c r="AH424"/>
  <c r="AH167"/>
  <c r="AH315"/>
  <c r="AH491"/>
  <c r="AH301"/>
  <c r="AH420"/>
  <c r="AH489"/>
  <c r="AH207"/>
  <c r="AH381"/>
  <c r="AH133"/>
  <c r="AH238"/>
  <c r="AH354"/>
  <c r="AH146"/>
  <c r="AH375"/>
  <c r="AH382"/>
  <c r="AH168"/>
  <c r="AH271"/>
  <c r="AH419"/>
  <c r="AH292"/>
  <c r="AH476"/>
  <c r="AH144"/>
  <c r="AH103"/>
  <c r="AH337"/>
  <c r="AH230"/>
  <c r="AH189"/>
  <c r="AH171"/>
  <c r="AH123"/>
  <c r="AH312"/>
  <c r="AH454"/>
  <c r="AH406"/>
  <c r="AH291"/>
  <c r="AH319"/>
  <c r="AH187"/>
  <c r="AH234"/>
  <c r="AH251"/>
  <c r="AH270"/>
  <c r="AH249"/>
  <c r="AH277"/>
  <c r="AH322"/>
  <c r="AH129"/>
  <c r="AH471"/>
  <c r="AH459"/>
  <c r="AH378"/>
  <c r="AH340"/>
  <c r="AH154"/>
  <c r="AH495"/>
  <c r="AH356"/>
  <c r="AH231"/>
  <c r="AH335"/>
  <c r="AH456"/>
  <c r="AH196"/>
  <c r="AH427"/>
  <c r="AH455"/>
  <c r="AH112"/>
  <c r="AH488"/>
  <c r="AH361"/>
  <c r="AH172"/>
  <c r="AH147"/>
  <c r="AH314"/>
  <c r="AH396"/>
  <c r="AH407" s="1"/>
  <c r="AH83" s="1"/>
  <c r="AH280"/>
  <c r="AH228"/>
  <c r="AH272"/>
  <c r="AH209"/>
  <c r="AH104"/>
  <c r="AH453"/>
  <c r="AH364"/>
  <c r="AH355"/>
  <c r="AH485"/>
  <c r="AH403"/>
  <c r="AH385"/>
  <c r="AH151"/>
  <c r="AH334"/>
  <c r="AH398"/>
  <c r="AH417"/>
  <c r="AH105"/>
  <c r="AH150"/>
  <c r="AH469"/>
  <c r="AH124"/>
  <c r="AH166"/>
  <c r="AH250"/>
  <c r="AH145"/>
  <c r="AH399"/>
  <c r="AH102"/>
  <c r="AH109"/>
  <c r="AH376"/>
  <c r="AH333"/>
  <c r="AH217"/>
  <c r="AH473"/>
  <c r="AH232"/>
  <c r="AH211"/>
  <c r="AH421"/>
  <c r="AH358"/>
  <c r="AH127"/>
  <c r="AH457"/>
  <c r="AH106"/>
  <c r="AH126"/>
  <c r="AH169"/>
  <c r="AH379"/>
  <c r="AH316"/>
  <c r="AH293"/>
  <c r="AH253"/>
  <c r="AH186"/>
  <c r="AH295"/>
  <c r="AH400"/>
  <c r="AH190"/>
  <c r="AH274"/>
  <c r="AH148"/>
  <c r="AH294"/>
  <c r="AH254"/>
  <c r="AH208"/>
  <c r="AH336"/>
  <c r="AH111"/>
  <c r="AH321"/>
  <c r="AH233"/>
  <c r="AH296"/>
  <c r="AH128"/>
  <c r="AH338"/>
  <c r="AH237"/>
  <c r="AH426"/>
  <c r="AH478"/>
  <c r="AH258"/>
  <c r="AH260" s="1"/>
  <c r="AH76" s="1"/>
  <c r="AH195"/>
  <c r="AH300"/>
  <c r="AH275"/>
  <c r="AH279"/>
  <c r="AH401"/>
  <c r="AH107"/>
  <c r="AH384"/>
  <c r="AH474"/>
  <c r="AH363"/>
  <c r="AH191"/>
  <c r="AH149"/>
  <c r="AH359"/>
  <c r="AH365" s="1"/>
  <c r="AH81" s="1"/>
  <c r="AH405"/>
  <c r="AH458"/>
  <c r="AH490"/>
  <c r="AH462"/>
  <c r="AH422"/>
  <c r="AH132"/>
  <c r="AH494"/>
  <c r="AH153"/>
  <c r="AH216"/>
  <c r="AH212"/>
  <c r="AH342"/>
  <c r="AH317"/>
  <c r="AH174"/>
  <c r="AH380"/>
  <c r="AH170"/>
  <c r="X45" i="117"/>
  <c r="X65" s="1"/>
  <c r="X10"/>
  <c r="X154"/>
  <c r="X231"/>
  <c r="X472"/>
  <c r="X406"/>
  <c r="X235"/>
  <c r="X103"/>
  <c r="X298"/>
  <c r="X382"/>
  <c r="X175"/>
  <c r="X469"/>
  <c r="X250"/>
  <c r="X421"/>
  <c r="X168"/>
  <c r="X396"/>
  <c r="X420"/>
  <c r="X112"/>
  <c r="X360"/>
  <c r="X171"/>
  <c r="X104"/>
  <c r="X150"/>
  <c r="X147"/>
  <c r="X165"/>
  <c r="X151"/>
  <c r="X130"/>
  <c r="X124"/>
  <c r="X357"/>
  <c r="X492"/>
  <c r="X453"/>
  <c r="X229"/>
  <c r="X423"/>
  <c r="X319"/>
  <c r="X378"/>
  <c r="X355"/>
  <c r="X473"/>
  <c r="X403"/>
  <c r="X270"/>
  <c r="X315"/>
  <c r="X354"/>
  <c r="X144"/>
  <c r="X196"/>
  <c r="X364"/>
  <c r="X457"/>
  <c r="X491"/>
  <c r="X272"/>
  <c r="X108"/>
  <c r="X280"/>
  <c r="X297"/>
  <c r="X463"/>
  <c r="X209"/>
  <c r="X166"/>
  <c r="X312"/>
  <c r="X252"/>
  <c r="X146"/>
  <c r="X127"/>
  <c r="X381"/>
  <c r="X375"/>
  <c r="X335"/>
  <c r="X277"/>
  <c r="X172"/>
  <c r="X417"/>
  <c r="X291"/>
  <c r="X186"/>
  <c r="X376"/>
  <c r="X316"/>
  <c r="X214"/>
  <c r="X133"/>
  <c r="X276"/>
  <c r="X379"/>
  <c r="X193"/>
  <c r="X476"/>
  <c r="X148"/>
  <c r="X402"/>
  <c r="X397"/>
  <c r="X167"/>
  <c r="X125"/>
  <c r="X251"/>
  <c r="X486"/>
  <c r="X343"/>
  <c r="X228"/>
  <c r="X470"/>
  <c r="X399"/>
  <c r="X454"/>
  <c r="X192"/>
  <c r="X337"/>
  <c r="X271"/>
  <c r="X187"/>
  <c r="X169"/>
  <c r="X340"/>
  <c r="X255"/>
  <c r="X273"/>
  <c r="X495"/>
  <c r="X427"/>
  <c r="X210"/>
  <c r="X377"/>
  <c r="X123"/>
  <c r="X479"/>
  <c r="X358"/>
  <c r="X208"/>
  <c r="X361"/>
  <c r="X295"/>
  <c r="X455"/>
  <c r="X385"/>
  <c r="X238"/>
  <c r="X471"/>
  <c r="X460"/>
  <c r="X314"/>
  <c r="X293"/>
  <c r="X217"/>
  <c r="X249"/>
  <c r="X418"/>
  <c r="X292"/>
  <c r="X489"/>
  <c r="X189"/>
  <c r="X109"/>
  <c r="X488"/>
  <c r="X256"/>
  <c r="X188"/>
  <c r="X356"/>
  <c r="X129"/>
  <c r="X105"/>
  <c r="X234"/>
  <c r="X259"/>
  <c r="X424"/>
  <c r="X339"/>
  <c r="X398"/>
  <c r="X475"/>
  <c r="X485"/>
  <c r="X301"/>
  <c r="X334"/>
  <c r="X230"/>
  <c r="X333"/>
  <c r="X322"/>
  <c r="X145"/>
  <c r="X459"/>
  <c r="X318"/>
  <c r="X400"/>
  <c r="X487"/>
  <c r="X213"/>
  <c r="X207"/>
  <c r="X274"/>
  <c r="X211"/>
  <c r="X106"/>
  <c r="X313"/>
  <c r="X456"/>
  <c r="X336"/>
  <c r="X294"/>
  <c r="X190"/>
  <c r="X419"/>
  <c r="X253"/>
  <c r="X232"/>
  <c r="X102"/>
  <c r="X126"/>
  <c r="X296"/>
  <c r="X216"/>
  <c r="X170"/>
  <c r="X342"/>
  <c r="X384"/>
  <c r="X107"/>
  <c r="X490"/>
  <c r="X258"/>
  <c r="X474"/>
  <c r="X174"/>
  <c r="X237"/>
  <c r="X128"/>
  <c r="X338"/>
  <c r="X191"/>
  <c r="X422"/>
  <c r="X149"/>
  <c r="X380"/>
  <c r="X462"/>
  <c r="X275"/>
  <c r="X317"/>
  <c r="X254"/>
  <c r="X426"/>
  <c r="X321"/>
  <c r="X195"/>
  <c r="X153"/>
  <c r="X111"/>
  <c r="X359"/>
  <c r="X478"/>
  <c r="X494"/>
  <c r="X401"/>
  <c r="X363"/>
  <c r="X212"/>
  <c r="X132"/>
  <c r="X458"/>
  <c r="X405"/>
  <c r="X279"/>
  <c r="X300"/>
  <c r="X233"/>
  <c r="W45" i="120"/>
  <c r="W10"/>
  <c r="W291"/>
  <c r="W313"/>
  <c r="W192"/>
  <c r="W154"/>
  <c r="W377"/>
  <c r="W427"/>
  <c r="W488"/>
  <c r="W108"/>
  <c r="W123"/>
  <c r="W487"/>
  <c r="W420"/>
  <c r="W418"/>
  <c r="W364"/>
  <c r="W255"/>
  <c r="W402"/>
  <c r="W172"/>
  <c r="W151"/>
  <c r="W213"/>
  <c r="W211"/>
  <c r="W455"/>
  <c r="W175"/>
  <c r="W319"/>
  <c r="W495"/>
  <c r="W277"/>
  <c r="W335"/>
  <c r="W382"/>
  <c r="W343"/>
  <c r="W147"/>
  <c r="W471"/>
  <c r="W355"/>
  <c r="W167"/>
  <c r="W470"/>
  <c r="W145"/>
  <c r="W361"/>
  <c r="W473"/>
  <c r="W133"/>
  <c r="W229"/>
  <c r="W397"/>
  <c r="W196"/>
  <c r="W406"/>
  <c r="W251"/>
  <c r="W272"/>
  <c r="W129"/>
  <c r="W112"/>
  <c r="W274"/>
  <c r="W475"/>
  <c r="W235"/>
  <c r="W171"/>
  <c r="W127"/>
  <c r="W228"/>
  <c r="W385"/>
  <c r="W315"/>
  <c r="W457"/>
  <c r="W485"/>
  <c r="W214"/>
  <c r="W486"/>
  <c r="W424"/>
  <c r="W231"/>
  <c r="W256"/>
  <c r="W252"/>
  <c r="W398"/>
  <c r="W238"/>
  <c r="W476"/>
  <c r="W297"/>
  <c r="W207"/>
  <c r="W105"/>
  <c r="W259"/>
  <c r="W354"/>
  <c r="W232"/>
  <c r="W491"/>
  <c r="W230"/>
  <c r="W273"/>
  <c r="W125"/>
  <c r="W417"/>
  <c r="W169"/>
  <c r="W378"/>
  <c r="W479"/>
  <c r="W460"/>
  <c r="W381"/>
  <c r="W280"/>
  <c r="W492"/>
  <c r="W339"/>
  <c r="W190"/>
  <c r="W400"/>
  <c r="W357"/>
  <c r="W375"/>
  <c r="W399"/>
  <c r="W333"/>
  <c r="W454"/>
  <c r="W314"/>
  <c r="W453"/>
  <c r="W276"/>
  <c r="W270"/>
  <c r="W295"/>
  <c r="W459"/>
  <c r="W376"/>
  <c r="W188"/>
  <c r="W423"/>
  <c r="W208"/>
  <c r="W469"/>
  <c r="W249"/>
  <c r="W463"/>
  <c r="W298"/>
  <c r="W456"/>
  <c r="W103"/>
  <c r="W318"/>
  <c r="W217"/>
  <c r="W150"/>
  <c r="W403"/>
  <c r="W186"/>
  <c r="W148"/>
  <c r="W293"/>
  <c r="W165"/>
  <c r="W124"/>
  <c r="W472"/>
  <c r="W292"/>
  <c r="W187"/>
  <c r="W250"/>
  <c r="W102"/>
  <c r="W322"/>
  <c r="W189"/>
  <c r="W340"/>
  <c r="W166"/>
  <c r="W419"/>
  <c r="W209"/>
  <c r="W193"/>
  <c r="W489"/>
  <c r="W334"/>
  <c r="W312"/>
  <c r="W168"/>
  <c r="W360"/>
  <c r="W130"/>
  <c r="W104"/>
  <c r="W21" s="1"/>
  <c r="W356"/>
  <c r="W234"/>
  <c r="W109"/>
  <c r="W106"/>
  <c r="W23" s="1"/>
  <c r="W210"/>
  <c r="W144"/>
  <c r="W301"/>
  <c r="W316"/>
  <c r="W126"/>
  <c r="W358"/>
  <c r="W421"/>
  <c r="W271"/>
  <c r="W396"/>
  <c r="W379"/>
  <c r="W146"/>
  <c r="W253"/>
  <c r="W170"/>
  <c r="W336"/>
  <c r="W337"/>
  <c r="W294"/>
  <c r="W342"/>
  <c r="W494"/>
  <c r="W111"/>
  <c r="W458"/>
  <c r="W107"/>
  <c r="W216"/>
  <c r="W426"/>
  <c r="W174"/>
  <c r="W300"/>
  <c r="W128"/>
  <c r="W279"/>
  <c r="W380"/>
  <c r="W474"/>
  <c r="W275"/>
  <c r="W212"/>
  <c r="W132"/>
  <c r="W191"/>
  <c r="W338"/>
  <c r="W384"/>
  <c r="W237"/>
  <c r="W195"/>
  <c r="W149"/>
  <c r="W233"/>
  <c r="W478"/>
  <c r="W422"/>
  <c r="W401"/>
  <c r="W153"/>
  <c r="W254"/>
  <c r="W258"/>
  <c r="W405"/>
  <c r="W296"/>
  <c r="W363"/>
  <c r="W321"/>
  <c r="W359"/>
  <c r="W490"/>
  <c r="W462"/>
  <c r="W317"/>
  <c r="AG14" i="118"/>
  <c r="N69" i="121"/>
  <c r="R88"/>
  <c r="R90" s="1"/>
  <c r="N90" s="1"/>
  <c r="AG496" i="118"/>
  <c r="AG87" s="1"/>
  <c r="AG197"/>
  <c r="AG73" s="1"/>
  <c r="AG22"/>
  <c r="AG113"/>
  <c r="AG69" s="1"/>
  <c r="AG480"/>
  <c r="AG86" s="1"/>
  <c r="AG464"/>
  <c r="AG85" s="1"/>
  <c r="AG239"/>
  <c r="AG75" s="1"/>
  <c r="AL20" i="116"/>
  <c r="AL22"/>
  <c r="AL32"/>
  <c r="AL344"/>
  <c r="AL80" s="1"/>
  <c r="AL496"/>
  <c r="AL87" s="1"/>
  <c r="AL218"/>
  <c r="AL74" s="1"/>
  <c r="AL31"/>
  <c r="AF36" i="118"/>
  <c r="AF38" s="1"/>
  <c r="V23" i="120"/>
  <c r="V480"/>
  <c r="V86" s="1"/>
  <c r="V155"/>
  <c r="V71" s="1"/>
  <c r="V134"/>
  <c r="V70" s="1"/>
  <c r="V218"/>
  <c r="V74" s="1"/>
  <c r="V464"/>
  <c r="V85" s="1"/>
  <c r="W260" i="117"/>
  <c r="W76" s="1"/>
  <c r="W155"/>
  <c r="W71" s="1"/>
  <c r="W386"/>
  <c r="W82" s="1"/>
  <c r="W323"/>
  <c r="W79" s="1"/>
  <c r="W480"/>
  <c r="W86" s="1"/>
  <c r="I43" i="8"/>
  <c r="K79" i="109"/>
  <c r="E34" i="8"/>
  <c r="K34"/>
  <c r="E79" i="109"/>
  <c r="I79"/>
  <c r="I80" l="1"/>
  <c r="I81" s="1"/>
  <c r="E80"/>
  <c r="E81" s="1"/>
  <c r="K53" i="8"/>
  <c r="K55" s="1"/>
  <c r="E53"/>
  <c r="E55" s="1"/>
  <c r="K80" i="109"/>
  <c r="I53" i="8"/>
  <c r="I55" s="1"/>
  <c r="W113" i="120"/>
  <c r="W69" s="1"/>
  <c r="W24"/>
  <c r="AM14" i="116"/>
  <c r="R38" i="117"/>
  <c r="R38" i="121"/>
  <c r="N36"/>
  <c r="N38" s="1"/>
  <c r="AJ393" i="118"/>
  <c r="AJ367"/>
  <c r="AJ482"/>
  <c r="AJ430"/>
  <c r="AJ304"/>
  <c r="AJ220"/>
  <c r="AJ440"/>
  <c r="AJ42"/>
  <c r="AJ67" s="1"/>
  <c r="AJ262"/>
  <c r="AJ136"/>
  <c r="AJ99"/>
  <c r="AJ507"/>
  <c r="AJ508" s="1"/>
  <c r="AJ509" s="1"/>
  <c r="AJ466"/>
  <c r="AJ503"/>
  <c r="AJ288"/>
  <c r="AJ267"/>
  <c r="AK8"/>
  <c r="AJ325"/>
  <c r="AJ94"/>
  <c r="AJ162"/>
  <c r="AJ414"/>
  <c r="AJ157"/>
  <c r="AJ241"/>
  <c r="AJ445"/>
  <c r="AJ499"/>
  <c r="AJ225"/>
  <c r="AJ372"/>
  <c r="AJ351"/>
  <c r="AJ115"/>
  <c r="AJ120"/>
  <c r="AJ178"/>
  <c r="AJ346"/>
  <c r="AJ16"/>
  <c r="AJ204"/>
  <c r="AJ183"/>
  <c r="AJ309"/>
  <c r="AJ450"/>
  <c r="AJ435"/>
  <c r="AJ330"/>
  <c r="AJ283"/>
  <c r="AJ199"/>
  <c r="AJ409"/>
  <c r="AJ141"/>
  <c r="AJ246"/>
  <c r="AJ388"/>
  <c r="AJ243"/>
  <c r="AJ52" s="1"/>
  <c r="AJ180"/>
  <c r="AJ49" s="1"/>
  <c r="AJ306"/>
  <c r="AJ55" s="1"/>
  <c r="AJ201"/>
  <c r="AJ50" s="1"/>
  <c r="AJ432"/>
  <c r="AJ61" s="1"/>
  <c r="AJ96"/>
  <c r="AJ390"/>
  <c r="AJ59" s="1"/>
  <c r="AJ447"/>
  <c r="AJ64" s="1"/>
  <c r="AJ437"/>
  <c r="AJ62" s="1"/>
  <c r="AJ222"/>
  <c r="AJ51" s="1"/>
  <c r="AJ159"/>
  <c r="AJ48" s="1"/>
  <c r="AJ327"/>
  <c r="AJ56" s="1"/>
  <c r="AJ442"/>
  <c r="AJ63" s="1"/>
  <c r="AJ117"/>
  <c r="AJ46" s="1"/>
  <c r="AJ411"/>
  <c r="AJ60" s="1"/>
  <c r="AJ138"/>
  <c r="AJ47" s="1"/>
  <c r="AJ369"/>
  <c r="AJ58" s="1"/>
  <c r="AJ348"/>
  <c r="AJ57" s="1"/>
  <c r="AJ264"/>
  <c r="AJ53" s="1"/>
  <c r="AJ285"/>
  <c r="AJ54" s="1"/>
  <c r="R38"/>
  <c r="AN45" i="116"/>
  <c r="AN65" s="1"/>
  <c r="AN10"/>
  <c r="AN14" s="1"/>
  <c r="AO414"/>
  <c r="AO42"/>
  <c r="AO67" s="1"/>
  <c r="AO388"/>
  <c r="AO507"/>
  <c r="AO508" s="1"/>
  <c r="AO509" s="1"/>
  <c r="AO309"/>
  <c r="AO430"/>
  <c r="AO94"/>
  <c r="AO288"/>
  <c r="AO372"/>
  <c r="AO466"/>
  <c r="AO199"/>
  <c r="AO241"/>
  <c r="AO445"/>
  <c r="AO162"/>
  <c r="AO450"/>
  <c r="AO136"/>
  <c r="AO393"/>
  <c r="AO482"/>
  <c r="AO178"/>
  <c r="AO435"/>
  <c r="AO99"/>
  <c r="AO267"/>
  <c r="AO204"/>
  <c r="AO499"/>
  <c r="AO246"/>
  <c r="AO16"/>
  <c r="AO220"/>
  <c r="AO141"/>
  <c r="AO262"/>
  <c r="AO440"/>
  <c r="AO157"/>
  <c r="AO325"/>
  <c r="AO409"/>
  <c r="AP8"/>
  <c r="AO115"/>
  <c r="AO330"/>
  <c r="AO304"/>
  <c r="AO225"/>
  <c r="AO346"/>
  <c r="AO503"/>
  <c r="AO283"/>
  <c r="AO367"/>
  <c r="AO351"/>
  <c r="AO120"/>
  <c r="AO183"/>
  <c r="AO138"/>
  <c r="AO47" s="1"/>
  <c r="AO411"/>
  <c r="AO60" s="1"/>
  <c r="AO159"/>
  <c r="AO48" s="1"/>
  <c r="AO180"/>
  <c r="AO49" s="1"/>
  <c r="AO369"/>
  <c r="AO58" s="1"/>
  <c r="AO306"/>
  <c r="AO55" s="1"/>
  <c r="AO285"/>
  <c r="AO54" s="1"/>
  <c r="AO117"/>
  <c r="AO46" s="1"/>
  <c r="AO243"/>
  <c r="AO52" s="1"/>
  <c r="AO201"/>
  <c r="AO50" s="1"/>
  <c r="AO327"/>
  <c r="AO56" s="1"/>
  <c r="AO348"/>
  <c r="AO57" s="1"/>
  <c r="AO222"/>
  <c r="AO51" s="1"/>
  <c r="AO442"/>
  <c r="AO63" s="1"/>
  <c r="AO264"/>
  <c r="AO53" s="1"/>
  <c r="AO390"/>
  <c r="AO59" s="1"/>
  <c r="AO96"/>
  <c r="AO447"/>
  <c r="AO64" s="1"/>
  <c r="AO432"/>
  <c r="AO61" s="1"/>
  <c r="AO437"/>
  <c r="AO62" s="1"/>
  <c r="W323" i="120"/>
  <c r="W79" s="1"/>
  <c r="W407"/>
  <c r="W83" s="1"/>
  <c r="W197"/>
  <c r="W73" s="1"/>
  <c r="W386"/>
  <c r="W82" s="1"/>
  <c r="W428"/>
  <c r="W84" s="1"/>
  <c r="W22"/>
  <c r="W496"/>
  <c r="W87" s="1"/>
  <c r="X31" i="117"/>
  <c r="X24"/>
  <c r="X23"/>
  <c r="X26"/>
  <c r="X197"/>
  <c r="X73" s="1"/>
  <c r="X365"/>
  <c r="X81" s="1"/>
  <c r="X176"/>
  <c r="X72" s="1"/>
  <c r="X407"/>
  <c r="X83" s="1"/>
  <c r="X480"/>
  <c r="X86" s="1"/>
  <c r="AH176" i="118"/>
  <c r="AH72" s="1"/>
  <c r="AH31"/>
  <c r="AH21"/>
  <c r="AH26"/>
  <c r="AH496"/>
  <c r="AH87" s="1"/>
  <c r="AH155"/>
  <c r="AH71" s="1"/>
  <c r="AH25"/>
  <c r="AM407" i="116"/>
  <c r="AM83" s="1"/>
  <c r="AM21"/>
  <c r="AM480"/>
  <c r="AM86" s="1"/>
  <c r="AM26"/>
  <c r="AM281"/>
  <c r="AM77" s="1"/>
  <c r="AM428"/>
  <c r="AM84" s="1"/>
  <c r="AM25"/>
  <c r="N88" i="121"/>
  <c r="W65" i="120"/>
  <c r="X19" i="117"/>
  <c r="X113"/>
  <c r="X69" s="1"/>
  <c r="N88" i="28"/>
  <c r="R38" i="120"/>
  <c r="AM19" i="116"/>
  <c r="AM113"/>
  <c r="AM69" s="1"/>
  <c r="W260" i="120"/>
  <c r="W76" s="1"/>
  <c r="W365"/>
  <c r="W81" s="1"/>
  <c r="W19"/>
  <c r="X20" i="117"/>
  <c r="X218"/>
  <c r="X74" s="1"/>
  <c r="X344"/>
  <c r="X80" s="1"/>
  <c r="X496"/>
  <c r="X87" s="1"/>
  <c r="X134"/>
  <c r="X70" s="1"/>
  <c r="X239"/>
  <c r="X75" s="1"/>
  <c r="X323"/>
  <c r="X79" s="1"/>
  <c r="X155"/>
  <c r="X71" s="1"/>
  <c r="AH480" i="118"/>
  <c r="AH86" s="1"/>
  <c r="AH464"/>
  <c r="AH85" s="1"/>
  <c r="AH239"/>
  <c r="AH75" s="1"/>
  <c r="AH32"/>
  <c r="AH386"/>
  <c r="AH82" s="1"/>
  <c r="AL36" i="116"/>
  <c r="AL38" s="1"/>
  <c r="V88" i="120"/>
  <c r="V90" s="1"/>
  <c r="AM20" i="116"/>
  <c r="AM365"/>
  <c r="AM81" s="1"/>
  <c r="AM344"/>
  <c r="AM80" s="1"/>
  <c r="AM23"/>
  <c r="W14" i="120"/>
  <c r="X14" i="117"/>
  <c r="R38" i="119"/>
  <c r="N36"/>
  <c r="N38" s="1"/>
  <c r="W36" i="117"/>
  <c r="W38" s="1"/>
  <c r="AG36" i="118"/>
  <c r="AG38" s="1"/>
  <c r="Z351" i="117"/>
  <c r="Z499"/>
  <c r="Z204"/>
  <c r="Z178"/>
  <c r="Z288"/>
  <c r="Z482"/>
  <c r="Z141"/>
  <c r="Z225"/>
  <c r="Z267"/>
  <c r="Z157"/>
  <c r="Z435"/>
  <c r="Z409"/>
  <c r="Z283"/>
  <c r="Z246"/>
  <c r="Z325"/>
  <c r="Z136"/>
  <c r="Z183"/>
  <c r="Z330"/>
  <c r="Z42"/>
  <c r="Z67" s="1"/>
  <c r="Z445"/>
  <c r="Z388"/>
  <c r="Z507"/>
  <c r="Z508" s="1"/>
  <c r="Z509" s="1"/>
  <c r="Z346"/>
  <c r="Z440"/>
  <c r="Z309"/>
  <c r="Z414"/>
  <c r="Z450"/>
  <c r="Z220"/>
  <c r="Z241"/>
  <c r="Z503"/>
  <c r="Z115"/>
  <c r="AA8"/>
  <c r="Z199"/>
  <c r="Z430"/>
  <c r="Z466"/>
  <c r="Z393"/>
  <c r="Z120"/>
  <c r="Z94"/>
  <c r="Z262"/>
  <c r="Z372"/>
  <c r="Z367"/>
  <c r="Z304"/>
  <c r="Z16"/>
  <c r="Z162"/>
  <c r="Z99"/>
  <c r="Z159"/>
  <c r="Z48" s="1"/>
  <c r="Z285"/>
  <c r="Z54" s="1"/>
  <c r="Z442"/>
  <c r="Z63" s="1"/>
  <c r="Z432"/>
  <c r="Z61" s="1"/>
  <c r="Z222"/>
  <c r="Z51" s="1"/>
  <c r="Z264"/>
  <c r="Z53" s="1"/>
  <c r="Z348"/>
  <c r="Z57" s="1"/>
  <c r="Z437"/>
  <c r="Z62" s="1"/>
  <c r="Z117"/>
  <c r="Z46" s="1"/>
  <c r="Z327"/>
  <c r="Z56" s="1"/>
  <c r="Z243"/>
  <c r="Z52" s="1"/>
  <c r="Z369"/>
  <c r="Z58" s="1"/>
  <c r="Z411"/>
  <c r="Z60" s="1"/>
  <c r="Z390"/>
  <c r="Z59" s="1"/>
  <c r="Z96"/>
  <c r="Z180"/>
  <c r="Z49" s="1"/>
  <c r="Z306"/>
  <c r="Z55" s="1"/>
  <c r="Z138"/>
  <c r="Z47" s="1"/>
  <c r="Z201"/>
  <c r="Z50" s="1"/>
  <c r="Z447"/>
  <c r="Z64" s="1"/>
  <c r="R38" i="28"/>
  <c r="N36"/>
  <c r="N38" s="1"/>
  <c r="X45" i="120"/>
  <c r="X65" s="1"/>
  <c r="X10"/>
  <c r="X14" s="1"/>
  <c r="W281"/>
  <c r="W77" s="1"/>
  <c r="W155"/>
  <c r="W71" s="1"/>
  <c r="W464"/>
  <c r="W85" s="1"/>
  <c r="AG88" i="118"/>
  <c r="AG90" s="1"/>
  <c r="W239" i="120"/>
  <c r="W75" s="1"/>
  <c r="W31"/>
  <c r="W26"/>
  <c r="W480"/>
  <c r="W86" s="1"/>
  <c r="W344"/>
  <c r="W80" s="1"/>
  <c r="W32"/>
  <c r="W25"/>
  <c r="X21" i="117"/>
  <c r="X22"/>
  <c r="X428"/>
  <c r="X84" s="1"/>
  <c r="X386"/>
  <c r="X82" s="1"/>
  <c r="X281"/>
  <c r="X77" s="1"/>
  <c r="X464"/>
  <c r="X85" s="1"/>
  <c r="X32"/>
  <c r="AH20" i="118"/>
  <c r="AH197"/>
  <c r="AH73" s="1"/>
  <c r="AH344"/>
  <c r="AH80" s="1"/>
  <c r="AH428"/>
  <c r="AH84" s="1"/>
  <c r="AH302"/>
  <c r="AH78" s="1"/>
  <c r="AH134"/>
  <c r="AH70" s="1"/>
  <c r="W88" i="117"/>
  <c r="W90" s="1"/>
  <c r="AL88" i="116"/>
  <c r="AL90" s="1"/>
  <c r="AM302"/>
  <c r="AM78" s="1"/>
  <c r="AM218"/>
  <c r="AM74" s="1"/>
  <c r="AM386"/>
  <c r="AM82" s="1"/>
  <c r="AM22"/>
  <c r="AM239"/>
  <c r="AM75" s="1"/>
  <c r="AM260"/>
  <c r="AM76" s="1"/>
  <c r="AM24"/>
  <c r="AH19" i="118"/>
  <c r="AH113"/>
  <c r="AH69" s="1"/>
  <c r="Y45" i="117"/>
  <c r="Y65" s="1"/>
  <c r="Y10"/>
  <c r="Y14" s="1"/>
  <c r="Y154"/>
  <c r="Y298"/>
  <c r="Y217"/>
  <c r="Y280"/>
  <c r="Y150"/>
  <c r="Y382"/>
  <c r="Y193"/>
  <c r="Y361"/>
  <c r="Y455"/>
  <c r="Y235"/>
  <c r="Y420"/>
  <c r="Y124"/>
  <c r="Y112"/>
  <c r="Y472"/>
  <c r="Y196"/>
  <c r="Y104"/>
  <c r="Y175"/>
  <c r="Y423"/>
  <c r="Y406"/>
  <c r="Y147"/>
  <c r="Y453"/>
  <c r="Y168"/>
  <c r="Y491"/>
  <c r="Y272"/>
  <c r="Y108"/>
  <c r="Y297"/>
  <c r="Y488"/>
  <c r="Y234"/>
  <c r="Y146"/>
  <c r="Y333"/>
  <c r="Y476"/>
  <c r="Y375"/>
  <c r="Y479"/>
  <c r="Y133"/>
  <c r="Y103"/>
  <c r="Y377"/>
  <c r="Y187"/>
  <c r="Y354"/>
  <c r="Y469"/>
  <c r="Y251"/>
  <c r="Y360"/>
  <c r="Y228"/>
  <c r="Y470"/>
  <c r="Y421"/>
  <c r="Y231"/>
  <c r="Y357"/>
  <c r="Y271"/>
  <c r="Y424"/>
  <c r="Y229"/>
  <c r="Y255"/>
  <c r="Y207"/>
  <c r="Y335"/>
  <c r="Y381"/>
  <c r="Y172"/>
  <c r="Y463"/>
  <c r="Y259"/>
  <c r="Y402"/>
  <c r="Y129"/>
  <c r="Y397"/>
  <c r="Y339"/>
  <c r="Y312"/>
  <c r="Y252"/>
  <c r="Y238"/>
  <c r="Y210"/>
  <c r="Y169"/>
  <c r="Y123"/>
  <c r="Y270"/>
  <c r="Y186"/>
  <c r="Y318"/>
  <c r="Y192"/>
  <c r="Y343"/>
  <c r="Y151"/>
  <c r="Y209"/>
  <c r="Y144"/>
  <c r="Y165"/>
  <c r="Y396"/>
  <c r="Y364"/>
  <c r="Y457"/>
  <c r="Y125"/>
  <c r="Y127"/>
  <c r="Y340"/>
  <c r="Y273"/>
  <c r="Y495"/>
  <c r="Y486"/>
  <c r="Y492"/>
  <c r="Y319"/>
  <c r="Y399"/>
  <c r="Y378"/>
  <c r="Y454"/>
  <c r="Y473"/>
  <c r="Y403"/>
  <c r="Y277"/>
  <c r="Y293"/>
  <c r="Y417"/>
  <c r="Y358"/>
  <c r="Y291"/>
  <c r="Y214"/>
  <c r="Y315"/>
  <c r="Y276"/>
  <c r="Y171"/>
  <c r="Y459"/>
  <c r="Y475"/>
  <c r="Y418"/>
  <c r="Y485"/>
  <c r="Y301"/>
  <c r="Y189"/>
  <c r="Y109"/>
  <c r="Y256"/>
  <c r="Y188"/>
  <c r="Y130"/>
  <c r="Y105"/>
  <c r="Y250"/>
  <c r="Y398"/>
  <c r="Y230"/>
  <c r="Y166"/>
  <c r="Y322"/>
  <c r="Y249"/>
  <c r="Y145"/>
  <c r="Y471"/>
  <c r="Y355"/>
  <c r="Y292"/>
  <c r="Y487"/>
  <c r="Y385"/>
  <c r="Y213"/>
  <c r="Y167"/>
  <c r="Y460"/>
  <c r="Y489"/>
  <c r="Y334"/>
  <c r="Y314"/>
  <c r="Y208"/>
  <c r="Y376"/>
  <c r="Y356"/>
  <c r="Y427"/>
  <c r="Y274"/>
  <c r="Y295"/>
  <c r="Y419"/>
  <c r="Y456"/>
  <c r="Y126"/>
  <c r="Y336"/>
  <c r="Y337"/>
  <c r="Y211"/>
  <c r="Y106"/>
  <c r="Y102"/>
  <c r="Y253"/>
  <c r="Y148"/>
  <c r="Y190"/>
  <c r="Y379"/>
  <c r="Y316"/>
  <c r="Y400"/>
  <c r="Y232"/>
  <c r="Y313"/>
  <c r="Y294"/>
  <c r="Y216"/>
  <c r="Y363"/>
  <c r="Y279"/>
  <c r="Y458"/>
  <c r="Y405"/>
  <c r="Y149"/>
  <c r="Y170"/>
  <c r="Y153"/>
  <c r="Y107"/>
  <c r="Y342"/>
  <c r="Y132"/>
  <c r="Y237"/>
  <c r="Y474"/>
  <c r="Y422"/>
  <c r="Y478"/>
  <c r="Y380"/>
  <c r="Y462"/>
  <c r="Y296"/>
  <c r="Y254"/>
  <c r="Y275"/>
  <c r="Y321"/>
  <c r="Y490"/>
  <c r="Y401"/>
  <c r="Y195"/>
  <c r="Y212"/>
  <c r="Y218" s="1"/>
  <c r="Y74" s="1"/>
  <c r="Y338"/>
  <c r="Y359"/>
  <c r="Y111"/>
  <c r="Y233"/>
  <c r="Y317"/>
  <c r="Y128"/>
  <c r="Y384"/>
  <c r="Y174"/>
  <c r="Y300"/>
  <c r="Y258"/>
  <c r="Y494"/>
  <c r="Y191"/>
  <c r="Y426"/>
  <c r="AI45" i="118"/>
  <c r="AI65" s="1"/>
  <c r="AI10"/>
  <c r="AI491"/>
  <c r="AI377"/>
  <c r="AI273"/>
  <c r="AI214"/>
  <c r="AI188"/>
  <c r="AI125"/>
  <c r="AI291"/>
  <c r="AI255"/>
  <c r="AI144"/>
  <c r="AI313"/>
  <c r="AI123"/>
  <c r="AI252"/>
  <c r="AI251"/>
  <c r="AI316"/>
  <c r="AI400"/>
  <c r="AI228"/>
  <c r="AI172"/>
  <c r="AI379"/>
  <c r="AI318"/>
  <c r="AI207"/>
  <c r="AI402"/>
  <c r="AI256"/>
  <c r="AI213"/>
  <c r="AI210"/>
  <c r="AI460"/>
  <c r="AI276"/>
  <c r="AI167"/>
  <c r="AI358"/>
  <c r="AI472"/>
  <c r="AI192"/>
  <c r="AI339"/>
  <c r="AI259"/>
  <c r="AI274"/>
  <c r="AI133"/>
  <c r="AI165"/>
  <c r="AI419"/>
  <c r="AI357"/>
  <c r="AI343"/>
  <c r="AI103"/>
  <c r="AI473"/>
  <c r="AI145"/>
  <c r="AI301"/>
  <c r="AI312"/>
  <c r="AI235"/>
  <c r="AI187"/>
  <c r="AI453"/>
  <c r="AI457"/>
  <c r="AI479"/>
  <c r="AI396"/>
  <c r="AI319"/>
  <c r="AI421"/>
  <c r="AI486"/>
  <c r="AI229"/>
  <c r="AI211"/>
  <c r="AI193"/>
  <c r="AI298"/>
  <c r="AI470"/>
  <c r="AI423"/>
  <c r="AI166"/>
  <c r="AI175"/>
  <c r="AI476"/>
  <c r="AI418"/>
  <c r="AI420"/>
  <c r="AI148"/>
  <c r="AI361"/>
  <c r="AI488"/>
  <c r="AI154"/>
  <c r="AI169"/>
  <c r="AI280"/>
  <c r="AI454"/>
  <c r="AI375"/>
  <c r="AI209"/>
  <c r="AI130"/>
  <c r="AI469"/>
  <c r="AI270"/>
  <c r="AI456"/>
  <c r="AI360"/>
  <c r="AI277"/>
  <c r="AI381"/>
  <c r="AI147"/>
  <c r="AI459"/>
  <c r="AI234"/>
  <c r="AI340"/>
  <c r="AI378"/>
  <c r="AI238"/>
  <c r="AI230"/>
  <c r="AI376"/>
  <c r="AI397"/>
  <c r="AI146"/>
  <c r="AI382"/>
  <c r="AI231"/>
  <c r="AI168"/>
  <c r="AI335"/>
  <c r="AI297"/>
  <c r="AI104"/>
  <c r="AI112"/>
  <c r="AI455"/>
  <c r="AI217"/>
  <c r="AI292"/>
  <c r="AI232"/>
  <c r="AI463"/>
  <c r="AI129"/>
  <c r="AI471"/>
  <c r="AI334"/>
  <c r="AI424"/>
  <c r="AI406"/>
  <c r="AI249"/>
  <c r="AI489"/>
  <c r="AI475"/>
  <c r="AI427"/>
  <c r="AI322"/>
  <c r="AI250"/>
  <c r="AI171"/>
  <c r="AI354"/>
  <c r="AI272"/>
  <c r="AI271"/>
  <c r="AI487"/>
  <c r="AI108"/>
  <c r="AI196"/>
  <c r="AI492"/>
  <c r="AI315"/>
  <c r="AI417"/>
  <c r="AI105"/>
  <c r="AI189"/>
  <c r="AI314"/>
  <c r="AI150"/>
  <c r="AI398"/>
  <c r="AI385"/>
  <c r="AI190"/>
  <c r="AI333"/>
  <c r="AI355"/>
  <c r="AI102"/>
  <c r="AI403"/>
  <c r="AI124"/>
  <c r="AI495"/>
  <c r="AI109"/>
  <c r="AI26" s="1"/>
  <c r="AI337"/>
  <c r="AI364"/>
  <c r="AI127"/>
  <c r="AI295"/>
  <c r="AI399"/>
  <c r="AI485"/>
  <c r="AI151"/>
  <c r="AI356"/>
  <c r="AI106"/>
  <c r="AI294"/>
  <c r="AI336"/>
  <c r="AI126"/>
  <c r="AI186"/>
  <c r="AI293"/>
  <c r="AI208"/>
  <c r="AI253"/>
  <c r="AI132"/>
  <c r="AI153"/>
  <c r="AI380"/>
  <c r="AI342"/>
  <c r="AI317"/>
  <c r="AI494"/>
  <c r="AI296"/>
  <c r="AI401"/>
  <c r="AI258"/>
  <c r="AI149"/>
  <c r="AI458"/>
  <c r="AI405"/>
  <c r="AI128"/>
  <c r="AI363"/>
  <c r="AI478"/>
  <c r="AI490"/>
  <c r="AI216"/>
  <c r="AI338"/>
  <c r="AI279"/>
  <c r="AI170"/>
  <c r="AI233"/>
  <c r="AI195"/>
  <c r="AI191"/>
  <c r="AI359"/>
  <c r="AI474"/>
  <c r="AI107"/>
  <c r="AI300"/>
  <c r="AI426"/>
  <c r="AI462"/>
  <c r="AI111"/>
  <c r="AI275"/>
  <c r="AI212"/>
  <c r="AI422"/>
  <c r="AI174"/>
  <c r="AI321"/>
  <c r="AI237"/>
  <c r="AI384"/>
  <c r="AI254"/>
  <c r="Y466" i="120"/>
  <c r="Y330"/>
  <c r="Y482"/>
  <c r="Y309"/>
  <c r="Y346"/>
  <c r="Y262"/>
  <c r="Y136"/>
  <c r="Y283"/>
  <c r="Y99"/>
  <c r="Y430"/>
  <c r="Y157"/>
  <c r="Y42"/>
  <c r="Y67" s="1"/>
  <c r="Y503"/>
  <c r="Y450"/>
  <c r="Y393"/>
  <c r="Y288"/>
  <c r="Y304"/>
  <c r="Y183"/>
  <c r="Y499"/>
  <c r="Y115"/>
  <c r="Y94"/>
  <c r="Y351"/>
  <c r="Y16"/>
  <c r="Y409"/>
  <c r="Y445"/>
  <c r="Y372"/>
  <c r="Y325"/>
  <c r="Y246"/>
  <c r="Y141"/>
  <c r="Y220"/>
  <c r="Y162"/>
  <c r="Y120"/>
  <c r="Y267"/>
  <c r="Y178"/>
  <c r="Y440"/>
  <c r="Y507"/>
  <c r="Y508" s="1"/>
  <c r="Y509" s="1"/>
  <c r="Y388"/>
  <c r="Y435"/>
  <c r="Y199"/>
  <c r="Y414"/>
  <c r="Y367"/>
  <c r="Y225"/>
  <c r="Y204"/>
  <c r="Z8"/>
  <c r="Y241"/>
  <c r="Y117"/>
  <c r="Y46" s="1"/>
  <c r="Y411"/>
  <c r="Y60" s="1"/>
  <c r="Y222"/>
  <c r="Y51" s="1"/>
  <c r="Y138"/>
  <c r="Y47" s="1"/>
  <c r="Y201"/>
  <c r="Y50" s="1"/>
  <c r="Y447"/>
  <c r="Y64" s="1"/>
  <c r="Y390"/>
  <c r="Y59" s="1"/>
  <c r="Y159"/>
  <c r="Y48" s="1"/>
  <c r="Y437"/>
  <c r="Y62" s="1"/>
  <c r="Y348"/>
  <c r="Y57" s="1"/>
  <c r="Y432"/>
  <c r="Y61" s="1"/>
  <c r="Y369"/>
  <c r="Y58" s="1"/>
  <c r="Y96"/>
  <c r="Y442"/>
  <c r="Y63" s="1"/>
  <c r="Y243"/>
  <c r="Y52" s="1"/>
  <c r="Y327"/>
  <c r="Y56" s="1"/>
  <c r="Y264"/>
  <c r="Y53" s="1"/>
  <c r="Y180"/>
  <c r="Y49" s="1"/>
  <c r="Y306"/>
  <c r="Y55" s="1"/>
  <c r="Y285"/>
  <c r="Y54" s="1"/>
  <c r="X133"/>
  <c r="X314"/>
  <c r="X252"/>
  <c r="X420"/>
  <c r="X154"/>
  <c r="X417"/>
  <c r="X104"/>
  <c r="X230"/>
  <c r="X377"/>
  <c r="X167"/>
  <c r="X361"/>
  <c r="X319"/>
  <c r="X109"/>
  <c r="X335"/>
  <c r="X475"/>
  <c r="X196"/>
  <c r="X108"/>
  <c r="X189"/>
  <c r="X375"/>
  <c r="X312"/>
  <c r="X277"/>
  <c r="X487"/>
  <c r="X172"/>
  <c r="X313"/>
  <c r="X291"/>
  <c r="X398"/>
  <c r="X406"/>
  <c r="X192"/>
  <c r="X495"/>
  <c r="X397"/>
  <c r="X147"/>
  <c r="X150"/>
  <c r="X333"/>
  <c r="X274"/>
  <c r="X235"/>
  <c r="X382"/>
  <c r="X357"/>
  <c r="X470"/>
  <c r="X354"/>
  <c r="X315"/>
  <c r="X485"/>
  <c r="X214"/>
  <c r="X231"/>
  <c r="X124"/>
  <c r="X316"/>
  <c r="X339"/>
  <c r="X343"/>
  <c r="X112"/>
  <c r="X171"/>
  <c r="X259"/>
  <c r="X210"/>
  <c r="X479"/>
  <c r="X491"/>
  <c r="X255"/>
  <c r="X471"/>
  <c r="X273"/>
  <c r="X125"/>
  <c r="X103"/>
  <c r="X378"/>
  <c r="X175"/>
  <c r="X460"/>
  <c r="X381"/>
  <c r="X280"/>
  <c r="X251"/>
  <c r="X492"/>
  <c r="X129"/>
  <c r="X207"/>
  <c r="X249"/>
  <c r="X453"/>
  <c r="X228"/>
  <c r="X402"/>
  <c r="X151"/>
  <c r="X455"/>
  <c r="X238"/>
  <c r="X488"/>
  <c r="X421"/>
  <c r="X123"/>
  <c r="X105"/>
  <c r="X187"/>
  <c r="X486"/>
  <c r="X424"/>
  <c r="X472"/>
  <c r="X256"/>
  <c r="X399"/>
  <c r="X454"/>
  <c r="X272"/>
  <c r="X229"/>
  <c r="X297"/>
  <c r="X213"/>
  <c r="X322"/>
  <c r="X148"/>
  <c r="X489"/>
  <c r="X293"/>
  <c r="X292"/>
  <c r="X385"/>
  <c r="X364"/>
  <c r="X270"/>
  <c r="X295"/>
  <c r="X250"/>
  <c r="X102"/>
  <c r="X340"/>
  <c r="X188"/>
  <c r="X166"/>
  <c r="X419"/>
  <c r="X209"/>
  <c r="X193"/>
  <c r="X418"/>
  <c r="X334"/>
  <c r="X145"/>
  <c r="X360"/>
  <c r="X130"/>
  <c r="X356"/>
  <c r="X423"/>
  <c r="X234"/>
  <c r="X186"/>
  <c r="X106"/>
  <c r="X165"/>
  <c r="X232"/>
  <c r="X144"/>
  <c r="X427"/>
  <c r="X301"/>
  <c r="X476"/>
  <c r="X276"/>
  <c r="X459"/>
  <c r="X127"/>
  <c r="X376"/>
  <c r="X400"/>
  <c r="X208"/>
  <c r="X469"/>
  <c r="X403"/>
  <c r="X355"/>
  <c r="X463"/>
  <c r="X298"/>
  <c r="X456"/>
  <c r="X168"/>
  <c r="X318"/>
  <c r="X217"/>
  <c r="X211"/>
  <c r="X169"/>
  <c r="X396"/>
  <c r="X19" s="1"/>
  <c r="X254"/>
  <c r="X358"/>
  <c r="X473"/>
  <c r="X253"/>
  <c r="X336"/>
  <c r="X146"/>
  <c r="X170"/>
  <c r="X190"/>
  <c r="X379"/>
  <c r="X271"/>
  <c r="X126"/>
  <c r="X457"/>
  <c r="X337"/>
  <c r="X294"/>
  <c r="X490"/>
  <c r="X212"/>
  <c r="X195"/>
  <c r="X317"/>
  <c r="X153"/>
  <c r="X149"/>
  <c r="X155" s="1"/>
  <c r="X71" s="1"/>
  <c r="X478"/>
  <c r="X363"/>
  <c r="X233"/>
  <c r="X342"/>
  <c r="X458"/>
  <c r="X338"/>
  <c r="X405"/>
  <c r="X494"/>
  <c r="X380"/>
  <c r="X359"/>
  <c r="X426"/>
  <c r="X401"/>
  <c r="X407" s="1"/>
  <c r="X83" s="1"/>
  <c r="X216"/>
  <c r="X258"/>
  <c r="X462"/>
  <c r="X279"/>
  <c r="X474"/>
  <c r="X128"/>
  <c r="X191"/>
  <c r="X107"/>
  <c r="X24" s="1"/>
  <c r="X132"/>
  <c r="X174"/>
  <c r="X384"/>
  <c r="X111"/>
  <c r="X31" s="1"/>
  <c r="X237"/>
  <c r="X296"/>
  <c r="X275"/>
  <c r="X321"/>
  <c r="X300"/>
  <c r="X422"/>
  <c r="AN148" i="116"/>
  <c r="AN108"/>
  <c r="AN149"/>
  <c r="AN174"/>
  <c r="AN195"/>
  <c r="AN216"/>
  <c r="AN237"/>
  <c r="AN258"/>
  <c r="AN279"/>
  <c r="AN300"/>
  <c r="AN321"/>
  <c r="AN342"/>
  <c r="AN363"/>
  <c r="AN384"/>
  <c r="AN405"/>
  <c r="AN426"/>
  <c r="AN462"/>
  <c r="AN478"/>
  <c r="AN494"/>
  <c r="AN127"/>
  <c r="AN111"/>
  <c r="AN129"/>
  <c r="AN170"/>
  <c r="AN191"/>
  <c r="AN212"/>
  <c r="AN233"/>
  <c r="AN254"/>
  <c r="AN275"/>
  <c r="AN296"/>
  <c r="AN317"/>
  <c r="AN338"/>
  <c r="AN359"/>
  <c r="AN380"/>
  <c r="AN401"/>
  <c r="AN422"/>
  <c r="AN458"/>
  <c r="AN474"/>
  <c r="AN490"/>
  <c r="AN106"/>
  <c r="AN107"/>
  <c r="AN132"/>
  <c r="AN150"/>
  <c r="AN190"/>
  <c r="AN211"/>
  <c r="AN232"/>
  <c r="AN253"/>
  <c r="AN274"/>
  <c r="AN295"/>
  <c r="AN316"/>
  <c r="AN337"/>
  <c r="AN358"/>
  <c r="AN379"/>
  <c r="AN400"/>
  <c r="AN421"/>
  <c r="AN457"/>
  <c r="AN473"/>
  <c r="AN489"/>
  <c r="AN169"/>
  <c r="AN128"/>
  <c r="AN153"/>
  <c r="AN171"/>
  <c r="AN192"/>
  <c r="AN213"/>
  <c r="AN234"/>
  <c r="AN255"/>
  <c r="AN276"/>
  <c r="AN297"/>
  <c r="AN318"/>
  <c r="AN339"/>
  <c r="AN360"/>
  <c r="AN381"/>
  <c r="AN402"/>
  <c r="AN423"/>
  <c r="AN459"/>
  <c r="AN475"/>
  <c r="AN491"/>
  <c r="AN376"/>
  <c r="AN208"/>
  <c r="AN471"/>
  <c r="AN403"/>
  <c r="AN319"/>
  <c r="AN235"/>
  <c r="AN151"/>
  <c r="AN486"/>
  <c r="AN271"/>
  <c r="AN103"/>
  <c r="AN406"/>
  <c r="AN322"/>
  <c r="AN238"/>
  <c r="AN154"/>
  <c r="AN427"/>
  <c r="AN336"/>
  <c r="AN314"/>
  <c r="AN130"/>
  <c r="AN340"/>
  <c r="AN469"/>
  <c r="AN298"/>
  <c r="AN272"/>
  <c r="AN252"/>
  <c r="AN214"/>
  <c r="AN172"/>
  <c r="AN249"/>
  <c r="AN454"/>
  <c r="AN398"/>
  <c r="AN133"/>
  <c r="AN399"/>
  <c r="AN231"/>
  <c r="AN495"/>
  <c r="AN419"/>
  <c r="AN335"/>
  <c r="AN251"/>
  <c r="AN167"/>
  <c r="AN39"/>
  <c r="AN294"/>
  <c r="AN126"/>
  <c r="AN463"/>
  <c r="AN354"/>
  <c r="AN365" s="1"/>
  <c r="AN81" s="1"/>
  <c r="AN270"/>
  <c r="AN186"/>
  <c r="AN102"/>
  <c r="AN356"/>
  <c r="AN333"/>
  <c r="AN189"/>
  <c r="AN420"/>
  <c r="AN104"/>
  <c r="AN357"/>
  <c r="AN146"/>
  <c r="AN313"/>
  <c r="AN343"/>
  <c r="AN291"/>
  <c r="AN487"/>
  <c r="AN472"/>
  <c r="AN250"/>
  <c r="AN301"/>
  <c r="AN456"/>
  <c r="AN292"/>
  <c r="AN124"/>
  <c r="AN453"/>
  <c r="AN364"/>
  <c r="AN280"/>
  <c r="AN196"/>
  <c r="AN112"/>
  <c r="AN355"/>
  <c r="AN187"/>
  <c r="AN485"/>
  <c r="AN361"/>
  <c r="AN277"/>
  <c r="AN193"/>
  <c r="AN109"/>
  <c r="AN26" s="1"/>
  <c r="AN375"/>
  <c r="AN488"/>
  <c r="AN217"/>
  <c r="AN470"/>
  <c r="AN123"/>
  <c r="AN385"/>
  <c r="AN165"/>
  <c r="AN382"/>
  <c r="AN145"/>
  <c r="AN168"/>
  <c r="AN455"/>
  <c r="AN105"/>
  <c r="AN22" s="1"/>
  <c r="AN273"/>
  <c r="AN334"/>
  <c r="AN315"/>
  <c r="AN147"/>
  <c r="AN460"/>
  <c r="AN396"/>
  <c r="AN312"/>
  <c r="AN228"/>
  <c r="AN144"/>
  <c r="AN378"/>
  <c r="AN210"/>
  <c r="AN492"/>
  <c r="AN377"/>
  <c r="AN293"/>
  <c r="AN209"/>
  <c r="AN125"/>
  <c r="AN418"/>
  <c r="AN256"/>
  <c r="AN229"/>
  <c r="AN479"/>
  <c r="AN166"/>
  <c r="AN397"/>
  <c r="AN259"/>
  <c r="AN230"/>
  <c r="AN175"/>
  <c r="AN207"/>
  <c r="AN476"/>
  <c r="AN417"/>
  <c r="AN428" s="1"/>
  <c r="AN84" s="1"/>
  <c r="AN424"/>
  <c r="AN188"/>
  <c r="R38"/>
  <c r="N88" i="119"/>
  <c r="W176" i="120"/>
  <c r="W72" s="1"/>
  <c r="W20"/>
  <c r="W218"/>
  <c r="W74" s="1"/>
  <c r="W134"/>
  <c r="W70" s="1"/>
  <c r="W302"/>
  <c r="W78" s="1"/>
  <c r="X260" i="117"/>
  <c r="X76" s="1"/>
  <c r="X302"/>
  <c r="X78" s="1"/>
  <c r="X25"/>
  <c r="AH24" i="118"/>
  <c r="AH23"/>
  <c r="AH22"/>
  <c r="AH281"/>
  <c r="AH77" s="1"/>
  <c r="AH323"/>
  <c r="AH79" s="1"/>
  <c r="AH218"/>
  <c r="AH74" s="1"/>
  <c r="V36" i="120"/>
  <c r="V38" s="1"/>
  <c r="AM134" i="116"/>
  <c r="AM70" s="1"/>
  <c r="AM155"/>
  <c r="AM71" s="1"/>
  <c r="AM32"/>
  <c r="AM464"/>
  <c r="AM85" s="1"/>
  <c r="AM176"/>
  <c r="AM72" s="1"/>
  <c r="AM31"/>
  <c r="R40" l="1"/>
  <c r="V39"/>
  <c r="T39"/>
  <c r="AF39"/>
  <c r="U39"/>
  <c r="Z39"/>
  <c r="R39"/>
  <c r="AK39"/>
  <c r="AH39"/>
  <c r="AB39"/>
  <c r="AJ39"/>
  <c r="AA39"/>
  <c r="S39"/>
  <c r="AI39"/>
  <c r="AG39"/>
  <c r="AD39"/>
  <c r="AE39"/>
  <c r="Y39"/>
  <c r="AC39"/>
  <c r="W39"/>
  <c r="X39"/>
  <c r="AN19"/>
  <c r="AN113"/>
  <c r="AN69" s="1"/>
  <c r="Z445" i="120"/>
  <c r="Z304"/>
  <c r="Z466"/>
  <c r="Z283"/>
  <c r="Z325"/>
  <c r="Z220"/>
  <c r="Z115"/>
  <c r="Z241"/>
  <c r="Z94"/>
  <c r="Z178"/>
  <c r="Z388"/>
  <c r="Z393"/>
  <c r="Z367"/>
  <c r="Z372"/>
  <c r="Z267"/>
  <c r="Z225"/>
  <c r="Z351"/>
  <c r="Z162"/>
  <c r="Z199"/>
  <c r="Z42"/>
  <c r="Z67" s="1"/>
  <c r="Z409"/>
  <c r="Z507"/>
  <c r="Z508" s="1"/>
  <c r="Z509" s="1"/>
  <c r="Z482"/>
  <c r="Z450"/>
  <c r="Z430"/>
  <c r="Z262"/>
  <c r="Z288"/>
  <c r="Z309"/>
  <c r="Z435"/>
  <c r="Z330"/>
  <c r="AA8"/>
  <c r="Z99"/>
  <c r="Z16"/>
  <c r="Z414"/>
  <c r="Z499"/>
  <c r="Z503"/>
  <c r="Z440"/>
  <c r="Z346"/>
  <c r="Z204"/>
  <c r="Z141"/>
  <c r="Z120"/>
  <c r="Z157"/>
  <c r="Z246"/>
  <c r="Z136"/>
  <c r="Z183"/>
  <c r="Z442"/>
  <c r="Z63" s="1"/>
  <c r="Z117"/>
  <c r="Z46" s="1"/>
  <c r="Z447"/>
  <c r="Z64" s="1"/>
  <c r="Z390"/>
  <c r="Z59" s="1"/>
  <c r="Z222"/>
  <c r="Z51" s="1"/>
  <c r="Z348"/>
  <c r="Z57" s="1"/>
  <c r="Z411"/>
  <c r="Z60" s="1"/>
  <c r="Z437"/>
  <c r="Z62" s="1"/>
  <c r="Z138"/>
  <c r="Z47" s="1"/>
  <c r="Z159"/>
  <c r="Z48" s="1"/>
  <c r="Z432"/>
  <c r="Z61" s="1"/>
  <c r="Z369"/>
  <c r="Z58" s="1"/>
  <c r="Z264"/>
  <c r="Z53" s="1"/>
  <c r="Z306"/>
  <c r="Z55" s="1"/>
  <c r="Z327"/>
  <c r="Z56" s="1"/>
  <c r="Z243"/>
  <c r="Z52" s="1"/>
  <c r="Z96"/>
  <c r="Z285"/>
  <c r="Z54" s="1"/>
  <c r="Z180"/>
  <c r="Z49" s="1"/>
  <c r="Z201"/>
  <c r="Z50" s="1"/>
  <c r="Z358" i="117"/>
  <c r="Z171"/>
  <c r="Z154"/>
  <c r="Z402"/>
  <c r="Z190"/>
  <c r="Z375"/>
  <c r="Z232"/>
  <c r="Z472"/>
  <c r="Z364"/>
  <c r="Z473"/>
  <c r="Z228"/>
  <c r="Z453"/>
  <c r="Z293"/>
  <c r="Z168"/>
  <c r="Z193"/>
  <c r="Z417"/>
  <c r="Z105"/>
  <c r="Z175"/>
  <c r="Z406"/>
  <c r="Z209"/>
  <c r="Z147"/>
  <c r="Z420"/>
  <c r="Z273"/>
  <c r="Z470"/>
  <c r="Z210"/>
  <c r="Z104"/>
  <c r="Z235"/>
  <c r="Z112"/>
  <c r="Z250"/>
  <c r="Z274"/>
  <c r="Z334"/>
  <c r="Z316"/>
  <c r="Z231"/>
  <c r="Z318"/>
  <c r="Z301"/>
  <c r="Z238"/>
  <c r="Z169"/>
  <c r="Z150"/>
  <c r="Z130"/>
  <c r="Z298"/>
  <c r="Z151"/>
  <c r="Z292"/>
  <c r="Z103"/>
  <c r="Z208"/>
  <c r="Z495"/>
  <c r="Z376"/>
  <c r="Z454"/>
  <c r="Z165"/>
  <c r="Z196"/>
  <c r="Z272"/>
  <c r="Z397"/>
  <c r="Z280"/>
  <c r="Z315"/>
  <c r="Z133"/>
  <c r="Z189"/>
  <c r="Z146"/>
  <c r="Z340"/>
  <c r="Z486"/>
  <c r="Z427"/>
  <c r="Z271"/>
  <c r="Z424"/>
  <c r="Z211"/>
  <c r="Z192"/>
  <c r="Z187"/>
  <c r="Z276"/>
  <c r="Z259"/>
  <c r="Z144"/>
  <c r="Z455"/>
  <c r="Z421"/>
  <c r="Z297"/>
  <c r="Z167"/>
  <c r="Z252"/>
  <c r="Z234"/>
  <c r="Z357"/>
  <c r="Z256"/>
  <c r="Z385"/>
  <c r="Z379"/>
  <c r="Z123"/>
  <c r="Z479"/>
  <c r="Z381"/>
  <c r="Z377"/>
  <c r="Z418"/>
  <c r="Z251"/>
  <c r="Z457"/>
  <c r="Z108"/>
  <c r="Z423"/>
  <c r="Z360"/>
  <c r="Z217"/>
  <c r="Z172"/>
  <c r="Z214"/>
  <c r="Z127"/>
  <c r="Z229"/>
  <c r="Z489"/>
  <c r="Z255"/>
  <c r="Z277"/>
  <c r="Z291"/>
  <c r="Z361"/>
  <c r="Z403"/>
  <c r="Z463"/>
  <c r="Z319"/>
  <c r="Z354"/>
  <c r="Z148"/>
  <c r="Z491"/>
  <c r="Z382"/>
  <c r="Z339"/>
  <c r="Z124"/>
  <c r="Z166"/>
  <c r="Z125"/>
  <c r="Z312"/>
  <c r="Z476"/>
  <c r="Z343"/>
  <c r="Z487"/>
  <c r="Z399"/>
  <c r="Z378"/>
  <c r="Z335"/>
  <c r="Z469"/>
  <c r="Z249"/>
  <c r="Z398"/>
  <c r="Z230"/>
  <c r="Z488"/>
  <c r="Z337"/>
  <c r="Z129"/>
  <c r="Z186"/>
  <c r="Z322"/>
  <c r="Z145"/>
  <c r="Z475"/>
  <c r="Z355"/>
  <c r="Z333"/>
  <c r="Z213"/>
  <c r="Z492"/>
  <c r="Z460"/>
  <c r="Z400"/>
  <c r="Z314"/>
  <c r="Z356"/>
  <c r="Z270"/>
  <c r="Z207"/>
  <c r="Z471"/>
  <c r="Z459"/>
  <c r="Z485"/>
  <c r="Z396"/>
  <c r="Z109"/>
  <c r="Z295"/>
  <c r="Z188"/>
  <c r="Z126"/>
  <c r="Z313"/>
  <c r="Z102"/>
  <c r="Z294"/>
  <c r="Z253"/>
  <c r="Z419"/>
  <c r="Z106"/>
  <c r="Z23" s="1"/>
  <c r="Z456"/>
  <c r="Z336"/>
  <c r="Z296"/>
  <c r="Z216"/>
  <c r="Z474"/>
  <c r="Z490"/>
  <c r="Z321"/>
  <c r="Z128"/>
  <c r="Z279"/>
  <c r="Z107"/>
  <c r="Z458"/>
  <c r="Z132"/>
  <c r="Z342"/>
  <c r="Z338"/>
  <c r="Z401"/>
  <c r="Z462"/>
  <c r="Z258"/>
  <c r="Z359"/>
  <c r="Z422"/>
  <c r="Z380"/>
  <c r="Z149"/>
  <c r="Z212"/>
  <c r="Z191"/>
  <c r="Z405"/>
  <c r="Z111"/>
  <c r="Z363"/>
  <c r="Z426"/>
  <c r="Z153"/>
  <c r="Z494"/>
  <c r="Z254"/>
  <c r="Z275"/>
  <c r="Z317"/>
  <c r="Z300"/>
  <c r="Z195"/>
  <c r="Z384"/>
  <c r="Z478"/>
  <c r="Z174"/>
  <c r="Z237"/>
  <c r="Z170"/>
  <c r="Z176" s="1"/>
  <c r="Z72" s="1"/>
  <c r="Z233"/>
  <c r="Z239" s="1"/>
  <c r="Z75" s="1"/>
  <c r="AM88" i="116"/>
  <c r="AM90" s="1"/>
  <c r="AN323"/>
  <c r="AN79" s="1"/>
  <c r="AN176"/>
  <c r="AN72" s="1"/>
  <c r="AN480"/>
  <c r="AN86" s="1"/>
  <c r="AN24"/>
  <c r="X197" i="120"/>
  <c r="X73" s="1"/>
  <c r="X218"/>
  <c r="X74" s="1"/>
  <c r="X365"/>
  <c r="X81" s="1"/>
  <c r="X386"/>
  <c r="X82" s="1"/>
  <c r="AI197" i="118"/>
  <c r="AI73" s="1"/>
  <c r="AI20"/>
  <c r="AI22"/>
  <c r="AI260"/>
  <c r="AI76" s="1"/>
  <c r="AI21"/>
  <c r="AI281"/>
  <c r="AI77" s="1"/>
  <c r="AI386"/>
  <c r="AI82" s="1"/>
  <c r="AI323"/>
  <c r="AI79" s="1"/>
  <c r="AI176"/>
  <c r="AI72" s="1"/>
  <c r="AI134"/>
  <c r="AI70" s="1"/>
  <c r="AI302"/>
  <c r="AI78" s="1"/>
  <c r="Y31" i="117"/>
  <c r="Y21"/>
  <c r="Y496"/>
  <c r="Y87" s="1"/>
  <c r="Y407"/>
  <c r="Y83" s="1"/>
  <c r="Y197"/>
  <c r="Y73" s="1"/>
  <c r="Y386"/>
  <c r="Y82" s="1"/>
  <c r="W36" i="120"/>
  <c r="W38" s="1"/>
  <c r="Y491"/>
  <c r="Y229"/>
  <c r="Y318"/>
  <c r="Y193"/>
  <c r="Y167"/>
  <c r="Y175"/>
  <c r="Y420"/>
  <c r="Y104"/>
  <c r="Y335"/>
  <c r="Y196"/>
  <c r="Y476"/>
  <c r="Y186"/>
  <c r="Y217"/>
  <c r="Y277"/>
  <c r="Y358"/>
  <c r="Y423"/>
  <c r="Y460"/>
  <c r="Y402"/>
  <c r="Y379"/>
  <c r="Y154"/>
  <c r="Y398"/>
  <c r="Y319"/>
  <c r="Y255"/>
  <c r="Y144"/>
  <c r="Y314"/>
  <c r="Y360"/>
  <c r="Y148"/>
  <c r="Y130"/>
  <c r="Y123"/>
  <c r="Y397"/>
  <c r="Y361"/>
  <c r="Y473"/>
  <c r="Y251"/>
  <c r="Y455"/>
  <c r="Y172"/>
  <c r="Y376"/>
  <c r="Y272"/>
  <c r="Y403"/>
  <c r="Y171"/>
  <c r="Y127"/>
  <c r="Y228"/>
  <c r="Y210"/>
  <c r="Y479"/>
  <c r="Y298"/>
  <c r="Y187"/>
  <c r="Y214"/>
  <c r="Y106"/>
  <c r="Y103"/>
  <c r="Y453"/>
  <c r="Y109"/>
  <c r="Y343"/>
  <c r="Y377"/>
  <c r="Y406"/>
  <c r="Y213"/>
  <c r="Y492"/>
  <c r="Y112"/>
  <c r="Y421"/>
  <c r="Y378"/>
  <c r="Y280"/>
  <c r="Y105"/>
  <c r="Y354"/>
  <c r="Y151"/>
  <c r="Y337"/>
  <c r="Y471"/>
  <c r="Y238"/>
  <c r="Y273"/>
  <c r="Y250"/>
  <c r="Y168"/>
  <c r="Y489"/>
  <c r="Y259"/>
  <c r="Y292"/>
  <c r="Y230"/>
  <c r="Y486"/>
  <c r="Y424"/>
  <c r="Y108"/>
  <c r="Y252"/>
  <c r="Y293"/>
  <c r="Y427"/>
  <c r="Y133"/>
  <c r="Y297"/>
  <c r="Y211"/>
  <c r="Y381"/>
  <c r="Y147"/>
  <c r="Y339"/>
  <c r="Y150"/>
  <c r="Y274"/>
  <c r="Y256"/>
  <c r="Y316"/>
  <c r="Y235"/>
  <c r="Y231"/>
  <c r="Y301"/>
  <c r="Y334"/>
  <c r="Y357"/>
  <c r="Y470"/>
  <c r="Y385"/>
  <c r="Y315"/>
  <c r="Y485"/>
  <c r="Y457"/>
  <c r="Y192"/>
  <c r="Y469"/>
  <c r="Y487"/>
  <c r="Y454"/>
  <c r="Y125"/>
  <c r="Y102"/>
  <c r="Y340"/>
  <c r="Y419"/>
  <c r="Y400"/>
  <c r="Y472"/>
  <c r="Y165"/>
  <c r="Y488"/>
  <c r="Y232"/>
  <c r="Y190"/>
  <c r="Y169"/>
  <c r="Y124"/>
  <c r="Y475"/>
  <c r="Y276"/>
  <c r="Y356"/>
  <c r="Y322"/>
  <c r="Y189"/>
  <c r="Y166"/>
  <c r="Y234"/>
  <c r="Y313"/>
  <c r="Y291"/>
  <c r="Y364"/>
  <c r="Y295"/>
  <c r="Y459"/>
  <c r="Y418"/>
  <c r="Y355"/>
  <c r="Y495"/>
  <c r="Y456"/>
  <c r="Y382"/>
  <c r="Y129"/>
  <c r="Y145"/>
  <c r="Y375"/>
  <c r="Y270"/>
  <c r="Y188"/>
  <c r="Y209"/>
  <c r="Y208"/>
  <c r="Y399"/>
  <c r="Y249"/>
  <c r="Y260" s="1"/>
  <c r="Y76" s="1"/>
  <c r="Y463"/>
  <c r="Y312"/>
  <c r="Y417"/>
  <c r="Y207"/>
  <c r="Y218" s="1"/>
  <c r="Y74" s="1"/>
  <c r="Y333"/>
  <c r="Y126"/>
  <c r="Y146"/>
  <c r="Y396"/>
  <c r="Y407" s="1"/>
  <c r="Y83" s="1"/>
  <c r="Y336"/>
  <c r="Y253"/>
  <c r="Y294"/>
  <c r="Y271"/>
  <c r="Y20" s="1"/>
  <c r="Y490"/>
  <c r="Y258"/>
  <c r="Y212"/>
  <c r="Y338"/>
  <c r="Y216"/>
  <c r="Y405"/>
  <c r="Y359"/>
  <c r="Y321"/>
  <c r="Y380"/>
  <c r="Y254"/>
  <c r="Y111"/>
  <c r="Y478"/>
  <c r="Y275"/>
  <c r="Y132"/>
  <c r="Y149"/>
  <c r="Y153"/>
  <c r="Y107"/>
  <c r="Y300"/>
  <c r="Y191"/>
  <c r="Y342"/>
  <c r="Y317"/>
  <c r="Y237"/>
  <c r="Y363"/>
  <c r="Y458"/>
  <c r="Y296"/>
  <c r="Y384"/>
  <c r="Y195"/>
  <c r="Y426"/>
  <c r="Y170"/>
  <c r="Y128"/>
  <c r="Y474"/>
  <c r="Y462"/>
  <c r="Y422"/>
  <c r="Y233"/>
  <c r="Y401"/>
  <c r="Y174"/>
  <c r="Y279"/>
  <c r="Y494"/>
  <c r="AI19" i="118"/>
  <c r="AI113"/>
  <c r="AI69" s="1"/>
  <c r="AI14"/>
  <c r="Z39" i="28"/>
  <c r="AA39"/>
  <c r="AE39"/>
  <c r="W39"/>
  <c r="AK39"/>
  <c r="AB39"/>
  <c r="AC39"/>
  <c r="AF39"/>
  <c r="AI39"/>
  <c r="Y39"/>
  <c r="S39"/>
  <c r="R39"/>
  <c r="AJ39"/>
  <c r="T39"/>
  <c r="X39"/>
  <c r="AH39"/>
  <c r="V39"/>
  <c r="U39"/>
  <c r="R40"/>
  <c r="AD39"/>
  <c r="AG39"/>
  <c r="V39" i="120"/>
  <c r="U39"/>
  <c r="R39"/>
  <c r="R40"/>
  <c r="S39"/>
  <c r="T39"/>
  <c r="W39"/>
  <c r="AK440" i="118"/>
  <c r="AK372"/>
  <c r="AK430"/>
  <c r="AK325"/>
  <c r="AK120"/>
  <c r="AK94"/>
  <c r="AK99"/>
  <c r="AK204"/>
  <c r="AK482"/>
  <c r="AK16"/>
  <c r="AK115"/>
  <c r="AK288"/>
  <c r="AK466"/>
  <c r="AK283"/>
  <c r="AK409"/>
  <c r="AK304"/>
  <c r="AK178"/>
  <c r="AK183"/>
  <c r="AK225"/>
  <c r="AK141"/>
  <c r="AK499"/>
  <c r="AK393"/>
  <c r="AK503"/>
  <c r="AK367"/>
  <c r="AK262"/>
  <c r="AK435"/>
  <c r="AK199"/>
  <c r="AK246"/>
  <c r="AK351"/>
  <c r="AK267"/>
  <c r="AK42"/>
  <c r="AK67" s="1"/>
  <c r="AK445"/>
  <c r="AK330"/>
  <c r="AK450"/>
  <c r="AK507"/>
  <c r="AK508" s="1"/>
  <c r="AK509" s="1"/>
  <c r="AK346"/>
  <c r="AK241"/>
  <c r="AK220"/>
  <c r="AK414"/>
  <c r="AK388"/>
  <c r="AK136"/>
  <c r="AK309"/>
  <c r="AL8"/>
  <c r="AK157"/>
  <c r="AK162"/>
  <c r="AK222"/>
  <c r="AK51" s="1"/>
  <c r="AK285"/>
  <c r="AK54" s="1"/>
  <c r="AK96"/>
  <c r="AK432"/>
  <c r="AK61" s="1"/>
  <c r="AK180"/>
  <c r="AK49" s="1"/>
  <c r="AK437"/>
  <c r="AK62" s="1"/>
  <c r="AK201"/>
  <c r="AK50" s="1"/>
  <c r="AK243"/>
  <c r="AK52" s="1"/>
  <c r="AK306"/>
  <c r="AK55" s="1"/>
  <c r="AK390"/>
  <c r="AK59" s="1"/>
  <c r="AK442"/>
  <c r="AK63" s="1"/>
  <c r="AK264"/>
  <c r="AK53" s="1"/>
  <c r="AK411"/>
  <c r="AK60" s="1"/>
  <c r="AK138"/>
  <c r="AK47" s="1"/>
  <c r="AK369"/>
  <c r="AK58" s="1"/>
  <c r="AK348"/>
  <c r="AK57" s="1"/>
  <c r="AK327"/>
  <c r="AK56" s="1"/>
  <c r="AK159"/>
  <c r="AK48" s="1"/>
  <c r="AK447"/>
  <c r="AK64" s="1"/>
  <c r="AK117"/>
  <c r="AK46" s="1"/>
  <c r="U39" i="117"/>
  <c r="R39"/>
  <c r="R40"/>
  <c r="S39"/>
  <c r="V39"/>
  <c r="W39"/>
  <c r="T39"/>
  <c r="W88" i="120"/>
  <c r="W90" s="1"/>
  <c r="I144" i="109"/>
  <c r="I60" i="8"/>
  <c r="I57"/>
  <c r="AN239" i="116"/>
  <c r="AN75" s="1"/>
  <c r="AN21"/>
  <c r="X23" i="120"/>
  <c r="X113"/>
  <c r="X69" s="1"/>
  <c r="X260"/>
  <c r="X76" s="1"/>
  <c r="X32"/>
  <c r="X323"/>
  <c r="X79" s="1"/>
  <c r="AI32" i="118"/>
  <c r="AI218"/>
  <c r="AI74" s="1"/>
  <c r="AI239"/>
  <c r="AI75" s="1"/>
  <c r="Y24" i="117"/>
  <c r="Y323"/>
  <c r="Y79" s="1"/>
  <c r="Y25"/>
  <c r="Y464"/>
  <c r="Y85" s="1"/>
  <c r="Y32"/>
  <c r="AH36" i="118"/>
  <c r="AH38" s="1"/>
  <c r="Y45" i="120"/>
  <c r="Y10"/>
  <c r="Y14" s="1"/>
  <c r="R39" i="119"/>
  <c r="W39"/>
  <c r="AI39"/>
  <c r="AG39"/>
  <c r="X39"/>
  <c r="U39"/>
  <c r="AF39"/>
  <c r="AK39"/>
  <c r="AA39"/>
  <c r="Z39"/>
  <c r="V39"/>
  <c r="AH39"/>
  <c r="AJ39"/>
  <c r="R40"/>
  <c r="T39"/>
  <c r="Y39"/>
  <c r="AC39"/>
  <c r="S39"/>
  <c r="AE39"/>
  <c r="AB39"/>
  <c r="AD39"/>
  <c r="AO148" i="116"/>
  <c r="AO108"/>
  <c r="AO149"/>
  <c r="AO174"/>
  <c r="AO195"/>
  <c r="AO216"/>
  <c r="AO237"/>
  <c r="AO258"/>
  <c r="AO279"/>
  <c r="AO300"/>
  <c r="AO321"/>
  <c r="AO342"/>
  <c r="AO363"/>
  <c r="AO384"/>
  <c r="AO405"/>
  <c r="AO426"/>
  <c r="AO462"/>
  <c r="AO478"/>
  <c r="AO494"/>
  <c r="AO127"/>
  <c r="AO111"/>
  <c r="AO129"/>
  <c r="AO170"/>
  <c r="AO191"/>
  <c r="AO212"/>
  <c r="AO233"/>
  <c r="AO254"/>
  <c r="AO275"/>
  <c r="AO296"/>
  <c r="AO317"/>
  <c r="AO338"/>
  <c r="AO359"/>
  <c r="AO380"/>
  <c r="AO401"/>
  <c r="AO422"/>
  <c r="AO458"/>
  <c r="AO474"/>
  <c r="AO490"/>
  <c r="AO106"/>
  <c r="AO107"/>
  <c r="AO132"/>
  <c r="AO150"/>
  <c r="AO190"/>
  <c r="AO211"/>
  <c r="AO232"/>
  <c r="AO253"/>
  <c r="AO274"/>
  <c r="AO295"/>
  <c r="AO316"/>
  <c r="AO337"/>
  <c r="AO358"/>
  <c r="AO379"/>
  <c r="AO400"/>
  <c r="AO421"/>
  <c r="AO457"/>
  <c r="AO473"/>
  <c r="AO489"/>
  <c r="AO169"/>
  <c r="AO128"/>
  <c r="AO153"/>
  <c r="AO171"/>
  <c r="AO192"/>
  <c r="AO213"/>
  <c r="AO234"/>
  <c r="AO255"/>
  <c r="AO276"/>
  <c r="AO297"/>
  <c r="AO318"/>
  <c r="AO339"/>
  <c r="AO360"/>
  <c r="AO381"/>
  <c r="AO402"/>
  <c r="AO423"/>
  <c r="AO459"/>
  <c r="AO475"/>
  <c r="AO491"/>
  <c r="AO471"/>
  <c r="AO403"/>
  <c r="AO319"/>
  <c r="AO235"/>
  <c r="AO151"/>
  <c r="AO486"/>
  <c r="AO271"/>
  <c r="AO103"/>
  <c r="AO398"/>
  <c r="AO314"/>
  <c r="AO230"/>
  <c r="AO146"/>
  <c r="AO454"/>
  <c r="AO313"/>
  <c r="AO145"/>
  <c r="AO333"/>
  <c r="AO492"/>
  <c r="AO238"/>
  <c r="AO104"/>
  <c r="AO273"/>
  <c r="AO406"/>
  <c r="AO272"/>
  <c r="AO256"/>
  <c r="AO165"/>
  <c r="AO418"/>
  <c r="AO293"/>
  <c r="AO109"/>
  <c r="AO292"/>
  <c r="AO124"/>
  <c r="AO495"/>
  <c r="AO419"/>
  <c r="AO335"/>
  <c r="AO251"/>
  <c r="AO167"/>
  <c r="AO39"/>
  <c r="AO294"/>
  <c r="AO126"/>
  <c r="AO427"/>
  <c r="AO343"/>
  <c r="AO259"/>
  <c r="AO175"/>
  <c r="AO472"/>
  <c r="AO336"/>
  <c r="AO168"/>
  <c r="AO399"/>
  <c r="AO102"/>
  <c r="AO340"/>
  <c r="AO166"/>
  <c r="AO301"/>
  <c r="AO476"/>
  <c r="AO334"/>
  <c r="AO463"/>
  <c r="AO424"/>
  <c r="AO487"/>
  <c r="AO125"/>
  <c r="AO315"/>
  <c r="AO469"/>
  <c r="AO480" s="1"/>
  <c r="AO86" s="1"/>
  <c r="AO133"/>
  <c r="AO453"/>
  <c r="AO364"/>
  <c r="AO280"/>
  <c r="AO196"/>
  <c r="AO112"/>
  <c r="AO355"/>
  <c r="AO187"/>
  <c r="AO455"/>
  <c r="AO375"/>
  <c r="AO291"/>
  <c r="AO207"/>
  <c r="AO123"/>
  <c r="AO397"/>
  <c r="AO229"/>
  <c r="AO456"/>
  <c r="AO189"/>
  <c r="AO377"/>
  <c r="AO193"/>
  <c r="AO417"/>
  <c r="AO428" s="1"/>
  <c r="AO84" s="1"/>
  <c r="AO147"/>
  <c r="AO361"/>
  <c r="AO172"/>
  <c r="AO154"/>
  <c r="AO322"/>
  <c r="AO249"/>
  <c r="AO385"/>
  <c r="AO188"/>
  <c r="AO270"/>
  <c r="AO460"/>
  <c r="AO396"/>
  <c r="AO312"/>
  <c r="AO323" s="1"/>
  <c r="AO79" s="1"/>
  <c r="AO228"/>
  <c r="AO144"/>
  <c r="AO378"/>
  <c r="AO210"/>
  <c r="AO479"/>
  <c r="AO382"/>
  <c r="AO298"/>
  <c r="AO214"/>
  <c r="AO130"/>
  <c r="AO420"/>
  <c r="AO252"/>
  <c r="AO488"/>
  <c r="AO217"/>
  <c r="AO470"/>
  <c r="AO208"/>
  <c r="AO485"/>
  <c r="AO496" s="1"/>
  <c r="AO87" s="1"/>
  <c r="AO186"/>
  <c r="AO376"/>
  <c r="AO209"/>
  <c r="AO231"/>
  <c r="AO250"/>
  <c r="AO356"/>
  <c r="AO105"/>
  <c r="AO357"/>
  <c r="AO277"/>
  <c r="AO354"/>
  <c r="R39" i="118"/>
  <c r="T39"/>
  <c r="S39"/>
  <c r="AB39"/>
  <c r="V39"/>
  <c r="AC39"/>
  <c r="AA39"/>
  <c r="W39"/>
  <c r="X39"/>
  <c r="U39"/>
  <c r="AG39"/>
  <c r="AE39"/>
  <c r="AF39"/>
  <c r="AD39"/>
  <c r="Y39"/>
  <c r="Z39"/>
  <c r="R40"/>
  <c r="AN496" i="116"/>
  <c r="AN87" s="1"/>
  <c r="AN155"/>
  <c r="AN71" s="1"/>
  <c r="AN134"/>
  <c r="AN70" s="1"/>
  <c r="AN386"/>
  <c r="AN82" s="1"/>
  <c r="AN32"/>
  <c r="AN464"/>
  <c r="AN85" s="1"/>
  <c r="AN302"/>
  <c r="AN78" s="1"/>
  <c r="AN344"/>
  <c r="AN80" s="1"/>
  <c r="AN281"/>
  <c r="AN77" s="1"/>
  <c r="AN260"/>
  <c r="AN76" s="1"/>
  <c r="AN20"/>
  <c r="AN25"/>
  <c r="X480" i="120"/>
  <c r="X86" s="1"/>
  <c r="X281"/>
  <c r="X77" s="1"/>
  <c r="X134"/>
  <c r="X70" s="1"/>
  <c r="X464"/>
  <c r="X85" s="1"/>
  <c r="X496"/>
  <c r="X87" s="1"/>
  <c r="X302"/>
  <c r="X78" s="1"/>
  <c r="X25"/>
  <c r="X26"/>
  <c r="AI23" i="118"/>
  <c r="AI407"/>
  <c r="AI83" s="1"/>
  <c r="AI155"/>
  <c r="AI71" s="1"/>
  <c r="Y302" i="117"/>
  <c r="Y78" s="1"/>
  <c r="Y23"/>
  <c r="Y428"/>
  <c r="Y84" s="1"/>
  <c r="Y155"/>
  <c r="Y71" s="1"/>
  <c r="Y134"/>
  <c r="Y70" s="1"/>
  <c r="Y239"/>
  <c r="Y75" s="1"/>
  <c r="Y365"/>
  <c r="Y81" s="1"/>
  <c r="Y344"/>
  <c r="Y80" s="1"/>
  <c r="AH88" i="118"/>
  <c r="AH90" s="1"/>
  <c r="X36" i="117"/>
  <c r="X38" s="1"/>
  <c r="Y19"/>
  <c r="Y113"/>
  <c r="Y69" s="1"/>
  <c r="Z45"/>
  <c r="Z65" s="1"/>
  <c r="Z10"/>
  <c r="Z14" s="1"/>
  <c r="AA503"/>
  <c r="AA466"/>
  <c r="AA414"/>
  <c r="AA246"/>
  <c r="AA183"/>
  <c r="AA120"/>
  <c r="AA388"/>
  <c r="AA262"/>
  <c r="AA346"/>
  <c r="AA393"/>
  <c r="AA351"/>
  <c r="AA445"/>
  <c r="AA283"/>
  <c r="AA267"/>
  <c r="AA141"/>
  <c r="AA430"/>
  <c r="AA304"/>
  <c r="AA372"/>
  <c r="AA42"/>
  <c r="AA67" s="1"/>
  <c r="AA507"/>
  <c r="AA508" s="1"/>
  <c r="AA509" s="1"/>
  <c r="AA450"/>
  <c r="AA241"/>
  <c r="AA435"/>
  <c r="AA409"/>
  <c r="AA367"/>
  <c r="AA94"/>
  <c r="AA225"/>
  <c r="AA157"/>
  <c r="AA309"/>
  <c r="AA162"/>
  <c r="AA115"/>
  <c r="AB8"/>
  <c r="AA482"/>
  <c r="AA288"/>
  <c r="AA499"/>
  <c r="AA440"/>
  <c r="AA330"/>
  <c r="AA178"/>
  <c r="AA99"/>
  <c r="AA220"/>
  <c r="AA325"/>
  <c r="AA204"/>
  <c r="AA136"/>
  <c r="AA16"/>
  <c r="AA199"/>
  <c r="AA117"/>
  <c r="AA46" s="1"/>
  <c r="AA390"/>
  <c r="AA59" s="1"/>
  <c r="AA159"/>
  <c r="AA48" s="1"/>
  <c r="AA222"/>
  <c r="AA51" s="1"/>
  <c r="AA437"/>
  <c r="AA62" s="1"/>
  <c r="AA411"/>
  <c r="AA60" s="1"/>
  <c r="AA243"/>
  <c r="AA52" s="1"/>
  <c r="AA327"/>
  <c r="AA56" s="1"/>
  <c r="AA306"/>
  <c r="AA55" s="1"/>
  <c r="AA348"/>
  <c r="AA57" s="1"/>
  <c r="AA442"/>
  <c r="AA63" s="1"/>
  <c r="AA285"/>
  <c r="AA54" s="1"/>
  <c r="AA138"/>
  <c r="AA47" s="1"/>
  <c r="AA96"/>
  <c r="AA369"/>
  <c r="AA58" s="1"/>
  <c r="AA432"/>
  <c r="AA61" s="1"/>
  <c r="AA201"/>
  <c r="AA50" s="1"/>
  <c r="AA180"/>
  <c r="AA49" s="1"/>
  <c r="AA447"/>
  <c r="AA64" s="1"/>
  <c r="AA264"/>
  <c r="AA53" s="1"/>
  <c r="X88"/>
  <c r="X90" s="1"/>
  <c r="AO10" i="116"/>
  <c r="AO14" s="1"/>
  <c r="AO45"/>
  <c r="AP450"/>
  <c r="AP136"/>
  <c r="AP393"/>
  <c r="AP367"/>
  <c r="AQ8"/>
  <c r="AP183"/>
  <c r="AP372"/>
  <c r="AP241"/>
  <c r="AP204"/>
  <c r="AP120"/>
  <c r="AP445"/>
  <c r="AP503"/>
  <c r="AP220"/>
  <c r="AP141"/>
  <c r="AP115"/>
  <c r="AP267"/>
  <c r="AP157"/>
  <c r="AP482"/>
  <c r="AP262"/>
  <c r="AP346"/>
  <c r="AP16"/>
  <c r="AP499"/>
  <c r="AP162"/>
  <c r="AP304"/>
  <c r="AP225"/>
  <c r="AP199"/>
  <c r="AP351"/>
  <c r="AP430"/>
  <c r="AP94"/>
  <c r="AP414"/>
  <c r="AP325"/>
  <c r="AP330"/>
  <c r="AP178"/>
  <c r="AP388"/>
  <c r="AP507"/>
  <c r="AP508" s="1"/>
  <c r="AP509" s="1"/>
  <c r="AP309"/>
  <c r="AP283"/>
  <c r="AP435"/>
  <c r="AP99"/>
  <c r="AP246"/>
  <c r="AP466"/>
  <c r="AP288"/>
  <c r="AP42"/>
  <c r="AP67" s="1"/>
  <c r="AP409"/>
  <c r="AP440"/>
  <c r="AP201"/>
  <c r="AP50" s="1"/>
  <c r="AP369"/>
  <c r="AP58" s="1"/>
  <c r="AP180"/>
  <c r="AP49" s="1"/>
  <c r="AP159"/>
  <c r="AP48" s="1"/>
  <c r="AP264"/>
  <c r="AP53" s="1"/>
  <c r="AP348"/>
  <c r="AP57" s="1"/>
  <c r="AP138"/>
  <c r="AP47" s="1"/>
  <c r="AP411"/>
  <c r="AP60" s="1"/>
  <c r="AP117"/>
  <c r="AP46" s="1"/>
  <c r="AP222"/>
  <c r="AP51" s="1"/>
  <c r="AP327"/>
  <c r="AP56" s="1"/>
  <c r="AP442"/>
  <c r="AP63" s="1"/>
  <c r="AP437"/>
  <c r="AP62" s="1"/>
  <c r="AP447"/>
  <c r="AP64" s="1"/>
  <c r="AP243"/>
  <c r="AP52" s="1"/>
  <c r="AP96"/>
  <c r="AP306"/>
  <c r="AP55" s="1"/>
  <c r="AP390"/>
  <c r="AP59" s="1"/>
  <c r="AP285"/>
  <c r="AP54" s="1"/>
  <c r="AP432"/>
  <c r="AP61" s="1"/>
  <c r="AJ45" i="118"/>
  <c r="AJ65" s="1"/>
  <c r="AJ10"/>
  <c r="AJ14" s="1"/>
  <c r="AJ339"/>
  <c r="AJ188"/>
  <c r="AJ213"/>
  <c r="AJ210"/>
  <c r="AJ273"/>
  <c r="AJ376"/>
  <c r="AJ382"/>
  <c r="AJ453"/>
  <c r="AJ235"/>
  <c r="AJ360"/>
  <c r="AJ276"/>
  <c r="AJ476"/>
  <c r="AJ229"/>
  <c r="AJ167"/>
  <c r="AJ298"/>
  <c r="AJ406"/>
  <c r="AJ175"/>
  <c r="AJ340"/>
  <c r="AJ252"/>
  <c r="AJ334"/>
  <c r="AJ471"/>
  <c r="AJ259"/>
  <c r="AJ165"/>
  <c r="AJ357"/>
  <c r="AJ255"/>
  <c r="AJ291"/>
  <c r="AJ104"/>
  <c r="AJ487"/>
  <c r="AJ486"/>
  <c r="AJ333"/>
  <c r="AJ491"/>
  <c r="AJ123"/>
  <c r="AJ301"/>
  <c r="AJ192"/>
  <c r="AJ214"/>
  <c r="AJ133"/>
  <c r="AJ343"/>
  <c r="AJ402"/>
  <c r="AJ454"/>
  <c r="AJ256"/>
  <c r="AJ479"/>
  <c r="AJ470"/>
  <c r="AJ423"/>
  <c r="AJ319"/>
  <c r="AJ475"/>
  <c r="AJ315"/>
  <c r="AJ228"/>
  <c r="AJ145"/>
  <c r="AJ196"/>
  <c r="AJ125"/>
  <c r="AJ187"/>
  <c r="AJ271"/>
  <c r="AJ424"/>
  <c r="AJ377"/>
  <c r="AJ460"/>
  <c r="AJ472"/>
  <c r="AJ397"/>
  <c r="AJ166"/>
  <c r="AJ251"/>
  <c r="AJ112"/>
  <c r="AJ217"/>
  <c r="AJ144"/>
  <c r="AJ313"/>
  <c r="AJ103"/>
  <c r="AJ250"/>
  <c r="AJ234"/>
  <c r="AJ378"/>
  <c r="AJ238"/>
  <c r="AJ417"/>
  <c r="AJ318"/>
  <c r="AJ193"/>
  <c r="AJ151"/>
  <c r="AJ130"/>
  <c r="AJ427"/>
  <c r="AJ418"/>
  <c r="AJ270"/>
  <c r="AJ463"/>
  <c r="AJ488"/>
  <c r="AJ361"/>
  <c r="AJ172"/>
  <c r="AJ129"/>
  <c r="AJ459"/>
  <c r="AJ312"/>
  <c r="AJ335"/>
  <c r="AJ249"/>
  <c r="AJ147"/>
  <c r="AJ171"/>
  <c r="AJ280"/>
  <c r="AJ354"/>
  <c r="AJ146"/>
  <c r="AJ272"/>
  <c r="AJ209"/>
  <c r="AJ419"/>
  <c r="AJ207"/>
  <c r="AJ297"/>
  <c r="AJ108"/>
  <c r="AJ492"/>
  <c r="AJ420"/>
  <c r="AJ456"/>
  <c r="AJ277"/>
  <c r="AJ381"/>
  <c r="AJ322"/>
  <c r="AJ230"/>
  <c r="AJ154"/>
  <c r="AJ375"/>
  <c r="AJ231"/>
  <c r="AJ168"/>
  <c r="AJ292"/>
  <c r="AJ455"/>
  <c r="AJ396"/>
  <c r="AJ150"/>
  <c r="AJ485"/>
  <c r="AJ109"/>
  <c r="AJ399"/>
  <c r="AJ385"/>
  <c r="AJ495"/>
  <c r="AJ364"/>
  <c r="AJ355"/>
  <c r="AJ403"/>
  <c r="AJ189"/>
  <c r="AJ356"/>
  <c r="AJ469"/>
  <c r="AJ102"/>
  <c r="AJ398"/>
  <c r="AJ124"/>
  <c r="AJ105"/>
  <c r="AJ22" s="1"/>
  <c r="AJ314"/>
  <c r="AJ169"/>
  <c r="AJ295"/>
  <c r="AJ337"/>
  <c r="AJ379"/>
  <c r="AJ274"/>
  <c r="AJ208"/>
  <c r="AJ126"/>
  <c r="AJ186"/>
  <c r="AJ457"/>
  <c r="AJ127"/>
  <c r="AJ211"/>
  <c r="AJ358"/>
  <c r="AJ489"/>
  <c r="AJ316"/>
  <c r="AJ421"/>
  <c r="AJ400"/>
  <c r="AJ254"/>
  <c r="AJ253"/>
  <c r="AJ294"/>
  <c r="AJ148"/>
  <c r="AJ473"/>
  <c r="AJ190"/>
  <c r="AJ232"/>
  <c r="AJ293"/>
  <c r="AJ106"/>
  <c r="AJ336"/>
  <c r="AJ132"/>
  <c r="AJ462"/>
  <c r="AJ338"/>
  <c r="AJ494"/>
  <c r="AJ342"/>
  <c r="AJ426"/>
  <c r="AJ422"/>
  <c r="AJ428" s="1"/>
  <c r="AJ84" s="1"/>
  <c r="AJ384"/>
  <c r="AJ107"/>
  <c r="AJ458"/>
  <c r="AJ237"/>
  <c r="AJ363"/>
  <c r="AJ153"/>
  <c r="AJ174"/>
  <c r="AJ317"/>
  <c r="AJ296"/>
  <c r="AJ128"/>
  <c r="AJ195"/>
  <c r="AJ149"/>
  <c r="AJ321"/>
  <c r="AJ191"/>
  <c r="AJ275"/>
  <c r="AJ233"/>
  <c r="AJ216"/>
  <c r="AJ474"/>
  <c r="AJ478"/>
  <c r="AJ258"/>
  <c r="AJ260" s="1"/>
  <c r="AJ76" s="1"/>
  <c r="AJ212"/>
  <c r="AJ405"/>
  <c r="AJ279"/>
  <c r="AJ401"/>
  <c r="AJ300"/>
  <c r="AJ490"/>
  <c r="AJ111"/>
  <c r="AJ359"/>
  <c r="AJ170"/>
  <c r="AJ380"/>
  <c r="T39" i="121"/>
  <c r="AF39"/>
  <c r="AC39"/>
  <c r="Z39"/>
  <c r="R40"/>
  <c r="AH39"/>
  <c r="W39"/>
  <c r="U39"/>
  <c r="R39"/>
  <c r="S39"/>
  <c r="AB39"/>
  <c r="AE39"/>
  <c r="X39"/>
  <c r="AA39"/>
  <c r="AJ39"/>
  <c r="AI39"/>
  <c r="AD39"/>
  <c r="Y39"/>
  <c r="V39"/>
  <c r="AG39"/>
  <c r="AK39"/>
  <c r="E60" i="8"/>
  <c r="E57"/>
  <c r="E144" i="109"/>
  <c r="AN31" i="116"/>
  <c r="AN218"/>
  <c r="AN74" s="1"/>
  <c r="AN407"/>
  <c r="AN83" s="1"/>
  <c r="AN197"/>
  <c r="AN73" s="1"/>
  <c r="AN23"/>
  <c r="X176" i="120"/>
  <c r="X72" s="1"/>
  <c r="X344"/>
  <c r="X80" s="1"/>
  <c r="X20"/>
  <c r="X21"/>
  <c r="X22"/>
  <c r="X239"/>
  <c r="X75" s="1"/>
  <c r="X428"/>
  <c r="X84" s="1"/>
  <c r="AI31" i="118"/>
  <c r="AI24"/>
  <c r="AI496"/>
  <c r="AI87" s="1"/>
  <c r="AI344"/>
  <c r="AI80" s="1"/>
  <c r="AI428"/>
  <c r="AI84" s="1"/>
  <c r="AI25"/>
  <c r="AI365"/>
  <c r="AI81" s="1"/>
  <c r="AI480"/>
  <c r="AI86" s="1"/>
  <c r="AI464"/>
  <c r="AI85" s="1"/>
  <c r="Y260" i="117"/>
  <c r="Y76" s="1"/>
  <c r="Y281"/>
  <c r="Y77" s="1"/>
  <c r="Y20"/>
  <c r="Y22"/>
  <c r="Y26"/>
  <c r="Y176"/>
  <c r="Y72" s="1"/>
  <c r="Y480"/>
  <c r="Y86" s="1"/>
  <c r="AM36" i="116"/>
  <c r="AO65" l="1"/>
  <c r="AK45" i="118"/>
  <c r="AK10"/>
  <c r="AK14" s="1"/>
  <c r="Z45" i="120"/>
  <c r="Z65" s="1"/>
  <c r="Z10"/>
  <c r="AJ20" i="118"/>
  <c r="AJ26"/>
  <c r="AJ386"/>
  <c r="AJ82" s="1"/>
  <c r="AJ365"/>
  <c r="AJ81" s="1"/>
  <c r="AO22" i="116"/>
  <c r="AO407"/>
  <c r="AO83" s="1"/>
  <c r="AO302"/>
  <c r="AO78" s="1"/>
  <c r="AO176"/>
  <c r="AO72" s="1"/>
  <c r="AO344"/>
  <c r="AO80" s="1"/>
  <c r="AO20"/>
  <c r="AO24"/>
  <c r="AO281"/>
  <c r="AO77" s="1"/>
  <c r="AO31"/>
  <c r="Y36" i="117"/>
  <c r="Y38" s="1"/>
  <c r="Y39" s="1"/>
  <c r="X88" i="120"/>
  <c r="X90" s="1"/>
  <c r="Y31"/>
  <c r="Y428"/>
  <c r="Y84" s="1"/>
  <c r="Y281"/>
  <c r="Y77" s="1"/>
  <c r="Y302"/>
  <c r="Y78" s="1"/>
  <c r="Y25"/>
  <c r="Z21" i="117"/>
  <c r="Z20"/>
  <c r="Z26"/>
  <c r="Z260"/>
  <c r="Z76" s="1"/>
  <c r="Z323"/>
  <c r="Z79" s="1"/>
  <c r="Z365"/>
  <c r="Z81" s="1"/>
  <c r="Z25"/>
  <c r="Z22"/>
  <c r="AP45" i="116"/>
  <c r="AP65" s="1"/>
  <c r="AP10"/>
  <c r="AP14" s="1"/>
  <c r="AQ141"/>
  <c r="AQ115"/>
  <c r="AQ288"/>
  <c r="AQ466"/>
  <c r="AQ241"/>
  <c r="AQ99"/>
  <c r="AQ304"/>
  <c r="AQ430"/>
  <c r="AQ388"/>
  <c r="AQ262"/>
  <c r="AQ414"/>
  <c r="AQ225"/>
  <c r="AQ199"/>
  <c r="AQ372"/>
  <c r="AQ503"/>
  <c r="AQ325"/>
  <c r="AQ220"/>
  <c r="AQ330"/>
  <c r="AQ445"/>
  <c r="AQ351"/>
  <c r="AQ16"/>
  <c r="AQ450"/>
  <c r="AQ507"/>
  <c r="AQ508" s="1"/>
  <c r="AQ509" s="1"/>
  <c r="AQ309"/>
  <c r="AQ283"/>
  <c r="AQ499"/>
  <c r="AQ120"/>
  <c r="AQ409"/>
  <c r="AQ246"/>
  <c r="AQ482"/>
  <c r="AQ178"/>
  <c r="AQ267"/>
  <c r="AQ162"/>
  <c r="AQ393"/>
  <c r="AQ367"/>
  <c r="AR8"/>
  <c r="AQ204"/>
  <c r="AQ440"/>
  <c r="AQ157"/>
  <c r="AQ94"/>
  <c r="AQ183"/>
  <c r="AQ346"/>
  <c r="AQ42"/>
  <c r="AQ67" s="1"/>
  <c r="AQ435"/>
  <c r="AQ136"/>
  <c r="AQ180"/>
  <c r="AQ49" s="1"/>
  <c r="AQ201"/>
  <c r="AQ50" s="1"/>
  <c r="AQ243"/>
  <c r="AQ52" s="1"/>
  <c r="AQ138"/>
  <c r="AQ47" s="1"/>
  <c r="AQ159"/>
  <c r="AQ48" s="1"/>
  <c r="AQ411"/>
  <c r="AQ60" s="1"/>
  <c r="AQ285"/>
  <c r="AQ54" s="1"/>
  <c r="AQ264"/>
  <c r="AQ53" s="1"/>
  <c r="AQ327"/>
  <c r="AQ56" s="1"/>
  <c r="AQ117"/>
  <c r="AQ46" s="1"/>
  <c r="AQ369"/>
  <c r="AQ58" s="1"/>
  <c r="AQ447"/>
  <c r="AQ64" s="1"/>
  <c r="AQ306"/>
  <c r="AQ55" s="1"/>
  <c r="AQ390"/>
  <c r="AQ59" s="1"/>
  <c r="AQ222"/>
  <c r="AQ51" s="1"/>
  <c r="AQ96"/>
  <c r="AQ432"/>
  <c r="AQ61" s="1"/>
  <c r="AQ348"/>
  <c r="AQ57" s="1"/>
  <c r="AQ442"/>
  <c r="AQ63" s="1"/>
  <c r="AQ437"/>
  <c r="AQ62" s="1"/>
  <c r="Z19" i="117"/>
  <c r="Z113"/>
  <c r="Z69" s="1"/>
  <c r="AA450" i="120"/>
  <c r="AA482"/>
  <c r="AA309"/>
  <c r="AA435"/>
  <c r="AA267"/>
  <c r="AA499"/>
  <c r="AA225"/>
  <c r="AA283"/>
  <c r="AA162"/>
  <c r="AB8"/>
  <c r="AA42"/>
  <c r="AA67" s="1"/>
  <c r="AA157"/>
  <c r="AA393"/>
  <c r="AA440"/>
  <c r="AA351"/>
  <c r="AA262"/>
  <c r="AA241"/>
  <c r="AA115"/>
  <c r="AA204"/>
  <c r="AA246"/>
  <c r="AA136"/>
  <c r="AA99"/>
  <c r="AA325"/>
  <c r="AA503"/>
  <c r="AA445"/>
  <c r="AA288"/>
  <c r="AA304"/>
  <c r="AA330"/>
  <c r="AA346"/>
  <c r="AA120"/>
  <c r="AA388"/>
  <c r="AA183"/>
  <c r="AA16"/>
  <c r="AA141"/>
  <c r="AA507"/>
  <c r="AA508" s="1"/>
  <c r="AA509" s="1"/>
  <c r="AA430"/>
  <c r="AA466"/>
  <c r="AA372"/>
  <c r="AA178"/>
  <c r="AA409"/>
  <c r="AA367"/>
  <c r="AA220"/>
  <c r="AA94"/>
  <c r="AA199"/>
  <c r="AA414"/>
  <c r="AA96"/>
  <c r="AA117"/>
  <c r="AA46" s="1"/>
  <c r="AA432"/>
  <c r="AA61" s="1"/>
  <c r="AA180"/>
  <c r="AA49" s="1"/>
  <c r="AA306"/>
  <c r="AA55" s="1"/>
  <c r="AA390"/>
  <c r="AA59" s="1"/>
  <c r="AA411"/>
  <c r="AA60" s="1"/>
  <c r="AA222"/>
  <c r="AA51" s="1"/>
  <c r="AA201"/>
  <c r="AA50" s="1"/>
  <c r="AA369"/>
  <c r="AA58" s="1"/>
  <c r="AA264"/>
  <c r="AA53" s="1"/>
  <c r="AA442"/>
  <c r="AA63" s="1"/>
  <c r="AA159"/>
  <c r="AA48" s="1"/>
  <c r="AA327"/>
  <c r="AA56" s="1"/>
  <c r="AA243"/>
  <c r="AA52" s="1"/>
  <c r="AA437"/>
  <c r="AA62" s="1"/>
  <c r="AA447"/>
  <c r="AA64" s="1"/>
  <c r="AA138"/>
  <c r="AA47" s="1"/>
  <c r="AA348"/>
  <c r="AA57" s="1"/>
  <c r="AA285"/>
  <c r="AA54" s="1"/>
  <c r="AJ24" i="118"/>
  <c r="AJ480"/>
  <c r="AJ86" s="1"/>
  <c r="AJ218"/>
  <c r="AJ74" s="1"/>
  <c r="AJ155"/>
  <c r="AJ71" s="1"/>
  <c r="AJ302"/>
  <c r="AJ78" s="1"/>
  <c r="Y88" i="117"/>
  <c r="Y90" s="1"/>
  <c r="AO218" i="116"/>
  <c r="AO74" s="1"/>
  <c r="X39" i="117"/>
  <c r="AI36" i="118"/>
  <c r="Y19" i="120"/>
  <c r="Y480"/>
  <c r="Y86" s="1"/>
  <c r="Y22"/>
  <c r="Y32"/>
  <c r="Y155"/>
  <c r="Y71" s="1"/>
  <c r="Y197"/>
  <c r="Y73" s="1"/>
  <c r="Y21"/>
  <c r="Z134" i="117"/>
  <c r="Z70" s="1"/>
  <c r="Z386"/>
  <c r="Z82" s="1"/>
  <c r="AN36" i="116"/>
  <c r="AN38" s="1"/>
  <c r="AM38"/>
  <c r="AJ19" i="118"/>
  <c r="AJ197"/>
  <c r="AJ73" s="1"/>
  <c r="AA45" i="117"/>
  <c r="AA65" s="1"/>
  <c r="AA10"/>
  <c r="AA14" s="1"/>
  <c r="AA357"/>
  <c r="AA232"/>
  <c r="AA154"/>
  <c r="AA343"/>
  <c r="AA486"/>
  <c r="AA406"/>
  <c r="AA112"/>
  <c r="AA274"/>
  <c r="AA298"/>
  <c r="AA104"/>
  <c r="AA196"/>
  <c r="AA217"/>
  <c r="AA208"/>
  <c r="AA175"/>
  <c r="AA147"/>
  <c r="AA469"/>
  <c r="AA238"/>
  <c r="AA272"/>
  <c r="AA146"/>
  <c r="AA129"/>
  <c r="AA228"/>
  <c r="AA171"/>
  <c r="AA229"/>
  <c r="AA472"/>
  <c r="AA354"/>
  <c r="AA210"/>
  <c r="AA376"/>
  <c r="AA420"/>
  <c r="AA235"/>
  <c r="AA250"/>
  <c r="AA360"/>
  <c r="AA334"/>
  <c r="AA207"/>
  <c r="AA190"/>
  <c r="AA271"/>
  <c r="AA150"/>
  <c r="AA382"/>
  <c r="AA291"/>
  <c r="AA276"/>
  <c r="AA213"/>
  <c r="AA397"/>
  <c r="AA231"/>
  <c r="AA478"/>
  <c r="AA251"/>
  <c r="AA188"/>
  <c r="AA132"/>
  <c r="AA339"/>
  <c r="AA167"/>
  <c r="AA421"/>
  <c r="AA381"/>
  <c r="AA338"/>
  <c r="AA417"/>
  <c r="AA318"/>
  <c r="AA403"/>
  <c r="AA377"/>
  <c r="AA209"/>
  <c r="AA402"/>
  <c r="AA470"/>
  <c r="AA108"/>
  <c r="AA458"/>
  <c r="AA149"/>
  <c r="AA127"/>
  <c r="AA279"/>
  <c r="AA293"/>
  <c r="AA454"/>
  <c r="AA358"/>
  <c r="AA455"/>
  <c r="AA463"/>
  <c r="AA418"/>
  <c r="AA361"/>
  <c r="AA259"/>
  <c r="AA191"/>
  <c r="AA130"/>
  <c r="AA144"/>
  <c r="AA364"/>
  <c r="AA356"/>
  <c r="AA103"/>
  <c r="AA255"/>
  <c r="AA423"/>
  <c r="AA315"/>
  <c r="AA133"/>
  <c r="AA401"/>
  <c r="AA234"/>
  <c r="AA273"/>
  <c r="AA495"/>
  <c r="AA400"/>
  <c r="AA399"/>
  <c r="AA123"/>
  <c r="AA479"/>
  <c r="AA277"/>
  <c r="AA172"/>
  <c r="AA166"/>
  <c r="AA316"/>
  <c r="AA151"/>
  <c r="AA187"/>
  <c r="AA319"/>
  <c r="AA109"/>
  <c r="AA314"/>
  <c r="AA280"/>
  <c r="AA297"/>
  <c r="AA340"/>
  <c r="AA488"/>
  <c r="AA214"/>
  <c r="AA174"/>
  <c r="AA125"/>
  <c r="AA312"/>
  <c r="AA252"/>
  <c r="AA192"/>
  <c r="AA111"/>
  <c r="AA258"/>
  <c r="AA333"/>
  <c r="AA427"/>
  <c r="AA424"/>
  <c r="AA453"/>
  <c r="AA476"/>
  <c r="AA375"/>
  <c r="AA195"/>
  <c r="AA405"/>
  <c r="AA378"/>
  <c r="AA335"/>
  <c r="AA473"/>
  <c r="AA300"/>
  <c r="AA385"/>
  <c r="AA475"/>
  <c r="AA492"/>
  <c r="AA170"/>
  <c r="AA494"/>
  <c r="AA193"/>
  <c r="AA270"/>
  <c r="AA237"/>
  <c r="AA491"/>
  <c r="AA233"/>
  <c r="AA471"/>
  <c r="AA459"/>
  <c r="AA462"/>
  <c r="AA485"/>
  <c r="AA460"/>
  <c r="AA301"/>
  <c r="AA396"/>
  <c r="AA380"/>
  <c r="AA124"/>
  <c r="AA249"/>
  <c r="AA398"/>
  <c r="AA292"/>
  <c r="AA489"/>
  <c r="AA230"/>
  <c r="AA189"/>
  <c r="AA363"/>
  <c r="AA295"/>
  <c r="AA256"/>
  <c r="AA165"/>
  <c r="AA105"/>
  <c r="AA22" s="1"/>
  <c r="AA186"/>
  <c r="AA322"/>
  <c r="AA145"/>
  <c r="AA355"/>
  <c r="AA107"/>
  <c r="AA153"/>
  <c r="AA168"/>
  <c r="AA422"/>
  <c r="AA337"/>
  <c r="AA487"/>
  <c r="AA211"/>
  <c r="AA128"/>
  <c r="AA321"/>
  <c r="AA456"/>
  <c r="AA253"/>
  <c r="AA212"/>
  <c r="AA457"/>
  <c r="AA169"/>
  <c r="AA490"/>
  <c r="AA426"/>
  <c r="AA102"/>
  <c r="AA317"/>
  <c r="AA216"/>
  <c r="AA342"/>
  <c r="AA148"/>
  <c r="AA359"/>
  <c r="AA296"/>
  <c r="AA106"/>
  <c r="AA23" s="1"/>
  <c r="AA126"/>
  <c r="AA336"/>
  <c r="AA294"/>
  <c r="AA254"/>
  <c r="AA474"/>
  <c r="AA379"/>
  <c r="AA384"/>
  <c r="AA419"/>
  <c r="AA21" s="1"/>
  <c r="AA313"/>
  <c r="AA275"/>
  <c r="AO19" i="116"/>
  <c r="AO113"/>
  <c r="AO69" s="1"/>
  <c r="Y65" i="120"/>
  <c r="AI88" i="118"/>
  <c r="AI90" s="1"/>
  <c r="Y113" i="120"/>
  <c r="Y69" s="1"/>
  <c r="Y24"/>
  <c r="Z420"/>
  <c r="Z354"/>
  <c r="Z398"/>
  <c r="Z255"/>
  <c r="Z186"/>
  <c r="Z314"/>
  <c r="Z476"/>
  <c r="Z491"/>
  <c r="Z277"/>
  <c r="Z192"/>
  <c r="Z379"/>
  <c r="Z234"/>
  <c r="Z318"/>
  <c r="Z475"/>
  <c r="Z196"/>
  <c r="Z259"/>
  <c r="Z165"/>
  <c r="Z337"/>
  <c r="Z229"/>
  <c r="Z343"/>
  <c r="Z455"/>
  <c r="Z130"/>
  <c r="Z313"/>
  <c r="Z361"/>
  <c r="Z319"/>
  <c r="Z473"/>
  <c r="Z312"/>
  <c r="Z235"/>
  <c r="Z456"/>
  <c r="Z207"/>
  <c r="Z154"/>
  <c r="Z211"/>
  <c r="Z291"/>
  <c r="Z385"/>
  <c r="Z377"/>
  <c r="Z335"/>
  <c r="Z417"/>
  <c r="Z360"/>
  <c r="Z172"/>
  <c r="Z358"/>
  <c r="Z280"/>
  <c r="Z190"/>
  <c r="Z214"/>
  <c r="Z378"/>
  <c r="Z469"/>
  <c r="Z125"/>
  <c r="Z486"/>
  <c r="Z424"/>
  <c r="Z375"/>
  <c r="Z238"/>
  <c r="Z333"/>
  <c r="Z427"/>
  <c r="Z103"/>
  <c r="Z232"/>
  <c r="Z112"/>
  <c r="Z406"/>
  <c r="Z460"/>
  <c r="Z187"/>
  <c r="Z106"/>
  <c r="Z217"/>
  <c r="Z339"/>
  <c r="Z274"/>
  <c r="Z144"/>
  <c r="Z231"/>
  <c r="Z315"/>
  <c r="Z402"/>
  <c r="Z145"/>
  <c r="Z457"/>
  <c r="Z123"/>
  <c r="Z403"/>
  <c r="Z471"/>
  <c r="Z108"/>
  <c r="Z316"/>
  <c r="Z293"/>
  <c r="Z397"/>
  <c r="Z381"/>
  <c r="Z169"/>
  <c r="Z272"/>
  <c r="Z150"/>
  <c r="Z421"/>
  <c r="Z251"/>
  <c r="Z175"/>
  <c r="Z453"/>
  <c r="Z301"/>
  <c r="Z228"/>
  <c r="Z239" s="1"/>
  <c r="Z75" s="1"/>
  <c r="Z357"/>
  <c r="Z479"/>
  <c r="Z151"/>
  <c r="Z485"/>
  <c r="Z472"/>
  <c r="Z423"/>
  <c r="Z454"/>
  <c r="Z292"/>
  <c r="Z249"/>
  <c r="Z167"/>
  <c r="Z147"/>
  <c r="Z355"/>
  <c r="Z492"/>
  <c r="Z297"/>
  <c r="Z171"/>
  <c r="Z470"/>
  <c r="Z133"/>
  <c r="Z230"/>
  <c r="Z124"/>
  <c r="Z252"/>
  <c r="Z276"/>
  <c r="Z250"/>
  <c r="Z102"/>
  <c r="Z376"/>
  <c r="Z208"/>
  <c r="Z193"/>
  <c r="Z418"/>
  <c r="Z298"/>
  <c r="Z488"/>
  <c r="Z382"/>
  <c r="Z104"/>
  <c r="Z419"/>
  <c r="Z489"/>
  <c r="Z273"/>
  <c r="Z105"/>
  <c r="Z487"/>
  <c r="Z256"/>
  <c r="Z270"/>
  <c r="Z295"/>
  <c r="Z213"/>
  <c r="Z127"/>
  <c r="Z322"/>
  <c r="Z166"/>
  <c r="Z209"/>
  <c r="Z399"/>
  <c r="Z148"/>
  <c r="Z463"/>
  <c r="Z109"/>
  <c r="Z26" s="1"/>
  <c r="Z334"/>
  <c r="Z495"/>
  <c r="Z210"/>
  <c r="Z168"/>
  <c r="Z364"/>
  <c r="Z459"/>
  <c r="Z356"/>
  <c r="Z189"/>
  <c r="Z340"/>
  <c r="Z188"/>
  <c r="Z400"/>
  <c r="Z129"/>
  <c r="Z253"/>
  <c r="Z146"/>
  <c r="Z294"/>
  <c r="Z396"/>
  <c r="Z271"/>
  <c r="Z336"/>
  <c r="Z170"/>
  <c r="Z126"/>
  <c r="Z254"/>
  <c r="Z405"/>
  <c r="Z212"/>
  <c r="Z191"/>
  <c r="Z300"/>
  <c r="Z380"/>
  <c r="Z462"/>
  <c r="Z363"/>
  <c r="Z149"/>
  <c r="Z384"/>
  <c r="Z107"/>
  <c r="Z296"/>
  <c r="Z338"/>
  <c r="Z342"/>
  <c r="Z494"/>
  <c r="Z174"/>
  <c r="Z176" s="1"/>
  <c r="Z72" s="1"/>
  <c r="Z458"/>
  <c r="Z195"/>
  <c r="Z111"/>
  <c r="Z490"/>
  <c r="Z132"/>
  <c r="Z478"/>
  <c r="Z216"/>
  <c r="Z258"/>
  <c r="Z260" s="1"/>
  <c r="Z76" s="1"/>
  <c r="Z128"/>
  <c r="Z237"/>
  <c r="Z401"/>
  <c r="Z426"/>
  <c r="Z153"/>
  <c r="Z422"/>
  <c r="Z317"/>
  <c r="Z279"/>
  <c r="Z233"/>
  <c r="Z275"/>
  <c r="Z359"/>
  <c r="Z321"/>
  <c r="Z474"/>
  <c r="AJ344" i="118"/>
  <c r="AJ80" s="1"/>
  <c r="AJ31"/>
  <c r="AJ21"/>
  <c r="AJ113"/>
  <c r="AJ69" s="1"/>
  <c r="AJ323"/>
  <c r="AJ79" s="1"/>
  <c r="AJ239"/>
  <c r="AJ75" s="1"/>
  <c r="AJ176"/>
  <c r="AJ72" s="1"/>
  <c r="AH39"/>
  <c r="AO197" i="116"/>
  <c r="AO73" s="1"/>
  <c r="AO239"/>
  <c r="AO75" s="1"/>
  <c r="AO134"/>
  <c r="AO70" s="1"/>
  <c r="AO25"/>
  <c r="X36" i="120"/>
  <c r="AK65" i="118"/>
  <c r="Y344" i="120"/>
  <c r="Y80" s="1"/>
  <c r="Y176"/>
  <c r="Y72" s="1"/>
  <c r="Y496"/>
  <c r="Y87" s="1"/>
  <c r="Y365"/>
  <c r="Y81" s="1"/>
  <c r="Y464"/>
  <c r="Y85" s="1"/>
  <c r="Y239"/>
  <c r="Y75" s="1"/>
  <c r="Y134"/>
  <c r="Y70" s="1"/>
  <c r="Z302" i="117"/>
  <c r="Z78" s="1"/>
  <c r="Z31"/>
  <c r="Z496"/>
  <c r="Z87" s="1"/>
  <c r="Z281"/>
  <c r="Z77" s="1"/>
  <c r="Z197"/>
  <c r="Z73" s="1"/>
  <c r="Z155"/>
  <c r="Z71" s="1"/>
  <c r="AN88" i="116"/>
  <c r="AN90" s="1"/>
  <c r="AP148"/>
  <c r="AP108"/>
  <c r="AP149"/>
  <c r="AP174"/>
  <c r="AP195"/>
  <c r="AP216"/>
  <c r="AP237"/>
  <c r="AP258"/>
  <c r="AP279"/>
  <c r="AP300"/>
  <c r="AP321"/>
  <c r="AP342"/>
  <c r="AP363"/>
  <c r="AP384"/>
  <c r="AP405"/>
  <c r="AP426"/>
  <c r="AP462"/>
  <c r="AP478"/>
  <c r="AP494"/>
  <c r="AP127"/>
  <c r="AP111"/>
  <c r="AP129"/>
  <c r="AP170"/>
  <c r="AP191"/>
  <c r="AP212"/>
  <c r="AP233"/>
  <c r="AP254"/>
  <c r="AP275"/>
  <c r="AP296"/>
  <c r="AP317"/>
  <c r="AP338"/>
  <c r="AP359"/>
  <c r="AP380"/>
  <c r="AP401"/>
  <c r="AP422"/>
  <c r="AP458"/>
  <c r="AP474"/>
  <c r="AP490"/>
  <c r="AP106"/>
  <c r="AP107"/>
  <c r="AP132"/>
  <c r="AP150"/>
  <c r="AP190"/>
  <c r="AP211"/>
  <c r="AP232"/>
  <c r="AP253"/>
  <c r="AP274"/>
  <c r="AP295"/>
  <c r="AP316"/>
  <c r="AP337"/>
  <c r="AP358"/>
  <c r="AP379"/>
  <c r="AP400"/>
  <c r="AP421"/>
  <c r="AP457"/>
  <c r="AP473"/>
  <c r="AP489"/>
  <c r="AP169"/>
  <c r="AP128"/>
  <c r="AP153"/>
  <c r="AP171"/>
  <c r="AP192"/>
  <c r="AP213"/>
  <c r="AP234"/>
  <c r="AP255"/>
  <c r="AP276"/>
  <c r="AP297"/>
  <c r="AP318"/>
  <c r="AP339"/>
  <c r="AP360"/>
  <c r="AP381"/>
  <c r="AP402"/>
  <c r="AP423"/>
  <c r="AP459"/>
  <c r="AP475"/>
  <c r="AP491"/>
  <c r="AP294"/>
  <c r="AP126"/>
  <c r="AP427"/>
  <c r="AP343"/>
  <c r="AP259"/>
  <c r="AP175"/>
  <c r="AP488"/>
  <c r="AP334"/>
  <c r="AP166"/>
  <c r="AP469"/>
  <c r="AP356"/>
  <c r="AP272"/>
  <c r="AP188"/>
  <c r="AP104"/>
  <c r="AP21" s="1"/>
  <c r="AP251"/>
  <c r="AP193"/>
  <c r="AP186"/>
  <c r="AP453"/>
  <c r="AP313"/>
  <c r="AP495"/>
  <c r="AP252"/>
  <c r="AP168"/>
  <c r="AP406"/>
  <c r="AP399"/>
  <c r="AP102"/>
  <c r="AP151"/>
  <c r="AP280"/>
  <c r="AP112"/>
  <c r="AP355"/>
  <c r="AP187"/>
  <c r="AP455"/>
  <c r="AP375"/>
  <c r="AP291"/>
  <c r="AP207"/>
  <c r="AP218" s="1"/>
  <c r="AP74" s="1"/>
  <c r="AP123"/>
  <c r="AP357"/>
  <c r="AP189"/>
  <c r="AP476"/>
  <c r="AP385"/>
  <c r="AP301"/>
  <c r="AP217"/>
  <c r="AP133"/>
  <c r="AP319"/>
  <c r="AP208"/>
  <c r="AP364"/>
  <c r="AP460"/>
  <c r="AP322"/>
  <c r="AP125"/>
  <c r="AP312"/>
  <c r="AP471"/>
  <c r="AP231"/>
  <c r="AP109"/>
  <c r="AP209"/>
  <c r="AP293"/>
  <c r="AP361"/>
  <c r="AP124"/>
  <c r="AP154"/>
  <c r="AP378"/>
  <c r="AP210"/>
  <c r="AP479"/>
  <c r="AP382"/>
  <c r="AP298"/>
  <c r="AP214"/>
  <c r="AP130"/>
  <c r="AP418"/>
  <c r="AP250"/>
  <c r="AP487"/>
  <c r="AP417"/>
  <c r="AP333"/>
  <c r="AP249"/>
  <c r="AP260" s="1"/>
  <c r="AP76" s="1"/>
  <c r="AP165"/>
  <c r="AP377"/>
  <c r="AP229"/>
  <c r="AP420"/>
  <c r="AP144"/>
  <c r="AP335"/>
  <c r="AP277"/>
  <c r="AP315"/>
  <c r="AP39"/>
  <c r="AP376"/>
  <c r="AP336"/>
  <c r="AP235"/>
  <c r="AP454"/>
  <c r="AP396"/>
  <c r="AP167"/>
  <c r="AP228"/>
  <c r="AP486"/>
  <c r="AP271"/>
  <c r="AP103"/>
  <c r="AP398"/>
  <c r="AP314"/>
  <c r="AP230"/>
  <c r="AP146"/>
  <c r="AP470"/>
  <c r="AP273"/>
  <c r="AP105"/>
  <c r="AP424"/>
  <c r="AP340"/>
  <c r="AP256"/>
  <c r="AP172"/>
  <c r="AP492"/>
  <c r="AP238"/>
  <c r="AP485"/>
  <c r="AP147"/>
  <c r="AP403"/>
  <c r="AP292"/>
  <c r="AP354"/>
  <c r="AP196"/>
  <c r="AP472"/>
  <c r="AP397"/>
  <c r="AP463"/>
  <c r="AP456"/>
  <c r="AP419"/>
  <c r="AP270"/>
  <c r="AP281" s="1"/>
  <c r="AP77" s="1"/>
  <c r="AP145"/>
  <c r="AB409" i="117"/>
  <c r="AB450"/>
  <c r="AB288"/>
  <c r="AB99"/>
  <c r="AB241"/>
  <c r="AB199"/>
  <c r="AB367"/>
  <c r="AB246"/>
  <c r="AB120"/>
  <c r="AB204"/>
  <c r="AB162"/>
  <c r="AB440"/>
  <c r="AB414"/>
  <c r="AB372"/>
  <c r="AB183"/>
  <c r="AB304"/>
  <c r="AB330"/>
  <c r="AB220"/>
  <c r="AB16"/>
  <c r="AB178"/>
  <c r="AB351"/>
  <c r="AB283"/>
  <c r="AB507"/>
  <c r="AB508" s="1"/>
  <c r="AB509" s="1"/>
  <c r="AB466"/>
  <c r="AB445"/>
  <c r="AB503"/>
  <c r="AB267"/>
  <c r="AB309"/>
  <c r="AB393"/>
  <c r="AB499"/>
  <c r="AB430"/>
  <c r="AB141"/>
  <c r="AB136"/>
  <c r="AB482"/>
  <c r="AB325"/>
  <c r="AB388"/>
  <c r="AB435"/>
  <c r="AB346"/>
  <c r="AB157"/>
  <c r="AB115"/>
  <c r="AB42"/>
  <c r="AB67" s="1"/>
  <c r="AC8"/>
  <c r="AB225"/>
  <c r="AB94"/>
  <c r="AB262"/>
  <c r="AB159"/>
  <c r="AB48" s="1"/>
  <c r="AB411"/>
  <c r="AB60" s="1"/>
  <c r="AB432"/>
  <c r="AB61" s="1"/>
  <c r="AB390"/>
  <c r="AB59" s="1"/>
  <c r="AB285"/>
  <c r="AB54" s="1"/>
  <c r="AB96"/>
  <c r="AB243"/>
  <c r="AB52" s="1"/>
  <c r="AB442"/>
  <c r="AB63" s="1"/>
  <c r="AB222"/>
  <c r="AB51" s="1"/>
  <c r="AB369"/>
  <c r="AB58" s="1"/>
  <c r="AB437"/>
  <c r="AB62" s="1"/>
  <c r="AB117"/>
  <c r="AB46" s="1"/>
  <c r="AB306"/>
  <c r="AB55" s="1"/>
  <c r="AB138"/>
  <c r="AB47" s="1"/>
  <c r="AB327"/>
  <c r="AB56" s="1"/>
  <c r="AB348"/>
  <c r="AB57" s="1"/>
  <c r="AB264"/>
  <c r="AB53" s="1"/>
  <c r="AB447"/>
  <c r="AB64" s="1"/>
  <c r="AB201"/>
  <c r="AB50" s="1"/>
  <c r="AB180"/>
  <c r="AB49" s="1"/>
  <c r="AL372" i="118"/>
  <c r="AL346"/>
  <c r="AL351"/>
  <c r="AL246"/>
  <c r="AL178"/>
  <c r="AL99"/>
  <c r="AL466"/>
  <c r="AL115"/>
  <c r="AL409"/>
  <c r="AM8"/>
  <c r="AL507"/>
  <c r="AL508" s="1"/>
  <c r="AL509" s="1"/>
  <c r="AL503"/>
  <c r="AL430"/>
  <c r="AL435"/>
  <c r="AL330"/>
  <c r="AL199"/>
  <c r="AL183"/>
  <c r="AL141"/>
  <c r="AL42"/>
  <c r="AL67" s="1"/>
  <c r="AL120"/>
  <c r="AL388"/>
  <c r="AL204"/>
  <c r="AL445"/>
  <c r="AL499"/>
  <c r="AL450"/>
  <c r="AL440"/>
  <c r="AL414"/>
  <c r="AL220"/>
  <c r="AL325"/>
  <c r="AL157"/>
  <c r="AL262"/>
  <c r="AL162"/>
  <c r="AL393"/>
  <c r="AL304"/>
  <c r="AL288"/>
  <c r="AL482"/>
  <c r="AL267"/>
  <c r="AL283"/>
  <c r="AL94"/>
  <c r="AL367"/>
  <c r="AL309"/>
  <c r="AL16"/>
  <c r="AL241"/>
  <c r="AL136"/>
  <c r="AL225"/>
  <c r="AL243"/>
  <c r="AL52" s="1"/>
  <c r="AL447"/>
  <c r="AL64" s="1"/>
  <c r="AL96"/>
  <c r="AL390"/>
  <c r="AL59" s="1"/>
  <c r="AL437"/>
  <c r="AL62" s="1"/>
  <c r="AL432"/>
  <c r="AL61" s="1"/>
  <c r="AL327"/>
  <c r="AL56" s="1"/>
  <c r="AL180"/>
  <c r="AL49" s="1"/>
  <c r="AL411"/>
  <c r="AL60" s="1"/>
  <c r="AL306"/>
  <c r="AL55" s="1"/>
  <c r="AL159"/>
  <c r="AL48" s="1"/>
  <c r="AL117"/>
  <c r="AL46" s="1"/>
  <c r="AL285"/>
  <c r="AL54" s="1"/>
  <c r="AL264"/>
  <c r="AL53" s="1"/>
  <c r="AL369"/>
  <c r="AL58" s="1"/>
  <c r="AL138"/>
  <c r="AL47" s="1"/>
  <c r="AL222"/>
  <c r="AL51" s="1"/>
  <c r="AL201"/>
  <c r="AL50" s="1"/>
  <c r="AL442"/>
  <c r="AL63" s="1"/>
  <c r="AL348"/>
  <c r="AL57" s="1"/>
  <c r="AK165"/>
  <c r="AK455"/>
  <c r="AK255"/>
  <c r="AK188"/>
  <c r="AK358"/>
  <c r="AK357"/>
  <c r="AK418"/>
  <c r="AK460"/>
  <c r="AK378"/>
  <c r="AK145"/>
  <c r="AK473"/>
  <c r="AK211"/>
  <c r="AK454"/>
  <c r="AK319"/>
  <c r="AK193"/>
  <c r="AK333"/>
  <c r="AK166"/>
  <c r="AK125"/>
  <c r="AK124"/>
  <c r="AK235"/>
  <c r="AK187"/>
  <c r="AK298"/>
  <c r="AK256"/>
  <c r="AK214"/>
  <c r="AK196"/>
  <c r="AK167"/>
  <c r="AK382"/>
  <c r="AK396"/>
  <c r="AK259"/>
  <c r="AK252"/>
  <c r="AK154"/>
  <c r="AK280"/>
  <c r="AK271"/>
  <c r="AK105"/>
  <c r="AK475"/>
  <c r="AK463"/>
  <c r="AK229"/>
  <c r="AK397"/>
  <c r="AK379"/>
  <c r="AK192"/>
  <c r="AK129"/>
  <c r="AK376"/>
  <c r="AK272"/>
  <c r="AK312"/>
  <c r="AK230"/>
  <c r="AK273"/>
  <c r="AK402"/>
  <c r="AK400"/>
  <c r="AK276"/>
  <c r="AK421"/>
  <c r="AK238"/>
  <c r="AK472"/>
  <c r="AK318"/>
  <c r="AK144"/>
  <c r="AK491"/>
  <c r="AK250"/>
  <c r="AK291"/>
  <c r="AK133"/>
  <c r="AK213"/>
  <c r="AK479"/>
  <c r="AK470"/>
  <c r="AK313"/>
  <c r="AK104"/>
  <c r="AK343"/>
  <c r="AK486"/>
  <c r="AK377"/>
  <c r="AK171"/>
  <c r="AK301"/>
  <c r="AK175"/>
  <c r="AK381"/>
  <c r="AK457"/>
  <c r="AK322"/>
  <c r="AK172"/>
  <c r="AK361"/>
  <c r="AK334"/>
  <c r="AK340"/>
  <c r="AK123"/>
  <c r="AK134" s="1"/>
  <c r="AK70" s="1"/>
  <c r="AK424"/>
  <c r="AK169"/>
  <c r="AK231"/>
  <c r="AK207"/>
  <c r="AK335"/>
  <c r="AK297"/>
  <c r="AK274"/>
  <c r="AK251"/>
  <c r="AK112"/>
  <c r="AK249"/>
  <c r="AK427"/>
  <c r="AK277"/>
  <c r="AK232"/>
  <c r="AK471"/>
  <c r="AK354"/>
  <c r="AK209"/>
  <c r="AK130"/>
  <c r="AK423"/>
  <c r="AK419"/>
  <c r="AK492"/>
  <c r="AK189"/>
  <c r="AK420"/>
  <c r="AK148"/>
  <c r="AK489"/>
  <c r="AK103"/>
  <c r="AK459"/>
  <c r="AK375"/>
  <c r="AK168"/>
  <c r="AK487"/>
  <c r="AK270"/>
  <c r="AK108"/>
  <c r="AK453"/>
  <c r="AK315"/>
  <c r="AK360"/>
  <c r="AK217"/>
  <c r="AK456"/>
  <c r="AK316"/>
  <c r="AK190"/>
  <c r="AK488"/>
  <c r="AK147"/>
  <c r="AK234"/>
  <c r="AK146"/>
  <c r="AK406"/>
  <c r="AK292"/>
  <c r="AK339"/>
  <c r="AK228"/>
  <c r="AK476"/>
  <c r="AK210"/>
  <c r="AK469"/>
  <c r="AK385"/>
  <c r="AK495"/>
  <c r="AK364"/>
  <c r="AK355"/>
  <c r="AK403"/>
  <c r="AK151"/>
  <c r="AK314"/>
  <c r="AK356"/>
  <c r="AK127"/>
  <c r="AK150"/>
  <c r="AK102"/>
  <c r="AK398"/>
  <c r="AK417"/>
  <c r="AK337"/>
  <c r="AK295"/>
  <c r="AK399"/>
  <c r="AK485"/>
  <c r="AK109"/>
  <c r="AK474"/>
  <c r="AK106"/>
  <c r="AK126"/>
  <c r="AK208"/>
  <c r="AK321"/>
  <c r="AK153"/>
  <c r="AK254"/>
  <c r="AK336"/>
  <c r="AK186"/>
  <c r="AK363"/>
  <c r="AK293"/>
  <c r="AK294"/>
  <c r="AK111"/>
  <c r="AK31" s="1"/>
  <c r="AK462"/>
  <c r="AK149"/>
  <c r="AK253"/>
  <c r="AK258"/>
  <c r="AK260" s="1"/>
  <c r="AK76" s="1"/>
  <c r="AK426"/>
  <c r="AK237"/>
  <c r="AK195"/>
  <c r="AK170"/>
  <c r="AK300"/>
  <c r="AK405"/>
  <c r="AK279"/>
  <c r="AK191"/>
  <c r="AK317"/>
  <c r="AK342"/>
  <c r="AK380"/>
  <c r="AK494"/>
  <c r="AK401"/>
  <c r="AK490"/>
  <c r="AK128"/>
  <c r="AK275"/>
  <c r="AK174"/>
  <c r="AK422"/>
  <c r="AK233"/>
  <c r="AK458"/>
  <c r="AK464" s="1"/>
  <c r="AK85" s="1"/>
  <c r="AK212"/>
  <c r="AK384"/>
  <c r="AK107"/>
  <c r="AK216"/>
  <c r="AK478"/>
  <c r="AK132"/>
  <c r="AK338"/>
  <c r="AK296"/>
  <c r="AK359"/>
  <c r="AJ407"/>
  <c r="AJ83" s="1"/>
  <c r="AJ23"/>
  <c r="AJ496"/>
  <c r="AJ87" s="1"/>
  <c r="AJ25"/>
  <c r="AJ281"/>
  <c r="AJ77" s="1"/>
  <c r="AJ32"/>
  <c r="AJ134"/>
  <c r="AJ70" s="1"/>
  <c r="AJ464"/>
  <c r="AJ85" s="1"/>
  <c r="AO365" i="116"/>
  <c r="AO81" s="1"/>
  <c r="AO155"/>
  <c r="AO71" s="1"/>
  <c r="AO260"/>
  <c r="AO76" s="1"/>
  <c r="AO386"/>
  <c r="AO82" s="1"/>
  <c r="AO32"/>
  <c r="AO464"/>
  <c r="AO85" s="1"/>
  <c r="AO26"/>
  <c r="AO21"/>
  <c r="AO23"/>
  <c r="Y23" i="120"/>
  <c r="Y323"/>
  <c r="Y79" s="1"/>
  <c r="Y386"/>
  <c r="Y82" s="1"/>
  <c r="Y26"/>
  <c r="Z218" i="117"/>
  <c r="Z74" s="1"/>
  <c r="Z24"/>
  <c r="Z407"/>
  <c r="Z83" s="1"/>
  <c r="Z344"/>
  <c r="Z80" s="1"/>
  <c r="Z480"/>
  <c r="Z86" s="1"/>
  <c r="Z32"/>
  <c r="Z428"/>
  <c r="Z84" s="1"/>
  <c r="Z464"/>
  <c r="Z85" s="1"/>
  <c r="AC330" l="1"/>
  <c r="AC482"/>
  <c r="AC466"/>
  <c r="AC157"/>
  <c r="AC162"/>
  <c r="AC204"/>
  <c r="AC440"/>
  <c r="AC199"/>
  <c r="AC507"/>
  <c r="AC508" s="1"/>
  <c r="AC509" s="1"/>
  <c r="AC225"/>
  <c r="AC267"/>
  <c r="AC325"/>
  <c r="AC414"/>
  <c r="AC393"/>
  <c r="AC262"/>
  <c r="AC241"/>
  <c r="AC372"/>
  <c r="AC351"/>
  <c r="AC16"/>
  <c r="AC283"/>
  <c r="AC115"/>
  <c r="AC503"/>
  <c r="AC183"/>
  <c r="AD8"/>
  <c r="AC445"/>
  <c r="AC388"/>
  <c r="AC346"/>
  <c r="AC304"/>
  <c r="AC409"/>
  <c r="AC367"/>
  <c r="AC288"/>
  <c r="AC99"/>
  <c r="AC141"/>
  <c r="AC94"/>
  <c r="AC450"/>
  <c r="AC430"/>
  <c r="AC309"/>
  <c r="AC499"/>
  <c r="AC42"/>
  <c r="AC67" s="1"/>
  <c r="AC120"/>
  <c r="AC435"/>
  <c r="AC136"/>
  <c r="AC220"/>
  <c r="AC246"/>
  <c r="AC178"/>
  <c r="AC159"/>
  <c r="AC48" s="1"/>
  <c r="AC285"/>
  <c r="AC54" s="1"/>
  <c r="AC437"/>
  <c r="AC62" s="1"/>
  <c r="AC201"/>
  <c r="AC50" s="1"/>
  <c r="AC369"/>
  <c r="AC58" s="1"/>
  <c r="AC390"/>
  <c r="AC59" s="1"/>
  <c r="AC327"/>
  <c r="AC56" s="1"/>
  <c r="AC117"/>
  <c r="AC46" s="1"/>
  <c r="AC96"/>
  <c r="AC447"/>
  <c r="AC64" s="1"/>
  <c r="AC442"/>
  <c r="AC63" s="1"/>
  <c r="AC138"/>
  <c r="AC47" s="1"/>
  <c r="AC348"/>
  <c r="AC57" s="1"/>
  <c r="AC411"/>
  <c r="AC60" s="1"/>
  <c r="AC243"/>
  <c r="AC52" s="1"/>
  <c r="AC432"/>
  <c r="AC61" s="1"/>
  <c r="AC306"/>
  <c r="AC55" s="1"/>
  <c r="AC222"/>
  <c r="AC51" s="1"/>
  <c r="AC180"/>
  <c r="AC49" s="1"/>
  <c r="AC264"/>
  <c r="AC53" s="1"/>
  <c r="AP19" i="116"/>
  <c r="AP113"/>
  <c r="AP69" s="1"/>
  <c r="X38" i="120"/>
  <c r="AQ148" i="116"/>
  <c r="AQ108"/>
  <c r="AQ149"/>
  <c r="AQ174"/>
  <c r="AQ195"/>
  <c r="AQ216"/>
  <c r="AQ237"/>
  <c r="AQ258"/>
  <c r="AQ279"/>
  <c r="AQ300"/>
  <c r="AQ321"/>
  <c r="AQ342"/>
  <c r="AQ363"/>
  <c r="AQ384"/>
  <c r="AQ405"/>
  <c r="AQ426"/>
  <c r="AQ462"/>
  <c r="AQ478"/>
  <c r="AQ494"/>
  <c r="AQ127"/>
  <c r="AQ111"/>
  <c r="AQ129"/>
  <c r="AQ170"/>
  <c r="AQ191"/>
  <c r="AQ212"/>
  <c r="AQ233"/>
  <c r="AQ254"/>
  <c r="AQ275"/>
  <c r="AQ296"/>
  <c r="AQ317"/>
  <c r="AQ338"/>
  <c r="AQ359"/>
  <c r="AQ380"/>
  <c r="AQ401"/>
  <c r="AQ422"/>
  <c r="AQ458"/>
  <c r="AQ474"/>
  <c r="AQ490"/>
  <c r="AQ106"/>
  <c r="AQ107"/>
  <c r="AQ132"/>
  <c r="AQ150"/>
  <c r="AQ190"/>
  <c r="AQ211"/>
  <c r="AQ232"/>
  <c r="AQ253"/>
  <c r="AQ274"/>
  <c r="AQ295"/>
  <c r="AQ316"/>
  <c r="AQ337"/>
  <c r="AQ358"/>
  <c r="AQ379"/>
  <c r="AQ400"/>
  <c r="AQ421"/>
  <c r="AQ457"/>
  <c r="AQ473"/>
  <c r="AQ489"/>
  <c r="AQ169"/>
  <c r="AQ128"/>
  <c r="AQ153"/>
  <c r="AQ171"/>
  <c r="AQ192"/>
  <c r="AQ213"/>
  <c r="AQ234"/>
  <c r="AQ255"/>
  <c r="AQ276"/>
  <c r="AQ297"/>
  <c r="AQ318"/>
  <c r="AQ339"/>
  <c r="AQ360"/>
  <c r="AQ381"/>
  <c r="AQ402"/>
  <c r="AQ423"/>
  <c r="AQ459"/>
  <c r="AQ475"/>
  <c r="AQ491"/>
  <c r="AQ427"/>
  <c r="AQ343"/>
  <c r="AQ259"/>
  <c r="AQ175"/>
  <c r="AQ488"/>
  <c r="AQ334"/>
  <c r="AQ166"/>
  <c r="AQ463"/>
  <c r="AQ354"/>
  <c r="AQ270"/>
  <c r="AQ186"/>
  <c r="AQ102"/>
  <c r="AQ315"/>
  <c r="AQ147"/>
  <c r="AQ340"/>
  <c r="AQ460"/>
  <c r="AQ335"/>
  <c r="AQ487"/>
  <c r="AQ228"/>
  <c r="AQ249"/>
  <c r="AQ133"/>
  <c r="AQ319"/>
  <c r="AQ126"/>
  <c r="AQ196"/>
  <c r="AQ187"/>
  <c r="AQ396"/>
  <c r="AQ229"/>
  <c r="AQ103"/>
  <c r="AQ455"/>
  <c r="AQ375"/>
  <c r="AQ291"/>
  <c r="AQ207"/>
  <c r="AQ123"/>
  <c r="AQ357"/>
  <c r="AQ189"/>
  <c r="AQ485"/>
  <c r="AQ361"/>
  <c r="AQ277"/>
  <c r="AQ193"/>
  <c r="AQ109"/>
  <c r="AQ376"/>
  <c r="AQ208"/>
  <c r="AQ364"/>
  <c r="AQ104"/>
  <c r="AQ403"/>
  <c r="AQ210"/>
  <c r="AQ355"/>
  <c r="AQ112"/>
  <c r="AQ378"/>
  <c r="AQ145"/>
  <c r="AQ336"/>
  <c r="AQ217"/>
  <c r="AQ419"/>
  <c r="AQ312"/>
  <c r="AQ172"/>
  <c r="AQ469"/>
  <c r="AQ252"/>
  <c r="AQ479"/>
  <c r="AQ382"/>
  <c r="AQ298"/>
  <c r="AQ214"/>
  <c r="AQ130"/>
  <c r="AQ418"/>
  <c r="AQ250"/>
  <c r="AQ492"/>
  <c r="AQ377"/>
  <c r="AQ293"/>
  <c r="AQ209"/>
  <c r="AQ125"/>
  <c r="AQ399"/>
  <c r="AQ231"/>
  <c r="AQ420"/>
  <c r="AQ144"/>
  <c r="AQ417"/>
  <c r="AQ301"/>
  <c r="AQ424"/>
  <c r="AQ168"/>
  <c r="AQ454"/>
  <c r="AQ167"/>
  <c r="AQ356"/>
  <c r="AQ256"/>
  <c r="AQ495"/>
  <c r="AQ333"/>
  <c r="AQ344" s="1"/>
  <c r="AQ80" s="1"/>
  <c r="AQ151"/>
  <c r="AQ39"/>
  <c r="AQ476"/>
  <c r="AQ398"/>
  <c r="AQ314"/>
  <c r="AQ230"/>
  <c r="AQ146"/>
  <c r="AQ470"/>
  <c r="AQ273"/>
  <c r="AQ105"/>
  <c r="AQ406"/>
  <c r="AQ322"/>
  <c r="AQ238"/>
  <c r="AQ154"/>
  <c r="AQ456"/>
  <c r="AQ292"/>
  <c r="AQ124"/>
  <c r="AQ271"/>
  <c r="AQ453"/>
  <c r="AQ313"/>
  <c r="AQ472"/>
  <c r="AQ188"/>
  <c r="AQ471"/>
  <c r="AQ235"/>
  <c r="AQ397"/>
  <c r="AQ294"/>
  <c r="AQ251"/>
  <c r="AQ385"/>
  <c r="AQ165"/>
  <c r="AQ176" s="1"/>
  <c r="AQ72" s="1"/>
  <c r="AQ280"/>
  <c r="AQ486"/>
  <c r="AQ272"/>
  <c r="AK302" i="118"/>
  <c r="AK78" s="1"/>
  <c r="AK176"/>
  <c r="AK72" s="1"/>
  <c r="AP239" i="116"/>
  <c r="AP75" s="1"/>
  <c r="AK23" i="118"/>
  <c r="AK344"/>
  <c r="AK80" s="1"/>
  <c r="AK24"/>
  <c r="AK26"/>
  <c r="AK25"/>
  <c r="AK386"/>
  <c r="AK82" s="1"/>
  <c r="AP20" i="116"/>
  <c r="AP344"/>
  <c r="AP80" s="1"/>
  <c r="AP323"/>
  <c r="AP79" s="1"/>
  <c r="AP302"/>
  <c r="AP78" s="1"/>
  <c r="AP197"/>
  <c r="AP73" s="1"/>
  <c r="AP31"/>
  <c r="Z31" i="120"/>
  <c r="Z24"/>
  <c r="Z22"/>
  <c r="Z21"/>
  <c r="Z113"/>
  <c r="Z69" s="1"/>
  <c r="Z25"/>
  <c r="AA496" i="117"/>
  <c r="AA87" s="1"/>
  <c r="AA260"/>
  <c r="AA76" s="1"/>
  <c r="AA407"/>
  <c r="AA83" s="1"/>
  <c r="AA25"/>
  <c r="AA32"/>
  <c r="Y36" i="120"/>
  <c r="Y38" s="1"/>
  <c r="AK19" i="118"/>
  <c r="AK113"/>
  <c r="AK69" s="1"/>
  <c r="Z19" i="120"/>
  <c r="Z407"/>
  <c r="Z83" s="1"/>
  <c r="AA45"/>
  <c r="AA10"/>
  <c r="AA14" s="1"/>
  <c r="AA167"/>
  <c r="AA144"/>
  <c r="AA165"/>
  <c r="AA125"/>
  <c r="AA255"/>
  <c r="AA420"/>
  <c r="AA166"/>
  <c r="AA361"/>
  <c r="AA319"/>
  <c r="AA312"/>
  <c r="AA315"/>
  <c r="AA208"/>
  <c r="AA355"/>
  <c r="AA495"/>
  <c r="AA423"/>
  <c r="AA193"/>
  <c r="AA469"/>
  <c r="AA172"/>
  <c r="AA154"/>
  <c r="AA376"/>
  <c r="AA276"/>
  <c r="AA217"/>
  <c r="AA196"/>
  <c r="AA454"/>
  <c r="AA280"/>
  <c r="AA455"/>
  <c r="AA375"/>
  <c r="AA186"/>
  <c r="AA130"/>
  <c r="AA175"/>
  <c r="AA335"/>
  <c r="AA417"/>
  <c r="AA381"/>
  <c r="AA277"/>
  <c r="AA229"/>
  <c r="AA291"/>
  <c r="AA123"/>
  <c r="AA403"/>
  <c r="AA234"/>
  <c r="AA235"/>
  <c r="AA318"/>
  <c r="AA147"/>
  <c r="AA104"/>
  <c r="AA343"/>
  <c r="AA272"/>
  <c r="AA360"/>
  <c r="AA453"/>
  <c r="AA171"/>
  <c r="AA228"/>
  <c r="AA491"/>
  <c r="AA486"/>
  <c r="AA333"/>
  <c r="AA301"/>
  <c r="AA151"/>
  <c r="AA427"/>
  <c r="AA492"/>
  <c r="AA150"/>
  <c r="AA259"/>
  <c r="AA210"/>
  <c r="AA479"/>
  <c r="AA357"/>
  <c r="AA485"/>
  <c r="AA214"/>
  <c r="AA230"/>
  <c r="AA472"/>
  <c r="AA398"/>
  <c r="AA293"/>
  <c r="AA133"/>
  <c r="AA292"/>
  <c r="AA476"/>
  <c r="AA313"/>
  <c r="AA460"/>
  <c r="AA397"/>
  <c r="AA339"/>
  <c r="AA207"/>
  <c r="AA456"/>
  <c r="AA314"/>
  <c r="AA252"/>
  <c r="AA377"/>
  <c r="AA109"/>
  <c r="AA334"/>
  <c r="AA470"/>
  <c r="AA354"/>
  <c r="AA187"/>
  <c r="AA168"/>
  <c r="AA424"/>
  <c r="AA238"/>
  <c r="AA231"/>
  <c r="AA124"/>
  <c r="AA108"/>
  <c r="AA418"/>
  <c r="AA406"/>
  <c r="AA251"/>
  <c r="AA471"/>
  <c r="AA297"/>
  <c r="AA112"/>
  <c r="AA378"/>
  <c r="AA192"/>
  <c r="AA385"/>
  <c r="AA402"/>
  <c r="AA145"/>
  <c r="AA103"/>
  <c r="AA475"/>
  <c r="AA270"/>
  <c r="AA213"/>
  <c r="AA102"/>
  <c r="AA189"/>
  <c r="AA188"/>
  <c r="AA419"/>
  <c r="AA209"/>
  <c r="AA487"/>
  <c r="AA364"/>
  <c r="AA356"/>
  <c r="AA340"/>
  <c r="AA399"/>
  <c r="AA463"/>
  <c r="AA298"/>
  <c r="AA273"/>
  <c r="AA382"/>
  <c r="AA129"/>
  <c r="AA105"/>
  <c r="AA256"/>
  <c r="AA459"/>
  <c r="AA249"/>
  <c r="AA250"/>
  <c r="AA322"/>
  <c r="AA488"/>
  <c r="AA211"/>
  <c r="AA316"/>
  <c r="AA190"/>
  <c r="AA358"/>
  <c r="AA126"/>
  <c r="AA473"/>
  <c r="AA457"/>
  <c r="AA489"/>
  <c r="AA337"/>
  <c r="AA169"/>
  <c r="AA146"/>
  <c r="AA253"/>
  <c r="AA170"/>
  <c r="AA106"/>
  <c r="AA127"/>
  <c r="AA232"/>
  <c r="AA379"/>
  <c r="AA336"/>
  <c r="AA294"/>
  <c r="AA271"/>
  <c r="AA148"/>
  <c r="AA421"/>
  <c r="AA400"/>
  <c r="AA295"/>
  <c r="AA274"/>
  <c r="AA396"/>
  <c r="AA407" s="1"/>
  <c r="AA83" s="1"/>
  <c r="AA212"/>
  <c r="AA233"/>
  <c r="AA132"/>
  <c r="AA275"/>
  <c r="AA338"/>
  <c r="AA384"/>
  <c r="AA216"/>
  <c r="AA111"/>
  <c r="AA174"/>
  <c r="AA254"/>
  <c r="AA342"/>
  <c r="AA279"/>
  <c r="AA474"/>
  <c r="AA296"/>
  <c r="AA405"/>
  <c r="AA300"/>
  <c r="AA317"/>
  <c r="AA494"/>
  <c r="AA380"/>
  <c r="AA195"/>
  <c r="AA258"/>
  <c r="AA153"/>
  <c r="AA128"/>
  <c r="AA359"/>
  <c r="AA422"/>
  <c r="AA401"/>
  <c r="AA462"/>
  <c r="AA458"/>
  <c r="AA464" s="1"/>
  <c r="AA85" s="1"/>
  <c r="AA490"/>
  <c r="AA107"/>
  <c r="AA426"/>
  <c r="AA363"/>
  <c r="AA237"/>
  <c r="AA149"/>
  <c r="AA321"/>
  <c r="AA478"/>
  <c r="AA191"/>
  <c r="AB507"/>
  <c r="AB508" s="1"/>
  <c r="AB509" s="1"/>
  <c r="AB435"/>
  <c r="AB440"/>
  <c r="AB346"/>
  <c r="AB393"/>
  <c r="AB330"/>
  <c r="AB309"/>
  <c r="AB372"/>
  <c r="AB288"/>
  <c r="AB99"/>
  <c r="AB141"/>
  <c r="AB499"/>
  <c r="AB445"/>
  <c r="AB430"/>
  <c r="AB325"/>
  <c r="AB183"/>
  <c r="AB351"/>
  <c r="AB482"/>
  <c r="AB120"/>
  <c r="AB94"/>
  <c r="AB136"/>
  <c r="AB42"/>
  <c r="AB67" s="1"/>
  <c r="AB388"/>
  <c r="AB450"/>
  <c r="AB283"/>
  <c r="AB409"/>
  <c r="AB262"/>
  <c r="AB503"/>
  <c r="AB199"/>
  <c r="AB220"/>
  <c r="AB162"/>
  <c r="AB178"/>
  <c r="AB115"/>
  <c r="AB16"/>
  <c r="AB466"/>
  <c r="AB367"/>
  <c r="AB414"/>
  <c r="AB304"/>
  <c r="AB241"/>
  <c r="AB246"/>
  <c r="AB225"/>
  <c r="AB204"/>
  <c r="AB267"/>
  <c r="AB157"/>
  <c r="AC8"/>
  <c r="AB432"/>
  <c r="AB61" s="1"/>
  <c r="AB411"/>
  <c r="AB60" s="1"/>
  <c r="AB222"/>
  <c r="AB51" s="1"/>
  <c r="AB264"/>
  <c r="AB53" s="1"/>
  <c r="AB390"/>
  <c r="AB59" s="1"/>
  <c r="AB96"/>
  <c r="AB117"/>
  <c r="AB46" s="1"/>
  <c r="AB442"/>
  <c r="AB63" s="1"/>
  <c r="AB201"/>
  <c r="AB50" s="1"/>
  <c r="AB447"/>
  <c r="AB64" s="1"/>
  <c r="AB369"/>
  <c r="AB58" s="1"/>
  <c r="AB327"/>
  <c r="AB56" s="1"/>
  <c r="AB437"/>
  <c r="AB62" s="1"/>
  <c r="AB138"/>
  <c r="AB47" s="1"/>
  <c r="AB243"/>
  <c r="AB52" s="1"/>
  <c r="AB306"/>
  <c r="AB55" s="1"/>
  <c r="AB159"/>
  <c r="AB48" s="1"/>
  <c r="AB348"/>
  <c r="AB57" s="1"/>
  <c r="AB180"/>
  <c r="AB49" s="1"/>
  <c r="AB285"/>
  <c r="AB54" s="1"/>
  <c r="AP25" i="116"/>
  <c r="Z496" i="120"/>
  <c r="Z87" s="1"/>
  <c r="Z386"/>
  <c r="Z82" s="1"/>
  <c r="Z480"/>
  <c r="Z86" s="1"/>
  <c r="Z428"/>
  <c r="Z84" s="1"/>
  <c r="Z302"/>
  <c r="Z78" s="1"/>
  <c r="Z197"/>
  <c r="Z73" s="1"/>
  <c r="AO36" i="116"/>
  <c r="AA386" i="117"/>
  <c r="AA82" s="1"/>
  <c r="AA134"/>
  <c r="AA70" s="1"/>
  <c r="AA428"/>
  <c r="AA84" s="1"/>
  <c r="AL148" i="118"/>
  <c r="AL108"/>
  <c r="AL149"/>
  <c r="AL174"/>
  <c r="AL195"/>
  <c r="AL127"/>
  <c r="AL111"/>
  <c r="AL129"/>
  <c r="AL170"/>
  <c r="AL128"/>
  <c r="AL171"/>
  <c r="AL211"/>
  <c r="AL232"/>
  <c r="AL253"/>
  <c r="AL274"/>
  <c r="AL295"/>
  <c r="AL316"/>
  <c r="AL337"/>
  <c r="AL358"/>
  <c r="AL379"/>
  <c r="AL400"/>
  <c r="AL421"/>
  <c r="AL457"/>
  <c r="AL473"/>
  <c r="AL489"/>
  <c r="AL107"/>
  <c r="AL150"/>
  <c r="AL192"/>
  <c r="AL213"/>
  <c r="AL234"/>
  <c r="AL255"/>
  <c r="AL276"/>
  <c r="AL297"/>
  <c r="AL318"/>
  <c r="AL339"/>
  <c r="AL360"/>
  <c r="AL381"/>
  <c r="AL402"/>
  <c r="AL423"/>
  <c r="AL459"/>
  <c r="AL475"/>
  <c r="AL491"/>
  <c r="AL169"/>
  <c r="AL153"/>
  <c r="AL191"/>
  <c r="AL216"/>
  <c r="AL237"/>
  <c r="AL258"/>
  <c r="AL279"/>
  <c r="AL300"/>
  <c r="AL321"/>
  <c r="AL342"/>
  <c r="AL363"/>
  <c r="AL384"/>
  <c r="AL405"/>
  <c r="AL426"/>
  <c r="AL462"/>
  <c r="AL478"/>
  <c r="AL494"/>
  <c r="AL106"/>
  <c r="AL132"/>
  <c r="AL190"/>
  <c r="AL212"/>
  <c r="AL233"/>
  <c r="AL254"/>
  <c r="AL275"/>
  <c r="AL296"/>
  <c r="AL317"/>
  <c r="AL338"/>
  <c r="AL359"/>
  <c r="AL380"/>
  <c r="AL401"/>
  <c r="AL422"/>
  <c r="AL458"/>
  <c r="AL474"/>
  <c r="AL490"/>
  <c r="AL460"/>
  <c r="AL492"/>
  <c r="AL406"/>
  <c r="AL322"/>
  <c r="AL238"/>
  <c r="AL470"/>
  <c r="AL385"/>
  <c r="AL301"/>
  <c r="AL217"/>
  <c r="AL364"/>
  <c r="AL280"/>
  <c r="AL196"/>
  <c r="AL273"/>
  <c r="AL145"/>
  <c r="AL165"/>
  <c r="AL476"/>
  <c r="AL418"/>
  <c r="AL175"/>
  <c r="AL378"/>
  <c r="AL472"/>
  <c r="AL187"/>
  <c r="AL376"/>
  <c r="AL109"/>
  <c r="AL314"/>
  <c r="AL144"/>
  <c r="AL186"/>
  <c r="AL427"/>
  <c r="AL189"/>
  <c r="AL208"/>
  <c r="AL471"/>
  <c r="AL455"/>
  <c r="AL456"/>
  <c r="AL354"/>
  <c r="AL365" s="1"/>
  <c r="AL81" s="1"/>
  <c r="AL270"/>
  <c r="AL336"/>
  <c r="AL417"/>
  <c r="AL333"/>
  <c r="AL249"/>
  <c r="AL396"/>
  <c r="AL312"/>
  <c r="AL228"/>
  <c r="AL355"/>
  <c r="AL168"/>
  <c r="AL172"/>
  <c r="AL488"/>
  <c r="AL124"/>
  <c r="AL250"/>
  <c r="AL123"/>
  <c r="AL112"/>
  <c r="AL125"/>
  <c r="AL487"/>
  <c r="AL126"/>
  <c r="AL454"/>
  <c r="AL214"/>
  <c r="AL398"/>
  <c r="AL298"/>
  <c r="AL486"/>
  <c r="AL343"/>
  <c r="AL495"/>
  <c r="AL479"/>
  <c r="AL463"/>
  <c r="AL361"/>
  <c r="AL277"/>
  <c r="AL397"/>
  <c r="AL424"/>
  <c r="AL340"/>
  <c r="AL256"/>
  <c r="AL403"/>
  <c r="AL319"/>
  <c r="AL235"/>
  <c r="AL375"/>
  <c r="AL209"/>
  <c r="AL188"/>
  <c r="AL104"/>
  <c r="AL147"/>
  <c r="AL271"/>
  <c r="AL130"/>
  <c r="AL151"/>
  <c r="AL167"/>
  <c r="AL39"/>
  <c r="AL166"/>
  <c r="AL105"/>
  <c r="AL291"/>
  <c r="AL230"/>
  <c r="AL229"/>
  <c r="AL102"/>
  <c r="AL154"/>
  <c r="AL453"/>
  <c r="AL485"/>
  <c r="AL496" s="1"/>
  <c r="AL87" s="1"/>
  <c r="AL377"/>
  <c r="AL293"/>
  <c r="AL420"/>
  <c r="AL469"/>
  <c r="AL480" s="1"/>
  <c r="AL86" s="1"/>
  <c r="AL356"/>
  <c r="AL272"/>
  <c r="AL419"/>
  <c r="AL335"/>
  <c r="AL251"/>
  <c r="AL382"/>
  <c r="AL210"/>
  <c r="AL294"/>
  <c r="AL133"/>
  <c r="AL334"/>
  <c r="AL313"/>
  <c r="AL146"/>
  <c r="AL231"/>
  <c r="AL315"/>
  <c r="AL103"/>
  <c r="AL193"/>
  <c r="AL252"/>
  <c r="AL357"/>
  <c r="AL292"/>
  <c r="AL399"/>
  <c r="AL259"/>
  <c r="AL207"/>
  <c r="AB455" i="117"/>
  <c r="AB382"/>
  <c r="AB104"/>
  <c r="AB196"/>
  <c r="AB417"/>
  <c r="AB375"/>
  <c r="AB377"/>
  <c r="AB231"/>
  <c r="AB235"/>
  <c r="AB154"/>
  <c r="AB343"/>
  <c r="AB256"/>
  <c r="AB171"/>
  <c r="AB238"/>
  <c r="AB228"/>
  <c r="AB105"/>
  <c r="AB175"/>
  <c r="AB403"/>
  <c r="AB147"/>
  <c r="AB312"/>
  <c r="AB334"/>
  <c r="AB112"/>
  <c r="AB360"/>
  <c r="AB400"/>
  <c r="AB207"/>
  <c r="AB190"/>
  <c r="AB211"/>
  <c r="AB469"/>
  <c r="AB402"/>
  <c r="AB150"/>
  <c r="AB364"/>
  <c r="AB277"/>
  <c r="AB103"/>
  <c r="AB250"/>
  <c r="AB316"/>
  <c r="AB298"/>
  <c r="AB376"/>
  <c r="AB340"/>
  <c r="AB406"/>
  <c r="AB217"/>
  <c r="AB130"/>
  <c r="AB486"/>
  <c r="AB379"/>
  <c r="AB151"/>
  <c r="AB276"/>
  <c r="AB209"/>
  <c r="AB144"/>
  <c r="AB421"/>
  <c r="AB255"/>
  <c r="AB463"/>
  <c r="AB339"/>
  <c r="AB172"/>
  <c r="AB214"/>
  <c r="AB189"/>
  <c r="AB167"/>
  <c r="AB252"/>
  <c r="AB127"/>
  <c r="AB357"/>
  <c r="AB273"/>
  <c r="AB123"/>
  <c r="AB454"/>
  <c r="AB361"/>
  <c r="AB129"/>
  <c r="AB397"/>
  <c r="AB297"/>
  <c r="AB133"/>
  <c r="AB125"/>
  <c r="AB146"/>
  <c r="AB495"/>
  <c r="AB427"/>
  <c r="AB424"/>
  <c r="AB229"/>
  <c r="AB210"/>
  <c r="AB487"/>
  <c r="AB335"/>
  <c r="AB166"/>
  <c r="AB476"/>
  <c r="AB187"/>
  <c r="AB259"/>
  <c r="AB148"/>
  <c r="AB169"/>
  <c r="AB457"/>
  <c r="AB272"/>
  <c r="AB280"/>
  <c r="AB423"/>
  <c r="AB315"/>
  <c r="AB251"/>
  <c r="AB333"/>
  <c r="AB385"/>
  <c r="AB479"/>
  <c r="AB291"/>
  <c r="AB208"/>
  <c r="AB192"/>
  <c r="AB470"/>
  <c r="AB354"/>
  <c r="AB319"/>
  <c r="AB108"/>
  <c r="AB472"/>
  <c r="AB271"/>
  <c r="AB453"/>
  <c r="AB488"/>
  <c r="AB420"/>
  <c r="AB399"/>
  <c r="AB378"/>
  <c r="AB473"/>
  <c r="AB381"/>
  <c r="AB322"/>
  <c r="AB292"/>
  <c r="AB460"/>
  <c r="AB314"/>
  <c r="AB165"/>
  <c r="AB356"/>
  <c r="AB293"/>
  <c r="AB459"/>
  <c r="AB301"/>
  <c r="AB168"/>
  <c r="AB109"/>
  <c r="AB295"/>
  <c r="AB188"/>
  <c r="AB234"/>
  <c r="AB249"/>
  <c r="AB398"/>
  <c r="AB492"/>
  <c r="AB485"/>
  <c r="AB230"/>
  <c r="AB337"/>
  <c r="AB193"/>
  <c r="AB270"/>
  <c r="AB491"/>
  <c r="AB145"/>
  <c r="AB471"/>
  <c r="AB475"/>
  <c r="AB418"/>
  <c r="AB355"/>
  <c r="AB318"/>
  <c r="AB489"/>
  <c r="AB396"/>
  <c r="AB124"/>
  <c r="AB213"/>
  <c r="AB186"/>
  <c r="AB358"/>
  <c r="AB336"/>
  <c r="AB253"/>
  <c r="AB274"/>
  <c r="AB232"/>
  <c r="AB126"/>
  <c r="AB294"/>
  <c r="AB102"/>
  <c r="AB313"/>
  <c r="AB419"/>
  <c r="AB21" s="1"/>
  <c r="AB106"/>
  <c r="AB456"/>
  <c r="AB296"/>
  <c r="AB275"/>
  <c r="AB494"/>
  <c r="AB191"/>
  <c r="AB342"/>
  <c r="AB401"/>
  <c r="AB426"/>
  <c r="AB462"/>
  <c r="AB153"/>
  <c r="AB170"/>
  <c r="AB478"/>
  <c r="AB128"/>
  <c r="AB212"/>
  <c r="AB149"/>
  <c r="AB279"/>
  <c r="AB300"/>
  <c r="AB237"/>
  <c r="AB233"/>
  <c r="AB239" s="1"/>
  <c r="AB75" s="1"/>
  <c r="AB338"/>
  <c r="AB254"/>
  <c r="AB317"/>
  <c r="AB474"/>
  <c r="AB380"/>
  <c r="AB132"/>
  <c r="AB258"/>
  <c r="AB195"/>
  <c r="AB363"/>
  <c r="AB490"/>
  <c r="AB422"/>
  <c r="AB216"/>
  <c r="AB384"/>
  <c r="AB359"/>
  <c r="AB321"/>
  <c r="AB111"/>
  <c r="AB174"/>
  <c r="AB107"/>
  <c r="AB458"/>
  <c r="AB405"/>
  <c r="AO88" i="116"/>
  <c r="AO90" s="1"/>
  <c r="AA19" i="117"/>
  <c r="AA36" s="1"/>
  <c r="AA38" s="1"/>
  <c r="AA113"/>
  <c r="AA69" s="1"/>
  <c r="AJ36" i="118"/>
  <c r="AJ38" s="1"/>
  <c r="AR199" i="116"/>
  <c r="AR372"/>
  <c r="AR482"/>
  <c r="AR178"/>
  <c r="AR330"/>
  <c r="AR241"/>
  <c r="AR409"/>
  <c r="AR99"/>
  <c r="AR309"/>
  <c r="AR440"/>
  <c r="AR267"/>
  <c r="AR283"/>
  <c r="AR499"/>
  <c r="AR120"/>
  <c r="AR262"/>
  <c r="AR414"/>
  <c r="AR42"/>
  <c r="AR67" s="1"/>
  <c r="AR304"/>
  <c r="AR141"/>
  <c r="AR388"/>
  <c r="AR503"/>
  <c r="AR220"/>
  <c r="AR367"/>
  <c r="AS8"/>
  <c r="AR204"/>
  <c r="AR346"/>
  <c r="AR445"/>
  <c r="AR162"/>
  <c r="AR393"/>
  <c r="AR450"/>
  <c r="AR136"/>
  <c r="AR225"/>
  <c r="AR325"/>
  <c r="AR115"/>
  <c r="AR288"/>
  <c r="AR430"/>
  <c r="AR94"/>
  <c r="AR246"/>
  <c r="AR16"/>
  <c r="AR183"/>
  <c r="AR351"/>
  <c r="AR466"/>
  <c r="AR507"/>
  <c r="AR508" s="1"/>
  <c r="AR509" s="1"/>
  <c r="AR435"/>
  <c r="AR157"/>
  <c r="AR285"/>
  <c r="AR54" s="1"/>
  <c r="AR180"/>
  <c r="AR49" s="1"/>
  <c r="AR411"/>
  <c r="AR60" s="1"/>
  <c r="AR264"/>
  <c r="AR53" s="1"/>
  <c r="AR138"/>
  <c r="AR47" s="1"/>
  <c r="AR369"/>
  <c r="AR58" s="1"/>
  <c r="AR390"/>
  <c r="AR59" s="1"/>
  <c r="AR117"/>
  <c r="AR46" s="1"/>
  <c r="AR222"/>
  <c r="AR51" s="1"/>
  <c r="AR201"/>
  <c r="AR50" s="1"/>
  <c r="AR243"/>
  <c r="AR52" s="1"/>
  <c r="AR159"/>
  <c r="AR48" s="1"/>
  <c r="AR442"/>
  <c r="AR63" s="1"/>
  <c r="AR327"/>
  <c r="AR56" s="1"/>
  <c r="AR96"/>
  <c r="AR306"/>
  <c r="AR55" s="1"/>
  <c r="AR437"/>
  <c r="AR62" s="1"/>
  <c r="AR447"/>
  <c r="AR64" s="1"/>
  <c r="AR348"/>
  <c r="AR57" s="1"/>
  <c r="AR432"/>
  <c r="AR61" s="1"/>
  <c r="Z14" i="120"/>
  <c r="AK218" i="118"/>
  <c r="AK74" s="1"/>
  <c r="AP464" i="116"/>
  <c r="AP85" s="1"/>
  <c r="AP480"/>
  <c r="AP86" s="1"/>
  <c r="AK365" i="118"/>
  <c r="AK81" s="1"/>
  <c r="AK20"/>
  <c r="AK32"/>
  <c r="AK155"/>
  <c r="AK71" s="1"/>
  <c r="AK22"/>
  <c r="AP365" i="116"/>
  <c r="AP81" s="1"/>
  <c r="AP496"/>
  <c r="AP87" s="1"/>
  <c r="AP155"/>
  <c r="AP71" s="1"/>
  <c r="AP176"/>
  <c r="AP72" s="1"/>
  <c r="AP134"/>
  <c r="AP70" s="1"/>
  <c r="AP23"/>
  <c r="Z134" i="120"/>
  <c r="Z70" s="1"/>
  <c r="Z20"/>
  <c r="Z23"/>
  <c r="Z218"/>
  <c r="Z74" s="1"/>
  <c r="Z365"/>
  <c r="Z81" s="1"/>
  <c r="AA20" i="117"/>
  <c r="AA480"/>
  <c r="AA86" s="1"/>
  <c r="AA24"/>
  <c r="AA197"/>
  <c r="AA73" s="1"/>
  <c r="AA31"/>
  <c r="AA26"/>
  <c r="AA218"/>
  <c r="AA74" s="1"/>
  <c r="AA239"/>
  <c r="AA75" s="1"/>
  <c r="Z36"/>
  <c r="AM450" i="118"/>
  <c r="AM262"/>
  <c r="AM440"/>
  <c r="AM325"/>
  <c r="AM220"/>
  <c r="AM372"/>
  <c r="AM503"/>
  <c r="AM162"/>
  <c r="AM115"/>
  <c r="AM141"/>
  <c r="AM330"/>
  <c r="AM288"/>
  <c r="AM346"/>
  <c r="AM409"/>
  <c r="AM304"/>
  <c r="AM414"/>
  <c r="AM157"/>
  <c r="AM267"/>
  <c r="AM16"/>
  <c r="AM283"/>
  <c r="AM445"/>
  <c r="AM178"/>
  <c r="AM136"/>
  <c r="AM430"/>
  <c r="AM351"/>
  <c r="AM388"/>
  <c r="AM99"/>
  <c r="AM246"/>
  <c r="AM309"/>
  <c r="AM466"/>
  <c r="AM499"/>
  <c r="AM204"/>
  <c r="AM199"/>
  <c r="AM482"/>
  <c r="AM507"/>
  <c r="AM508" s="1"/>
  <c r="AM509" s="1"/>
  <c r="AM435"/>
  <c r="AM241"/>
  <c r="AM183"/>
  <c r="AM367"/>
  <c r="AM393"/>
  <c r="AM42"/>
  <c r="AM67" s="1"/>
  <c r="AN8"/>
  <c r="AM120"/>
  <c r="AM94"/>
  <c r="AM225"/>
  <c r="AM327"/>
  <c r="AM56" s="1"/>
  <c r="AM306"/>
  <c r="AM55" s="1"/>
  <c r="AM432"/>
  <c r="AM61" s="1"/>
  <c r="AM437"/>
  <c r="AM62" s="1"/>
  <c r="AM96"/>
  <c r="AM390"/>
  <c r="AM59" s="1"/>
  <c r="AM180"/>
  <c r="AM49" s="1"/>
  <c r="AM411"/>
  <c r="AM60" s="1"/>
  <c r="AM222"/>
  <c r="AM51" s="1"/>
  <c r="AM285"/>
  <c r="AM54" s="1"/>
  <c r="AM447"/>
  <c r="AM64" s="1"/>
  <c r="AM369"/>
  <c r="AM58" s="1"/>
  <c r="AM243"/>
  <c r="AM52" s="1"/>
  <c r="AM138"/>
  <c r="AM47" s="1"/>
  <c r="AM348"/>
  <c r="AM57" s="1"/>
  <c r="AM159"/>
  <c r="AM48" s="1"/>
  <c r="AM442"/>
  <c r="AM63" s="1"/>
  <c r="AM117"/>
  <c r="AM46" s="1"/>
  <c r="AM201"/>
  <c r="AM50" s="1"/>
  <c r="AM264"/>
  <c r="AM53" s="1"/>
  <c r="AB45" i="117"/>
  <c r="AB65" s="1"/>
  <c r="AB10"/>
  <c r="AB14" s="1"/>
  <c r="AL45" i="118"/>
  <c r="AL65" s="1"/>
  <c r="AL10"/>
  <c r="Y88" i="120"/>
  <c r="Y90" s="1"/>
  <c r="AI38" i="118"/>
  <c r="AQ10" i="116"/>
  <c r="AQ14" s="1"/>
  <c r="AQ45"/>
  <c r="AQ65" s="1"/>
  <c r="AK197" i="118"/>
  <c r="AK73" s="1"/>
  <c r="AK480"/>
  <c r="AK86" s="1"/>
  <c r="AK323"/>
  <c r="AK79" s="1"/>
  <c r="AK407"/>
  <c r="AK83" s="1"/>
  <c r="AK21"/>
  <c r="AK496"/>
  <c r="AK87" s="1"/>
  <c r="AK428"/>
  <c r="AK84" s="1"/>
  <c r="AK239"/>
  <c r="AK75" s="1"/>
  <c r="AK281"/>
  <c r="AK77" s="1"/>
  <c r="AP22" i="116"/>
  <c r="AP407"/>
  <c r="AP83" s="1"/>
  <c r="AP428"/>
  <c r="AP84" s="1"/>
  <c r="AP26"/>
  <c r="AP386"/>
  <c r="AP82" s="1"/>
  <c r="AP32"/>
  <c r="AP24"/>
  <c r="AJ88" i="118"/>
  <c r="AJ90" s="1"/>
  <c r="Z281" i="120"/>
  <c r="Z77" s="1"/>
  <c r="Z464"/>
  <c r="Z85" s="1"/>
  <c r="Z155"/>
  <c r="Z71" s="1"/>
  <c r="Z32"/>
  <c r="Z344"/>
  <c r="Z80" s="1"/>
  <c r="Z323"/>
  <c r="Z79" s="1"/>
  <c r="AA281" i="117"/>
  <c r="AA77" s="1"/>
  <c r="AA344"/>
  <c r="AA80" s="1"/>
  <c r="AA365"/>
  <c r="AA81" s="1"/>
  <c r="AA176"/>
  <c r="AA72" s="1"/>
  <c r="AA464"/>
  <c r="AA85" s="1"/>
  <c r="AA323"/>
  <c r="AA79" s="1"/>
  <c r="AA155"/>
  <c r="AA71" s="1"/>
  <c r="AA302"/>
  <c r="AA78" s="1"/>
  <c r="Z88"/>
  <c r="Z90" s="1"/>
  <c r="AL14" i="118" l="1"/>
  <c r="AM45"/>
  <c r="AM65" s="1"/>
  <c r="AM10"/>
  <c r="AM14" s="1"/>
  <c r="AN440"/>
  <c r="AN482"/>
  <c r="AN330"/>
  <c r="AN309"/>
  <c r="AN157"/>
  <c r="AN136"/>
  <c r="AN16"/>
  <c r="AN183"/>
  <c r="AN99"/>
  <c r="AN220"/>
  <c r="AN507"/>
  <c r="AN508" s="1"/>
  <c r="AN509" s="1"/>
  <c r="AN450"/>
  <c r="AN267"/>
  <c r="AN414"/>
  <c r="AN393"/>
  <c r="AN367"/>
  <c r="AN42"/>
  <c r="AN67" s="1"/>
  <c r="AN204"/>
  <c r="AN120"/>
  <c r="AN388"/>
  <c r="AN283"/>
  <c r="AN178"/>
  <c r="AN499"/>
  <c r="AN351"/>
  <c r="AN325"/>
  <c r="AN445"/>
  <c r="AN372"/>
  <c r="AN162"/>
  <c r="AN288"/>
  <c r="AN241"/>
  <c r="AN304"/>
  <c r="AN94"/>
  <c r="AN346"/>
  <c r="AN199"/>
  <c r="AN435"/>
  <c r="AN409"/>
  <c r="AN246"/>
  <c r="AN225"/>
  <c r="AN503"/>
  <c r="AN466"/>
  <c r="AN262"/>
  <c r="AN115"/>
  <c r="AN141"/>
  <c r="AN430"/>
  <c r="AO8"/>
  <c r="AN201"/>
  <c r="AN50" s="1"/>
  <c r="AN96"/>
  <c r="AN437"/>
  <c r="AN62" s="1"/>
  <c r="AN447"/>
  <c r="AN64" s="1"/>
  <c r="AN432"/>
  <c r="AN61" s="1"/>
  <c r="AN442"/>
  <c r="AN63" s="1"/>
  <c r="AN180"/>
  <c r="AN49" s="1"/>
  <c r="AN411"/>
  <c r="AN60" s="1"/>
  <c r="AN306"/>
  <c r="AN55" s="1"/>
  <c r="AN138"/>
  <c r="AN47" s="1"/>
  <c r="AN117"/>
  <c r="AN46" s="1"/>
  <c r="AN327"/>
  <c r="AN56" s="1"/>
  <c r="AN243"/>
  <c r="AN52" s="1"/>
  <c r="AN369"/>
  <c r="AN58" s="1"/>
  <c r="AN285"/>
  <c r="AN54" s="1"/>
  <c r="AN159"/>
  <c r="AN48" s="1"/>
  <c r="AN222"/>
  <c r="AN51" s="1"/>
  <c r="AN264"/>
  <c r="AN53" s="1"/>
  <c r="AN348"/>
  <c r="AN57" s="1"/>
  <c r="AN390"/>
  <c r="AN59" s="1"/>
  <c r="Z38" i="117"/>
  <c r="AB113"/>
  <c r="AB69" s="1"/>
  <c r="AB24"/>
  <c r="AA65" i="120"/>
  <c r="AB302" i="117"/>
  <c r="AB78" s="1"/>
  <c r="AB19"/>
  <c r="AB197"/>
  <c r="AB73" s="1"/>
  <c r="AB496"/>
  <c r="AB87" s="1"/>
  <c r="AB464"/>
  <c r="AB85" s="1"/>
  <c r="AB344"/>
  <c r="AB80" s="1"/>
  <c r="AB134"/>
  <c r="AB70" s="1"/>
  <c r="AB480"/>
  <c r="AB86" s="1"/>
  <c r="AB323"/>
  <c r="AB79" s="1"/>
  <c r="AB22"/>
  <c r="AL218" i="118"/>
  <c r="AL74" s="1"/>
  <c r="AL302"/>
  <c r="AL78" s="1"/>
  <c r="AL386"/>
  <c r="AL82" s="1"/>
  <c r="AL407"/>
  <c r="AL83" s="1"/>
  <c r="AL26"/>
  <c r="AL176"/>
  <c r="AL72" s="1"/>
  <c r="AL31"/>
  <c r="AA24" i="120"/>
  <c r="AA365"/>
  <c r="AA81" s="1"/>
  <c r="AA218"/>
  <c r="AA74" s="1"/>
  <c r="AA21"/>
  <c r="AA386"/>
  <c r="AA82" s="1"/>
  <c r="AK36" i="118"/>
  <c r="AQ464" i="116"/>
  <c r="AQ85" s="1"/>
  <c r="AQ428"/>
  <c r="AQ84" s="1"/>
  <c r="AQ323"/>
  <c r="AQ79" s="1"/>
  <c r="AQ386"/>
  <c r="AQ82" s="1"/>
  <c r="AQ407"/>
  <c r="AQ83" s="1"/>
  <c r="AQ281"/>
  <c r="AQ77" s="1"/>
  <c r="AQ25"/>
  <c r="AP88"/>
  <c r="AP90" s="1"/>
  <c r="AJ39" i="118"/>
  <c r="AI39"/>
  <c r="AM106"/>
  <c r="AM107"/>
  <c r="AM132"/>
  <c r="AM150"/>
  <c r="AM190"/>
  <c r="AM211"/>
  <c r="AM232"/>
  <c r="AM253"/>
  <c r="AM274"/>
  <c r="AM295"/>
  <c r="AM316"/>
  <c r="AM337"/>
  <c r="AM358"/>
  <c r="AM379"/>
  <c r="AM400"/>
  <c r="AM421"/>
  <c r="AM457"/>
  <c r="AM473"/>
  <c r="AM489"/>
  <c r="AM169"/>
  <c r="AM128"/>
  <c r="AM153"/>
  <c r="AM171"/>
  <c r="AM192"/>
  <c r="AM213"/>
  <c r="AM234"/>
  <c r="AM255"/>
  <c r="AM276"/>
  <c r="AM297"/>
  <c r="AM318"/>
  <c r="AM339"/>
  <c r="AM360"/>
  <c r="AM381"/>
  <c r="AM402"/>
  <c r="AM423"/>
  <c r="AM459"/>
  <c r="AM475"/>
  <c r="AM491"/>
  <c r="AM148"/>
  <c r="AM108"/>
  <c r="AM149"/>
  <c r="AM174"/>
  <c r="AM195"/>
  <c r="AM216"/>
  <c r="AM237"/>
  <c r="AM258"/>
  <c r="AM279"/>
  <c r="AM300"/>
  <c r="AM321"/>
  <c r="AM342"/>
  <c r="AM363"/>
  <c r="AM384"/>
  <c r="AM405"/>
  <c r="AM426"/>
  <c r="AM462"/>
  <c r="AM478"/>
  <c r="AM494"/>
  <c r="AM127"/>
  <c r="AM111"/>
  <c r="AM31" s="1"/>
  <c r="AM129"/>
  <c r="AM170"/>
  <c r="AM191"/>
  <c r="AM212"/>
  <c r="AM233"/>
  <c r="AM254"/>
  <c r="AM275"/>
  <c r="AM296"/>
  <c r="AM317"/>
  <c r="AM338"/>
  <c r="AM359"/>
  <c r="AM380"/>
  <c r="AM401"/>
  <c r="AM422"/>
  <c r="AM458"/>
  <c r="AM474"/>
  <c r="AM490"/>
  <c r="AM486"/>
  <c r="AM454"/>
  <c r="AM336"/>
  <c r="AM479"/>
  <c r="AM385"/>
  <c r="AM460"/>
  <c r="AM292"/>
  <c r="AM453"/>
  <c r="AM271"/>
  <c r="AM293"/>
  <c r="AM172"/>
  <c r="AM476"/>
  <c r="AM322"/>
  <c r="AM357"/>
  <c r="AM167"/>
  <c r="AM291"/>
  <c r="AM207"/>
  <c r="AM403"/>
  <c r="AM146"/>
  <c r="AM249"/>
  <c r="AM196"/>
  <c r="AM361"/>
  <c r="AM102"/>
  <c r="AM354"/>
  <c r="AM270"/>
  <c r="AM463"/>
  <c r="AM193"/>
  <c r="AM272"/>
  <c r="AM472"/>
  <c r="AM397"/>
  <c r="AM229"/>
  <c r="AM417"/>
  <c r="AM333"/>
  <c r="AM315"/>
  <c r="AM471"/>
  <c r="AM294"/>
  <c r="AM364"/>
  <c r="AM188"/>
  <c r="AM104"/>
  <c r="AM334"/>
  <c r="AM398"/>
  <c r="AM277"/>
  <c r="AM112"/>
  <c r="AM314"/>
  <c r="AM228"/>
  <c r="AM105"/>
  <c r="AM187"/>
  <c r="AM375"/>
  <c r="AM208"/>
  <c r="AM456"/>
  <c r="AM186"/>
  <c r="AM197" s="1"/>
  <c r="AM73" s="1"/>
  <c r="AM123"/>
  <c r="AM382"/>
  <c r="AM280"/>
  <c r="AM301"/>
  <c r="AM259"/>
  <c r="AM145"/>
  <c r="AM470"/>
  <c r="AM420"/>
  <c r="AM252"/>
  <c r="AM424"/>
  <c r="AM340"/>
  <c r="AM376"/>
  <c r="AM495"/>
  <c r="AM355"/>
  <c r="AM396"/>
  <c r="AM235"/>
  <c r="AM133"/>
  <c r="AM377"/>
  <c r="AM124"/>
  <c r="AM298"/>
  <c r="AM144"/>
  <c r="AM427"/>
  <c r="AM238"/>
  <c r="AM166"/>
  <c r="AM273"/>
  <c r="AM418"/>
  <c r="AM214"/>
  <c r="AM485"/>
  <c r="AM230"/>
  <c r="AM319"/>
  <c r="AM406"/>
  <c r="AM335"/>
  <c r="AM455"/>
  <c r="AM168"/>
  <c r="AM109"/>
  <c r="AM488"/>
  <c r="AM492"/>
  <c r="AM313"/>
  <c r="AM469"/>
  <c r="AM480" s="1"/>
  <c r="AM86" s="1"/>
  <c r="AM356"/>
  <c r="AM399"/>
  <c r="AM231"/>
  <c r="AM378"/>
  <c r="AM210"/>
  <c r="AM256"/>
  <c r="AM165"/>
  <c r="AM419"/>
  <c r="AM147"/>
  <c r="AM343"/>
  <c r="AM151"/>
  <c r="AM39"/>
  <c r="AM251"/>
  <c r="AM189"/>
  <c r="AM125"/>
  <c r="AM103"/>
  <c r="AM217"/>
  <c r="AM154"/>
  <c r="AM250"/>
  <c r="AM487"/>
  <c r="AM312"/>
  <c r="AM323" s="1"/>
  <c r="AM79" s="1"/>
  <c r="AM175"/>
  <c r="AM130"/>
  <c r="AM209"/>
  <c r="AM126"/>
  <c r="AR45" i="116"/>
  <c r="AR65" s="1"/>
  <c r="AR10"/>
  <c r="AR14" s="1"/>
  <c r="AS204"/>
  <c r="AS346"/>
  <c r="AS435"/>
  <c r="AS99"/>
  <c r="AS220"/>
  <c r="AS330"/>
  <c r="AS199"/>
  <c r="AS507"/>
  <c r="AS508" s="1"/>
  <c r="AS509" s="1"/>
  <c r="AS409"/>
  <c r="AS414"/>
  <c r="AS157"/>
  <c r="AS288"/>
  <c r="AS430"/>
  <c r="AS94"/>
  <c r="AS183"/>
  <c r="AS304"/>
  <c r="AS367"/>
  <c r="AS42"/>
  <c r="AS67" s="1"/>
  <c r="AS309"/>
  <c r="AT8"/>
  <c r="AS115"/>
  <c r="AS445"/>
  <c r="AS393"/>
  <c r="AS372"/>
  <c r="AS482"/>
  <c r="AS178"/>
  <c r="AS267"/>
  <c r="AS388"/>
  <c r="AS241"/>
  <c r="AS325"/>
  <c r="AS440"/>
  <c r="AS16"/>
  <c r="AS246"/>
  <c r="AS466"/>
  <c r="AS499"/>
  <c r="AS120"/>
  <c r="AS262"/>
  <c r="AS351"/>
  <c r="AS450"/>
  <c r="AS136"/>
  <c r="AS141"/>
  <c r="AS503"/>
  <c r="AS162"/>
  <c r="AS225"/>
  <c r="AS283"/>
  <c r="AS138"/>
  <c r="AS47" s="1"/>
  <c r="AS159"/>
  <c r="AS48" s="1"/>
  <c r="AS180"/>
  <c r="AS49" s="1"/>
  <c r="AS222"/>
  <c r="AS51" s="1"/>
  <c r="AS390"/>
  <c r="AS59" s="1"/>
  <c r="AS96"/>
  <c r="AS369"/>
  <c r="AS58" s="1"/>
  <c r="AS201"/>
  <c r="AS50" s="1"/>
  <c r="AS264"/>
  <c r="AS53" s="1"/>
  <c r="AS411"/>
  <c r="AS60" s="1"/>
  <c r="AS306"/>
  <c r="AS55" s="1"/>
  <c r="AS117"/>
  <c r="AS46" s="1"/>
  <c r="AS348"/>
  <c r="AS57" s="1"/>
  <c r="AS432"/>
  <c r="AS61" s="1"/>
  <c r="AS442"/>
  <c r="AS63" s="1"/>
  <c r="AS437"/>
  <c r="AS62" s="1"/>
  <c r="AS285"/>
  <c r="AS54" s="1"/>
  <c r="AS327"/>
  <c r="AS56" s="1"/>
  <c r="AS447"/>
  <c r="AS64" s="1"/>
  <c r="AS243"/>
  <c r="AS52" s="1"/>
  <c r="AR148"/>
  <c r="AR108"/>
  <c r="AR149"/>
  <c r="AR174"/>
  <c r="AR195"/>
  <c r="AR216"/>
  <c r="AR237"/>
  <c r="AR258"/>
  <c r="AR279"/>
  <c r="AR300"/>
  <c r="AR321"/>
  <c r="AR342"/>
  <c r="AR363"/>
  <c r="AR384"/>
  <c r="AR405"/>
  <c r="AR426"/>
  <c r="AR462"/>
  <c r="AR478"/>
  <c r="AR494"/>
  <c r="AR127"/>
  <c r="AR111"/>
  <c r="AR129"/>
  <c r="AR170"/>
  <c r="AR191"/>
  <c r="AR212"/>
  <c r="AR233"/>
  <c r="AR254"/>
  <c r="AR275"/>
  <c r="AR296"/>
  <c r="AR317"/>
  <c r="AR338"/>
  <c r="AR359"/>
  <c r="AR380"/>
  <c r="AR401"/>
  <c r="AR422"/>
  <c r="AR458"/>
  <c r="AR474"/>
  <c r="AR490"/>
  <c r="AR106"/>
  <c r="AR107"/>
  <c r="AR132"/>
  <c r="AR150"/>
  <c r="AR190"/>
  <c r="AR211"/>
  <c r="AR232"/>
  <c r="AR253"/>
  <c r="AR274"/>
  <c r="AR295"/>
  <c r="AR316"/>
  <c r="AR337"/>
  <c r="AR358"/>
  <c r="AR379"/>
  <c r="AR400"/>
  <c r="AR421"/>
  <c r="AR457"/>
  <c r="AR473"/>
  <c r="AR489"/>
  <c r="AR169"/>
  <c r="AR128"/>
  <c r="AR153"/>
  <c r="AR171"/>
  <c r="AR192"/>
  <c r="AR213"/>
  <c r="AR234"/>
  <c r="AR255"/>
  <c r="AR276"/>
  <c r="AR297"/>
  <c r="AR318"/>
  <c r="AR339"/>
  <c r="AR360"/>
  <c r="AR381"/>
  <c r="AR402"/>
  <c r="AR423"/>
  <c r="AR459"/>
  <c r="AR475"/>
  <c r="AR491"/>
  <c r="AR357"/>
  <c r="AR189"/>
  <c r="AR485"/>
  <c r="AR361"/>
  <c r="AR277"/>
  <c r="AR193"/>
  <c r="AR109"/>
  <c r="AR420"/>
  <c r="AR252"/>
  <c r="AR495"/>
  <c r="AR419"/>
  <c r="AR335"/>
  <c r="AR251"/>
  <c r="AR167"/>
  <c r="AR39"/>
  <c r="AR210"/>
  <c r="AR479"/>
  <c r="AR188"/>
  <c r="AR385"/>
  <c r="AR175"/>
  <c r="AR291"/>
  <c r="AR343"/>
  <c r="AR333"/>
  <c r="AR104"/>
  <c r="AR271"/>
  <c r="AR476"/>
  <c r="AR103"/>
  <c r="AR217"/>
  <c r="AR418"/>
  <c r="AR250"/>
  <c r="AR492"/>
  <c r="AR377"/>
  <c r="AR293"/>
  <c r="AR209"/>
  <c r="AR125"/>
  <c r="AR454"/>
  <c r="AR313"/>
  <c r="AR145"/>
  <c r="AR453"/>
  <c r="AR364"/>
  <c r="AR280"/>
  <c r="AR196"/>
  <c r="AR112"/>
  <c r="AR301"/>
  <c r="AR487"/>
  <c r="AR292"/>
  <c r="AR398"/>
  <c r="AR214"/>
  <c r="AR356"/>
  <c r="AR124"/>
  <c r="AR427"/>
  <c r="AR340"/>
  <c r="AR298"/>
  <c r="AR146"/>
  <c r="AR133"/>
  <c r="AR272"/>
  <c r="AR375"/>
  <c r="AR470"/>
  <c r="AR273"/>
  <c r="AR105"/>
  <c r="AR406"/>
  <c r="AR322"/>
  <c r="AR238"/>
  <c r="AR154"/>
  <c r="AR472"/>
  <c r="AR336"/>
  <c r="AR168"/>
  <c r="AR460"/>
  <c r="AR396"/>
  <c r="AR407" s="1"/>
  <c r="AR83" s="1"/>
  <c r="AR312"/>
  <c r="AR228"/>
  <c r="AR144"/>
  <c r="AR314"/>
  <c r="AR130"/>
  <c r="AR355"/>
  <c r="AR469"/>
  <c r="AR231"/>
  <c r="AR486"/>
  <c r="AR187"/>
  <c r="AR207"/>
  <c r="AR218" s="1"/>
  <c r="AR74" s="1"/>
  <c r="AR376"/>
  <c r="AR315"/>
  <c r="AR230"/>
  <c r="AR259"/>
  <c r="AR382"/>
  <c r="AR126"/>
  <c r="AR488"/>
  <c r="AR334"/>
  <c r="AR166"/>
  <c r="AR463"/>
  <c r="AR354"/>
  <c r="AR270"/>
  <c r="AR281" s="1"/>
  <c r="AR77" s="1"/>
  <c r="AR186"/>
  <c r="AR197" s="1"/>
  <c r="AR73" s="1"/>
  <c r="AR102"/>
  <c r="AR397"/>
  <c r="AR229"/>
  <c r="AR471"/>
  <c r="AR403"/>
  <c r="AR319"/>
  <c r="AR235"/>
  <c r="AR151"/>
  <c r="AR417"/>
  <c r="AR147"/>
  <c r="AR424"/>
  <c r="AR123"/>
  <c r="AR134" s="1"/>
  <c r="AR70" s="1"/>
  <c r="AR294"/>
  <c r="AR165"/>
  <c r="AR256"/>
  <c r="AR249"/>
  <c r="AR399"/>
  <c r="AR456"/>
  <c r="AR172"/>
  <c r="AR378"/>
  <c r="AR455"/>
  <c r="AR208"/>
  <c r="AC503" i="120"/>
  <c r="AC507"/>
  <c r="AC508" s="1"/>
  <c r="AC509" s="1"/>
  <c r="AC372"/>
  <c r="AC330"/>
  <c r="AC388"/>
  <c r="AC204"/>
  <c r="AC262"/>
  <c r="AC199"/>
  <c r="AC304"/>
  <c r="AC346"/>
  <c r="AD8"/>
  <c r="AC120"/>
  <c r="AC482"/>
  <c r="AC409"/>
  <c r="AC430"/>
  <c r="AC351"/>
  <c r="AC246"/>
  <c r="AC367"/>
  <c r="AC393"/>
  <c r="AC157"/>
  <c r="AC450"/>
  <c r="AC414"/>
  <c r="AC325"/>
  <c r="AC499"/>
  <c r="AC440"/>
  <c r="AC435"/>
  <c r="AC309"/>
  <c r="AC220"/>
  <c r="AC94"/>
  <c r="AC445"/>
  <c r="AC141"/>
  <c r="AC267"/>
  <c r="AC42"/>
  <c r="AC67" s="1"/>
  <c r="AC225"/>
  <c r="AC466"/>
  <c r="AC288"/>
  <c r="AC241"/>
  <c r="AC283"/>
  <c r="AC162"/>
  <c r="AC99"/>
  <c r="AC183"/>
  <c r="AC178"/>
  <c r="AC136"/>
  <c r="AC16"/>
  <c r="AC115"/>
  <c r="AC390"/>
  <c r="AC59" s="1"/>
  <c r="AC411"/>
  <c r="AC60" s="1"/>
  <c r="AC96"/>
  <c r="AC222"/>
  <c r="AC51" s="1"/>
  <c r="AC201"/>
  <c r="AC50" s="1"/>
  <c r="AC117"/>
  <c r="AC46" s="1"/>
  <c r="AC348"/>
  <c r="AC57" s="1"/>
  <c r="AC432"/>
  <c r="AC61" s="1"/>
  <c r="AC159"/>
  <c r="AC48" s="1"/>
  <c r="AC243"/>
  <c r="AC52" s="1"/>
  <c r="AC369"/>
  <c r="AC58" s="1"/>
  <c r="AC327"/>
  <c r="AC56" s="1"/>
  <c r="AC442"/>
  <c r="AC63" s="1"/>
  <c r="AC138"/>
  <c r="AC47" s="1"/>
  <c r="AC285"/>
  <c r="AC54" s="1"/>
  <c r="AC264"/>
  <c r="AC53" s="1"/>
  <c r="AC437"/>
  <c r="AC62" s="1"/>
  <c r="AC447"/>
  <c r="AC64" s="1"/>
  <c r="AC180"/>
  <c r="AC49" s="1"/>
  <c r="AC306"/>
  <c r="AC55" s="1"/>
  <c r="Y39"/>
  <c r="X39"/>
  <c r="AC418" i="117"/>
  <c r="AC112"/>
  <c r="AC343"/>
  <c r="AC424"/>
  <c r="AC217"/>
  <c r="AC150"/>
  <c r="AC406"/>
  <c r="AC472"/>
  <c r="AC154"/>
  <c r="AC129"/>
  <c r="AC250"/>
  <c r="AC382"/>
  <c r="AC228"/>
  <c r="AC105"/>
  <c r="AC104"/>
  <c r="AC255"/>
  <c r="AC238"/>
  <c r="AC175"/>
  <c r="AC354"/>
  <c r="AC273"/>
  <c r="AC377"/>
  <c r="AC491"/>
  <c r="AC213"/>
  <c r="AC364"/>
  <c r="AC485"/>
  <c r="AC291"/>
  <c r="AC231"/>
  <c r="AC251"/>
  <c r="AC207"/>
  <c r="AC402"/>
  <c r="AC297"/>
  <c r="AC334"/>
  <c r="AC109"/>
  <c r="AC235"/>
  <c r="AC360"/>
  <c r="AC270"/>
  <c r="AC196"/>
  <c r="AC298"/>
  <c r="AC280"/>
  <c r="AC147"/>
  <c r="AC376"/>
  <c r="AC187"/>
  <c r="AC455"/>
  <c r="AC470"/>
  <c r="AC421"/>
  <c r="AC108"/>
  <c r="AC356"/>
  <c r="AC214"/>
  <c r="AC189"/>
  <c r="AC133"/>
  <c r="AC192"/>
  <c r="AC127"/>
  <c r="AC357"/>
  <c r="AC256"/>
  <c r="AC427"/>
  <c r="AC123"/>
  <c r="AC277"/>
  <c r="AC172"/>
  <c r="AC358"/>
  <c r="AC315"/>
  <c r="AC259"/>
  <c r="AC148"/>
  <c r="AC144"/>
  <c r="AC169"/>
  <c r="AC314"/>
  <c r="AC423"/>
  <c r="AC469"/>
  <c r="AC188"/>
  <c r="AC339"/>
  <c r="AC166"/>
  <c r="AC125"/>
  <c r="AC333"/>
  <c r="AC486"/>
  <c r="AC378"/>
  <c r="AC454"/>
  <c r="AC479"/>
  <c r="AC208"/>
  <c r="AC151"/>
  <c r="AC361"/>
  <c r="AC319"/>
  <c r="AC209"/>
  <c r="AC312"/>
  <c r="AC252"/>
  <c r="AC271"/>
  <c r="AC453"/>
  <c r="AC229"/>
  <c r="AC476"/>
  <c r="AC375"/>
  <c r="AC488"/>
  <c r="AC420"/>
  <c r="AC399"/>
  <c r="AC335"/>
  <c r="AC355"/>
  <c r="AC473"/>
  <c r="AC381"/>
  <c r="AC417"/>
  <c r="AC457"/>
  <c r="AC276"/>
  <c r="AC489"/>
  <c r="AC463"/>
  <c r="AC130"/>
  <c r="AC272"/>
  <c r="AC397"/>
  <c r="AC103"/>
  <c r="AC340"/>
  <c r="AC167"/>
  <c r="AC146"/>
  <c r="AC495"/>
  <c r="AC385"/>
  <c r="AC210"/>
  <c r="AC487"/>
  <c r="AC403"/>
  <c r="AC186"/>
  <c r="AC197" s="1"/>
  <c r="AC73" s="1"/>
  <c r="AC379"/>
  <c r="AC459"/>
  <c r="AC492"/>
  <c r="AC301"/>
  <c r="AC396"/>
  <c r="AC193"/>
  <c r="AC322"/>
  <c r="AC249"/>
  <c r="AC471"/>
  <c r="AC318"/>
  <c r="AC230"/>
  <c r="AC124"/>
  <c r="AC145"/>
  <c r="AC292"/>
  <c r="AC460"/>
  <c r="AC165"/>
  <c r="AC293"/>
  <c r="AC171"/>
  <c r="AC398"/>
  <c r="AC475"/>
  <c r="AC168"/>
  <c r="AC234"/>
  <c r="AC400"/>
  <c r="AC232"/>
  <c r="AC102"/>
  <c r="AC275"/>
  <c r="AC336"/>
  <c r="AC337"/>
  <c r="AC316"/>
  <c r="AC456"/>
  <c r="AC253"/>
  <c r="AC295"/>
  <c r="AC274"/>
  <c r="AC313"/>
  <c r="AC216"/>
  <c r="AC294"/>
  <c r="AC211"/>
  <c r="AC190"/>
  <c r="AC419"/>
  <c r="AC106"/>
  <c r="AC126"/>
  <c r="AC296"/>
  <c r="AC191"/>
  <c r="AC321"/>
  <c r="AC384"/>
  <c r="AC279"/>
  <c r="AC401"/>
  <c r="AC338"/>
  <c r="AC422"/>
  <c r="AC195"/>
  <c r="AC478"/>
  <c r="AC233"/>
  <c r="AC128"/>
  <c r="AC458"/>
  <c r="AC380"/>
  <c r="AC363"/>
  <c r="AC107"/>
  <c r="AC132"/>
  <c r="AC170"/>
  <c r="AC254"/>
  <c r="AC359"/>
  <c r="AC342"/>
  <c r="AC494"/>
  <c r="AC111"/>
  <c r="AC474"/>
  <c r="AC462"/>
  <c r="AC153"/>
  <c r="AC149"/>
  <c r="AC155" s="1"/>
  <c r="AC71" s="1"/>
  <c r="AC317"/>
  <c r="AC237"/>
  <c r="AC212"/>
  <c r="AC174"/>
  <c r="AC405"/>
  <c r="AC258"/>
  <c r="AC426"/>
  <c r="AC490"/>
  <c r="AC300"/>
  <c r="AC302" s="1"/>
  <c r="AC78" s="1"/>
  <c r="AD450"/>
  <c r="AD367"/>
  <c r="AD414"/>
  <c r="AD162"/>
  <c r="AD136"/>
  <c r="AD283"/>
  <c r="AD16"/>
  <c r="AD99"/>
  <c r="AD507"/>
  <c r="AD508" s="1"/>
  <c r="AD509" s="1"/>
  <c r="AD503"/>
  <c r="AD393"/>
  <c r="AD267"/>
  <c r="AD346"/>
  <c r="AD220"/>
  <c r="AD440"/>
  <c r="AD94"/>
  <c r="AD157"/>
  <c r="AD499"/>
  <c r="AD304"/>
  <c r="AD351"/>
  <c r="AD372"/>
  <c r="AD445"/>
  <c r="AD388"/>
  <c r="AD435"/>
  <c r="AD409"/>
  <c r="AD42"/>
  <c r="AD67" s="1"/>
  <c r="AD482"/>
  <c r="AD246"/>
  <c r="AD288"/>
  <c r="AD225"/>
  <c r="AD183"/>
  <c r="AD309"/>
  <c r="AD430"/>
  <c r="AD141"/>
  <c r="AD330"/>
  <c r="AD262"/>
  <c r="AE8"/>
  <c r="AD199"/>
  <c r="AD241"/>
  <c r="AD466"/>
  <c r="AD120"/>
  <c r="AD178"/>
  <c r="AD325"/>
  <c r="AD115"/>
  <c r="AD204"/>
  <c r="AD390"/>
  <c r="AD59" s="1"/>
  <c r="AD348"/>
  <c r="AD57" s="1"/>
  <c r="AD159"/>
  <c r="AD48" s="1"/>
  <c r="AD432"/>
  <c r="AD61" s="1"/>
  <c r="AD222"/>
  <c r="AD51" s="1"/>
  <c r="AD369"/>
  <c r="AD58" s="1"/>
  <c r="AD264"/>
  <c r="AD53" s="1"/>
  <c r="AD285"/>
  <c r="AD54" s="1"/>
  <c r="AD437"/>
  <c r="AD62" s="1"/>
  <c r="AD117"/>
  <c r="AD46" s="1"/>
  <c r="AD243"/>
  <c r="AD52" s="1"/>
  <c r="AD442"/>
  <c r="AD63" s="1"/>
  <c r="AD96"/>
  <c r="AD138"/>
  <c r="AD47" s="1"/>
  <c r="AD306"/>
  <c r="AD55" s="1"/>
  <c r="AD327"/>
  <c r="AD56" s="1"/>
  <c r="AD447"/>
  <c r="AD64" s="1"/>
  <c r="AD411"/>
  <c r="AD60" s="1"/>
  <c r="AD201"/>
  <c r="AD50" s="1"/>
  <c r="AD180"/>
  <c r="AD49" s="1"/>
  <c r="AB260"/>
  <c r="AB76" s="1"/>
  <c r="AB20"/>
  <c r="AB407"/>
  <c r="AB83" s="1"/>
  <c r="AB26"/>
  <c r="AB25"/>
  <c r="AB218"/>
  <c r="AB74" s="1"/>
  <c r="AB428"/>
  <c r="AB84" s="1"/>
  <c r="AL20" i="118"/>
  <c r="AL464"/>
  <c r="AL85" s="1"/>
  <c r="AL134"/>
  <c r="AL70" s="1"/>
  <c r="AL323"/>
  <c r="AL79" s="1"/>
  <c r="AL428"/>
  <c r="AL84" s="1"/>
  <c r="AL23"/>
  <c r="AA281" i="120"/>
  <c r="AA77" s="1"/>
  <c r="AA32"/>
  <c r="AA26"/>
  <c r="AA344"/>
  <c r="AA80" s="1"/>
  <c r="AA302"/>
  <c r="AA78" s="1"/>
  <c r="AA428"/>
  <c r="AA84" s="1"/>
  <c r="AA197"/>
  <c r="AA73" s="1"/>
  <c r="AK88" i="118"/>
  <c r="AK90" s="1"/>
  <c r="AQ302" i="116"/>
  <c r="AQ78" s="1"/>
  <c r="AQ239"/>
  <c r="AQ75" s="1"/>
  <c r="AQ197"/>
  <c r="AQ73" s="1"/>
  <c r="AQ23"/>
  <c r="AO38"/>
  <c r="AB419" i="120"/>
  <c r="AB314"/>
  <c r="AB454"/>
  <c r="AB165"/>
  <c r="AB337"/>
  <c r="AB123"/>
  <c r="AB406"/>
  <c r="AB319"/>
  <c r="AB377"/>
  <c r="AB418"/>
  <c r="AB196"/>
  <c r="AB229"/>
  <c r="AB291"/>
  <c r="AB133"/>
  <c r="AB255"/>
  <c r="AB360"/>
  <c r="AB375"/>
  <c r="AB491"/>
  <c r="AB469"/>
  <c r="AB154"/>
  <c r="AB335"/>
  <c r="AB400"/>
  <c r="AB210"/>
  <c r="AB169"/>
  <c r="AB398"/>
  <c r="AB358"/>
  <c r="AB186"/>
  <c r="AB211"/>
  <c r="AB277"/>
  <c r="AB148"/>
  <c r="AB397"/>
  <c r="AB192"/>
  <c r="AB106"/>
  <c r="AB235"/>
  <c r="AB251"/>
  <c r="AB312"/>
  <c r="AB455"/>
  <c r="AB102"/>
  <c r="AB476"/>
  <c r="AB168"/>
  <c r="AB463"/>
  <c r="AB488"/>
  <c r="AB147"/>
  <c r="AB417"/>
  <c r="AB315"/>
  <c r="AB460"/>
  <c r="AB485"/>
  <c r="AB339"/>
  <c r="AB150"/>
  <c r="AB129"/>
  <c r="AB207"/>
  <c r="AB190"/>
  <c r="AB249"/>
  <c r="AB475"/>
  <c r="AB234"/>
  <c r="AB175"/>
  <c r="AB144"/>
  <c r="AB424"/>
  <c r="AB125"/>
  <c r="AB292"/>
  <c r="AB313"/>
  <c r="AB193"/>
  <c r="AB381"/>
  <c r="AB280"/>
  <c r="AB492"/>
  <c r="AB355"/>
  <c r="AB274"/>
  <c r="AB420"/>
  <c r="AB361"/>
  <c r="AB217"/>
  <c r="AB489"/>
  <c r="AB259"/>
  <c r="AB357"/>
  <c r="AB479"/>
  <c r="AB470"/>
  <c r="AB354"/>
  <c r="AB402"/>
  <c r="AB208"/>
  <c r="AB403"/>
  <c r="AB252"/>
  <c r="AB301"/>
  <c r="AB172"/>
  <c r="AB130"/>
  <c r="AB318"/>
  <c r="AB343"/>
  <c r="AB293"/>
  <c r="AB103"/>
  <c r="AB272"/>
  <c r="AB297"/>
  <c r="AB112"/>
  <c r="AB379"/>
  <c r="AB167"/>
  <c r="AB171"/>
  <c r="AB334"/>
  <c r="AB187"/>
  <c r="AB457"/>
  <c r="AB230"/>
  <c r="AB472"/>
  <c r="AB427"/>
  <c r="AB385"/>
  <c r="AB151"/>
  <c r="AB316"/>
  <c r="AB456"/>
  <c r="AB421"/>
  <c r="AB378"/>
  <c r="AB228"/>
  <c r="AB214"/>
  <c r="AB486"/>
  <c r="AB471"/>
  <c r="AB238"/>
  <c r="AB231"/>
  <c r="AB124"/>
  <c r="AB108"/>
  <c r="AB333"/>
  <c r="AB453"/>
  <c r="AB232"/>
  <c r="AB364"/>
  <c r="AB104"/>
  <c r="AB127"/>
  <c r="AB356"/>
  <c r="AB189"/>
  <c r="AB399"/>
  <c r="AB298"/>
  <c r="AB273"/>
  <c r="AB382"/>
  <c r="AB105"/>
  <c r="AB145"/>
  <c r="AB270"/>
  <c r="AB295"/>
  <c r="AB250"/>
  <c r="AB495"/>
  <c r="AB109"/>
  <c r="AB322"/>
  <c r="AB188"/>
  <c r="AB166"/>
  <c r="AB473"/>
  <c r="AB276"/>
  <c r="AB459"/>
  <c r="AB213"/>
  <c r="AB376"/>
  <c r="AB340"/>
  <c r="AB423"/>
  <c r="AB209"/>
  <c r="AB487"/>
  <c r="AB256"/>
  <c r="AB271"/>
  <c r="AB253"/>
  <c r="AB126"/>
  <c r="AB336"/>
  <c r="AB146"/>
  <c r="AB254"/>
  <c r="AB294"/>
  <c r="AB396"/>
  <c r="AB321"/>
  <c r="AB342"/>
  <c r="AB275"/>
  <c r="AB191"/>
  <c r="AB300"/>
  <c r="AB279"/>
  <c r="AB478"/>
  <c r="AB363"/>
  <c r="AB474"/>
  <c r="AB170"/>
  <c r="AB107"/>
  <c r="AB490"/>
  <c r="AB462"/>
  <c r="AB458"/>
  <c r="AB338"/>
  <c r="AB174"/>
  <c r="AB176" s="1"/>
  <c r="AB72" s="1"/>
  <c r="AB111"/>
  <c r="AB212"/>
  <c r="AB195"/>
  <c r="AB128"/>
  <c r="AB237"/>
  <c r="AB258"/>
  <c r="AB405"/>
  <c r="AB384"/>
  <c r="AB494"/>
  <c r="AB296"/>
  <c r="AB153"/>
  <c r="AB216"/>
  <c r="AB233"/>
  <c r="AB426"/>
  <c r="AB401"/>
  <c r="AB132"/>
  <c r="AB422"/>
  <c r="AB359"/>
  <c r="AB317"/>
  <c r="AB149"/>
  <c r="AB380"/>
  <c r="AQ19" i="116"/>
  <c r="AQ113"/>
  <c r="AQ69" s="1"/>
  <c r="AB31" i="117"/>
  <c r="AB32"/>
  <c r="AB386"/>
  <c r="AB82" s="1"/>
  <c r="AL32" i="118"/>
  <c r="AL239"/>
  <c r="AL75" s="1"/>
  <c r="AL344"/>
  <c r="AL80" s="1"/>
  <c r="AL155"/>
  <c r="AL71" s="1"/>
  <c r="AA31" i="120"/>
  <c r="AA23"/>
  <c r="AA22"/>
  <c r="AA239"/>
  <c r="AA75" s="1"/>
  <c r="AA134"/>
  <c r="AA70" s="1"/>
  <c r="AA480"/>
  <c r="AA86" s="1"/>
  <c r="Z36"/>
  <c r="Z38" s="1"/>
  <c r="Z88"/>
  <c r="Z90" s="1"/>
  <c r="AQ480" i="116"/>
  <c r="AQ86" s="1"/>
  <c r="AQ32"/>
  <c r="AQ21"/>
  <c r="AQ26"/>
  <c r="AQ496"/>
  <c r="AQ87" s="1"/>
  <c r="AQ218"/>
  <c r="AQ74" s="1"/>
  <c r="AQ20"/>
  <c r="AQ260"/>
  <c r="AQ76" s="1"/>
  <c r="AQ24"/>
  <c r="AA88" i="117"/>
  <c r="AA90" s="1"/>
  <c r="AL19" i="118"/>
  <c r="AL113"/>
  <c r="AL69" s="1"/>
  <c r="AB45" i="120"/>
  <c r="AB65" s="1"/>
  <c r="AB10"/>
  <c r="AB14" s="1"/>
  <c r="AA19"/>
  <c r="AA113"/>
  <c r="AA69" s="1"/>
  <c r="AC45" i="117"/>
  <c r="AC65" s="1"/>
  <c r="AC10"/>
  <c r="AC14" s="1"/>
  <c r="AB281"/>
  <c r="AB77" s="1"/>
  <c r="AB23"/>
  <c r="AB176"/>
  <c r="AB72" s="1"/>
  <c r="AB365"/>
  <c r="AB81" s="1"/>
  <c r="AB155"/>
  <c r="AB71" s="1"/>
  <c r="AL22" i="118"/>
  <c r="AL21"/>
  <c r="AL260"/>
  <c r="AL76" s="1"/>
  <c r="AL281"/>
  <c r="AL77" s="1"/>
  <c r="AL197"/>
  <c r="AL73" s="1"/>
  <c r="AL24"/>
  <c r="AL25"/>
  <c r="AA260" i="120"/>
  <c r="AA76" s="1"/>
  <c r="AA176"/>
  <c r="AA72" s="1"/>
  <c r="AA20"/>
  <c r="AA25"/>
  <c r="AA496"/>
  <c r="AA87" s="1"/>
  <c r="AA323"/>
  <c r="AA79" s="1"/>
  <c r="AA155"/>
  <c r="AA71" s="1"/>
  <c r="AQ22" i="116"/>
  <c r="AQ155"/>
  <c r="AQ71" s="1"/>
  <c r="AQ134"/>
  <c r="AQ70" s="1"/>
  <c r="AQ365"/>
  <c r="AQ81" s="1"/>
  <c r="AQ31"/>
  <c r="AP36"/>
  <c r="AP38" s="1"/>
  <c r="AD376" i="117" l="1"/>
  <c r="AD196"/>
  <c r="AD228"/>
  <c r="AD104"/>
  <c r="AD231"/>
  <c r="AD293"/>
  <c r="AD208"/>
  <c r="AD271"/>
  <c r="AD396"/>
  <c r="AD469"/>
  <c r="AD333"/>
  <c r="AD235"/>
  <c r="AD103"/>
  <c r="AD154"/>
  <c r="AD129"/>
  <c r="AD112"/>
  <c r="AD250"/>
  <c r="AD210"/>
  <c r="AD453"/>
  <c r="AD217"/>
  <c r="AD190"/>
  <c r="AD168"/>
  <c r="AD472"/>
  <c r="AD360"/>
  <c r="AD298"/>
  <c r="AD207"/>
  <c r="AD109"/>
  <c r="AD406"/>
  <c r="AD280"/>
  <c r="AD229"/>
  <c r="AD270"/>
  <c r="AD175"/>
  <c r="AD259"/>
  <c r="AD147"/>
  <c r="AD455"/>
  <c r="AD256"/>
  <c r="AD382"/>
  <c r="AD171"/>
  <c r="AD420"/>
  <c r="AD375"/>
  <c r="AD238"/>
  <c r="AD150"/>
  <c r="AD186"/>
  <c r="AD105"/>
  <c r="AD423"/>
  <c r="AD377"/>
  <c r="AD187"/>
  <c r="AD361"/>
  <c r="AD276"/>
  <c r="AD272"/>
  <c r="AD297"/>
  <c r="AD189"/>
  <c r="AD125"/>
  <c r="AD486"/>
  <c r="AD454"/>
  <c r="AD473"/>
  <c r="AD166"/>
  <c r="AD230"/>
  <c r="AD463"/>
  <c r="AD193"/>
  <c r="AD151"/>
  <c r="AD476"/>
  <c r="AD165"/>
  <c r="AD402"/>
  <c r="AD364"/>
  <c r="AD491"/>
  <c r="AD457"/>
  <c r="AD397"/>
  <c r="AD172"/>
  <c r="AD234"/>
  <c r="AD251"/>
  <c r="AD485"/>
  <c r="AD399"/>
  <c r="AD277"/>
  <c r="AD192"/>
  <c r="AD316"/>
  <c r="AD319"/>
  <c r="AD130"/>
  <c r="AD144"/>
  <c r="AD470"/>
  <c r="AD213"/>
  <c r="AD108"/>
  <c r="AD356"/>
  <c r="AD314"/>
  <c r="AD339"/>
  <c r="AD124"/>
  <c r="AD133"/>
  <c r="AD312"/>
  <c r="AD146"/>
  <c r="AD340"/>
  <c r="AD273"/>
  <c r="AD495"/>
  <c r="AD492"/>
  <c r="AD343"/>
  <c r="AD487"/>
  <c r="AD378"/>
  <c r="AD335"/>
  <c r="AD123"/>
  <c r="AD134" s="1"/>
  <c r="AD70" s="1"/>
  <c r="AD488"/>
  <c r="AD427"/>
  <c r="AD354"/>
  <c r="AD209"/>
  <c r="AD255"/>
  <c r="AD188"/>
  <c r="AD315"/>
  <c r="AD214"/>
  <c r="AD167"/>
  <c r="AD252"/>
  <c r="AD357"/>
  <c r="AD385"/>
  <c r="AD424"/>
  <c r="AD381"/>
  <c r="AD479"/>
  <c r="AD403"/>
  <c r="AD417"/>
  <c r="AD358"/>
  <c r="AD291"/>
  <c r="AD292"/>
  <c r="AD460"/>
  <c r="AD489"/>
  <c r="AD249"/>
  <c r="AD145"/>
  <c r="AD475"/>
  <c r="AD318"/>
  <c r="AD334"/>
  <c r="AD459"/>
  <c r="AD398"/>
  <c r="AD355"/>
  <c r="AD301"/>
  <c r="AD322"/>
  <c r="AD471"/>
  <c r="AD418"/>
  <c r="AD337"/>
  <c r="AD421"/>
  <c r="AD232"/>
  <c r="AD274"/>
  <c r="AD216"/>
  <c r="AD253"/>
  <c r="AD294"/>
  <c r="AD379"/>
  <c r="AD127"/>
  <c r="AD313"/>
  <c r="AD20" s="1"/>
  <c r="AD106"/>
  <c r="AD275"/>
  <c r="AD148"/>
  <c r="AD295"/>
  <c r="AD211"/>
  <c r="AD456"/>
  <c r="AD296"/>
  <c r="AD419"/>
  <c r="AD126"/>
  <c r="AD336"/>
  <c r="AD254"/>
  <c r="AD400"/>
  <c r="AD169"/>
  <c r="AD102"/>
  <c r="AD317"/>
  <c r="AD170"/>
  <c r="AD458"/>
  <c r="AD191"/>
  <c r="AD405"/>
  <c r="AD111"/>
  <c r="AD338"/>
  <c r="AD149"/>
  <c r="AD422"/>
  <c r="AD107"/>
  <c r="AD237"/>
  <c r="AD474"/>
  <c r="AD494"/>
  <c r="AD401"/>
  <c r="AD300"/>
  <c r="AD195"/>
  <c r="AD342"/>
  <c r="AD426"/>
  <c r="AD384"/>
  <c r="AD321"/>
  <c r="AD258"/>
  <c r="AD174"/>
  <c r="AD279"/>
  <c r="AD281" s="1"/>
  <c r="AD77" s="1"/>
  <c r="AD132"/>
  <c r="AD212"/>
  <c r="AD462"/>
  <c r="AD490"/>
  <c r="AD128"/>
  <c r="AD380"/>
  <c r="AD478"/>
  <c r="AD363"/>
  <c r="AD359"/>
  <c r="AD153"/>
  <c r="AD233"/>
  <c r="AD414" i="120"/>
  <c r="AD388"/>
  <c r="AD246"/>
  <c r="AD351"/>
  <c r="AD225"/>
  <c r="AD393"/>
  <c r="AD99"/>
  <c r="AD199"/>
  <c r="AD42"/>
  <c r="AD67" s="1"/>
  <c r="AE8"/>
  <c r="AD136"/>
  <c r="AD445"/>
  <c r="AD325"/>
  <c r="AD309"/>
  <c r="AD409"/>
  <c r="AD507"/>
  <c r="AD508" s="1"/>
  <c r="AD509" s="1"/>
  <c r="AD267"/>
  <c r="AD178"/>
  <c r="AD204"/>
  <c r="AD450"/>
  <c r="AD120"/>
  <c r="AD241"/>
  <c r="AD367"/>
  <c r="AD482"/>
  <c r="AD346"/>
  <c r="AD330"/>
  <c r="AD503"/>
  <c r="AD220"/>
  <c r="AD466"/>
  <c r="AD430"/>
  <c r="AD262"/>
  <c r="AD115"/>
  <c r="AD141"/>
  <c r="AD16"/>
  <c r="AD183"/>
  <c r="AD499"/>
  <c r="AD435"/>
  <c r="AD304"/>
  <c r="AD162"/>
  <c r="AD283"/>
  <c r="AD440"/>
  <c r="AD288"/>
  <c r="AD157"/>
  <c r="AD372"/>
  <c r="AD94"/>
  <c r="AD201"/>
  <c r="AD50" s="1"/>
  <c r="AD411"/>
  <c r="AD60" s="1"/>
  <c r="AD390"/>
  <c r="AD59" s="1"/>
  <c r="AD222"/>
  <c r="AD51" s="1"/>
  <c r="AD117"/>
  <c r="AD46" s="1"/>
  <c r="AD180"/>
  <c r="AD49" s="1"/>
  <c r="AD96"/>
  <c r="AD442"/>
  <c r="AD63" s="1"/>
  <c r="AD432"/>
  <c r="AD61" s="1"/>
  <c r="AD437"/>
  <c r="AD62" s="1"/>
  <c r="AD306"/>
  <c r="AD55" s="1"/>
  <c r="AD447"/>
  <c r="AD64" s="1"/>
  <c r="AD138"/>
  <c r="AD47" s="1"/>
  <c r="AD159"/>
  <c r="AD48" s="1"/>
  <c r="AD348"/>
  <c r="AD57" s="1"/>
  <c r="AD243"/>
  <c r="AD52" s="1"/>
  <c r="AD369"/>
  <c r="AD58" s="1"/>
  <c r="AD327"/>
  <c r="AD56" s="1"/>
  <c r="AD264"/>
  <c r="AD53" s="1"/>
  <c r="AD285"/>
  <c r="AD54" s="1"/>
  <c r="AR19" i="116"/>
  <c r="AR113"/>
  <c r="AR69" s="1"/>
  <c r="AS45"/>
  <c r="AS65" s="1"/>
  <c r="AS10"/>
  <c r="AS14" s="1"/>
  <c r="AK38" i="118"/>
  <c r="AK39" s="1"/>
  <c r="AN45"/>
  <c r="AN65" s="1"/>
  <c r="AN10"/>
  <c r="AN14" s="1"/>
  <c r="AA36" i="120"/>
  <c r="AA38" s="1"/>
  <c r="AL36" i="118"/>
  <c r="AB428" i="120"/>
  <c r="AB84" s="1"/>
  <c r="AB31"/>
  <c r="AB480"/>
  <c r="AB86" s="1"/>
  <c r="AB20"/>
  <c r="AB22"/>
  <c r="AB21"/>
  <c r="AB344"/>
  <c r="AB80" s="1"/>
  <c r="AB239"/>
  <c r="AB75" s="1"/>
  <c r="AB32"/>
  <c r="AB113"/>
  <c r="AB69" s="1"/>
  <c r="AB134"/>
  <c r="AB70" s="1"/>
  <c r="AC281" i="117"/>
  <c r="AC77" s="1"/>
  <c r="AC20"/>
  <c r="AC480"/>
  <c r="AC86" s="1"/>
  <c r="AC365"/>
  <c r="AC81" s="1"/>
  <c r="AC21"/>
  <c r="Z39" i="120"/>
  <c r="AR428" i="116"/>
  <c r="AR84" s="1"/>
  <c r="AR323"/>
  <c r="AR79" s="1"/>
  <c r="AR25"/>
  <c r="AM155" i="118"/>
  <c r="AM71" s="1"/>
  <c r="AM134"/>
  <c r="AM70" s="1"/>
  <c r="AM386"/>
  <c r="AM82" s="1"/>
  <c r="AM428"/>
  <c r="AM84" s="1"/>
  <c r="AM365"/>
  <c r="AM81" s="1"/>
  <c r="AM260"/>
  <c r="AM76" s="1"/>
  <c r="AM302"/>
  <c r="AM78" s="1"/>
  <c r="AM464"/>
  <c r="AM85" s="1"/>
  <c r="AM25"/>
  <c r="AA88" i="120"/>
  <c r="AA90" s="1"/>
  <c r="AE309" i="117"/>
  <c r="AE507"/>
  <c r="AE508" s="1"/>
  <c r="AE509" s="1"/>
  <c r="AE440"/>
  <c r="AE136"/>
  <c r="AE225"/>
  <c r="AE183"/>
  <c r="AE435"/>
  <c r="AE414"/>
  <c r="AE351"/>
  <c r="AE94"/>
  <c r="AE162"/>
  <c r="AE115"/>
  <c r="AE393"/>
  <c r="AE372"/>
  <c r="AE466"/>
  <c r="AE220"/>
  <c r="AE262"/>
  <c r="AE388"/>
  <c r="AE157"/>
  <c r="AF8"/>
  <c r="AE120"/>
  <c r="AE304"/>
  <c r="AE330"/>
  <c r="AE482"/>
  <c r="AE499"/>
  <c r="AE325"/>
  <c r="AE288"/>
  <c r="AE503"/>
  <c r="AE199"/>
  <c r="AE42"/>
  <c r="AE67" s="1"/>
  <c r="AE178"/>
  <c r="AE241"/>
  <c r="AE445"/>
  <c r="AE346"/>
  <c r="AE367"/>
  <c r="AE409"/>
  <c r="AE430"/>
  <c r="AE141"/>
  <c r="AE99"/>
  <c r="AE283"/>
  <c r="AE204"/>
  <c r="AE267"/>
  <c r="AE450"/>
  <c r="AE246"/>
  <c r="AE16"/>
  <c r="AE159"/>
  <c r="AE48" s="1"/>
  <c r="AE432"/>
  <c r="AE61" s="1"/>
  <c r="AE243"/>
  <c r="AE52" s="1"/>
  <c r="AE369"/>
  <c r="AE58" s="1"/>
  <c r="AE348"/>
  <c r="AE57" s="1"/>
  <c r="AE117"/>
  <c r="AE46" s="1"/>
  <c r="AE264"/>
  <c r="AE53" s="1"/>
  <c r="AE390"/>
  <c r="AE59" s="1"/>
  <c r="AE201"/>
  <c r="AE50" s="1"/>
  <c r="AE411"/>
  <c r="AE60" s="1"/>
  <c r="AE442"/>
  <c r="AE63" s="1"/>
  <c r="AE285"/>
  <c r="AE54" s="1"/>
  <c r="AE327"/>
  <c r="AE56" s="1"/>
  <c r="AE437"/>
  <c r="AE62" s="1"/>
  <c r="AE96"/>
  <c r="AE180"/>
  <c r="AE49" s="1"/>
  <c r="AE306"/>
  <c r="AE55" s="1"/>
  <c r="AE222"/>
  <c r="AE51" s="1"/>
  <c r="AE138"/>
  <c r="AE47" s="1"/>
  <c r="AE447"/>
  <c r="AE64" s="1"/>
  <c r="AC45" i="120"/>
  <c r="AC65" s="1"/>
  <c r="AC10"/>
  <c r="AC14" s="1"/>
  <c r="AC186"/>
  <c r="AC150"/>
  <c r="AC125"/>
  <c r="AC255"/>
  <c r="AC463"/>
  <c r="AC251"/>
  <c r="AC277"/>
  <c r="AC167"/>
  <c r="AC130"/>
  <c r="AC217"/>
  <c r="AC360"/>
  <c r="AC454"/>
  <c r="AC272"/>
  <c r="AC495"/>
  <c r="AC187"/>
  <c r="AC406"/>
  <c r="AC229"/>
  <c r="AC354"/>
  <c r="AC171"/>
  <c r="AC234"/>
  <c r="AC151"/>
  <c r="AC418"/>
  <c r="AC147"/>
  <c r="AC144"/>
  <c r="AC249"/>
  <c r="AC123"/>
  <c r="AC486"/>
  <c r="AC491"/>
  <c r="AC382"/>
  <c r="AC230"/>
  <c r="AC291"/>
  <c r="AC314"/>
  <c r="AC318"/>
  <c r="AC488"/>
  <c r="AC313"/>
  <c r="AC166"/>
  <c r="AC361"/>
  <c r="AC312"/>
  <c r="AC455"/>
  <c r="AC154"/>
  <c r="AC335"/>
  <c r="AC381"/>
  <c r="AC355"/>
  <c r="AC207"/>
  <c r="AC456"/>
  <c r="AC420"/>
  <c r="AC377"/>
  <c r="AC105"/>
  <c r="AC479"/>
  <c r="AC470"/>
  <c r="AC419"/>
  <c r="AC385"/>
  <c r="AC214"/>
  <c r="AC471"/>
  <c r="AC472"/>
  <c r="AC252"/>
  <c r="AC398"/>
  <c r="AC293"/>
  <c r="AC378"/>
  <c r="AC172"/>
  <c r="AC196"/>
  <c r="AC460"/>
  <c r="AC492"/>
  <c r="AC333"/>
  <c r="AC344" s="1"/>
  <c r="AC80" s="1"/>
  <c r="AC129"/>
  <c r="AC403"/>
  <c r="AC235"/>
  <c r="AC168"/>
  <c r="AC165"/>
  <c r="AC192"/>
  <c r="AC453"/>
  <c r="AC298"/>
  <c r="AC375"/>
  <c r="AC124"/>
  <c r="AC108"/>
  <c r="AC273"/>
  <c r="AC133"/>
  <c r="AC417"/>
  <c r="AC339"/>
  <c r="AC376"/>
  <c r="AC476"/>
  <c r="AC297"/>
  <c r="AC256"/>
  <c r="AC475"/>
  <c r="AC340"/>
  <c r="AC210"/>
  <c r="AC315"/>
  <c r="AC424"/>
  <c r="AC238"/>
  <c r="AC231"/>
  <c r="AC399"/>
  <c r="AC487"/>
  <c r="AC103"/>
  <c r="AC280"/>
  <c r="AC232"/>
  <c r="AC319"/>
  <c r="AC397"/>
  <c r="AC343"/>
  <c r="AC112"/>
  <c r="AC292"/>
  <c r="AC469"/>
  <c r="AC175"/>
  <c r="AC334"/>
  <c r="AC228"/>
  <c r="AC357"/>
  <c r="AC259"/>
  <c r="AC402"/>
  <c r="AC208"/>
  <c r="AC301"/>
  <c r="AC427"/>
  <c r="AC193"/>
  <c r="AC485"/>
  <c r="AC496" s="1"/>
  <c r="AC87" s="1"/>
  <c r="AC364"/>
  <c r="AC250"/>
  <c r="AC189"/>
  <c r="AC109"/>
  <c r="AC26" s="1"/>
  <c r="AC213"/>
  <c r="AC322"/>
  <c r="AC188"/>
  <c r="AC423"/>
  <c r="AC145"/>
  <c r="AC270"/>
  <c r="AC459"/>
  <c r="AC104"/>
  <c r="AC21" s="1"/>
  <c r="AC127"/>
  <c r="AC356"/>
  <c r="AC209"/>
  <c r="AC276"/>
  <c r="AC102"/>
  <c r="AC489"/>
  <c r="AC337"/>
  <c r="AC148"/>
  <c r="AC396"/>
  <c r="AC336"/>
  <c r="AC146"/>
  <c r="AC253"/>
  <c r="AC126"/>
  <c r="AC316"/>
  <c r="AC106"/>
  <c r="AC473"/>
  <c r="AC294"/>
  <c r="AC400"/>
  <c r="AC211"/>
  <c r="AC421"/>
  <c r="AC190"/>
  <c r="AC169"/>
  <c r="AC271"/>
  <c r="AC295"/>
  <c r="AC358"/>
  <c r="AC379"/>
  <c r="AC274"/>
  <c r="AC457"/>
  <c r="AC149"/>
  <c r="AC490"/>
  <c r="AC321"/>
  <c r="AC258"/>
  <c r="AC153"/>
  <c r="AC384"/>
  <c r="AC191"/>
  <c r="AC296"/>
  <c r="AC174"/>
  <c r="AC170"/>
  <c r="AC422"/>
  <c r="AC111"/>
  <c r="AC401"/>
  <c r="AC426"/>
  <c r="AC212"/>
  <c r="AC462"/>
  <c r="AC317"/>
  <c r="AC216"/>
  <c r="AC237"/>
  <c r="AC254"/>
  <c r="AC458"/>
  <c r="AC478"/>
  <c r="AC195"/>
  <c r="AC128"/>
  <c r="AC338"/>
  <c r="AC405"/>
  <c r="AC300"/>
  <c r="AC380"/>
  <c r="AC474"/>
  <c r="AC107"/>
  <c r="AC342"/>
  <c r="AC233"/>
  <c r="AC494"/>
  <c r="AC132"/>
  <c r="AC359"/>
  <c r="AC279"/>
  <c r="AC363"/>
  <c r="AC275"/>
  <c r="AT262" i="116"/>
  <c r="AT351"/>
  <c r="AT503"/>
  <c r="AT325"/>
  <c r="AT225"/>
  <c r="AT330"/>
  <c r="AT115"/>
  <c r="AT16"/>
  <c r="AT288"/>
  <c r="AT199"/>
  <c r="AT346"/>
  <c r="AT435"/>
  <c r="AT99"/>
  <c r="AT409"/>
  <c r="AT507"/>
  <c r="AT508" s="1"/>
  <c r="AT509" s="1"/>
  <c r="AT309"/>
  <c r="AT367"/>
  <c r="AT42"/>
  <c r="AT67" s="1"/>
  <c r="AT120"/>
  <c r="AT162"/>
  <c r="AT246"/>
  <c r="AT136"/>
  <c r="AT430"/>
  <c r="AT94"/>
  <c r="AT183"/>
  <c r="AT440"/>
  <c r="AT157"/>
  <c r="AT393"/>
  <c r="AT372"/>
  <c r="AT450"/>
  <c r="AT388"/>
  <c r="AT283"/>
  <c r="AT445"/>
  <c r="AT220"/>
  <c r="AT482"/>
  <c r="AT178"/>
  <c r="AT267"/>
  <c r="AT466"/>
  <c r="AT241"/>
  <c r="AT141"/>
  <c r="AT304"/>
  <c r="AT414"/>
  <c r="AT499"/>
  <c r="AU8"/>
  <c r="AT204"/>
  <c r="AT180"/>
  <c r="AT49" s="1"/>
  <c r="AT243"/>
  <c r="AT52" s="1"/>
  <c r="AT138"/>
  <c r="AT47" s="1"/>
  <c r="AT327"/>
  <c r="AT56" s="1"/>
  <c r="AT159"/>
  <c r="AT48" s="1"/>
  <c r="AT285"/>
  <c r="AT54" s="1"/>
  <c r="AT117"/>
  <c r="AT46" s="1"/>
  <c r="AT411"/>
  <c r="AT60" s="1"/>
  <c r="AT201"/>
  <c r="AT50" s="1"/>
  <c r="AT369"/>
  <c r="AT58" s="1"/>
  <c r="AT306"/>
  <c r="AT55" s="1"/>
  <c r="AT348"/>
  <c r="AT57" s="1"/>
  <c r="AT96"/>
  <c r="AT264"/>
  <c r="AT53" s="1"/>
  <c r="AT437"/>
  <c r="AT62" s="1"/>
  <c r="AT447"/>
  <c r="AT64" s="1"/>
  <c r="AT442"/>
  <c r="AT63" s="1"/>
  <c r="AT390"/>
  <c r="AT59" s="1"/>
  <c r="AT222"/>
  <c r="AT51" s="1"/>
  <c r="AT432"/>
  <c r="AT61" s="1"/>
  <c r="AS148"/>
  <c r="AS108"/>
  <c r="AS149"/>
  <c r="AS174"/>
  <c r="AS195"/>
  <c r="AS216"/>
  <c r="AS237"/>
  <c r="AS258"/>
  <c r="AS279"/>
  <c r="AS300"/>
  <c r="AS321"/>
  <c r="AS342"/>
  <c r="AS363"/>
  <c r="AS384"/>
  <c r="AS405"/>
  <c r="AS426"/>
  <c r="AS462"/>
  <c r="AS478"/>
  <c r="AS494"/>
  <c r="AS127"/>
  <c r="AS111"/>
  <c r="AS129"/>
  <c r="AS170"/>
  <c r="AS191"/>
  <c r="AS212"/>
  <c r="AS233"/>
  <c r="AS254"/>
  <c r="AS275"/>
  <c r="AS296"/>
  <c r="AS317"/>
  <c r="AS338"/>
  <c r="AS359"/>
  <c r="AS380"/>
  <c r="AS401"/>
  <c r="AS422"/>
  <c r="AS458"/>
  <c r="AS474"/>
  <c r="AS490"/>
  <c r="AS106"/>
  <c r="AS107"/>
  <c r="AS24" s="1"/>
  <c r="AS132"/>
  <c r="AS150"/>
  <c r="AS190"/>
  <c r="AS211"/>
  <c r="AS232"/>
  <c r="AS253"/>
  <c r="AS274"/>
  <c r="AS295"/>
  <c r="AS316"/>
  <c r="AS337"/>
  <c r="AS358"/>
  <c r="AS379"/>
  <c r="AS400"/>
  <c r="AS421"/>
  <c r="AS457"/>
  <c r="AS473"/>
  <c r="AS489"/>
  <c r="AS169"/>
  <c r="AS128"/>
  <c r="AS153"/>
  <c r="AS171"/>
  <c r="AS192"/>
  <c r="AS213"/>
  <c r="AS234"/>
  <c r="AS255"/>
  <c r="AS276"/>
  <c r="AS297"/>
  <c r="AS318"/>
  <c r="AS339"/>
  <c r="AS360"/>
  <c r="AS381"/>
  <c r="AS402"/>
  <c r="AS423"/>
  <c r="AS459"/>
  <c r="AS475"/>
  <c r="AS491"/>
  <c r="AS485"/>
  <c r="AS361"/>
  <c r="AS277"/>
  <c r="AS193"/>
  <c r="AS109"/>
  <c r="AS420"/>
  <c r="AS252"/>
  <c r="AS487"/>
  <c r="AS417"/>
  <c r="AS333"/>
  <c r="AS249"/>
  <c r="AS165"/>
  <c r="AS378"/>
  <c r="AS210"/>
  <c r="AS479"/>
  <c r="AS403"/>
  <c r="AS123"/>
  <c r="AS228"/>
  <c r="AS455"/>
  <c r="AS207"/>
  <c r="AS396"/>
  <c r="AS230"/>
  <c r="AS251"/>
  <c r="AS364"/>
  <c r="AS235"/>
  <c r="AS189"/>
  <c r="AS357"/>
  <c r="AS208"/>
  <c r="AS196"/>
  <c r="AS492"/>
  <c r="AS377"/>
  <c r="AS293"/>
  <c r="AS209"/>
  <c r="AS125"/>
  <c r="AS454"/>
  <c r="AS313"/>
  <c r="AS145"/>
  <c r="AS424"/>
  <c r="AS340"/>
  <c r="AS256"/>
  <c r="AS172"/>
  <c r="AS486"/>
  <c r="AS271"/>
  <c r="AS103"/>
  <c r="AS453"/>
  <c r="AS166"/>
  <c r="AS231"/>
  <c r="AS112"/>
  <c r="AS250"/>
  <c r="AS399"/>
  <c r="AS280"/>
  <c r="AS418"/>
  <c r="AS471"/>
  <c r="AS298"/>
  <c r="AS291"/>
  <c r="AS39"/>
  <c r="AS314"/>
  <c r="AS334"/>
  <c r="AS406"/>
  <c r="AS322"/>
  <c r="AS238"/>
  <c r="AS154"/>
  <c r="AS472"/>
  <c r="AS336"/>
  <c r="AS168"/>
  <c r="AS469"/>
  <c r="AS356"/>
  <c r="AS272"/>
  <c r="AS188"/>
  <c r="AS104"/>
  <c r="AS294"/>
  <c r="AS126"/>
  <c r="AS460"/>
  <c r="AS292"/>
  <c r="AS273"/>
  <c r="AS175"/>
  <c r="AS376"/>
  <c r="AS456"/>
  <c r="AS343"/>
  <c r="AS427"/>
  <c r="AS130"/>
  <c r="AS312"/>
  <c r="AS495"/>
  <c r="AS319"/>
  <c r="AS124"/>
  <c r="AS375"/>
  <c r="AS463"/>
  <c r="AS354"/>
  <c r="AS270"/>
  <c r="AS186"/>
  <c r="AS102"/>
  <c r="AS397"/>
  <c r="AS229"/>
  <c r="AS476"/>
  <c r="AS385"/>
  <c r="AS301"/>
  <c r="AS217"/>
  <c r="AS133"/>
  <c r="AS355"/>
  <c r="AS187"/>
  <c r="AS470"/>
  <c r="AS335"/>
  <c r="AS398"/>
  <c r="AS214"/>
  <c r="AS419"/>
  <c r="AS151"/>
  <c r="AS382"/>
  <c r="AS105"/>
  <c r="AS22" s="1"/>
  <c r="AS144"/>
  <c r="AS315"/>
  <c r="AS167"/>
  <c r="AS146"/>
  <c r="AS259"/>
  <c r="AS488"/>
  <c r="AS147"/>
  <c r="AL88" i="118"/>
  <c r="AL90" s="1"/>
  <c r="AB260" i="120"/>
  <c r="AB76" s="1"/>
  <c r="AB464"/>
  <c r="AB85" s="1"/>
  <c r="AB23"/>
  <c r="AB218"/>
  <c r="AB74" s="1"/>
  <c r="AB496"/>
  <c r="AB87" s="1"/>
  <c r="AB197"/>
  <c r="AB73" s="1"/>
  <c r="AC218" i="117"/>
  <c r="AC74" s="1"/>
  <c r="AC428"/>
  <c r="AC84" s="1"/>
  <c r="AC386"/>
  <c r="AC82" s="1"/>
  <c r="AC344"/>
  <c r="AC80" s="1"/>
  <c r="AC134"/>
  <c r="AC70" s="1"/>
  <c r="AR176" i="116"/>
  <c r="AR72" s="1"/>
  <c r="AR365"/>
  <c r="AR81" s="1"/>
  <c r="AR239"/>
  <c r="AR75" s="1"/>
  <c r="AR32"/>
  <c r="AR464"/>
  <c r="AR85" s="1"/>
  <c r="AR20"/>
  <c r="AR344"/>
  <c r="AR80" s="1"/>
  <c r="AR26"/>
  <c r="AR496"/>
  <c r="AR87" s="1"/>
  <c r="AR23"/>
  <c r="AM176" i="118"/>
  <c r="AM72" s="1"/>
  <c r="AM239"/>
  <c r="AM75" s="1"/>
  <c r="AM344"/>
  <c r="AM80" s="1"/>
  <c r="AM281"/>
  <c r="AM77" s="1"/>
  <c r="AM218"/>
  <c r="AM74" s="1"/>
  <c r="AM23"/>
  <c r="AB88" i="117"/>
  <c r="AB90" s="1"/>
  <c r="AD45"/>
  <c r="AD65" s="1"/>
  <c r="AD10"/>
  <c r="AD14" s="1"/>
  <c r="AO466" i="118"/>
  <c r="AO414"/>
  <c r="AO220"/>
  <c r="AO246"/>
  <c r="AO16"/>
  <c r="AO267"/>
  <c r="AO225"/>
  <c r="AO178"/>
  <c r="AO115"/>
  <c r="AO351"/>
  <c r="AO157"/>
  <c r="AO503"/>
  <c r="AO241"/>
  <c r="AO304"/>
  <c r="AO199"/>
  <c r="AO288"/>
  <c r="AO445"/>
  <c r="AO450"/>
  <c r="AO120"/>
  <c r="AP8"/>
  <c r="AO430"/>
  <c r="AO482"/>
  <c r="AO507"/>
  <c r="AO508" s="1"/>
  <c r="AO509" s="1"/>
  <c r="AO325"/>
  <c r="AO388"/>
  <c r="AO283"/>
  <c r="AO42"/>
  <c r="AO67" s="1"/>
  <c r="AO309"/>
  <c r="AO136"/>
  <c r="AO499"/>
  <c r="AO262"/>
  <c r="AO372"/>
  <c r="AO99"/>
  <c r="AO440"/>
  <c r="AO409"/>
  <c r="AO330"/>
  <c r="AO367"/>
  <c r="AO162"/>
  <c r="AO393"/>
  <c r="AO204"/>
  <c r="AO141"/>
  <c r="AO94"/>
  <c r="AO435"/>
  <c r="AO183"/>
  <c r="AO346"/>
  <c r="AO243"/>
  <c r="AO52" s="1"/>
  <c r="AO437"/>
  <c r="AO62" s="1"/>
  <c r="AO201"/>
  <c r="AO50" s="1"/>
  <c r="AO432"/>
  <c r="AO61" s="1"/>
  <c r="AO306"/>
  <c r="AO55" s="1"/>
  <c r="AO180"/>
  <c r="AO49" s="1"/>
  <c r="AO222"/>
  <c r="AO51" s="1"/>
  <c r="AO447"/>
  <c r="AO64" s="1"/>
  <c r="AO138"/>
  <c r="AO47" s="1"/>
  <c r="AO327"/>
  <c r="AO56" s="1"/>
  <c r="AO96"/>
  <c r="AO411"/>
  <c r="AO60" s="1"/>
  <c r="AO369"/>
  <c r="AO58" s="1"/>
  <c r="AO348"/>
  <c r="AO57" s="1"/>
  <c r="AO390"/>
  <c r="AO59" s="1"/>
  <c r="AO285"/>
  <c r="AO54" s="1"/>
  <c r="AO159"/>
  <c r="AO48" s="1"/>
  <c r="AO442"/>
  <c r="AO63" s="1"/>
  <c r="AO117"/>
  <c r="AO46" s="1"/>
  <c r="AO264"/>
  <c r="AO53" s="1"/>
  <c r="AN106"/>
  <c r="AN107"/>
  <c r="AN132"/>
  <c r="AN150"/>
  <c r="AN190"/>
  <c r="AN211"/>
  <c r="AN232"/>
  <c r="AN253"/>
  <c r="AN274"/>
  <c r="AN295"/>
  <c r="AN316"/>
  <c r="AN337"/>
  <c r="AN358"/>
  <c r="AN379"/>
  <c r="AN400"/>
  <c r="AN421"/>
  <c r="AN457"/>
  <c r="AN473"/>
  <c r="AN489"/>
  <c r="AN169"/>
  <c r="AN128"/>
  <c r="AN153"/>
  <c r="AN171"/>
  <c r="AN192"/>
  <c r="AN213"/>
  <c r="AN234"/>
  <c r="AN255"/>
  <c r="AN276"/>
  <c r="AN297"/>
  <c r="AN318"/>
  <c r="AN339"/>
  <c r="AN360"/>
  <c r="AN381"/>
  <c r="AN402"/>
  <c r="AN423"/>
  <c r="AN459"/>
  <c r="AN475"/>
  <c r="AN491"/>
  <c r="AN148"/>
  <c r="AN108"/>
  <c r="AN25" s="1"/>
  <c r="AN149"/>
  <c r="AN174"/>
  <c r="AN195"/>
  <c r="AN216"/>
  <c r="AN237"/>
  <c r="AN258"/>
  <c r="AN279"/>
  <c r="AN300"/>
  <c r="AN321"/>
  <c r="AN342"/>
  <c r="AN363"/>
  <c r="AN384"/>
  <c r="AN405"/>
  <c r="AN426"/>
  <c r="AN462"/>
  <c r="AN478"/>
  <c r="AN494"/>
  <c r="AN127"/>
  <c r="AN111"/>
  <c r="AN129"/>
  <c r="AN170"/>
  <c r="AN191"/>
  <c r="AN212"/>
  <c r="AN233"/>
  <c r="AN254"/>
  <c r="AN275"/>
  <c r="AN296"/>
  <c r="AN317"/>
  <c r="AN338"/>
  <c r="AN359"/>
  <c r="AN380"/>
  <c r="AN401"/>
  <c r="AN422"/>
  <c r="AN458"/>
  <c r="AN474"/>
  <c r="AN490"/>
  <c r="AN455"/>
  <c r="AN487"/>
  <c r="AN417"/>
  <c r="AN333"/>
  <c r="AN249"/>
  <c r="AN399"/>
  <c r="AN396"/>
  <c r="AN312"/>
  <c r="AN228"/>
  <c r="AN398"/>
  <c r="AN314"/>
  <c r="AN230"/>
  <c r="AN377"/>
  <c r="AN147"/>
  <c r="AN277"/>
  <c r="AN112"/>
  <c r="AN32" s="1"/>
  <c r="AN354"/>
  <c r="AN397"/>
  <c r="AN252"/>
  <c r="AN193"/>
  <c r="AN109"/>
  <c r="AN172"/>
  <c r="AN355"/>
  <c r="AN210"/>
  <c r="AN270"/>
  <c r="AN336"/>
  <c r="AN104"/>
  <c r="AN406"/>
  <c r="AN123"/>
  <c r="AN479"/>
  <c r="AN463"/>
  <c r="AN424"/>
  <c r="AN340"/>
  <c r="AN256"/>
  <c r="AN460"/>
  <c r="AN403"/>
  <c r="AN319"/>
  <c r="AN235"/>
  <c r="AN427"/>
  <c r="AN343"/>
  <c r="AN259"/>
  <c r="AN495"/>
  <c r="AN294"/>
  <c r="AN357"/>
  <c r="AN144"/>
  <c r="AN453"/>
  <c r="AN103"/>
  <c r="AN292"/>
  <c r="AN196"/>
  <c r="AN125"/>
  <c r="AN273"/>
  <c r="AN238"/>
  <c r="AN271"/>
  <c r="AN420"/>
  <c r="AN361"/>
  <c r="AN165"/>
  <c r="AN176" s="1"/>
  <c r="AN72" s="1"/>
  <c r="AN456"/>
  <c r="AN189"/>
  <c r="AN485"/>
  <c r="AN469"/>
  <c r="AN356"/>
  <c r="AN272"/>
  <c r="AN470"/>
  <c r="AN419"/>
  <c r="AN335"/>
  <c r="AN251"/>
  <c r="AN454"/>
  <c r="AN375"/>
  <c r="AN291"/>
  <c r="AN207"/>
  <c r="AN322"/>
  <c r="AN488"/>
  <c r="AN151"/>
  <c r="AN486"/>
  <c r="AN126"/>
  <c r="AN315"/>
  <c r="AN208"/>
  <c r="AN154"/>
  <c r="AN471"/>
  <c r="AN418"/>
  <c r="AN293"/>
  <c r="AN145"/>
  <c r="AN130"/>
  <c r="AN105"/>
  <c r="AN22" s="1"/>
  <c r="AN168"/>
  <c r="AN188"/>
  <c r="AN492"/>
  <c r="AN476"/>
  <c r="AN385"/>
  <c r="AN301"/>
  <c r="AN217"/>
  <c r="AN376"/>
  <c r="AN364"/>
  <c r="AN280"/>
  <c r="AN472"/>
  <c r="AN382"/>
  <c r="AN298"/>
  <c r="AN214"/>
  <c r="AN334"/>
  <c r="AN124"/>
  <c r="AN167"/>
  <c r="AN39"/>
  <c r="AN187"/>
  <c r="AN378"/>
  <c r="AN229"/>
  <c r="AN186"/>
  <c r="AN102"/>
  <c r="AN146"/>
  <c r="AN313"/>
  <c r="AN209"/>
  <c r="AN175"/>
  <c r="AN250"/>
  <c r="AN166"/>
  <c r="AN133"/>
  <c r="AN231"/>
  <c r="AA39" i="120"/>
  <c r="AQ36" i="116"/>
  <c r="AQ38" s="1"/>
  <c r="AB24" i="120"/>
  <c r="AB26"/>
  <c r="AB281"/>
  <c r="AB77" s="1"/>
  <c r="AB365"/>
  <c r="AB81" s="1"/>
  <c r="AB323"/>
  <c r="AB79" s="1"/>
  <c r="AC31" i="117"/>
  <c r="AC23"/>
  <c r="AC176"/>
  <c r="AC72" s="1"/>
  <c r="AC260"/>
  <c r="AC76" s="1"/>
  <c r="AC464"/>
  <c r="AC85" s="1"/>
  <c r="AC26"/>
  <c r="AC496"/>
  <c r="AC87" s="1"/>
  <c r="AC239"/>
  <c r="AC75" s="1"/>
  <c r="AR480" i="116"/>
  <c r="AR86" s="1"/>
  <c r="AR155"/>
  <c r="AR71" s="1"/>
  <c r="AR22"/>
  <c r="AR21"/>
  <c r="AR24"/>
  <c r="AM20" i="118"/>
  <c r="AM26"/>
  <c r="AM407"/>
  <c r="AM83" s="1"/>
  <c r="AM22"/>
  <c r="AM24"/>
  <c r="AL38"/>
  <c r="AQ88" i="116"/>
  <c r="AB19" i="120"/>
  <c r="AB407"/>
  <c r="AB83" s="1"/>
  <c r="AC19" i="117"/>
  <c r="AC113"/>
  <c r="AC69" s="1"/>
  <c r="AM19" i="118"/>
  <c r="AM113"/>
  <c r="AM69" s="1"/>
  <c r="Z39" i="117"/>
  <c r="AA39"/>
  <c r="AB25" i="120"/>
  <c r="AB155"/>
  <c r="AB71" s="1"/>
  <c r="AB386"/>
  <c r="AB82" s="1"/>
  <c r="AB302"/>
  <c r="AB78" s="1"/>
  <c r="AQ90" i="116"/>
  <c r="AC24" i="117"/>
  <c r="AC407"/>
  <c r="AC83" s="1"/>
  <c r="AC323"/>
  <c r="AC79" s="1"/>
  <c r="AC25"/>
  <c r="AC22"/>
  <c r="AC32"/>
  <c r="AR260" i="116"/>
  <c r="AR76" s="1"/>
  <c r="AR386"/>
  <c r="AR82" s="1"/>
  <c r="AR302"/>
  <c r="AR78" s="1"/>
  <c r="AR31"/>
  <c r="AM496" i="118"/>
  <c r="AM87" s="1"/>
  <c r="AM32"/>
  <c r="AM21"/>
  <c r="AB36" i="117"/>
  <c r="AC88" l="1"/>
  <c r="AC90" s="1"/>
  <c r="AO106" i="118"/>
  <c r="AO107"/>
  <c r="AO132"/>
  <c r="AO150"/>
  <c r="AO190"/>
  <c r="AO211"/>
  <c r="AO232"/>
  <c r="AO253"/>
  <c r="AO274"/>
  <c r="AO295"/>
  <c r="AO316"/>
  <c r="AO337"/>
  <c r="AO358"/>
  <c r="AO379"/>
  <c r="AO400"/>
  <c r="AO421"/>
  <c r="AO457"/>
  <c r="AO473"/>
  <c r="AO489"/>
  <c r="AO169"/>
  <c r="AO128"/>
  <c r="AO153"/>
  <c r="AO171"/>
  <c r="AO192"/>
  <c r="AO213"/>
  <c r="AO234"/>
  <c r="AO255"/>
  <c r="AO276"/>
  <c r="AO297"/>
  <c r="AO318"/>
  <c r="AO339"/>
  <c r="AO360"/>
  <c r="AO381"/>
  <c r="AO402"/>
  <c r="AO423"/>
  <c r="AO459"/>
  <c r="AO475"/>
  <c r="AO491"/>
  <c r="AO148"/>
  <c r="AO108"/>
  <c r="AO149"/>
  <c r="AO174"/>
  <c r="AO195"/>
  <c r="AO216"/>
  <c r="AO237"/>
  <c r="AO258"/>
  <c r="AO279"/>
  <c r="AO300"/>
  <c r="AO321"/>
  <c r="AO342"/>
  <c r="AO363"/>
  <c r="AO384"/>
  <c r="AO405"/>
  <c r="AO426"/>
  <c r="AO462"/>
  <c r="AO478"/>
  <c r="AO494"/>
  <c r="AO127"/>
  <c r="AO111"/>
  <c r="AO129"/>
  <c r="AO170"/>
  <c r="AO191"/>
  <c r="AO212"/>
  <c r="AO233"/>
  <c r="AO254"/>
  <c r="AO275"/>
  <c r="AO296"/>
  <c r="AO317"/>
  <c r="AO338"/>
  <c r="AO359"/>
  <c r="AO380"/>
  <c r="AO401"/>
  <c r="AO422"/>
  <c r="AO458"/>
  <c r="AO474"/>
  <c r="AO490"/>
  <c r="AO454"/>
  <c r="AO460"/>
  <c r="AO292"/>
  <c r="AO396"/>
  <c r="AO471"/>
  <c r="AO294"/>
  <c r="AO463"/>
  <c r="AO273"/>
  <c r="AO167"/>
  <c r="AO354"/>
  <c r="AO126"/>
  <c r="AO361"/>
  <c r="AO249"/>
  <c r="AO123"/>
  <c r="AO280"/>
  <c r="AO209"/>
  <c r="AO238"/>
  <c r="AO235"/>
  <c r="AO196"/>
  <c r="AO291"/>
  <c r="AO105"/>
  <c r="AO312"/>
  <c r="AO252"/>
  <c r="AO377"/>
  <c r="AO356"/>
  <c r="AO322"/>
  <c r="AO256"/>
  <c r="AO340"/>
  <c r="AO472"/>
  <c r="AO469"/>
  <c r="AO315"/>
  <c r="AO403"/>
  <c r="AO495"/>
  <c r="AO355"/>
  <c r="AO485"/>
  <c r="AO334"/>
  <c r="AO277"/>
  <c r="AO112"/>
  <c r="AO398"/>
  <c r="AO187"/>
  <c r="AO406"/>
  <c r="AO259"/>
  <c r="AO130"/>
  <c r="AO301"/>
  <c r="AO214"/>
  <c r="AO251"/>
  <c r="AO293"/>
  <c r="AO208"/>
  <c r="AO382"/>
  <c r="AO133"/>
  <c r="AO314"/>
  <c r="AO104"/>
  <c r="AO125"/>
  <c r="AO102"/>
  <c r="AO186"/>
  <c r="AO427"/>
  <c r="AO319"/>
  <c r="AO470"/>
  <c r="AO479"/>
  <c r="AO376"/>
  <c r="AO419"/>
  <c r="AO335"/>
  <c r="AO378"/>
  <c r="AO486"/>
  <c r="AO357"/>
  <c r="AO476"/>
  <c r="AO144"/>
  <c r="AO424"/>
  <c r="AO298"/>
  <c r="AO455"/>
  <c r="AO270"/>
  <c r="AO146"/>
  <c r="AO420"/>
  <c r="AO230"/>
  <c r="AO145"/>
  <c r="AO313"/>
  <c r="AO210"/>
  <c r="AO492"/>
  <c r="AO189"/>
  <c r="AO385"/>
  <c r="AO147"/>
  <c r="AO165"/>
  <c r="AO109"/>
  <c r="AO193"/>
  <c r="AO417"/>
  <c r="AO172"/>
  <c r="AO488"/>
  <c r="AO456"/>
  <c r="AO399"/>
  <c r="AO231"/>
  <c r="AO364"/>
  <c r="AO453"/>
  <c r="AO271"/>
  <c r="AO418"/>
  <c r="AO250"/>
  <c r="AO151"/>
  <c r="AO39"/>
  <c r="AO343"/>
  <c r="AO103"/>
  <c r="AO336"/>
  <c r="AO175"/>
  <c r="AO487"/>
  <c r="AO272"/>
  <c r="AO168"/>
  <c r="AO375"/>
  <c r="AO386" s="1"/>
  <c r="AO82" s="1"/>
  <c r="AO217"/>
  <c r="AO154"/>
  <c r="AO229"/>
  <c r="AO397"/>
  <c r="AO188"/>
  <c r="AO228"/>
  <c r="AO124"/>
  <c r="AO207"/>
  <c r="AO166"/>
  <c r="AO333"/>
  <c r="AT148" i="116"/>
  <c r="AT108"/>
  <c r="AT149"/>
  <c r="AT174"/>
  <c r="AT195"/>
  <c r="AT216"/>
  <c r="AT237"/>
  <c r="AT258"/>
  <c r="AT279"/>
  <c r="AT300"/>
  <c r="AT321"/>
  <c r="AT342"/>
  <c r="AT363"/>
  <c r="AT384"/>
  <c r="AT405"/>
  <c r="AT426"/>
  <c r="AT462"/>
  <c r="AT478"/>
  <c r="AT494"/>
  <c r="AT127"/>
  <c r="AT111"/>
  <c r="AT129"/>
  <c r="AT170"/>
  <c r="AT191"/>
  <c r="AT212"/>
  <c r="AT233"/>
  <c r="AT254"/>
  <c r="AT275"/>
  <c r="AT296"/>
  <c r="AT317"/>
  <c r="AT338"/>
  <c r="AT359"/>
  <c r="AT380"/>
  <c r="AT401"/>
  <c r="AT422"/>
  <c r="AT458"/>
  <c r="AT474"/>
  <c r="AT490"/>
  <c r="AT106"/>
  <c r="AT107"/>
  <c r="AT132"/>
  <c r="AT150"/>
  <c r="AT190"/>
  <c r="AT211"/>
  <c r="AT232"/>
  <c r="AT253"/>
  <c r="AT274"/>
  <c r="AT295"/>
  <c r="AT316"/>
  <c r="AT337"/>
  <c r="AT358"/>
  <c r="AT379"/>
  <c r="AT400"/>
  <c r="AT421"/>
  <c r="AT457"/>
  <c r="AT473"/>
  <c r="AT489"/>
  <c r="AT169"/>
  <c r="AT128"/>
  <c r="AT153"/>
  <c r="AT171"/>
  <c r="AT192"/>
  <c r="AT213"/>
  <c r="AT234"/>
  <c r="AT255"/>
  <c r="AT276"/>
  <c r="AT297"/>
  <c r="AT318"/>
  <c r="AT339"/>
  <c r="AT360"/>
  <c r="AT381"/>
  <c r="AT402"/>
  <c r="AT423"/>
  <c r="AT459"/>
  <c r="AT475"/>
  <c r="AT491"/>
  <c r="AT397"/>
  <c r="AT229"/>
  <c r="AT476"/>
  <c r="AT385"/>
  <c r="AT301"/>
  <c r="AT217"/>
  <c r="AT133"/>
  <c r="AT376"/>
  <c r="AT208"/>
  <c r="AT455"/>
  <c r="AT375"/>
  <c r="AT291"/>
  <c r="AT207"/>
  <c r="AT123"/>
  <c r="AT228"/>
  <c r="AT239" s="1"/>
  <c r="AT75" s="1"/>
  <c r="AT322"/>
  <c r="AT151"/>
  <c r="AT357"/>
  <c r="AT103"/>
  <c r="AT293"/>
  <c r="AT109"/>
  <c r="AT167"/>
  <c r="AT271"/>
  <c r="AT105"/>
  <c r="AT210"/>
  <c r="AT396"/>
  <c r="AT486"/>
  <c r="AT471"/>
  <c r="AT420"/>
  <c r="AT252"/>
  <c r="AT487"/>
  <c r="AT417"/>
  <c r="AT333"/>
  <c r="AT249"/>
  <c r="AT165"/>
  <c r="AT176" s="1"/>
  <c r="AT72" s="1"/>
  <c r="AT399"/>
  <c r="AT231"/>
  <c r="AT479"/>
  <c r="AT382"/>
  <c r="AT298"/>
  <c r="AT214"/>
  <c r="AT130"/>
  <c r="AT273"/>
  <c r="AT419"/>
  <c r="AT250"/>
  <c r="AT463"/>
  <c r="AT196"/>
  <c r="AT319"/>
  <c r="AT126"/>
  <c r="AT235"/>
  <c r="AT377"/>
  <c r="AT187"/>
  <c r="AT238"/>
  <c r="AT335"/>
  <c r="AT488"/>
  <c r="AT334"/>
  <c r="AT166"/>
  <c r="AT454"/>
  <c r="AT313"/>
  <c r="AT145"/>
  <c r="AT424"/>
  <c r="AT340"/>
  <c r="AT256"/>
  <c r="AT172"/>
  <c r="AT456"/>
  <c r="AT292"/>
  <c r="AT124"/>
  <c r="AT398"/>
  <c r="AT314"/>
  <c r="AT230"/>
  <c r="AT146"/>
  <c r="AT355"/>
  <c r="AT112"/>
  <c r="AT277"/>
  <c r="AT495"/>
  <c r="AT270"/>
  <c r="AT418"/>
  <c r="AT154"/>
  <c r="AT364"/>
  <c r="AT361"/>
  <c r="AT189"/>
  <c r="AT280"/>
  <c r="AT470"/>
  <c r="AT460"/>
  <c r="AT403"/>
  <c r="AT492"/>
  <c r="AT472"/>
  <c r="AT336"/>
  <c r="AT168"/>
  <c r="AT469"/>
  <c r="AT356"/>
  <c r="AT272"/>
  <c r="AT188"/>
  <c r="AT104"/>
  <c r="AT315"/>
  <c r="AT147"/>
  <c r="AT427"/>
  <c r="AT343"/>
  <c r="AT259"/>
  <c r="AT175"/>
  <c r="AT485"/>
  <c r="AT186"/>
  <c r="AT294"/>
  <c r="AT125"/>
  <c r="AT312"/>
  <c r="AT39"/>
  <c r="AT251"/>
  <c r="AT406"/>
  <c r="AT378"/>
  <c r="AT209"/>
  <c r="AT102"/>
  <c r="AT144"/>
  <c r="AT193"/>
  <c r="AT453"/>
  <c r="AT354"/>
  <c r="AT365" s="1"/>
  <c r="AT81" s="1"/>
  <c r="AE319" i="117"/>
  <c r="AE154"/>
  <c r="AE103"/>
  <c r="AE129"/>
  <c r="AE210"/>
  <c r="AE273"/>
  <c r="AE472"/>
  <c r="AE453"/>
  <c r="AE168"/>
  <c r="AE228"/>
  <c r="AE105"/>
  <c r="AE376"/>
  <c r="AE361"/>
  <c r="AE298"/>
  <c r="AE277"/>
  <c r="AE250"/>
  <c r="AE360"/>
  <c r="AE207"/>
  <c r="AE340"/>
  <c r="AE406"/>
  <c r="AE147"/>
  <c r="AE469"/>
  <c r="AE403"/>
  <c r="AE364"/>
  <c r="AE193"/>
  <c r="AE112"/>
  <c r="AE292"/>
  <c r="AE150"/>
  <c r="AE171"/>
  <c r="AE402"/>
  <c r="AE217"/>
  <c r="AE208"/>
  <c r="AE314"/>
  <c r="AE382"/>
  <c r="AE109"/>
  <c r="AE175"/>
  <c r="AE486"/>
  <c r="AE334"/>
  <c r="AE495"/>
  <c r="AE280"/>
  <c r="AE312"/>
  <c r="AE235"/>
  <c r="AE192"/>
  <c r="AE104"/>
  <c r="AE196"/>
  <c r="AE293"/>
  <c r="AE375"/>
  <c r="AE238"/>
  <c r="AE459"/>
  <c r="AE423"/>
  <c r="AE377"/>
  <c r="AE476"/>
  <c r="AE418"/>
  <c r="AE148"/>
  <c r="AE144"/>
  <c r="AE470"/>
  <c r="AE297"/>
  <c r="AE124"/>
  <c r="AE125"/>
  <c r="AE492"/>
  <c r="AE424"/>
  <c r="AE485"/>
  <c r="AE479"/>
  <c r="AE417"/>
  <c r="AE186"/>
  <c r="AE396"/>
  <c r="AE455"/>
  <c r="AE489"/>
  <c r="AE276"/>
  <c r="AE130"/>
  <c r="AE356"/>
  <c r="AE333"/>
  <c r="AE252"/>
  <c r="AE234"/>
  <c r="AE229"/>
  <c r="AE420"/>
  <c r="AE123"/>
  <c r="AE355"/>
  <c r="AE270"/>
  <c r="AE151"/>
  <c r="AE187"/>
  <c r="AE354"/>
  <c r="AE209"/>
  <c r="AE397"/>
  <c r="AE491"/>
  <c r="AE301"/>
  <c r="AE188"/>
  <c r="AE166"/>
  <c r="AE315"/>
  <c r="AE214"/>
  <c r="AE167"/>
  <c r="AE385"/>
  <c r="AE211"/>
  <c r="AE487"/>
  <c r="AE399"/>
  <c r="AE378"/>
  <c r="AE454"/>
  <c r="AE473"/>
  <c r="AE358"/>
  <c r="AE291"/>
  <c r="AE232"/>
  <c r="AE457"/>
  <c r="AE427"/>
  <c r="AE259"/>
  <c r="AE165"/>
  <c r="AE421"/>
  <c r="AE272"/>
  <c r="AE108"/>
  <c r="AE25" s="1"/>
  <c r="AE213"/>
  <c r="AE255"/>
  <c r="AE231"/>
  <c r="AE463"/>
  <c r="AE339"/>
  <c r="AE189"/>
  <c r="AE133"/>
  <c r="AE146"/>
  <c r="AE251"/>
  <c r="AE357"/>
  <c r="AE256"/>
  <c r="AE271"/>
  <c r="AE335"/>
  <c r="AE381"/>
  <c r="AE172"/>
  <c r="AE488"/>
  <c r="AE343"/>
  <c r="AE145"/>
  <c r="AE318"/>
  <c r="AE230"/>
  <c r="AE322"/>
  <c r="AE471"/>
  <c r="AE475"/>
  <c r="AE460"/>
  <c r="AE249"/>
  <c r="AE398"/>
  <c r="AE127"/>
  <c r="AE106"/>
  <c r="AE316"/>
  <c r="AE295"/>
  <c r="AE126"/>
  <c r="AE400"/>
  <c r="AE274"/>
  <c r="AE169"/>
  <c r="AE313"/>
  <c r="AE419"/>
  <c r="AE336"/>
  <c r="AE253"/>
  <c r="AE337"/>
  <c r="AE379"/>
  <c r="AE190"/>
  <c r="AE317"/>
  <c r="AE102"/>
  <c r="AE19" s="1"/>
  <c r="AE456"/>
  <c r="AE294"/>
  <c r="AE490"/>
  <c r="AE474"/>
  <c r="AE321"/>
  <c r="AE323" s="1"/>
  <c r="AE79" s="1"/>
  <c r="AE401"/>
  <c r="AE380"/>
  <c r="AE405"/>
  <c r="AE195"/>
  <c r="AE338"/>
  <c r="AE216"/>
  <c r="AE296"/>
  <c r="AE111"/>
  <c r="AE384"/>
  <c r="AE149"/>
  <c r="AE342"/>
  <c r="AE107"/>
  <c r="AE300"/>
  <c r="AE233"/>
  <c r="AE279"/>
  <c r="AE254"/>
  <c r="AE426"/>
  <c r="AE494"/>
  <c r="AE258"/>
  <c r="AE128"/>
  <c r="AE191"/>
  <c r="AE132"/>
  <c r="AE170"/>
  <c r="AE458"/>
  <c r="AE174"/>
  <c r="AE275"/>
  <c r="AE478"/>
  <c r="AE153"/>
  <c r="AE237"/>
  <c r="AE363"/>
  <c r="AE359"/>
  <c r="AE365" s="1"/>
  <c r="AE81" s="1"/>
  <c r="AE422"/>
  <c r="AE212"/>
  <c r="AE218" s="1"/>
  <c r="AE74" s="1"/>
  <c r="AE462"/>
  <c r="AD473" i="120"/>
  <c r="AD273"/>
  <c r="AD229"/>
  <c r="AD463"/>
  <c r="AD360"/>
  <c r="AD402"/>
  <c r="AD232"/>
  <c r="AD295"/>
  <c r="AD217"/>
  <c r="AD495"/>
  <c r="AD382"/>
  <c r="AD358"/>
  <c r="AD165"/>
  <c r="AD476"/>
  <c r="AD255"/>
  <c r="AD144"/>
  <c r="AD211"/>
  <c r="AD293"/>
  <c r="AD469"/>
  <c r="AD277"/>
  <c r="AD148"/>
  <c r="AD130"/>
  <c r="AD486"/>
  <c r="AD472"/>
  <c r="AD421"/>
  <c r="AD379"/>
  <c r="AD385"/>
  <c r="AD455"/>
  <c r="AD154"/>
  <c r="AD315"/>
  <c r="AD291"/>
  <c r="AD168"/>
  <c r="AD398"/>
  <c r="AD343"/>
  <c r="AD313"/>
  <c r="AD192"/>
  <c r="AD175"/>
  <c r="AD361"/>
  <c r="AD312"/>
  <c r="AD209"/>
  <c r="AD235"/>
  <c r="AD454"/>
  <c r="AD207"/>
  <c r="AD417"/>
  <c r="AD228"/>
  <c r="AD196"/>
  <c r="AD186"/>
  <c r="AD488"/>
  <c r="AD108"/>
  <c r="AD193"/>
  <c r="AD167"/>
  <c r="AD319"/>
  <c r="AD252"/>
  <c r="AD487"/>
  <c r="AD337"/>
  <c r="AD456"/>
  <c r="AD377"/>
  <c r="AD335"/>
  <c r="AD272"/>
  <c r="AD400"/>
  <c r="AD406"/>
  <c r="AD280"/>
  <c r="AD106"/>
  <c r="AD492"/>
  <c r="AD339"/>
  <c r="AD297"/>
  <c r="AD249"/>
  <c r="AD403"/>
  <c r="AD453"/>
  <c r="AD105"/>
  <c r="AD259"/>
  <c r="AD489"/>
  <c r="AD479"/>
  <c r="AD187"/>
  <c r="AD145"/>
  <c r="AD298"/>
  <c r="AD485"/>
  <c r="AD230"/>
  <c r="AD424"/>
  <c r="AD375"/>
  <c r="AD427"/>
  <c r="AD397"/>
  <c r="AD150"/>
  <c r="AD112"/>
  <c r="AD190"/>
  <c r="AD251"/>
  <c r="AD171"/>
  <c r="AD334"/>
  <c r="AD357"/>
  <c r="AD354"/>
  <c r="AD457"/>
  <c r="AD491"/>
  <c r="AD231"/>
  <c r="AD256"/>
  <c r="AD151"/>
  <c r="AD460"/>
  <c r="AD381"/>
  <c r="AD123"/>
  <c r="AD318"/>
  <c r="AD147"/>
  <c r="AD129"/>
  <c r="AD316"/>
  <c r="AD418"/>
  <c r="AD109"/>
  <c r="AD102"/>
  <c r="AD210"/>
  <c r="AD292"/>
  <c r="AD124"/>
  <c r="AD399"/>
  <c r="AD333"/>
  <c r="AD301"/>
  <c r="AD133"/>
  <c r="AD238"/>
  <c r="AD355"/>
  <c r="AD169"/>
  <c r="AD274"/>
  <c r="AD378"/>
  <c r="AD420"/>
  <c r="AD314"/>
  <c r="AD125"/>
  <c r="AD234"/>
  <c r="AD475"/>
  <c r="AD470"/>
  <c r="AD419"/>
  <c r="AD214"/>
  <c r="AD471"/>
  <c r="AD103"/>
  <c r="AD172"/>
  <c r="AD364"/>
  <c r="AD270"/>
  <c r="AD276"/>
  <c r="AD250"/>
  <c r="AD322"/>
  <c r="AD376"/>
  <c r="AD208"/>
  <c r="AD459"/>
  <c r="AD213"/>
  <c r="AD356"/>
  <c r="AD188"/>
  <c r="AD104"/>
  <c r="AD127"/>
  <c r="AD189"/>
  <c r="AD340"/>
  <c r="AD166"/>
  <c r="AD423"/>
  <c r="AD271"/>
  <c r="AD336"/>
  <c r="AD170"/>
  <c r="AD146"/>
  <c r="AD254"/>
  <c r="AD253"/>
  <c r="AD396"/>
  <c r="AD126"/>
  <c r="AD294"/>
  <c r="AD212"/>
  <c r="AD174"/>
  <c r="AD176" s="1"/>
  <c r="AD72" s="1"/>
  <c r="AD401"/>
  <c r="AD132"/>
  <c r="AD422"/>
  <c r="AD237"/>
  <c r="AD458"/>
  <c r="AD405"/>
  <c r="AD216"/>
  <c r="AD342"/>
  <c r="AD490"/>
  <c r="AD494"/>
  <c r="AD359"/>
  <c r="AD107"/>
  <c r="AD300"/>
  <c r="AD474"/>
  <c r="AD384"/>
  <c r="AD275"/>
  <c r="AD128"/>
  <c r="AD233"/>
  <c r="AD426"/>
  <c r="AD195"/>
  <c r="AD363"/>
  <c r="AD258"/>
  <c r="AD380"/>
  <c r="AD149"/>
  <c r="AD321"/>
  <c r="AD279"/>
  <c r="AD478"/>
  <c r="AD338"/>
  <c r="AD317"/>
  <c r="AD462"/>
  <c r="AD191"/>
  <c r="AD153"/>
  <c r="AD111"/>
  <c r="AD31" s="1"/>
  <c r="AD296"/>
  <c r="AD113" i="117"/>
  <c r="AD69" s="1"/>
  <c r="AD24"/>
  <c r="AN386" i="118"/>
  <c r="AN82" s="1"/>
  <c r="AS32" i="116"/>
  <c r="AS20"/>
  <c r="AS176"/>
  <c r="AS72" s="1"/>
  <c r="AS365"/>
  <c r="AS81" s="1"/>
  <c r="AC31" i="120"/>
  <c r="AC260"/>
  <c r="AC76" s="1"/>
  <c r="AC239"/>
  <c r="AC75" s="1"/>
  <c r="AC22"/>
  <c r="AC218"/>
  <c r="AC74" s="1"/>
  <c r="AC155"/>
  <c r="AC71" s="1"/>
  <c r="AR88" i="116"/>
  <c r="AR90" s="1"/>
  <c r="AD31" i="117"/>
  <c r="AD25"/>
  <c r="AD480"/>
  <c r="AD86" s="1"/>
  <c r="AB38"/>
  <c r="AT45" i="116"/>
  <c r="AT65" s="1"/>
  <c r="AT10"/>
  <c r="AT14" s="1"/>
  <c r="AC19" i="120"/>
  <c r="AC407"/>
  <c r="AC83" s="1"/>
  <c r="AE45" i="117"/>
  <c r="AE65" s="1"/>
  <c r="AE10"/>
  <c r="AE14" s="1"/>
  <c r="AF367"/>
  <c r="AF346"/>
  <c r="AF246"/>
  <c r="AF141"/>
  <c r="AF325"/>
  <c r="AF267"/>
  <c r="AF99"/>
  <c r="AF409"/>
  <c r="AG8"/>
  <c r="AF466"/>
  <c r="AF393"/>
  <c r="AF120"/>
  <c r="AF499"/>
  <c r="AF430"/>
  <c r="AF330"/>
  <c r="AF225"/>
  <c r="AF435"/>
  <c r="AF283"/>
  <c r="AF440"/>
  <c r="AF136"/>
  <c r="AF183"/>
  <c r="AF388"/>
  <c r="AF351"/>
  <c r="AF503"/>
  <c r="AF414"/>
  <c r="AF262"/>
  <c r="AF115"/>
  <c r="AF157"/>
  <c r="AF178"/>
  <c r="AF162"/>
  <c r="AF304"/>
  <c r="AF94"/>
  <c r="AF16"/>
  <c r="AF372"/>
  <c r="AF445"/>
  <c r="AF288"/>
  <c r="AF507"/>
  <c r="AF508" s="1"/>
  <c r="AF509" s="1"/>
  <c r="AF199"/>
  <c r="AF241"/>
  <c r="AF42"/>
  <c r="AF67" s="1"/>
  <c r="AF204"/>
  <c r="AF450"/>
  <c r="AF482"/>
  <c r="AF309"/>
  <c r="AF220"/>
  <c r="AF432"/>
  <c r="AF61" s="1"/>
  <c r="AF437"/>
  <c r="AF62" s="1"/>
  <c r="AF264"/>
  <c r="AF53" s="1"/>
  <c r="AF348"/>
  <c r="AF57" s="1"/>
  <c r="AF447"/>
  <c r="AF64" s="1"/>
  <c r="AF159"/>
  <c r="AF48" s="1"/>
  <c r="AF369"/>
  <c r="AF58" s="1"/>
  <c r="AF201"/>
  <c r="AF50" s="1"/>
  <c r="AF180"/>
  <c r="AF49" s="1"/>
  <c r="AF138"/>
  <c r="AF47" s="1"/>
  <c r="AF327"/>
  <c r="AF56" s="1"/>
  <c r="AF411"/>
  <c r="AF60" s="1"/>
  <c r="AF222"/>
  <c r="AF51" s="1"/>
  <c r="AF306"/>
  <c r="AF55" s="1"/>
  <c r="AF243"/>
  <c r="AF52" s="1"/>
  <c r="AF442"/>
  <c r="AF63" s="1"/>
  <c r="AF285"/>
  <c r="AF54" s="1"/>
  <c r="AF390"/>
  <c r="AF59" s="1"/>
  <c r="AF96"/>
  <c r="AF117"/>
  <c r="AF46" s="1"/>
  <c r="AD45" i="120"/>
  <c r="AD65" s="1"/>
  <c r="AD10"/>
  <c r="AD14" s="1"/>
  <c r="AM36" i="118"/>
  <c r="AM38" s="1"/>
  <c r="AB36" i="120"/>
  <c r="AB38" s="1"/>
  <c r="AB39" s="1"/>
  <c r="AN302" i="118"/>
  <c r="AN78" s="1"/>
  <c r="AN155"/>
  <c r="AN71" s="1"/>
  <c r="AN134"/>
  <c r="AN70" s="1"/>
  <c r="AN281"/>
  <c r="AN77" s="1"/>
  <c r="AN26"/>
  <c r="AN365"/>
  <c r="AN81" s="1"/>
  <c r="AN239"/>
  <c r="AN75" s="1"/>
  <c r="AN260"/>
  <c r="AN76" s="1"/>
  <c r="AN23"/>
  <c r="AS155" i="116"/>
  <c r="AS71" s="1"/>
  <c r="AS281"/>
  <c r="AS77" s="1"/>
  <c r="AS464"/>
  <c r="AS85" s="1"/>
  <c r="AS407"/>
  <c r="AS83" s="1"/>
  <c r="AS134"/>
  <c r="AS70" s="1"/>
  <c r="AS428"/>
  <c r="AS84" s="1"/>
  <c r="AS26"/>
  <c r="AS496"/>
  <c r="AS87" s="1"/>
  <c r="AS218"/>
  <c r="AS74" s="1"/>
  <c r="AS31"/>
  <c r="AC480" i="120"/>
  <c r="AC86" s="1"/>
  <c r="AC113"/>
  <c r="AC69" s="1"/>
  <c r="AC20"/>
  <c r="AC386"/>
  <c r="AC82" s="1"/>
  <c r="AC176"/>
  <c r="AC72" s="1"/>
  <c r="AC197"/>
  <c r="AC73" s="1"/>
  <c r="AD302" i="117"/>
  <c r="AD78" s="1"/>
  <c r="AD23"/>
  <c r="AD428"/>
  <c r="AD84" s="1"/>
  <c r="AD155"/>
  <c r="AD71" s="1"/>
  <c r="AD176"/>
  <c r="AD72" s="1"/>
  <c r="AD197"/>
  <c r="AD73" s="1"/>
  <c r="AD26"/>
  <c r="AD464"/>
  <c r="AD85" s="1"/>
  <c r="AD344"/>
  <c r="AD80" s="1"/>
  <c r="AD239"/>
  <c r="AD75" s="1"/>
  <c r="AN480" i="118"/>
  <c r="AN86" s="1"/>
  <c r="AN344"/>
  <c r="AN80" s="1"/>
  <c r="AM88"/>
  <c r="AN197"/>
  <c r="AN73" s="1"/>
  <c r="AN218"/>
  <c r="AN74" s="1"/>
  <c r="AN464"/>
  <c r="AN85" s="1"/>
  <c r="AN24"/>
  <c r="AS197" i="116"/>
  <c r="AS73" s="1"/>
  <c r="AS386"/>
  <c r="AS82" s="1"/>
  <c r="AS323"/>
  <c r="AS79" s="1"/>
  <c r="AS21"/>
  <c r="AS480"/>
  <c r="AS86" s="1"/>
  <c r="AS344"/>
  <c r="AS80" s="1"/>
  <c r="AS239"/>
  <c r="AS75" s="1"/>
  <c r="AS25"/>
  <c r="AC281" i="120"/>
  <c r="AC77" s="1"/>
  <c r="AC134"/>
  <c r="AC70" s="1"/>
  <c r="AC24"/>
  <c r="AC428"/>
  <c r="AC84" s="1"/>
  <c r="AC323"/>
  <c r="AC79" s="1"/>
  <c r="AC365"/>
  <c r="AC81" s="1"/>
  <c r="AB88"/>
  <c r="AB90" s="1"/>
  <c r="AD365" i="117"/>
  <c r="AD81" s="1"/>
  <c r="AD323"/>
  <c r="AD79" s="1"/>
  <c r="AD19"/>
  <c r="AD496"/>
  <c r="AD87" s="1"/>
  <c r="AD22"/>
  <c r="AD386"/>
  <c r="AD82" s="1"/>
  <c r="AD32"/>
  <c r="AD21"/>
  <c r="AN19" i="118"/>
  <c r="AN113"/>
  <c r="AN69" s="1"/>
  <c r="AO45"/>
  <c r="AO65" s="1"/>
  <c r="AO10"/>
  <c r="AO14" s="1"/>
  <c r="AP445"/>
  <c r="AP246"/>
  <c r="AP225"/>
  <c r="AP204"/>
  <c r="AP136"/>
  <c r="AQ8"/>
  <c r="AP430"/>
  <c r="AP183"/>
  <c r="AP450"/>
  <c r="AP241"/>
  <c r="AP351"/>
  <c r="AP367"/>
  <c r="AP435"/>
  <c r="AP330"/>
  <c r="AP309"/>
  <c r="AP288"/>
  <c r="AP267"/>
  <c r="AP115"/>
  <c r="AP199"/>
  <c r="AP157"/>
  <c r="AP94"/>
  <c r="AP16"/>
  <c r="AP499"/>
  <c r="AP414"/>
  <c r="AP393"/>
  <c r="AP372"/>
  <c r="AP325"/>
  <c r="AP346"/>
  <c r="AP283"/>
  <c r="AP42"/>
  <c r="AP67" s="1"/>
  <c r="AP409"/>
  <c r="AP178"/>
  <c r="AP262"/>
  <c r="AP482"/>
  <c r="AP388"/>
  <c r="AP466"/>
  <c r="AP503"/>
  <c r="AP141"/>
  <c r="AP507"/>
  <c r="AP508" s="1"/>
  <c r="AP509" s="1"/>
  <c r="AP304"/>
  <c r="AP99"/>
  <c r="AP162"/>
  <c r="AP220"/>
  <c r="AP120"/>
  <c r="AP440"/>
  <c r="AP201"/>
  <c r="AP50" s="1"/>
  <c r="AP327"/>
  <c r="AP56" s="1"/>
  <c r="AP96"/>
  <c r="AP285"/>
  <c r="AP54" s="1"/>
  <c r="AP222"/>
  <c r="AP51" s="1"/>
  <c r="AP306"/>
  <c r="AP55" s="1"/>
  <c r="AP432"/>
  <c r="AP61" s="1"/>
  <c r="AP180"/>
  <c r="AP49" s="1"/>
  <c r="AP437"/>
  <c r="AP62" s="1"/>
  <c r="AP243"/>
  <c r="AP52" s="1"/>
  <c r="AP138"/>
  <c r="AP47" s="1"/>
  <c r="AP159"/>
  <c r="AP48" s="1"/>
  <c r="AP411"/>
  <c r="AP60" s="1"/>
  <c r="AP117"/>
  <c r="AP46" s="1"/>
  <c r="AP447"/>
  <c r="AP64" s="1"/>
  <c r="AP264"/>
  <c r="AP53" s="1"/>
  <c r="AP348"/>
  <c r="AP57" s="1"/>
  <c r="AP442"/>
  <c r="AP63" s="1"/>
  <c r="AP369"/>
  <c r="AP58" s="1"/>
  <c r="AP390"/>
  <c r="AP59" s="1"/>
  <c r="AS19" i="116"/>
  <c r="AS113"/>
  <c r="AS69" s="1"/>
  <c r="AU183"/>
  <c r="AU440"/>
  <c r="AU157"/>
  <c r="AU246"/>
  <c r="AU16"/>
  <c r="AU115"/>
  <c r="AU388"/>
  <c r="AU507"/>
  <c r="AU508" s="1"/>
  <c r="AU509" s="1"/>
  <c r="AU288"/>
  <c r="AU204"/>
  <c r="AU393"/>
  <c r="AU99"/>
  <c r="AU325"/>
  <c r="AU330"/>
  <c r="AU367"/>
  <c r="AU450"/>
  <c r="AU225"/>
  <c r="AU220"/>
  <c r="AU309"/>
  <c r="AU430"/>
  <c r="AU267"/>
  <c r="AU409"/>
  <c r="AU414"/>
  <c r="AU482"/>
  <c r="AU120"/>
  <c r="AU346"/>
  <c r="AU499"/>
  <c r="AU304"/>
  <c r="AU351"/>
  <c r="AU466"/>
  <c r="AU445"/>
  <c r="AU42"/>
  <c r="AU67" s="1"/>
  <c r="AU199"/>
  <c r="AU178"/>
  <c r="AU136"/>
  <c r="AU94"/>
  <c r="AU435"/>
  <c r="AU503"/>
  <c r="AU241"/>
  <c r="AU162"/>
  <c r="AU283"/>
  <c r="AU141"/>
  <c r="AU372"/>
  <c r="AU262"/>
  <c r="AU390"/>
  <c r="AU59" s="1"/>
  <c r="N59" s="1"/>
  <c r="AU159"/>
  <c r="AU48" s="1"/>
  <c r="N48" s="1"/>
  <c r="AU285"/>
  <c r="AU54" s="1"/>
  <c r="N54" s="1"/>
  <c r="AU348"/>
  <c r="AU57" s="1"/>
  <c r="N57" s="1"/>
  <c r="AU369"/>
  <c r="AU58" s="1"/>
  <c r="N58" s="1"/>
  <c r="AU411"/>
  <c r="AU60" s="1"/>
  <c r="N60" s="1"/>
  <c r="AU117"/>
  <c r="AU46" s="1"/>
  <c r="N46" s="1"/>
  <c r="AU222"/>
  <c r="AU51" s="1"/>
  <c r="N51" s="1"/>
  <c r="AU243"/>
  <c r="AU52" s="1"/>
  <c r="N52" s="1"/>
  <c r="AU201"/>
  <c r="AU50" s="1"/>
  <c r="N50" s="1"/>
  <c r="AU138"/>
  <c r="AU47" s="1"/>
  <c r="N47" s="1"/>
  <c r="AU180"/>
  <c r="AU49" s="1"/>
  <c r="N49" s="1"/>
  <c r="AU327"/>
  <c r="AU56" s="1"/>
  <c r="N56" s="1"/>
  <c r="AU96"/>
  <c r="AU264"/>
  <c r="AU53" s="1"/>
  <c r="N53" s="1"/>
  <c r="AU437"/>
  <c r="AU62" s="1"/>
  <c r="N62" s="1"/>
  <c r="AU447"/>
  <c r="AU64" s="1"/>
  <c r="N64" s="1"/>
  <c r="AU432"/>
  <c r="AU61" s="1"/>
  <c r="AU442"/>
  <c r="AU63" s="1"/>
  <c r="N63" s="1"/>
  <c r="AU306"/>
  <c r="AU55" s="1"/>
  <c r="N55" s="1"/>
  <c r="AE430" i="120"/>
  <c r="AE351"/>
  <c r="AE393"/>
  <c r="AE507"/>
  <c r="AE508" s="1"/>
  <c r="AE509" s="1"/>
  <c r="AE388"/>
  <c r="AE199"/>
  <c r="AE346"/>
  <c r="AE157"/>
  <c r="AE120"/>
  <c r="AE42"/>
  <c r="AE67" s="1"/>
  <c r="AE99"/>
  <c r="AE115"/>
  <c r="AE482"/>
  <c r="AE450"/>
  <c r="AE330"/>
  <c r="AE220"/>
  <c r="AE499"/>
  <c r="AE288"/>
  <c r="AE372"/>
  <c r="AE183"/>
  <c r="AE136"/>
  <c r="AE440"/>
  <c r="AE367"/>
  <c r="AE94"/>
  <c r="AE466"/>
  <c r="AE409"/>
  <c r="AE283"/>
  <c r="AE225"/>
  <c r="AE435"/>
  <c r="AE262"/>
  <c r="AE246"/>
  <c r="AE141"/>
  <c r="AE16"/>
  <c r="AE162"/>
  <c r="AE241"/>
  <c r="AE503"/>
  <c r="AE414"/>
  <c r="AE309"/>
  <c r="AE267"/>
  <c r="AE445"/>
  <c r="AE325"/>
  <c r="AE304"/>
  <c r="AE178"/>
  <c r="AF8"/>
  <c r="AE204"/>
  <c r="AE159"/>
  <c r="AE48" s="1"/>
  <c r="AE411"/>
  <c r="AE60" s="1"/>
  <c r="AE442"/>
  <c r="AE63" s="1"/>
  <c r="AE117"/>
  <c r="AE46" s="1"/>
  <c r="AE96"/>
  <c r="AE432"/>
  <c r="AE61" s="1"/>
  <c r="AE201"/>
  <c r="AE50" s="1"/>
  <c r="AE222"/>
  <c r="AE51" s="1"/>
  <c r="AE348"/>
  <c r="AE57" s="1"/>
  <c r="AE390"/>
  <c r="AE59" s="1"/>
  <c r="AE264"/>
  <c r="AE53" s="1"/>
  <c r="AE369"/>
  <c r="AE58" s="1"/>
  <c r="AE243"/>
  <c r="AE52" s="1"/>
  <c r="AE327"/>
  <c r="AE56" s="1"/>
  <c r="AE285"/>
  <c r="AE54" s="1"/>
  <c r="AE447"/>
  <c r="AE64" s="1"/>
  <c r="AE138"/>
  <c r="AE47" s="1"/>
  <c r="AE437"/>
  <c r="AE62" s="1"/>
  <c r="AE306"/>
  <c r="AE55" s="1"/>
  <c r="AE180"/>
  <c r="AE49" s="1"/>
  <c r="AC36" i="117"/>
  <c r="AC38" s="1"/>
  <c r="AN496" i="118"/>
  <c r="AN87" s="1"/>
  <c r="AN20"/>
  <c r="AN21"/>
  <c r="AN407"/>
  <c r="AN83" s="1"/>
  <c r="AN428"/>
  <c r="AN84" s="1"/>
  <c r="AN31"/>
  <c r="AN323"/>
  <c r="AN79" s="1"/>
  <c r="AS302" i="116"/>
  <c r="AS78" s="1"/>
  <c r="AS23"/>
  <c r="AS260"/>
  <c r="AS76" s="1"/>
  <c r="AC23" i="120"/>
  <c r="AC32"/>
  <c r="AC25"/>
  <c r="AC464"/>
  <c r="AC85" s="1"/>
  <c r="AC302"/>
  <c r="AC78" s="1"/>
  <c r="AM90" i="118"/>
  <c r="AR36" i="116"/>
  <c r="AR38" s="1"/>
  <c r="AD218" i="117"/>
  <c r="AD74" s="1"/>
  <c r="AD260"/>
  <c r="AD76" s="1"/>
  <c r="AD407"/>
  <c r="AD83" s="1"/>
  <c r="F14" i="8"/>
  <c r="F24"/>
  <c r="F30"/>
  <c r="F25"/>
  <c r="F22"/>
  <c r="F23"/>
  <c r="F17"/>
  <c r="F15"/>
  <c r="F28"/>
  <c r="F21"/>
  <c r="F20"/>
  <c r="F12"/>
  <c r="F13"/>
  <c r="F19"/>
  <c r="F29"/>
  <c r="F26"/>
  <c r="F16"/>
  <c r="F18"/>
  <c r="AE45" i="120" l="1"/>
  <c r="AE65" s="1"/>
  <c r="AE10"/>
  <c r="AE14" s="1"/>
  <c r="AE211"/>
  <c r="AE186"/>
  <c r="AE129"/>
  <c r="AE343"/>
  <c r="AE488"/>
  <c r="AE375"/>
  <c r="AE357"/>
  <c r="AE193"/>
  <c r="AE167"/>
  <c r="AE112"/>
  <c r="AE472"/>
  <c r="AE420"/>
  <c r="AE172"/>
  <c r="AE399"/>
  <c r="AE255"/>
  <c r="AE381"/>
  <c r="AE130"/>
  <c r="AE313"/>
  <c r="AE175"/>
  <c r="AE361"/>
  <c r="AE312"/>
  <c r="AE377"/>
  <c r="AE417"/>
  <c r="AE382"/>
  <c r="AE291"/>
  <c r="AE168"/>
  <c r="AE476"/>
  <c r="AE314"/>
  <c r="AE229"/>
  <c r="AE454"/>
  <c r="AE196"/>
  <c r="AE251"/>
  <c r="AE234"/>
  <c r="AE277"/>
  <c r="AE495"/>
  <c r="AE469"/>
  <c r="AE154"/>
  <c r="AE335"/>
  <c r="AE145"/>
  <c r="AE475"/>
  <c r="AE209"/>
  <c r="AE103"/>
  <c r="AE398"/>
  <c r="AE249"/>
  <c r="AE144"/>
  <c r="AE171"/>
  <c r="AE293"/>
  <c r="AE460"/>
  <c r="AE455"/>
  <c r="AE192"/>
  <c r="AE486"/>
  <c r="AE319"/>
  <c r="AE235"/>
  <c r="AE189"/>
  <c r="AE427"/>
  <c r="AE360"/>
  <c r="AE491"/>
  <c r="AE463"/>
  <c r="AE109"/>
  <c r="AE424"/>
  <c r="AE418"/>
  <c r="AE151"/>
  <c r="AE397"/>
  <c r="AE339"/>
  <c r="AE297"/>
  <c r="AE124"/>
  <c r="AE489"/>
  <c r="AE453"/>
  <c r="AE105"/>
  <c r="AE334"/>
  <c r="AE259"/>
  <c r="AE402"/>
  <c r="AE457"/>
  <c r="AE230"/>
  <c r="AE231"/>
  <c r="AE108"/>
  <c r="AE316"/>
  <c r="AE406"/>
  <c r="AE123"/>
  <c r="AE147"/>
  <c r="AE471"/>
  <c r="AE169"/>
  <c r="AE272"/>
  <c r="AE256"/>
  <c r="AE250"/>
  <c r="AE207"/>
  <c r="AE340"/>
  <c r="AE292"/>
  <c r="AE210"/>
  <c r="AE187"/>
  <c r="AE238"/>
  <c r="AE301"/>
  <c r="AE217"/>
  <c r="AE150"/>
  <c r="AE403"/>
  <c r="AE378"/>
  <c r="AE165"/>
  <c r="AE228"/>
  <c r="AE470"/>
  <c r="AE419"/>
  <c r="AE385"/>
  <c r="AE273"/>
  <c r="AE333"/>
  <c r="AE487"/>
  <c r="AE280"/>
  <c r="AE318"/>
  <c r="AE492"/>
  <c r="AE355"/>
  <c r="AE456"/>
  <c r="AE479"/>
  <c r="AE354"/>
  <c r="AE315"/>
  <c r="AE298"/>
  <c r="AE485"/>
  <c r="AE232"/>
  <c r="AE214"/>
  <c r="AE252"/>
  <c r="AE208"/>
  <c r="AE133"/>
  <c r="AE125"/>
  <c r="AE295"/>
  <c r="AE322"/>
  <c r="AE376"/>
  <c r="AE459"/>
  <c r="AE213"/>
  <c r="AE127"/>
  <c r="AE356"/>
  <c r="AE166"/>
  <c r="AE423"/>
  <c r="AE400"/>
  <c r="AE364"/>
  <c r="AE276"/>
  <c r="AE270"/>
  <c r="AE104"/>
  <c r="AE102"/>
  <c r="AE188"/>
  <c r="AE106"/>
  <c r="AE421"/>
  <c r="AE473"/>
  <c r="AE271"/>
  <c r="AE358"/>
  <c r="AE148"/>
  <c r="AE126"/>
  <c r="AE146"/>
  <c r="AE21" s="1"/>
  <c r="AE254"/>
  <c r="AE190"/>
  <c r="AE337"/>
  <c r="AE396"/>
  <c r="AE294"/>
  <c r="AE274"/>
  <c r="AE379"/>
  <c r="AE336"/>
  <c r="AE253"/>
  <c r="AE170"/>
  <c r="AE107"/>
  <c r="AE342"/>
  <c r="AE237"/>
  <c r="AE149"/>
  <c r="AE338"/>
  <c r="AE405"/>
  <c r="AE380"/>
  <c r="AE258"/>
  <c r="AE275"/>
  <c r="AE490"/>
  <c r="AE478"/>
  <c r="AE195"/>
  <c r="AE317"/>
  <c r="AE153"/>
  <c r="AE384"/>
  <c r="AE132"/>
  <c r="AE174"/>
  <c r="AE363"/>
  <c r="AE422"/>
  <c r="AE111"/>
  <c r="AE462"/>
  <c r="AE458"/>
  <c r="AE464" s="1"/>
  <c r="AE85" s="1"/>
  <c r="AE426"/>
  <c r="AE212"/>
  <c r="AE191"/>
  <c r="AE321"/>
  <c r="AE233"/>
  <c r="AE401"/>
  <c r="AE128"/>
  <c r="AE300"/>
  <c r="AE359"/>
  <c r="AE216"/>
  <c r="AE296"/>
  <c r="AE494"/>
  <c r="AE279"/>
  <c r="AE474"/>
  <c r="AQ466" i="118"/>
  <c r="AQ304"/>
  <c r="AQ367"/>
  <c r="AQ346"/>
  <c r="AQ288"/>
  <c r="AQ115"/>
  <c r="AQ330"/>
  <c r="AQ435"/>
  <c r="AQ507"/>
  <c r="AQ508" s="1"/>
  <c r="AQ509" s="1"/>
  <c r="AQ241"/>
  <c r="AQ183"/>
  <c r="AQ99"/>
  <c r="AQ503"/>
  <c r="AQ388"/>
  <c r="AQ445"/>
  <c r="AQ430"/>
  <c r="AQ309"/>
  <c r="AQ225"/>
  <c r="AQ120"/>
  <c r="AQ162"/>
  <c r="AQ136"/>
  <c r="AQ199"/>
  <c r="AQ325"/>
  <c r="AQ246"/>
  <c r="AQ482"/>
  <c r="AQ450"/>
  <c r="AQ393"/>
  <c r="AQ499"/>
  <c r="AQ414"/>
  <c r="AQ141"/>
  <c r="AQ351"/>
  <c r="AQ267"/>
  <c r="AR8"/>
  <c r="AQ16"/>
  <c r="AQ440"/>
  <c r="AQ220"/>
  <c r="AQ283"/>
  <c r="AQ262"/>
  <c r="AQ204"/>
  <c r="AQ409"/>
  <c r="AQ157"/>
  <c r="AQ372"/>
  <c r="AQ94"/>
  <c r="AQ42"/>
  <c r="AQ67" s="1"/>
  <c r="AQ178"/>
  <c r="AQ327"/>
  <c r="AQ56" s="1"/>
  <c r="AQ222"/>
  <c r="AQ51" s="1"/>
  <c r="AQ285"/>
  <c r="AQ54" s="1"/>
  <c r="AQ447"/>
  <c r="AQ64" s="1"/>
  <c r="AQ306"/>
  <c r="AQ55" s="1"/>
  <c r="AQ138"/>
  <c r="AQ47" s="1"/>
  <c r="AQ411"/>
  <c r="AQ60" s="1"/>
  <c r="AQ201"/>
  <c r="AQ50" s="1"/>
  <c r="AQ243"/>
  <c r="AQ52" s="1"/>
  <c r="AQ437"/>
  <c r="AQ62" s="1"/>
  <c r="AQ96"/>
  <c r="AQ432"/>
  <c r="AQ61" s="1"/>
  <c r="AQ180"/>
  <c r="AQ49" s="1"/>
  <c r="AQ348"/>
  <c r="AQ57" s="1"/>
  <c r="AQ117"/>
  <c r="AQ46" s="1"/>
  <c r="AQ442"/>
  <c r="AQ63" s="1"/>
  <c r="AQ369"/>
  <c r="AQ58" s="1"/>
  <c r="AQ390"/>
  <c r="AQ59" s="1"/>
  <c r="AQ159"/>
  <c r="AQ48" s="1"/>
  <c r="AQ264"/>
  <c r="AQ53" s="1"/>
  <c r="AF424" i="117"/>
  <c r="AF316"/>
  <c r="AF210"/>
  <c r="AF112"/>
  <c r="AF250"/>
  <c r="AF207"/>
  <c r="AF109"/>
  <c r="AF298"/>
  <c r="AF150"/>
  <c r="AF314"/>
  <c r="AF229"/>
  <c r="AF469"/>
  <c r="AF192"/>
  <c r="AF235"/>
  <c r="AF104"/>
  <c r="AF272"/>
  <c r="AF376"/>
  <c r="AF193"/>
  <c r="AF171"/>
  <c r="AF165"/>
  <c r="AF420"/>
  <c r="AF168"/>
  <c r="AF375"/>
  <c r="AF175"/>
  <c r="AF377"/>
  <c r="AF382"/>
  <c r="AF381"/>
  <c r="AF364"/>
  <c r="AF360"/>
  <c r="AF270"/>
  <c r="AF196"/>
  <c r="AF340"/>
  <c r="AF105"/>
  <c r="AF319"/>
  <c r="AF147"/>
  <c r="AF145"/>
  <c r="AF337"/>
  <c r="AF256"/>
  <c r="AF472"/>
  <c r="AF129"/>
  <c r="AF343"/>
  <c r="AF231"/>
  <c r="AF228"/>
  <c r="AF154"/>
  <c r="AF217"/>
  <c r="AF186"/>
  <c r="AF406"/>
  <c r="AF259"/>
  <c r="AF397"/>
  <c r="AF187"/>
  <c r="AF361"/>
  <c r="AF491"/>
  <c r="AF457"/>
  <c r="AF356"/>
  <c r="AF423"/>
  <c r="AF188"/>
  <c r="AF166"/>
  <c r="AF127"/>
  <c r="AF271"/>
  <c r="AF379"/>
  <c r="AF277"/>
  <c r="AF238"/>
  <c r="AF487"/>
  <c r="AF399"/>
  <c r="AF151"/>
  <c r="AF476"/>
  <c r="AF463"/>
  <c r="AF276"/>
  <c r="AF209"/>
  <c r="AF130"/>
  <c r="AF103"/>
  <c r="AF312"/>
  <c r="AF214"/>
  <c r="AF146"/>
  <c r="AF333"/>
  <c r="AF273"/>
  <c r="AF495"/>
  <c r="AF385"/>
  <c r="AF492"/>
  <c r="AF378"/>
  <c r="AF335"/>
  <c r="AF123"/>
  <c r="AF454"/>
  <c r="AF398"/>
  <c r="AF172"/>
  <c r="AF291"/>
  <c r="AF470"/>
  <c r="AF402"/>
  <c r="AF421"/>
  <c r="AF108"/>
  <c r="AF297"/>
  <c r="AF255"/>
  <c r="AF488"/>
  <c r="AF124"/>
  <c r="AF167"/>
  <c r="AF479"/>
  <c r="AF473"/>
  <c r="AF403"/>
  <c r="AF417"/>
  <c r="AF208"/>
  <c r="AF230"/>
  <c r="AF133"/>
  <c r="AF354"/>
  <c r="AF144"/>
  <c r="AF455"/>
  <c r="AF213"/>
  <c r="AF280"/>
  <c r="AF318"/>
  <c r="AF339"/>
  <c r="AF315"/>
  <c r="AF189"/>
  <c r="AF125"/>
  <c r="AF252"/>
  <c r="AF234"/>
  <c r="AF251"/>
  <c r="AF357"/>
  <c r="AF486"/>
  <c r="AF427"/>
  <c r="AF453"/>
  <c r="AF293"/>
  <c r="AF396"/>
  <c r="AF471"/>
  <c r="AF418"/>
  <c r="AF355"/>
  <c r="AF292"/>
  <c r="AF485"/>
  <c r="AF322"/>
  <c r="AF249"/>
  <c r="AF459"/>
  <c r="AF460"/>
  <c r="AF489"/>
  <c r="AF475"/>
  <c r="AF301"/>
  <c r="AF334"/>
  <c r="AF400"/>
  <c r="AF358"/>
  <c r="AF313"/>
  <c r="AF294"/>
  <c r="AF148"/>
  <c r="AF190"/>
  <c r="AF419"/>
  <c r="AF296"/>
  <c r="AF216"/>
  <c r="AF169"/>
  <c r="AF232"/>
  <c r="AF295"/>
  <c r="AF106"/>
  <c r="AF102"/>
  <c r="AF211"/>
  <c r="AF274"/>
  <c r="AF336"/>
  <c r="AF126"/>
  <c r="AF456"/>
  <c r="AF253"/>
  <c r="AF317"/>
  <c r="AF321"/>
  <c r="AF323" s="1"/>
  <c r="AF79" s="1"/>
  <c r="AF380"/>
  <c r="AF359"/>
  <c r="AF494"/>
  <c r="AF258"/>
  <c r="AF107"/>
  <c r="AF338"/>
  <c r="AF405"/>
  <c r="AF237"/>
  <c r="AF474"/>
  <c r="AF363"/>
  <c r="AF128"/>
  <c r="AF401"/>
  <c r="AF462"/>
  <c r="AF422"/>
  <c r="AF170"/>
  <c r="AF153"/>
  <c r="AF275"/>
  <c r="AF254"/>
  <c r="AF478"/>
  <c r="AF342"/>
  <c r="AF384"/>
  <c r="AF174"/>
  <c r="AF111"/>
  <c r="AF191"/>
  <c r="AF300"/>
  <c r="AF302" s="1"/>
  <c r="AF78" s="1"/>
  <c r="AF233"/>
  <c r="AF426"/>
  <c r="AF490"/>
  <c r="AF212"/>
  <c r="AF218" s="1"/>
  <c r="AF74" s="1"/>
  <c r="AF132"/>
  <c r="AF195"/>
  <c r="AF279"/>
  <c r="AF281" s="1"/>
  <c r="AF77" s="1"/>
  <c r="AF458"/>
  <c r="AF149"/>
  <c r="AS36" i="116"/>
  <c r="AS38" s="1"/>
  <c r="AN88" i="118"/>
  <c r="AN90" s="1"/>
  <c r="AC36" i="120"/>
  <c r="AC38" s="1"/>
  <c r="AD260"/>
  <c r="AD76" s="1"/>
  <c r="AD23"/>
  <c r="AD197"/>
  <c r="AD73" s="1"/>
  <c r="AD218"/>
  <c r="AD74" s="1"/>
  <c r="AD323"/>
  <c r="AD79" s="1"/>
  <c r="AD302"/>
  <c r="AD78" s="1"/>
  <c r="AD480"/>
  <c r="AD86" s="1"/>
  <c r="AE407" i="117"/>
  <c r="AE83" s="1"/>
  <c r="AE496"/>
  <c r="AE87" s="1"/>
  <c r="AE32"/>
  <c r="AE480"/>
  <c r="AE86" s="1"/>
  <c r="AE239"/>
  <c r="AE75" s="1"/>
  <c r="AT323" i="116"/>
  <c r="AT79" s="1"/>
  <c r="AT496"/>
  <c r="AT87" s="1"/>
  <c r="AT32"/>
  <c r="AT344"/>
  <c r="AT80" s="1"/>
  <c r="AT26"/>
  <c r="AT218"/>
  <c r="AT74" s="1"/>
  <c r="AT31"/>
  <c r="AO464" i="118"/>
  <c r="AO85" s="1"/>
  <c r="AO21"/>
  <c r="AO302"/>
  <c r="AO78" s="1"/>
  <c r="AO407"/>
  <c r="AO83" s="1"/>
  <c r="AO25"/>
  <c r="AF503" i="120"/>
  <c r="AF388"/>
  <c r="AF283"/>
  <c r="AF288"/>
  <c r="AF241"/>
  <c r="AF136"/>
  <c r="AF440"/>
  <c r="AF115"/>
  <c r="AF157"/>
  <c r="AF99"/>
  <c r="AF435"/>
  <c r="AF409"/>
  <c r="AF367"/>
  <c r="AF225"/>
  <c r="AF393"/>
  <c r="AF246"/>
  <c r="AF141"/>
  <c r="AF42"/>
  <c r="AF67" s="1"/>
  <c r="AF262"/>
  <c r="AF162"/>
  <c r="AF482"/>
  <c r="AF507"/>
  <c r="AF508" s="1"/>
  <c r="AF509" s="1"/>
  <c r="AF414"/>
  <c r="AF499"/>
  <c r="AF267"/>
  <c r="AF204"/>
  <c r="AF445"/>
  <c r="AF178"/>
  <c r="AF372"/>
  <c r="AF120"/>
  <c r="AF220"/>
  <c r="AF183"/>
  <c r="AF330"/>
  <c r="AF466"/>
  <c r="AF325"/>
  <c r="AF304"/>
  <c r="AF351"/>
  <c r="AF450"/>
  <c r="AF309"/>
  <c r="AF430"/>
  <c r="AF94"/>
  <c r="AF16"/>
  <c r="AF346"/>
  <c r="AF199"/>
  <c r="AG8"/>
  <c r="AF411"/>
  <c r="AF60" s="1"/>
  <c r="AF117"/>
  <c r="AF46" s="1"/>
  <c r="AF348"/>
  <c r="AF57" s="1"/>
  <c r="AF442"/>
  <c r="AF63" s="1"/>
  <c r="AF390"/>
  <c r="AF59" s="1"/>
  <c r="AF96"/>
  <c r="AF432"/>
  <c r="AF61" s="1"/>
  <c r="AF222"/>
  <c r="AF51" s="1"/>
  <c r="AF201"/>
  <c r="AF50" s="1"/>
  <c r="AF327"/>
  <c r="AF56" s="1"/>
  <c r="AF437"/>
  <c r="AF62" s="1"/>
  <c r="AF447"/>
  <c r="AF64" s="1"/>
  <c r="AF138"/>
  <c r="AF47" s="1"/>
  <c r="AF243"/>
  <c r="AF52" s="1"/>
  <c r="AF264"/>
  <c r="AF53" s="1"/>
  <c r="AF159"/>
  <c r="AF48" s="1"/>
  <c r="AF369"/>
  <c r="AF58" s="1"/>
  <c r="AF285"/>
  <c r="AF54" s="1"/>
  <c r="AF306"/>
  <c r="AF55" s="1"/>
  <c r="AF180"/>
  <c r="AF49" s="1"/>
  <c r="AU148" i="116"/>
  <c r="AU108"/>
  <c r="AU149"/>
  <c r="AU174"/>
  <c r="AU195"/>
  <c r="AU216"/>
  <c r="AU237"/>
  <c r="AU258"/>
  <c r="AU279"/>
  <c r="AU300"/>
  <c r="AU321"/>
  <c r="AU342"/>
  <c r="AU363"/>
  <c r="AU384"/>
  <c r="AU405"/>
  <c r="AU426"/>
  <c r="AU462"/>
  <c r="AU478"/>
  <c r="AU494"/>
  <c r="AU127"/>
  <c r="AU111"/>
  <c r="AU129"/>
  <c r="AU170"/>
  <c r="AU191"/>
  <c r="AU212"/>
  <c r="AU233"/>
  <c r="AU254"/>
  <c r="AU275"/>
  <c r="AU296"/>
  <c r="AU317"/>
  <c r="AU338"/>
  <c r="AU359"/>
  <c r="AU380"/>
  <c r="AU401"/>
  <c r="AU422"/>
  <c r="AU458"/>
  <c r="AU474"/>
  <c r="AU490"/>
  <c r="AU106"/>
  <c r="AU107"/>
  <c r="AU132"/>
  <c r="AU150"/>
  <c r="AU190"/>
  <c r="AU211"/>
  <c r="AU232"/>
  <c r="AU253"/>
  <c r="AU274"/>
  <c r="AU295"/>
  <c r="AU316"/>
  <c r="AU337"/>
  <c r="AU358"/>
  <c r="AU379"/>
  <c r="AU400"/>
  <c r="AU421"/>
  <c r="AU457"/>
  <c r="AU473"/>
  <c r="AU489"/>
  <c r="AU169"/>
  <c r="AU128"/>
  <c r="AU153"/>
  <c r="AU171"/>
  <c r="AU192"/>
  <c r="AU213"/>
  <c r="AU234"/>
  <c r="AU255"/>
  <c r="AU276"/>
  <c r="AU297"/>
  <c r="AU318"/>
  <c r="AU339"/>
  <c r="AU360"/>
  <c r="AU381"/>
  <c r="AU402"/>
  <c r="AU423"/>
  <c r="AU459"/>
  <c r="AU475"/>
  <c r="AU491"/>
  <c r="AU487"/>
  <c r="AU417"/>
  <c r="AU333"/>
  <c r="AU249"/>
  <c r="AU165"/>
  <c r="AU399"/>
  <c r="AU231"/>
  <c r="AU495"/>
  <c r="AU419"/>
  <c r="AU335"/>
  <c r="AU251"/>
  <c r="AU167"/>
  <c r="AU39"/>
  <c r="AU357"/>
  <c r="AU189"/>
  <c r="AU322"/>
  <c r="AU214"/>
  <c r="AU463"/>
  <c r="AU168"/>
  <c r="AU378"/>
  <c r="AU209"/>
  <c r="AU336"/>
  <c r="AU479"/>
  <c r="AU291"/>
  <c r="AU130"/>
  <c r="AU293"/>
  <c r="AU486"/>
  <c r="AU252"/>
  <c r="AU210"/>
  <c r="AU424"/>
  <c r="AU340"/>
  <c r="AU256"/>
  <c r="AU172"/>
  <c r="AU456"/>
  <c r="AU292"/>
  <c r="AU124"/>
  <c r="AU453"/>
  <c r="AU364"/>
  <c r="AU280"/>
  <c r="AU196"/>
  <c r="AU112"/>
  <c r="AU418"/>
  <c r="AU250"/>
  <c r="AU398"/>
  <c r="AU277"/>
  <c r="AU472"/>
  <c r="AU207"/>
  <c r="AU218" s="1"/>
  <c r="AU74" s="1"/>
  <c r="N74" s="1"/>
  <c r="AU397"/>
  <c r="AU259"/>
  <c r="AU375"/>
  <c r="AU485"/>
  <c r="AU229"/>
  <c r="AU314"/>
  <c r="AU355"/>
  <c r="AU109"/>
  <c r="AU354"/>
  <c r="AU492"/>
  <c r="AU469"/>
  <c r="AU356"/>
  <c r="AU272"/>
  <c r="AU188"/>
  <c r="AU104"/>
  <c r="AU315"/>
  <c r="AU147"/>
  <c r="AU460"/>
  <c r="AU396"/>
  <c r="AU312"/>
  <c r="AU228"/>
  <c r="AU144"/>
  <c r="AU470"/>
  <c r="AU273"/>
  <c r="AU105"/>
  <c r="AU294"/>
  <c r="AU125"/>
  <c r="AU270"/>
  <c r="AU406"/>
  <c r="AU298"/>
  <c r="AU427"/>
  <c r="AU102"/>
  <c r="AU187"/>
  <c r="AU186"/>
  <c r="AU420"/>
  <c r="AU193"/>
  <c r="AU382"/>
  <c r="AU126"/>
  <c r="AU343"/>
  <c r="AU476"/>
  <c r="AU385"/>
  <c r="AU301"/>
  <c r="AU217"/>
  <c r="AU133"/>
  <c r="AU376"/>
  <c r="AU208"/>
  <c r="AU471"/>
  <c r="AU403"/>
  <c r="AU319"/>
  <c r="AU235"/>
  <c r="AU151"/>
  <c r="AU488"/>
  <c r="AU334"/>
  <c r="AU166"/>
  <c r="AU313"/>
  <c r="AU175"/>
  <c r="AU455"/>
  <c r="AU103"/>
  <c r="AU361"/>
  <c r="AU146"/>
  <c r="AU271"/>
  <c r="AU377"/>
  <c r="AU238"/>
  <c r="AU454"/>
  <c r="AU230"/>
  <c r="AU123"/>
  <c r="AU145"/>
  <c r="AU154"/>
  <c r="AS88"/>
  <c r="AF45" i="117"/>
  <c r="AF10"/>
  <c r="AF14" s="1"/>
  <c r="AD88"/>
  <c r="AD90" s="1"/>
  <c r="AD24" i="120"/>
  <c r="AD407"/>
  <c r="AD83" s="1"/>
  <c r="AD21"/>
  <c r="AD26"/>
  <c r="AD32"/>
  <c r="AD386"/>
  <c r="AD82" s="1"/>
  <c r="AD428"/>
  <c r="AD84" s="1"/>
  <c r="AD155"/>
  <c r="AD71" s="1"/>
  <c r="AE260" i="117"/>
  <c r="AE76" s="1"/>
  <c r="AE20"/>
  <c r="AE36" s="1"/>
  <c r="AE38" s="1"/>
  <c r="AE281"/>
  <c r="AE77" s="1"/>
  <c r="AE155"/>
  <c r="AE71" s="1"/>
  <c r="AE386"/>
  <c r="AE82" s="1"/>
  <c r="AE26"/>
  <c r="AE22"/>
  <c r="AT464" i="116"/>
  <c r="AT85" s="1"/>
  <c r="AT197"/>
  <c r="AT73" s="1"/>
  <c r="AT21"/>
  <c r="AT480"/>
  <c r="AT86" s="1"/>
  <c r="AT260"/>
  <c r="AT76" s="1"/>
  <c r="AT407"/>
  <c r="AT83" s="1"/>
  <c r="AT134"/>
  <c r="AT70" s="1"/>
  <c r="AT25"/>
  <c r="AO218" i="118"/>
  <c r="AO74" s="1"/>
  <c r="AO428"/>
  <c r="AO84" s="1"/>
  <c r="AO22"/>
  <c r="AO260"/>
  <c r="AO76" s="1"/>
  <c r="AO23"/>
  <c r="AP45"/>
  <c r="AP65" s="1"/>
  <c r="AP10"/>
  <c r="AP14" s="1"/>
  <c r="AG507" i="117"/>
  <c r="AG508" s="1"/>
  <c r="AG509" s="1"/>
  <c r="AG288"/>
  <c r="AG482"/>
  <c r="AG388"/>
  <c r="AG115"/>
  <c r="AG466"/>
  <c r="AG136"/>
  <c r="AG445"/>
  <c r="AG393"/>
  <c r="AG99"/>
  <c r="AG141"/>
  <c r="AG503"/>
  <c r="AG372"/>
  <c r="AG346"/>
  <c r="AG450"/>
  <c r="AG199"/>
  <c r="AG120"/>
  <c r="AG42"/>
  <c r="AG67" s="1"/>
  <c r="AG178"/>
  <c r="AG225"/>
  <c r="AG246"/>
  <c r="AG267"/>
  <c r="AG183"/>
  <c r="AG430"/>
  <c r="AG351"/>
  <c r="AG325"/>
  <c r="AG204"/>
  <c r="AG162"/>
  <c r="AG409"/>
  <c r="AG414"/>
  <c r="AG262"/>
  <c r="AG16"/>
  <c r="AG157"/>
  <c r="AG94"/>
  <c r="AG499"/>
  <c r="AG435"/>
  <c r="AG304"/>
  <c r="AG367"/>
  <c r="AG309"/>
  <c r="AG440"/>
  <c r="AH8"/>
  <c r="AG330"/>
  <c r="AG220"/>
  <c r="AG283"/>
  <c r="AG241"/>
  <c r="AG390"/>
  <c r="AG59" s="1"/>
  <c r="AG437"/>
  <c r="AG62" s="1"/>
  <c r="AG432"/>
  <c r="AG61" s="1"/>
  <c r="AG264"/>
  <c r="AG53" s="1"/>
  <c r="AG159"/>
  <c r="AG48" s="1"/>
  <c r="AG285"/>
  <c r="AG54" s="1"/>
  <c r="AG348"/>
  <c r="AG57" s="1"/>
  <c r="AG442"/>
  <c r="AG63" s="1"/>
  <c r="AG117"/>
  <c r="AG46" s="1"/>
  <c r="AG96"/>
  <c r="AG222"/>
  <c r="AG51" s="1"/>
  <c r="AG306"/>
  <c r="AG55" s="1"/>
  <c r="AG243"/>
  <c r="AG52" s="1"/>
  <c r="AG369"/>
  <c r="AG58" s="1"/>
  <c r="AG180"/>
  <c r="AG49" s="1"/>
  <c r="AG327"/>
  <c r="AG56" s="1"/>
  <c r="AG447"/>
  <c r="AG64" s="1"/>
  <c r="AG411"/>
  <c r="AG60" s="1"/>
  <c r="AG138"/>
  <c r="AG47" s="1"/>
  <c r="AG201"/>
  <c r="AG50" s="1"/>
  <c r="AC39"/>
  <c r="AB39"/>
  <c r="AD19" i="120"/>
  <c r="AD113"/>
  <c r="AD69" s="1"/>
  <c r="AE113" i="117"/>
  <c r="AE69" s="1"/>
  <c r="AE24"/>
  <c r="AT19" i="116"/>
  <c r="AT113"/>
  <c r="AT69" s="1"/>
  <c r="AO19" i="118"/>
  <c r="AO113"/>
  <c r="AO69" s="1"/>
  <c r="AS90" i="116"/>
  <c r="AC39" i="120"/>
  <c r="AF65" i="117"/>
  <c r="AD36"/>
  <c r="AD38" s="1"/>
  <c r="AD39" s="1"/>
  <c r="AD496" i="120"/>
  <c r="AD87" s="1"/>
  <c r="AD464"/>
  <c r="AD85" s="1"/>
  <c r="AD25"/>
  <c r="AD239"/>
  <c r="AD75" s="1"/>
  <c r="AE31" i="117"/>
  <c r="AE23"/>
  <c r="AE344"/>
  <c r="AE80" s="1"/>
  <c r="AE428"/>
  <c r="AE84" s="1"/>
  <c r="AE21"/>
  <c r="AE464"/>
  <c r="AE85" s="1"/>
  <c r="AT20" i="116"/>
  <c r="AT386"/>
  <c r="AT82" s="1"/>
  <c r="AT23"/>
  <c r="AO176" i="118"/>
  <c r="AO72" s="1"/>
  <c r="AO32"/>
  <c r="AO480"/>
  <c r="AO86" s="1"/>
  <c r="AO323"/>
  <c r="AO79" s="1"/>
  <c r="AO134"/>
  <c r="AO70" s="1"/>
  <c r="AO365"/>
  <c r="AO81" s="1"/>
  <c r="AO24"/>
  <c r="AU65" i="116"/>
  <c r="N61"/>
  <c r="AU45"/>
  <c r="AU10"/>
  <c r="AP106" i="118"/>
  <c r="AP107"/>
  <c r="AP132"/>
  <c r="AP150"/>
  <c r="AP190"/>
  <c r="AP211"/>
  <c r="AP232"/>
  <c r="AP253"/>
  <c r="AP274"/>
  <c r="AP295"/>
  <c r="AP316"/>
  <c r="AP337"/>
  <c r="AP358"/>
  <c r="AP379"/>
  <c r="AP400"/>
  <c r="AP421"/>
  <c r="AP457"/>
  <c r="AP473"/>
  <c r="AP489"/>
  <c r="AP169"/>
  <c r="AP128"/>
  <c r="AP153"/>
  <c r="AP171"/>
  <c r="AP192"/>
  <c r="AP213"/>
  <c r="AP234"/>
  <c r="AP255"/>
  <c r="AP276"/>
  <c r="AP297"/>
  <c r="AP318"/>
  <c r="AP339"/>
  <c r="AP360"/>
  <c r="AP381"/>
  <c r="AP402"/>
  <c r="AP423"/>
  <c r="AP459"/>
  <c r="AP475"/>
  <c r="AP491"/>
  <c r="AP148"/>
  <c r="AP108"/>
  <c r="AP149"/>
  <c r="AP174"/>
  <c r="AP195"/>
  <c r="AP216"/>
  <c r="AP237"/>
  <c r="AP258"/>
  <c r="AP279"/>
  <c r="AP300"/>
  <c r="AP321"/>
  <c r="AP342"/>
  <c r="AP363"/>
  <c r="AP384"/>
  <c r="AP405"/>
  <c r="AP426"/>
  <c r="AP462"/>
  <c r="AP478"/>
  <c r="AP494"/>
  <c r="AP127"/>
  <c r="AP111"/>
  <c r="AP129"/>
  <c r="AP170"/>
  <c r="AP191"/>
  <c r="AP212"/>
  <c r="AP233"/>
  <c r="AP254"/>
  <c r="AP275"/>
  <c r="AP296"/>
  <c r="AP317"/>
  <c r="AP338"/>
  <c r="AP359"/>
  <c r="AP380"/>
  <c r="AP401"/>
  <c r="AP422"/>
  <c r="AP458"/>
  <c r="AP474"/>
  <c r="AP490"/>
  <c r="AP485"/>
  <c r="AP469"/>
  <c r="AP453"/>
  <c r="AP396"/>
  <c r="AP312"/>
  <c r="AP228"/>
  <c r="AP398"/>
  <c r="AP314"/>
  <c r="AP230"/>
  <c r="AP361"/>
  <c r="AP277"/>
  <c r="AP488"/>
  <c r="AP126"/>
  <c r="AP249"/>
  <c r="AP123"/>
  <c r="AP333"/>
  <c r="AP166"/>
  <c r="AP417"/>
  <c r="AP231"/>
  <c r="AP172"/>
  <c r="AP472"/>
  <c r="AP167"/>
  <c r="AP214"/>
  <c r="AP207"/>
  <c r="AP292"/>
  <c r="AP144"/>
  <c r="AP151"/>
  <c r="AP125"/>
  <c r="AP492"/>
  <c r="AP476"/>
  <c r="AP460"/>
  <c r="AP403"/>
  <c r="AP319"/>
  <c r="AP235"/>
  <c r="AP427"/>
  <c r="AP343"/>
  <c r="AP259"/>
  <c r="AP377"/>
  <c r="AP293"/>
  <c r="AP209"/>
  <c r="AP187"/>
  <c r="AP336"/>
  <c r="AP130"/>
  <c r="AP376"/>
  <c r="AP189"/>
  <c r="AP454"/>
  <c r="AP273"/>
  <c r="AP188"/>
  <c r="AP104"/>
  <c r="AP196"/>
  <c r="AP229"/>
  <c r="AP252"/>
  <c r="AP109"/>
  <c r="AP334"/>
  <c r="AP168"/>
  <c r="AP102"/>
  <c r="AP147"/>
  <c r="AP487"/>
  <c r="AP471"/>
  <c r="AP419"/>
  <c r="AP335"/>
  <c r="AP251"/>
  <c r="AP355"/>
  <c r="AP375"/>
  <c r="AP291"/>
  <c r="AP406"/>
  <c r="AP322"/>
  <c r="AP238"/>
  <c r="AP357"/>
  <c r="AP486"/>
  <c r="AP146"/>
  <c r="AP385"/>
  <c r="AP250"/>
  <c r="AP456"/>
  <c r="AP340"/>
  <c r="AP210"/>
  <c r="AP133"/>
  <c r="AP208"/>
  <c r="AP271"/>
  <c r="AP39"/>
  <c r="AP124"/>
  <c r="AP356"/>
  <c r="AP256"/>
  <c r="AP112"/>
  <c r="AP32" s="1"/>
  <c r="AP186"/>
  <c r="AP301"/>
  <c r="AP463"/>
  <c r="AP495"/>
  <c r="AP470"/>
  <c r="AP364"/>
  <c r="AP280"/>
  <c r="AP378"/>
  <c r="AP382"/>
  <c r="AP298"/>
  <c r="AP455"/>
  <c r="AP354"/>
  <c r="AP365" s="1"/>
  <c r="AP81" s="1"/>
  <c r="AP270"/>
  <c r="AP424"/>
  <c r="AP103"/>
  <c r="AP175"/>
  <c r="AP418"/>
  <c r="AP313"/>
  <c r="AP105"/>
  <c r="AP399"/>
  <c r="AP217"/>
  <c r="AP165"/>
  <c r="AP315"/>
  <c r="AP154"/>
  <c r="AP145"/>
  <c r="AP193"/>
  <c r="AP479"/>
  <c r="AP272"/>
  <c r="AP420"/>
  <c r="AP397"/>
  <c r="AP294"/>
  <c r="AN36"/>
  <c r="AN38" s="1"/>
  <c r="AC88" i="120"/>
  <c r="AC90" s="1"/>
  <c r="AD20"/>
  <c r="AD281"/>
  <c r="AD77" s="1"/>
  <c r="AD344"/>
  <c r="AD80" s="1"/>
  <c r="AD134"/>
  <c r="AD70" s="1"/>
  <c r="AD365"/>
  <c r="AD81" s="1"/>
  <c r="AD22"/>
  <c r="AE302" i="117"/>
  <c r="AE78" s="1"/>
  <c r="AE176"/>
  <c r="AE72" s="1"/>
  <c r="AE134"/>
  <c r="AE70" s="1"/>
  <c r="AE197"/>
  <c r="AE73" s="1"/>
  <c r="AT155" i="116"/>
  <c r="AT71" s="1"/>
  <c r="AT281"/>
  <c r="AT77" s="1"/>
  <c r="AT428"/>
  <c r="AT84" s="1"/>
  <c r="AT22"/>
  <c r="AT302"/>
  <c r="AT78" s="1"/>
  <c r="AT24"/>
  <c r="AO344" i="118"/>
  <c r="AO80" s="1"/>
  <c r="AO239"/>
  <c r="AO75" s="1"/>
  <c r="AO20"/>
  <c r="AO26"/>
  <c r="AO281"/>
  <c r="AO77" s="1"/>
  <c r="AO155"/>
  <c r="AO71" s="1"/>
  <c r="AO197"/>
  <c r="AO73" s="1"/>
  <c r="AO496"/>
  <c r="AO87" s="1"/>
  <c r="AO31"/>
  <c r="F39" i="8"/>
  <c r="F27"/>
  <c r="AU14" i="116" l="1"/>
  <c r="N10"/>
  <c r="N14" s="1"/>
  <c r="AG409" i="120"/>
  <c r="AG388"/>
  <c r="AG372"/>
  <c r="AG482"/>
  <c r="AG136"/>
  <c r="AG241"/>
  <c r="AG325"/>
  <c r="AG267"/>
  <c r="AG94"/>
  <c r="AG157"/>
  <c r="AG16"/>
  <c r="AG440"/>
  <c r="AG330"/>
  <c r="AG445"/>
  <c r="AG367"/>
  <c r="AG283"/>
  <c r="AG141"/>
  <c r="AG346"/>
  <c r="AG120"/>
  <c r="AH8"/>
  <c r="AG225"/>
  <c r="AG466"/>
  <c r="AG414"/>
  <c r="AG309"/>
  <c r="AG507"/>
  <c r="AG508" s="1"/>
  <c r="AG509" s="1"/>
  <c r="AG199"/>
  <c r="AG246"/>
  <c r="AG178"/>
  <c r="AG115"/>
  <c r="AG99"/>
  <c r="AG351"/>
  <c r="AG204"/>
  <c r="AG42"/>
  <c r="AG67" s="1"/>
  <c r="AG503"/>
  <c r="AG450"/>
  <c r="AG393"/>
  <c r="AG288"/>
  <c r="AG499"/>
  <c r="AG304"/>
  <c r="AG430"/>
  <c r="AG183"/>
  <c r="AG162"/>
  <c r="AG262"/>
  <c r="AG220"/>
  <c r="AG435"/>
  <c r="AG96"/>
  <c r="AG159"/>
  <c r="AG48" s="1"/>
  <c r="AG117"/>
  <c r="AG46" s="1"/>
  <c r="AG447"/>
  <c r="AG64" s="1"/>
  <c r="AG390"/>
  <c r="AG59" s="1"/>
  <c r="AG411"/>
  <c r="AG60" s="1"/>
  <c r="AG201"/>
  <c r="AG50" s="1"/>
  <c r="AG442"/>
  <c r="AG63" s="1"/>
  <c r="AG222"/>
  <c r="AG51" s="1"/>
  <c r="AG432"/>
  <c r="AG61" s="1"/>
  <c r="AG243"/>
  <c r="AG52" s="1"/>
  <c r="AG264"/>
  <c r="AG53" s="1"/>
  <c r="AG138"/>
  <c r="AG47" s="1"/>
  <c r="AG369"/>
  <c r="AG58" s="1"/>
  <c r="AG327"/>
  <c r="AG56" s="1"/>
  <c r="AG437"/>
  <c r="AG62" s="1"/>
  <c r="AG348"/>
  <c r="AG57" s="1"/>
  <c r="AG285"/>
  <c r="AG54" s="1"/>
  <c r="AG306"/>
  <c r="AG55" s="1"/>
  <c r="AG180"/>
  <c r="AG49" s="1"/>
  <c r="AP218" i="118"/>
  <c r="AP74" s="1"/>
  <c r="AP25"/>
  <c r="AO88"/>
  <c r="AO90" s="1"/>
  <c r="AU22" i="116"/>
  <c r="N22" s="1"/>
  <c r="AU239"/>
  <c r="AU75" s="1"/>
  <c r="N75" s="1"/>
  <c r="AU365"/>
  <c r="AU81" s="1"/>
  <c r="N81" s="1"/>
  <c r="AU302"/>
  <c r="AU78" s="1"/>
  <c r="N78" s="1"/>
  <c r="AU24"/>
  <c r="N24" s="1"/>
  <c r="AF24" i="117"/>
  <c r="AF20"/>
  <c r="AF407"/>
  <c r="AF83" s="1"/>
  <c r="AF22"/>
  <c r="AE23" i="120"/>
  <c r="AE281"/>
  <c r="AE77" s="1"/>
  <c r="AE22"/>
  <c r="AE155"/>
  <c r="AE71" s="1"/>
  <c r="AE302"/>
  <c r="AE78" s="1"/>
  <c r="AE323"/>
  <c r="AE79" s="1"/>
  <c r="AP19" i="118"/>
  <c r="AP113"/>
  <c r="AP69" s="1"/>
  <c r="AH503" i="117"/>
  <c r="AH466"/>
  <c r="AH309"/>
  <c r="AH367"/>
  <c r="AH330"/>
  <c r="AH414"/>
  <c r="AH288"/>
  <c r="AH246"/>
  <c r="AH267"/>
  <c r="AH199"/>
  <c r="AH372"/>
  <c r="AH346"/>
  <c r="AH351"/>
  <c r="AH393"/>
  <c r="AH450"/>
  <c r="AH94"/>
  <c r="AH136"/>
  <c r="AH262"/>
  <c r="AH115"/>
  <c r="AI8"/>
  <c r="AH157"/>
  <c r="AH42"/>
  <c r="AH67" s="1"/>
  <c r="AH430"/>
  <c r="AH435"/>
  <c r="AH409"/>
  <c r="AH120"/>
  <c r="AH178"/>
  <c r="AH220"/>
  <c r="AH445"/>
  <c r="AH325"/>
  <c r="AH16"/>
  <c r="AH388"/>
  <c r="AH241"/>
  <c r="AH499"/>
  <c r="AH482"/>
  <c r="AH440"/>
  <c r="AH507"/>
  <c r="AH508" s="1"/>
  <c r="AH509" s="1"/>
  <c r="AH204"/>
  <c r="AH283"/>
  <c r="AH304"/>
  <c r="AH225"/>
  <c r="AH162"/>
  <c r="AH99"/>
  <c r="AH141"/>
  <c r="AH183"/>
  <c r="AH264"/>
  <c r="AH53" s="1"/>
  <c r="AH159"/>
  <c r="AH48" s="1"/>
  <c r="AH369"/>
  <c r="AH58" s="1"/>
  <c r="AH348"/>
  <c r="AH57" s="1"/>
  <c r="AH442"/>
  <c r="AH63" s="1"/>
  <c r="AH285"/>
  <c r="AH54" s="1"/>
  <c r="AH432"/>
  <c r="AH61" s="1"/>
  <c r="AH306"/>
  <c r="AH55" s="1"/>
  <c r="AH138"/>
  <c r="AH47" s="1"/>
  <c r="AH447"/>
  <c r="AH64" s="1"/>
  <c r="AH411"/>
  <c r="AH60" s="1"/>
  <c r="AH390"/>
  <c r="AH59" s="1"/>
  <c r="AH222"/>
  <c r="AH51" s="1"/>
  <c r="AH437"/>
  <c r="AH62" s="1"/>
  <c r="AH243"/>
  <c r="AH52" s="1"/>
  <c r="AH96"/>
  <c r="AH117"/>
  <c r="AH46" s="1"/>
  <c r="AH327"/>
  <c r="AH56" s="1"/>
  <c r="AH201"/>
  <c r="AH50" s="1"/>
  <c r="AH180"/>
  <c r="AH49" s="1"/>
  <c r="AF250" i="120"/>
  <c r="AF166"/>
  <c r="AF291"/>
  <c r="AF255"/>
  <c r="AF229"/>
  <c r="AF211"/>
  <c r="AF293"/>
  <c r="AF343"/>
  <c r="AF460"/>
  <c r="AF455"/>
  <c r="AF130"/>
  <c r="AF319"/>
  <c r="AF234"/>
  <c r="AF487"/>
  <c r="AF456"/>
  <c r="AF147"/>
  <c r="AF154"/>
  <c r="AF377"/>
  <c r="AF335"/>
  <c r="AF382"/>
  <c r="AF400"/>
  <c r="AF475"/>
  <c r="AF356"/>
  <c r="AF454"/>
  <c r="AF249"/>
  <c r="AF144"/>
  <c r="AF398"/>
  <c r="AF251"/>
  <c r="AF145"/>
  <c r="AF402"/>
  <c r="AF214"/>
  <c r="AF337"/>
  <c r="AF312"/>
  <c r="AF167"/>
  <c r="AF148"/>
  <c r="AF123"/>
  <c r="AF403"/>
  <c r="AF379"/>
  <c r="AF277"/>
  <c r="AF209"/>
  <c r="AF104"/>
  <c r="AF213"/>
  <c r="AF273"/>
  <c r="AF165"/>
  <c r="AF186"/>
  <c r="AF381"/>
  <c r="AF406"/>
  <c r="AF313"/>
  <c r="AF192"/>
  <c r="AF361"/>
  <c r="AF217"/>
  <c r="AF318"/>
  <c r="AF473"/>
  <c r="AF399"/>
  <c r="AF419"/>
  <c r="AF472"/>
  <c r="AF235"/>
  <c r="AF476"/>
  <c r="AF463"/>
  <c r="AF168"/>
  <c r="AF495"/>
  <c r="AF491"/>
  <c r="AF314"/>
  <c r="AF420"/>
  <c r="AF469"/>
  <c r="AF175"/>
  <c r="AF106"/>
  <c r="AF360"/>
  <c r="AF172"/>
  <c r="AF417"/>
  <c r="AF196"/>
  <c r="AF488"/>
  <c r="AF492"/>
  <c r="AF103"/>
  <c r="AF112"/>
  <c r="AF421"/>
  <c r="AF334"/>
  <c r="AF354"/>
  <c r="AF298"/>
  <c r="AF208"/>
  <c r="AF457"/>
  <c r="AF238"/>
  <c r="AF297"/>
  <c r="AF378"/>
  <c r="AF453"/>
  <c r="AF109"/>
  <c r="AF292"/>
  <c r="AF470"/>
  <c r="AF424"/>
  <c r="AF124"/>
  <c r="AF423"/>
  <c r="AF133"/>
  <c r="AF151"/>
  <c r="AF280"/>
  <c r="AF355"/>
  <c r="AF339"/>
  <c r="AF169"/>
  <c r="AF150"/>
  <c r="AF333"/>
  <c r="AF190"/>
  <c r="AF274"/>
  <c r="AF357"/>
  <c r="AF479"/>
  <c r="AF210"/>
  <c r="AF315"/>
  <c r="AF232"/>
  <c r="AF486"/>
  <c r="AF471"/>
  <c r="AF108"/>
  <c r="AF418"/>
  <c r="AF256"/>
  <c r="AF252"/>
  <c r="AF125"/>
  <c r="AF358"/>
  <c r="AF397"/>
  <c r="AF485"/>
  <c r="AF272"/>
  <c r="AF129"/>
  <c r="AF207"/>
  <c r="AF489"/>
  <c r="AF171"/>
  <c r="AF127"/>
  <c r="AF105"/>
  <c r="AF301"/>
  <c r="AF259"/>
  <c r="AF228"/>
  <c r="AF385"/>
  <c r="AF187"/>
  <c r="AF230"/>
  <c r="AF375"/>
  <c r="AF231"/>
  <c r="AF316"/>
  <c r="AF427"/>
  <c r="AF459"/>
  <c r="AF188"/>
  <c r="AF270"/>
  <c r="AF340"/>
  <c r="AF102"/>
  <c r="AF189"/>
  <c r="AF193"/>
  <c r="AF364"/>
  <c r="AF276"/>
  <c r="AF295"/>
  <c r="AF322"/>
  <c r="AF376"/>
  <c r="AF146"/>
  <c r="AF21" s="1"/>
  <c r="AF396"/>
  <c r="AF253"/>
  <c r="AF23" s="1"/>
  <c r="AF294"/>
  <c r="AF126"/>
  <c r="AF336"/>
  <c r="AF271"/>
  <c r="AF107"/>
  <c r="AF233"/>
  <c r="AF342"/>
  <c r="AF237"/>
  <c r="AF174"/>
  <c r="AF321"/>
  <c r="AF338"/>
  <c r="AF344" s="1"/>
  <c r="AF80" s="1"/>
  <c r="AF216"/>
  <c r="AF405"/>
  <c r="AF212"/>
  <c r="AF317"/>
  <c r="AF300"/>
  <c r="AF195"/>
  <c r="AF384"/>
  <c r="AF128"/>
  <c r="AF401"/>
  <c r="AF363"/>
  <c r="AF258"/>
  <c r="AF478"/>
  <c r="AF111"/>
  <c r="AF153"/>
  <c r="AF490"/>
  <c r="AF474"/>
  <c r="AF480" s="1"/>
  <c r="AF86" s="1"/>
  <c r="AF426"/>
  <c r="AF132"/>
  <c r="AF380"/>
  <c r="AF149"/>
  <c r="AF155" s="1"/>
  <c r="AF71" s="1"/>
  <c r="AF254"/>
  <c r="AF170"/>
  <c r="AF191"/>
  <c r="AF279"/>
  <c r="AF422"/>
  <c r="AF458"/>
  <c r="AF275"/>
  <c r="AF462"/>
  <c r="AF359"/>
  <c r="AF494"/>
  <c r="AF296"/>
  <c r="AP386" i="118"/>
  <c r="AP82" s="1"/>
  <c r="AP344"/>
  <c r="AP80" s="1"/>
  <c r="AP407"/>
  <c r="AP83" s="1"/>
  <c r="AP281"/>
  <c r="AP77" s="1"/>
  <c r="AP302"/>
  <c r="AP78" s="1"/>
  <c r="AP21"/>
  <c r="AP496"/>
  <c r="AP87" s="1"/>
  <c r="AP23"/>
  <c r="AT36" i="116"/>
  <c r="AT38" s="1"/>
  <c r="AD36" i="120"/>
  <c r="AD38" s="1"/>
  <c r="AD39" s="1"/>
  <c r="AU134" i="116"/>
  <c r="AU70" s="1"/>
  <c r="N70" s="1"/>
  <c r="AU20"/>
  <c r="N20" s="1"/>
  <c r="AU197"/>
  <c r="AU73" s="1"/>
  <c r="N73" s="1"/>
  <c r="AU155"/>
  <c r="AU71" s="1"/>
  <c r="N71" s="1"/>
  <c r="AU32"/>
  <c r="N32" s="1"/>
  <c r="AU464"/>
  <c r="AU85" s="1"/>
  <c r="N85" s="1"/>
  <c r="AU176"/>
  <c r="AU72" s="1"/>
  <c r="N72" s="1"/>
  <c r="AU31"/>
  <c r="N31" s="1"/>
  <c r="AF496" i="117"/>
  <c r="AF87" s="1"/>
  <c r="AF25"/>
  <c r="AF134"/>
  <c r="AF70" s="1"/>
  <c r="AF197"/>
  <c r="AF73" s="1"/>
  <c r="AE31" i="120"/>
  <c r="AE260"/>
  <c r="AE76" s="1"/>
  <c r="AE496"/>
  <c r="AE87" s="1"/>
  <c r="AE239"/>
  <c r="AE75" s="1"/>
  <c r="AE218"/>
  <c r="AE74" s="1"/>
  <c r="AE20"/>
  <c r="AE32"/>
  <c r="AE386"/>
  <c r="AE82" s="1"/>
  <c r="AE197"/>
  <c r="AE73" s="1"/>
  <c r="AE39" i="117"/>
  <c r="AG154"/>
  <c r="AG235"/>
  <c r="AG364"/>
  <c r="AG334"/>
  <c r="AG250"/>
  <c r="AG295"/>
  <c r="AG192"/>
  <c r="AG196"/>
  <c r="AG455"/>
  <c r="AG459"/>
  <c r="AG175"/>
  <c r="AG406"/>
  <c r="AG385"/>
  <c r="AG277"/>
  <c r="AG112"/>
  <c r="AG207"/>
  <c r="AG298"/>
  <c r="AG169"/>
  <c r="AG424"/>
  <c r="AG271"/>
  <c r="AG147"/>
  <c r="AG377"/>
  <c r="AG217"/>
  <c r="AG272"/>
  <c r="AG360"/>
  <c r="AG356"/>
  <c r="AG228"/>
  <c r="AG376"/>
  <c r="AG150"/>
  <c r="AG186"/>
  <c r="AG168"/>
  <c r="AG379"/>
  <c r="AG472"/>
  <c r="AG230"/>
  <c r="AG469"/>
  <c r="AG129"/>
  <c r="AG343"/>
  <c r="AG109"/>
  <c r="AG104"/>
  <c r="AG297"/>
  <c r="AG251"/>
  <c r="AG238"/>
  <c r="AG375"/>
  <c r="AG193"/>
  <c r="AG105"/>
  <c r="AG403"/>
  <c r="AG354"/>
  <c r="AG259"/>
  <c r="AG144"/>
  <c r="AG470"/>
  <c r="AG457"/>
  <c r="AG108"/>
  <c r="AG280"/>
  <c r="AG103"/>
  <c r="AG255"/>
  <c r="AG382"/>
  <c r="AG339"/>
  <c r="AG167"/>
  <c r="AG234"/>
  <c r="AG273"/>
  <c r="AG479"/>
  <c r="AG229"/>
  <c r="AG488"/>
  <c r="AG420"/>
  <c r="AG378"/>
  <c r="AG335"/>
  <c r="AG270"/>
  <c r="AG475"/>
  <c r="AG463"/>
  <c r="AG427"/>
  <c r="AG319"/>
  <c r="AG209"/>
  <c r="AG402"/>
  <c r="AG397"/>
  <c r="AG314"/>
  <c r="AG213"/>
  <c r="AG423"/>
  <c r="AG188"/>
  <c r="AG312"/>
  <c r="AG146"/>
  <c r="AG340"/>
  <c r="AG421"/>
  <c r="AG399"/>
  <c r="AG473"/>
  <c r="AG291"/>
  <c r="AG208"/>
  <c r="AG133"/>
  <c r="AG171"/>
  <c r="AG489"/>
  <c r="AG165"/>
  <c r="AG214"/>
  <c r="AG189"/>
  <c r="AG252"/>
  <c r="AG357"/>
  <c r="AG495"/>
  <c r="AG453"/>
  <c r="AG476"/>
  <c r="AG210"/>
  <c r="AG487"/>
  <c r="AG454"/>
  <c r="AG381"/>
  <c r="AG166"/>
  <c r="AG293"/>
  <c r="AG318"/>
  <c r="AG151"/>
  <c r="AG187"/>
  <c r="AG361"/>
  <c r="AG276"/>
  <c r="AG130"/>
  <c r="AG491"/>
  <c r="AG231"/>
  <c r="AG172"/>
  <c r="AG124"/>
  <c r="AG315"/>
  <c r="AG125"/>
  <c r="AG333"/>
  <c r="AG256"/>
  <c r="AG486"/>
  <c r="AG123"/>
  <c r="AG355"/>
  <c r="AG460"/>
  <c r="AG417"/>
  <c r="AG322"/>
  <c r="AG398"/>
  <c r="AG492"/>
  <c r="AG485"/>
  <c r="AG301"/>
  <c r="AG396"/>
  <c r="AG418"/>
  <c r="AG249"/>
  <c r="AG145"/>
  <c r="AG471"/>
  <c r="AG292"/>
  <c r="AG211"/>
  <c r="AG232"/>
  <c r="AG419"/>
  <c r="AG106"/>
  <c r="AG296"/>
  <c r="AG317"/>
  <c r="AG253"/>
  <c r="AG190"/>
  <c r="AG358"/>
  <c r="AG127"/>
  <c r="AG336"/>
  <c r="AG313"/>
  <c r="AG20" s="1"/>
  <c r="AG126"/>
  <c r="AG275"/>
  <c r="AG400"/>
  <c r="AG316"/>
  <c r="AG102"/>
  <c r="AG456"/>
  <c r="AG294"/>
  <c r="AG254"/>
  <c r="AG274"/>
  <c r="AG148"/>
  <c r="AG337"/>
  <c r="AG494"/>
  <c r="AG212"/>
  <c r="AG107"/>
  <c r="AG478"/>
  <c r="AG149"/>
  <c r="AG258"/>
  <c r="AG422"/>
  <c r="AG233"/>
  <c r="AG300"/>
  <c r="AG302" s="1"/>
  <c r="AG78" s="1"/>
  <c r="AG237"/>
  <c r="AG462"/>
  <c r="AG128"/>
  <c r="AG191"/>
  <c r="AG153"/>
  <c r="AG363"/>
  <c r="AG490"/>
  <c r="AG216"/>
  <c r="AG384"/>
  <c r="AG321"/>
  <c r="AG111"/>
  <c r="AG359"/>
  <c r="AG342"/>
  <c r="AG405"/>
  <c r="AG401"/>
  <c r="AG195"/>
  <c r="AG174"/>
  <c r="AG458"/>
  <c r="AG474"/>
  <c r="AG170"/>
  <c r="AG380"/>
  <c r="AG279"/>
  <c r="AG281" s="1"/>
  <c r="AG77" s="1"/>
  <c r="AG132"/>
  <c r="AG426"/>
  <c r="AG338"/>
  <c r="AF45" i="120"/>
  <c r="AF65" s="1"/>
  <c r="AF10"/>
  <c r="AF14" s="1"/>
  <c r="AQ45" i="118"/>
  <c r="AQ65" s="1"/>
  <c r="AQ10"/>
  <c r="AQ14" s="1"/>
  <c r="AQ106"/>
  <c r="AQ107"/>
  <c r="AQ132"/>
  <c r="AQ150"/>
  <c r="AQ190"/>
  <c r="AQ211"/>
  <c r="AQ232"/>
  <c r="AQ253"/>
  <c r="AQ274"/>
  <c r="AQ295"/>
  <c r="AQ316"/>
  <c r="AQ337"/>
  <c r="AQ358"/>
  <c r="AQ379"/>
  <c r="AQ400"/>
  <c r="AQ421"/>
  <c r="AQ457"/>
  <c r="AQ473"/>
  <c r="AQ489"/>
  <c r="AQ169"/>
  <c r="AQ128"/>
  <c r="AQ153"/>
  <c r="AQ171"/>
  <c r="AQ192"/>
  <c r="AQ213"/>
  <c r="AQ234"/>
  <c r="AQ255"/>
  <c r="AQ276"/>
  <c r="AQ297"/>
  <c r="AQ318"/>
  <c r="AQ339"/>
  <c r="AQ360"/>
  <c r="AQ381"/>
  <c r="AQ402"/>
  <c r="AQ423"/>
  <c r="AQ459"/>
  <c r="AQ475"/>
  <c r="AQ491"/>
  <c r="AQ148"/>
  <c r="AQ108"/>
  <c r="AQ149"/>
  <c r="AQ174"/>
  <c r="AQ195"/>
  <c r="AQ216"/>
  <c r="AQ237"/>
  <c r="AQ258"/>
  <c r="AQ279"/>
  <c r="AQ300"/>
  <c r="AQ321"/>
  <c r="AQ342"/>
  <c r="AQ363"/>
  <c r="AQ384"/>
  <c r="AQ405"/>
  <c r="AQ426"/>
  <c r="AQ462"/>
  <c r="AQ478"/>
  <c r="AQ494"/>
  <c r="AQ127"/>
  <c r="AQ111"/>
  <c r="AQ129"/>
  <c r="AQ170"/>
  <c r="AQ191"/>
  <c r="AQ212"/>
  <c r="AQ233"/>
  <c r="AQ254"/>
  <c r="AQ275"/>
  <c r="AQ296"/>
  <c r="AQ317"/>
  <c r="AQ338"/>
  <c r="AQ359"/>
  <c r="AQ380"/>
  <c r="AQ401"/>
  <c r="AQ422"/>
  <c r="AQ458"/>
  <c r="AQ474"/>
  <c r="AQ490"/>
  <c r="AQ486"/>
  <c r="AQ271"/>
  <c r="AQ427"/>
  <c r="AQ343"/>
  <c r="AQ273"/>
  <c r="AQ476"/>
  <c r="AQ313"/>
  <c r="AQ419"/>
  <c r="AQ175"/>
  <c r="AQ455"/>
  <c r="AQ361"/>
  <c r="AQ189"/>
  <c r="AQ356"/>
  <c r="AQ207"/>
  <c r="AQ154"/>
  <c r="AQ335"/>
  <c r="AQ147"/>
  <c r="AQ214"/>
  <c r="AQ103"/>
  <c r="AQ209"/>
  <c r="AQ377"/>
  <c r="AQ165"/>
  <c r="AQ176" s="1"/>
  <c r="AQ72" s="1"/>
  <c r="AQ463"/>
  <c r="AQ231"/>
  <c r="AQ228"/>
  <c r="AQ104"/>
  <c r="AQ144"/>
  <c r="AQ126"/>
  <c r="AQ456"/>
  <c r="AQ294"/>
  <c r="AQ453"/>
  <c r="AQ375"/>
  <c r="AQ334"/>
  <c r="AQ487"/>
  <c r="AQ336"/>
  <c r="AQ470"/>
  <c r="AQ249"/>
  <c r="AQ123"/>
  <c r="AQ376"/>
  <c r="AQ259"/>
  <c r="AQ492"/>
  <c r="AQ208"/>
  <c r="AQ186"/>
  <c r="AQ102"/>
  <c r="AQ256"/>
  <c r="AQ217"/>
  <c r="AQ145"/>
  <c r="AQ291"/>
  <c r="AQ460"/>
  <c r="AQ301"/>
  <c r="AQ112"/>
  <c r="AQ151"/>
  <c r="AQ272"/>
  <c r="AQ230"/>
  <c r="AQ188"/>
  <c r="AQ340"/>
  <c r="AQ172"/>
  <c r="AQ454"/>
  <c r="AQ355"/>
  <c r="AQ471"/>
  <c r="AQ382"/>
  <c r="AQ357"/>
  <c r="AQ488"/>
  <c r="AQ397"/>
  <c r="AQ229"/>
  <c r="AQ298"/>
  <c r="AQ130"/>
  <c r="AQ385"/>
  <c r="AQ270"/>
  <c r="AQ105"/>
  <c r="AQ238"/>
  <c r="AQ193"/>
  <c r="AQ109"/>
  <c r="AQ293"/>
  <c r="AQ235"/>
  <c r="AQ187"/>
  <c r="AQ396"/>
  <c r="AQ469"/>
  <c r="AQ480" s="1"/>
  <c r="AQ86" s="1"/>
  <c r="AQ417"/>
  <c r="AQ167"/>
  <c r="AQ314"/>
  <c r="AQ364"/>
  <c r="AQ292"/>
  <c r="AQ251"/>
  <c r="AQ424"/>
  <c r="AQ280"/>
  <c r="AQ472"/>
  <c r="AQ378"/>
  <c r="AQ495"/>
  <c r="AQ398"/>
  <c r="AQ418"/>
  <c r="AQ250"/>
  <c r="AQ420"/>
  <c r="AQ252"/>
  <c r="AQ354"/>
  <c r="AQ146"/>
  <c r="AQ406"/>
  <c r="AQ333"/>
  <c r="AQ344" s="1"/>
  <c r="AQ80" s="1"/>
  <c r="AQ166"/>
  <c r="AQ312"/>
  <c r="AQ196"/>
  <c r="AQ125"/>
  <c r="AQ319"/>
  <c r="AQ124"/>
  <c r="AQ210"/>
  <c r="AQ39"/>
  <c r="AQ133"/>
  <c r="AQ277"/>
  <c r="AQ403"/>
  <c r="AQ315"/>
  <c r="AQ485"/>
  <c r="AQ168"/>
  <c r="AQ479"/>
  <c r="AQ322"/>
  <c r="AQ399"/>
  <c r="AE19" i="120"/>
  <c r="AE113"/>
  <c r="AE69" s="1"/>
  <c r="AP197" i="118"/>
  <c r="AP73" s="1"/>
  <c r="AP26"/>
  <c r="AP323"/>
  <c r="AP79" s="1"/>
  <c r="AP176"/>
  <c r="AP72" s="1"/>
  <c r="AP155"/>
  <c r="AP71" s="1"/>
  <c r="AP428"/>
  <c r="AP84" s="1"/>
  <c r="AP260"/>
  <c r="AP76" s="1"/>
  <c r="AP239"/>
  <c r="AP75" s="1"/>
  <c r="AP480"/>
  <c r="AP86" s="1"/>
  <c r="AP24"/>
  <c r="AT88" i="116"/>
  <c r="AT90" s="1"/>
  <c r="AD88" i="120"/>
  <c r="AD90" s="1"/>
  <c r="AU407" i="116"/>
  <c r="AU83" s="1"/>
  <c r="N83" s="1"/>
  <c r="AU21"/>
  <c r="N21" s="1"/>
  <c r="AU480"/>
  <c r="AU86" s="1"/>
  <c r="N86" s="1"/>
  <c r="AU386"/>
  <c r="AU82" s="1"/>
  <c r="N82" s="1"/>
  <c r="AU428"/>
  <c r="AU84" s="1"/>
  <c r="N84" s="1"/>
  <c r="AU25"/>
  <c r="N25" s="1"/>
  <c r="AF31" i="117"/>
  <c r="AF23"/>
  <c r="AF464"/>
  <c r="AF85" s="1"/>
  <c r="AF365"/>
  <c r="AF81" s="1"/>
  <c r="AF428"/>
  <c r="AF84" s="1"/>
  <c r="AF344"/>
  <c r="AF80" s="1"/>
  <c r="AF239"/>
  <c r="AF75" s="1"/>
  <c r="AF386"/>
  <c r="AF82" s="1"/>
  <c r="AF21"/>
  <c r="AF26"/>
  <c r="AE176" i="120"/>
  <c r="AE72" s="1"/>
  <c r="AE344"/>
  <c r="AE80" s="1"/>
  <c r="AE24"/>
  <c r="AE365"/>
  <c r="AE81" s="1"/>
  <c r="AE134"/>
  <c r="AE70" s="1"/>
  <c r="AE26"/>
  <c r="AE428"/>
  <c r="AE84" s="1"/>
  <c r="N45" i="116"/>
  <c r="AG45" i="117"/>
  <c r="AG65" s="1"/>
  <c r="AG10"/>
  <c r="AG14" s="1"/>
  <c r="AU19" i="116"/>
  <c r="AU113"/>
  <c r="AU69" s="1"/>
  <c r="AF19" i="117"/>
  <c r="AF113"/>
  <c r="AF69" s="1"/>
  <c r="AR445" i="118"/>
  <c r="AR393"/>
  <c r="AR372"/>
  <c r="AR267"/>
  <c r="AR409"/>
  <c r="AR388"/>
  <c r="AR94"/>
  <c r="AR304"/>
  <c r="AR330"/>
  <c r="AR246"/>
  <c r="AR99"/>
  <c r="AR435"/>
  <c r="AR367"/>
  <c r="AR351"/>
  <c r="AR466"/>
  <c r="AR482"/>
  <c r="AR178"/>
  <c r="AR42"/>
  <c r="AR67" s="1"/>
  <c r="AR499"/>
  <c r="AR430"/>
  <c r="AR325"/>
  <c r="AR283"/>
  <c r="AR225"/>
  <c r="AR503"/>
  <c r="AS8"/>
  <c r="AR120"/>
  <c r="AR241"/>
  <c r="AR162"/>
  <c r="AR450"/>
  <c r="AR136"/>
  <c r="AR440"/>
  <c r="AR199"/>
  <c r="AR183"/>
  <c r="AR507"/>
  <c r="AR508" s="1"/>
  <c r="AR509" s="1"/>
  <c r="AR309"/>
  <c r="AR288"/>
  <c r="AR115"/>
  <c r="AR346"/>
  <c r="AR262"/>
  <c r="AR220"/>
  <c r="AR16"/>
  <c r="AR157"/>
  <c r="AR204"/>
  <c r="AR141"/>
  <c r="AR414"/>
  <c r="AR432"/>
  <c r="AR61" s="1"/>
  <c r="AR222"/>
  <c r="AR51" s="1"/>
  <c r="AR390"/>
  <c r="AR59" s="1"/>
  <c r="AR243"/>
  <c r="AR52" s="1"/>
  <c r="AR327"/>
  <c r="AR56" s="1"/>
  <c r="AR180"/>
  <c r="AR49" s="1"/>
  <c r="AR306"/>
  <c r="AR55" s="1"/>
  <c r="AR437"/>
  <c r="AR62" s="1"/>
  <c r="AR96"/>
  <c r="AR369"/>
  <c r="AR58" s="1"/>
  <c r="AR285"/>
  <c r="AR54" s="1"/>
  <c r="AR264"/>
  <c r="AR53" s="1"/>
  <c r="AR447"/>
  <c r="AR64" s="1"/>
  <c r="AR411"/>
  <c r="AR60" s="1"/>
  <c r="AR442"/>
  <c r="AR63" s="1"/>
  <c r="AR117"/>
  <c r="AR46" s="1"/>
  <c r="AR159"/>
  <c r="AR48" s="1"/>
  <c r="AR201"/>
  <c r="AR50" s="1"/>
  <c r="AR138"/>
  <c r="AR47" s="1"/>
  <c r="AR348"/>
  <c r="AR57" s="1"/>
  <c r="AP22"/>
  <c r="AP20"/>
  <c r="AP134"/>
  <c r="AP70" s="1"/>
  <c r="AP464"/>
  <c r="AP85" s="1"/>
  <c r="AP31"/>
  <c r="AO36"/>
  <c r="AO38" s="1"/>
  <c r="AE88" i="117"/>
  <c r="AE90" s="1"/>
  <c r="AU281" i="116"/>
  <c r="AU77" s="1"/>
  <c r="N77" s="1"/>
  <c r="AU323"/>
  <c r="AU79" s="1"/>
  <c r="N79" s="1"/>
  <c r="AU26"/>
  <c r="N26" s="1"/>
  <c r="AU496"/>
  <c r="AU87" s="1"/>
  <c r="N87" s="1"/>
  <c r="AU344"/>
  <c r="AU80" s="1"/>
  <c r="N80" s="1"/>
  <c r="AU23"/>
  <c r="N23" s="1"/>
  <c r="AU260"/>
  <c r="AU76" s="1"/>
  <c r="N76" s="1"/>
  <c r="AF260" i="117"/>
  <c r="AF76" s="1"/>
  <c r="AF155"/>
  <c r="AF71" s="1"/>
  <c r="AF176"/>
  <c r="AF72" s="1"/>
  <c r="AF480"/>
  <c r="AF86" s="1"/>
  <c r="AF32"/>
  <c r="AE407" i="120"/>
  <c r="AE83" s="1"/>
  <c r="AE25"/>
  <c r="AE480"/>
  <c r="AE86" s="1"/>
  <c r="F11" i="8"/>
  <c r="F46"/>
  <c r="F36"/>
  <c r="F75" i="109"/>
  <c r="F79"/>
  <c r="F42" i="8"/>
  <c r="F45"/>
  <c r="F52"/>
  <c r="F40"/>
  <c r="F38"/>
  <c r="F37"/>
  <c r="F48"/>
  <c r="F49"/>
  <c r="F41"/>
  <c r="F76" i="109"/>
  <c r="F78"/>
  <c r="F74"/>
  <c r="F50" i="8"/>
  <c r="F47"/>
  <c r="F43"/>
  <c r="F35"/>
  <c r="F51"/>
  <c r="F44"/>
  <c r="F77" i="109"/>
  <c r="F31" i="8" l="1"/>
  <c r="AR106" i="118"/>
  <c r="AR107"/>
  <c r="AR132"/>
  <c r="AR150"/>
  <c r="AR190"/>
  <c r="AR211"/>
  <c r="AR232"/>
  <c r="AR253"/>
  <c r="AR274"/>
  <c r="AR295"/>
  <c r="AR316"/>
  <c r="AR337"/>
  <c r="AR358"/>
  <c r="AR379"/>
  <c r="AR400"/>
  <c r="AR421"/>
  <c r="AR457"/>
  <c r="AR473"/>
  <c r="AR489"/>
  <c r="AR169"/>
  <c r="AR128"/>
  <c r="AR153"/>
  <c r="AR171"/>
  <c r="AR192"/>
  <c r="AR213"/>
  <c r="AR234"/>
  <c r="AR255"/>
  <c r="AR276"/>
  <c r="AR297"/>
  <c r="AR318"/>
  <c r="AR339"/>
  <c r="AR360"/>
  <c r="AR381"/>
  <c r="AR402"/>
  <c r="AR423"/>
  <c r="AR459"/>
  <c r="AR475"/>
  <c r="AR491"/>
  <c r="AR148"/>
  <c r="AR108"/>
  <c r="AR149"/>
  <c r="AR174"/>
  <c r="AR195"/>
  <c r="AR216"/>
  <c r="AR237"/>
  <c r="AR258"/>
  <c r="AR279"/>
  <c r="AR300"/>
  <c r="AR321"/>
  <c r="AR342"/>
  <c r="AR363"/>
  <c r="AR384"/>
  <c r="AR405"/>
  <c r="AR426"/>
  <c r="AR462"/>
  <c r="AR478"/>
  <c r="AR494"/>
  <c r="AR127"/>
  <c r="AR111"/>
  <c r="AR129"/>
  <c r="AR170"/>
  <c r="AR191"/>
  <c r="AR212"/>
  <c r="AR233"/>
  <c r="AR254"/>
  <c r="AR275"/>
  <c r="AR296"/>
  <c r="AR317"/>
  <c r="AR338"/>
  <c r="AR359"/>
  <c r="AR380"/>
  <c r="AR401"/>
  <c r="AR422"/>
  <c r="AR458"/>
  <c r="AR474"/>
  <c r="AR490"/>
  <c r="AR495"/>
  <c r="AR479"/>
  <c r="AR382"/>
  <c r="AR298"/>
  <c r="AR214"/>
  <c r="AR486"/>
  <c r="AR454"/>
  <c r="AR354"/>
  <c r="AR270"/>
  <c r="AR417"/>
  <c r="AR333"/>
  <c r="AR249"/>
  <c r="AR189"/>
  <c r="AR313"/>
  <c r="AR207"/>
  <c r="AR154"/>
  <c r="AR397"/>
  <c r="AR252"/>
  <c r="AR168"/>
  <c r="AR167"/>
  <c r="AR39"/>
  <c r="AR133"/>
  <c r="AR335"/>
  <c r="AR399"/>
  <c r="AR488"/>
  <c r="AR104"/>
  <c r="AR165"/>
  <c r="AR294"/>
  <c r="AR469"/>
  <c r="AR453"/>
  <c r="AR398"/>
  <c r="AR314"/>
  <c r="AR230"/>
  <c r="AR334"/>
  <c r="AR463"/>
  <c r="AR361"/>
  <c r="AR277"/>
  <c r="AR424"/>
  <c r="AR340"/>
  <c r="AR256"/>
  <c r="AR336"/>
  <c r="AR492"/>
  <c r="AR208"/>
  <c r="AR186"/>
  <c r="AR102"/>
  <c r="AR271"/>
  <c r="AR228"/>
  <c r="AR235"/>
  <c r="AR112"/>
  <c r="AR209"/>
  <c r="AR364"/>
  <c r="AR126"/>
  <c r="AR123"/>
  <c r="AR146"/>
  <c r="AR147"/>
  <c r="AR420"/>
  <c r="AR103"/>
  <c r="AR476"/>
  <c r="AR460"/>
  <c r="AR427"/>
  <c r="AR343"/>
  <c r="AR259"/>
  <c r="AR357"/>
  <c r="AR472"/>
  <c r="AR377"/>
  <c r="AR293"/>
  <c r="AR456"/>
  <c r="AR356"/>
  <c r="AR272"/>
  <c r="AR376"/>
  <c r="AR105"/>
  <c r="AR250"/>
  <c r="AR193"/>
  <c r="AR109"/>
  <c r="AR292"/>
  <c r="AR229"/>
  <c r="AR403"/>
  <c r="AR144"/>
  <c r="AR396"/>
  <c r="AR407" s="1"/>
  <c r="AR83" s="1"/>
  <c r="AR124"/>
  <c r="AR280"/>
  <c r="AR172"/>
  <c r="AR187"/>
  <c r="AR188"/>
  <c r="AR175"/>
  <c r="AR378"/>
  <c r="AR487"/>
  <c r="AR471"/>
  <c r="AR455"/>
  <c r="AR375"/>
  <c r="AR291"/>
  <c r="AR302" s="1"/>
  <c r="AR78" s="1"/>
  <c r="AR418"/>
  <c r="AR485"/>
  <c r="AR406"/>
  <c r="AR322"/>
  <c r="AR238"/>
  <c r="AR385"/>
  <c r="AR301"/>
  <c r="AR217"/>
  <c r="AR166"/>
  <c r="AR312"/>
  <c r="AR196"/>
  <c r="AR125"/>
  <c r="AR315"/>
  <c r="AR251"/>
  <c r="AR145"/>
  <c r="AR151"/>
  <c r="AR470"/>
  <c r="AR355"/>
  <c r="AR319"/>
  <c r="AR231"/>
  <c r="AR210"/>
  <c r="AR273"/>
  <c r="AR130"/>
  <c r="AR419"/>
  <c r="AQ19"/>
  <c r="AQ113"/>
  <c r="AQ69" s="1"/>
  <c r="AH459" i="117"/>
  <c r="AH109"/>
  <c r="AH297"/>
  <c r="AH472"/>
  <c r="AH211"/>
  <c r="AH112"/>
  <c r="AH250"/>
  <c r="AH207"/>
  <c r="AH171"/>
  <c r="AH334"/>
  <c r="AH376"/>
  <c r="AH453"/>
  <c r="AH147"/>
  <c r="AH213"/>
  <c r="AH364"/>
  <c r="AH360"/>
  <c r="AH235"/>
  <c r="AH485"/>
  <c r="AH343"/>
  <c r="AH424"/>
  <c r="AH291"/>
  <c r="AH196"/>
  <c r="AH385"/>
  <c r="AH217"/>
  <c r="AH208"/>
  <c r="AH150"/>
  <c r="AH168"/>
  <c r="AH406"/>
  <c r="AH402"/>
  <c r="AH469"/>
  <c r="AH154"/>
  <c r="AH129"/>
  <c r="AH292"/>
  <c r="AH105"/>
  <c r="AH301"/>
  <c r="AH375"/>
  <c r="AH229"/>
  <c r="AH186"/>
  <c r="AH382"/>
  <c r="AH455"/>
  <c r="AH492"/>
  <c r="AH471"/>
  <c r="AH104"/>
  <c r="AH277"/>
  <c r="AH337"/>
  <c r="AH210"/>
  <c r="AH298"/>
  <c r="AH273"/>
  <c r="AH314"/>
  <c r="AH228"/>
  <c r="AH175"/>
  <c r="AH423"/>
  <c r="AH396"/>
  <c r="AH377"/>
  <c r="AH151"/>
  <c r="AH476"/>
  <c r="AH463"/>
  <c r="AH209"/>
  <c r="AH361"/>
  <c r="AH130"/>
  <c r="AH169"/>
  <c r="AH312"/>
  <c r="AH146"/>
  <c r="AH251"/>
  <c r="AH340"/>
  <c r="AH293"/>
  <c r="AH487"/>
  <c r="AH399"/>
  <c r="AH378"/>
  <c r="AH123"/>
  <c r="AH454"/>
  <c r="AH355"/>
  <c r="AH473"/>
  <c r="AH489"/>
  <c r="AH192"/>
  <c r="AH259"/>
  <c r="AH165"/>
  <c r="AH381"/>
  <c r="AH356"/>
  <c r="AH231"/>
  <c r="AH315"/>
  <c r="AH214"/>
  <c r="AH357"/>
  <c r="AH495"/>
  <c r="AH479"/>
  <c r="AH488"/>
  <c r="AH335"/>
  <c r="AH403"/>
  <c r="AH417"/>
  <c r="AH276"/>
  <c r="AH252"/>
  <c r="AH354"/>
  <c r="AH319"/>
  <c r="AH144"/>
  <c r="AH491"/>
  <c r="AH108"/>
  <c r="AH280"/>
  <c r="AH255"/>
  <c r="AH103"/>
  <c r="AH188"/>
  <c r="AH125"/>
  <c r="AH234"/>
  <c r="AH333"/>
  <c r="AH256"/>
  <c r="AH427"/>
  <c r="AH271"/>
  <c r="AH379"/>
  <c r="AH358"/>
  <c r="AH187"/>
  <c r="AH148"/>
  <c r="AH470"/>
  <c r="AH457"/>
  <c r="AH272"/>
  <c r="AH397"/>
  <c r="AH339"/>
  <c r="AH172"/>
  <c r="AH124"/>
  <c r="AH189"/>
  <c r="AH167"/>
  <c r="AH133"/>
  <c r="AH127"/>
  <c r="AH486"/>
  <c r="AH238"/>
  <c r="AH421"/>
  <c r="AH270"/>
  <c r="AH166"/>
  <c r="AH318"/>
  <c r="AH230"/>
  <c r="AH420"/>
  <c r="AH145"/>
  <c r="AH475"/>
  <c r="AH418"/>
  <c r="AH398"/>
  <c r="AH193"/>
  <c r="AH322"/>
  <c r="AH249"/>
  <c r="AH460"/>
  <c r="AH102"/>
  <c r="AH19" s="1"/>
  <c r="AH190"/>
  <c r="AH106"/>
  <c r="AH253"/>
  <c r="AH456"/>
  <c r="AH313"/>
  <c r="AH295"/>
  <c r="AH419"/>
  <c r="AH336"/>
  <c r="AH316"/>
  <c r="AH400"/>
  <c r="AH232"/>
  <c r="AH274"/>
  <c r="AH126"/>
  <c r="AH294"/>
  <c r="AH237"/>
  <c r="AH359"/>
  <c r="AH494"/>
  <c r="AH258"/>
  <c r="AH149"/>
  <c r="AH111"/>
  <c r="AH107"/>
  <c r="AH422"/>
  <c r="AH296"/>
  <c r="AH216"/>
  <c r="AH254"/>
  <c r="AH275"/>
  <c r="AH380"/>
  <c r="AH405"/>
  <c r="AH478"/>
  <c r="AH174"/>
  <c r="AH458"/>
  <c r="AH128"/>
  <c r="AH401"/>
  <c r="AH195"/>
  <c r="AH321"/>
  <c r="AH490"/>
  <c r="AH191"/>
  <c r="AH474"/>
  <c r="AH363"/>
  <c r="AH279"/>
  <c r="AH132"/>
  <c r="AH462"/>
  <c r="AH317"/>
  <c r="AH342"/>
  <c r="AH170"/>
  <c r="AH384"/>
  <c r="AH426"/>
  <c r="AH300"/>
  <c r="AH153"/>
  <c r="AH233"/>
  <c r="AH338"/>
  <c r="AH212"/>
  <c r="AH218" s="1"/>
  <c r="AH74" s="1"/>
  <c r="AF36"/>
  <c r="AF38" s="1"/>
  <c r="AE36" i="120"/>
  <c r="AE38" s="1"/>
  <c r="AQ323" i="118"/>
  <c r="AQ79" s="1"/>
  <c r="AQ302"/>
  <c r="AQ78" s="1"/>
  <c r="AQ386"/>
  <c r="AQ82" s="1"/>
  <c r="AQ25"/>
  <c r="AG323" i="117"/>
  <c r="AG79" s="1"/>
  <c r="AG24"/>
  <c r="AG134"/>
  <c r="AG70" s="1"/>
  <c r="AG365"/>
  <c r="AG81" s="1"/>
  <c r="AG386"/>
  <c r="AG82" s="1"/>
  <c r="AG21"/>
  <c r="AG480"/>
  <c r="AG86" s="1"/>
  <c r="AG239"/>
  <c r="AG75" s="1"/>
  <c r="AG32"/>
  <c r="AF281" i="120"/>
  <c r="AF77" s="1"/>
  <c r="AF260"/>
  <c r="AF76" s="1"/>
  <c r="AF113"/>
  <c r="AF69" s="1"/>
  <c r="AF386"/>
  <c r="AF82" s="1"/>
  <c r="AF239"/>
  <c r="AF75" s="1"/>
  <c r="AF26"/>
  <c r="AF365"/>
  <c r="AF81" s="1"/>
  <c r="AF20"/>
  <c r="AF428"/>
  <c r="AF84" s="1"/>
  <c r="AP36" i="118"/>
  <c r="AP38" s="1"/>
  <c r="AE39" i="120"/>
  <c r="AF19"/>
  <c r="AF407"/>
  <c r="AF83" s="1"/>
  <c r="AI435" i="117"/>
  <c r="AI409"/>
  <c r="AI445"/>
  <c r="AI283"/>
  <c r="AI94"/>
  <c r="AI262"/>
  <c r="AI162"/>
  <c r="AI309"/>
  <c r="AI372"/>
  <c r="AI288"/>
  <c r="AI220"/>
  <c r="AJ8"/>
  <c r="AI482"/>
  <c r="AI440"/>
  <c r="AI367"/>
  <c r="AI178"/>
  <c r="AI99"/>
  <c r="AI204"/>
  <c r="AI388"/>
  <c r="AI241"/>
  <c r="AI393"/>
  <c r="AI136"/>
  <c r="AI16"/>
  <c r="AI499"/>
  <c r="AI466"/>
  <c r="AI330"/>
  <c r="AI430"/>
  <c r="AI183"/>
  <c r="AI141"/>
  <c r="AI115"/>
  <c r="AI267"/>
  <c r="AI157"/>
  <c r="AI199"/>
  <c r="AI503"/>
  <c r="AI351"/>
  <c r="AI507"/>
  <c r="AI508" s="1"/>
  <c r="AI509" s="1"/>
  <c r="AI414"/>
  <c r="AI450"/>
  <c r="AI246"/>
  <c r="AI225"/>
  <c r="AI325"/>
  <c r="AI304"/>
  <c r="AI346"/>
  <c r="AI120"/>
  <c r="AI42"/>
  <c r="AI67" s="1"/>
  <c r="AI159"/>
  <c r="AI48" s="1"/>
  <c r="AI432"/>
  <c r="AI61" s="1"/>
  <c r="AI411"/>
  <c r="AI60" s="1"/>
  <c r="AI390"/>
  <c r="AI59" s="1"/>
  <c r="AI264"/>
  <c r="AI53" s="1"/>
  <c r="AI348"/>
  <c r="AI57" s="1"/>
  <c r="AI442"/>
  <c r="AI63" s="1"/>
  <c r="AI437"/>
  <c r="AI62" s="1"/>
  <c r="AI306"/>
  <c r="AI55" s="1"/>
  <c r="AI327"/>
  <c r="AI56" s="1"/>
  <c r="AI243"/>
  <c r="AI52" s="1"/>
  <c r="AI369"/>
  <c r="AI58" s="1"/>
  <c r="AI285"/>
  <c r="AI54" s="1"/>
  <c r="AI96"/>
  <c r="AI117"/>
  <c r="AI46" s="1"/>
  <c r="AI180"/>
  <c r="AI49" s="1"/>
  <c r="AI138"/>
  <c r="AI47" s="1"/>
  <c r="AI222"/>
  <c r="AI51" s="1"/>
  <c r="AI447"/>
  <c r="AI64" s="1"/>
  <c r="AI201"/>
  <c r="AI50" s="1"/>
  <c r="AG45" i="120"/>
  <c r="AG65" s="1"/>
  <c r="AG10"/>
  <c r="AG14" s="1"/>
  <c r="AG463"/>
  <c r="AG133"/>
  <c r="AG487"/>
  <c r="AG469"/>
  <c r="AG313"/>
  <c r="AG189"/>
  <c r="AG455"/>
  <c r="AG154"/>
  <c r="AG376"/>
  <c r="AG255"/>
  <c r="AG196"/>
  <c r="AG291"/>
  <c r="AG361"/>
  <c r="AG339"/>
  <c r="AG318"/>
  <c r="AG192"/>
  <c r="AG319"/>
  <c r="AG343"/>
  <c r="AG235"/>
  <c r="AG147"/>
  <c r="AG476"/>
  <c r="AG168"/>
  <c r="AG298"/>
  <c r="AG165"/>
  <c r="AG417"/>
  <c r="AG314"/>
  <c r="AG280"/>
  <c r="AG360"/>
  <c r="AG378"/>
  <c r="AG214"/>
  <c r="AG357"/>
  <c r="AG167"/>
  <c r="AG123"/>
  <c r="AG472"/>
  <c r="AG495"/>
  <c r="AG172"/>
  <c r="AG377"/>
  <c r="AG335"/>
  <c r="AG297"/>
  <c r="AG312"/>
  <c r="AG273"/>
  <c r="AG277"/>
  <c r="AG491"/>
  <c r="AG186"/>
  <c r="AG144"/>
  <c r="AG229"/>
  <c r="AG129"/>
  <c r="AG251"/>
  <c r="AG460"/>
  <c r="AG420"/>
  <c r="AG402"/>
  <c r="AG375"/>
  <c r="AG130"/>
  <c r="AG322"/>
  <c r="AG175"/>
  <c r="AG234"/>
  <c r="AG475"/>
  <c r="AG399"/>
  <c r="AG382"/>
  <c r="AG151"/>
  <c r="AG406"/>
  <c r="AG238"/>
  <c r="AG217"/>
  <c r="AG492"/>
  <c r="AG250"/>
  <c r="AG231"/>
  <c r="AG105"/>
  <c r="AG102"/>
  <c r="AG259"/>
  <c r="AG292"/>
  <c r="AG210"/>
  <c r="AG334"/>
  <c r="AG385"/>
  <c r="AG485"/>
  <c r="AG471"/>
  <c r="AG108"/>
  <c r="AG25" s="1"/>
  <c r="AG256"/>
  <c r="AG398"/>
  <c r="AG454"/>
  <c r="AG355"/>
  <c r="AG150"/>
  <c r="AG207"/>
  <c r="AG456"/>
  <c r="AG453"/>
  <c r="AG109"/>
  <c r="AG315"/>
  <c r="AG187"/>
  <c r="AG230"/>
  <c r="AG486"/>
  <c r="AG427"/>
  <c r="AG397"/>
  <c r="AG333"/>
  <c r="AG112"/>
  <c r="AG249"/>
  <c r="AG479"/>
  <c r="AG340"/>
  <c r="AG470"/>
  <c r="AG145"/>
  <c r="AG208"/>
  <c r="AG124"/>
  <c r="AG252"/>
  <c r="AG488"/>
  <c r="AG381"/>
  <c r="AG293"/>
  <c r="AG103"/>
  <c r="AG272"/>
  <c r="AG403"/>
  <c r="AG418"/>
  <c r="AG171"/>
  <c r="AG228"/>
  <c r="AG354"/>
  <c r="AG424"/>
  <c r="AG301"/>
  <c r="AG125"/>
  <c r="AG356"/>
  <c r="AG166"/>
  <c r="AG423"/>
  <c r="AG459"/>
  <c r="AG104"/>
  <c r="AG209"/>
  <c r="AG193"/>
  <c r="AG364"/>
  <c r="AG276"/>
  <c r="AG188"/>
  <c r="AG270"/>
  <c r="AG213"/>
  <c r="AG419"/>
  <c r="AG295"/>
  <c r="AG148"/>
  <c r="AG457"/>
  <c r="AG358"/>
  <c r="AG473"/>
  <c r="AG379"/>
  <c r="AG126"/>
  <c r="AG169"/>
  <c r="AG316"/>
  <c r="AG337"/>
  <c r="AG190"/>
  <c r="AG396"/>
  <c r="AG336"/>
  <c r="AG294"/>
  <c r="AG400"/>
  <c r="AG106"/>
  <c r="AG489"/>
  <c r="AG211"/>
  <c r="AG232"/>
  <c r="AG271"/>
  <c r="AG170"/>
  <c r="AG274"/>
  <c r="AG127"/>
  <c r="AG421"/>
  <c r="AG146"/>
  <c r="AG253"/>
  <c r="AG237"/>
  <c r="AG321"/>
  <c r="AG342"/>
  <c r="AG458"/>
  <c r="AG359"/>
  <c r="AG216"/>
  <c r="AG279"/>
  <c r="AG300"/>
  <c r="AG317"/>
  <c r="AG254"/>
  <c r="AG401"/>
  <c r="AG258"/>
  <c r="AG128"/>
  <c r="AG490"/>
  <c r="AG426"/>
  <c r="AG191"/>
  <c r="AG474"/>
  <c r="AG338"/>
  <c r="AG132"/>
  <c r="AG195"/>
  <c r="AG296"/>
  <c r="AG212"/>
  <c r="AG462"/>
  <c r="AG153"/>
  <c r="AG275"/>
  <c r="AG405"/>
  <c r="AG111"/>
  <c r="AG149"/>
  <c r="AG384"/>
  <c r="AG478"/>
  <c r="AG107"/>
  <c r="AG24" s="1"/>
  <c r="AG233"/>
  <c r="AG422"/>
  <c r="AG363"/>
  <c r="AG494"/>
  <c r="AG380"/>
  <c r="AG174"/>
  <c r="AR65" i="118"/>
  <c r="AF88" i="117"/>
  <c r="AF90" s="1"/>
  <c r="AE88" i="120"/>
  <c r="AE90" s="1"/>
  <c r="AQ407" i="118"/>
  <c r="AQ83" s="1"/>
  <c r="AQ26"/>
  <c r="AQ281"/>
  <c r="AQ77" s="1"/>
  <c r="AQ260"/>
  <c r="AQ76" s="1"/>
  <c r="AQ239"/>
  <c r="AQ75" s="1"/>
  <c r="AQ23"/>
  <c r="AG31" i="117"/>
  <c r="AG407"/>
  <c r="AG83" s="1"/>
  <c r="AG344"/>
  <c r="AG80" s="1"/>
  <c r="AG464"/>
  <c r="AG85" s="1"/>
  <c r="AG25"/>
  <c r="AF22" i="120"/>
  <c r="AF218"/>
  <c r="AF74" s="1"/>
  <c r="AF32"/>
  <c r="AF302"/>
  <c r="AF78" s="1"/>
  <c r="AP88" i="118"/>
  <c r="AP90" s="1"/>
  <c r="AU36" i="116"/>
  <c r="N19"/>
  <c r="AH45" i="117"/>
  <c r="AH65" s="1"/>
  <c r="AH10"/>
  <c r="AH14" s="1"/>
  <c r="AQ22" i="118"/>
  <c r="AQ134"/>
  <c r="AQ70" s="1"/>
  <c r="AQ21"/>
  <c r="AQ218"/>
  <c r="AQ74" s="1"/>
  <c r="AQ24"/>
  <c r="AG23" i="117"/>
  <c r="AG155"/>
  <c r="AG71" s="1"/>
  <c r="AG22"/>
  <c r="AF31" i="120"/>
  <c r="AF496"/>
  <c r="AF87" s="1"/>
  <c r="AF176"/>
  <c r="AF72" s="1"/>
  <c r="AF134"/>
  <c r="AF70" s="1"/>
  <c r="AS450" i="118"/>
  <c r="AS372"/>
  <c r="AS262"/>
  <c r="AS393"/>
  <c r="AS388"/>
  <c r="AS199"/>
  <c r="AS246"/>
  <c r="AS157"/>
  <c r="AS288"/>
  <c r="AS220"/>
  <c r="AS440"/>
  <c r="AS445"/>
  <c r="AS346"/>
  <c r="AS241"/>
  <c r="AS482"/>
  <c r="AS94"/>
  <c r="AS435"/>
  <c r="AS304"/>
  <c r="AS204"/>
  <c r="AS115"/>
  <c r="AS42"/>
  <c r="AS67" s="1"/>
  <c r="AS466"/>
  <c r="AS283"/>
  <c r="AS430"/>
  <c r="AS325"/>
  <c r="AS120"/>
  <c r="AS178"/>
  <c r="AS99"/>
  <c r="AS309"/>
  <c r="AS330"/>
  <c r="AS16"/>
  <c r="AS507"/>
  <c r="AS508" s="1"/>
  <c r="AS509" s="1"/>
  <c r="AS414"/>
  <c r="AS503"/>
  <c r="AS367"/>
  <c r="AS499"/>
  <c r="AS409"/>
  <c r="AS225"/>
  <c r="AS351"/>
  <c r="AS183"/>
  <c r="AS136"/>
  <c r="AT8"/>
  <c r="AS141"/>
  <c r="AS162"/>
  <c r="AS267"/>
  <c r="AS222"/>
  <c r="AS51" s="1"/>
  <c r="AS432"/>
  <c r="AS61" s="1"/>
  <c r="AS138"/>
  <c r="AS47" s="1"/>
  <c r="AS180"/>
  <c r="AS49" s="1"/>
  <c r="AS437"/>
  <c r="AS62" s="1"/>
  <c r="AS96"/>
  <c r="AS201"/>
  <c r="AS50" s="1"/>
  <c r="AS243"/>
  <c r="AS52" s="1"/>
  <c r="AS390"/>
  <c r="AS59" s="1"/>
  <c r="AS348"/>
  <c r="AS57" s="1"/>
  <c r="AS306"/>
  <c r="AS55" s="1"/>
  <c r="AS327"/>
  <c r="AS56" s="1"/>
  <c r="AS159"/>
  <c r="AS48" s="1"/>
  <c r="AS447"/>
  <c r="AS64" s="1"/>
  <c r="AS411"/>
  <c r="AS60" s="1"/>
  <c r="AS442"/>
  <c r="AS63" s="1"/>
  <c r="AS117"/>
  <c r="AS46" s="1"/>
  <c r="AS285"/>
  <c r="AS54" s="1"/>
  <c r="AS369"/>
  <c r="AS58" s="1"/>
  <c r="AS264"/>
  <c r="AS53" s="1"/>
  <c r="AR45"/>
  <c r="AR10"/>
  <c r="AR14" s="1"/>
  <c r="AU88" i="116"/>
  <c r="AU90" s="1"/>
  <c r="N90" s="1"/>
  <c r="N69"/>
  <c r="N65"/>
  <c r="AG19" i="117"/>
  <c r="AG113"/>
  <c r="AG69" s="1"/>
  <c r="AH388" i="120"/>
  <c r="AH283"/>
  <c r="AH430"/>
  <c r="AH288"/>
  <c r="AH246"/>
  <c r="AH183"/>
  <c r="AH199"/>
  <c r="AH157"/>
  <c r="AH136"/>
  <c r="AH16"/>
  <c r="AH99"/>
  <c r="AH507"/>
  <c r="AH508" s="1"/>
  <c r="AH509" s="1"/>
  <c r="AH409"/>
  <c r="AH367"/>
  <c r="AH440"/>
  <c r="AH503"/>
  <c r="AH220"/>
  <c r="AH241"/>
  <c r="AH267"/>
  <c r="AH225"/>
  <c r="AH325"/>
  <c r="AH94"/>
  <c r="AH414"/>
  <c r="AH499"/>
  <c r="AH393"/>
  <c r="AH450"/>
  <c r="AH262"/>
  <c r="AH466"/>
  <c r="AH141"/>
  <c r="AH330"/>
  <c r="AH372"/>
  <c r="AI8"/>
  <c r="AH162"/>
  <c r="AH42"/>
  <c r="AH67" s="1"/>
  <c r="AH445"/>
  <c r="AH304"/>
  <c r="AH482"/>
  <c r="AH346"/>
  <c r="AH204"/>
  <c r="AH178"/>
  <c r="AH115"/>
  <c r="AH120"/>
  <c r="AH351"/>
  <c r="AH435"/>
  <c r="AH309"/>
  <c r="AH222"/>
  <c r="AH51" s="1"/>
  <c r="AH201"/>
  <c r="AH50" s="1"/>
  <c r="AH159"/>
  <c r="AH48" s="1"/>
  <c r="AH117"/>
  <c r="AH46" s="1"/>
  <c r="AH96"/>
  <c r="AH447"/>
  <c r="AH64" s="1"/>
  <c r="AH442"/>
  <c r="AH63" s="1"/>
  <c r="AH432"/>
  <c r="AH61" s="1"/>
  <c r="AH390"/>
  <c r="AH59" s="1"/>
  <c r="AH411"/>
  <c r="AH60" s="1"/>
  <c r="AH264"/>
  <c r="AH53" s="1"/>
  <c r="AH369"/>
  <c r="AH58" s="1"/>
  <c r="AH327"/>
  <c r="AH56" s="1"/>
  <c r="AH437"/>
  <c r="AH62" s="1"/>
  <c r="AH348"/>
  <c r="AH57" s="1"/>
  <c r="AH243"/>
  <c r="AH52" s="1"/>
  <c r="AH138"/>
  <c r="AH47" s="1"/>
  <c r="AH180"/>
  <c r="AH49" s="1"/>
  <c r="AH306"/>
  <c r="AH55" s="1"/>
  <c r="AH285"/>
  <c r="AH54" s="1"/>
  <c r="AQ496" i="118"/>
  <c r="AQ87" s="1"/>
  <c r="AQ365"/>
  <c r="AQ81" s="1"/>
  <c r="AQ428"/>
  <c r="AQ84" s="1"/>
  <c r="AQ32"/>
  <c r="AQ197"/>
  <c r="AQ73" s="1"/>
  <c r="AQ464"/>
  <c r="AQ85" s="1"/>
  <c r="AQ155"/>
  <c r="AQ71" s="1"/>
  <c r="AQ20"/>
  <c r="AQ31"/>
  <c r="AG260" i="117"/>
  <c r="AG76" s="1"/>
  <c r="AG218"/>
  <c r="AG74" s="1"/>
  <c r="AG496"/>
  <c r="AG87" s="1"/>
  <c r="AG428"/>
  <c r="AG84" s="1"/>
  <c r="AG176"/>
  <c r="AG72" s="1"/>
  <c r="AG26"/>
  <c r="AG197"/>
  <c r="AG73" s="1"/>
  <c r="AF24" i="120"/>
  <c r="AF25"/>
  <c r="AF464"/>
  <c r="AF85" s="1"/>
  <c r="AF197"/>
  <c r="AF73" s="1"/>
  <c r="AF323"/>
  <c r="AF79" s="1"/>
  <c r="F34" i="8"/>
  <c r="F73" i="109"/>
  <c r="F80" l="1"/>
  <c r="F81" s="1"/>
  <c r="F53" i="8"/>
  <c r="F55" s="1"/>
  <c r="AJ482" i="117"/>
  <c r="AJ409"/>
  <c r="AJ450"/>
  <c r="AJ499"/>
  <c r="AJ183"/>
  <c r="AJ241"/>
  <c r="AJ115"/>
  <c r="AJ304"/>
  <c r="AJ94"/>
  <c r="AK8"/>
  <c r="AJ136"/>
  <c r="AJ162"/>
  <c r="AJ440"/>
  <c r="AJ414"/>
  <c r="AJ288"/>
  <c r="AJ246"/>
  <c r="AJ267"/>
  <c r="AJ199"/>
  <c r="AJ309"/>
  <c r="AJ120"/>
  <c r="AJ220"/>
  <c r="AJ204"/>
  <c r="AJ466"/>
  <c r="AJ445"/>
  <c r="AJ372"/>
  <c r="AJ283"/>
  <c r="AJ393"/>
  <c r="AJ346"/>
  <c r="AJ262"/>
  <c r="AJ141"/>
  <c r="AJ42"/>
  <c r="AJ67" s="1"/>
  <c r="AJ351"/>
  <c r="AJ178"/>
  <c r="AJ507"/>
  <c r="AJ508" s="1"/>
  <c r="AJ509" s="1"/>
  <c r="AJ503"/>
  <c r="AJ325"/>
  <c r="AJ388"/>
  <c r="AJ330"/>
  <c r="AJ99"/>
  <c r="AJ157"/>
  <c r="AJ435"/>
  <c r="AJ430"/>
  <c r="AJ16"/>
  <c r="AJ367"/>
  <c r="AJ225"/>
  <c r="AJ264"/>
  <c r="AJ53" s="1"/>
  <c r="AJ117"/>
  <c r="AJ46" s="1"/>
  <c r="AJ369"/>
  <c r="AJ58" s="1"/>
  <c r="AJ243"/>
  <c r="AJ52" s="1"/>
  <c r="AJ348"/>
  <c r="AJ57" s="1"/>
  <c r="AJ159"/>
  <c r="AJ48" s="1"/>
  <c r="AJ447"/>
  <c r="AJ64" s="1"/>
  <c r="AJ437"/>
  <c r="AJ62" s="1"/>
  <c r="AJ390"/>
  <c r="AJ59" s="1"/>
  <c r="AJ411"/>
  <c r="AJ60" s="1"/>
  <c r="AJ96"/>
  <c r="AJ138"/>
  <c r="AJ47" s="1"/>
  <c r="AJ442"/>
  <c r="AJ63" s="1"/>
  <c r="AJ180"/>
  <c r="AJ49" s="1"/>
  <c r="AJ222"/>
  <c r="AJ51" s="1"/>
  <c r="AJ432"/>
  <c r="AJ61" s="1"/>
  <c r="AJ306"/>
  <c r="AJ55" s="1"/>
  <c r="AJ285"/>
  <c r="AJ54" s="1"/>
  <c r="AJ327"/>
  <c r="AJ56" s="1"/>
  <c r="AJ201"/>
  <c r="AJ50" s="1"/>
  <c r="AH113"/>
  <c r="AH69" s="1"/>
  <c r="AH24"/>
  <c r="AG88"/>
  <c r="AG90" s="1"/>
  <c r="AG386" i="120"/>
  <c r="AG82" s="1"/>
  <c r="AG155"/>
  <c r="AG71" s="1"/>
  <c r="AG260"/>
  <c r="AG76" s="1"/>
  <c r="AG281"/>
  <c r="AG77" s="1"/>
  <c r="AG32"/>
  <c r="AG26"/>
  <c r="AG134"/>
  <c r="AG70" s="1"/>
  <c r="AG428"/>
  <c r="AG84" s="1"/>
  <c r="AH407" i="117"/>
  <c r="AH83" s="1"/>
  <c r="AH20"/>
  <c r="AH21"/>
  <c r="AQ36" i="118"/>
  <c r="AQ38" s="1"/>
  <c r="AR197"/>
  <c r="AR73" s="1"/>
  <c r="AR260"/>
  <c r="AR76" s="1"/>
  <c r="AR365"/>
  <c r="AR81" s="1"/>
  <c r="AR25"/>
  <c r="AI309" i="120"/>
  <c r="AI503"/>
  <c r="AI466"/>
  <c r="AI367"/>
  <c r="AI325"/>
  <c r="AI225"/>
  <c r="AI304"/>
  <c r="AI220"/>
  <c r="AI157"/>
  <c r="AI162"/>
  <c r="AI393"/>
  <c r="AI288"/>
  <c r="AI267"/>
  <c r="AI178"/>
  <c r="AI346"/>
  <c r="AI330"/>
  <c r="AI115"/>
  <c r="AI94"/>
  <c r="AI136"/>
  <c r="AI42"/>
  <c r="AI67" s="1"/>
  <c r="AI246"/>
  <c r="AI507"/>
  <c r="AI508" s="1"/>
  <c r="AI509" s="1"/>
  <c r="AI430"/>
  <c r="AI372"/>
  <c r="AI351"/>
  <c r="AI388"/>
  <c r="AI414"/>
  <c r="AI241"/>
  <c r="AI183"/>
  <c r="AI120"/>
  <c r="AJ8"/>
  <c r="AI283"/>
  <c r="AI141"/>
  <c r="AI450"/>
  <c r="AI482"/>
  <c r="AI499"/>
  <c r="AI435"/>
  <c r="AI409"/>
  <c r="AI440"/>
  <c r="AI262"/>
  <c r="AI445"/>
  <c r="AI199"/>
  <c r="AI204"/>
  <c r="AI99"/>
  <c r="AI16"/>
  <c r="AI447"/>
  <c r="AI64" s="1"/>
  <c r="AI264"/>
  <c r="AI53" s="1"/>
  <c r="AI369"/>
  <c r="AI58" s="1"/>
  <c r="AI201"/>
  <c r="AI50" s="1"/>
  <c r="AI117"/>
  <c r="AI46" s="1"/>
  <c r="AI180"/>
  <c r="AI49" s="1"/>
  <c r="AI348"/>
  <c r="AI57" s="1"/>
  <c r="AI390"/>
  <c r="AI59" s="1"/>
  <c r="AI222"/>
  <c r="AI51" s="1"/>
  <c r="AI243"/>
  <c r="AI52" s="1"/>
  <c r="AI411"/>
  <c r="AI60" s="1"/>
  <c r="AI96"/>
  <c r="AI159"/>
  <c r="AI48" s="1"/>
  <c r="AI437"/>
  <c r="AI62" s="1"/>
  <c r="AI138"/>
  <c r="AI47" s="1"/>
  <c r="AI442"/>
  <c r="AI63" s="1"/>
  <c r="AI432"/>
  <c r="AI61" s="1"/>
  <c r="AI306"/>
  <c r="AI55" s="1"/>
  <c r="AI327"/>
  <c r="AI56" s="1"/>
  <c r="AI285"/>
  <c r="AI54" s="1"/>
  <c r="N88" i="116"/>
  <c r="AH45" i="120"/>
  <c r="AH65" s="1"/>
  <c r="AH10"/>
  <c r="AH14" s="1"/>
  <c r="AT507" i="118"/>
  <c r="AT508" s="1"/>
  <c r="AT509" s="1"/>
  <c r="AT372"/>
  <c r="AT466"/>
  <c r="AT435"/>
  <c r="AT482"/>
  <c r="AT94"/>
  <c r="AT183"/>
  <c r="AT157"/>
  <c r="AT136"/>
  <c r="AT283"/>
  <c r="AT115"/>
  <c r="AU8"/>
  <c r="AT445"/>
  <c r="AT499"/>
  <c r="AT346"/>
  <c r="AT450"/>
  <c r="AT246"/>
  <c r="AT178"/>
  <c r="AT199"/>
  <c r="AT304"/>
  <c r="AT141"/>
  <c r="AT225"/>
  <c r="AT309"/>
  <c r="AT162"/>
  <c r="AT430"/>
  <c r="AT267"/>
  <c r="AT330"/>
  <c r="AT388"/>
  <c r="AT241"/>
  <c r="AT440"/>
  <c r="AT204"/>
  <c r="AT367"/>
  <c r="AT220"/>
  <c r="AT503"/>
  <c r="AT288"/>
  <c r="AT351"/>
  <c r="AT414"/>
  <c r="AT409"/>
  <c r="AT262"/>
  <c r="AT99"/>
  <c r="AT325"/>
  <c r="AT393"/>
  <c r="AT42"/>
  <c r="AT67" s="1"/>
  <c r="AT16"/>
  <c r="AT120"/>
  <c r="AT96"/>
  <c r="AT306"/>
  <c r="AT55" s="1"/>
  <c r="AT432"/>
  <c r="AT61" s="1"/>
  <c r="AT390"/>
  <c r="AT59" s="1"/>
  <c r="AT327"/>
  <c r="AT56" s="1"/>
  <c r="AT180"/>
  <c r="AT49" s="1"/>
  <c r="AT243"/>
  <c r="AT52" s="1"/>
  <c r="AT222"/>
  <c r="AT51" s="1"/>
  <c r="AT437"/>
  <c r="AT62" s="1"/>
  <c r="AT201"/>
  <c r="AT50" s="1"/>
  <c r="AT138"/>
  <c r="AT47" s="1"/>
  <c r="AT264"/>
  <c r="AT53" s="1"/>
  <c r="AT285"/>
  <c r="AT54" s="1"/>
  <c r="AT369"/>
  <c r="AT58" s="1"/>
  <c r="AT117"/>
  <c r="AT46" s="1"/>
  <c r="AT442"/>
  <c r="AT63" s="1"/>
  <c r="AT348"/>
  <c r="AT57" s="1"/>
  <c r="AT159"/>
  <c r="AT48" s="1"/>
  <c r="AT447"/>
  <c r="AT64" s="1"/>
  <c r="AT411"/>
  <c r="AT60" s="1"/>
  <c r="AI291" i="117"/>
  <c r="AI250"/>
  <c r="AI360"/>
  <c r="AI292"/>
  <c r="AI256"/>
  <c r="AI334"/>
  <c r="AI165"/>
  <c r="AI103"/>
  <c r="AI255"/>
  <c r="AI385"/>
  <c r="AI297"/>
  <c r="AI217"/>
  <c r="AI375"/>
  <c r="AI168"/>
  <c r="AI175"/>
  <c r="AI423"/>
  <c r="AI406"/>
  <c r="AI104"/>
  <c r="AI472"/>
  <c r="AI154"/>
  <c r="AI376"/>
  <c r="AI213"/>
  <c r="AI207"/>
  <c r="AI171"/>
  <c r="AI109"/>
  <c r="AI301"/>
  <c r="AI186"/>
  <c r="AI455"/>
  <c r="AI361"/>
  <c r="AI105"/>
  <c r="AI364"/>
  <c r="AI235"/>
  <c r="AI356"/>
  <c r="AI112"/>
  <c r="AI298"/>
  <c r="AI420"/>
  <c r="AI271"/>
  <c r="AI150"/>
  <c r="AI147"/>
  <c r="AI396"/>
  <c r="AI228"/>
  <c r="AI193"/>
  <c r="AI129"/>
  <c r="AI196"/>
  <c r="AI453"/>
  <c r="AI397"/>
  <c r="AI318"/>
  <c r="AI382"/>
  <c r="AI469"/>
  <c r="AI489"/>
  <c r="AI259"/>
  <c r="AI130"/>
  <c r="AI144"/>
  <c r="AI402"/>
  <c r="AI314"/>
  <c r="AI272"/>
  <c r="AI125"/>
  <c r="AI312"/>
  <c r="AI333"/>
  <c r="AI238"/>
  <c r="AI229"/>
  <c r="AI210"/>
  <c r="AI270"/>
  <c r="AI377"/>
  <c r="AI418"/>
  <c r="AI209"/>
  <c r="AI319"/>
  <c r="AI108"/>
  <c r="AI280"/>
  <c r="AI188"/>
  <c r="AI339"/>
  <c r="AI124"/>
  <c r="AI315"/>
  <c r="AI252"/>
  <c r="AI146"/>
  <c r="AI273"/>
  <c r="AI492"/>
  <c r="AI343"/>
  <c r="AI488"/>
  <c r="AI399"/>
  <c r="AI378"/>
  <c r="AI479"/>
  <c r="AI403"/>
  <c r="AI381"/>
  <c r="AI293"/>
  <c r="AI230"/>
  <c r="AI232"/>
  <c r="AI187"/>
  <c r="AI151"/>
  <c r="AI427"/>
  <c r="AI354"/>
  <c r="AI491"/>
  <c r="AI231"/>
  <c r="AI463"/>
  <c r="AI189"/>
  <c r="AI167"/>
  <c r="AI133"/>
  <c r="AI357"/>
  <c r="AI495"/>
  <c r="AI486"/>
  <c r="AI424"/>
  <c r="AI335"/>
  <c r="AI123"/>
  <c r="AI214"/>
  <c r="AI476"/>
  <c r="AI276"/>
  <c r="AI470"/>
  <c r="AI234"/>
  <c r="AI251"/>
  <c r="AI340"/>
  <c r="AI277"/>
  <c r="AI487"/>
  <c r="AI454"/>
  <c r="AI172"/>
  <c r="AI166"/>
  <c r="AI208"/>
  <c r="AI417"/>
  <c r="AI428" s="1"/>
  <c r="AI84" s="1"/>
  <c r="AI192"/>
  <c r="AI398"/>
  <c r="AI145"/>
  <c r="AI471"/>
  <c r="AI460"/>
  <c r="AI322"/>
  <c r="AI249"/>
  <c r="AI355"/>
  <c r="AI459"/>
  <c r="AI475"/>
  <c r="AI485"/>
  <c r="AI295"/>
  <c r="AI421"/>
  <c r="AI473"/>
  <c r="AI102"/>
  <c r="AI456"/>
  <c r="AI419"/>
  <c r="AI336"/>
  <c r="AI316"/>
  <c r="AI400"/>
  <c r="AI379"/>
  <c r="AI313"/>
  <c r="AI211"/>
  <c r="AI358"/>
  <c r="AI148"/>
  <c r="AI337"/>
  <c r="AI190"/>
  <c r="AI169"/>
  <c r="AI457"/>
  <c r="AI127"/>
  <c r="AI274"/>
  <c r="AI106"/>
  <c r="AI23" s="1"/>
  <c r="AI126"/>
  <c r="AI294"/>
  <c r="AI253"/>
  <c r="AI254"/>
  <c r="AI317"/>
  <c r="AI296"/>
  <c r="AI275"/>
  <c r="AI338"/>
  <c r="AI212"/>
  <c r="AI380"/>
  <c r="AI458"/>
  <c r="AI128"/>
  <c r="AI300"/>
  <c r="AI279"/>
  <c r="AI401"/>
  <c r="AI462"/>
  <c r="AI478"/>
  <c r="AI359"/>
  <c r="AI342"/>
  <c r="AI170"/>
  <c r="AI422"/>
  <c r="AI363"/>
  <c r="AI174"/>
  <c r="AI111"/>
  <c r="AI31" s="1"/>
  <c r="AI237"/>
  <c r="AI321"/>
  <c r="AI494"/>
  <c r="AI149"/>
  <c r="AI195"/>
  <c r="AI132"/>
  <c r="AI233"/>
  <c r="AI153"/>
  <c r="AI216"/>
  <c r="AI384"/>
  <c r="AI426"/>
  <c r="AI474"/>
  <c r="AI107"/>
  <c r="AI191"/>
  <c r="AI490"/>
  <c r="AI405"/>
  <c r="AI258"/>
  <c r="AF39"/>
  <c r="AR19" i="118"/>
  <c r="AR113"/>
  <c r="AR69" s="1"/>
  <c r="AG176" i="120"/>
  <c r="AG72" s="1"/>
  <c r="AG323"/>
  <c r="AG79" s="1"/>
  <c r="AG239"/>
  <c r="AG75" s="1"/>
  <c r="AG218"/>
  <c r="AG74" s="1"/>
  <c r="AG496"/>
  <c r="AG87" s="1"/>
  <c r="AH260" i="117"/>
  <c r="AH76" s="1"/>
  <c r="AH23"/>
  <c r="AH25"/>
  <c r="AH365"/>
  <c r="AH81" s="1"/>
  <c r="AH386"/>
  <c r="AH82" s="1"/>
  <c r="AH464"/>
  <c r="AH85" s="1"/>
  <c r="AQ88" i="118"/>
  <c r="AQ90" s="1"/>
  <c r="AR323"/>
  <c r="AR79" s="1"/>
  <c r="AR496"/>
  <c r="AR87" s="1"/>
  <c r="AR20"/>
  <c r="AR134"/>
  <c r="AR70" s="1"/>
  <c r="AR32"/>
  <c r="AR480"/>
  <c r="AR86" s="1"/>
  <c r="AR281"/>
  <c r="AR77" s="1"/>
  <c r="AR23"/>
  <c r="AU38" i="116"/>
  <c r="N36"/>
  <c r="N38" s="1"/>
  <c r="AH476" i="120"/>
  <c r="AH235"/>
  <c r="AH168"/>
  <c r="AH280"/>
  <c r="AH398"/>
  <c r="AH339"/>
  <c r="AH251"/>
  <c r="AH488"/>
  <c r="AH460"/>
  <c r="AH491"/>
  <c r="AH148"/>
  <c r="AH130"/>
  <c r="AH175"/>
  <c r="AH361"/>
  <c r="AH217"/>
  <c r="AH312"/>
  <c r="AH417"/>
  <c r="AH270"/>
  <c r="AH133"/>
  <c r="AH186"/>
  <c r="AH314"/>
  <c r="AH463"/>
  <c r="AH172"/>
  <c r="AH377"/>
  <c r="AH335"/>
  <c r="AH424"/>
  <c r="AH382"/>
  <c r="AH455"/>
  <c r="AH249"/>
  <c r="AH454"/>
  <c r="AH213"/>
  <c r="AH125"/>
  <c r="AH144"/>
  <c r="AH229"/>
  <c r="AH234"/>
  <c r="AH360"/>
  <c r="AH318"/>
  <c r="AH420"/>
  <c r="AH375"/>
  <c r="AH167"/>
  <c r="AH252"/>
  <c r="AH469"/>
  <c r="AH196"/>
  <c r="AH187"/>
  <c r="AH291"/>
  <c r="AH255"/>
  <c r="AH319"/>
  <c r="AH165"/>
  <c r="AH189"/>
  <c r="AH145"/>
  <c r="AH277"/>
  <c r="AH313"/>
  <c r="AH192"/>
  <c r="AH495"/>
  <c r="AH402"/>
  <c r="AH154"/>
  <c r="AH475"/>
  <c r="AH123"/>
  <c r="AH150"/>
  <c r="AH272"/>
  <c r="AH129"/>
  <c r="AH378"/>
  <c r="AH109"/>
  <c r="AH26" s="1"/>
  <c r="AH334"/>
  <c r="AH292"/>
  <c r="AH470"/>
  <c r="AH151"/>
  <c r="AH124"/>
  <c r="AH108"/>
  <c r="AH472"/>
  <c r="AH423"/>
  <c r="AH273"/>
  <c r="AH256"/>
  <c r="AH487"/>
  <c r="AH397"/>
  <c r="AH479"/>
  <c r="AH456"/>
  <c r="AH403"/>
  <c r="AH357"/>
  <c r="AH171"/>
  <c r="AH102"/>
  <c r="AH486"/>
  <c r="AH238"/>
  <c r="AH231"/>
  <c r="AH418"/>
  <c r="AH399"/>
  <c r="AH333"/>
  <c r="AH427"/>
  <c r="AH381"/>
  <c r="AH343"/>
  <c r="AH147"/>
  <c r="AH485"/>
  <c r="AH355"/>
  <c r="AH301"/>
  <c r="AH385"/>
  <c r="AH315"/>
  <c r="AH214"/>
  <c r="AH471"/>
  <c r="AH103"/>
  <c r="AH188"/>
  <c r="AH406"/>
  <c r="AH356"/>
  <c r="AH492"/>
  <c r="AH297"/>
  <c r="AH112"/>
  <c r="AH207"/>
  <c r="AH453"/>
  <c r="AH105"/>
  <c r="AH340"/>
  <c r="AH259"/>
  <c r="AH228"/>
  <c r="AH239" s="1"/>
  <c r="AH75" s="1"/>
  <c r="AH210"/>
  <c r="AH354"/>
  <c r="AH298"/>
  <c r="AH230"/>
  <c r="AH293"/>
  <c r="AH276"/>
  <c r="AH104"/>
  <c r="AH322"/>
  <c r="AH209"/>
  <c r="AH193"/>
  <c r="AH459"/>
  <c r="AH208"/>
  <c r="AH364"/>
  <c r="AH250"/>
  <c r="AH376"/>
  <c r="AH295"/>
  <c r="AH166"/>
  <c r="AH419"/>
  <c r="AH232"/>
  <c r="AH127"/>
  <c r="AH211"/>
  <c r="AH274"/>
  <c r="AH400"/>
  <c r="AH146"/>
  <c r="AH253"/>
  <c r="AH294"/>
  <c r="AH489"/>
  <c r="AH358"/>
  <c r="AH337"/>
  <c r="AH106"/>
  <c r="AH379"/>
  <c r="AH396"/>
  <c r="AH316"/>
  <c r="AH473"/>
  <c r="AH457"/>
  <c r="AH169"/>
  <c r="AH421"/>
  <c r="AH190"/>
  <c r="AH271"/>
  <c r="AH336"/>
  <c r="AH126"/>
  <c r="AH474"/>
  <c r="AH321"/>
  <c r="AH128"/>
  <c r="AH338"/>
  <c r="AH233"/>
  <c r="AH216"/>
  <c r="AH401"/>
  <c r="AH380"/>
  <c r="AH149"/>
  <c r="AH170"/>
  <c r="AH275"/>
  <c r="AH258"/>
  <c r="AH212"/>
  <c r="AH462"/>
  <c r="AH490"/>
  <c r="AH279"/>
  <c r="AH153"/>
  <c r="AH132"/>
  <c r="AH317"/>
  <c r="AH384"/>
  <c r="AH342"/>
  <c r="AH363"/>
  <c r="AH458"/>
  <c r="AH191"/>
  <c r="AH174"/>
  <c r="AH237"/>
  <c r="AH111"/>
  <c r="AH31" s="1"/>
  <c r="AH296"/>
  <c r="AH426"/>
  <c r="AH478"/>
  <c r="AH107"/>
  <c r="AH24" s="1"/>
  <c r="AH359"/>
  <c r="AH494"/>
  <c r="AH422"/>
  <c r="AH195"/>
  <c r="AH300"/>
  <c r="AH405"/>
  <c r="AH254"/>
  <c r="AS45" i="118"/>
  <c r="AS65" s="1"/>
  <c r="AS10"/>
  <c r="AS14" s="1"/>
  <c r="AG36" i="117"/>
  <c r="AG38" s="1"/>
  <c r="AG20" i="120"/>
  <c r="AG23"/>
  <c r="AG407"/>
  <c r="AG83" s="1"/>
  <c r="AG21"/>
  <c r="AG365"/>
  <c r="AG81" s="1"/>
  <c r="AG22"/>
  <c r="AF88"/>
  <c r="AF90" s="1"/>
  <c r="AH344" i="117"/>
  <c r="AH80" s="1"/>
  <c r="AH281"/>
  <c r="AH77" s="1"/>
  <c r="AH428"/>
  <c r="AH84" s="1"/>
  <c r="AH176"/>
  <c r="AH72" s="1"/>
  <c r="AH302"/>
  <c r="AH78" s="1"/>
  <c r="AR386" i="118"/>
  <c r="AR82" s="1"/>
  <c r="AR155"/>
  <c r="AR71" s="1"/>
  <c r="AR26"/>
  <c r="AR464"/>
  <c r="AR85" s="1"/>
  <c r="AR21"/>
  <c r="AR428"/>
  <c r="AR84" s="1"/>
  <c r="AR24"/>
  <c r="AS106"/>
  <c r="AS107"/>
  <c r="AS132"/>
  <c r="AS150"/>
  <c r="AS190"/>
  <c r="AS211"/>
  <c r="AS232"/>
  <c r="AS253"/>
  <c r="AS274"/>
  <c r="AS295"/>
  <c r="AS316"/>
  <c r="AS337"/>
  <c r="AS358"/>
  <c r="AS379"/>
  <c r="AS400"/>
  <c r="AS421"/>
  <c r="AS457"/>
  <c r="AS473"/>
  <c r="AS489"/>
  <c r="AS169"/>
  <c r="AS128"/>
  <c r="AS153"/>
  <c r="AS171"/>
  <c r="AS192"/>
  <c r="AS213"/>
  <c r="AS234"/>
  <c r="AS255"/>
  <c r="AS276"/>
  <c r="AS297"/>
  <c r="AS318"/>
  <c r="AS339"/>
  <c r="AS360"/>
  <c r="AS381"/>
  <c r="AS402"/>
  <c r="AS423"/>
  <c r="AS459"/>
  <c r="AS475"/>
  <c r="AS491"/>
  <c r="AS148"/>
  <c r="AS108"/>
  <c r="AS149"/>
  <c r="AS174"/>
  <c r="AS195"/>
  <c r="AS216"/>
  <c r="AS237"/>
  <c r="AS258"/>
  <c r="AS279"/>
  <c r="AS300"/>
  <c r="AS321"/>
  <c r="AS342"/>
  <c r="AS363"/>
  <c r="AS384"/>
  <c r="AS405"/>
  <c r="AS426"/>
  <c r="AS462"/>
  <c r="AS478"/>
  <c r="AS494"/>
  <c r="AS127"/>
  <c r="AS111"/>
  <c r="AS129"/>
  <c r="AS170"/>
  <c r="AS191"/>
  <c r="AS212"/>
  <c r="AS233"/>
  <c r="AS254"/>
  <c r="AS275"/>
  <c r="AS296"/>
  <c r="AS317"/>
  <c r="AS338"/>
  <c r="AS359"/>
  <c r="AS380"/>
  <c r="AS401"/>
  <c r="AS422"/>
  <c r="AS458"/>
  <c r="AS474"/>
  <c r="AS490"/>
  <c r="AS488"/>
  <c r="AS453"/>
  <c r="AS273"/>
  <c r="AS463"/>
  <c r="AS361"/>
  <c r="AS420"/>
  <c r="AS252"/>
  <c r="AS376"/>
  <c r="AS208"/>
  <c r="AS333"/>
  <c r="AS344" s="1"/>
  <c r="AS80" s="1"/>
  <c r="AS207"/>
  <c r="AS154"/>
  <c r="AS356"/>
  <c r="AS228"/>
  <c r="AS301"/>
  <c r="AS214"/>
  <c r="AS172"/>
  <c r="AS479"/>
  <c r="AS364"/>
  <c r="AS126"/>
  <c r="AS469"/>
  <c r="AS277"/>
  <c r="AS427"/>
  <c r="AS476"/>
  <c r="AS146"/>
  <c r="AS417"/>
  <c r="AS428" s="1"/>
  <c r="AS84" s="1"/>
  <c r="AS130"/>
  <c r="AS378"/>
  <c r="AS487"/>
  <c r="AS486"/>
  <c r="AS471"/>
  <c r="AS334"/>
  <c r="AS472"/>
  <c r="AS377"/>
  <c r="AS455"/>
  <c r="AS313"/>
  <c r="AS399"/>
  <c r="AS231"/>
  <c r="AS343"/>
  <c r="AS259"/>
  <c r="AS186"/>
  <c r="AS102"/>
  <c r="AS238"/>
  <c r="AS314"/>
  <c r="AS272"/>
  <c r="AS188"/>
  <c r="AS104"/>
  <c r="AS375"/>
  <c r="AS187"/>
  <c r="AS124"/>
  <c r="AS319"/>
  <c r="AS105"/>
  <c r="AS147"/>
  <c r="AS112"/>
  <c r="AS235"/>
  <c r="AS144"/>
  <c r="AS403"/>
  <c r="AS123"/>
  <c r="AS470"/>
  <c r="AS418"/>
  <c r="AS250"/>
  <c r="AS454"/>
  <c r="AS354"/>
  <c r="AS397"/>
  <c r="AS229"/>
  <c r="AS315"/>
  <c r="AS398"/>
  <c r="AS312"/>
  <c r="AS196"/>
  <c r="AS125"/>
  <c r="AS271"/>
  <c r="AS168"/>
  <c r="AS291"/>
  <c r="AS210"/>
  <c r="AS165"/>
  <c r="AS396"/>
  <c r="AS355"/>
  <c r="AS103"/>
  <c r="AS20" s="1"/>
  <c r="AS460"/>
  <c r="AS249"/>
  <c r="AS340"/>
  <c r="AS298"/>
  <c r="AS39"/>
  <c r="AS230"/>
  <c r="AS175"/>
  <c r="AS256"/>
  <c r="AS357"/>
  <c r="AS336"/>
  <c r="AS270"/>
  <c r="AS145"/>
  <c r="AS382"/>
  <c r="AS189"/>
  <c r="AS217"/>
  <c r="AS495"/>
  <c r="AS322"/>
  <c r="AS385"/>
  <c r="AS251"/>
  <c r="AS133"/>
  <c r="AS335"/>
  <c r="AS424"/>
  <c r="AS456"/>
  <c r="AS406"/>
  <c r="AS292"/>
  <c r="AS109"/>
  <c r="AS209"/>
  <c r="AS293"/>
  <c r="AS151"/>
  <c r="AS419"/>
  <c r="AS485"/>
  <c r="AS492"/>
  <c r="AS193"/>
  <c r="AS280"/>
  <c r="AS294"/>
  <c r="AS166"/>
  <c r="AS167"/>
  <c r="AG19" i="120"/>
  <c r="AG113"/>
  <c r="AG69" s="1"/>
  <c r="AI45" i="117"/>
  <c r="AI65" s="1"/>
  <c r="AI10"/>
  <c r="AI14" s="1"/>
  <c r="AG31" i="120"/>
  <c r="AG344"/>
  <c r="AG80" s="1"/>
  <c r="AG464"/>
  <c r="AG85" s="1"/>
  <c r="AG197"/>
  <c r="AG73" s="1"/>
  <c r="AG302"/>
  <c r="AG78" s="1"/>
  <c r="AG480"/>
  <c r="AG86" s="1"/>
  <c r="AF36"/>
  <c r="AF38" s="1"/>
  <c r="AH31" i="117"/>
  <c r="AH155"/>
  <c r="AH71" s="1"/>
  <c r="AH134"/>
  <c r="AH70" s="1"/>
  <c r="AH323"/>
  <c r="AH79" s="1"/>
  <c r="AH239"/>
  <c r="AH75" s="1"/>
  <c r="AH197"/>
  <c r="AH73" s="1"/>
  <c r="AH22"/>
  <c r="AH36" s="1"/>
  <c r="AH38" s="1"/>
  <c r="AH480"/>
  <c r="AH86" s="1"/>
  <c r="AH496"/>
  <c r="AH87" s="1"/>
  <c r="AH32"/>
  <c r="AH26"/>
  <c r="AR22" i="118"/>
  <c r="AR239"/>
  <c r="AR75" s="1"/>
  <c r="AR176"/>
  <c r="AR72" s="1"/>
  <c r="AR218"/>
  <c r="AR74" s="1"/>
  <c r="AR344"/>
  <c r="AR80" s="1"/>
  <c r="AR31"/>
  <c r="AS19" l="1"/>
  <c r="AS113"/>
  <c r="AS69" s="1"/>
  <c r="AT45"/>
  <c r="AT65" s="1"/>
  <c r="AT10"/>
  <c r="AT14" s="1"/>
  <c r="AK507" i="117"/>
  <c r="AK508" s="1"/>
  <c r="AK509" s="1"/>
  <c r="AK388"/>
  <c r="AK262"/>
  <c r="AK351"/>
  <c r="AK409"/>
  <c r="AK204"/>
  <c r="AK246"/>
  <c r="AK16"/>
  <c r="AK482"/>
  <c r="AK440"/>
  <c r="AK283"/>
  <c r="AL8"/>
  <c r="AK330"/>
  <c r="AK450"/>
  <c r="AK346"/>
  <c r="AK157"/>
  <c r="AK288"/>
  <c r="AK304"/>
  <c r="AK94"/>
  <c r="AK183"/>
  <c r="AK99"/>
  <c r="AK178"/>
  <c r="AK499"/>
  <c r="AK414"/>
  <c r="AK430"/>
  <c r="AK241"/>
  <c r="AK42"/>
  <c r="AK67" s="1"/>
  <c r="AK325"/>
  <c r="AK309"/>
  <c r="AK141"/>
  <c r="AK220"/>
  <c r="AK136"/>
  <c r="AK435"/>
  <c r="AK225"/>
  <c r="AK445"/>
  <c r="AK393"/>
  <c r="AK267"/>
  <c r="AK162"/>
  <c r="AK372"/>
  <c r="AK120"/>
  <c r="AK115"/>
  <c r="AK466"/>
  <c r="AK199"/>
  <c r="AK367"/>
  <c r="AK503"/>
  <c r="AK442"/>
  <c r="AK63" s="1"/>
  <c r="AK264"/>
  <c r="AK53" s="1"/>
  <c r="AK348"/>
  <c r="AK57" s="1"/>
  <c r="AK437"/>
  <c r="AK62" s="1"/>
  <c r="AK201"/>
  <c r="AK50" s="1"/>
  <c r="AK390"/>
  <c r="AK59" s="1"/>
  <c r="AK447"/>
  <c r="AK64" s="1"/>
  <c r="AK159"/>
  <c r="AK48" s="1"/>
  <c r="AK432"/>
  <c r="AK61" s="1"/>
  <c r="AK117"/>
  <c r="AK46" s="1"/>
  <c r="AK243"/>
  <c r="AK52" s="1"/>
  <c r="AK180"/>
  <c r="AK49" s="1"/>
  <c r="AK306"/>
  <c r="AK55" s="1"/>
  <c r="AK411"/>
  <c r="AK60" s="1"/>
  <c r="AK222"/>
  <c r="AK51" s="1"/>
  <c r="AK285"/>
  <c r="AK54" s="1"/>
  <c r="AK96"/>
  <c r="AK138"/>
  <c r="AK47" s="1"/>
  <c r="AK327"/>
  <c r="AK56" s="1"/>
  <c r="AK369"/>
  <c r="AK58" s="1"/>
  <c r="AS24" i="118"/>
  <c r="AH464" i="120"/>
  <c r="AH85" s="1"/>
  <c r="AI155" i="117"/>
  <c r="AI71" s="1"/>
  <c r="AI480"/>
  <c r="AI86" s="1"/>
  <c r="AI464"/>
  <c r="AI85" s="1"/>
  <c r="AI26"/>
  <c r="AI386"/>
  <c r="AI82" s="1"/>
  <c r="AI302"/>
  <c r="AI78" s="1"/>
  <c r="AH88"/>
  <c r="AH90" s="1"/>
  <c r="AJ499" i="120"/>
  <c r="AJ445"/>
  <c r="AJ325"/>
  <c r="AJ262"/>
  <c r="AJ246"/>
  <c r="AJ199"/>
  <c r="AJ330"/>
  <c r="AJ409"/>
  <c r="AJ288"/>
  <c r="AJ204"/>
  <c r="AJ178"/>
  <c r="AK8"/>
  <c r="AJ283"/>
  <c r="AJ466"/>
  <c r="AJ414"/>
  <c r="AJ372"/>
  <c r="AJ267"/>
  <c r="AJ503"/>
  <c r="AJ99"/>
  <c r="AJ115"/>
  <c r="AJ388"/>
  <c r="AJ16"/>
  <c r="AJ393"/>
  <c r="AJ367"/>
  <c r="AJ346"/>
  <c r="AJ450"/>
  <c r="AJ430"/>
  <c r="AJ309"/>
  <c r="AJ120"/>
  <c r="AJ162"/>
  <c r="AJ157"/>
  <c r="AJ482"/>
  <c r="AJ141"/>
  <c r="AJ507"/>
  <c r="AJ508" s="1"/>
  <c r="AJ509" s="1"/>
  <c r="AJ435"/>
  <c r="AJ440"/>
  <c r="AJ183"/>
  <c r="AJ241"/>
  <c r="AJ351"/>
  <c r="AJ304"/>
  <c r="AJ94"/>
  <c r="AJ136"/>
  <c r="AJ225"/>
  <c r="AJ220"/>
  <c r="AJ42"/>
  <c r="AJ67" s="1"/>
  <c r="AJ222"/>
  <c r="AJ51" s="1"/>
  <c r="AJ390"/>
  <c r="AJ59" s="1"/>
  <c r="AJ201"/>
  <c r="AJ50" s="1"/>
  <c r="AJ138"/>
  <c r="AJ47" s="1"/>
  <c r="AJ447"/>
  <c r="AJ64" s="1"/>
  <c r="AJ264"/>
  <c r="AJ53" s="1"/>
  <c r="AJ348"/>
  <c r="AJ57" s="1"/>
  <c r="AJ442"/>
  <c r="AJ63" s="1"/>
  <c r="AJ411"/>
  <c r="AJ60" s="1"/>
  <c r="AJ96"/>
  <c r="AJ117"/>
  <c r="AJ46" s="1"/>
  <c r="AJ432"/>
  <c r="AJ61" s="1"/>
  <c r="AJ369"/>
  <c r="AJ58" s="1"/>
  <c r="AJ159"/>
  <c r="AJ48" s="1"/>
  <c r="AJ243"/>
  <c r="AJ52" s="1"/>
  <c r="AJ437"/>
  <c r="AJ62" s="1"/>
  <c r="AJ327"/>
  <c r="AJ56" s="1"/>
  <c r="AJ285"/>
  <c r="AJ54" s="1"/>
  <c r="AJ306"/>
  <c r="AJ55" s="1"/>
  <c r="AJ180"/>
  <c r="AJ49" s="1"/>
  <c r="AJ108" i="117"/>
  <c r="AJ277"/>
  <c r="AJ235"/>
  <c r="AJ364"/>
  <c r="AJ272"/>
  <c r="AJ112"/>
  <c r="AJ298"/>
  <c r="AJ228"/>
  <c r="AJ210"/>
  <c r="AJ207"/>
  <c r="AJ318"/>
  <c r="AJ301"/>
  <c r="AJ238"/>
  <c r="AJ271"/>
  <c r="AJ396"/>
  <c r="AJ186"/>
  <c r="AJ175"/>
  <c r="AJ406"/>
  <c r="AJ147"/>
  <c r="AJ292"/>
  <c r="AJ252"/>
  <c r="AJ312"/>
  <c r="AJ356"/>
  <c r="AJ360"/>
  <c r="AJ291"/>
  <c r="AJ382"/>
  <c r="AJ150"/>
  <c r="AJ472"/>
  <c r="AJ229"/>
  <c r="AJ130"/>
  <c r="AJ486"/>
  <c r="AJ423"/>
  <c r="AJ319"/>
  <c r="AJ455"/>
  <c r="AJ402"/>
  <c r="AJ129"/>
  <c r="AJ343"/>
  <c r="AJ109"/>
  <c r="AJ104"/>
  <c r="AJ196"/>
  <c r="AJ297"/>
  <c r="AJ453"/>
  <c r="AJ397"/>
  <c r="AJ217"/>
  <c r="AJ469"/>
  <c r="AJ103"/>
  <c r="AJ193"/>
  <c r="AJ250"/>
  <c r="AJ105"/>
  <c r="AJ171"/>
  <c r="AJ154"/>
  <c r="AJ334"/>
  <c r="AJ168"/>
  <c r="AJ376"/>
  <c r="AJ151"/>
  <c r="AJ354"/>
  <c r="AJ209"/>
  <c r="AJ231"/>
  <c r="AJ167"/>
  <c r="AJ146"/>
  <c r="AJ333"/>
  <c r="AJ495"/>
  <c r="AJ385"/>
  <c r="AJ424"/>
  <c r="AJ420"/>
  <c r="AJ487"/>
  <c r="AJ399"/>
  <c r="AJ293"/>
  <c r="AJ208"/>
  <c r="AJ454"/>
  <c r="AJ259"/>
  <c r="AJ491"/>
  <c r="AJ213"/>
  <c r="AJ280"/>
  <c r="AJ255"/>
  <c r="AJ488"/>
  <c r="AJ230"/>
  <c r="AJ188"/>
  <c r="AJ124"/>
  <c r="AJ315"/>
  <c r="AJ189"/>
  <c r="AJ125"/>
  <c r="AJ340"/>
  <c r="AJ476"/>
  <c r="AJ375"/>
  <c r="AJ270"/>
  <c r="AJ166"/>
  <c r="AJ463"/>
  <c r="AJ187"/>
  <c r="AJ361"/>
  <c r="AJ165"/>
  <c r="AJ381"/>
  <c r="AJ470"/>
  <c r="AJ339"/>
  <c r="AJ172"/>
  <c r="AJ234"/>
  <c r="AJ251"/>
  <c r="AJ273"/>
  <c r="AJ256"/>
  <c r="AJ427"/>
  <c r="AJ378"/>
  <c r="AJ335"/>
  <c r="AJ479"/>
  <c r="AJ403"/>
  <c r="AJ417"/>
  <c r="AJ377"/>
  <c r="AJ418"/>
  <c r="AJ276"/>
  <c r="AJ144"/>
  <c r="AJ314"/>
  <c r="AJ357"/>
  <c r="AJ214"/>
  <c r="AJ133"/>
  <c r="AJ123"/>
  <c r="AJ192"/>
  <c r="AJ322"/>
  <c r="AJ459"/>
  <c r="AJ475"/>
  <c r="AJ355"/>
  <c r="AJ485"/>
  <c r="AJ249"/>
  <c r="AJ145"/>
  <c r="AJ471"/>
  <c r="AJ398"/>
  <c r="AJ492"/>
  <c r="AJ460"/>
  <c r="AJ190"/>
  <c r="AJ274"/>
  <c r="AJ358"/>
  <c r="AJ337"/>
  <c r="AJ400"/>
  <c r="AJ102"/>
  <c r="AJ421"/>
  <c r="AJ473"/>
  <c r="AJ169"/>
  <c r="AJ211"/>
  <c r="AJ106"/>
  <c r="AJ294"/>
  <c r="AJ254"/>
  <c r="AJ457"/>
  <c r="AJ127"/>
  <c r="AJ295"/>
  <c r="AJ456"/>
  <c r="AJ232"/>
  <c r="AJ379"/>
  <c r="AJ148"/>
  <c r="AJ489"/>
  <c r="AJ316"/>
  <c r="AJ313"/>
  <c r="AJ20" s="1"/>
  <c r="AJ419"/>
  <c r="AJ21" s="1"/>
  <c r="AJ336"/>
  <c r="AJ126"/>
  <c r="AJ253"/>
  <c r="AJ474"/>
  <c r="AJ384"/>
  <c r="AJ458"/>
  <c r="AJ342"/>
  <c r="AJ149"/>
  <c r="AJ338"/>
  <c r="AJ462"/>
  <c r="AJ426"/>
  <c r="AJ275"/>
  <c r="AJ237"/>
  <c r="AJ128"/>
  <c r="AJ478"/>
  <c r="AJ363"/>
  <c r="AJ174"/>
  <c r="AJ422"/>
  <c r="AJ258"/>
  <c r="AJ260" s="1"/>
  <c r="AJ76" s="1"/>
  <c r="AJ279"/>
  <c r="AJ296"/>
  <c r="AJ359"/>
  <c r="AJ380"/>
  <c r="AJ107"/>
  <c r="AJ300"/>
  <c r="AJ132"/>
  <c r="AJ111"/>
  <c r="AJ494"/>
  <c r="AJ153"/>
  <c r="AJ317"/>
  <c r="AJ216"/>
  <c r="AJ321"/>
  <c r="AJ323" s="1"/>
  <c r="AJ79" s="1"/>
  <c r="AJ170"/>
  <c r="AJ212"/>
  <c r="AJ401"/>
  <c r="AJ191"/>
  <c r="AJ405"/>
  <c r="AJ490"/>
  <c r="AJ195"/>
  <c r="AJ233"/>
  <c r="F60" i="8"/>
  <c r="F57"/>
  <c r="F144" i="109"/>
  <c r="AS32" i="118"/>
  <c r="AH407" i="120"/>
  <c r="AH83" s="1"/>
  <c r="AS176" i="118"/>
  <c r="AS72" s="1"/>
  <c r="AS365"/>
  <c r="AS81" s="1"/>
  <c r="AS21"/>
  <c r="AS218"/>
  <c r="AS74" s="1"/>
  <c r="AS31"/>
  <c r="AH22" i="120"/>
  <c r="AH496"/>
  <c r="AH87" s="1"/>
  <c r="AH176"/>
  <c r="AH72" s="1"/>
  <c r="AH197"/>
  <c r="AH73" s="1"/>
  <c r="AH323"/>
  <c r="AH79" s="1"/>
  <c r="AR36" i="118"/>
  <c r="AR38" s="1"/>
  <c r="AI260" i="117"/>
  <c r="AI76" s="1"/>
  <c r="AI24"/>
  <c r="AI218"/>
  <c r="AI74" s="1"/>
  <c r="AI32"/>
  <c r="AI22"/>
  <c r="AI21"/>
  <c r="AF39" i="120"/>
  <c r="AH19"/>
  <c r="AH113"/>
  <c r="AH69" s="1"/>
  <c r="AT106" i="118"/>
  <c r="AT107"/>
  <c r="AT132"/>
  <c r="AT150"/>
  <c r="AT190"/>
  <c r="AT211"/>
  <c r="AT232"/>
  <c r="AT253"/>
  <c r="AT274"/>
  <c r="AT295"/>
  <c r="AT316"/>
  <c r="AT337"/>
  <c r="AT358"/>
  <c r="AT379"/>
  <c r="AT400"/>
  <c r="AT421"/>
  <c r="AT457"/>
  <c r="AT473"/>
  <c r="AT489"/>
  <c r="AT169"/>
  <c r="AT128"/>
  <c r="AT153"/>
  <c r="AT171"/>
  <c r="AT192"/>
  <c r="AT213"/>
  <c r="AT234"/>
  <c r="AT255"/>
  <c r="AT276"/>
  <c r="AT297"/>
  <c r="AT318"/>
  <c r="AT339"/>
  <c r="AT360"/>
  <c r="AT381"/>
  <c r="AT402"/>
  <c r="AT423"/>
  <c r="AT459"/>
  <c r="AT475"/>
  <c r="AT491"/>
  <c r="AT148"/>
  <c r="AT108"/>
  <c r="AT149"/>
  <c r="AT174"/>
  <c r="AT195"/>
  <c r="AT216"/>
  <c r="AT237"/>
  <c r="AT258"/>
  <c r="AT279"/>
  <c r="AT300"/>
  <c r="AT321"/>
  <c r="AT342"/>
  <c r="AT363"/>
  <c r="AT384"/>
  <c r="AT405"/>
  <c r="AT426"/>
  <c r="AT462"/>
  <c r="AT478"/>
  <c r="AT494"/>
  <c r="AT127"/>
  <c r="AT111"/>
  <c r="AT129"/>
  <c r="AT170"/>
  <c r="AT191"/>
  <c r="AT212"/>
  <c r="AT233"/>
  <c r="AT254"/>
  <c r="AT275"/>
  <c r="AT296"/>
  <c r="AT317"/>
  <c r="AT338"/>
  <c r="AT359"/>
  <c r="AT380"/>
  <c r="AT401"/>
  <c r="AT422"/>
  <c r="AT458"/>
  <c r="AT474"/>
  <c r="AT490"/>
  <c r="AT471"/>
  <c r="AT455"/>
  <c r="AT472"/>
  <c r="AT361"/>
  <c r="AT277"/>
  <c r="AT420"/>
  <c r="AT487"/>
  <c r="AT385"/>
  <c r="AT301"/>
  <c r="AT217"/>
  <c r="AT364"/>
  <c r="AT280"/>
  <c r="AT196"/>
  <c r="AT208"/>
  <c r="AT315"/>
  <c r="AT252"/>
  <c r="AT209"/>
  <c r="AT133"/>
  <c r="AT378"/>
  <c r="AT124"/>
  <c r="AT130"/>
  <c r="AT189"/>
  <c r="AT193"/>
  <c r="AT398"/>
  <c r="AT186"/>
  <c r="AT167"/>
  <c r="AT376"/>
  <c r="AT103"/>
  <c r="AT154"/>
  <c r="AT495"/>
  <c r="AT479"/>
  <c r="AT463"/>
  <c r="AT377"/>
  <c r="AT293"/>
  <c r="AT486"/>
  <c r="AT488"/>
  <c r="AT417"/>
  <c r="AT333"/>
  <c r="AT249"/>
  <c r="AT396"/>
  <c r="AT312"/>
  <c r="AT228"/>
  <c r="AT250"/>
  <c r="AT418"/>
  <c r="AT291"/>
  <c r="AT210"/>
  <c r="AT165"/>
  <c r="AT399"/>
  <c r="AT147"/>
  <c r="AT146"/>
  <c r="AT355"/>
  <c r="AT207"/>
  <c r="AT109"/>
  <c r="AT259"/>
  <c r="AT343"/>
  <c r="AT151"/>
  <c r="AT334"/>
  <c r="AT470"/>
  <c r="AT453"/>
  <c r="AT485"/>
  <c r="AT406"/>
  <c r="AT322"/>
  <c r="AT238"/>
  <c r="AT336"/>
  <c r="AT424"/>
  <c r="AT340"/>
  <c r="AT256"/>
  <c r="AT403"/>
  <c r="AT319"/>
  <c r="AT235"/>
  <c r="AT271"/>
  <c r="AT145"/>
  <c r="AT292"/>
  <c r="AT214"/>
  <c r="AT172"/>
  <c r="AT427"/>
  <c r="AT230"/>
  <c r="AT175"/>
  <c r="AT375"/>
  <c r="AT386" s="1"/>
  <c r="AT82" s="1"/>
  <c r="AT382"/>
  <c r="AT126"/>
  <c r="AT294"/>
  <c r="AT102"/>
  <c r="AT187"/>
  <c r="AT456"/>
  <c r="AT39"/>
  <c r="AT460"/>
  <c r="AT492"/>
  <c r="AT454"/>
  <c r="AT354"/>
  <c r="AT270"/>
  <c r="AT397"/>
  <c r="AT476"/>
  <c r="AT356"/>
  <c r="AT272"/>
  <c r="AT419"/>
  <c r="AT335"/>
  <c r="AT251"/>
  <c r="AT313"/>
  <c r="AT168"/>
  <c r="AT314"/>
  <c r="AT229"/>
  <c r="AT188"/>
  <c r="AT104"/>
  <c r="AT231"/>
  <c r="AT469"/>
  <c r="AT123"/>
  <c r="AT134" s="1"/>
  <c r="AT70" s="1"/>
  <c r="AT105"/>
  <c r="AT22" s="1"/>
  <c r="AT166"/>
  <c r="AT357"/>
  <c r="AT144"/>
  <c r="AT155" s="1"/>
  <c r="AT71" s="1"/>
  <c r="AT125"/>
  <c r="AT298"/>
  <c r="AT273"/>
  <c r="AT112"/>
  <c r="AT32" s="1"/>
  <c r="AU445"/>
  <c r="AU499"/>
  <c r="AU409"/>
  <c r="AU304"/>
  <c r="AU99"/>
  <c r="AU162"/>
  <c r="AU414"/>
  <c r="AU267"/>
  <c r="AU393"/>
  <c r="AU178"/>
  <c r="AU94"/>
  <c r="AU430"/>
  <c r="AU351"/>
  <c r="AU507"/>
  <c r="AU508" s="1"/>
  <c r="AU509" s="1"/>
  <c r="AU220"/>
  <c r="AU330"/>
  <c r="AU16"/>
  <c r="AU115"/>
  <c r="AU120"/>
  <c r="AU141"/>
  <c r="AU482"/>
  <c r="AU466"/>
  <c r="AU241"/>
  <c r="AU388"/>
  <c r="AU157"/>
  <c r="AU309"/>
  <c r="AU225"/>
  <c r="AU246"/>
  <c r="AU450"/>
  <c r="AU262"/>
  <c r="AU325"/>
  <c r="AU440"/>
  <c r="AU183"/>
  <c r="AU42"/>
  <c r="AU67" s="1"/>
  <c r="AU367"/>
  <c r="AU204"/>
  <c r="AU136"/>
  <c r="AU346"/>
  <c r="AU503"/>
  <c r="AU199"/>
  <c r="AU283"/>
  <c r="AU372"/>
  <c r="AU435"/>
  <c r="AU288"/>
  <c r="AU411"/>
  <c r="AU60" s="1"/>
  <c r="N60" s="1"/>
  <c r="AU306"/>
  <c r="AU55" s="1"/>
  <c r="N55" s="1"/>
  <c r="AU437"/>
  <c r="AU62" s="1"/>
  <c r="N62" s="1"/>
  <c r="AU96"/>
  <c r="AU432"/>
  <c r="AU61" s="1"/>
  <c r="N61" s="1"/>
  <c r="AU180"/>
  <c r="AU49" s="1"/>
  <c r="N49" s="1"/>
  <c r="AU243"/>
  <c r="AU52" s="1"/>
  <c r="N52" s="1"/>
  <c r="AU327"/>
  <c r="AU56" s="1"/>
  <c r="N56" s="1"/>
  <c r="AU222"/>
  <c r="AU51" s="1"/>
  <c r="N51" s="1"/>
  <c r="AU442"/>
  <c r="AU63" s="1"/>
  <c r="N63" s="1"/>
  <c r="AU201"/>
  <c r="AU50" s="1"/>
  <c r="N50" s="1"/>
  <c r="AU390"/>
  <c r="AU59" s="1"/>
  <c r="N59" s="1"/>
  <c r="AU285"/>
  <c r="AU54" s="1"/>
  <c r="N54" s="1"/>
  <c r="AU159"/>
  <c r="AU48" s="1"/>
  <c r="N48" s="1"/>
  <c r="AU447"/>
  <c r="AU64" s="1"/>
  <c r="N64" s="1"/>
  <c r="AU117"/>
  <c r="AU46" s="1"/>
  <c r="N46" s="1"/>
  <c r="AU138"/>
  <c r="AU47" s="1"/>
  <c r="N47" s="1"/>
  <c r="AU369"/>
  <c r="AU58" s="1"/>
  <c r="N58" s="1"/>
  <c r="AU348"/>
  <c r="AU57" s="1"/>
  <c r="N57" s="1"/>
  <c r="AU264"/>
  <c r="AU53" s="1"/>
  <c r="N53" s="1"/>
  <c r="AI234" i="120"/>
  <c r="AI213"/>
  <c r="AI127"/>
  <c r="AI196"/>
  <c r="AI491"/>
  <c r="AI291"/>
  <c r="AI255"/>
  <c r="AI144"/>
  <c r="AI378"/>
  <c r="AI171"/>
  <c r="AI377"/>
  <c r="AI148"/>
  <c r="AI106"/>
  <c r="AI421"/>
  <c r="AI277"/>
  <c r="AI354"/>
  <c r="AI427"/>
  <c r="AI495"/>
  <c r="AI312"/>
  <c r="AI145"/>
  <c r="AI398"/>
  <c r="AI165"/>
  <c r="AI423"/>
  <c r="AI168"/>
  <c r="AI358"/>
  <c r="AI314"/>
  <c r="AI455"/>
  <c r="AI211"/>
  <c r="AI360"/>
  <c r="AI167"/>
  <c r="AI175"/>
  <c r="AI318"/>
  <c r="AI337"/>
  <c r="AI172"/>
  <c r="AI292"/>
  <c r="AI334"/>
  <c r="AI186"/>
  <c r="AI463"/>
  <c r="AI488"/>
  <c r="AI460"/>
  <c r="AI420"/>
  <c r="AI108"/>
  <c r="AI469"/>
  <c r="AI193"/>
  <c r="AI130"/>
  <c r="AI123"/>
  <c r="AI322"/>
  <c r="AI313"/>
  <c r="AI403"/>
  <c r="AI473"/>
  <c r="AI343"/>
  <c r="AI402"/>
  <c r="AI476"/>
  <c r="AI147"/>
  <c r="AI104"/>
  <c r="AI475"/>
  <c r="AI382"/>
  <c r="AI470"/>
  <c r="AI280"/>
  <c r="AI112"/>
  <c r="AI319"/>
  <c r="AI274"/>
  <c r="AI235"/>
  <c r="AI133"/>
  <c r="AI298"/>
  <c r="AI229"/>
  <c r="AI335"/>
  <c r="AI192"/>
  <c r="AI379"/>
  <c r="AI361"/>
  <c r="AI252"/>
  <c r="AI217"/>
  <c r="AI456"/>
  <c r="AI154"/>
  <c r="AI417"/>
  <c r="AI188"/>
  <c r="AI251"/>
  <c r="AI356"/>
  <c r="AI297"/>
  <c r="AI207"/>
  <c r="AI340"/>
  <c r="AI228"/>
  <c r="AI357"/>
  <c r="AI479"/>
  <c r="AI315"/>
  <c r="AI238"/>
  <c r="AI273"/>
  <c r="AI399"/>
  <c r="AI397"/>
  <c r="AI381"/>
  <c r="AI103"/>
  <c r="AI272"/>
  <c r="AI316"/>
  <c r="AI105"/>
  <c r="AI301"/>
  <c r="AI489"/>
  <c r="AI385"/>
  <c r="AI457"/>
  <c r="AI232"/>
  <c r="AI230"/>
  <c r="AI424"/>
  <c r="AI124"/>
  <c r="AI472"/>
  <c r="AI333"/>
  <c r="AI487"/>
  <c r="AI406"/>
  <c r="AI355"/>
  <c r="AI129"/>
  <c r="AI453"/>
  <c r="AI259"/>
  <c r="AI486"/>
  <c r="AI375"/>
  <c r="AI454"/>
  <c r="AI125"/>
  <c r="AI492"/>
  <c r="AI339"/>
  <c r="AI169"/>
  <c r="AI150"/>
  <c r="AI190"/>
  <c r="AI249"/>
  <c r="AI214"/>
  <c r="AI109"/>
  <c r="AI210"/>
  <c r="AI187"/>
  <c r="AI151"/>
  <c r="AI485"/>
  <c r="AI471"/>
  <c r="AI231"/>
  <c r="AI418"/>
  <c r="AI256"/>
  <c r="AI293"/>
  <c r="AI364"/>
  <c r="AI270"/>
  <c r="AI459"/>
  <c r="AI189"/>
  <c r="AI209"/>
  <c r="AI276"/>
  <c r="AI295"/>
  <c r="AI102"/>
  <c r="AI166"/>
  <c r="AI419"/>
  <c r="AI400"/>
  <c r="AI250"/>
  <c r="AI376"/>
  <c r="AI208"/>
  <c r="AI254"/>
  <c r="AI294"/>
  <c r="AI396"/>
  <c r="AI253"/>
  <c r="AI23" s="1"/>
  <c r="AI271"/>
  <c r="AI336"/>
  <c r="AI146"/>
  <c r="AI21" s="1"/>
  <c r="AI126"/>
  <c r="AI170"/>
  <c r="AI478"/>
  <c r="AI128"/>
  <c r="AI321"/>
  <c r="AI153"/>
  <c r="AI191"/>
  <c r="AI338"/>
  <c r="AI317"/>
  <c r="AI323" s="1"/>
  <c r="AI79" s="1"/>
  <c r="AI216"/>
  <c r="AI363"/>
  <c r="AI212"/>
  <c r="AI342"/>
  <c r="AI296"/>
  <c r="AI174"/>
  <c r="AI279"/>
  <c r="AI462"/>
  <c r="AI494"/>
  <c r="AI380"/>
  <c r="AI300"/>
  <c r="AI490"/>
  <c r="AI233"/>
  <c r="AI132"/>
  <c r="AI422"/>
  <c r="AI426"/>
  <c r="AI111"/>
  <c r="AI458"/>
  <c r="AI401"/>
  <c r="AI474"/>
  <c r="AI195"/>
  <c r="AI275"/>
  <c r="AI405"/>
  <c r="AI384"/>
  <c r="AI237"/>
  <c r="AI107"/>
  <c r="AI258"/>
  <c r="AI260" s="1"/>
  <c r="AI76" s="1"/>
  <c r="AI149"/>
  <c r="AI359"/>
  <c r="AJ45" i="117"/>
  <c r="AJ65" s="1"/>
  <c r="AJ10"/>
  <c r="AJ14" s="1"/>
  <c r="AS134" i="118"/>
  <c r="AS70" s="1"/>
  <c r="AH344" i="120"/>
  <c r="AH80" s="1"/>
  <c r="AS26" i="118"/>
  <c r="AS407"/>
  <c r="AS83" s="1"/>
  <c r="AS323"/>
  <c r="AS79" s="1"/>
  <c r="AS155"/>
  <c r="AS71" s="1"/>
  <c r="AS386"/>
  <c r="AS82" s="1"/>
  <c r="AS25"/>
  <c r="AH23" i="120"/>
  <c r="AH365"/>
  <c r="AH81" s="1"/>
  <c r="AH32"/>
  <c r="AH25"/>
  <c r="AH302"/>
  <c r="AH78" s="1"/>
  <c r="AH155"/>
  <c r="AH71" s="1"/>
  <c r="AH260"/>
  <c r="AH76" s="1"/>
  <c r="AR88" i="118"/>
  <c r="AI323" i="117"/>
  <c r="AI79" s="1"/>
  <c r="AI20"/>
  <c r="AI134"/>
  <c r="AI70" s="1"/>
  <c r="AI365"/>
  <c r="AI81" s="1"/>
  <c r="AI281"/>
  <c r="AI77" s="1"/>
  <c r="AI344"/>
  <c r="AI80" s="1"/>
  <c r="AI197"/>
  <c r="AI73" s="1"/>
  <c r="AI176"/>
  <c r="AI72" s="1"/>
  <c r="AI19"/>
  <c r="AI113"/>
  <c r="AI69" s="1"/>
  <c r="AI45" i="120"/>
  <c r="AI65" s="1"/>
  <c r="AI10"/>
  <c r="AI14" s="1"/>
  <c r="AS239" i="118"/>
  <c r="AS75" s="1"/>
  <c r="AS464"/>
  <c r="AS85" s="1"/>
  <c r="AH386" i="120"/>
  <c r="AH82" s="1"/>
  <c r="AG36"/>
  <c r="AG38" s="1"/>
  <c r="AS260" i="118"/>
  <c r="AS76" s="1"/>
  <c r="AS22"/>
  <c r="AG88" i="120"/>
  <c r="AG90" s="1"/>
  <c r="AS496" i="118"/>
  <c r="AS87" s="1"/>
  <c r="AS281"/>
  <c r="AS77" s="1"/>
  <c r="AS302"/>
  <c r="AS78" s="1"/>
  <c r="AS197"/>
  <c r="AS73" s="1"/>
  <c r="AS480"/>
  <c r="AS86" s="1"/>
  <c r="AS23"/>
  <c r="AH39" i="117"/>
  <c r="AH428" i="120"/>
  <c r="AH84" s="1"/>
  <c r="AH20"/>
  <c r="AH21"/>
  <c r="AH218"/>
  <c r="AH74" s="1"/>
  <c r="AH134"/>
  <c r="AH70" s="1"/>
  <c r="AH480"/>
  <c r="AH86" s="1"/>
  <c r="AH281"/>
  <c r="AH77" s="1"/>
  <c r="AR90" i="118"/>
  <c r="AG39" i="117"/>
  <c r="AI239"/>
  <c r="AI75" s="1"/>
  <c r="AI496"/>
  <c r="AI87" s="1"/>
  <c r="AI25"/>
  <c r="AI407"/>
  <c r="AI83" s="1"/>
  <c r="H28" i="8"/>
  <c r="H18"/>
  <c r="H16"/>
  <c r="H30"/>
  <c r="H23"/>
  <c r="H21"/>
  <c r="H15"/>
  <c r="H29"/>
  <c r="H14"/>
  <c r="H24"/>
  <c r="H26"/>
  <c r="H27"/>
  <c r="H17"/>
  <c r="H20"/>
  <c r="H13"/>
  <c r="H22"/>
  <c r="H25"/>
  <c r="H12"/>
  <c r="H19"/>
  <c r="AI19" i="120" l="1"/>
  <c r="AI407"/>
  <c r="AI83" s="1"/>
  <c r="AU45" i="118"/>
  <c r="AU10"/>
  <c r="AT19"/>
  <c r="AT113"/>
  <c r="AT69" s="1"/>
  <c r="AL388" i="117"/>
  <c r="AL435"/>
  <c r="AL42"/>
  <c r="AL67" s="1"/>
  <c r="AL309"/>
  <c r="AL94"/>
  <c r="AL16"/>
  <c r="AL241"/>
  <c r="AL225"/>
  <c r="AL288"/>
  <c r="AL262"/>
  <c r="AL372"/>
  <c r="AL450"/>
  <c r="AL367"/>
  <c r="AL162"/>
  <c r="AL440"/>
  <c r="AL178"/>
  <c r="AL141"/>
  <c r="AL330"/>
  <c r="AL283"/>
  <c r="AL409"/>
  <c r="AM8"/>
  <c r="AL157"/>
  <c r="AL507"/>
  <c r="AL508" s="1"/>
  <c r="AL509" s="1"/>
  <c r="AL503"/>
  <c r="AL393"/>
  <c r="AL267"/>
  <c r="AL445"/>
  <c r="AL136"/>
  <c r="AL325"/>
  <c r="AL430"/>
  <c r="AL120"/>
  <c r="AL99"/>
  <c r="AL199"/>
  <c r="AL246"/>
  <c r="AL499"/>
  <c r="AL304"/>
  <c r="AL351"/>
  <c r="AL220"/>
  <c r="AL414"/>
  <c r="AL466"/>
  <c r="AL183"/>
  <c r="AL482"/>
  <c r="AL204"/>
  <c r="AL115"/>
  <c r="AL346"/>
  <c r="AL285"/>
  <c r="AL54" s="1"/>
  <c r="AL390"/>
  <c r="AL59" s="1"/>
  <c r="AL442"/>
  <c r="AL63" s="1"/>
  <c r="AL201"/>
  <c r="AL50" s="1"/>
  <c r="AL369"/>
  <c r="AL58" s="1"/>
  <c r="AL348"/>
  <c r="AL57" s="1"/>
  <c r="AL264"/>
  <c r="AL53" s="1"/>
  <c r="AL159"/>
  <c r="AL48" s="1"/>
  <c r="AL437"/>
  <c r="AL62" s="1"/>
  <c r="AL432"/>
  <c r="AL61" s="1"/>
  <c r="AL117"/>
  <c r="AL46" s="1"/>
  <c r="AL243"/>
  <c r="AL52" s="1"/>
  <c r="AL96"/>
  <c r="AL447"/>
  <c r="AL64" s="1"/>
  <c r="AL411"/>
  <c r="AL60" s="1"/>
  <c r="AL327"/>
  <c r="AL56" s="1"/>
  <c r="AL138"/>
  <c r="AL47" s="1"/>
  <c r="AL180"/>
  <c r="AL49" s="1"/>
  <c r="AL306"/>
  <c r="AL55" s="1"/>
  <c r="AL222"/>
  <c r="AL51" s="1"/>
  <c r="AI386" i="120"/>
  <c r="AI82" s="1"/>
  <c r="AI344"/>
  <c r="AI80" s="1"/>
  <c r="AI218"/>
  <c r="AI74" s="1"/>
  <c r="AI32"/>
  <c r="AI365"/>
  <c r="AI81" s="1"/>
  <c r="AI155"/>
  <c r="AI71" s="1"/>
  <c r="AT281" i="118"/>
  <c r="AT77" s="1"/>
  <c r="AT464"/>
  <c r="AT85" s="1"/>
  <c r="AT176"/>
  <c r="AT72" s="1"/>
  <c r="AT260"/>
  <c r="AT76" s="1"/>
  <c r="AT31"/>
  <c r="AH36" i="120"/>
  <c r="AH38" s="1"/>
  <c r="AH39" s="1"/>
  <c r="AJ31" i="117"/>
  <c r="AJ23"/>
  <c r="AJ155"/>
  <c r="AJ71" s="1"/>
  <c r="AJ428"/>
  <c r="AJ84" s="1"/>
  <c r="AJ386"/>
  <c r="AJ82" s="1"/>
  <c r="AJ22"/>
  <c r="AJ480"/>
  <c r="AJ86" s="1"/>
  <c r="AJ302"/>
  <c r="AJ78" s="1"/>
  <c r="AJ25"/>
  <c r="AU106" i="118"/>
  <c r="AU107"/>
  <c r="AU132"/>
  <c r="AU150"/>
  <c r="AU190"/>
  <c r="AU211"/>
  <c r="AU232"/>
  <c r="AU253"/>
  <c r="AU274"/>
  <c r="AU295"/>
  <c r="AU316"/>
  <c r="AU337"/>
  <c r="AU358"/>
  <c r="AU379"/>
  <c r="AU400"/>
  <c r="AU421"/>
  <c r="AU457"/>
  <c r="AU473"/>
  <c r="AU489"/>
  <c r="AU169"/>
  <c r="AU128"/>
  <c r="AU153"/>
  <c r="AU171"/>
  <c r="AU192"/>
  <c r="AU213"/>
  <c r="AU234"/>
  <c r="AU255"/>
  <c r="AU276"/>
  <c r="AU297"/>
  <c r="AU318"/>
  <c r="AU339"/>
  <c r="AU360"/>
  <c r="AU381"/>
  <c r="AU402"/>
  <c r="AU423"/>
  <c r="AU459"/>
  <c r="AU475"/>
  <c r="AU491"/>
  <c r="AU148"/>
  <c r="AU108"/>
  <c r="AU149"/>
  <c r="AU174"/>
  <c r="AU195"/>
  <c r="AU216"/>
  <c r="AU237"/>
  <c r="AU258"/>
  <c r="AU279"/>
  <c r="AU300"/>
  <c r="AU321"/>
  <c r="AU342"/>
  <c r="AU363"/>
  <c r="AU384"/>
  <c r="AU405"/>
  <c r="AU426"/>
  <c r="AU462"/>
  <c r="AU478"/>
  <c r="AU494"/>
  <c r="AU127"/>
  <c r="AU111"/>
  <c r="AU129"/>
  <c r="AU170"/>
  <c r="AU191"/>
  <c r="AU212"/>
  <c r="AU233"/>
  <c r="AU254"/>
  <c r="AU275"/>
  <c r="AU296"/>
  <c r="AU317"/>
  <c r="AU338"/>
  <c r="AU359"/>
  <c r="AU380"/>
  <c r="AU401"/>
  <c r="AU422"/>
  <c r="AU458"/>
  <c r="AU474"/>
  <c r="AU490"/>
  <c r="AU486"/>
  <c r="AU454"/>
  <c r="AU397"/>
  <c r="AU229"/>
  <c r="AU424"/>
  <c r="AU340"/>
  <c r="AU376"/>
  <c r="AU479"/>
  <c r="AU294"/>
  <c r="AU418"/>
  <c r="AU291"/>
  <c r="AU214"/>
  <c r="AU165"/>
  <c r="AU427"/>
  <c r="AU230"/>
  <c r="AU335"/>
  <c r="AU167"/>
  <c r="AU39"/>
  <c r="AU334"/>
  <c r="AU189"/>
  <c r="AU249"/>
  <c r="AU109"/>
  <c r="AU259"/>
  <c r="AU175"/>
  <c r="AU146"/>
  <c r="AU235"/>
  <c r="AU123"/>
  <c r="AU270"/>
  <c r="AU281" s="1"/>
  <c r="AU77" s="1"/>
  <c r="N77" s="1"/>
  <c r="AU208"/>
  <c r="AU104"/>
  <c r="AU124"/>
  <c r="AU144"/>
  <c r="AU298"/>
  <c r="AU105"/>
  <c r="AU364"/>
  <c r="AU102"/>
  <c r="AU375"/>
  <c r="AU145"/>
  <c r="AU396"/>
  <c r="AU472"/>
  <c r="AU420"/>
  <c r="AU252"/>
  <c r="AU455"/>
  <c r="AU356"/>
  <c r="AU399"/>
  <c r="AU231"/>
  <c r="AU355"/>
  <c r="AU492"/>
  <c r="AU314"/>
  <c r="AU228"/>
  <c r="AU172"/>
  <c r="AU453"/>
  <c r="AU272"/>
  <c r="AU471"/>
  <c r="AU217"/>
  <c r="AU112"/>
  <c r="AU377"/>
  <c r="AU277"/>
  <c r="AU382"/>
  <c r="AU126"/>
  <c r="AU357"/>
  <c r="AU354"/>
  <c r="AU187"/>
  <c r="AU312"/>
  <c r="AU256"/>
  <c r="AU343"/>
  <c r="AU196"/>
  <c r="AU378"/>
  <c r="AU495"/>
  <c r="AU470"/>
  <c r="AU463"/>
  <c r="AU313"/>
  <c r="AU476"/>
  <c r="AU385"/>
  <c r="AU456"/>
  <c r="AU292"/>
  <c r="AU210"/>
  <c r="AU361"/>
  <c r="AU238"/>
  <c r="AU188"/>
  <c r="AU280"/>
  <c r="AU273"/>
  <c r="AU419"/>
  <c r="AU193"/>
  <c r="AU403"/>
  <c r="AU168"/>
  <c r="AU488"/>
  <c r="AU485"/>
  <c r="AU496" s="1"/>
  <c r="AU87" s="1"/>
  <c r="AU336"/>
  <c r="AU487"/>
  <c r="AU417"/>
  <c r="AU333"/>
  <c r="AU344" s="1"/>
  <c r="AU80" s="1"/>
  <c r="AU315"/>
  <c r="AU469"/>
  <c r="AU271"/>
  <c r="AU406"/>
  <c r="AU251"/>
  <c r="AU209"/>
  <c r="AU133"/>
  <c r="AU301"/>
  <c r="AU147"/>
  <c r="AU319"/>
  <c r="AU151"/>
  <c r="AU460"/>
  <c r="AU322"/>
  <c r="AU166"/>
  <c r="AU207"/>
  <c r="AU398"/>
  <c r="AU186"/>
  <c r="AU130"/>
  <c r="AU103"/>
  <c r="AU154"/>
  <c r="AU293"/>
  <c r="AU125"/>
  <c r="AU250"/>
  <c r="AJ45" i="120"/>
  <c r="AJ65" s="1"/>
  <c r="AJ10"/>
  <c r="AJ14" s="1"/>
  <c r="AJ314"/>
  <c r="AJ403"/>
  <c r="AJ334"/>
  <c r="AJ144"/>
  <c r="AJ273"/>
  <c r="AJ298"/>
  <c r="AJ186"/>
  <c r="AJ280"/>
  <c r="AJ312"/>
  <c r="AJ360"/>
  <c r="AJ318"/>
  <c r="AJ123"/>
  <c r="AJ397"/>
  <c r="AJ322"/>
  <c r="AJ486"/>
  <c r="AJ251"/>
  <c r="AJ109"/>
  <c r="AJ154"/>
  <c r="AJ188"/>
  <c r="AJ209"/>
  <c r="AJ147"/>
  <c r="AJ291"/>
  <c r="AJ255"/>
  <c r="AJ213"/>
  <c r="AJ165"/>
  <c r="AJ381"/>
  <c r="AJ378"/>
  <c r="AJ488"/>
  <c r="AJ460"/>
  <c r="AJ192"/>
  <c r="AJ175"/>
  <c r="AJ112"/>
  <c r="AJ234"/>
  <c r="AJ235"/>
  <c r="AJ277"/>
  <c r="AJ335"/>
  <c r="AJ145"/>
  <c r="AJ475"/>
  <c r="AJ417"/>
  <c r="AJ399"/>
  <c r="AJ297"/>
  <c r="AJ456"/>
  <c r="AJ406"/>
  <c r="AJ238"/>
  <c r="AJ385"/>
  <c r="AJ476"/>
  <c r="AJ463"/>
  <c r="AJ469"/>
  <c r="AJ427"/>
  <c r="AJ168"/>
  <c r="AJ229"/>
  <c r="AJ172"/>
  <c r="AJ455"/>
  <c r="AJ420"/>
  <c r="AJ495"/>
  <c r="AJ382"/>
  <c r="AJ354"/>
  <c r="AJ249"/>
  <c r="AJ343"/>
  <c r="AJ293"/>
  <c r="AJ214"/>
  <c r="AJ491"/>
  <c r="AJ167"/>
  <c r="AJ130"/>
  <c r="AJ313"/>
  <c r="AJ472"/>
  <c r="AJ361"/>
  <c r="AJ319"/>
  <c r="AJ217"/>
  <c r="AJ377"/>
  <c r="AJ196"/>
  <c r="AJ339"/>
  <c r="AJ150"/>
  <c r="AJ272"/>
  <c r="AJ256"/>
  <c r="AJ301"/>
  <c r="AJ357"/>
  <c r="AJ210"/>
  <c r="AJ402"/>
  <c r="AJ231"/>
  <c r="AJ124"/>
  <c r="AJ252"/>
  <c r="AJ133"/>
  <c r="AJ103"/>
  <c r="AJ355"/>
  <c r="AJ207"/>
  <c r="AJ470"/>
  <c r="AJ419"/>
  <c r="AJ315"/>
  <c r="AJ151"/>
  <c r="AJ230"/>
  <c r="AJ375"/>
  <c r="AJ487"/>
  <c r="AJ454"/>
  <c r="AJ125"/>
  <c r="AJ418"/>
  <c r="AJ356"/>
  <c r="AJ492"/>
  <c r="AJ471"/>
  <c r="AJ292"/>
  <c r="AJ171"/>
  <c r="AJ105"/>
  <c r="AJ259"/>
  <c r="AJ228"/>
  <c r="AJ479"/>
  <c r="AJ187"/>
  <c r="AJ485"/>
  <c r="AJ496" s="1"/>
  <c r="AJ87" s="1"/>
  <c r="AJ424"/>
  <c r="AJ333"/>
  <c r="AJ129"/>
  <c r="AJ453"/>
  <c r="AJ108"/>
  <c r="AJ423"/>
  <c r="AJ398"/>
  <c r="AJ276"/>
  <c r="AJ459"/>
  <c r="AJ166"/>
  <c r="AJ250"/>
  <c r="AJ189"/>
  <c r="AJ376"/>
  <c r="AJ340"/>
  <c r="AJ208"/>
  <c r="AJ364"/>
  <c r="AJ270"/>
  <c r="AJ104"/>
  <c r="AJ102"/>
  <c r="AJ193"/>
  <c r="AJ274"/>
  <c r="AJ337"/>
  <c r="AJ211"/>
  <c r="AJ295"/>
  <c r="AJ148"/>
  <c r="AJ396"/>
  <c r="AJ169"/>
  <c r="AJ232"/>
  <c r="AJ316"/>
  <c r="AJ127"/>
  <c r="AJ400"/>
  <c r="AJ271"/>
  <c r="AJ20" s="1"/>
  <c r="AJ336"/>
  <c r="AJ190"/>
  <c r="AJ489"/>
  <c r="AJ358"/>
  <c r="AJ379"/>
  <c r="AJ126"/>
  <c r="AJ421"/>
  <c r="AJ457"/>
  <c r="AJ473"/>
  <c r="AJ106"/>
  <c r="AJ146"/>
  <c r="AJ253"/>
  <c r="AJ294"/>
  <c r="AJ254"/>
  <c r="AJ490"/>
  <c r="AJ296"/>
  <c r="AJ478"/>
  <c r="AJ342"/>
  <c r="AJ317"/>
  <c r="AJ237"/>
  <c r="AJ279"/>
  <c r="AJ462"/>
  <c r="AJ216"/>
  <c r="AJ107"/>
  <c r="AJ24" s="1"/>
  <c r="AJ132"/>
  <c r="AJ233"/>
  <c r="AJ494"/>
  <c r="AJ474"/>
  <c r="AJ401"/>
  <c r="AJ191"/>
  <c r="AJ363"/>
  <c r="AJ426"/>
  <c r="AJ170"/>
  <c r="AJ149"/>
  <c r="AJ128"/>
  <c r="AJ321"/>
  <c r="AJ258"/>
  <c r="AJ359"/>
  <c r="AJ153"/>
  <c r="AJ195"/>
  <c r="AJ300"/>
  <c r="AJ338"/>
  <c r="AJ212"/>
  <c r="AJ422"/>
  <c r="AJ111"/>
  <c r="AJ384"/>
  <c r="AJ275"/>
  <c r="AJ405"/>
  <c r="AJ174"/>
  <c r="AJ380"/>
  <c r="AJ458"/>
  <c r="AK256" i="117"/>
  <c r="AK103"/>
  <c r="AK234"/>
  <c r="AK109"/>
  <c r="AK105"/>
  <c r="AK171"/>
  <c r="AK217"/>
  <c r="AK238"/>
  <c r="AK360"/>
  <c r="AK208"/>
  <c r="AK364"/>
  <c r="AK469"/>
  <c r="AK235"/>
  <c r="AK297"/>
  <c r="AK129"/>
  <c r="AK292"/>
  <c r="AK356"/>
  <c r="AK104"/>
  <c r="AK334"/>
  <c r="AK376"/>
  <c r="AK340"/>
  <c r="AK154"/>
  <c r="AK108"/>
  <c r="AK193"/>
  <c r="AK250"/>
  <c r="AK382"/>
  <c r="AK291"/>
  <c r="AK273"/>
  <c r="AK196"/>
  <c r="AK472"/>
  <c r="AK420"/>
  <c r="AK190"/>
  <c r="AK375"/>
  <c r="AK168"/>
  <c r="AK495"/>
  <c r="AK406"/>
  <c r="AK402"/>
  <c r="AK112"/>
  <c r="AK298"/>
  <c r="AK228"/>
  <c r="AK207"/>
  <c r="AK424"/>
  <c r="AK150"/>
  <c r="AK301"/>
  <c r="AK396"/>
  <c r="AK270"/>
  <c r="AK175"/>
  <c r="AK354"/>
  <c r="AK147"/>
  <c r="AK361"/>
  <c r="AK455"/>
  <c r="AK475"/>
  <c r="AK463"/>
  <c r="AK427"/>
  <c r="AK319"/>
  <c r="AK397"/>
  <c r="AK333"/>
  <c r="AK255"/>
  <c r="AK339"/>
  <c r="AK172"/>
  <c r="AK124"/>
  <c r="AK385"/>
  <c r="AK343"/>
  <c r="AK211"/>
  <c r="AK335"/>
  <c r="AK166"/>
  <c r="AK230"/>
  <c r="AK151"/>
  <c r="AK418"/>
  <c r="AK187"/>
  <c r="AK148"/>
  <c r="AK144"/>
  <c r="AK165"/>
  <c r="AK470"/>
  <c r="AK214"/>
  <c r="AK189"/>
  <c r="AK133"/>
  <c r="AK251"/>
  <c r="AK271"/>
  <c r="AK453"/>
  <c r="AK489"/>
  <c r="AK210"/>
  <c r="AK487"/>
  <c r="AK378"/>
  <c r="AK473"/>
  <c r="AK403"/>
  <c r="AK417"/>
  <c r="AK358"/>
  <c r="AK318"/>
  <c r="AK192"/>
  <c r="AK377"/>
  <c r="AK488"/>
  <c r="AK476"/>
  <c r="AK454"/>
  <c r="AK276"/>
  <c r="AK130"/>
  <c r="AK272"/>
  <c r="AK357"/>
  <c r="AK188"/>
  <c r="AK167"/>
  <c r="AK125"/>
  <c r="AK252"/>
  <c r="AK486"/>
  <c r="AK421"/>
  <c r="AK381"/>
  <c r="AK123"/>
  <c r="AK293"/>
  <c r="AK186"/>
  <c r="AK209"/>
  <c r="AK259"/>
  <c r="AK491"/>
  <c r="AK457"/>
  <c r="AK314"/>
  <c r="AK280"/>
  <c r="AK213"/>
  <c r="AK423"/>
  <c r="AK231"/>
  <c r="AK315"/>
  <c r="AK312"/>
  <c r="AK146"/>
  <c r="AK229"/>
  <c r="AK399"/>
  <c r="AK479"/>
  <c r="AK277"/>
  <c r="AK249"/>
  <c r="AK145"/>
  <c r="AK459"/>
  <c r="AK355"/>
  <c r="AK398"/>
  <c r="AK460"/>
  <c r="AK471"/>
  <c r="AK492"/>
  <c r="AK322"/>
  <c r="AK485"/>
  <c r="AK169"/>
  <c r="AK478"/>
  <c r="AK237"/>
  <c r="AK359"/>
  <c r="AK384"/>
  <c r="AK316"/>
  <c r="AK313"/>
  <c r="AK106"/>
  <c r="AK296"/>
  <c r="AK317"/>
  <c r="AK294"/>
  <c r="AK254"/>
  <c r="AK232"/>
  <c r="AK400"/>
  <c r="AK342"/>
  <c r="AK490"/>
  <c r="AK321"/>
  <c r="AK474"/>
  <c r="AK295"/>
  <c r="AK102"/>
  <c r="AK456"/>
  <c r="AK419"/>
  <c r="AK253"/>
  <c r="AK274"/>
  <c r="AK379"/>
  <c r="AK191"/>
  <c r="AK170"/>
  <c r="AK128"/>
  <c r="AK279"/>
  <c r="AK337"/>
  <c r="AK275"/>
  <c r="AK336"/>
  <c r="AK107"/>
  <c r="AK380"/>
  <c r="AK494"/>
  <c r="AK212"/>
  <c r="AK195"/>
  <c r="AK127"/>
  <c r="AK216"/>
  <c r="AK126"/>
  <c r="AK132"/>
  <c r="AK300"/>
  <c r="AK302" s="1"/>
  <c r="AK78" s="1"/>
  <c r="AK458"/>
  <c r="AK153"/>
  <c r="AK405"/>
  <c r="AK111"/>
  <c r="AK31" s="1"/>
  <c r="AK422"/>
  <c r="AK149"/>
  <c r="AK338"/>
  <c r="AK401"/>
  <c r="AK363"/>
  <c r="AK426"/>
  <c r="AK258"/>
  <c r="AK260" s="1"/>
  <c r="AK76" s="1"/>
  <c r="AK174"/>
  <c r="AK176" s="1"/>
  <c r="AK72" s="1"/>
  <c r="AK462"/>
  <c r="AK233"/>
  <c r="AI281" i="120"/>
  <c r="AI77" s="1"/>
  <c r="AI464"/>
  <c r="AI85" s="1"/>
  <c r="AI197"/>
  <c r="AI73" s="1"/>
  <c r="AT21" i="118"/>
  <c r="AT496"/>
  <c r="AT87" s="1"/>
  <c r="AT218"/>
  <c r="AT74" s="1"/>
  <c r="AT407"/>
  <c r="AT83" s="1"/>
  <c r="AT20"/>
  <c r="AT25"/>
  <c r="AH88" i="120"/>
  <c r="AH90" s="1"/>
  <c r="AI36" i="117"/>
  <c r="AI38" s="1"/>
  <c r="AJ24"/>
  <c r="AJ134"/>
  <c r="AJ70" s="1"/>
  <c r="AJ281"/>
  <c r="AJ77" s="1"/>
  <c r="AJ464"/>
  <c r="AJ85" s="1"/>
  <c r="AJ26"/>
  <c r="AJ32"/>
  <c r="AS36" i="118"/>
  <c r="AS38" s="1"/>
  <c r="AK499" i="120"/>
  <c r="AK440"/>
  <c r="AK445"/>
  <c r="AK507"/>
  <c r="AK508" s="1"/>
  <c r="AK509" s="1"/>
  <c r="AK414"/>
  <c r="AK346"/>
  <c r="AK304"/>
  <c r="AK199"/>
  <c r="AK99"/>
  <c r="AK136"/>
  <c r="AK309"/>
  <c r="AL8"/>
  <c r="AK466"/>
  <c r="AK288"/>
  <c r="AK351"/>
  <c r="AK330"/>
  <c r="AK241"/>
  <c r="AK435"/>
  <c r="AK204"/>
  <c r="AK162"/>
  <c r="AK141"/>
  <c r="AK183"/>
  <c r="AK393"/>
  <c r="AK120"/>
  <c r="AK503"/>
  <c r="AK372"/>
  <c r="AK430"/>
  <c r="AK262"/>
  <c r="AK246"/>
  <c r="AK283"/>
  <c r="AK267"/>
  <c r="AK157"/>
  <c r="AK225"/>
  <c r="AK178"/>
  <c r="AK482"/>
  <c r="AK409"/>
  <c r="AK450"/>
  <c r="AK367"/>
  <c r="AK325"/>
  <c r="AK220"/>
  <c r="AK94"/>
  <c r="AK388"/>
  <c r="AK115"/>
  <c r="AK16"/>
  <c r="AK42"/>
  <c r="AK67" s="1"/>
  <c r="AK432"/>
  <c r="AK61" s="1"/>
  <c r="AK201"/>
  <c r="AK50" s="1"/>
  <c r="AK447"/>
  <c r="AK64" s="1"/>
  <c r="AK96"/>
  <c r="AK411"/>
  <c r="AK60" s="1"/>
  <c r="AK117"/>
  <c r="AK46" s="1"/>
  <c r="AK442"/>
  <c r="AK63" s="1"/>
  <c r="AK390"/>
  <c r="AK59" s="1"/>
  <c r="AK222"/>
  <c r="AK51" s="1"/>
  <c r="AK138"/>
  <c r="AK47" s="1"/>
  <c r="AK243"/>
  <c r="AK52" s="1"/>
  <c r="AK264"/>
  <c r="AK53" s="1"/>
  <c r="AK437"/>
  <c r="AK62" s="1"/>
  <c r="AK369"/>
  <c r="AK58" s="1"/>
  <c r="AK327"/>
  <c r="AK56" s="1"/>
  <c r="AK348"/>
  <c r="AK57" s="1"/>
  <c r="AK159"/>
  <c r="AK48" s="1"/>
  <c r="AK285"/>
  <c r="AK54" s="1"/>
  <c r="AK306"/>
  <c r="AK55" s="1"/>
  <c r="AK180"/>
  <c r="AK49" s="1"/>
  <c r="AK45" i="117"/>
  <c r="AK65" s="1"/>
  <c r="AK10"/>
  <c r="AK14" s="1"/>
  <c r="AI31" i="120"/>
  <c r="AI20"/>
  <c r="AI496"/>
  <c r="AI87" s="1"/>
  <c r="AI26"/>
  <c r="AI22"/>
  <c r="AI239"/>
  <c r="AI75" s="1"/>
  <c r="AI134"/>
  <c r="AI70" s="1"/>
  <c r="AI25"/>
  <c r="AI302"/>
  <c r="AI78" s="1"/>
  <c r="AT26" i="118"/>
  <c r="AT302"/>
  <c r="AT78" s="1"/>
  <c r="AT323"/>
  <c r="AT79" s="1"/>
  <c r="AT428"/>
  <c r="AT84" s="1"/>
  <c r="AT197"/>
  <c r="AT73" s="1"/>
  <c r="AT23"/>
  <c r="AG39" i="120"/>
  <c r="AJ344" i="117"/>
  <c r="AJ80" s="1"/>
  <c r="AJ176"/>
  <c r="AJ72" s="1"/>
  <c r="AJ407"/>
  <c r="AJ83" s="1"/>
  <c r="AS88" i="118"/>
  <c r="AS90" s="1"/>
  <c r="AJ19" i="117"/>
  <c r="AJ36" s="1"/>
  <c r="AJ38" s="1"/>
  <c r="AJ113"/>
  <c r="AJ69" s="1"/>
  <c r="AI88"/>
  <c r="AI90" s="1"/>
  <c r="AI24" i="120"/>
  <c r="AI176"/>
  <c r="AI72" s="1"/>
  <c r="AI113"/>
  <c r="AI69" s="1"/>
  <c r="AI428"/>
  <c r="AI84" s="1"/>
  <c r="AI480"/>
  <c r="AI86" s="1"/>
  <c r="AT480" i="118"/>
  <c r="AT86" s="1"/>
  <c r="AT365"/>
  <c r="AT81" s="1"/>
  <c r="AT239"/>
  <c r="AT75" s="1"/>
  <c r="AT344"/>
  <c r="AT80" s="1"/>
  <c r="AT24"/>
  <c r="AJ218" i="117"/>
  <c r="AJ74" s="1"/>
  <c r="AJ496"/>
  <c r="AJ87" s="1"/>
  <c r="AJ365"/>
  <c r="AJ81" s="1"/>
  <c r="AJ197"/>
  <c r="AJ73" s="1"/>
  <c r="AJ239"/>
  <c r="AJ75" s="1"/>
  <c r="H42" i="8"/>
  <c r="AK45" i="120" l="1"/>
  <c r="AK65" s="1"/>
  <c r="AK10"/>
  <c r="AK14" s="1"/>
  <c r="AK479"/>
  <c r="AK277"/>
  <c r="AK476"/>
  <c r="AK196"/>
  <c r="AK361"/>
  <c r="AK358"/>
  <c r="AK186"/>
  <c r="AK168"/>
  <c r="AK145"/>
  <c r="AK175"/>
  <c r="AK192"/>
  <c r="AK473"/>
  <c r="AK469"/>
  <c r="AK207"/>
  <c r="AK172"/>
  <c r="AK342"/>
  <c r="AK475"/>
  <c r="AK375"/>
  <c r="AK454"/>
  <c r="AK376"/>
  <c r="AK321"/>
  <c r="AK211"/>
  <c r="AK291"/>
  <c r="AK147"/>
  <c r="AK165"/>
  <c r="AK255"/>
  <c r="AK455"/>
  <c r="AK334"/>
  <c r="AK460"/>
  <c r="AK397"/>
  <c r="AK322"/>
  <c r="AK313"/>
  <c r="AK295"/>
  <c r="AK106"/>
  <c r="AK235"/>
  <c r="AK377"/>
  <c r="AK417"/>
  <c r="AK381"/>
  <c r="AK312"/>
  <c r="AK463"/>
  <c r="AK319"/>
  <c r="AK133"/>
  <c r="AK125"/>
  <c r="AK491"/>
  <c r="AK360"/>
  <c r="AK251"/>
  <c r="AK488"/>
  <c r="AK335"/>
  <c r="AK167"/>
  <c r="AK148"/>
  <c r="AK193"/>
  <c r="AK166"/>
  <c r="AK252"/>
  <c r="AK234"/>
  <c r="AK217"/>
  <c r="AK495"/>
  <c r="AK154"/>
  <c r="AK109"/>
  <c r="AK26" s="1"/>
  <c r="AK424"/>
  <c r="AK144"/>
  <c r="AK314"/>
  <c r="AK280"/>
  <c r="AK229"/>
  <c r="AK378"/>
  <c r="AK318"/>
  <c r="AK153"/>
  <c r="AK337"/>
  <c r="AK130"/>
  <c r="AK123"/>
  <c r="AK379"/>
  <c r="AK420"/>
  <c r="AK343"/>
  <c r="AK274"/>
  <c r="AK382"/>
  <c r="AK151"/>
  <c r="AK457"/>
  <c r="AK355"/>
  <c r="AK169"/>
  <c r="AK129"/>
  <c r="AK112"/>
  <c r="AK316"/>
  <c r="AK171"/>
  <c r="AK385"/>
  <c r="AK315"/>
  <c r="AK187"/>
  <c r="AK232"/>
  <c r="AK258"/>
  <c r="AK486"/>
  <c r="AK418"/>
  <c r="AK333"/>
  <c r="AK427"/>
  <c r="AK208"/>
  <c r="AK485"/>
  <c r="AK297"/>
  <c r="AK249"/>
  <c r="AK453"/>
  <c r="AK301"/>
  <c r="AK275"/>
  <c r="AK228"/>
  <c r="AK359"/>
  <c r="AK471"/>
  <c r="AK132"/>
  <c r="AK103"/>
  <c r="AK492"/>
  <c r="AK339"/>
  <c r="AK190"/>
  <c r="AK214"/>
  <c r="AK456"/>
  <c r="AK231"/>
  <c r="AK105"/>
  <c r="AK357"/>
  <c r="AK354"/>
  <c r="AK298"/>
  <c r="AK230"/>
  <c r="AK474"/>
  <c r="AK458"/>
  <c r="AK256"/>
  <c r="AK398"/>
  <c r="AK293"/>
  <c r="AK406"/>
  <c r="AK150"/>
  <c r="AK272"/>
  <c r="AK250"/>
  <c r="AK421"/>
  <c r="AK403"/>
  <c r="AK489"/>
  <c r="AK462"/>
  <c r="AK259"/>
  <c r="AK292"/>
  <c r="AK210"/>
  <c r="AK470"/>
  <c r="AK402"/>
  <c r="AK238"/>
  <c r="AK124"/>
  <c r="AK108"/>
  <c r="AK472"/>
  <c r="AK273"/>
  <c r="AK399"/>
  <c r="AK487"/>
  <c r="AK104"/>
  <c r="AK127"/>
  <c r="AK356"/>
  <c r="AK340"/>
  <c r="AK188"/>
  <c r="AK423"/>
  <c r="AK216"/>
  <c r="AK317"/>
  <c r="AK364"/>
  <c r="AK276"/>
  <c r="AK102"/>
  <c r="AK189"/>
  <c r="AK419"/>
  <c r="AK209"/>
  <c r="AK270"/>
  <c r="AK281" s="1"/>
  <c r="AK77" s="1"/>
  <c r="AK400"/>
  <c r="AK459"/>
  <c r="AK213"/>
  <c r="AK149"/>
  <c r="AK195"/>
  <c r="AK300"/>
  <c r="AK338"/>
  <c r="AK380"/>
  <c r="AK426"/>
  <c r="AK212"/>
  <c r="AK490"/>
  <c r="AK396"/>
  <c r="AK407" s="1"/>
  <c r="AK83" s="1"/>
  <c r="AK170"/>
  <c r="AK422"/>
  <c r="AK128"/>
  <c r="AK401"/>
  <c r="AK279"/>
  <c r="AK111"/>
  <c r="AK478"/>
  <c r="AK336"/>
  <c r="AK344" s="1"/>
  <c r="AK80" s="1"/>
  <c r="AK126"/>
  <c r="AK174"/>
  <c r="AK405"/>
  <c r="AK191"/>
  <c r="AK233"/>
  <c r="AK107"/>
  <c r="AK146"/>
  <c r="AK253"/>
  <c r="AK23" s="1"/>
  <c r="AK296"/>
  <c r="AK384"/>
  <c r="AK237"/>
  <c r="AK494"/>
  <c r="AK363"/>
  <c r="AK271"/>
  <c r="AK254"/>
  <c r="AK294"/>
  <c r="AJ39" i="117"/>
  <c r="AI39"/>
  <c r="AK19"/>
  <c r="AK36" s="1"/>
  <c r="AK38" s="1"/>
  <c r="AK39" s="1"/>
  <c r="AK113"/>
  <c r="AK69" s="1"/>
  <c r="AJ19" i="120"/>
  <c r="AJ407"/>
  <c r="AJ83" s="1"/>
  <c r="AM482" i="117"/>
  <c r="AM393"/>
  <c r="AM499"/>
  <c r="AM325"/>
  <c r="AM136"/>
  <c r="AM141"/>
  <c r="AM183"/>
  <c r="AM120"/>
  <c r="AM503"/>
  <c r="AM178"/>
  <c r="AM346"/>
  <c r="AM16"/>
  <c r="AM372"/>
  <c r="AM409"/>
  <c r="AM220"/>
  <c r="AM225"/>
  <c r="AM246"/>
  <c r="AM241"/>
  <c r="AM267"/>
  <c r="AM204"/>
  <c r="AM157"/>
  <c r="AM435"/>
  <c r="AM115"/>
  <c r="AM367"/>
  <c r="AM440"/>
  <c r="AM351"/>
  <c r="AM304"/>
  <c r="AM283"/>
  <c r="AM330"/>
  <c r="AM450"/>
  <c r="AM288"/>
  <c r="AM199"/>
  <c r="AM162"/>
  <c r="AM507"/>
  <c r="AM508" s="1"/>
  <c r="AM509" s="1"/>
  <c r="AM309"/>
  <c r="AM466"/>
  <c r="AM445"/>
  <c r="AM388"/>
  <c r="AM430"/>
  <c r="AM99"/>
  <c r="AM94"/>
  <c r="AN8"/>
  <c r="AM414"/>
  <c r="AM42"/>
  <c r="AM67" s="1"/>
  <c r="AM262"/>
  <c r="AM117"/>
  <c r="AM46" s="1"/>
  <c r="AM285"/>
  <c r="AM54" s="1"/>
  <c r="AM264"/>
  <c r="AM53" s="1"/>
  <c r="AM437"/>
  <c r="AM62" s="1"/>
  <c r="AM432"/>
  <c r="AM61" s="1"/>
  <c r="AM390"/>
  <c r="AM59" s="1"/>
  <c r="AM348"/>
  <c r="AM57" s="1"/>
  <c r="AM159"/>
  <c r="AM48" s="1"/>
  <c r="AM222"/>
  <c r="AM51" s="1"/>
  <c r="AM180"/>
  <c r="AM49" s="1"/>
  <c r="AM243"/>
  <c r="AM52" s="1"/>
  <c r="AM306"/>
  <c r="AM55" s="1"/>
  <c r="AM138"/>
  <c r="AM47" s="1"/>
  <c r="AM327"/>
  <c r="AM56" s="1"/>
  <c r="AM442"/>
  <c r="AM63" s="1"/>
  <c r="AM369"/>
  <c r="AM58" s="1"/>
  <c r="AM411"/>
  <c r="AM60" s="1"/>
  <c r="AM96"/>
  <c r="AM447"/>
  <c r="AM64" s="1"/>
  <c r="AM201"/>
  <c r="AM50" s="1"/>
  <c r="AU65" i="118"/>
  <c r="N45"/>
  <c r="N80"/>
  <c r="AU323"/>
  <c r="AU79" s="1"/>
  <c r="N79" s="1"/>
  <c r="AU464"/>
  <c r="AU85" s="1"/>
  <c r="N85" s="1"/>
  <c r="AU25"/>
  <c r="N25" s="1"/>
  <c r="AI36" i="120"/>
  <c r="AI38" s="1"/>
  <c r="AI88"/>
  <c r="AI90" s="1"/>
  <c r="AJ88" i="117"/>
  <c r="AJ90" s="1"/>
  <c r="AK239"/>
  <c r="AK75" s="1"/>
  <c r="AK23"/>
  <c r="AK496"/>
  <c r="AK87" s="1"/>
  <c r="AK32"/>
  <c r="AK21"/>
  <c r="AJ386" i="120"/>
  <c r="AJ82" s="1"/>
  <c r="AJ23"/>
  <c r="AJ21"/>
  <c r="AJ344"/>
  <c r="AJ80" s="1"/>
  <c r="AJ365"/>
  <c r="AJ81" s="1"/>
  <c r="AJ26"/>
  <c r="AJ323"/>
  <c r="AJ79" s="1"/>
  <c r="AU480" i="118"/>
  <c r="AU86" s="1"/>
  <c r="N86" s="1"/>
  <c r="AU365"/>
  <c r="AU81" s="1"/>
  <c r="N81" s="1"/>
  <c r="AU239"/>
  <c r="AU75" s="1"/>
  <c r="N75" s="1"/>
  <c r="AU22"/>
  <c r="N22" s="1"/>
  <c r="AU21"/>
  <c r="N21" s="1"/>
  <c r="AU26"/>
  <c r="N26" s="1"/>
  <c r="AU24"/>
  <c r="N24" s="1"/>
  <c r="AL45" i="117"/>
  <c r="AL65" s="1"/>
  <c r="AL10"/>
  <c r="AL14" s="1"/>
  <c r="AU14" i="118"/>
  <c r="N10"/>
  <c r="N14" s="1"/>
  <c r="AK464" i="117"/>
  <c r="AK85" s="1"/>
  <c r="AK480"/>
  <c r="AK86" s="1"/>
  <c r="AK26"/>
  <c r="AJ464" i="120"/>
  <c r="AJ85" s="1"/>
  <c r="AK134" i="117"/>
  <c r="AK70" s="1"/>
  <c r="AK197"/>
  <c r="AK73" s="1"/>
  <c r="AK24"/>
  <c r="AK323"/>
  <c r="AK79" s="1"/>
  <c r="AK428"/>
  <c r="AK84" s="1"/>
  <c r="AK25"/>
  <c r="AJ113" i="120"/>
  <c r="AJ69" s="1"/>
  <c r="AJ22"/>
  <c r="AJ218"/>
  <c r="AJ74" s="1"/>
  <c r="AJ260"/>
  <c r="AJ76" s="1"/>
  <c r="AJ302"/>
  <c r="AJ78" s="1"/>
  <c r="AU20" i="118"/>
  <c r="N20" s="1"/>
  <c r="AU218"/>
  <c r="AU74" s="1"/>
  <c r="N74" s="1"/>
  <c r="AU428"/>
  <c r="AU84" s="1"/>
  <c r="N84" s="1"/>
  <c r="AU407"/>
  <c r="AU83" s="1"/>
  <c r="N83" s="1"/>
  <c r="AU134"/>
  <c r="AU70" s="1"/>
  <c r="N70" s="1"/>
  <c r="AU302"/>
  <c r="AU78" s="1"/>
  <c r="N78" s="1"/>
  <c r="AU31"/>
  <c r="N31" s="1"/>
  <c r="AI39" i="120"/>
  <c r="AU19" i="118"/>
  <c r="AU113"/>
  <c r="AU69" s="1"/>
  <c r="AL482" i="120"/>
  <c r="AL450"/>
  <c r="AL435"/>
  <c r="AL246"/>
  <c r="AL393"/>
  <c r="AL267"/>
  <c r="AL367"/>
  <c r="AL288"/>
  <c r="AL199"/>
  <c r="AL94"/>
  <c r="AL499"/>
  <c r="AL346"/>
  <c r="AL503"/>
  <c r="AL304"/>
  <c r="AL220"/>
  <c r="AL330"/>
  <c r="AL507"/>
  <c r="AL508" s="1"/>
  <c r="AL509" s="1"/>
  <c r="AL351"/>
  <c r="AL115"/>
  <c r="AL42"/>
  <c r="AL67" s="1"/>
  <c r="AM8"/>
  <c r="AL409"/>
  <c r="AL414"/>
  <c r="AL430"/>
  <c r="AL388"/>
  <c r="AL372"/>
  <c r="AL178"/>
  <c r="AL99"/>
  <c r="AL157"/>
  <c r="AL262"/>
  <c r="AL466"/>
  <c r="AL141"/>
  <c r="AL120"/>
  <c r="AL204"/>
  <c r="AL445"/>
  <c r="AL440"/>
  <c r="AL325"/>
  <c r="AL162"/>
  <c r="AL225"/>
  <c r="AL241"/>
  <c r="AL309"/>
  <c r="AL183"/>
  <c r="AL16"/>
  <c r="AL283"/>
  <c r="AL136"/>
  <c r="AL390"/>
  <c r="AL59" s="1"/>
  <c r="AL348"/>
  <c r="AL57" s="1"/>
  <c r="AL201"/>
  <c r="AL50" s="1"/>
  <c r="AL96"/>
  <c r="AL442"/>
  <c r="AL63" s="1"/>
  <c r="AL432"/>
  <c r="AL61" s="1"/>
  <c r="AL222"/>
  <c r="AL51" s="1"/>
  <c r="AL117"/>
  <c r="AL46" s="1"/>
  <c r="AL411"/>
  <c r="AL60" s="1"/>
  <c r="AL264"/>
  <c r="AL53" s="1"/>
  <c r="AL447"/>
  <c r="AL64" s="1"/>
  <c r="AL437"/>
  <c r="AL62" s="1"/>
  <c r="AL327"/>
  <c r="AL56" s="1"/>
  <c r="AL159"/>
  <c r="AL48" s="1"/>
  <c r="AL138"/>
  <c r="AL47" s="1"/>
  <c r="AL369"/>
  <c r="AL58" s="1"/>
  <c r="AL243"/>
  <c r="AL52" s="1"/>
  <c r="AL306"/>
  <c r="AL55" s="1"/>
  <c r="AL180"/>
  <c r="AL49" s="1"/>
  <c r="AL285"/>
  <c r="AL54" s="1"/>
  <c r="AL148" i="117"/>
  <c r="AL108"/>
  <c r="AL149"/>
  <c r="AL174"/>
  <c r="AL195"/>
  <c r="AL216"/>
  <c r="AL237"/>
  <c r="AL258"/>
  <c r="AL279"/>
  <c r="AL300"/>
  <c r="AL321"/>
  <c r="AL342"/>
  <c r="AL363"/>
  <c r="AL384"/>
  <c r="AL405"/>
  <c r="AL426"/>
  <c r="AL462"/>
  <c r="AL478"/>
  <c r="AL494"/>
  <c r="AL127"/>
  <c r="AL111"/>
  <c r="AL31" s="1"/>
  <c r="AL129"/>
  <c r="AL170"/>
  <c r="AL191"/>
  <c r="AL212"/>
  <c r="AL233"/>
  <c r="AL254"/>
  <c r="AL275"/>
  <c r="AL296"/>
  <c r="AL317"/>
  <c r="AL338"/>
  <c r="AL359"/>
  <c r="AL380"/>
  <c r="AL401"/>
  <c r="AL422"/>
  <c r="AL458"/>
  <c r="AL474"/>
  <c r="AL490"/>
  <c r="AL106"/>
  <c r="AL107"/>
  <c r="AL132"/>
  <c r="AL150"/>
  <c r="AL190"/>
  <c r="AL211"/>
  <c r="AL232"/>
  <c r="AL253"/>
  <c r="AL274"/>
  <c r="AL295"/>
  <c r="AL316"/>
  <c r="AL337"/>
  <c r="AL358"/>
  <c r="AL379"/>
  <c r="AL400"/>
  <c r="AL421"/>
  <c r="AL457"/>
  <c r="AL473"/>
  <c r="AL489"/>
  <c r="AL169"/>
  <c r="AL128"/>
  <c r="AL153"/>
  <c r="AL171"/>
  <c r="AL192"/>
  <c r="AL213"/>
  <c r="AL234"/>
  <c r="AL255"/>
  <c r="AL276"/>
  <c r="AL297"/>
  <c r="AL318"/>
  <c r="AL339"/>
  <c r="AL360"/>
  <c r="AL381"/>
  <c r="AL402"/>
  <c r="AL423"/>
  <c r="AL459"/>
  <c r="AL475"/>
  <c r="AL491"/>
  <c r="AL492"/>
  <c r="AL294"/>
  <c r="AL398"/>
  <c r="AL418"/>
  <c r="AL487"/>
  <c r="AL424"/>
  <c r="AL340"/>
  <c r="AL256"/>
  <c r="AL312"/>
  <c r="AL228"/>
  <c r="AL144"/>
  <c r="AL463"/>
  <c r="AL251"/>
  <c r="AL126"/>
  <c r="AL313"/>
  <c r="AL454"/>
  <c r="AL208"/>
  <c r="AL273"/>
  <c r="AL104"/>
  <c r="AL271"/>
  <c r="AL109"/>
  <c r="AL26" s="1"/>
  <c r="AL147"/>
  <c r="AL133"/>
  <c r="AL130"/>
  <c r="AL403"/>
  <c r="AL460"/>
  <c r="AL207"/>
  <c r="AL377"/>
  <c r="AL214"/>
  <c r="AL355"/>
  <c r="AL427"/>
  <c r="AL470"/>
  <c r="AL488"/>
  <c r="AL469"/>
  <c r="AL356"/>
  <c r="AL272"/>
  <c r="AL343"/>
  <c r="AL235"/>
  <c r="AL151"/>
  <c r="AL495"/>
  <c r="AL291"/>
  <c r="AL187"/>
  <c r="AL364"/>
  <c r="AL145"/>
  <c r="AL217"/>
  <c r="AL293"/>
  <c r="AL166"/>
  <c r="AL292"/>
  <c r="AL123"/>
  <c r="AL134" s="1"/>
  <c r="AL70" s="1"/>
  <c r="AL420"/>
  <c r="AL146"/>
  <c r="AL188"/>
  <c r="AL471"/>
  <c r="AL172"/>
  <c r="AL280"/>
  <c r="AL189"/>
  <c r="AL298"/>
  <c r="AL397"/>
  <c r="AL378"/>
  <c r="AL455"/>
  <c r="AL375"/>
  <c r="AL386" s="1"/>
  <c r="AL82" s="1"/>
  <c r="AL334"/>
  <c r="AL476"/>
  <c r="AL385"/>
  <c r="AL301"/>
  <c r="AL396"/>
  <c r="AL259"/>
  <c r="AL167"/>
  <c r="AL39"/>
  <c r="AL314"/>
  <c r="AL210"/>
  <c r="AL456"/>
  <c r="AL168"/>
  <c r="AL315"/>
  <c r="AL406"/>
  <c r="AL209"/>
  <c r="AL399"/>
  <c r="AL154"/>
  <c r="AL105"/>
  <c r="AL175"/>
  <c r="AL322"/>
  <c r="AL472"/>
  <c r="AL186"/>
  <c r="AL376"/>
  <c r="AL270"/>
  <c r="AL281" s="1"/>
  <c r="AL77" s="1"/>
  <c r="AL319"/>
  <c r="AL125"/>
  <c r="AL485"/>
  <c r="AL479"/>
  <c r="AL382"/>
  <c r="AL357"/>
  <c r="AL486"/>
  <c r="AL417"/>
  <c r="AL428" s="1"/>
  <c r="AL84" s="1"/>
  <c r="AL333"/>
  <c r="AL249"/>
  <c r="AL277"/>
  <c r="AL196"/>
  <c r="AL112"/>
  <c r="AL361"/>
  <c r="AL250"/>
  <c r="AL103"/>
  <c r="AL20" s="1"/>
  <c r="AL229"/>
  <c r="AL335"/>
  <c r="AL165"/>
  <c r="AL230"/>
  <c r="AL419"/>
  <c r="AL231"/>
  <c r="AL336"/>
  <c r="AL453"/>
  <c r="AL464" s="1"/>
  <c r="AL85" s="1"/>
  <c r="AL124"/>
  <c r="AL252"/>
  <c r="AL102"/>
  <c r="AL354"/>
  <c r="AL365" s="1"/>
  <c r="AL81" s="1"/>
  <c r="AL193"/>
  <c r="AL238"/>
  <c r="AK155"/>
  <c r="AK71" s="1"/>
  <c r="AJ428" i="120"/>
  <c r="AJ84" s="1"/>
  <c r="AJ197"/>
  <c r="AJ73" s="1"/>
  <c r="N87" i="118"/>
  <c r="AU32"/>
  <c r="N32" s="1"/>
  <c r="AU155"/>
  <c r="AU71" s="1"/>
  <c r="N71" s="1"/>
  <c r="AT36"/>
  <c r="AT38" s="1"/>
  <c r="AK365" i="117"/>
  <c r="AK81" s="1"/>
  <c r="AK218"/>
  <c r="AK74" s="1"/>
  <c r="AK281"/>
  <c r="AK77" s="1"/>
  <c r="AK20"/>
  <c r="AK344"/>
  <c r="AK80" s="1"/>
  <c r="AK407"/>
  <c r="AK83" s="1"/>
  <c r="AK386"/>
  <c r="AK82" s="1"/>
  <c r="AK22"/>
  <c r="AJ176" i="120"/>
  <c r="AJ72" s="1"/>
  <c r="AJ31"/>
  <c r="AJ281"/>
  <c r="AJ77" s="1"/>
  <c r="AJ25"/>
  <c r="AJ239"/>
  <c r="AJ75" s="1"/>
  <c r="AJ480"/>
  <c r="AJ86" s="1"/>
  <c r="AJ32"/>
  <c r="AJ134"/>
  <c r="AJ70" s="1"/>
  <c r="AJ155"/>
  <c r="AJ71" s="1"/>
  <c r="AU197" i="118"/>
  <c r="AU73" s="1"/>
  <c r="N73" s="1"/>
  <c r="AU386"/>
  <c r="AU82" s="1"/>
  <c r="N82" s="1"/>
  <c r="AU260"/>
  <c r="AU76" s="1"/>
  <c r="N76" s="1"/>
  <c r="AU176"/>
  <c r="AU72" s="1"/>
  <c r="N72" s="1"/>
  <c r="AU23"/>
  <c r="N23" s="1"/>
  <c r="AT88"/>
  <c r="AT90" s="1"/>
  <c r="H11" i="8"/>
  <c r="H79" i="109"/>
  <c r="H51" i="8"/>
  <c r="H75" i="109"/>
  <c r="H49" i="8"/>
  <c r="H44"/>
  <c r="H50"/>
  <c r="H76" i="109"/>
  <c r="H39" i="8"/>
  <c r="H43"/>
  <c r="H41"/>
  <c r="H74" i="109"/>
  <c r="H36" i="8"/>
  <c r="H47"/>
  <c r="H45"/>
  <c r="H46"/>
  <c r="H48"/>
  <c r="H38"/>
  <c r="H77" i="109"/>
  <c r="H52" i="8"/>
  <c r="H37"/>
  <c r="H40"/>
  <c r="H78" i="109"/>
  <c r="H35" i="8"/>
  <c r="H31" l="1"/>
  <c r="AL19" i="117"/>
  <c r="AL113"/>
  <c r="AL69" s="1"/>
  <c r="AL45" i="120"/>
  <c r="AL65" s="1"/>
  <c r="AL10"/>
  <c r="AL14" s="1"/>
  <c r="AM430"/>
  <c r="AM445"/>
  <c r="AM435"/>
  <c r="AM330"/>
  <c r="AM309"/>
  <c r="AM220"/>
  <c r="AM199"/>
  <c r="AM162"/>
  <c r="AM283"/>
  <c r="AM367"/>
  <c r="AM16"/>
  <c r="AN8"/>
  <c r="AM482"/>
  <c r="AM450"/>
  <c r="AM499"/>
  <c r="AM393"/>
  <c r="AM325"/>
  <c r="AM267"/>
  <c r="AM183"/>
  <c r="AM136"/>
  <c r="AM262"/>
  <c r="AM115"/>
  <c r="AM466"/>
  <c r="AM351"/>
  <c r="AM409"/>
  <c r="AM346"/>
  <c r="AM225"/>
  <c r="AM288"/>
  <c r="AM204"/>
  <c r="AM120"/>
  <c r="AM42"/>
  <c r="AM67" s="1"/>
  <c r="AM141"/>
  <c r="AM246"/>
  <c r="AM503"/>
  <c r="AM440"/>
  <c r="AM507"/>
  <c r="AM508" s="1"/>
  <c r="AM509" s="1"/>
  <c r="AM414"/>
  <c r="AM372"/>
  <c r="AM304"/>
  <c r="AM388"/>
  <c r="AM157"/>
  <c r="AM178"/>
  <c r="AM99"/>
  <c r="AM94"/>
  <c r="AM241"/>
  <c r="AM390"/>
  <c r="AM59" s="1"/>
  <c r="AM447"/>
  <c r="AM64" s="1"/>
  <c r="AM442"/>
  <c r="AM63" s="1"/>
  <c r="AM222"/>
  <c r="AM51" s="1"/>
  <c r="AM411"/>
  <c r="AM60" s="1"/>
  <c r="AM306"/>
  <c r="AM55" s="1"/>
  <c r="AM243"/>
  <c r="AM52" s="1"/>
  <c r="AM96"/>
  <c r="AM201"/>
  <c r="AM50" s="1"/>
  <c r="AM117"/>
  <c r="AM46" s="1"/>
  <c r="AM264"/>
  <c r="AM53" s="1"/>
  <c r="AM348"/>
  <c r="AM57" s="1"/>
  <c r="AM138"/>
  <c r="AM47" s="1"/>
  <c r="AM437"/>
  <c r="AM62" s="1"/>
  <c r="AM159"/>
  <c r="AM48" s="1"/>
  <c r="AM369"/>
  <c r="AM58" s="1"/>
  <c r="AM432"/>
  <c r="AM61" s="1"/>
  <c r="AM327"/>
  <c r="AM56" s="1"/>
  <c r="AM180"/>
  <c r="AM49" s="1"/>
  <c r="AM285"/>
  <c r="AM54" s="1"/>
  <c r="AM148" i="117"/>
  <c r="AM108"/>
  <c r="AM149"/>
  <c r="AM174"/>
  <c r="AM195"/>
  <c r="AM216"/>
  <c r="AM237"/>
  <c r="AM258"/>
  <c r="AM279"/>
  <c r="AM300"/>
  <c r="AM321"/>
  <c r="AM342"/>
  <c r="AM363"/>
  <c r="AM384"/>
  <c r="AM405"/>
  <c r="AM426"/>
  <c r="AM462"/>
  <c r="AM478"/>
  <c r="AM494"/>
  <c r="AM127"/>
  <c r="AM111"/>
  <c r="AM129"/>
  <c r="AM170"/>
  <c r="AM191"/>
  <c r="AM212"/>
  <c r="AM233"/>
  <c r="AM254"/>
  <c r="AM275"/>
  <c r="AM296"/>
  <c r="AM317"/>
  <c r="AM338"/>
  <c r="AM359"/>
  <c r="AM380"/>
  <c r="AM401"/>
  <c r="AM422"/>
  <c r="AM458"/>
  <c r="AM474"/>
  <c r="AM490"/>
  <c r="AM106"/>
  <c r="AM107"/>
  <c r="AM132"/>
  <c r="AM150"/>
  <c r="AM190"/>
  <c r="AM211"/>
  <c r="AM232"/>
  <c r="AM253"/>
  <c r="AM274"/>
  <c r="AM295"/>
  <c r="AM316"/>
  <c r="AM337"/>
  <c r="AM358"/>
  <c r="AM379"/>
  <c r="AM400"/>
  <c r="AM421"/>
  <c r="AM457"/>
  <c r="AM473"/>
  <c r="AM489"/>
  <c r="AM169"/>
  <c r="AM128"/>
  <c r="AM153"/>
  <c r="AM171"/>
  <c r="AM192"/>
  <c r="AM213"/>
  <c r="AM234"/>
  <c r="AM255"/>
  <c r="AM276"/>
  <c r="AM297"/>
  <c r="AM318"/>
  <c r="AM339"/>
  <c r="AM360"/>
  <c r="AM381"/>
  <c r="AM402"/>
  <c r="AM423"/>
  <c r="AM459"/>
  <c r="AM475"/>
  <c r="AM491"/>
  <c r="AM488"/>
  <c r="AM427"/>
  <c r="AM343"/>
  <c r="AM470"/>
  <c r="AM406"/>
  <c r="AM485"/>
  <c r="AM315"/>
  <c r="AM424"/>
  <c r="AM251"/>
  <c r="AM126"/>
  <c r="AM336"/>
  <c r="AM294"/>
  <c r="AM214"/>
  <c r="AM130"/>
  <c r="AM273"/>
  <c r="AM165"/>
  <c r="AM209"/>
  <c r="AM271"/>
  <c r="AM154"/>
  <c r="AM492"/>
  <c r="AM364"/>
  <c r="AM144"/>
  <c r="AM277"/>
  <c r="AM340"/>
  <c r="AM397"/>
  <c r="AM280"/>
  <c r="AM147"/>
  <c r="AM228"/>
  <c r="AM168"/>
  <c r="AM455"/>
  <c r="AM375"/>
  <c r="AM291"/>
  <c r="AM463"/>
  <c r="AM354"/>
  <c r="AM376"/>
  <c r="AM476"/>
  <c r="AM301"/>
  <c r="AM187"/>
  <c r="AM378"/>
  <c r="AM322"/>
  <c r="AM230"/>
  <c r="AM146"/>
  <c r="AM319"/>
  <c r="AM172"/>
  <c r="AM293"/>
  <c r="AM396"/>
  <c r="AM229"/>
  <c r="AM39"/>
  <c r="AM403"/>
  <c r="AM167"/>
  <c r="AM356"/>
  <c r="AM454"/>
  <c r="AM112"/>
  <c r="AM469"/>
  <c r="AM189"/>
  <c r="AM313"/>
  <c r="AM196"/>
  <c r="AM479"/>
  <c r="AM382"/>
  <c r="AM298"/>
  <c r="AM357"/>
  <c r="AM361"/>
  <c r="AM399"/>
  <c r="AM486"/>
  <c r="AM333"/>
  <c r="AM210"/>
  <c r="AM417"/>
  <c r="AM334"/>
  <c r="AM252"/>
  <c r="AM175"/>
  <c r="AM460"/>
  <c r="AM188"/>
  <c r="AM104"/>
  <c r="AM419"/>
  <c r="AM231"/>
  <c r="AM105"/>
  <c r="AM471"/>
  <c r="AM235"/>
  <c r="AM472"/>
  <c r="AM151"/>
  <c r="AM186"/>
  <c r="AM256"/>
  <c r="AM420"/>
  <c r="AM312"/>
  <c r="AM249"/>
  <c r="AM193"/>
  <c r="AM495"/>
  <c r="AM398"/>
  <c r="AM314"/>
  <c r="AM418"/>
  <c r="AM377"/>
  <c r="AM456"/>
  <c r="AM292"/>
  <c r="AM385"/>
  <c r="AM250"/>
  <c r="AM103"/>
  <c r="AM335"/>
  <c r="AM270"/>
  <c r="AM207"/>
  <c r="AM218" s="1"/>
  <c r="AM74" s="1"/>
  <c r="AM123"/>
  <c r="AM217"/>
  <c r="AM133"/>
  <c r="AM166"/>
  <c r="AM259"/>
  <c r="AM109"/>
  <c r="AM487"/>
  <c r="AM355"/>
  <c r="AM124"/>
  <c r="AM272"/>
  <c r="AM208"/>
  <c r="AM453"/>
  <c r="AM464" s="1"/>
  <c r="AM85" s="1"/>
  <c r="AM238"/>
  <c r="AM145"/>
  <c r="AM125"/>
  <c r="AM102"/>
  <c r="AK386" i="120"/>
  <c r="AK82" s="1"/>
  <c r="AL22" i="117"/>
  <c r="AL21"/>
  <c r="AL176"/>
  <c r="AL72" s="1"/>
  <c r="AL496"/>
  <c r="AL87" s="1"/>
  <c r="AL24"/>
  <c r="AJ88" i="120"/>
  <c r="AJ90" s="1"/>
  <c r="AK239"/>
  <c r="AK75" s="1"/>
  <c r="AK21"/>
  <c r="AK480"/>
  <c r="AK86" s="1"/>
  <c r="AK496"/>
  <c r="AK87" s="1"/>
  <c r="AK134"/>
  <c r="AK70" s="1"/>
  <c r="AK428"/>
  <c r="AK84" s="1"/>
  <c r="AU36" i="118"/>
  <c r="N36" s="1"/>
  <c r="N38" s="1"/>
  <c r="N19"/>
  <c r="AN499" i="117"/>
  <c r="AN346"/>
  <c r="AN414"/>
  <c r="AN393"/>
  <c r="AN225"/>
  <c r="AN199"/>
  <c r="AN466"/>
  <c r="AN220"/>
  <c r="AN288"/>
  <c r="AN283"/>
  <c r="AN42"/>
  <c r="AN67" s="1"/>
  <c r="AN430"/>
  <c r="AN445"/>
  <c r="AN440"/>
  <c r="AN304"/>
  <c r="AN262"/>
  <c r="AN157"/>
  <c r="AN183"/>
  <c r="AN507"/>
  <c r="AN508" s="1"/>
  <c r="AN509" s="1"/>
  <c r="AN409"/>
  <c r="AN16"/>
  <c r="AN120"/>
  <c r="AN99"/>
  <c r="AN372"/>
  <c r="AN482"/>
  <c r="AN246"/>
  <c r="AN309"/>
  <c r="AN435"/>
  <c r="AN241"/>
  <c r="AN267"/>
  <c r="AN351"/>
  <c r="AN162"/>
  <c r="AN94"/>
  <c r="AN136"/>
  <c r="AN325"/>
  <c r="AN367"/>
  <c r="AN503"/>
  <c r="AN330"/>
  <c r="AN388"/>
  <c r="AN141"/>
  <c r="AN115"/>
  <c r="AN450"/>
  <c r="AO8"/>
  <c r="AN204"/>
  <c r="AN178"/>
  <c r="AN201"/>
  <c r="AN50" s="1"/>
  <c r="AN447"/>
  <c r="AN64" s="1"/>
  <c r="AN437"/>
  <c r="AN62" s="1"/>
  <c r="AN159"/>
  <c r="AN48" s="1"/>
  <c r="AN369"/>
  <c r="AN58" s="1"/>
  <c r="AN390"/>
  <c r="AN59" s="1"/>
  <c r="AN348"/>
  <c r="AN57" s="1"/>
  <c r="AN264"/>
  <c r="AN53" s="1"/>
  <c r="AN432"/>
  <c r="AN61" s="1"/>
  <c r="AN243"/>
  <c r="AN52" s="1"/>
  <c r="AN285"/>
  <c r="AN54" s="1"/>
  <c r="AN327"/>
  <c r="AN56" s="1"/>
  <c r="AN222"/>
  <c r="AN51" s="1"/>
  <c r="AN306"/>
  <c r="AN55" s="1"/>
  <c r="AN117"/>
  <c r="AN46" s="1"/>
  <c r="AN411"/>
  <c r="AN60" s="1"/>
  <c r="AN96"/>
  <c r="AN180"/>
  <c r="AN49" s="1"/>
  <c r="AN138"/>
  <c r="AN47" s="1"/>
  <c r="AN442"/>
  <c r="AN63" s="1"/>
  <c r="AL302"/>
  <c r="AL78" s="1"/>
  <c r="AL32"/>
  <c r="AL344"/>
  <c r="AL80" s="1"/>
  <c r="AL407"/>
  <c r="AL83" s="1"/>
  <c r="AL480"/>
  <c r="AL86" s="1"/>
  <c r="AL239"/>
  <c r="AL75" s="1"/>
  <c r="AL25"/>
  <c r="AK88"/>
  <c r="AK90" s="1"/>
  <c r="AK365" i="120"/>
  <c r="AK81" s="1"/>
  <c r="AK176"/>
  <c r="AK72" s="1"/>
  <c r="AK25"/>
  <c r="AK260"/>
  <c r="AK76" s="1"/>
  <c r="AK323"/>
  <c r="AK79" s="1"/>
  <c r="AK302"/>
  <c r="AK78" s="1"/>
  <c r="AK197"/>
  <c r="AK73" s="1"/>
  <c r="AK19"/>
  <c r="AK113"/>
  <c r="AK69" s="1"/>
  <c r="AL106"/>
  <c r="AL107"/>
  <c r="AL132"/>
  <c r="AL150"/>
  <c r="AL190"/>
  <c r="AL211"/>
  <c r="AL232"/>
  <c r="AL253"/>
  <c r="AL274"/>
  <c r="AL295"/>
  <c r="AL316"/>
  <c r="AL337"/>
  <c r="AL358"/>
  <c r="AL379"/>
  <c r="AL400"/>
  <c r="AL421"/>
  <c r="AL457"/>
  <c r="AL473"/>
  <c r="AL169"/>
  <c r="AL128"/>
  <c r="AL153"/>
  <c r="AL171"/>
  <c r="AL192"/>
  <c r="AL213"/>
  <c r="AL234"/>
  <c r="AL255"/>
  <c r="AL276"/>
  <c r="AL297"/>
  <c r="AL318"/>
  <c r="AL339"/>
  <c r="AL360"/>
  <c r="AL381"/>
  <c r="AL402"/>
  <c r="AL423"/>
  <c r="AL459"/>
  <c r="AL475"/>
  <c r="AL491"/>
  <c r="AL108"/>
  <c r="AL174"/>
  <c r="AL216"/>
  <c r="AL258"/>
  <c r="AL300"/>
  <c r="AL342"/>
  <c r="AL384"/>
  <c r="AL426"/>
  <c r="AL478"/>
  <c r="AL111"/>
  <c r="AL170"/>
  <c r="AL212"/>
  <c r="AL254"/>
  <c r="AL296"/>
  <c r="AL338"/>
  <c r="AL380"/>
  <c r="AL422"/>
  <c r="AL474"/>
  <c r="AL494"/>
  <c r="AL148"/>
  <c r="AL149"/>
  <c r="AL195"/>
  <c r="AL237"/>
  <c r="AL279"/>
  <c r="AL321"/>
  <c r="AL363"/>
  <c r="AL405"/>
  <c r="AL462"/>
  <c r="AL490"/>
  <c r="AL127"/>
  <c r="AL129"/>
  <c r="AL191"/>
  <c r="AL233"/>
  <c r="AL275"/>
  <c r="AL317"/>
  <c r="AL359"/>
  <c r="AL401"/>
  <c r="AL458"/>
  <c r="AL489"/>
  <c r="AL463"/>
  <c r="AL476"/>
  <c r="AL460"/>
  <c r="AL470"/>
  <c r="AL336"/>
  <c r="AL488"/>
  <c r="AL292"/>
  <c r="AL294"/>
  <c r="AL356"/>
  <c r="AL235"/>
  <c r="AL486"/>
  <c r="AL357"/>
  <c r="AL427"/>
  <c r="AL280"/>
  <c r="AL207"/>
  <c r="AL312"/>
  <c r="AL168"/>
  <c r="AL133"/>
  <c r="AL187"/>
  <c r="AL298"/>
  <c r="AL112"/>
  <c r="AL186"/>
  <c r="AL172"/>
  <c r="AL335"/>
  <c r="AL175"/>
  <c r="AL126"/>
  <c r="AL249"/>
  <c r="AL354"/>
  <c r="AL365" s="1"/>
  <c r="AL81" s="1"/>
  <c r="AL145"/>
  <c r="AL485"/>
  <c r="AL487"/>
  <c r="AL471"/>
  <c r="AL403"/>
  <c r="AL397"/>
  <c r="AL385"/>
  <c r="AL315"/>
  <c r="AL355"/>
  <c r="AL396"/>
  <c r="AL251"/>
  <c r="AL167"/>
  <c r="AL361"/>
  <c r="AL270"/>
  <c r="AL281" s="1"/>
  <c r="AL77" s="1"/>
  <c r="AL319"/>
  <c r="AL214"/>
  <c r="AL333"/>
  <c r="AL229"/>
  <c r="AL250"/>
  <c r="AL231"/>
  <c r="AL124"/>
  <c r="AL144"/>
  <c r="AL208"/>
  <c r="AL193"/>
  <c r="AL39"/>
  <c r="AL188"/>
  <c r="AL146"/>
  <c r="AL256"/>
  <c r="AL154"/>
  <c r="AL165"/>
  <c r="AL492"/>
  <c r="AL472"/>
  <c r="AL495"/>
  <c r="AL419"/>
  <c r="AL398"/>
  <c r="AL479"/>
  <c r="AL376"/>
  <c r="AL378"/>
  <c r="AL456"/>
  <c r="AL301"/>
  <c r="AL196"/>
  <c r="AL382"/>
  <c r="AL293"/>
  <c r="AL375"/>
  <c r="AL230"/>
  <c r="AL364"/>
  <c r="AL252"/>
  <c r="AL334"/>
  <c r="AL273"/>
  <c r="AL147"/>
  <c r="AL151"/>
  <c r="AL209"/>
  <c r="AL377"/>
  <c r="AL109"/>
  <c r="AL277"/>
  <c r="AL189"/>
  <c r="AL399"/>
  <c r="AL102"/>
  <c r="AL103"/>
  <c r="AL406"/>
  <c r="AL469"/>
  <c r="AL453"/>
  <c r="AL418"/>
  <c r="AL313"/>
  <c r="AL420"/>
  <c r="AL424"/>
  <c r="AL271"/>
  <c r="AL314"/>
  <c r="AL228"/>
  <c r="AL454"/>
  <c r="AL340"/>
  <c r="AL417"/>
  <c r="AL259"/>
  <c r="AL455"/>
  <c r="AL272"/>
  <c r="AL343"/>
  <c r="AL104"/>
  <c r="AL166"/>
  <c r="AL217"/>
  <c r="AL210"/>
  <c r="AL105"/>
  <c r="AL291"/>
  <c r="AL322"/>
  <c r="AL123"/>
  <c r="AL134" s="1"/>
  <c r="AL70" s="1"/>
  <c r="AL130"/>
  <c r="AL125"/>
  <c r="AL238"/>
  <c r="AU88" i="118"/>
  <c r="AU90" s="1"/>
  <c r="N90" s="1"/>
  <c r="N69"/>
  <c r="N65"/>
  <c r="AM45" i="117"/>
  <c r="AM65" s="1"/>
  <c r="AM10"/>
  <c r="AM14" s="1"/>
  <c r="AL323"/>
  <c r="AL79" s="1"/>
  <c r="AK22" i="120"/>
  <c r="AL260" i="117"/>
  <c r="AL76" s="1"/>
  <c r="AL197"/>
  <c r="AL73" s="1"/>
  <c r="AL218"/>
  <c r="AL74" s="1"/>
  <c r="AL155"/>
  <c r="AL71" s="1"/>
  <c r="AL23"/>
  <c r="AJ36" i="120"/>
  <c r="AJ38" s="1"/>
  <c r="AK20"/>
  <c r="AK24"/>
  <c r="AK31"/>
  <c r="AK218"/>
  <c r="AK74" s="1"/>
  <c r="AK464"/>
  <c r="AK85" s="1"/>
  <c r="AK32"/>
  <c r="AK155"/>
  <c r="AK71" s="1"/>
  <c r="H34" i="8"/>
  <c r="H73" i="109"/>
  <c r="H80" l="1"/>
  <c r="H81" s="1"/>
  <c r="H53" i="8"/>
  <c r="H55" s="1"/>
  <c r="AO346" i="117"/>
  <c r="AO388"/>
  <c r="AO115"/>
  <c r="AO120"/>
  <c r="AO162"/>
  <c r="AO220"/>
  <c r="AO409"/>
  <c r="AO440"/>
  <c r="AO246"/>
  <c r="AO183"/>
  <c r="AO499"/>
  <c r="AO430"/>
  <c r="AO450"/>
  <c r="AO199"/>
  <c r="AO204"/>
  <c r="AO267"/>
  <c r="AO445"/>
  <c r="AO99"/>
  <c r="AO325"/>
  <c r="AO283"/>
  <c r="AO225"/>
  <c r="AO136"/>
  <c r="AO507"/>
  <c r="AO508" s="1"/>
  <c r="AO509" s="1"/>
  <c r="AO288"/>
  <c r="AO351"/>
  <c r="AO262"/>
  <c r="AO466"/>
  <c r="AO330"/>
  <c r="AO157"/>
  <c r="AO414"/>
  <c r="AO393"/>
  <c r="AO309"/>
  <c r="AO178"/>
  <c r="AO503"/>
  <c r="AO372"/>
  <c r="AO435"/>
  <c r="AO304"/>
  <c r="AO482"/>
  <c r="AO367"/>
  <c r="AO42"/>
  <c r="AO67" s="1"/>
  <c r="AP8"/>
  <c r="AO16"/>
  <c r="AO94"/>
  <c r="AO241"/>
  <c r="AO141"/>
  <c r="AO264"/>
  <c r="AO53" s="1"/>
  <c r="AO432"/>
  <c r="AO61" s="1"/>
  <c r="AO285"/>
  <c r="AO54" s="1"/>
  <c r="AO442"/>
  <c r="AO63" s="1"/>
  <c r="AO243"/>
  <c r="AO52" s="1"/>
  <c r="AO159"/>
  <c r="AO48" s="1"/>
  <c r="AO437"/>
  <c r="AO62" s="1"/>
  <c r="AO348"/>
  <c r="AO57" s="1"/>
  <c r="AO447"/>
  <c r="AO64" s="1"/>
  <c r="AO411"/>
  <c r="AO60" s="1"/>
  <c r="AO180"/>
  <c r="AO49" s="1"/>
  <c r="AO222"/>
  <c r="AO51" s="1"/>
  <c r="AO390"/>
  <c r="AO59" s="1"/>
  <c r="AO306"/>
  <c r="AO55" s="1"/>
  <c r="AO96"/>
  <c r="AO138"/>
  <c r="AO47" s="1"/>
  <c r="AO117"/>
  <c r="AO46" s="1"/>
  <c r="AO369"/>
  <c r="AO58" s="1"/>
  <c r="AO327"/>
  <c r="AO56" s="1"/>
  <c r="AO201"/>
  <c r="AO50" s="1"/>
  <c r="AN148"/>
  <c r="AN108"/>
  <c r="AN149"/>
  <c r="AN174"/>
  <c r="AN195"/>
  <c r="AN216"/>
  <c r="AN237"/>
  <c r="AN258"/>
  <c r="AN279"/>
  <c r="AN300"/>
  <c r="AN321"/>
  <c r="AN342"/>
  <c r="AN363"/>
  <c r="AN384"/>
  <c r="AN405"/>
  <c r="AN426"/>
  <c r="AN462"/>
  <c r="AN478"/>
  <c r="AN494"/>
  <c r="AN127"/>
  <c r="AN111"/>
  <c r="AN129"/>
  <c r="AN170"/>
  <c r="AN191"/>
  <c r="AN212"/>
  <c r="AN233"/>
  <c r="AN254"/>
  <c r="AN275"/>
  <c r="AN296"/>
  <c r="AN317"/>
  <c r="AN338"/>
  <c r="AN359"/>
  <c r="AN380"/>
  <c r="AN401"/>
  <c r="AN422"/>
  <c r="AN458"/>
  <c r="AN474"/>
  <c r="AN490"/>
  <c r="AN106"/>
  <c r="AN107"/>
  <c r="AN24" s="1"/>
  <c r="AN132"/>
  <c r="AN150"/>
  <c r="AN190"/>
  <c r="AN211"/>
  <c r="AN232"/>
  <c r="AN253"/>
  <c r="AN274"/>
  <c r="AN295"/>
  <c r="AN316"/>
  <c r="AN337"/>
  <c r="AN358"/>
  <c r="AN379"/>
  <c r="AN400"/>
  <c r="AN421"/>
  <c r="AN457"/>
  <c r="AN473"/>
  <c r="AN489"/>
  <c r="AN169"/>
  <c r="AN128"/>
  <c r="AN153"/>
  <c r="AN171"/>
  <c r="AN192"/>
  <c r="AN213"/>
  <c r="AN234"/>
  <c r="AN255"/>
  <c r="AN276"/>
  <c r="AN297"/>
  <c r="AN318"/>
  <c r="AN339"/>
  <c r="AN360"/>
  <c r="AN381"/>
  <c r="AN402"/>
  <c r="AN423"/>
  <c r="AN459"/>
  <c r="AN475"/>
  <c r="AN491"/>
  <c r="AN492"/>
  <c r="AN418"/>
  <c r="AN406"/>
  <c r="AN495"/>
  <c r="AN397"/>
  <c r="AN453"/>
  <c r="AN364"/>
  <c r="AN280"/>
  <c r="AN398"/>
  <c r="AN294"/>
  <c r="AN230"/>
  <c r="AN146"/>
  <c r="AN375"/>
  <c r="AN166"/>
  <c r="AN399"/>
  <c r="AN208"/>
  <c r="AN259"/>
  <c r="AN104"/>
  <c r="AN235"/>
  <c r="AN343"/>
  <c r="AN133"/>
  <c r="AN385"/>
  <c r="AN238"/>
  <c r="AN102"/>
  <c r="AN103"/>
  <c r="AN293"/>
  <c r="AN187"/>
  <c r="AN424"/>
  <c r="AN209"/>
  <c r="AN470"/>
  <c r="AN463"/>
  <c r="AN354"/>
  <c r="AN420"/>
  <c r="AN460"/>
  <c r="AN396"/>
  <c r="AN312"/>
  <c r="AN417"/>
  <c r="AN314"/>
  <c r="AN252"/>
  <c r="AN175"/>
  <c r="AN469"/>
  <c r="AN189"/>
  <c r="AN427"/>
  <c r="AN231"/>
  <c r="AN273"/>
  <c r="AN109"/>
  <c r="AN333"/>
  <c r="AN144"/>
  <c r="AN186"/>
  <c r="AN456"/>
  <c r="AN256"/>
  <c r="AN112"/>
  <c r="AN217"/>
  <c r="AN250"/>
  <c r="AN376"/>
  <c r="AN382"/>
  <c r="AN272"/>
  <c r="AN486"/>
  <c r="AN334"/>
  <c r="AN361"/>
  <c r="AN454"/>
  <c r="AN471"/>
  <c r="AN403"/>
  <c r="AN319"/>
  <c r="AN488"/>
  <c r="AN322"/>
  <c r="AN270"/>
  <c r="AN207"/>
  <c r="AN218" s="1"/>
  <c r="AN74" s="1"/>
  <c r="AN123"/>
  <c r="AN271"/>
  <c r="AN485"/>
  <c r="AN292"/>
  <c r="AN124"/>
  <c r="AN154"/>
  <c r="AN355"/>
  <c r="AN167"/>
  <c r="AN196"/>
  <c r="AN476"/>
  <c r="AN298"/>
  <c r="AN188"/>
  <c r="AN340"/>
  <c r="AN172"/>
  <c r="AN228"/>
  <c r="AN151"/>
  <c r="AN313"/>
  <c r="AN126"/>
  <c r="AN487"/>
  <c r="AN357"/>
  <c r="AN377"/>
  <c r="AN472"/>
  <c r="AN336"/>
  <c r="AN419"/>
  <c r="AN335"/>
  <c r="AN251"/>
  <c r="AN378"/>
  <c r="AN291"/>
  <c r="AN214"/>
  <c r="AN130"/>
  <c r="AN356"/>
  <c r="AN105"/>
  <c r="AN22" s="1"/>
  <c r="AN315"/>
  <c r="AN147"/>
  <c r="AN229"/>
  <c r="AN39"/>
  <c r="AN210"/>
  <c r="AN249"/>
  <c r="AN260" s="1"/>
  <c r="AN76" s="1"/>
  <c r="AN125"/>
  <c r="AN301"/>
  <c r="AN193"/>
  <c r="AN455"/>
  <c r="AN479"/>
  <c r="AN277"/>
  <c r="AN168"/>
  <c r="AN165"/>
  <c r="AN145"/>
  <c r="AN45"/>
  <c r="AN65" s="1"/>
  <c r="AN10"/>
  <c r="AN14" s="1"/>
  <c r="AM169" i="120"/>
  <c r="AM170"/>
  <c r="AM191"/>
  <c r="AM212"/>
  <c r="AM233"/>
  <c r="AM254"/>
  <c r="AM275"/>
  <c r="AM296"/>
  <c r="AM317"/>
  <c r="AM338"/>
  <c r="AM359"/>
  <c r="AM380"/>
  <c r="AM401"/>
  <c r="AM422"/>
  <c r="AM458"/>
  <c r="AM474"/>
  <c r="AM490"/>
  <c r="AM106"/>
  <c r="AM111"/>
  <c r="AM129"/>
  <c r="AM174"/>
  <c r="AM192"/>
  <c r="AM232"/>
  <c r="AM258"/>
  <c r="AM276"/>
  <c r="AM316"/>
  <c r="AM342"/>
  <c r="AM360"/>
  <c r="AM400"/>
  <c r="AM426"/>
  <c r="AM459"/>
  <c r="AM489"/>
  <c r="AM107"/>
  <c r="AM132"/>
  <c r="AM150"/>
  <c r="AM195"/>
  <c r="AM213"/>
  <c r="AM253"/>
  <c r="AM279"/>
  <c r="AM297"/>
  <c r="AM337"/>
  <c r="AM363"/>
  <c r="AM381"/>
  <c r="AM421"/>
  <c r="AM462"/>
  <c r="AM475"/>
  <c r="AM148"/>
  <c r="AM155" s="1"/>
  <c r="AM71" s="1"/>
  <c r="AM128"/>
  <c r="AM153"/>
  <c r="AM190"/>
  <c r="AM216"/>
  <c r="AM234"/>
  <c r="AM274"/>
  <c r="AM300"/>
  <c r="AM318"/>
  <c r="AM358"/>
  <c r="AM384"/>
  <c r="AM402"/>
  <c r="AM457"/>
  <c r="AM478"/>
  <c r="AM491"/>
  <c r="AM127"/>
  <c r="AM108"/>
  <c r="AM149"/>
  <c r="AM171"/>
  <c r="AM211"/>
  <c r="AM237"/>
  <c r="AM255"/>
  <c r="AM295"/>
  <c r="AM321"/>
  <c r="AM339"/>
  <c r="AM379"/>
  <c r="AM405"/>
  <c r="AM423"/>
  <c r="AM473"/>
  <c r="AM494"/>
  <c r="AM487"/>
  <c r="AM486"/>
  <c r="AM340"/>
  <c r="AM488"/>
  <c r="AM396"/>
  <c r="AM312"/>
  <c r="AM399"/>
  <c r="AM314"/>
  <c r="AM361"/>
  <c r="AM270"/>
  <c r="AM315"/>
  <c r="AM214"/>
  <c r="AM377"/>
  <c r="AM398"/>
  <c r="AM256"/>
  <c r="AM172"/>
  <c r="AM166"/>
  <c r="AM228"/>
  <c r="AM355"/>
  <c r="AM103"/>
  <c r="AM154"/>
  <c r="AM455"/>
  <c r="AM209"/>
  <c r="AM252"/>
  <c r="AM251"/>
  <c r="AM123"/>
  <c r="AM322"/>
  <c r="AM186"/>
  <c r="AM420"/>
  <c r="AM456"/>
  <c r="AM356"/>
  <c r="AM272"/>
  <c r="AM417"/>
  <c r="AM319"/>
  <c r="AM453"/>
  <c r="AM343"/>
  <c r="AM403"/>
  <c r="AM293"/>
  <c r="AM427"/>
  <c r="AM230"/>
  <c r="AM418"/>
  <c r="AM406"/>
  <c r="AM273"/>
  <c r="AM188"/>
  <c r="AM231"/>
  <c r="AM397"/>
  <c r="AM112"/>
  <c r="AM126"/>
  <c r="AM238"/>
  <c r="AM102"/>
  <c r="AM470"/>
  <c r="AM39"/>
  <c r="AM130"/>
  <c r="AM229"/>
  <c r="AM463"/>
  <c r="AM313"/>
  <c r="AM145"/>
  <c r="AM454"/>
  <c r="AM469"/>
  <c r="AM385"/>
  <c r="AM301"/>
  <c r="AM485"/>
  <c r="AM335"/>
  <c r="AM471"/>
  <c r="AM375"/>
  <c r="AM291"/>
  <c r="AM336"/>
  <c r="AM187"/>
  <c r="AM259"/>
  <c r="AM460"/>
  <c r="AM424"/>
  <c r="AM277"/>
  <c r="AM217"/>
  <c r="AM495"/>
  <c r="AM124"/>
  <c r="AM144"/>
  <c r="AM175"/>
  <c r="AM292"/>
  <c r="AM109"/>
  <c r="AM193"/>
  <c r="AM104"/>
  <c r="AM146"/>
  <c r="AM167"/>
  <c r="AM105"/>
  <c r="AM168"/>
  <c r="AM133"/>
  <c r="AM472"/>
  <c r="AM476"/>
  <c r="AM479"/>
  <c r="AM333"/>
  <c r="AM376"/>
  <c r="AM364"/>
  <c r="AM280"/>
  <c r="AM382"/>
  <c r="AM298"/>
  <c r="AM357"/>
  <c r="AM210"/>
  <c r="AM294"/>
  <c r="AM492"/>
  <c r="AM250"/>
  <c r="AM334"/>
  <c r="AM249"/>
  <c r="AM165"/>
  <c r="AM176" s="1"/>
  <c r="AM72" s="1"/>
  <c r="AM147"/>
  <c r="AM151"/>
  <c r="AM235"/>
  <c r="AM378"/>
  <c r="AM125"/>
  <c r="AM271"/>
  <c r="AM207"/>
  <c r="AM196"/>
  <c r="AM208"/>
  <c r="AM354"/>
  <c r="AM189"/>
  <c r="AM419"/>
  <c r="AK39"/>
  <c r="AL20"/>
  <c r="AL260"/>
  <c r="AL76" s="1"/>
  <c r="AL218"/>
  <c r="AL74" s="1"/>
  <c r="AL31"/>
  <c r="AK36"/>
  <c r="AK38" s="1"/>
  <c r="AM281" i="117"/>
  <c r="AM77" s="1"/>
  <c r="AM480"/>
  <c r="AM86" s="1"/>
  <c r="AM407"/>
  <c r="AM83" s="1"/>
  <c r="AM365"/>
  <c r="AM81" s="1"/>
  <c r="AM155"/>
  <c r="AM71" s="1"/>
  <c r="AM496"/>
  <c r="AM87" s="1"/>
  <c r="AM25"/>
  <c r="AM19"/>
  <c r="AM113"/>
  <c r="AM69" s="1"/>
  <c r="AN466" i="120"/>
  <c r="AN499"/>
  <c r="AN482"/>
  <c r="AN283"/>
  <c r="AN267"/>
  <c r="AN204"/>
  <c r="AN351"/>
  <c r="AN288"/>
  <c r="AN157"/>
  <c r="AN16"/>
  <c r="AN120"/>
  <c r="AN162"/>
  <c r="AN503"/>
  <c r="AN325"/>
  <c r="AN367"/>
  <c r="AN393"/>
  <c r="AN309"/>
  <c r="AN241"/>
  <c r="AN414"/>
  <c r="AN94"/>
  <c r="AN178"/>
  <c r="AN346"/>
  <c r="AN435"/>
  <c r="AN430"/>
  <c r="AN304"/>
  <c r="AN440"/>
  <c r="AN330"/>
  <c r="AN262"/>
  <c r="AN141"/>
  <c r="AN183"/>
  <c r="AN42"/>
  <c r="AN67" s="1"/>
  <c r="AN199"/>
  <c r="AN372"/>
  <c r="AN507"/>
  <c r="AN508" s="1"/>
  <c r="AN509" s="1"/>
  <c r="AN450"/>
  <c r="AN388"/>
  <c r="AN225"/>
  <c r="AN445"/>
  <c r="AN409"/>
  <c r="AN136"/>
  <c r="AN246"/>
  <c r="AN99"/>
  <c r="AN220"/>
  <c r="AN115"/>
  <c r="AO8"/>
  <c r="AN96"/>
  <c r="AN201"/>
  <c r="AN50" s="1"/>
  <c r="AN117"/>
  <c r="AN46" s="1"/>
  <c r="AN222"/>
  <c r="AN51" s="1"/>
  <c r="AN437"/>
  <c r="AN62" s="1"/>
  <c r="AN432"/>
  <c r="AN61" s="1"/>
  <c r="AN411"/>
  <c r="AN60" s="1"/>
  <c r="AN442"/>
  <c r="AN63" s="1"/>
  <c r="AN390"/>
  <c r="AN59" s="1"/>
  <c r="AN369"/>
  <c r="AN58" s="1"/>
  <c r="AN447"/>
  <c r="AN64" s="1"/>
  <c r="AN348"/>
  <c r="AN57" s="1"/>
  <c r="AN159"/>
  <c r="AN48" s="1"/>
  <c r="AN327"/>
  <c r="AN56" s="1"/>
  <c r="AN138"/>
  <c r="AN47" s="1"/>
  <c r="AN243"/>
  <c r="AN52" s="1"/>
  <c r="AN264"/>
  <c r="AN53" s="1"/>
  <c r="AN180"/>
  <c r="AN49" s="1"/>
  <c r="AN285"/>
  <c r="AN54" s="1"/>
  <c r="AN306"/>
  <c r="AN55" s="1"/>
  <c r="N88" i="118"/>
  <c r="AM45" i="120"/>
  <c r="AM65" s="1"/>
  <c r="AM10"/>
  <c r="AM14" s="1"/>
  <c r="AL323"/>
  <c r="AL79" s="1"/>
  <c r="AL386"/>
  <c r="AL82" s="1"/>
  <c r="AK88"/>
  <c r="AK90" s="1"/>
  <c r="AU38" i="118"/>
  <c r="AM23" i="117"/>
  <c r="AL22" i="120"/>
  <c r="AL21"/>
  <c r="AL239"/>
  <c r="AL75" s="1"/>
  <c r="AL344"/>
  <c r="AL80" s="1"/>
  <c r="AL32"/>
  <c r="AL428"/>
  <c r="AL84" s="1"/>
  <c r="AL23"/>
  <c r="AJ39"/>
  <c r="AM134" i="117"/>
  <c r="AM70" s="1"/>
  <c r="AM20"/>
  <c r="AM323"/>
  <c r="AM79" s="1"/>
  <c r="AM22"/>
  <c r="AM302"/>
  <c r="AM78" s="1"/>
  <c r="AM239"/>
  <c r="AM75" s="1"/>
  <c r="AM176"/>
  <c r="AM72" s="1"/>
  <c r="AM24"/>
  <c r="AL36"/>
  <c r="AL38" s="1"/>
  <c r="AL19" i="120"/>
  <c r="AL36" s="1"/>
  <c r="AL38" s="1"/>
  <c r="AL113"/>
  <c r="AL69" s="1"/>
  <c r="AM428" i="117"/>
  <c r="AM84" s="1"/>
  <c r="AM386"/>
  <c r="AM82" s="1"/>
  <c r="AL302" i="120"/>
  <c r="AL78" s="1"/>
  <c r="AL464"/>
  <c r="AL85" s="1"/>
  <c r="AL26"/>
  <c r="AL176"/>
  <c r="AL72" s="1"/>
  <c r="AL155"/>
  <c r="AL71" s="1"/>
  <c r="AL407"/>
  <c r="AL83" s="1"/>
  <c r="AL496"/>
  <c r="AL87" s="1"/>
  <c r="AL197"/>
  <c r="AL73" s="1"/>
  <c r="AL480"/>
  <c r="AL86" s="1"/>
  <c r="AL25"/>
  <c r="AL24"/>
  <c r="AM26" i="117"/>
  <c r="AM260"/>
  <c r="AM76" s="1"/>
  <c r="AM197"/>
  <c r="AM73" s="1"/>
  <c r="AM21"/>
  <c r="AM344"/>
  <c r="AM80" s="1"/>
  <c r="AM32"/>
  <c r="AM31"/>
  <c r="AL88"/>
  <c r="AL90" s="1"/>
  <c r="AO148" l="1"/>
  <c r="AO108"/>
  <c r="AO149"/>
  <c r="AO174"/>
  <c r="AO195"/>
  <c r="AO216"/>
  <c r="AO237"/>
  <c r="AO258"/>
  <c r="AO279"/>
  <c r="AO300"/>
  <c r="AO321"/>
  <c r="AO342"/>
  <c r="AO363"/>
  <c r="AO384"/>
  <c r="AO405"/>
  <c r="AO426"/>
  <c r="AO462"/>
  <c r="AO478"/>
  <c r="AO494"/>
  <c r="AO127"/>
  <c r="AO111"/>
  <c r="AO129"/>
  <c r="AO170"/>
  <c r="AO191"/>
  <c r="AO212"/>
  <c r="AO233"/>
  <c r="AO254"/>
  <c r="AO275"/>
  <c r="AO296"/>
  <c r="AO317"/>
  <c r="AO338"/>
  <c r="AO359"/>
  <c r="AO380"/>
  <c r="AO401"/>
  <c r="AO422"/>
  <c r="AO458"/>
  <c r="AO474"/>
  <c r="AO490"/>
  <c r="AO106"/>
  <c r="AO107"/>
  <c r="AO24" s="1"/>
  <c r="AO132"/>
  <c r="AO150"/>
  <c r="AO190"/>
  <c r="AO211"/>
  <c r="AO232"/>
  <c r="AO253"/>
  <c r="AO274"/>
  <c r="AO295"/>
  <c r="AO316"/>
  <c r="AO337"/>
  <c r="AO358"/>
  <c r="AO379"/>
  <c r="AO400"/>
  <c r="AO421"/>
  <c r="AO457"/>
  <c r="AO473"/>
  <c r="AO489"/>
  <c r="AO169"/>
  <c r="AO128"/>
  <c r="AO153"/>
  <c r="AO171"/>
  <c r="AO192"/>
  <c r="AO213"/>
  <c r="AO234"/>
  <c r="AO255"/>
  <c r="AO276"/>
  <c r="AO297"/>
  <c r="AO318"/>
  <c r="AO339"/>
  <c r="AO360"/>
  <c r="AO381"/>
  <c r="AO402"/>
  <c r="AO423"/>
  <c r="AO459"/>
  <c r="AO475"/>
  <c r="AO491"/>
  <c r="AO361"/>
  <c r="AO495"/>
  <c r="AO397"/>
  <c r="AO417"/>
  <c r="AO333"/>
  <c r="AO294"/>
  <c r="AO335"/>
  <c r="AO105"/>
  <c r="AO298"/>
  <c r="AO209"/>
  <c r="AO125"/>
  <c r="AO453"/>
  <c r="AO464" s="1"/>
  <c r="AO85" s="1"/>
  <c r="AO277"/>
  <c r="AO228"/>
  <c r="AO144"/>
  <c r="AO488"/>
  <c r="AO231"/>
  <c r="AO399"/>
  <c r="AO292"/>
  <c r="AO486"/>
  <c r="AO214"/>
  <c r="AO460"/>
  <c r="AO250"/>
  <c r="AO208"/>
  <c r="AO312"/>
  <c r="AO291"/>
  <c r="AO301"/>
  <c r="AO272"/>
  <c r="AO165"/>
  <c r="AO377"/>
  <c r="AO293"/>
  <c r="AO420"/>
  <c r="AO424"/>
  <c r="AO340"/>
  <c r="AO355"/>
  <c r="AO336"/>
  <c r="AO166"/>
  <c r="AO382"/>
  <c r="AO238"/>
  <c r="AO154"/>
  <c r="AO470"/>
  <c r="AO376"/>
  <c r="AO235"/>
  <c r="AO151"/>
  <c r="AO39"/>
  <c r="AO251"/>
  <c r="AO487"/>
  <c r="AO314"/>
  <c r="AO123"/>
  <c r="AO252"/>
  <c r="AO145"/>
  <c r="AO270"/>
  <c r="AO479"/>
  <c r="AO315"/>
  <c r="AO398"/>
  <c r="AO146"/>
  <c r="AO456"/>
  <c r="AO217"/>
  <c r="AO406"/>
  <c r="AO322"/>
  <c r="AO454"/>
  <c r="AO469"/>
  <c r="AO356"/>
  <c r="AO378"/>
  <c r="AO375"/>
  <c r="AO189"/>
  <c r="AO419"/>
  <c r="AO256"/>
  <c r="AO186"/>
  <c r="AO102"/>
  <c r="AO403"/>
  <c r="AO249"/>
  <c r="AO167"/>
  <c r="AO357"/>
  <c r="AO210"/>
  <c r="AO343"/>
  <c r="AO124"/>
  <c r="AO313"/>
  <c r="AO168"/>
  <c r="AO319"/>
  <c r="AO130"/>
  <c r="AO104"/>
  <c r="AO229"/>
  <c r="AO147"/>
  <c r="AO187"/>
  <c r="AO103"/>
  <c r="AO463"/>
  <c r="AO354"/>
  <c r="AO365" s="1"/>
  <c r="AO81" s="1"/>
  <c r="AO472"/>
  <c r="AO476"/>
  <c r="AO385"/>
  <c r="AO492"/>
  <c r="AO271"/>
  <c r="AO334"/>
  <c r="AO471"/>
  <c r="AO280"/>
  <c r="AO193"/>
  <c r="AO109"/>
  <c r="AO418"/>
  <c r="AO259"/>
  <c r="AO196"/>
  <c r="AO112"/>
  <c r="AO396"/>
  <c r="AO230"/>
  <c r="AO364"/>
  <c r="AO133"/>
  <c r="AO455"/>
  <c r="AO175"/>
  <c r="AO427"/>
  <c r="AO172"/>
  <c r="AO188"/>
  <c r="AO273"/>
  <c r="AO485"/>
  <c r="AO207"/>
  <c r="AO126"/>
  <c r="AL88" i="120"/>
  <c r="AM88" i="117"/>
  <c r="AM22" i="120"/>
  <c r="AM197"/>
  <c r="AM73" s="1"/>
  <c r="AM20"/>
  <c r="AN134" i="117"/>
  <c r="AN70" s="1"/>
  <c r="AN197"/>
  <c r="AN73" s="1"/>
  <c r="AN480"/>
  <c r="AN86" s="1"/>
  <c r="AN428"/>
  <c r="AN84" s="1"/>
  <c r="AN20"/>
  <c r="AN386"/>
  <c r="AN82" s="1"/>
  <c r="AN31"/>
  <c r="AO409" i="120"/>
  <c r="AO507"/>
  <c r="AO508" s="1"/>
  <c r="AO509" s="1"/>
  <c r="AO388"/>
  <c r="AO372"/>
  <c r="AO199"/>
  <c r="AO283"/>
  <c r="AO499"/>
  <c r="AO220"/>
  <c r="AO325"/>
  <c r="AP8"/>
  <c r="AO346"/>
  <c r="AO440"/>
  <c r="AO330"/>
  <c r="AO482"/>
  <c r="AO309"/>
  <c r="AO267"/>
  <c r="AO351"/>
  <c r="AO136"/>
  <c r="AO225"/>
  <c r="AO183"/>
  <c r="AO162"/>
  <c r="AO42"/>
  <c r="AO67" s="1"/>
  <c r="AO16"/>
  <c r="AO466"/>
  <c r="AO435"/>
  <c r="AO393"/>
  <c r="AO304"/>
  <c r="AO430"/>
  <c r="AO246"/>
  <c r="AO141"/>
  <c r="AO99"/>
  <c r="AO241"/>
  <c r="AO157"/>
  <c r="AO120"/>
  <c r="AO503"/>
  <c r="AO450"/>
  <c r="AO414"/>
  <c r="AO288"/>
  <c r="AO445"/>
  <c r="AO367"/>
  <c r="AO204"/>
  <c r="AO115"/>
  <c r="AO94"/>
  <c r="AO178"/>
  <c r="AO262"/>
  <c r="AO138"/>
  <c r="AO47" s="1"/>
  <c r="AO96"/>
  <c r="AO437"/>
  <c r="AO62" s="1"/>
  <c r="AO390"/>
  <c r="AO59" s="1"/>
  <c r="AO442"/>
  <c r="AO63" s="1"/>
  <c r="AO222"/>
  <c r="AO51" s="1"/>
  <c r="AO264"/>
  <c r="AO53" s="1"/>
  <c r="AO201"/>
  <c r="AO50" s="1"/>
  <c r="AO411"/>
  <c r="AO60" s="1"/>
  <c r="AO117"/>
  <c r="AO46" s="1"/>
  <c r="AO285"/>
  <c r="AO54" s="1"/>
  <c r="AO432"/>
  <c r="AO61" s="1"/>
  <c r="AO306"/>
  <c r="AO55" s="1"/>
  <c r="AO159"/>
  <c r="AO48" s="1"/>
  <c r="AO369"/>
  <c r="AO58" s="1"/>
  <c r="AO243"/>
  <c r="AO52" s="1"/>
  <c r="AO348"/>
  <c r="AO57" s="1"/>
  <c r="AO327"/>
  <c r="AO56" s="1"/>
  <c r="AO447"/>
  <c r="AO64" s="1"/>
  <c r="AO180"/>
  <c r="AO49" s="1"/>
  <c r="H60" i="8"/>
  <c r="H57"/>
  <c r="H144" i="109"/>
  <c r="AM90" i="117"/>
  <c r="AM365" i="120"/>
  <c r="AM81" s="1"/>
  <c r="AM21"/>
  <c r="AM386"/>
  <c r="AM82" s="1"/>
  <c r="AM428"/>
  <c r="AM84" s="1"/>
  <c r="AM407"/>
  <c r="AM83" s="1"/>
  <c r="AM24"/>
  <c r="AN176" i="117"/>
  <c r="AN72" s="1"/>
  <c r="AN26"/>
  <c r="AN21"/>
  <c r="AN464"/>
  <c r="AN85" s="1"/>
  <c r="AN25"/>
  <c r="AN45" i="120"/>
  <c r="AN65" s="1"/>
  <c r="AN10"/>
  <c r="AN14" s="1"/>
  <c r="AN127"/>
  <c r="AN111"/>
  <c r="AN129"/>
  <c r="AN170"/>
  <c r="AN191"/>
  <c r="AN212"/>
  <c r="AN233"/>
  <c r="AN254"/>
  <c r="AN275"/>
  <c r="AN296"/>
  <c r="AN317"/>
  <c r="AN338"/>
  <c r="AN359"/>
  <c r="AN380"/>
  <c r="AN401"/>
  <c r="AN422"/>
  <c r="AN458"/>
  <c r="AN474"/>
  <c r="AN490"/>
  <c r="AN148"/>
  <c r="AN128"/>
  <c r="AN150"/>
  <c r="AN195"/>
  <c r="AN213"/>
  <c r="AN253"/>
  <c r="AN279"/>
  <c r="AN297"/>
  <c r="AN337"/>
  <c r="AN363"/>
  <c r="AN381"/>
  <c r="AN421"/>
  <c r="AN462"/>
  <c r="AN475"/>
  <c r="AN106"/>
  <c r="AN108"/>
  <c r="AN153"/>
  <c r="AN190"/>
  <c r="AN216"/>
  <c r="AN234"/>
  <c r="AN274"/>
  <c r="AN300"/>
  <c r="AN318"/>
  <c r="AN358"/>
  <c r="AN384"/>
  <c r="AN402"/>
  <c r="AN457"/>
  <c r="AN478"/>
  <c r="AN491"/>
  <c r="AN107"/>
  <c r="AN24" s="1"/>
  <c r="AN149"/>
  <c r="AN171"/>
  <c r="AN211"/>
  <c r="AN237"/>
  <c r="AN255"/>
  <c r="AN295"/>
  <c r="AN321"/>
  <c r="AN339"/>
  <c r="AN379"/>
  <c r="AN405"/>
  <c r="AN423"/>
  <c r="AN473"/>
  <c r="AN494"/>
  <c r="AN169"/>
  <c r="AN132"/>
  <c r="AN174"/>
  <c r="AN192"/>
  <c r="AN232"/>
  <c r="AN258"/>
  <c r="AN276"/>
  <c r="AN316"/>
  <c r="AN342"/>
  <c r="AN360"/>
  <c r="AN400"/>
  <c r="AN426"/>
  <c r="AN459"/>
  <c r="AN489"/>
  <c r="AN476"/>
  <c r="AN495"/>
  <c r="AN479"/>
  <c r="AN488"/>
  <c r="AN485"/>
  <c r="AN496" s="1"/>
  <c r="AN87" s="1"/>
  <c r="AN492"/>
  <c r="AN355"/>
  <c r="AN357"/>
  <c r="AN382"/>
  <c r="AN214"/>
  <c r="AN377"/>
  <c r="AN250"/>
  <c r="AN399"/>
  <c r="AN343"/>
  <c r="AN231"/>
  <c r="AN151"/>
  <c r="AN312"/>
  <c r="AN103"/>
  <c r="AN193"/>
  <c r="AN130"/>
  <c r="AN313"/>
  <c r="AN188"/>
  <c r="AN172"/>
  <c r="AN252"/>
  <c r="AN249"/>
  <c r="AN260" s="1"/>
  <c r="AN76" s="1"/>
  <c r="AN456"/>
  <c r="AN168"/>
  <c r="AN147"/>
  <c r="AN403"/>
  <c r="AN487"/>
  <c r="AN417"/>
  <c r="AN453"/>
  <c r="AN398"/>
  <c r="AN292"/>
  <c r="AN396"/>
  <c r="AN378"/>
  <c r="AN419"/>
  <c r="AN486"/>
  <c r="AN230"/>
  <c r="AN418"/>
  <c r="AN280"/>
  <c r="AN209"/>
  <c r="AN354"/>
  <c r="AN271"/>
  <c r="AN187"/>
  <c r="AN314"/>
  <c r="AN126"/>
  <c r="AN270"/>
  <c r="AN146"/>
  <c r="AN356"/>
  <c r="AN196"/>
  <c r="AN361"/>
  <c r="AN301"/>
  <c r="AN293"/>
  <c r="AN210"/>
  <c r="AN186"/>
  <c r="AN133"/>
  <c r="AN102"/>
  <c r="AN424"/>
  <c r="AN460"/>
  <c r="AN427"/>
  <c r="AN315"/>
  <c r="AN420"/>
  <c r="AN406"/>
  <c r="AN454"/>
  <c r="AN273"/>
  <c r="AN259"/>
  <c r="AN175"/>
  <c r="AN319"/>
  <c r="AN238"/>
  <c r="AN385"/>
  <c r="AN322"/>
  <c r="AN228"/>
  <c r="AN239" s="1"/>
  <c r="AN75" s="1"/>
  <c r="AN112"/>
  <c r="AN217"/>
  <c r="AN277"/>
  <c r="AN165"/>
  <c r="AN470"/>
  <c r="AN251"/>
  <c r="AN145"/>
  <c r="AN39"/>
  <c r="AN109"/>
  <c r="AN229"/>
  <c r="AN364"/>
  <c r="AN154"/>
  <c r="AN105"/>
  <c r="AN469"/>
  <c r="AN471"/>
  <c r="AN455"/>
  <c r="AN376"/>
  <c r="AN472"/>
  <c r="AN463"/>
  <c r="AN294"/>
  <c r="AN334"/>
  <c r="AN340"/>
  <c r="AN207"/>
  <c r="AN375"/>
  <c r="AN386" s="1"/>
  <c r="AN82" s="1"/>
  <c r="AN298"/>
  <c r="AN397"/>
  <c r="AN335"/>
  <c r="AN208"/>
  <c r="AN144"/>
  <c r="AN235"/>
  <c r="AN291"/>
  <c r="AN189"/>
  <c r="AN123"/>
  <c r="AN272"/>
  <c r="AN167"/>
  <c r="AN104"/>
  <c r="AN21" s="1"/>
  <c r="AN124"/>
  <c r="AN256"/>
  <c r="AN333"/>
  <c r="AN344" s="1"/>
  <c r="AN80" s="1"/>
  <c r="AN166"/>
  <c r="AN336"/>
  <c r="AN125"/>
  <c r="AM113"/>
  <c r="AM69" s="1"/>
  <c r="AM19"/>
  <c r="AO45" i="117"/>
  <c r="AO65" s="1"/>
  <c r="AO10"/>
  <c r="AO14" s="1"/>
  <c r="AL90" i="120"/>
  <c r="AM218"/>
  <c r="AM74" s="1"/>
  <c r="AM260"/>
  <c r="AM76" s="1"/>
  <c r="AM344"/>
  <c r="AM80" s="1"/>
  <c r="AM302"/>
  <c r="AM78" s="1"/>
  <c r="AM496"/>
  <c r="AM87" s="1"/>
  <c r="AM134"/>
  <c r="AM70" s="1"/>
  <c r="AM239"/>
  <c r="AM75" s="1"/>
  <c r="AM281"/>
  <c r="AM77" s="1"/>
  <c r="AM323"/>
  <c r="AM79" s="1"/>
  <c r="AM23"/>
  <c r="AN239" i="117"/>
  <c r="AN75" s="1"/>
  <c r="AN496"/>
  <c r="AN87" s="1"/>
  <c r="AN281"/>
  <c r="AN77" s="1"/>
  <c r="AN344"/>
  <c r="AN80" s="1"/>
  <c r="AN407"/>
  <c r="AN83" s="1"/>
  <c r="AN23"/>
  <c r="AN19"/>
  <c r="AN113"/>
  <c r="AN69" s="1"/>
  <c r="AP346"/>
  <c r="AP440"/>
  <c r="AP482"/>
  <c r="AP325"/>
  <c r="AP499"/>
  <c r="AP503"/>
  <c r="AP283"/>
  <c r="AP367"/>
  <c r="AP304"/>
  <c r="AQ8"/>
  <c r="AP225"/>
  <c r="AP267"/>
  <c r="AP430"/>
  <c r="AP466"/>
  <c r="AP309"/>
  <c r="AP414"/>
  <c r="AP94"/>
  <c r="AP136"/>
  <c r="AP99"/>
  <c r="AP115"/>
  <c r="AP16"/>
  <c r="AP330"/>
  <c r="AP351"/>
  <c r="AP393"/>
  <c r="AP120"/>
  <c r="AP178"/>
  <c r="AP220"/>
  <c r="AP157"/>
  <c r="AP42"/>
  <c r="AP67" s="1"/>
  <c r="AP246"/>
  <c r="AP241"/>
  <c r="AP372"/>
  <c r="AP141"/>
  <c r="AP435"/>
  <c r="AP409"/>
  <c r="AP204"/>
  <c r="AP288"/>
  <c r="AP450"/>
  <c r="AP388"/>
  <c r="AP199"/>
  <c r="AP262"/>
  <c r="AP445"/>
  <c r="AP162"/>
  <c r="AP507"/>
  <c r="AP508" s="1"/>
  <c r="AP509" s="1"/>
  <c r="AP183"/>
  <c r="AP264"/>
  <c r="AP53" s="1"/>
  <c r="AP159"/>
  <c r="AP48" s="1"/>
  <c r="AP201"/>
  <c r="AP50" s="1"/>
  <c r="AP390"/>
  <c r="AP59" s="1"/>
  <c r="AP369"/>
  <c r="AP58" s="1"/>
  <c r="AP437"/>
  <c r="AP62" s="1"/>
  <c r="AP348"/>
  <c r="AP57" s="1"/>
  <c r="AP447"/>
  <c r="AP64" s="1"/>
  <c r="AP222"/>
  <c r="AP51" s="1"/>
  <c r="AP243"/>
  <c r="AP52" s="1"/>
  <c r="AP432"/>
  <c r="AP61" s="1"/>
  <c r="AP96"/>
  <c r="AP180"/>
  <c r="AP49" s="1"/>
  <c r="AP138"/>
  <c r="AP47" s="1"/>
  <c r="AP117"/>
  <c r="AP46" s="1"/>
  <c r="AP411"/>
  <c r="AP60" s="1"/>
  <c r="AP285"/>
  <c r="AP54" s="1"/>
  <c r="AP442"/>
  <c r="AP63" s="1"/>
  <c r="AP306"/>
  <c r="AP55" s="1"/>
  <c r="AP327"/>
  <c r="AP56" s="1"/>
  <c r="AM36"/>
  <c r="AM38" s="1"/>
  <c r="AM26" i="120"/>
  <c r="AM480"/>
  <c r="AM86" s="1"/>
  <c r="AM32"/>
  <c r="AM464"/>
  <c r="AM85" s="1"/>
  <c r="AM25"/>
  <c r="AM31"/>
  <c r="AN302" i="117"/>
  <c r="AN78" s="1"/>
  <c r="AN32"/>
  <c r="AN155"/>
  <c r="AN71" s="1"/>
  <c r="AN323"/>
  <c r="AN79" s="1"/>
  <c r="AN365"/>
  <c r="AN81" s="1"/>
  <c r="AN19" i="120" l="1"/>
  <c r="AN113"/>
  <c r="AN69" s="1"/>
  <c r="AN36" i="117"/>
  <c r="AN38" s="1"/>
  <c r="AN88"/>
  <c r="AN134" i="120"/>
  <c r="AN70" s="1"/>
  <c r="AN22"/>
  <c r="AN26"/>
  <c r="AN32"/>
  <c r="AN20"/>
  <c r="AN23"/>
  <c r="AN31"/>
  <c r="AO496" i="117"/>
  <c r="AO87" s="1"/>
  <c r="AO197"/>
  <c r="AO73" s="1"/>
  <c r="AO386"/>
  <c r="AO82" s="1"/>
  <c r="AO134"/>
  <c r="AO70" s="1"/>
  <c r="AO176"/>
  <c r="AO72" s="1"/>
  <c r="AO323"/>
  <c r="AO79" s="1"/>
  <c r="AO344"/>
  <c r="AO80" s="1"/>
  <c r="AP45"/>
  <c r="AP65" s="1"/>
  <c r="AP10"/>
  <c r="AP14" s="1"/>
  <c r="AO19"/>
  <c r="AO113"/>
  <c r="AO69" s="1"/>
  <c r="AM36" i="120"/>
  <c r="AM38" s="1"/>
  <c r="AN176"/>
  <c r="AN72" s="1"/>
  <c r="AN155"/>
  <c r="AN71" s="1"/>
  <c r="AN90" i="117"/>
  <c r="AN480" i="120"/>
  <c r="AN86" s="1"/>
  <c r="AN365"/>
  <c r="AN81" s="1"/>
  <c r="AN407"/>
  <c r="AN83" s="1"/>
  <c r="AN428"/>
  <c r="AN84" s="1"/>
  <c r="AN25"/>
  <c r="AO218" i="117"/>
  <c r="AO74" s="1"/>
  <c r="AO32"/>
  <c r="AO26"/>
  <c r="AO20"/>
  <c r="AO21"/>
  <c r="AO480"/>
  <c r="AO86" s="1"/>
  <c r="AO302"/>
  <c r="AO78" s="1"/>
  <c r="AO239"/>
  <c r="AO75" s="1"/>
  <c r="AO25"/>
  <c r="AP148"/>
  <c r="AP108"/>
  <c r="AP149"/>
  <c r="AP174"/>
  <c r="AP195"/>
  <c r="AP216"/>
  <c r="AP237"/>
  <c r="AP258"/>
  <c r="AP279"/>
  <c r="AP300"/>
  <c r="AP321"/>
  <c r="AP342"/>
  <c r="AP363"/>
  <c r="AP384"/>
  <c r="AP405"/>
  <c r="AP426"/>
  <c r="AP462"/>
  <c r="AP478"/>
  <c r="AP494"/>
  <c r="AP127"/>
  <c r="AP111"/>
  <c r="AP129"/>
  <c r="AP170"/>
  <c r="AP191"/>
  <c r="AP212"/>
  <c r="AP233"/>
  <c r="AP254"/>
  <c r="AP275"/>
  <c r="AP296"/>
  <c r="AP317"/>
  <c r="AP338"/>
  <c r="AP359"/>
  <c r="AP380"/>
  <c r="AP401"/>
  <c r="AP422"/>
  <c r="AP458"/>
  <c r="AP474"/>
  <c r="AP490"/>
  <c r="AP106"/>
  <c r="AP107"/>
  <c r="AP132"/>
  <c r="AP150"/>
  <c r="AP190"/>
  <c r="AP211"/>
  <c r="AP232"/>
  <c r="AP253"/>
  <c r="AP274"/>
  <c r="AP295"/>
  <c r="AP316"/>
  <c r="AP337"/>
  <c r="AP358"/>
  <c r="AP379"/>
  <c r="AP400"/>
  <c r="AP421"/>
  <c r="AP457"/>
  <c r="AP473"/>
  <c r="AP489"/>
  <c r="AP169"/>
  <c r="AP128"/>
  <c r="AP153"/>
  <c r="AP171"/>
  <c r="AP192"/>
  <c r="AP213"/>
  <c r="AP234"/>
  <c r="AP255"/>
  <c r="AP276"/>
  <c r="AP297"/>
  <c r="AP318"/>
  <c r="AP339"/>
  <c r="AP360"/>
  <c r="AP381"/>
  <c r="AP402"/>
  <c r="AP423"/>
  <c r="AP459"/>
  <c r="AP475"/>
  <c r="AP491"/>
  <c r="AP472"/>
  <c r="AP336"/>
  <c r="AP424"/>
  <c r="AP486"/>
  <c r="AP376"/>
  <c r="AP398"/>
  <c r="AP314"/>
  <c r="AP471"/>
  <c r="AP280"/>
  <c r="AP209"/>
  <c r="AP125"/>
  <c r="AP406"/>
  <c r="AP229"/>
  <c r="AP357"/>
  <c r="AP250"/>
  <c r="AP103"/>
  <c r="AP334"/>
  <c r="AP167"/>
  <c r="AP123"/>
  <c r="AP252"/>
  <c r="AP175"/>
  <c r="AP377"/>
  <c r="AP207"/>
  <c r="AP166"/>
  <c r="AP294"/>
  <c r="AP418"/>
  <c r="AP273"/>
  <c r="AP460"/>
  <c r="AP488"/>
  <c r="AP397"/>
  <c r="AP469"/>
  <c r="AP356"/>
  <c r="AP399"/>
  <c r="AP427"/>
  <c r="AP343"/>
  <c r="AP259"/>
  <c r="AP361"/>
  <c r="AP238"/>
  <c r="AP154"/>
  <c r="AP492"/>
  <c r="AP272"/>
  <c r="AP396"/>
  <c r="AP407" s="1"/>
  <c r="AP83" s="1"/>
  <c r="AP301"/>
  <c r="AP126"/>
  <c r="AP355"/>
  <c r="AP235"/>
  <c r="AP124"/>
  <c r="AP378"/>
  <c r="AP196"/>
  <c r="AP453"/>
  <c r="AP208"/>
  <c r="AP172"/>
  <c r="AP39"/>
  <c r="AP104"/>
  <c r="AP315"/>
  <c r="AP188"/>
  <c r="AP151"/>
  <c r="AP495"/>
  <c r="AP420"/>
  <c r="AP476"/>
  <c r="AP385"/>
  <c r="AP456"/>
  <c r="AP455"/>
  <c r="AP375"/>
  <c r="AP291"/>
  <c r="AP419"/>
  <c r="AP256"/>
  <c r="AP186"/>
  <c r="AP102"/>
  <c r="AP293"/>
  <c r="AP145"/>
  <c r="AP312"/>
  <c r="AP187"/>
  <c r="AP364"/>
  <c r="AP292"/>
  <c r="AP133"/>
  <c r="AP403"/>
  <c r="AP214"/>
  <c r="AP146"/>
  <c r="AP217"/>
  <c r="AP165"/>
  <c r="AP112"/>
  <c r="AP32" s="1"/>
  <c r="AP231"/>
  <c r="AP322"/>
  <c r="AP319"/>
  <c r="AP251"/>
  <c r="AP487"/>
  <c r="AP454"/>
  <c r="AP313"/>
  <c r="AP417"/>
  <c r="AP428" s="1"/>
  <c r="AP84" s="1"/>
  <c r="AP485"/>
  <c r="AP479"/>
  <c r="AP382"/>
  <c r="AP298"/>
  <c r="AP463"/>
  <c r="AP271"/>
  <c r="AP193"/>
  <c r="AP109"/>
  <c r="AP26" s="1"/>
  <c r="AP340"/>
  <c r="AP168"/>
  <c r="AP354"/>
  <c r="AP210"/>
  <c r="AP470"/>
  <c r="AP333"/>
  <c r="AP144"/>
  <c r="AP105"/>
  <c r="AP22" s="1"/>
  <c r="AP249"/>
  <c r="AP147"/>
  <c r="AP228"/>
  <c r="AP189"/>
  <c r="AP130"/>
  <c r="AP277"/>
  <c r="AP335"/>
  <c r="AP270"/>
  <c r="AP281" s="1"/>
  <c r="AP77" s="1"/>
  <c r="AP230"/>
  <c r="AQ499"/>
  <c r="AQ440"/>
  <c r="AQ414"/>
  <c r="AQ288"/>
  <c r="AQ99"/>
  <c r="AQ388"/>
  <c r="AQ136"/>
  <c r="AQ16"/>
  <c r="AQ120"/>
  <c r="AQ267"/>
  <c r="AQ503"/>
  <c r="AQ466"/>
  <c r="AQ445"/>
  <c r="AQ325"/>
  <c r="AQ183"/>
  <c r="AQ430"/>
  <c r="AQ42"/>
  <c r="AQ67" s="1"/>
  <c r="AQ346"/>
  <c r="AQ204"/>
  <c r="AQ162"/>
  <c r="AQ220"/>
  <c r="AQ351"/>
  <c r="AQ482"/>
  <c r="AQ507"/>
  <c r="AQ508" s="1"/>
  <c r="AQ509" s="1"/>
  <c r="AQ283"/>
  <c r="AQ94"/>
  <c r="AQ141"/>
  <c r="AQ199"/>
  <c r="AQ372"/>
  <c r="AQ450"/>
  <c r="AQ246"/>
  <c r="AQ304"/>
  <c r="AQ309"/>
  <c r="AQ435"/>
  <c r="AQ409"/>
  <c r="AQ330"/>
  <c r="AQ367"/>
  <c r="AQ178"/>
  <c r="AQ225"/>
  <c r="AQ157"/>
  <c r="AQ393"/>
  <c r="AQ241"/>
  <c r="AR8"/>
  <c r="AQ262"/>
  <c r="AQ115"/>
  <c r="AQ159"/>
  <c r="AQ48" s="1"/>
  <c r="AQ390"/>
  <c r="AQ59" s="1"/>
  <c r="AQ285"/>
  <c r="AQ54" s="1"/>
  <c r="AQ348"/>
  <c r="AQ57" s="1"/>
  <c r="AQ264"/>
  <c r="AQ53" s="1"/>
  <c r="AQ432"/>
  <c r="AQ61" s="1"/>
  <c r="AQ437"/>
  <c r="AQ62" s="1"/>
  <c r="AQ117"/>
  <c r="AQ46" s="1"/>
  <c r="AQ369"/>
  <c r="AQ58" s="1"/>
  <c r="AQ442"/>
  <c r="AQ63" s="1"/>
  <c r="AQ243"/>
  <c r="AQ52" s="1"/>
  <c r="AQ327"/>
  <c r="AQ56" s="1"/>
  <c r="AQ447"/>
  <c r="AQ64" s="1"/>
  <c r="AQ411"/>
  <c r="AQ60" s="1"/>
  <c r="AQ96"/>
  <c r="AQ180"/>
  <c r="AQ49" s="1"/>
  <c r="AQ222"/>
  <c r="AQ51" s="1"/>
  <c r="AQ306"/>
  <c r="AQ55" s="1"/>
  <c r="AQ138"/>
  <c r="AQ47" s="1"/>
  <c r="AQ201"/>
  <c r="AQ50" s="1"/>
  <c r="AP414" i="120"/>
  <c r="AP499"/>
  <c r="AP503"/>
  <c r="AP367"/>
  <c r="AP450"/>
  <c r="AP435"/>
  <c r="AP220"/>
  <c r="AP325"/>
  <c r="AP199"/>
  <c r="AP267"/>
  <c r="AP372"/>
  <c r="AP136"/>
  <c r="AP445"/>
  <c r="AP304"/>
  <c r="AP409"/>
  <c r="AP262"/>
  <c r="AP204"/>
  <c r="AP309"/>
  <c r="AP115"/>
  <c r="AP241"/>
  <c r="AP288"/>
  <c r="AP246"/>
  <c r="AP388"/>
  <c r="AP466"/>
  <c r="AP346"/>
  <c r="AP430"/>
  <c r="AP330"/>
  <c r="AP225"/>
  <c r="AP120"/>
  <c r="AP157"/>
  <c r="AQ8"/>
  <c r="AP42"/>
  <c r="AP67" s="1"/>
  <c r="AP16"/>
  <c r="AP507"/>
  <c r="AP508" s="1"/>
  <c r="AP509" s="1"/>
  <c r="AP482"/>
  <c r="AP393"/>
  <c r="AP283"/>
  <c r="AP440"/>
  <c r="AP351"/>
  <c r="AP141"/>
  <c r="AP178"/>
  <c r="AP162"/>
  <c r="AP94"/>
  <c r="AP183"/>
  <c r="AP99"/>
  <c r="AP411"/>
  <c r="AP60" s="1"/>
  <c r="AP201"/>
  <c r="AP50" s="1"/>
  <c r="AP138"/>
  <c r="AP47" s="1"/>
  <c r="AP96"/>
  <c r="AP222"/>
  <c r="AP51" s="1"/>
  <c r="AP390"/>
  <c r="AP59" s="1"/>
  <c r="AP348"/>
  <c r="AP57" s="1"/>
  <c r="AP442"/>
  <c r="AP63" s="1"/>
  <c r="AP432"/>
  <c r="AP61" s="1"/>
  <c r="AP117"/>
  <c r="AP46" s="1"/>
  <c r="AP437"/>
  <c r="AP62" s="1"/>
  <c r="AP327"/>
  <c r="AP56" s="1"/>
  <c r="AP159"/>
  <c r="AP48" s="1"/>
  <c r="AP243"/>
  <c r="AP52" s="1"/>
  <c r="AP369"/>
  <c r="AP58" s="1"/>
  <c r="AP264"/>
  <c r="AP53" s="1"/>
  <c r="AP306"/>
  <c r="AP55" s="1"/>
  <c r="AP447"/>
  <c r="AP64" s="1"/>
  <c r="AP285"/>
  <c r="AP54" s="1"/>
  <c r="AP180"/>
  <c r="AP49" s="1"/>
  <c r="AM88"/>
  <c r="AM90" s="1"/>
  <c r="AN302"/>
  <c r="AN78" s="1"/>
  <c r="AN218"/>
  <c r="AN74" s="1"/>
  <c r="AN197"/>
  <c r="AN73" s="1"/>
  <c r="AN281"/>
  <c r="AN77" s="1"/>
  <c r="AN464"/>
  <c r="AN85" s="1"/>
  <c r="AO407" i="117"/>
  <c r="AO83" s="1"/>
  <c r="AO155"/>
  <c r="AO71" s="1"/>
  <c r="AO23"/>
  <c r="AO45" i="120"/>
  <c r="AO65" s="1"/>
  <c r="AO10"/>
  <c r="AO14" s="1"/>
  <c r="AO127"/>
  <c r="AO111"/>
  <c r="AO129"/>
  <c r="AO170"/>
  <c r="AO191"/>
  <c r="AO106"/>
  <c r="AO108"/>
  <c r="AO153"/>
  <c r="AO190"/>
  <c r="AO212"/>
  <c r="AO233"/>
  <c r="AO254"/>
  <c r="AO275"/>
  <c r="AO296"/>
  <c r="AO317"/>
  <c r="AO338"/>
  <c r="AO359"/>
  <c r="AO380"/>
  <c r="AO401"/>
  <c r="AO422"/>
  <c r="AO458"/>
  <c r="AO474"/>
  <c r="AO490"/>
  <c r="AO107"/>
  <c r="AO149"/>
  <c r="AO171"/>
  <c r="AO211"/>
  <c r="AO232"/>
  <c r="AO253"/>
  <c r="AO274"/>
  <c r="AO295"/>
  <c r="AO316"/>
  <c r="AO337"/>
  <c r="AO358"/>
  <c r="AO379"/>
  <c r="AO400"/>
  <c r="AO421"/>
  <c r="AO457"/>
  <c r="AO473"/>
  <c r="AO489"/>
  <c r="AO169"/>
  <c r="AO132"/>
  <c r="AO174"/>
  <c r="AO192"/>
  <c r="AO213"/>
  <c r="AO234"/>
  <c r="AO255"/>
  <c r="AO276"/>
  <c r="AO297"/>
  <c r="AO318"/>
  <c r="AO339"/>
  <c r="AO360"/>
  <c r="AO381"/>
  <c r="AO402"/>
  <c r="AO423"/>
  <c r="AO459"/>
  <c r="AO475"/>
  <c r="AO491"/>
  <c r="AO148"/>
  <c r="AO128"/>
  <c r="AO150"/>
  <c r="AO195"/>
  <c r="AO216"/>
  <c r="AO237"/>
  <c r="AO258"/>
  <c r="AO279"/>
  <c r="AO300"/>
  <c r="AO321"/>
  <c r="AO342"/>
  <c r="AO363"/>
  <c r="AO384"/>
  <c r="AO405"/>
  <c r="AO426"/>
  <c r="AO462"/>
  <c r="AO478"/>
  <c r="AO494"/>
  <c r="AO456"/>
  <c r="AO486"/>
  <c r="AO485"/>
  <c r="AO364"/>
  <c r="AO280"/>
  <c r="AO417"/>
  <c r="AO382"/>
  <c r="AO298"/>
  <c r="AO403"/>
  <c r="AO322"/>
  <c r="AO454"/>
  <c r="AO250"/>
  <c r="AO238"/>
  <c r="AO453"/>
  <c r="AO228"/>
  <c r="AO273"/>
  <c r="AO487"/>
  <c r="AO165"/>
  <c r="AO385"/>
  <c r="AO259"/>
  <c r="AO105"/>
  <c r="AO104"/>
  <c r="AO124"/>
  <c r="AO479"/>
  <c r="AO145"/>
  <c r="AO188"/>
  <c r="AO112"/>
  <c r="AO39"/>
  <c r="AO272"/>
  <c r="AO471"/>
  <c r="AO418"/>
  <c r="AO396"/>
  <c r="AO312"/>
  <c r="AO463"/>
  <c r="AO424"/>
  <c r="AO314"/>
  <c r="AO455"/>
  <c r="AO354"/>
  <c r="AO270"/>
  <c r="AO294"/>
  <c r="AO460"/>
  <c r="AO229"/>
  <c r="AO235"/>
  <c r="AO397"/>
  <c r="AO103"/>
  <c r="AO175"/>
  <c r="AO123"/>
  <c r="AO271"/>
  <c r="AO168"/>
  <c r="AO133"/>
  <c r="AO207"/>
  <c r="AO144"/>
  <c r="AO154"/>
  <c r="AO231"/>
  <c r="AO187"/>
  <c r="AO147"/>
  <c r="AO357"/>
  <c r="AO495"/>
  <c r="AO470"/>
  <c r="AO420"/>
  <c r="AO319"/>
  <c r="AO469"/>
  <c r="AO378"/>
  <c r="AO343"/>
  <c r="AO476"/>
  <c r="AO361"/>
  <c r="AO277"/>
  <c r="AO315"/>
  <c r="AO166"/>
  <c r="AO252"/>
  <c r="AO251"/>
  <c r="AO167"/>
  <c r="AO126"/>
  <c r="AO193"/>
  <c r="AO130"/>
  <c r="AO301"/>
  <c r="AO186"/>
  <c r="AO172"/>
  <c r="AO209"/>
  <c r="AO151"/>
  <c r="AO214"/>
  <c r="AO102"/>
  <c r="AO334"/>
  <c r="AO208"/>
  <c r="AO398"/>
  <c r="AO336"/>
  <c r="AO399"/>
  <c r="AO488"/>
  <c r="AO472"/>
  <c r="AO335"/>
  <c r="AO492"/>
  <c r="AO406"/>
  <c r="AO375"/>
  <c r="AO291"/>
  <c r="AO377"/>
  <c r="AO293"/>
  <c r="AO427"/>
  <c r="AO189"/>
  <c r="AO419"/>
  <c r="AO313"/>
  <c r="AO196"/>
  <c r="AO217"/>
  <c r="AO355"/>
  <c r="AO146"/>
  <c r="AO376"/>
  <c r="AO249"/>
  <c r="AO256"/>
  <c r="AO230"/>
  <c r="AO109"/>
  <c r="AO292"/>
  <c r="AO125"/>
  <c r="AO356"/>
  <c r="AO210"/>
  <c r="AO333"/>
  <c r="AO340"/>
  <c r="AN323"/>
  <c r="AN79" s="1"/>
  <c r="AO260" i="117"/>
  <c r="AO76" s="1"/>
  <c r="AO281"/>
  <c r="AO77" s="1"/>
  <c r="AO22"/>
  <c r="AO428"/>
  <c r="AO84" s="1"/>
  <c r="AO31"/>
  <c r="AQ393" i="120" l="1"/>
  <c r="AQ409"/>
  <c r="AQ267"/>
  <c r="AQ178"/>
  <c r="AQ325"/>
  <c r="AQ115"/>
  <c r="AQ262"/>
  <c r="AQ367"/>
  <c r="AQ136"/>
  <c r="AQ157"/>
  <c r="AQ141"/>
  <c r="AQ503"/>
  <c r="AQ414"/>
  <c r="AQ351"/>
  <c r="AQ330"/>
  <c r="AQ346"/>
  <c r="AQ204"/>
  <c r="AQ120"/>
  <c r="AQ440"/>
  <c r="AQ162"/>
  <c r="AQ16"/>
  <c r="AQ99"/>
  <c r="AQ507"/>
  <c r="AQ508" s="1"/>
  <c r="AQ509" s="1"/>
  <c r="AQ430"/>
  <c r="AQ466"/>
  <c r="AQ288"/>
  <c r="AQ435"/>
  <c r="AQ241"/>
  <c r="AQ499"/>
  <c r="AQ220"/>
  <c r="AQ94"/>
  <c r="AR8"/>
  <c r="AQ246"/>
  <c r="AQ450"/>
  <c r="AQ482"/>
  <c r="AQ309"/>
  <c r="AQ372"/>
  <c r="AQ445"/>
  <c r="AQ283"/>
  <c r="AQ225"/>
  <c r="AQ388"/>
  <c r="AQ183"/>
  <c r="AQ304"/>
  <c r="AQ42"/>
  <c r="AQ67" s="1"/>
  <c r="AQ199"/>
  <c r="AQ96"/>
  <c r="AQ390"/>
  <c r="AQ59" s="1"/>
  <c r="AQ442"/>
  <c r="AQ63" s="1"/>
  <c r="AQ117"/>
  <c r="AQ46" s="1"/>
  <c r="AQ222"/>
  <c r="AQ51" s="1"/>
  <c r="AQ201"/>
  <c r="AQ50" s="1"/>
  <c r="AQ411"/>
  <c r="AQ60" s="1"/>
  <c r="AQ159"/>
  <c r="AQ48" s="1"/>
  <c r="AQ437"/>
  <c r="AQ62" s="1"/>
  <c r="AQ306"/>
  <c r="AQ55" s="1"/>
  <c r="AQ447"/>
  <c r="AQ64" s="1"/>
  <c r="AQ348"/>
  <c r="AQ57" s="1"/>
  <c r="AQ327"/>
  <c r="AQ56" s="1"/>
  <c r="AQ264"/>
  <c r="AQ53" s="1"/>
  <c r="AQ138"/>
  <c r="AQ47" s="1"/>
  <c r="AQ243"/>
  <c r="AQ52" s="1"/>
  <c r="AQ285"/>
  <c r="AQ54" s="1"/>
  <c r="AQ432"/>
  <c r="AQ61" s="1"/>
  <c r="AQ369"/>
  <c r="AQ58" s="1"/>
  <c r="AQ180"/>
  <c r="AQ49" s="1"/>
  <c r="AQ45" i="117"/>
  <c r="AQ65" s="1"/>
  <c r="AQ10"/>
  <c r="AQ14" s="1"/>
  <c r="AO155" i="120"/>
  <c r="AO71" s="1"/>
  <c r="AO407"/>
  <c r="AO83" s="1"/>
  <c r="AO26"/>
  <c r="AO386"/>
  <c r="AO82" s="1"/>
  <c r="AO197"/>
  <c r="AO73" s="1"/>
  <c r="AO20"/>
  <c r="AO323"/>
  <c r="AO79" s="1"/>
  <c r="AO22"/>
  <c r="AP260" i="117"/>
  <c r="AP76" s="1"/>
  <c r="AP496"/>
  <c r="AP87" s="1"/>
  <c r="AP480"/>
  <c r="AP86" s="1"/>
  <c r="AP218"/>
  <c r="AP74" s="1"/>
  <c r="AP134"/>
  <c r="AP70" s="1"/>
  <c r="AP23"/>
  <c r="AN36" i="120"/>
  <c r="AN38" s="1"/>
  <c r="AO19"/>
  <c r="AO113"/>
  <c r="AO69" s="1"/>
  <c r="AQ148" i="117"/>
  <c r="AQ108"/>
  <c r="AQ149"/>
  <c r="AQ174"/>
  <c r="AQ195"/>
  <c r="AQ216"/>
  <c r="AQ237"/>
  <c r="AQ258"/>
  <c r="AQ279"/>
  <c r="AQ300"/>
  <c r="AQ321"/>
  <c r="AQ342"/>
  <c r="AQ363"/>
  <c r="AQ384"/>
  <c r="AQ405"/>
  <c r="AQ426"/>
  <c r="AQ462"/>
  <c r="AQ478"/>
  <c r="AQ494"/>
  <c r="AQ127"/>
  <c r="AQ111"/>
  <c r="AQ129"/>
  <c r="AQ170"/>
  <c r="AQ191"/>
  <c r="AQ212"/>
  <c r="AQ233"/>
  <c r="AQ254"/>
  <c r="AQ275"/>
  <c r="AQ296"/>
  <c r="AQ317"/>
  <c r="AQ338"/>
  <c r="AQ359"/>
  <c r="AQ380"/>
  <c r="AQ401"/>
  <c r="AQ422"/>
  <c r="AQ458"/>
  <c r="AQ474"/>
  <c r="AQ490"/>
  <c r="AQ106"/>
  <c r="AQ107"/>
  <c r="AQ24" s="1"/>
  <c r="AQ132"/>
  <c r="AQ150"/>
  <c r="AQ190"/>
  <c r="AQ211"/>
  <c r="AQ232"/>
  <c r="AQ253"/>
  <c r="AQ274"/>
  <c r="AQ295"/>
  <c r="AQ316"/>
  <c r="AQ337"/>
  <c r="AQ358"/>
  <c r="AQ379"/>
  <c r="AQ400"/>
  <c r="AQ421"/>
  <c r="AQ457"/>
  <c r="AQ473"/>
  <c r="AQ489"/>
  <c r="AQ169"/>
  <c r="AQ128"/>
  <c r="AQ153"/>
  <c r="AQ171"/>
  <c r="AQ192"/>
  <c r="AQ213"/>
  <c r="AQ234"/>
  <c r="AQ255"/>
  <c r="AQ276"/>
  <c r="AQ297"/>
  <c r="AQ318"/>
  <c r="AQ339"/>
  <c r="AQ360"/>
  <c r="AQ381"/>
  <c r="AQ402"/>
  <c r="AQ423"/>
  <c r="AQ459"/>
  <c r="AQ475"/>
  <c r="AQ491"/>
  <c r="AQ485"/>
  <c r="AQ424"/>
  <c r="AQ340"/>
  <c r="AQ399"/>
  <c r="AQ471"/>
  <c r="AQ403"/>
  <c r="AQ470"/>
  <c r="AQ273"/>
  <c r="AQ298"/>
  <c r="AQ168"/>
  <c r="AQ377"/>
  <c r="AQ188"/>
  <c r="AQ104"/>
  <c r="AQ343"/>
  <c r="AQ230"/>
  <c r="AQ146"/>
  <c r="AQ314"/>
  <c r="AQ361"/>
  <c r="AQ397"/>
  <c r="AQ151"/>
  <c r="AQ312"/>
  <c r="AQ231"/>
  <c r="AQ228"/>
  <c r="AQ292"/>
  <c r="AQ259"/>
  <c r="AQ112"/>
  <c r="AQ238"/>
  <c r="AQ208"/>
  <c r="AQ144"/>
  <c r="AQ492"/>
  <c r="AQ469"/>
  <c r="AQ356"/>
  <c r="AQ456"/>
  <c r="AQ487"/>
  <c r="AQ476"/>
  <c r="AQ301"/>
  <c r="AQ453"/>
  <c r="AQ335"/>
  <c r="AQ250"/>
  <c r="AQ272"/>
  <c r="AQ454"/>
  <c r="AQ172"/>
  <c r="AQ455"/>
  <c r="AQ251"/>
  <c r="AQ130"/>
  <c r="AQ249"/>
  <c r="AQ125"/>
  <c r="AQ126"/>
  <c r="AQ103"/>
  <c r="AQ256"/>
  <c r="AQ463"/>
  <c r="AQ193"/>
  <c r="AQ39"/>
  <c r="AQ109"/>
  <c r="AQ495"/>
  <c r="AQ333"/>
  <c r="AQ460"/>
  <c r="AQ364"/>
  <c r="AQ334"/>
  <c r="AQ293"/>
  <c r="AQ479"/>
  <c r="AQ217"/>
  <c r="AQ472"/>
  <c r="AQ252"/>
  <c r="AQ175"/>
  <c r="AQ271"/>
  <c r="AQ147"/>
  <c r="AQ187"/>
  <c r="AQ280"/>
  <c r="AQ427"/>
  <c r="AQ189"/>
  <c r="AQ210"/>
  <c r="AQ102"/>
  <c r="AQ209"/>
  <c r="AQ486"/>
  <c r="AQ385"/>
  <c r="AQ488"/>
  <c r="AQ396"/>
  <c r="AQ357"/>
  <c r="AQ382"/>
  <c r="AQ145"/>
  <c r="AQ313"/>
  <c r="AQ133"/>
  <c r="AQ270"/>
  <c r="AQ207"/>
  <c r="AQ378"/>
  <c r="AQ186"/>
  <c r="AQ277"/>
  <c r="AQ315"/>
  <c r="AQ124"/>
  <c r="AQ235"/>
  <c r="AQ319"/>
  <c r="AQ154"/>
  <c r="AQ291"/>
  <c r="AQ375"/>
  <c r="AQ417"/>
  <c r="AQ376"/>
  <c r="AQ419"/>
  <c r="AQ418"/>
  <c r="AQ406"/>
  <c r="AQ229"/>
  <c r="AQ355"/>
  <c r="AQ165"/>
  <c r="AQ420"/>
  <c r="AQ214"/>
  <c r="AQ123"/>
  <c r="AQ134" s="1"/>
  <c r="AQ70" s="1"/>
  <c r="AQ196"/>
  <c r="AQ322"/>
  <c r="AQ398"/>
  <c r="AQ294"/>
  <c r="AQ167"/>
  <c r="AQ354"/>
  <c r="AQ365" s="1"/>
  <c r="AQ81" s="1"/>
  <c r="AQ336"/>
  <c r="AQ166"/>
  <c r="AQ105"/>
  <c r="AO344" i="120"/>
  <c r="AO80" s="1"/>
  <c r="AO260"/>
  <c r="AO76" s="1"/>
  <c r="AO365"/>
  <c r="AO81" s="1"/>
  <c r="AO176"/>
  <c r="AO72" s="1"/>
  <c r="AO23"/>
  <c r="AO31"/>
  <c r="AP344" i="117"/>
  <c r="AP80" s="1"/>
  <c r="AP323"/>
  <c r="AP79" s="1"/>
  <c r="AP197"/>
  <c r="AP73" s="1"/>
  <c r="AP386"/>
  <c r="AP82" s="1"/>
  <c r="AP20"/>
  <c r="AP24"/>
  <c r="AO36"/>
  <c r="AO38" s="1"/>
  <c r="AN88" i="120"/>
  <c r="AN90" s="1"/>
  <c r="AP45"/>
  <c r="AP65" s="1"/>
  <c r="AP10"/>
  <c r="AP14" s="1"/>
  <c r="AP127"/>
  <c r="AP111"/>
  <c r="AP129"/>
  <c r="AP170"/>
  <c r="AP191"/>
  <c r="AP212"/>
  <c r="AP233"/>
  <c r="AP254"/>
  <c r="AP275"/>
  <c r="AP296"/>
  <c r="AP317"/>
  <c r="AP338"/>
  <c r="AP359"/>
  <c r="AP380"/>
  <c r="AP401"/>
  <c r="AP422"/>
  <c r="AP458"/>
  <c r="AP474"/>
  <c r="AP490"/>
  <c r="AP106"/>
  <c r="AP107"/>
  <c r="AP132"/>
  <c r="AP150"/>
  <c r="AP190"/>
  <c r="AP211"/>
  <c r="AP232"/>
  <c r="AP253"/>
  <c r="AP274"/>
  <c r="AP295"/>
  <c r="AP316"/>
  <c r="AP337"/>
  <c r="AP358"/>
  <c r="AP379"/>
  <c r="AP400"/>
  <c r="AP421"/>
  <c r="AP457"/>
  <c r="AP473"/>
  <c r="AP489"/>
  <c r="AP169"/>
  <c r="AP128"/>
  <c r="AP153"/>
  <c r="AP171"/>
  <c r="AP192"/>
  <c r="AP213"/>
  <c r="AP234"/>
  <c r="AP255"/>
  <c r="AP276"/>
  <c r="AP297"/>
  <c r="AP318"/>
  <c r="AP339"/>
  <c r="AP360"/>
  <c r="AP381"/>
  <c r="AP402"/>
  <c r="AP423"/>
  <c r="AP459"/>
  <c r="AP475"/>
  <c r="AP491"/>
  <c r="AP148"/>
  <c r="AP108"/>
  <c r="AP149"/>
  <c r="AP174"/>
  <c r="AP195"/>
  <c r="AP216"/>
  <c r="AP237"/>
  <c r="AP258"/>
  <c r="AP279"/>
  <c r="AP300"/>
  <c r="AP321"/>
  <c r="AP342"/>
  <c r="AP363"/>
  <c r="AP384"/>
  <c r="AP405"/>
  <c r="AP426"/>
  <c r="AP462"/>
  <c r="AP478"/>
  <c r="AP494"/>
  <c r="AP453"/>
  <c r="AP479"/>
  <c r="AP463"/>
  <c r="AP378"/>
  <c r="AP424"/>
  <c r="AP399"/>
  <c r="AP456"/>
  <c r="AP313"/>
  <c r="AP319"/>
  <c r="AP193"/>
  <c r="AP252"/>
  <c r="AP272"/>
  <c r="AP472"/>
  <c r="AP291"/>
  <c r="AP312"/>
  <c r="AP146"/>
  <c r="AP376"/>
  <c r="AP189"/>
  <c r="AP335"/>
  <c r="AP207"/>
  <c r="AP102"/>
  <c r="AP124"/>
  <c r="AP144"/>
  <c r="AP364"/>
  <c r="AP133"/>
  <c r="AP39"/>
  <c r="AP167"/>
  <c r="AP228"/>
  <c r="AP239" s="1"/>
  <c r="AP75" s="1"/>
  <c r="AP460"/>
  <c r="AP486"/>
  <c r="AP485"/>
  <c r="AP417"/>
  <c r="AP271"/>
  <c r="AP454"/>
  <c r="AP273"/>
  <c r="AP336"/>
  <c r="AP375"/>
  <c r="AP209"/>
  <c r="AP298"/>
  <c r="AP333"/>
  <c r="AP217"/>
  <c r="AP292"/>
  <c r="AP314"/>
  <c r="AP165"/>
  <c r="AP176" s="1"/>
  <c r="AP72" s="1"/>
  <c r="AP385"/>
  <c r="AP259"/>
  <c r="AP476"/>
  <c r="AP208"/>
  <c r="AP109"/>
  <c r="AP147"/>
  <c r="AP151"/>
  <c r="AP398"/>
  <c r="AP231"/>
  <c r="AP145"/>
  <c r="AP343"/>
  <c r="AP188"/>
  <c r="AP172"/>
  <c r="AP471"/>
  <c r="AP403"/>
  <c r="AP492"/>
  <c r="AP469"/>
  <c r="AP294"/>
  <c r="AP487"/>
  <c r="AP334"/>
  <c r="AP397"/>
  <c r="AP377"/>
  <c r="AP238"/>
  <c r="AP488"/>
  <c r="AP470"/>
  <c r="AP249"/>
  <c r="AP301"/>
  <c r="AP187"/>
  <c r="AP175"/>
  <c r="AP123"/>
  <c r="AP270"/>
  <c r="AP105"/>
  <c r="AP22" s="1"/>
  <c r="AP230"/>
  <c r="AP125"/>
  <c r="AP322"/>
  <c r="AP250"/>
  <c r="AP196"/>
  <c r="AP103"/>
  <c r="AP420"/>
  <c r="AP104"/>
  <c r="AP21" s="1"/>
  <c r="AP361"/>
  <c r="AP166"/>
  <c r="AP495"/>
  <c r="AP419"/>
  <c r="AP455"/>
  <c r="AP406"/>
  <c r="AP355"/>
  <c r="AP382"/>
  <c r="AP357"/>
  <c r="AP427"/>
  <c r="AP418"/>
  <c r="AP280"/>
  <c r="AP186"/>
  <c r="AP229"/>
  <c r="AP256"/>
  <c r="AP356"/>
  <c r="AP210"/>
  <c r="AP235"/>
  <c r="AP130"/>
  <c r="AP277"/>
  <c r="AP168"/>
  <c r="AP315"/>
  <c r="AP154"/>
  <c r="AP354"/>
  <c r="AP365" s="1"/>
  <c r="AP81" s="1"/>
  <c r="AP396"/>
  <c r="AP293"/>
  <c r="AP126"/>
  <c r="AP112"/>
  <c r="AP32" s="1"/>
  <c r="AP340"/>
  <c r="AP251"/>
  <c r="AP214"/>
  <c r="AP19" i="117"/>
  <c r="AP113"/>
  <c r="AP69" s="1"/>
  <c r="AO302" i="120"/>
  <c r="AO78" s="1"/>
  <c r="AO480"/>
  <c r="AO86" s="1"/>
  <c r="AO21"/>
  <c r="AO464"/>
  <c r="AO85" s="1"/>
  <c r="AO428"/>
  <c r="AO84" s="1"/>
  <c r="AO218"/>
  <c r="AO74" s="1"/>
  <c r="AO134"/>
  <c r="AO70" s="1"/>
  <c r="AO281"/>
  <c r="AO77" s="1"/>
  <c r="AO32"/>
  <c r="AO239"/>
  <c r="AO75" s="1"/>
  <c r="AO496"/>
  <c r="AO87" s="1"/>
  <c r="AO25"/>
  <c r="AP239" i="117"/>
  <c r="AP75" s="1"/>
  <c r="AP155"/>
  <c r="AP71" s="1"/>
  <c r="AP365"/>
  <c r="AP81" s="1"/>
  <c r="AP176"/>
  <c r="AP72" s="1"/>
  <c r="AP302"/>
  <c r="AP78" s="1"/>
  <c r="AP31"/>
  <c r="AO88"/>
  <c r="AO90" s="1"/>
  <c r="AR409"/>
  <c r="AR499"/>
  <c r="AR288"/>
  <c r="AR503"/>
  <c r="AR241"/>
  <c r="AR304"/>
  <c r="AR42"/>
  <c r="AR67" s="1"/>
  <c r="AR225"/>
  <c r="AR16"/>
  <c r="AR94"/>
  <c r="AR430"/>
  <c r="AR440"/>
  <c r="AR414"/>
  <c r="AR372"/>
  <c r="AR99"/>
  <c r="AR246"/>
  <c r="AR309"/>
  <c r="AR115"/>
  <c r="AR136"/>
  <c r="AR162"/>
  <c r="AR120"/>
  <c r="AR220"/>
  <c r="AR466"/>
  <c r="AR388"/>
  <c r="AR283"/>
  <c r="AR199"/>
  <c r="AR178"/>
  <c r="AR367"/>
  <c r="AR482"/>
  <c r="AR450"/>
  <c r="AR346"/>
  <c r="AR262"/>
  <c r="AR204"/>
  <c r="AS8"/>
  <c r="AR507"/>
  <c r="AR508" s="1"/>
  <c r="AR509" s="1"/>
  <c r="AR445"/>
  <c r="AR183"/>
  <c r="AR393"/>
  <c r="AR351"/>
  <c r="AR141"/>
  <c r="AR325"/>
  <c r="AR435"/>
  <c r="AR157"/>
  <c r="AR267"/>
  <c r="AR330"/>
  <c r="AR369"/>
  <c r="AR58" s="1"/>
  <c r="AR432"/>
  <c r="AR61" s="1"/>
  <c r="AR437"/>
  <c r="AR62" s="1"/>
  <c r="AR264"/>
  <c r="AR53" s="1"/>
  <c r="AR159"/>
  <c r="AR48" s="1"/>
  <c r="AR442"/>
  <c r="AR63" s="1"/>
  <c r="AR117"/>
  <c r="AR46" s="1"/>
  <c r="AR201"/>
  <c r="AR50" s="1"/>
  <c r="AR390"/>
  <c r="AR59" s="1"/>
  <c r="AR348"/>
  <c r="AR57" s="1"/>
  <c r="AR96"/>
  <c r="AR285"/>
  <c r="AR54" s="1"/>
  <c r="AR306"/>
  <c r="AR55" s="1"/>
  <c r="AR447"/>
  <c r="AR64" s="1"/>
  <c r="AR327"/>
  <c r="AR56" s="1"/>
  <c r="AR222"/>
  <c r="AR51" s="1"/>
  <c r="AR180"/>
  <c r="AR49" s="1"/>
  <c r="AR411"/>
  <c r="AR60" s="1"/>
  <c r="AR243"/>
  <c r="AR52" s="1"/>
  <c r="AR138"/>
  <c r="AR47" s="1"/>
  <c r="AO24" i="120"/>
  <c r="AP21" i="117"/>
  <c r="AP464"/>
  <c r="AP85" s="1"/>
  <c r="AP25"/>
  <c r="AR45" l="1"/>
  <c r="AR65" s="1"/>
  <c r="AR10"/>
  <c r="AR14" s="1"/>
  <c r="AP20" i="120"/>
  <c r="AP134"/>
  <c r="AP70" s="1"/>
  <c r="AP260"/>
  <c r="AP76" s="1"/>
  <c r="AP302"/>
  <c r="AP78" s="1"/>
  <c r="AP31"/>
  <c r="AQ302" i="117"/>
  <c r="AQ78" s="1"/>
  <c r="AQ407"/>
  <c r="AQ83" s="1"/>
  <c r="AQ26"/>
  <c r="AQ260"/>
  <c r="AQ76" s="1"/>
  <c r="AQ32"/>
  <c r="AQ25"/>
  <c r="AS499"/>
  <c r="AS503"/>
  <c r="AS262"/>
  <c r="AS241"/>
  <c r="AS267"/>
  <c r="AS507"/>
  <c r="AS508" s="1"/>
  <c r="AS509" s="1"/>
  <c r="AS204"/>
  <c r="AS99"/>
  <c r="AS440"/>
  <c r="AS304"/>
  <c r="AS288"/>
  <c r="AS141"/>
  <c r="AS330"/>
  <c r="AS388"/>
  <c r="AS346"/>
  <c r="AS246"/>
  <c r="AS372"/>
  <c r="AS351"/>
  <c r="AS136"/>
  <c r="AS16"/>
  <c r="AS309"/>
  <c r="AS367"/>
  <c r="AT8"/>
  <c r="AS414"/>
  <c r="AS450"/>
  <c r="AS430"/>
  <c r="AS283"/>
  <c r="AS409"/>
  <c r="AS42"/>
  <c r="AS67" s="1"/>
  <c r="AS199"/>
  <c r="AS178"/>
  <c r="AS325"/>
  <c r="AS183"/>
  <c r="AS115"/>
  <c r="AS445"/>
  <c r="AS482"/>
  <c r="AS393"/>
  <c r="AS466"/>
  <c r="AS157"/>
  <c r="AS162"/>
  <c r="AS120"/>
  <c r="AS225"/>
  <c r="AS435"/>
  <c r="AS220"/>
  <c r="AS94"/>
  <c r="AS264"/>
  <c r="AS53" s="1"/>
  <c r="AS285"/>
  <c r="AS54" s="1"/>
  <c r="AS432"/>
  <c r="AS61" s="1"/>
  <c r="AS390"/>
  <c r="AS59" s="1"/>
  <c r="AS159"/>
  <c r="AS48" s="1"/>
  <c r="AS369"/>
  <c r="AS58" s="1"/>
  <c r="AS442"/>
  <c r="AS63" s="1"/>
  <c r="AS348"/>
  <c r="AS57" s="1"/>
  <c r="AS437"/>
  <c r="AS62" s="1"/>
  <c r="AS327"/>
  <c r="AS56" s="1"/>
  <c r="AS138"/>
  <c r="AS47" s="1"/>
  <c r="AS117"/>
  <c r="AS46" s="1"/>
  <c r="AS411"/>
  <c r="AS60" s="1"/>
  <c r="AS180"/>
  <c r="AS49" s="1"/>
  <c r="AS306"/>
  <c r="AS55" s="1"/>
  <c r="AS222"/>
  <c r="AS51" s="1"/>
  <c r="AS243"/>
  <c r="AS52" s="1"/>
  <c r="AS96"/>
  <c r="AS447"/>
  <c r="AS64" s="1"/>
  <c r="AS201"/>
  <c r="AS50" s="1"/>
  <c r="AR414" i="120"/>
  <c r="AR346"/>
  <c r="AR393"/>
  <c r="AR241"/>
  <c r="AR372"/>
  <c r="AR388"/>
  <c r="AR178"/>
  <c r="AR450"/>
  <c r="AR157"/>
  <c r="AR304"/>
  <c r="AR204"/>
  <c r="AR466"/>
  <c r="AR283"/>
  <c r="AR325"/>
  <c r="AR183"/>
  <c r="AR246"/>
  <c r="AR430"/>
  <c r="AR120"/>
  <c r="AR482"/>
  <c r="AR141"/>
  <c r="AR16"/>
  <c r="AR507"/>
  <c r="AR508" s="1"/>
  <c r="AR509" s="1"/>
  <c r="AR435"/>
  <c r="AR367"/>
  <c r="AR440"/>
  <c r="AR309"/>
  <c r="AR262"/>
  <c r="AR503"/>
  <c r="AR220"/>
  <c r="AR99"/>
  <c r="AR162"/>
  <c r="AR42"/>
  <c r="AR67" s="1"/>
  <c r="AR267"/>
  <c r="AR499"/>
  <c r="AR409"/>
  <c r="AR445"/>
  <c r="AR351"/>
  <c r="AR288"/>
  <c r="AR199"/>
  <c r="AR225"/>
  <c r="AR94"/>
  <c r="AR136"/>
  <c r="AR115"/>
  <c r="AS8"/>
  <c r="AR330"/>
  <c r="AR390"/>
  <c r="AR59" s="1"/>
  <c r="AR201"/>
  <c r="AR50" s="1"/>
  <c r="AR222"/>
  <c r="AR51" s="1"/>
  <c r="AR442"/>
  <c r="AR63" s="1"/>
  <c r="AR327"/>
  <c r="AR56" s="1"/>
  <c r="AR411"/>
  <c r="AR60" s="1"/>
  <c r="AR264"/>
  <c r="AR53" s="1"/>
  <c r="AR159"/>
  <c r="AR48" s="1"/>
  <c r="AR117"/>
  <c r="AR46" s="1"/>
  <c r="AR348"/>
  <c r="AR57" s="1"/>
  <c r="AR96"/>
  <c r="AR447"/>
  <c r="AR64" s="1"/>
  <c r="AR432"/>
  <c r="AR61" s="1"/>
  <c r="AR138"/>
  <c r="AR47" s="1"/>
  <c r="AR243"/>
  <c r="AR52" s="1"/>
  <c r="AR369"/>
  <c r="AR58" s="1"/>
  <c r="AR437"/>
  <c r="AR62" s="1"/>
  <c r="AR306"/>
  <c r="AR55" s="1"/>
  <c r="AR180"/>
  <c r="AR49" s="1"/>
  <c r="AR285"/>
  <c r="AR54" s="1"/>
  <c r="AP281"/>
  <c r="AP77" s="1"/>
  <c r="AP496"/>
  <c r="AP87" s="1"/>
  <c r="AP155"/>
  <c r="AP71" s="1"/>
  <c r="AP323"/>
  <c r="AP79" s="1"/>
  <c r="AP25"/>
  <c r="AQ22" i="117"/>
  <c r="AQ176"/>
  <c r="AQ72" s="1"/>
  <c r="AQ386"/>
  <c r="AQ82" s="1"/>
  <c r="AQ197"/>
  <c r="AQ73" s="1"/>
  <c r="AQ480"/>
  <c r="AQ86" s="1"/>
  <c r="AQ239"/>
  <c r="AQ75" s="1"/>
  <c r="AQ23"/>
  <c r="AO36" i="120"/>
  <c r="AO38" s="1"/>
  <c r="AP344"/>
  <c r="AP80" s="1"/>
  <c r="AP428"/>
  <c r="AP84" s="1"/>
  <c r="AP218"/>
  <c r="AP74" s="1"/>
  <c r="AP23"/>
  <c r="AQ428" i="117"/>
  <c r="AQ84" s="1"/>
  <c r="AQ281"/>
  <c r="AQ77" s="1"/>
  <c r="AQ344"/>
  <c r="AQ80" s="1"/>
  <c r="AO88" i="120"/>
  <c r="AO90" s="1"/>
  <c r="AR148" i="117"/>
  <c r="AR108"/>
  <c r="AR149"/>
  <c r="AR174"/>
  <c r="AR195"/>
  <c r="AR216"/>
  <c r="AR237"/>
  <c r="AR258"/>
  <c r="AR279"/>
  <c r="AR300"/>
  <c r="AR321"/>
  <c r="AR342"/>
  <c r="AR363"/>
  <c r="AR384"/>
  <c r="AR405"/>
  <c r="AR426"/>
  <c r="AR462"/>
  <c r="AR478"/>
  <c r="AR494"/>
  <c r="AR127"/>
  <c r="AR111"/>
  <c r="AR129"/>
  <c r="AR170"/>
  <c r="AR191"/>
  <c r="AR212"/>
  <c r="AR233"/>
  <c r="AR254"/>
  <c r="AR275"/>
  <c r="AR296"/>
  <c r="AR317"/>
  <c r="AR338"/>
  <c r="AR359"/>
  <c r="AR380"/>
  <c r="AR401"/>
  <c r="AR422"/>
  <c r="AR458"/>
  <c r="AR474"/>
  <c r="AR490"/>
  <c r="AR106"/>
  <c r="AR107"/>
  <c r="AR132"/>
  <c r="AR150"/>
  <c r="AR190"/>
  <c r="AR211"/>
  <c r="AR232"/>
  <c r="AR253"/>
  <c r="AR274"/>
  <c r="AR295"/>
  <c r="AR316"/>
  <c r="AR337"/>
  <c r="AR358"/>
  <c r="AR379"/>
  <c r="AR400"/>
  <c r="AR421"/>
  <c r="AR457"/>
  <c r="AR473"/>
  <c r="AR489"/>
  <c r="AR169"/>
  <c r="AR128"/>
  <c r="AR153"/>
  <c r="AR171"/>
  <c r="AR192"/>
  <c r="AR213"/>
  <c r="AR234"/>
  <c r="AR255"/>
  <c r="AR276"/>
  <c r="AR297"/>
  <c r="AR318"/>
  <c r="AR339"/>
  <c r="AR360"/>
  <c r="AR381"/>
  <c r="AR402"/>
  <c r="AR423"/>
  <c r="AR459"/>
  <c r="AR475"/>
  <c r="AR491"/>
  <c r="AR495"/>
  <c r="AR315"/>
  <c r="AR486"/>
  <c r="AR453"/>
  <c r="AR364"/>
  <c r="AR406"/>
  <c r="AR322"/>
  <c r="AR492"/>
  <c r="AR356"/>
  <c r="AR188"/>
  <c r="AR104"/>
  <c r="AR231"/>
  <c r="AR398"/>
  <c r="AR291"/>
  <c r="AR343"/>
  <c r="AR175"/>
  <c r="AR168"/>
  <c r="AR126"/>
  <c r="AR418"/>
  <c r="AR476"/>
  <c r="AR167"/>
  <c r="AR420"/>
  <c r="AR250"/>
  <c r="AR375"/>
  <c r="AR154"/>
  <c r="AR103"/>
  <c r="AR334"/>
  <c r="AR123"/>
  <c r="AR193"/>
  <c r="AR376"/>
  <c r="AR487"/>
  <c r="AR460"/>
  <c r="AR396"/>
  <c r="AR463"/>
  <c r="AR354"/>
  <c r="AR270"/>
  <c r="AR454"/>
  <c r="AR217"/>
  <c r="AR133"/>
  <c r="AR273"/>
  <c r="AR124"/>
  <c r="AR294"/>
  <c r="AR105"/>
  <c r="AR186"/>
  <c r="AR187"/>
  <c r="AR145"/>
  <c r="AR112"/>
  <c r="AR39"/>
  <c r="AR228"/>
  <c r="AR470"/>
  <c r="AR271"/>
  <c r="AR298"/>
  <c r="AR196"/>
  <c r="AR130"/>
  <c r="AR230"/>
  <c r="AR229"/>
  <c r="AR210"/>
  <c r="AR399"/>
  <c r="AR488"/>
  <c r="AR471"/>
  <c r="AR403"/>
  <c r="AR355"/>
  <c r="AR361"/>
  <c r="AR277"/>
  <c r="AR469"/>
  <c r="AR313"/>
  <c r="AR165"/>
  <c r="AR319"/>
  <c r="AR147"/>
  <c r="AR314"/>
  <c r="AR166"/>
  <c r="AR214"/>
  <c r="AR455"/>
  <c r="AR146"/>
  <c r="AR272"/>
  <c r="AR209"/>
  <c r="AR256"/>
  <c r="AR235"/>
  <c r="AR312"/>
  <c r="AR323" s="1"/>
  <c r="AR79" s="1"/>
  <c r="AR382"/>
  <c r="AR207"/>
  <c r="AR424"/>
  <c r="AR280"/>
  <c r="AR238"/>
  <c r="AR251"/>
  <c r="AR385"/>
  <c r="AR456"/>
  <c r="AR292"/>
  <c r="AR485"/>
  <c r="AR419"/>
  <c r="AR378"/>
  <c r="AR377"/>
  <c r="AR293"/>
  <c r="AR479"/>
  <c r="AR340"/>
  <c r="AR172"/>
  <c r="AR397"/>
  <c r="AR208"/>
  <c r="AR333"/>
  <c r="AR189"/>
  <c r="AR252"/>
  <c r="AR125"/>
  <c r="AR151"/>
  <c r="AR417"/>
  <c r="AR428" s="1"/>
  <c r="AR84" s="1"/>
  <c r="AR336"/>
  <c r="AR427"/>
  <c r="AR335"/>
  <c r="AR472"/>
  <c r="AR102"/>
  <c r="AR249"/>
  <c r="AR109"/>
  <c r="AR26" s="1"/>
  <c r="AR357"/>
  <c r="AR259"/>
  <c r="AR301"/>
  <c r="AR144"/>
  <c r="AR155" s="1"/>
  <c r="AR71" s="1"/>
  <c r="AP19" i="120"/>
  <c r="AP113"/>
  <c r="AP69" s="1"/>
  <c r="AQ19" i="117"/>
  <c r="AQ113"/>
  <c r="AQ69" s="1"/>
  <c r="AQ45" i="120"/>
  <c r="AQ65" s="1"/>
  <c r="AQ10"/>
  <c r="AQ14" s="1"/>
  <c r="AQ127"/>
  <c r="AQ111"/>
  <c r="AQ129"/>
  <c r="AQ170"/>
  <c r="AQ191"/>
  <c r="AQ212"/>
  <c r="AQ233"/>
  <c r="AQ254"/>
  <c r="AQ275"/>
  <c r="AQ296"/>
  <c r="AQ317"/>
  <c r="AQ338"/>
  <c r="AQ359"/>
  <c r="AQ380"/>
  <c r="AQ401"/>
  <c r="AQ422"/>
  <c r="AQ458"/>
  <c r="AQ474"/>
  <c r="AQ490"/>
  <c r="AQ106"/>
  <c r="AQ107"/>
  <c r="AQ132"/>
  <c r="AQ150"/>
  <c r="AQ190"/>
  <c r="AQ211"/>
  <c r="AQ232"/>
  <c r="AQ253"/>
  <c r="AQ274"/>
  <c r="AQ295"/>
  <c r="AQ316"/>
  <c r="AQ337"/>
  <c r="AQ358"/>
  <c r="AQ379"/>
  <c r="AQ400"/>
  <c r="AQ421"/>
  <c r="AQ457"/>
  <c r="AQ473"/>
  <c r="AQ489"/>
  <c r="AQ169"/>
  <c r="AQ128"/>
  <c r="AQ153"/>
  <c r="AQ171"/>
  <c r="AQ192"/>
  <c r="AQ213"/>
  <c r="AQ234"/>
  <c r="AQ255"/>
  <c r="AQ276"/>
  <c r="AQ297"/>
  <c r="AQ318"/>
  <c r="AQ339"/>
  <c r="AQ360"/>
  <c r="AQ381"/>
  <c r="AQ402"/>
  <c r="AQ423"/>
  <c r="AQ459"/>
  <c r="AQ475"/>
  <c r="AQ491"/>
  <c r="AQ148"/>
  <c r="AQ108"/>
  <c r="AQ149"/>
  <c r="AQ174"/>
  <c r="AQ195"/>
  <c r="AQ216"/>
  <c r="AQ237"/>
  <c r="AQ258"/>
  <c r="AQ279"/>
  <c r="AQ300"/>
  <c r="AQ321"/>
  <c r="AQ342"/>
  <c r="AQ363"/>
  <c r="AQ384"/>
  <c r="AQ405"/>
  <c r="AQ426"/>
  <c r="AQ462"/>
  <c r="AQ478"/>
  <c r="AQ494"/>
  <c r="AQ479"/>
  <c r="AQ454"/>
  <c r="AQ424"/>
  <c r="AQ343"/>
  <c r="AQ487"/>
  <c r="AQ419"/>
  <c r="AQ322"/>
  <c r="AQ398"/>
  <c r="AQ333"/>
  <c r="AQ252"/>
  <c r="AQ256"/>
  <c r="AQ364"/>
  <c r="AQ495"/>
  <c r="AQ259"/>
  <c r="AQ175"/>
  <c r="AQ189"/>
  <c r="AQ280"/>
  <c r="AQ125"/>
  <c r="AQ209"/>
  <c r="AQ456"/>
  <c r="AQ151"/>
  <c r="AQ319"/>
  <c r="AQ146"/>
  <c r="AQ403"/>
  <c r="AQ334"/>
  <c r="AQ235"/>
  <c r="AQ228"/>
  <c r="AQ172"/>
  <c r="AQ471"/>
  <c r="AQ486"/>
  <c r="AQ472"/>
  <c r="AQ463"/>
  <c r="AQ375"/>
  <c r="AQ291"/>
  <c r="AQ453"/>
  <c r="AQ354"/>
  <c r="AQ418"/>
  <c r="AQ340"/>
  <c r="AQ460"/>
  <c r="AQ417"/>
  <c r="AQ376"/>
  <c r="AQ208"/>
  <c r="AQ270"/>
  <c r="AQ207"/>
  <c r="AQ193"/>
  <c r="AQ315"/>
  <c r="AQ154"/>
  <c r="AQ210"/>
  <c r="AQ469"/>
  <c r="AQ166"/>
  <c r="AQ397"/>
  <c r="AQ292"/>
  <c r="AQ103"/>
  <c r="AQ165"/>
  <c r="AQ176" s="1"/>
  <c r="AQ72" s="1"/>
  <c r="AQ39"/>
  <c r="AQ123"/>
  <c r="AQ167"/>
  <c r="AQ124"/>
  <c r="AQ470"/>
  <c r="AQ492"/>
  <c r="AQ382"/>
  <c r="AQ298"/>
  <c r="AQ476"/>
  <c r="AQ361"/>
  <c r="AQ277"/>
  <c r="AQ356"/>
  <c r="AQ272"/>
  <c r="AQ168"/>
  <c r="AQ217"/>
  <c r="AQ231"/>
  <c r="AQ336"/>
  <c r="AQ214"/>
  <c r="AQ294"/>
  <c r="AQ335"/>
  <c r="AQ186"/>
  <c r="AQ197" s="1"/>
  <c r="AQ73" s="1"/>
  <c r="AQ102"/>
  <c r="AQ145"/>
  <c r="AQ427"/>
  <c r="AQ112"/>
  <c r="AQ378"/>
  <c r="AQ126"/>
  <c r="AQ238"/>
  <c r="AQ147"/>
  <c r="AQ273"/>
  <c r="AQ250"/>
  <c r="AQ251"/>
  <c r="AQ488"/>
  <c r="AQ420"/>
  <c r="AQ406"/>
  <c r="AQ314"/>
  <c r="AQ399"/>
  <c r="AQ377"/>
  <c r="AQ293"/>
  <c r="AQ385"/>
  <c r="AQ301"/>
  <c r="AQ229"/>
  <c r="AQ249"/>
  <c r="AQ312"/>
  <c r="AQ323" s="1"/>
  <c r="AQ79" s="1"/>
  <c r="AQ355"/>
  <c r="AQ230"/>
  <c r="AQ485"/>
  <c r="AQ105"/>
  <c r="AQ22" s="1"/>
  <c r="AQ271"/>
  <c r="AQ109"/>
  <c r="AQ188"/>
  <c r="AQ455"/>
  <c r="AQ144"/>
  <c r="AQ155" s="1"/>
  <c r="AQ71" s="1"/>
  <c r="AQ196"/>
  <c r="AQ130"/>
  <c r="AQ357"/>
  <c r="AQ313"/>
  <c r="AQ187"/>
  <c r="AQ396"/>
  <c r="AQ133"/>
  <c r="AQ104"/>
  <c r="AP36" i="117"/>
  <c r="AP38" s="1"/>
  <c r="AP88"/>
  <c r="AP90" s="1"/>
  <c r="AP407" i="120"/>
  <c r="AP83" s="1"/>
  <c r="AP197"/>
  <c r="AP73" s="1"/>
  <c r="AP480"/>
  <c r="AP86" s="1"/>
  <c r="AP26"/>
  <c r="AP386"/>
  <c r="AP82" s="1"/>
  <c r="AP464"/>
  <c r="AP85" s="1"/>
  <c r="AP24"/>
  <c r="AQ218" i="117"/>
  <c r="AQ74" s="1"/>
  <c r="AQ20"/>
  <c r="AQ464"/>
  <c r="AQ85" s="1"/>
  <c r="AQ155"/>
  <c r="AQ71" s="1"/>
  <c r="AQ323"/>
  <c r="AQ79" s="1"/>
  <c r="AQ21"/>
  <c r="AQ496"/>
  <c r="AQ87" s="1"/>
  <c r="AQ31"/>
  <c r="AQ19" i="120" l="1"/>
  <c r="AQ113"/>
  <c r="AQ69" s="1"/>
  <c r="AR19" i="117"/>
  <c r="AR113"/>
  <c r="AR69" s="1"/>
  <c r="AR45" i="120"/>
  <c r="AR65" s="1"/>
  <c r="AR10"/>
  <c r="AR14" s="1"/>
  <c r="AS503"/>
  <c r="AS507"/>
  <c r="AS508" s="1"/>
  <c r="AS509" s="1"/>
  <c r="AS288"/>
  <c r="AS283"/>
  <c r="AS388"/>
  <c r="AS204"/>
  <c r="AS183"/>
  <c r="AS346"/>
  <c r="AS141"/>
  <c r="AS414"/>
  <c r="AS136"/>
  <c r="AS482"/>
  <c r="AS409"/>
  <c r="AS372"/>
  <c r="AS330"/>
  <c r="AS246"/>
  <c r="AS267"/>
  <c r="AS325"/>
  <c r="AS367"/>
  <c r="AS393"/>
  <c r="AS42"/>
  <c r="AS67" s="1"/>
  <c r="AS445"/>
  <c r="AS16"/>
  <c r="AS499"/>
  <c r="AS440"/>
  <c r="AS430"/>
  <c r="AS262"/>
  <c r="AS304"/>
  <c r="AS94"/>
  <c r="AS435"/>
  <c r="AS157"/>
  <c r="AS115"/>
  <c r="AT8"/>
  <c r="AS199"/>
  <c r="AS466"/>
  <c r="AS351"/>
  <c r="AS241"/>
  <c r="AS220"/>
  <c r="AS178"/>
  <c r="AS99"/>
  <c r="AS162"/>
  <c r="AS225"/>
  <c r="AS450"/>
  <c r="AS309"/>
  <c r="AS120"/>
  <c r="AS159"/>
  <c r="AS48" s="1"/>
  <c r="AS222"/>
  <c r="AS51" s="1"/>
  <c r="AS411"/>
  <c r="AS60" s="1"/>
  <c r="AS390"/>
  <c r="AS59" s="1"/>
  <c r="AS306"/>
  <c r="AS55" s="1"/>
  <c r="AS348"/>
  <c r="AS57" s="1"/>
  <c r="AS201"/>
  <c r="AS50" s="1"/>
  <c r="AS442"/>
  <c r="AS63" s="1"/>
  <c r="AS432"/>
  <c r="AS61" s="1"/>
  <c r="AS96"/>
  <c r="AS117"/>
  <c r="AS46" s="1"/>
  <c r="AS437"/>
  <c r="AS62" s="1"/>
  <c r="AS138"/>
  <c r="AS47" s="1"/>
  <c r="AS264"/>
  <c r="AS53" s="1"/>
  <c r="AS285"/>
  <c r="AS54" s="1"/>
  <c r="AS447"/>
  <c r="AS64" s="1"/>
  <c r="AS243"/>
  <c r="AS52" s="1"/>
  <c r="AS369"/>
  <c r="AS58" s="1"/>
  <c r="AS327"/>
  <c r="AS56" s="1"/>
  <c r="AS180"/>
  <c r="AS49" s="1"/>
  <c r="AQ26"/>
  <c r="AQ134"/>
  <c r="AQ70" s="1"/>
  <c r="AQ218"/>
  <c r="AQ74" s="1"/>
  <c r="AQ428"/>
  <c r="AQ84" s="1"/>
  <c r="AQ365"/>
  <c r="AQ81" s="1"/>
  <c r="AQ23"/>
  <c r="AP88"/>
  <c r="AR496" i="117"/>
  <c r="AR87" s="1"/>
  <c r="AR218"/>
  <c r="AR74" s="1"/>
  <c r="AR480"/>
  <c r="AR86" s="1"/>
  <c r="AR239"/>
  <c r="AR75" s="1"/>
  <c r="AR407"/>
  <c r="AR83" s="1"/>
  <c r="AR31"/>
  <c r="AQ407" i="120"/>
  <c r="AQ83" s="1"/>
  <c r="AQ496"/>
  <c r="AQ87" s="1"/>
  <c r="AQ260"/>
  <c r="AQ76" s="1"/>
  <c r="AQ20"/>
  <c r="AQ386"/>
  <c r="AQ82" s="1"/>
  <c r="AQ344"/>
  <c r="AQ80" s="1"/>
  <c r="AQ24"/>
  <c r="AQ36" i="117"/>
  <c r="AQ38" s="1"/>
  <c r="AR260"/>
  <c r="AR76" s="1"/>
  <c r="AR20"/>
  <c r="AR302"/>
  <c r="AR78" s="1"/>
  <c r="AR25"/>
  <c r="AR127" i="120"/>
  <c r="AR111"/>
  <c r="AR129"/>
  <c r="AR170"/>
  <c r="AR191"/>
  <c r="AR212"/>
  <c r="AR233"/>
  <c r="AR254"/>
  <c r="AR275"/>
  <c r="AR296"/>
  <c r="AR317"/>
  <c r="AR338"/>
  <c r="AR359"/>
  <c r="AR380"/>
  <c r="AR401"/>
  <c r="AR422"/>
  <c r="AR458"/>
  <c r="AR474"/>
  <c r="AR490"/>
  <c r="AR106"/>
  <c r="AR107"/>
  <c r="AR132"/>
  <c r="AR150"/>
  <c r="AR190"/>
  <c r="AR211"/>
  <c r="AR232"/>
  <c r="AR253"/>
  <c r="AR274"/>
  <c r="AR295"/>
  <c r="AR316"/>
  <c r="AR337"/>
  <c r="AR358"/>
  <c r="AR379"/>
  <c r="AR400"/>
  <c r="AR421"/>
  <c r="AR457"/>
  <c r="AR473"/>
  <c r="AR489"/>
  <c r="AR169"/>
  <c r="AR128"/>
  <c r="AR153"/>
  <c r="AR171"/>
  <c r="AR192"/>
  <c r="AR213"/>
  <c r="AR234"/>
  <c r="AR255"/>
  <c r="AR276"/>
  <c r="AR297"/>
  <c r="AR318"/>
  <c r="AR339"/>
  <c r="AR360"/>
  <c r="AR381"/>
  <c r="AR402"/>
  <c r="AR423"/>
  <c r="AR459"/>
  <c r="AR475"/>
  <c r="AR491"/>
  <c r="AR148"/>
  <c r="AR108"/>
  <c r="AR149"/>
  <c r="AR174"/>
  <c r="AR195"/>
  <c r="AR216"/>
  <c r="AR237"/>
  <c r="AR258"/>
  <c r="AR279"/>
  <c r="AR300"/>
  <c r="AR321"/>
  <c r="AR342"/>
  <c r="AR363"/>
  <c r="AR384"/>
  <c r="AR405"/>
  <c r="AR426"/>
  <c r="AR462"/>
  <c r="AR478"/>
  <c r="AR494"/>
  <c r="AR398"/>
  <c r="AR485"/>
  <c r="AR469"/>
  <c r="AR357"/>
  <c r="AR453"/>
  <c r="AR456"/>
  <c r="AR313"/>
  <c r="AR315"/>
  <c r="AR249"/>
  <c r="AR165"/>
  <c r="AR272"/>
  <c r="AR277"/>
  <c r="AR228"/>
  <c r="AR361"/>
  <c r="AR250"/>
  <c r="AR355"/>
  <c r="AR186"/>
  <c r="AR109"/>
  <c r="AR301"/>
  <c r="AR209"/>
  <c r="AR420"/>
  <c r="AR167"/>
  <c r="AR187"/>
  <c r="AR146"/>
  <c r="AR406"/>
  <c r="AR123"/>
  <c r="AR193"/>
  <c r="AR375"/>
  <c r="AR124"/>
  <c r="AR427"/>
  <c r="AR492"/>
  <c r="AR476"/>
  <c r="AR399"/>
  <c r="AR454"/>
  <c r="AR471"/>
  <c r="AR336"/>
  <c r="AR376"/>
  <c r="AR256"/>
  <c r="AR172"/>
  <c r="AR312"/>
  <c r="AR335"/>
  <c r="AR235"/>
  <c r="AR378"/>
  <c r="AR293"/>
  <c r="AR472"/>
  <c r="AR259"/>
  <c r="AR125"/>
  <c r="AR486"/>
  <c r="AR210"/>
  <c r="AR145"/>
  <c r="AR214"/>
  <c r="AR229"/>
  <c r="AR294"/>
  <c r="AR238"/>
  <c r="AR354"/>
  <c r="AR151"/>
  <c r="AR39"/>
  <c r="AR175"/>
  <c r="AR455"/>
  <c r="AR470"/>
  <c r="AR487"/>
  <c r="AR417"/>
  <c r="AR273"/>
  <c r="AR377"/>
  <c r="AR397"/>
  <c r="AR460"/>
  <c r="AR298"/>
  <c r="AR188"/>
  <c r="AR333"/>
  <c r="AR385"/>
  <c r="AR251"/>
  <c r="AR396"/>
  <c r="AR407" s="1"/>
  <c r="AR83" s="1"/>
  <c r="AR314"/>
  <c r="AR166"/>
  <c r="AR270"/>
  <c r="AR154"/>
  <c r="AR102"/>
  <c r="AR230"/>
  <c r="AR207"/>
  <c r="AR252"/>
  <c r="AR104"/>
  <c r="AR103"/>
  <c r="AR418"/>
  <c r="AR356"/>
  <c r="AR105"/>
  <c r="AR147"/>
  <c r="AR479"/>
  <c r="AR488"/>
  <c r="AR463"/>
  <c r="AR424"/>
  <c r="AR334"/>
  <c r="AR419"/>
  <c r="AR403"/>
  <c r="AR495"/>
  <c r="AR292"/>
  <c r="AR217"/>
  <c r="AR364"/>
  <c r="AR231"/>
  <c r="AR271"/>
  <c r="AR196"/>
  <c r="AR340"/>
  <c r="AR189"/>
  <c r="AR280"/>
  <c r="AR168"/>
  <c r="AR291"/>
  <c r="AR208"/>
  <c r="AR319"/>
  <c r="AR133"/>
  <c r="AR126"/>
  <c r="AR130"/>
  <c r="AR382"/>
  <c r="AR343"/>
  <c r="AR112"/>
  <c r="AR322"/>
  <c r="AR144"/>
  <c r="AS45" i="117"/>
  <c r="AS65" s="1"/>
  <c r="AS10"/>
  <c r="AS14" s="1"/>
  <c r="AT499"/>
  <c r="AT388"/>
  <c r="AT435"/>
  <c r="AT409"/>
  <c r="AT42"/>
  <c r="AT67" s="1"/>
  <c r="AT445"/>
  <c r="AT225"/>
  <c r="AT288"/>
  <c r="AT241"/>
  <c r="AT325"/>
  <c r="AT309"/>
  <c r="AT183"/>
  <c r="AT450"/>
  <c r="AT367"/>
  <c r="AT414"/>
  <c r="AT162"/>
  <c r="AT136"/>
  <c r="AT94"/>
  <c r="AT204"/>
  <c r="AT246"/>
  <c r="AT466"/>
  <c r="AT120"/>
  <c r="AT99"/>
  <c r="AT482"/>
  <c r="AT393"/>
  <c r="AT267"/>
  <c r="AT346"/>
  <c r="AT220"/>
  <c r="AT178"/>
  <c r="AT283"/>
  <c r="AT330"/>
  <c r="AT157"/>
  <c r="AT141"/>
  <c r="AU8"/>
  <c r="AT507"/>
  <c r="AT508" s="1"/>
  <c r="AT509" s="1"/>
  <c r="AT503"/>
  <c r="AT304"/>
  <c r="AT351"/>
  <c r="AT372"/>
  <c r="AT440"/>
  <c r="AT16"/>
  <c r="AT115"/>
  <c r="AT199"/>
  <c r="AT262"/>
  <c r="AT430"/>
  <c r="AT264"/>
  <c r="AT53" s="1"/>
  <c r="AT285"/>
  <c r="AT54" s="1"/>
  <c r="AT437"/>
  <c r="AT62" s="1"/>
  <c r="AT348"/>
  <c r="AT57" s="1"/>
  <c r="AT159"/>
  <c r="AT48" s="1"/>
  <c r="AT447"/>
  <c r="AT64" s="1"/>
  <c r="AT432"/>
  <c r="AT61" s="1"/>
  <c r="AT201"/>
  <c r="AT50" s="1"/>
  <c r="AT117"/>
  <c r="AT46" s="1"/>
  <c r="AT369"/>
  <c r="AT58" s="1"/>
  <c r="AT243"/>
  <c r="AT52" s="1"/>
  <c r="AT180"/>
  <c r="AT49" s="1"/>
  <c r="AT390"/>
  <c r="AT59" s="1"/>
  <c r="AT138"/>
  <c r="AT47" s="1"/>
  <c r="AT411"/>
  <c r="AT60" s="1"/>
  <c r="AT327"/>
  <c r="AT56" s="1"/>
  <c r="AT442"/>
  <c r="AT63" s="1"/>
  <c r="AT306"/>
  <c r="AT55" s="1"/>
  <c r="AT96"/>
  <c r="AT222"/>
  <c r="AT51" s="1"/>
  <c r="AQ302" i="120"/>
  <c r="AQ78" s="1"/>
  <c r="AQ480"/>
  <c r="AQ86" s="1"/>
  <c r="AQ31"/>
  <c r="AQ88" i="117"/>
  <c r="AQ90" s="1"/>
  <c r="AR344"/>
  <c r="AR80" s="1"/>
  <c r="AR176"/>
  <c r="AR72" s="1"/>
  <c r="AR32"/>
  <c r="AR22"/>
  <c r="AR365"/>
  <c r="AR81" s="1"/>
  <c r="AR21"/>
  <c r="AR23"/>
  <c r="AS148"/>
  <c r="AS108"/>
  <c r="AS149"/>
  <c r="AS174"/>
  <c r="AS195"/>
  <c r="AS216"/>
  <c r="AS237"/>
  <c r="AS258"/>
  <c r="AS279"/>
  <c r="AS300"/>
  <c r="AS321"/>
  <c r="AS342"/>
  <c r="AS363"/>
  <c r="AS384"/>
  <c r="AS405"/>
  <c r="AS426"/>
  <c r="AS462"/>
  <c r="AS478"/>
  <c r="AS494"/>
  <c r="AS127"/>
  <c r="AS111"/>
  <c r="AS129"/>
  <c r="AS170"/>
  <c r="AS191"/>
  <c r="AS212"/>
  <c r="AS233"/>
  <c r="AS254"/>
  <c r="AS275"/>
  <c r="AS296"/>
  <c r="AS317"/>
  <c r="AS338"/>
  <c r="AS359"/>
  <c r="AS380"/>
  <c r="AS401"/>
  <c r="AS422"/>
  <c r="AS458"/>
  <c r="AS474"/>
  <c r="AS490"/>
  <c r="AS106"/>
  <c r="AS23" s="1"/>
  <c r="AS107"/>
  <c r="AS132"/>
  <c r="AS150"/>
  <c r="AS190"/>
  <c r="AS211"/>
  <c r="AS232"/>
  <c r="AS253"/>
  <c r="AS274"/>
  <c r="AS295"/>
  <c r="AS316"/>
  <c r="AS337"/>
  <c r="AS358"/>
  <c r="AS379"/>
  <c r="AS400"/>
  <c r="AS421"/>
  <c r="AS457"/>
  <c r="AS473"/>
  <c r="AS489"/>
  <c r="AS169"/>
  <c r="AS128"/>
  <c r="AS153"/>
  <c r="AS171"/>
  <c r="AS192"/>
  <c r="AS213"/>
  <c r="AS234"/>
  <c r="AS255"/>
  <c r="AS276"/>
  <c r="AS297"/>
  <c r="AS318"/>
  <c r="AS339"/>
  <c r="AS360"/>
  <c r="AS381"/>
  <c r="AS402"/>
  <c r="AS423"/>
  <c r="AS459"/>
  <c r="AS475"/>
  <c r="AS491"/>
  <c r="AS487"/>
  <c r="AS453"/>
  <c r="AS364"/>
  <c r="AS378"/>
  <c r="AS455"/>
  <c r="AS375"/>
  <c r="AS420"/>
  <c r="AS252"/>
  <c r="AS231"/>
  <c r="AS315"/>
  <c r="AS228"/>
  <c r="AS239" s="1"/>
  <c r="AS75" s="1"/>
  <c r="AS144"/>
  <c r="AS424"/>
  <c r="AS280"/>
  <c r="AS209"/>
  <c r="AS125"/>
  <c r="AS399"/>
  <c r="AS146"/>
  <c r="AS277"/>
  <c r="AS291"/>
  <c r="AS354"/>
  <c r="AS251"/>
  <c r="AS166"/>
  <c r="AS189"/>
  <c r="AS357"/>
  <c r="AS123"/>
  <c r="AS456"/>
  <c r="AS172"/>
  <c r="AS207"/>
  <c r="AS488"/>
  <c r="AS460"/>
  <c r="AS396"/>
  <c r="AS312"/>
  <c r="AS479"/>
  <c r="AS382"/>
  <c r="AS454"/>
  <c r="AS313"/>
  <c r="AS273"/>
  <c r="AS124"/>
  <c r="AS235"/>
  <c r="AS151"/>
  <c r="AS476"/>
  <c r="AS322"/>
  <c r="AS238"/>
  <c r="AS154"/>
  <c r="AS406"/>
  <c r="AS168"/>
  <c r="AS417"/>
  <c r="AS301"/>
  <c r="AS469"/>
  <c r="AS259"/>
  <c r="AS210"/>
  <c r="AS250"/>
  <c r="AS298"/>
  <c r="AS165"/>
  <c r="AS176" s="1"/>
  <c r="AS72" s="1"/>
  <c r="AS270"/>
  <c r="AS175"/>
  <c r="AS217"/>
  <c r="AS486"/>
  <c r="AS471"/>
  <c r="AS403"/>
  <c r="AS319"/>
  <c r="AS492"/>
  <c r="AS398"/>
  <c r="AS472"/>
  <c r="AS336"/>
  <c r="AS377"/>
  <c r="AS147"/>
  <c r="AS249"/>
  <c r="AS167"/>
  <c r="AS39"/>
  <c r="AS334"/>
  <c r="AS256"/>
  <c r="AS186"/>
  <c r="AS102"/>
  <c r="AS187"/>
  <c r="AS126"/>
  <c r="AS376"/>
  <c r="AS130"/>
  <c r="AS294"/>
  <c r="AS229"/>
  <c r="AS293"/>
  <c r="AS418"/>
  <c r="AS333"/>
  <c r="AS463"/>
  <c r="AS214"/>
  <c r="AS133"/>
  <c r="AS485"/>
  <c r="AS419"/>
  <c r="AS335"/>
  <c r="AS355"/>
  <c r="AS427"/>
  <c r="AS343"/>
  <c r="AS397"/>
  <c r="AS495"/>
  <c r="AS208"/>
  <c r="AS292"/>
  <c r="AS196"/>
  <c r="AS112"/>
  <c r="AS32" s="1"/>
  <c r="AS385"/>
  <c r="AS271"/>
  <c r="AS193"/>
  <c r="AS109"/>
  <c r="AS26" s="1"/>
  <c r="AS361"/>
  <c r="AS145"/>
  <c r="AS272"/>
  <c r="AS188"/>
  <c r="AS340"/>
  <c r="AS230"/>
  <c r="AS104"/>
  <c r="AS470"/>
  <c r="AS356"/>
  <c r="AS103"/>
  <c r="AS314"/>
  <c r="AS105"/>
  <c r="AS22" s="1"/>
  <c r="AQ21" i="120"/>
  <c r="AQ32"/>
  <c r="AQ281"/>
  <c r="AQ77" s="1"/>
  <c r="AQ464"/>
  <c r="AQ85" s="1"/>
  <c r="AQ239"/>
  <c r="AQ75" s="1"/>
  <c r="AQ25"/>
  <c r="AP36"/>
  <c r="AP38" s="1"/>
  <c r="AR197" i="117"/>
  <c r="AR73" s="1"/>
  <c r="AR281"/>
  <c r="AR77" s="1"/>
  <c r="AR134"/>
  <c r="AR70" s="1"/>
  <c r="AR386"/>
  <c r="AR82" s="1"/>
  <c r="AR464"/>
  <c r="AR85" s="1"/>
  <c r="AR24"/>
  <c r="AP90" i="120"/>
  <c r="AS19" i="117" l="1"/>
  <c r="AS113"/>
  <c r="AS69" s="1"/>
  <c r="AU309"/>
  <c r="AU466"/>
  <c r="AU267"/>
  <c r="AU330"/>
  <c r="AU288"/>
  <c r="AU283"/>
  <c r="AU162"/>
  <c r="AU414"/>
  <c r="AU120"/>
  <c r="AU304"/>
  <c r="AU393"/>
  <c r="AU372"/>
  <c r="AU325"/>
  <c r="AU430"/>
  <c r="AU388"/>
  <c r="AU351"/>
  <c r="AU346"/>
  <c r="AU246"/>
  <c r="AU435"/>
  <c r="AU241"/>
  <c r="AU507"/>
  <c r="AU508" s="1"/>
  <c r="AU509" s="1"/>
  <c r="AU199"/>
  <c r="AU499"/>
  <c r="AU367"/>
  <c r="AU409"/>
  <c r="AU136"/>
  <c r="AU141"/>
  <c r="AU99"/>
  <c r="AU178"/>
  <c r="AU262"/>
  <c r="AU157"/>
  <c r="AU450"/>
  <c r="AU94"/>
  <c r="AU482"/>
  <c r="AU503"/>
  <c r="AU440"/>
  <c r="AU220"/>
  <c r="AU225"/>
  <c r="AU183"/>
  <c r="AU204"/>
  <c r="AU115"/>
  <c r="AU445"/>
  <c r="AU16"/>
  <c r="AU42"/>
  <c r="AU67" s="1"/>
  <c r="AU348"/>
  <c r="AU57" s="1"/>
  <c r="N57" s="1"/>
  <c r="AU432"/>
  <c r="AU61" s="1"/>
  <c r="N61" s="1"/>
  <c r="AU447"/>
  <c r="AU64" s="1"/>
  <c r="N64" s="1"/>
  <c r="AU159"/>
  <c r="AU48" s="1"/>
  <c r="N48" s="1"/>
  <c r="AU442"/>
  <c r="AU63" s="1"/>
  <c r="N63" s="1"/>
  <c r="AU264"/>
  <c r="AU53" s="1"/>
  <c r="N53" s="1"/>
  <c r="AU411"/>
  <c r="AU60" s="1"/>
  <c r="N60" s="1"/>
  <c r="AU306"/>
  <c r="AU55" s="1"/>
  <c r="N55" s="1"/>
  <c r="AU117"/>
  <c r="AU46" s="1"/>
  <c r="N46" s="1"/>
  <c r="AU285"/>
  <c r="AU54" s="1"/>
  <c r="N54" s="1"/>
  <c r="AU327"/>
  <c r="AU56" s="1"/>
  <c r="N56" s="1"/>
  <c r="AU138"/>
  <c r="AU47" s="1"/>
  <c r="N47" s="1"/>
  <c r="AU243"/>
  <c r="AU52" s="1"/>
  <c r="N52" s="1"/>
  <c r="AU369"/>
  <c r="AU58" s="1"/>
  <c r="N58" s="1"/>
  <c r="AU96"/>
  <c r="AU437"/>
  <c r="AU62" s="1"/>
  <c r="N62" s="1"/>
  <c r="AU180"/>
  <c r="AU49" s="1"/>
  <c r="N49" s="1"/>
  <c r="AU390"/>
  <c r="AU59" s="1"/>
  <c r="N59" s="1"/>
  <c r="AU222"/>
  <c r="AU51" s="1"/>
  <c r="N51" s="1"/>
  <c r="AU201"/>
  <c r="AU50" s="1"/>
  <c r="N50" s="1"/>
  <c r="AS496"/>
  <c r="AS87" s="1"/>
  <c r="AS20"/>
  <c r="AS260"/>
  <c r="AS76" s="1"/>
  <c r="AS323"/>
  <c r="AS79" s="1"/>
  <c r="AS218"/>
  <c r="AS74" s="1"/>
  <c r="AS365"/>
  <c r="AS81" s="1"/>
  <c r="AS31"/>
  <c r="AR218" i="120"/>
  <c r="AR74" s="1"/>
  <c r="AR281"/>
  <c r="AR77" s="1"/>
  <c r="AR365"/>
  <c r="AR81" s="1"/>
  <c r="AR480"/>
  <c r="AR86" s="1"/>
  <c r="AR25"/>
  <c r="AR88" i="117"/>
  <c r="AR90" s="1"/>
  <c r="AT148"/>
  <c r="AT108"/>
  <c r="AT149"/>
  <c r="AT174"/>
  <c r="AT195"/>
  <c r="AT216"/>
  <c r="AT237"/>
  <c r="AT258"/>
  <c r="AT279"/>
  <c r="AT300"/>
  <c r="AT321"/>
  <c r="AT342"/>
  <c r="AT363"/>
  <c r="AT384"/>
  <c r="AT405"/>
  <c r="AT426"/>
  <c r="AT462"/>
  <c r="AT478"/>
  <c r="AT494"/>
  <c r="AT127"/>
  <c r="AT111"/>
  <c r="AT129"/>
  <c r="AT170"/>
  <c r="AT191"/>
  <c r="AT212"/>
  <c r="AT233"/>
  <c r="AT254"/>
  <c r="AT275"/>
  <c r="AT296"/>
  <c r="AT317"/>
  <c r="AT338"/>
  <c r="AT359"/>
  <c r="AT380"/>
  <c r="AT401"/>
  <c r="AT422"/>
  <c r="AT458"/>
  <c r="AT474"/>
  <c r="AT490"/>
  <c r="AT106"/>
  <c r="AT107"/>
  <c r="AT24" s="1"/>
  <c r="AT132"/>
  <c r="AT150"/>
  <c r="AT190"/>
  <c r="AT211"/>
  <c r="AT232"/>
  <c r="AT253"/>
  <c r="AT274"/>
  <c r="AT295"/>
  <c r="AT316"/>
  <c r="AT337"/>
  <c r="AT358"/>
  <c r="AT379"/>
  <c r="AT400"/>
  <c r="AT421"/>
  <c r="AT457"/>
  <c r="AT473"/>
  <c r="AT489"/>
  <c r="AT169"/>
  <c r="AT128"/>
  <c r="AT153"/>
  <c r="AT171"/>
  <c r="AT192"/>
  <c r="AT213"/>
  <c r="AT234"/>
  <c r="AT255"/>
  <c r="AT276"/>
  <c r="AT297"/>
  <c r="AT318"/>
  <c r="AT339"/>
  <c r="AT360"/>
  <c r="AT381"/>
  <c r="AT402"/>
  <c r="AT423"/>
  <c r="AT459"/>
  <c r="AT475"/>
  <c r="AT491"/>
  <c r="AT485"/>
  <c r="AT378"/>
  <c r="AT455"/>
  <c r="AT375"/>
  <c r="AT334"/>
  <c r="AT417"/>
  <c r="AT333"/>
  <c r="AT249"/>
  <c r="AT292"/>
  <c r="AT167"/>
  <c r="AT39"/>
  <c r="AT259"/>
  <c r="AT103"/>
  <c r="AT335"/>
  <c r="AT145"/>
  <c r="AT495"/>
  <c r="AT313"/>
  <c r="AT420"/>
  <c r="AT207"/>
  <c r="AT102"/>
  <c r="AT154"/>
  <c r="AT343"/>
  <c r="AT314"/>
  <c r="AT271"/>
  <c r="AT209"/>
  <c r="AT377"/>
  <c r="AT214"/>
  <c r="AT208"/>
  <c r="AT165"/>
  <c r="AT492"/>
  <c r="AT486"/>
  <c r="AT479"/>
  <c r="AT382"/>
  <c r="AT357"/>
  <c r="AT424"/>
  <c r="AT340"/>
  <c r="AT256"/>
  <c r="AT315"/>
  <c r="AT196"/>
  <c r="AT112"/>
  <c r="AT32" s="1"/>
  <c r="AT277"/>
  <c r="AT126"/>
  <c r="AT336"/>
  <c r="AT168"/>
  <c r="AT147"/>
  <c r="AT322"/>
  <c r="AT130"/>
  <c r="AT238"/>
  <c r="AT172"/>
  <c r="AT231"/>
  <c r="AT105"/>
  <c r="AT460"/>
  <c r="AT312"/>
  <c r="AT396"/>
  <c r="AT280"/>
  <c r="AT217"/>
  <c r="AT124"/>
  <c r="AT133"/>
  <c r="AT487"/>
  <c r="AT294"/>
  <c r="AT398"/>
  <c r="AT418"/>
  <c r="AT469"/>
  <c r="AT356"/>
  <c r="AT272"/>
  <c r="AT319"/>
  <c r="AT228"/>
  <c r="AT144"/>
  <c r="AT364"/>
  <c r="AT187"/>
  <c r="AT361"/>
  <c r="AT229"/>
  <c r="AT403"/>
  <c r="AT376"/>
  <c r="AT188"/>
  <c r="AT250"/>
  <c r="AT189"/>
  <c r="AT273"/>
  <c r="AT109"/>
  <c r="AT104"/>
  <c r="AT453"/>
  <c r="AT406"/>
  <c r="AT399"/>
  <c r="AT230"/>
  <c r="AT166"/>
  <c r="AT175"/>
  <c r="AT488"/>
  <c r="AT355"/>
  <c r="AT427"/>
  <c r="AT470"/>
  <c r="AT476"/>
  <c r="AT385"/>
  <c r="AT301"/>
  <c r="AT397"/>
  <c r="AT235"/>
  <c r="AT151"/>
  <c r="AT456"/>
  <c r="AT210"/>
  <c r="AT463"/>
  <c r="AT298"/>
  <c r="AT419"/>
  <c r="AT471"/>
  <c r="AT291"/>
  <c r="AT270"/>
  <c r="AT281" s="1"/>
  <c r="AT77" s="1"/>
  <c r="AT193"/>
  <c r="AT293"/>
  <c r="AT123"/>
  <c r="AT186"/>
  <c r="AT197" s="1"/>
  <c r="AT73" s="1"/>
  <c r="AT472"/>
  <c r="AT252"/>
  <c r="AT125"/>
  <c r="AT251"/>
  <c r="AT354"/>
  <c r="AT454"/>
  <c r="AT146"/>
  <c r="AR113" i="120"/>
  <c r="AR69" s="1"/>
  <c r="AR23"/>
  <c r="AS45"/>
  <c r="AS65" s="1"/>
  <c r="AS10"/>
  <c r="AS14" s="1"/>
  <c r="AS21" i="117"/>
  <c r="AS197"/>
  <c r="AS73" s="1"/>
  <c r="AS480"/>
  <c r="AS86" s="1"/>
  <c r="AS134"/>
  <c r="AS70" s="1"/>
  <c r="AS386"/>
  <c r="AS82" s="1"/>
  <c r="AS464"/>
  <c r="AS85" s="1"/>
  <c r="AS25"/>
  <c r="AR323" i="120"/>
  <c r="AR79" s="1"/>
  <c r="AR386"/>
  <c r="AR82" s="1"/>
  <c r="AR155"/>
  <c r="AR71" s="1"/>
  <c r="AR134"/>
  <c r="AR70" s="1"/>
  <c r="AR176"/>
  <c r="AR72" s="1"/>
  <c r="AQ36"/>
  <c r="AQ38" s="1"/>
  <c r="AT45" i="117"/>
  <c r="AT65" s="1"/>
  <c r="AT10"/>
  <c r="AT14" s="1"/>
  <c r="AS127" i="120"/>
  <c r="AS111"/>
  <c r="AS129"/>
  <c r="AS170"/>
  <c r="AS191"/>
  <c r="AS212"/>
  <c r="AS233"/>
  <c r="AS254"/>
  <c r="AS275"/>
  <c r="AS296"/>
  <c r="AS317"/>
  <c r="AS338"/>
  <c r="AS359"/>
  <c r="AS380"/>
  <c r="AS401"/>
  <c r="AS422"/>
  <c r="AS458"/>
  <c r="AS474"/>
  <c r="AS490"/>
  <c r="AS106"/>
  <c r="AS107"/>
  <c r="AS132"/>
  <c r="AS150"/>
  <c r="AS190"/>
  <c r="AS211"/>
  <c r="AS232"/>
  <c r="AS253"/>
  <c r="AS274"/>
  <c r="AS295"/>
  <c r="AS316"/>
  <c r="AS337"/>
  <c r="AS358"/>
  <c r="AS379"/>
  <c r="AS400"/>
  <c r="AS421"/>
  <c r="AS457"/>
  <c r="AS473"/>
  <c r="AS489"/>
  <c r="AS169"/>
  <c r="AS128"/>
  <c r="AS153"/>
  <c r="AS171"/>
  <c r="AS192"/>
  <c r="AS213"/>
  <c r="AS234"/>
  <c r="AS255"/>
  <c r="AS276"/>
  <c r="AS297"/>
  <c r="AS318"/>
  <c r="AS339"/>
  <c r="AS360"/>
  <c r="AS381"/>
  <c r="AS402"/>
  <c r="AS423"/>
  <c r="AS459"/>
  <c r="AS475"/>
  <c r="AS491"/>
  <c r="AS148"/>
  <c r="AS108"/>
  <c r="AS149"/>
  <c r="AS174"/>
  <c r="AS195"/>
  <c r="AS216"/>
  <c r="AS237"/>
  <c r="AS258"/>
  <c r="AS279"/>
  <c r="AS300"/>
  <c r="AS321"/>
  <c r="AS342"/>
  <c r="AS363"/>
  <c r="AS384"/>
  <c r="AS405"/>
  <c r="AS426"/>
  <c r="AS462"/>
  <c r="AS478"/>
  <c r="AS494"/>
  <c r="AS492"/>
  <c r="AS454"/>
  <c r="AS453"/>
  <c r="AS354"/>
  <c r="AS270"/>
  <c r="AS397"/>
  <c r="AS356"/>
  <c r="AS272"/>
  <c r="AS335"/>
  <c r="AS417"/>
  <c r="AS271"/>
  <c r="AS479"/>
  <c r="AS334"/>
  <c r="AS357"/>
  <c r="AS209"/>
  <c r="AS230"/>
  <c r="AS252"/>
  <c r="AS167"/>
  <c r="AS292"/>
  <c r="AS124"/>
  <c r="AS336"/>
  <c r="AS123"/>
  <c r="AS406"/>
  <c r="AS187"/>
  <c r="AS495"/>
  <c r="AS105"/>
  <c r="AS313"/>
  <c r="AS102"/>
  <c r="AS418"/>
  <c r="AS472"/>
  <c r="AS487"/>
  <c r="AS361"/>
  <c r="AS277"/>
  <c r="AS403"/>
  <c r="AS385"/>
  <c r="AS301"/>
  <c r="AS364"/>
  <c r="AS280"/>
  <c r="AS376"/>
  <c r="AS228"/>
  <c r="AS239" s="1"/>
  <c r="AS75" s="1"/>
  <c r="AS343"/>
  <c r="AS469"/>
  <c r="AS238"/>
  <c r="AS291"/>
  <c r="AS298"/>
  <c r="AS188"/>
  <c r="AS460"/>
  <c r="AS147"/>
  <c r="AS375"/>
  <c r="AS130"/>
  <c r="AS103"/>
  <c r="AS355"/>
  <c r="AS168"/>
  <c r="AS256"/>
  <c r="AS259"/>
  <c r="AS175"/>
  <c r="AS154"/>
  <c r="AS470"/>
  <c r="AS463"/>
  <c r="AS399"/>
  <c r="AS377"/>
  <c r="AS293"/>
  <c r="AS471"/>
  <c r="AS427"/>
  <c r="AS333"/>
  <c r="AS396"/>
  <c r="AS312"/>
  <c r="AS208"/>
  <c r="AS235"/>
  <c r="AS398"/>
  <c r="AS210"/>
  <c r="AS294"/>
  <c r="AS186"/>
  <c r="AS145"/>
  <c r="AS214"/>
  <c r="AS104"/>
  <c r="AS21" s="1"/>
  <c r="AS172"/>
  <c r="AS382"/>
  <c r="AS146"/>
  <c r="AS126"/>
  <c r="AS165"/>
  <c r="AS189"/>
  <c r="AS39"/>
  <c r="AS144"/>
  <c r="AS155" s="1"/>
  <c r="AS71" s="1"/>
  <c r="AS109"/>
  <c r="AS125"/>
  <c r="AS488"/>
  <c r="AS485"/>
  <c r="AS496" s="1"/>
  <c r="AS87" s="1"/>
  <c r="AS456"/>
  <c r="AS419"/>
  <c r="AS322"/>
  <c r="AS476"/>
  <c r="AS455"/>
  <c r="AS340"/>
  <c r="AS486"/>
  <c r="AS319"/>
  <c r="AS231"/>
  <c r="AS251"/>
  <c r="AS420"/>
  <c r="AS273"/>
  <c r="AS315"/>
  <c r="AS193"/>
  <c r="AS207"/>
  <c r="AS249"/>
  <c r="AS133"/>
  <c r="AS196"/>
  <c r="AS424"/>
  <c r="AS250"/>
  <c r="AS378"/>
  <c r="AS217"/>
  <c r="AS166"/>
  <c r="AS112"/>
  <c r="AS32" s="1"/>
  <c r="AS314"/>
  <c r="AS229"/>
  <c r="AS151"/>
  <c r="AR32"/>
  <c r="AR302"/>
  <c r="AR78" s="1"/>
  <c r="AR22"/>
  <c r="AR21"/>
  <c r="AR19"/>
  <c r="AR344"/>
  <c r="AR80" s="1"/>
  <c r="AR197"/>
  <c r="AR73" s="1"/>
  <c r="AR239"/>
  <c r="AR75" s="1"/>
  <c r="AR260"/>
  <c r="AR76" s="1"/>
  <c r="AR464"/>
  <c r="AR85" s="1"/>
  <c r="AR24"/>
  <c r="AQ88"/>
  <c r="AQ90" s="1"/>
  <c r="AT414"/>
  <c r="AT435"/>
  <c r="AT246"/>
  <c r="AT367"/>
  <c r="AT507"/>
  <c r="AT508" s="1"/>
  <c r="AT509" s="1"/>
  <c r="AT183"/>
  <c r="AT372"/>
  <c r="AT430"/>
  <c r="AT204"/>
  <c r="AT16"/>
  <c r="AT283"/>
  <c r="AT136"/>
  <c r="AT445"/>
  <c r="AT450"/>
  <c r="AT262"/>
  <c r="AT220"/>
  <c r="AT178"/>
  <c r="AT351"/>
  <c r="AT466"/>
  <c r="AT115"/>
  <c r="AT409"/>
  <c r="AU8"/>
  <c r="AT440"/>
  <c r="AT482"/>
  <c r="AT325"/>
  <c r="AT304"/>
  <c r="AT288"/>
  <c r="AT503"/>
  <c r="AT157"/>
  <c r="AT267"/>
  <c r="AT141"/>
  <c r="AT42"/>
  <c r="AT67" s="1"/>
  <c r="AT330"/>
  <c r="AT94"/>
  <c r="AT499"/>
  <c r="AT346"/>
  <c r="AT388"/>
  <c r="AT162"/>
  <c r="AT225"/>
  <c r="AT99"/>
  <c r="AT199"/>
  <c r="AT241"/>
  <c r="AT120"/>
  <c r="AT393"/>
  <c r="AT309"/>
  <c r="AT442"/>
  <c r="AT63" s="1"/>
  <c r="AT411"/>
  <c r="AT60" s="1"/>
  <c r="AT96"/>
  <c r="AT306"/>
  <c r="AT55" s="1"/>
  <c r="AT222"/>
  <c r="AT51" s="1"/>
  <c r="AT117"/>
  <c r="AT46" s="1"/>
  <c r="AT201"/>
  <c r="AT50" s="1"/>
  <c r="AT447"/>
  <c r="AT64" s="1"/>
  <c r="AT390"/>
  <c r="AT59" s="1"/>
  <c r="AT138"/>
  <c r="AT47" s="1"/>
  <c r="AT327"/>
  <c r="AT56" s="1"/>
  <c r="AT264"/>
  <c r="AT53" s="1"/>
  <c r="AT432"/>
  <c r="AT61" s="1"/>
  <c r="AT369"/>
  <c r="AT58" s="1"/>
  <c r="AT243"/>
  <c r="AT52" s="1"/>
  <c r="AT159"/>
  <c r="AT48" s="1"/>
  <c r="AT437"/>
  <c r="AT62" s="1"/>
  <c r="AT348"/>
  <c r="AT57" s="1"/>
  <c r="AT180"/>
  <c r="AT49" s="1"/>
  <c r="AT285"/>
  <c r="AT54" s="1"/>
  <c r="AS344" i="117"/>
  <c r="AS80" s="1"/>
  <c r="AS281"/>
  <c r="AS77" s="1"/>
  <c r="AS428"/>
  <c r="AS84" s="1"/>
  <c r="AS407"/>
  <c r="AS83" s="1"/>
  <c r="AS302"/>
  <c r="AS78" s="1"/>
  <c r="AS155"/>
  <c r="AS71" s="1"/>
  <c r="AS24"/>
  <c r="AR20" i="120"/>
  <c r="AR428"/>
  <c r="AR84" s="1"/>
  <c r="AR26"/>
  <c r="AR496"/>
  <c r="AR87" s="1"/>
  <c r="AR31"/>
  <c r="AR36" i="117"/>
  <c r="AR38" s="1"/>
  <c r="G14" i="8"/>
  <c r="G21"/>
  <c r="G13"/>
  <c r="G28"/>
  <c r="G16"/>
  <c r="G30"/>
  <c r="G26"/>
  <c r="G22"/>
  <c r="G17"/>
  <c r="G15"/>
  <c r="G27"/>
  <c r="G19"/>
  <c r="G20"/>
  <c r="G24"/>
  <c r="G25"/>
  <c r="G23"/>
  <c r="G29"/>
  <c r="G12"/>
  <c r="G18"/>
  <c r="AT19" i="117" l="1"/>
  <c r="AT113"/>
  <c r="AT69" s="1"/>
  <c r="AS23" i="120"/>
  <c r="AT21" i="117"/>
  <c r="AT155"/>
  <c r="AT71" s="1"/>
  <c r="AT386"/>
  <c r="AT82" s="1"/>
  <c r="AT31"/>
  <c r="AT45" i="120"/>
  <c r="AT65" s="1"/>
  <c r="AT10"/>
  <c r="AT14" s="1"/>
  <c r="AT127"/>
  <c r="AT111"/>
  <c r="AT129"/>
  <c r="AT170"/>
  <c r="AT191"/>
  <c r="AT212"/>
  <c r="AT233"/>
  <c r="AT254"/>
  <c r="AT275"/>
  <c r="AT296"/>
  <c r="AT317"/>
  <c r="AT338"/>
  <c r="AT359"/>
  <c r="AT380"/>
  <c r="AT401"/>
  <c r="AT422"/>
  <c r="AT458"/>
  <c r="AT474"/>
  <c r="AT490"/>
  <c r="AT106"/>
  <c r="AT23" s="1"/>
  <c r="AT107"/>
  <c r="AT132"/>
  <c r="AT150"/>
  <c r="AT190"/>
  <c r="AT211"/>
  <c r="AT232"/>
  <c r="AT253"/>
  <c r="AT274"/>
  <c r="AT295"/>
  <c r="AT316"/>
  <c r="AT337"/>
  <c r="AT358"/>
  <c r="AT379"/>
  <c r="AT400"/>
  <c r="AT421"/>
  <c r="AT457"/>
  <c r="AT473"/>
  <c r="AT489"/>
  <c r="AT169"/>
  <c r="AT128"/>
  <c r="AT153"/>
  <c r="AT171"/>
  <c r="AT192"/>
  <c r="AT213"/>
  <c r="AT234"/>
  <c r="AT255"/>
  <c r="AT276"/>
  <c r="AT297"/>
  <c r="AT318"/>
  <c r="AT339"/>
  <c r="AT360"/>
  <c r="AT381"/>
  <c r="AT402"/>
  <c r="AT423"/>
  <c r="AT459"/>
  <c r="AT475"/>
  <c r="AT491"/>
  <c r="AT148"/>
  <c r="AT108"/>
  <c r="AT149"/>
  <c r="AT174"/>
  <c r="AT195"/>
  <c r="AT216"/>
  <c r="AT237"/>
  <c r="AT258"/>
  <c r="AT279"/>
  <c r="AT300"/>
  <c r="AT321"/>
  <c r="AT342"/>
  <c r="AT363"/>
  <c r="AT384"/>
  <c r="AT405"/>
  <c r="AT426"/>
  <c r="AT462"/>
  <c r="AT478"/>
  <c r="AT494"/>
  <c r="AT463"/>
  <c r="AT476"/>
  <c r="AT460"/>
  <c r="AT454"/>
  <c r="AT456"/>
  <c r="AT418"/>
  <c r="AT292"/>
  <c r="AT355"/>
  <c r="AT364"/>
  <c r="AT251"/>
  <c r="AT167"/>
  <c r="AT334"/>
  <c r="AT322"/>
  <c r="AT214"/>
  <c r="AT319"/>
  <c r="AT168"/>
  <c r="AT249"/>
  <c r="AT188"/>
  <c r="AT147"/>
  <c r="AT238"/>
  <c r="AT417"/>
  <c r="AT293"/>
  <c r="AT105"/>
  <c r="AT166"/>
  <c r="AT39"/>
  <c r="AT130"/>
  <c r="AT250"/>
  <c r="AT314"/>
  <c r="AT485"/>
  <c r="AT487"/>
  <c r="AT471"/>
  <c r="AT403"/>
  <c r="AT313"/>
  <c r="AT385"/>
  <c r="AT315"/>
  <c r="AT378"/>
  <c r="AT488"/>
  <c r="AT272"/>
  <c r="AT196"/>
  <c r="AT335"/>
  <c r="AT354"/>
  <c r="AT230"/>
  <c r="AT375"/>
  <c r="AT229"/>
  <c r="AT298"/>
  <c r="AT208"/>
  <c r="AT172"/>
  <c r="AT356"/>
  <c r="AT112"/>
  <c r="AT340"/>
  <c r="AT165"/>
  <c r="AT187"/>
  <c r="AT186"/>
  <c r="AT193"/>
  <c r="AT102"/>
  <c r="AT109"/>
  <c r="AT126"/>
  <c r="AT492"/>
  <c r="AT472"/>
  <c r="AT495"/>
  <c r="AT419"/>
  <c r="AT336"/>
  <c r="AT427"/>
  <c r="AT376"/>
  <c r="AT420"/>
  <c r="AT271"/>
  <c r="AT312"/>
  <c r="AT228"/>
  <c r="AT343"/>
  <c r="AT273"/>
  <c r="AT259"/>
  <c r="AT382"/>
  <c r="AT252"/>
  <c r="AT301"/>
  <c r="AT209"/>
  <c r="AT104"/>
  <c r="AT21" s="1"/>
  <c r="AT396"/>
  <c r="AT144"/>
  <c r="AT357"/>
  <c r="AT175"/>
  <c r="AT217"/>
  <c r="AT424"/>
  <c r="AT256"/>
  <c r="AT125"/>
  <c r="AT146"/>
  <c r="AT377"/>
  <c r="AT406"/>
  <c r="AT469"/>
  <c r="AT480" s="1"/>
  <c r="AT86" s="1"/>
  <c r="AT453"/>
  <c r="AT397"/>
  <c r="AT455"/>
  <c r="AT398"/>
  <c r="AT470"/>
  <c r="AT294"/>
  <c r="AT333"/>
  <c r="AT235"/>
  <c r="AT479"/>
  <c r="AT277"/>
  <c r="AT291"/>
  <c r="AT207"/>
  <c r="AT218" s="1"/>
  <c r="AT74" s="1"/>
  <c r="AT280"/>
  <c r="AT486"/>
  <c r="AT210"/>
  <c r="AT133"/>
  <c r="AT124"/>
  <c r="AT151"/>
  <c r="AT361"/>
  <c r="AT231"/>
  <c r="AT270"/>
  <c r="AT123"/>
  <c r="AT399"/>
  <c r="AT145"/>
  <c r="AT189"/>
  <c r="AT103"/>
  <c r="AT154"/>
  <c r="AU45" i="117"/>
  <c r="AU10"/>
  <c r="AS260" i="120"/>
  <c r="AS76" s="1"/>
  <c r="AR88"/>
  <c r="AS176"/>
  <c r="AS72" s="1"/>
  <c r="AS197"/>
  <c r="AS73" s="1"/>
  <c r="AS386"/>
  <c r="AS82" s="1"/>
  <c r="AT20" i="117"/>
  <c r="AT496"/>
  <c r="AT87" s="1"/>
  <c r="AS407" i="120"/>
  <c r="AS83" s="1"/>
  <c r="AS480"/>
  <c r="AS86" s="1"/>
  <c r="AS22"/>
  <c r="AS134"/>
  <c r="AS70" s="1"/>
  <c r="AS428"/>
  <c r="AS84" s="1"/>
  <c r="AS31"/>
  <c r="AT407" i="117"/>
  <c r="AT83" s="1"/>
  <c r="AT428"/>
  <c r="AT84" s="1"/>
  <c r="AT239"/>
  <c r="AT75" s="1"/>
  <c r="AT25"/>
  <c r="AS36"/>
  <c r="AS38" s="1"/>
  <c r="AS19" i="120"/>
  <c r="AS113"/>
  <c r="AS69" s="1"/>
  <c r="AU503"/>
  <c r="AU267"/>
  <c r="AU393"/>
  <c r="AU388"/>
  <c r="AU507"/>
  <c r="AU508" s="1"/>
  <c r="AU509" s="1"/>
  <c r="AU414"/>
  <c r="AU435"/>
  <c r="AU162"/>
  <c r="AU304"/>
  <c r="AU141"/>
  <c r="AU283"/>
  <c r="AU115"/>
  <c r="AU430"/>
  <c r="AU351"/>
  <c r="AU330"/>
  <c r="AU220"/>
  <c r="AU199"/>
  <c r="AU499"/>
  <c r="AU157"/>
  <c r="AU262"/>
  <c r="AU136"/>
  <c r="AU241"/>
  <c r="AU16"/>
  <c r="AU178"/>
  <c r="AU482"/>
  <c r="AU450"/>
  <c r="AU440"/>
  <c r="AU288"/>
  <c r="AU225"/>
  <c r="AU325"/>
  <c r="AU346"/>
  <c r="AU246"/>
  <c r="AU120"/>
  <c r="AU94"/>
  <c r="AU466"/>
  <c r="AU445"/>
  <c r="AU309"/>
  <c r="AU367"/>
  <c r="AU183"/>
  <c r="AU372"/>
  <c r="AU409"/>
  <c r="AU204"/>
  <c r="AU42"/>
  <c r="AU67" s="1"/>
  <c r="AU99"/>
  <c r="AU390"/>
  <c r="AU59" s="1"/>
  <c r="N59" s="1"/>
  <c r="AU117"/>
  <c r="AU46" s="1"/>
  <c r="N46" s="1"/>
  <c r="AU348"/>
  <c r="AU57" s="1"/>
  <c r="N57" s="1"/>
  <c r="AU442"/>
  <c r="AU63" s="1"/>
  <c r="N63" s="1"/>
  <c r="AU447"/>
  <c r="AU64" s="1"/>
  <c r="N64" s="1"/>
  <c r="AU201"/>
  <c r="AU50" s="1"/>
  <c r="N50" s="1"/>
  <c r="AU222"/>
  <c r="AU51" s="1"/>
  <c r="N51" s="1"/>
  <c r="AU180"/>
  <c r="AU49" s="1"/>
  <c r="N49" s="1"/>
  <c r="AU432"/>
  <c r="AU61" s="1"/>
  <c r="N61" s="1"/>
  <c r="AU264"/>
  <c r="AU53" s="1"/>
  <c r="N53" s="1"/>
  <c r="AU411"/>
  <c r="AU60" s="1"/>
  <c r="N60" s="1"/>
  <c r="AU96"/>
  <c r="AU159"/>
  <c r="AU48" s="1"/>
  <c r="N48" s="1"/>
  <c r="AU243"/>
  <c r="AU52" s="1"/>
  <c r="N52" s="1"/>
  <c r="AU369"/>
  <c r="AU58" s="1"/>
  <c r="N58" s="1"/>
  <c r="AU327"/>
  <c r="AU56" s="1"/>
  <c r="N56" s="1"/>
  <c r="AU138"/>
  <c r="AU47" s="1"/>
  <c r="N47" s="1"/>
  <c r="AU437"/>
  <c r="AU62" s="1"/>
  <c r="N62" s="1"/>
  <c r="AU285"/>
  <c r="AU54" s="1"/>
  <c r="N54" s="1"/>
  <c r="AU306"/>
  <c r="AU55" s="1"/>
  <c r="N55" s="1"/>
  <c r="AU148" i="117"/>
  <c r="AU108"/>
  <c r="AU149"/>
  <c r="AU174"/>
  <c r="AU195"/>
  <c r="AU216"/>
  <c r="AU237"/>
  <c r="AU258"/>
  <c r="AU279"/>
  <c r="AU300"/>
  <c r="AU321"/>
  <c r="AU342"/>
  <c r="AU363"/>
  <c r="AU384"/>
  <c r="AU405"/>
  <c r="AU426"/>
  <c r="AU462"/>
  <c r="AU478"/>
  <c r="AU494"/>
  <c r="AU127"/>
  <c r="AU111"/>
  <c r="AU129"/>
  <c r="AU170"/>
  <c r="AU191"/>
  <c r="AU212"/>
  <c r="AU233"/>
  <c r="AU254"/>
  <c r="AU275"/>
  <c r="AU296"/>
  <c r="AU317"/>
  <c r="AU338"/>
  <c r="AU359"/>
  <c r="AU380"/>
  <c r="AU401"/>
  <c r="AU422"/>
  <c r="AU458"/>
  <c r="AU474"/>
  <c r="AU490"/>
  <c r="AU106"/>
  <c r="AU107"/>
  <c r="AU132"/>
  <c r="AU150"/>
  <c r="AU190"/>
  <c r="AU211"/>
  <c r="AU232"/>
  <c r="AU253"/>
  <c r="AU274"/>
  <c r="AU295"/>
  <c r="AU316"/>
  <c r="AU337"/>
  <c r="AU358"/>
  <c r="AU379"/>
  <c r="AU400"/>
  <c r="AU421"/>
  <c r="AU457"/>
  <c r="AU473"/>
  <c r="AU489"/>
  <c r="AU169"/>
  <c r="AU128"/>
  <c r="AU153"/>
  <c r="AU171"/>
  <c r="AU192"/>
  <c r="AU213"/>
  <c r="AU234"/>
  <c r="AU255"/>
  <c r="AU276"/>
  <c r="AU297"/>
  <c r="AU318"/>
  <c r="AU339"/>
  <c r="AU360"/>
  <c r="AU381"/>
  <c r="AU402"/>
  <c r="AU423"/>
  <c r="AU459"/>
  <c r="AU475"/>
  <c r="AU491"/>
  <c r="AU455"/>
  <c r="AU375"/>
  <c r="AU291"/>
  <c r="AU357"/>
  <c r="AU361"/>
  <c r="AU376"/>
  <c r="AU355"/>
  <c r="AU210"/>
  <c r="AU460"/>
  <c r="AU230"/>
  <c r="AU146"/>
  <c r="AU378"/>
  <c r="AU188"/>
  <c r="AU104"/>
  <c r="AU313"/>
  <c r="AU397"/>
  <c r="AU193"/>
  <c r="AU102"/>
  <c r="AU280"/>
  <c r="AU454"/>
  <c r="AU167"/>
  <c r="AU252"/>
  <c r="AU209"/>
  <c r="AU147"/>
  <c r="AU385"/>
  <c r="AU231"/>
  <c r="AU109"/>
  <c r="AU340"/>
  <c r="AU294"/>
  <c r="AU479"/>
  <c r="AU382"/>
  <c r="AU298"/>
  <c r="AU418"/>
  <c r="AU377"/>
  <c r="AU399"/>
  <c r="AU364"/>
  <c r="AU249"/>
  <c r="AU103"/>
  <c r="AU250"/>
  <c r="AU175"/>
  <c r="AU417"/>
  <c r="AU217"/>
  <c r="AU133"/>
  <c r="AU322"/>
  <c r="AU420"/>
  <c r="AU238"/>
  <c r="AU319"/>
  <c r="AU208"/>
  <c r="AU235"/>
  <c r="AU453"/>
  <c r="AU273"/>
  <c r="AU396"/>
  <c r="AU334"/>
  <c r="AU333"/>
  <c r="AU168"/>
  <c r="AU476"/>
  <c r="AU356"/>
  <c r="AU488"/>
  <c r="AU427"/>
  <c r="AU343"/>
  <c r="AU492"/>
  <c r="AU463"/>
  <c r="AU354"/>
  <c r="AU315"/>
  <c r="AU277"/>
  <c r="AU187"/>
  <c r="AU312"/>
  <c r="AU214"/>
  <c r="AU130"/>
  <c r="AU293"/>
  <c r="AU172"/>
  <c r="AU487"/>
  <c r="AU151"/>
  <c r="AU301"/>
  <c r="AU189"/>
  <c r="AU472"/>
  <c r="AU495"/>
  <c r="AU406"/>
  <c r="AU126"/>
  <c r="AU272"/>
  <c r="AU270"/>
  <c r="AU228"/>
  <c r="AU239" s="1"/>
  <c r="AU75" s="1"/>
  <c r="N75" s="1"/>
  <c r="AU124"/>
  <c r="AU419"/>
  <c r="AU469"/>
  <c r="AU336"/>
  <c r="AU470"/>
  <c r="AU259"/>
  <c r="AU123"/>
  <c r="AU486"/>
  <c r="AU256"/>
  <c r="AU144"/>
  <c r="AU125"/>
  <c r="AU166"/>
  <c r="AU186"/>
  <c r="AU314"/>
  <c r="AU292"/>
  <c r="AU207"/>
  <c r="AU218" s="1"/>
  <c r="AU74" s="1"/>
  <c r="N74" s="1"/>
  <c r="AU471"/>
  <c r="AU424"/>
  <c r="AU271"/>
  <c r="AU403"/>
  <c r="AU105"/>
  <c r="AU39"/>
  <c r="AU154"/>
  <c r="AU398"/>
  <c r="AU456"/>
  <c r="AU251"/>
  <c r="AU165"/>
  <c r="AU112"/>
  <c r="AU32" s="1"/>
  <c r="N32" s="1"/>
  <c r="AU335"/>
  <c r="AU485"/>
  <c r="AU145"/>
  <c r="AU196"/>
  <c r="AU229"/>
  <c r="AS302" i="120"/>
  <c r="AS78" s="1"/>
  <c r="AS365"/>
  <c r="AS81" s="1"/>
  <c r="AT260" i="117"/>
  <c r="AT76" s="1"/>
  <c r="AR36" i="120"/>
  <c r="AR38" s="1"/>
  <c r="AS26"/>
  <c r="AS344"/>
  <c r="AS80" s="1"/>
  <c r="AS281"/>
  <c r="AS77" s="1"/>
  <c r="AS24"/>
  <c r="AR90"/>
  <c r="AT365" i="117"/>
  <c r="AT81" s="1"/>
  <c r="AT464"/>
  <c r="AT85" s="1"/>
  <c r="AT323"/>
  <c r="AT79" s="1"/>
  <c r="AT176"/>
  <c r="AT72" s="1"/>
  <c r="AS218" i="120"/>
  <c r="AS74" s="1"/>
  <c r="AS323"/>
  <c r="AS79" s="1"/>
  <c r="AS20"/>
  <c r="AS464"/>
  <c r="AS85" s="1"/>
  <c r="AS25"/>
  <c r="AT134" i="117"/>
  <c r="AT70" s="1"/>
  <c r="AT302"/>
  <c r="AT78" s="1"/>
  <c r="AT26"/>
  <c r="AT480"/>
  <c r="AT86" s="1"/>
  <c r="AT22"/>
  <c r="AT218"/>
  <c r="AT74" s="1"/>
  <c r="AT344"/>
  <c r="AT80" s="1"/>
  <c r="AT23"/>
  <c r="AS88"/>
  <c r="AS90" s="1"/>
  <c r="J29" i="8"/>
  <c r="J15"/>
  <c r="J22"/>
  <c r="J21"/>
  <c r="J23"/>
  <c r="J17"/>
  <c r="J26"/>
  <c r="J24"/>
  <c r="J20"/>
  <c r="J12"/>
  <c r="J19"/>
  <c r="J28"/>
  <c r="G39"/>
  <c r="J25"/>
  <c r="J30"/>
  <c r="J27"/>
  <c r="J14"/>
  <c r="J13"/>
  <c r="J16"/>
  <c r="J18"/>
  <c r="G40"/>
  <c r="AU65" i="117" l="1"/>
  <c r="N45"/>
  <c r="AT19" i="120"/>
  <c r="AT113"/>
  <c r="AT69" s="1"/>
  <c r="AU20" i="117"/>
  <c r="N20" s="1"/>
  <c r="AU386"/>
  <c r="AU82" s="1"/>
  <c r="N82" s="1"/>
  <c r="AU25"/>
  <c r="N25" s="1"/>
  <c r="AT239" i="120"/>
  <c r="AT75" s="1"/>
  <c r="AU176" i="117"/>
  <c r="AU72" s="1"/>
  <c r="N72" s="1"/>
  <c r="AU134"/>
  <c r="AU70" s="1"/>
  <c r="N70" s="1"/>
  <c r="AU480"/>
  <c r="AU86" s="1"/>
  <c r="N86" s="1"/>
  <c r="AU281"/>
  <c r="AU77" s="1"/>
  <c r="N77" s="1"/>
  <c r="AU428"/>
  <c r="AU84" s="1"/>
  <c r="N84" s="1"/>
  <c r="AU260"/>
  <c r="AU76" s="1"/>
  <c r="N76" s="1"/>
  <c r="AU31"/>
  <c r="N31" s="1"/>
  <c r="AT302" i="120"/>
  <c r="AT78" s="1"/>
  <c r="AT344"/>
  <c r="AT80" s="1"/>
  <c r="AT323"/>
  <c r="AT79" s="1"/>
  <c r="AT176"/>
  <c r="AT72" s="1"/>
  <c r="AT386"/>
  <c r="AT82" s="1"/>
  <c r="AT22"/>
  <c r="AT25"/>
  <c r="AU19" i="117"/>
  <c r="AU113"/>
  <c r="AU69" s="1"/>
  <c r="AU344"/>
  <c r="AU80" s="1"/>
  <c r="N80" s="1"/>
  <c r="AU464"/>
  <c r="AU85" s="1"/>
  <c r="N85" s="1"/>
  <c r="AU14"/>
  <c r="N10"/>
  <c r="N14" s="1"/>
  <c r="AU21"/>
  <c r="N21" s="1"/>
  <c r="AT26" i="120"/>
  <c r="AU22" i="117"/>
  <c r="N22" s="1"/>
  <c r="AU197"/>
  <c r="AU73" s="1"/>
  <c r="N73" s="1"/>
  <c r="AU323"/>
  <c r="AU79" s="1"/>
  <c r="N79" s="1"/>
  <c r="AU365"/>
  <c r="AU81" s="1"/>
  <c r="N81" s="1"/>
  <c r="AU26"/>
  <c r="N26" s="1"/>
  <c r="AU302"/>
  <c r="AU78" s="1"/>
  <c r="N78" s="1"/>
  <c r="AU23"/>
  <c r="N23" s="1"/>
  <c r="AS36" i="120"/>
  <c r="AS38" s="1"/>
  <c r="AT281"/>
  <c r="AT77" s="1"/>
  <c r="AT464"/>
  <c r="AT85" s="1"/>
  <c r="AT407"/>
  <c r="AT83" s="1"/>
  <c r="AT197"/>
  <c r="AT73" s="1"/>
  <c r="AT32"/>
  <c r="AT365"/>
  <c r="AT81" s="1"/>
  <c r="AT496"/>
  <c r="AT87" s="1"/>
  <c r="AT428"/>
  <c r="AT84" s="1"/>
  <c r="AT260"/>
  <c r="AT76" s="1"/>
  <c r="AT24"/>
  <c r="AT88" i="117"/>
  <c r="AT90" s="1"/>
  <c r="AU45" i="120"/>
  <c r="AU10"/>
  <c r="AU127"/>
  <c r="AU111"/>
  <c r="AU129"/>
  <c r="AU170"/>
  <c r="AU191"/>
  <c r="AU212"/>
  <c r="AU233"/>
  <c r="AU254"/>
  <c r="AU275"/>
  <c r="AU296"/>
  <c r="AU317"/>
  <c r="AU338"/>
  <c r="AU359"/>
  <c r="AU380"/>
  <c r="AU401"/>
  <c r="AU422"/>
  <c r="AU458"/>
  <c r="AU474"/>
  <c r="AU490"/>
  <c r="AU106"/>
  <c r="AU23" s="1"/>
  <c r="N23" s="1"/>
  <c r="AU107"/>
  <c r="AU132"/>
  <c r="AU150"/>
  <c r="AU190"/>
  <c r="AU211"/>
  <c r="AU232"/>
  <c r="AU253"/>
  <c r="AU274"/>
  <c r="AU295"/>
  <c r="AU316"/>
  <c r="AU337"/>
  <c r="AU358"/>
  <c r="AU379"/>
  <c r="AU400"/>
  <c r="AU421"/>
  <c r="AU457"/>
  <c r="AU473"/>
  <c r="AU489"/>
  <c r="AU169"/>
  <c r="AU128"/>
  <c r="AU153"/>
  <c r="AU171"/>
  <c r="AU192"/>
  <c r="AU213"/>
  <c r="AU234"/>
  <c r="AU255"/>
  <c r="AU276"/>
  <c r="AU297"/>
  <c r="AU318"/>
  <c r="AU339"/>
  <c r="AU360"/>
  <c r="AU381"/>
  <c r="AU402"/>
  <c r="AU423"/>
  <c r="AU459"/>
  <c r="AU475"/>
  <c r="AU491"/>
  <c r="AU148"/>
  <c r="AU108"/>
  <c r="AU149"/>
  <c r="AU174"/>
  <c r="AU195"/>
  <c r="AU216"/>
  <c r="AU237"/>
  <c r="AU258"/>
  <c r="AU279"/>
  <c r="AU300"/>
  <c r="AU321"/>
  <c r="AU342"/>
  <c r="AU363"/>
  <c r="AU384"/>
  <c r="AU405"/>
  <c r="AU426"/>
  <c r="AU462"/>
  <c r="AU478"/>
  <c r="AU494"/>
  <c r="AU420"/>
  <c r="AU456"/>
  <c r="AU427"/>
  <c r="AU340"/>
  <c r="AU418"/>
  <c r="AU460"/>
  <c r="AU319"/>
  <c r="AU417"/>
  <c r="AU428" s="1"/>
  <c r="AU84" s="1"/>
  <c r="N84" s="1"/>
  <c r="AU314"/>
  <c r="AU277"/>
  <c r="AU187"/>
  <c r="AU354"/>
  <c r="AU214"/>
  <c r="AU397"/>
  <c r="AU270"/>
  <c r="AU217"/>
  <c r="AU315"/>
  <c r="AU124"/>
  <c r="AU151"/>
  <c r="AU378"/>
  <c r="AU103"/>
  <c r="AU193"/>
  <c r="AU109"/>
  <c r="AU357"/>
  <c r="AU145"/>
  <c r="AU294"/>
  <c r="AU231"/>
  <c r="AU453"/>
  <c r="AU209"/>
  <c r="AU454"/>
  <c r="AU469"/>
  <c r="AU455"/>
  <c r="AU356"/>
  <c r="AU272"/>
  <c r="AU495"/>
  <c r="AU335"/>
  <c r="AU479"/>
  <c r="AU343"/>
  <c r="AU334"/>
  <c r="AU210"/>
  <c r="AU419"/>
  <c r="AU230"/>
  <c r="AU406"/>
  <c r="AU292"/>
  <c r="AU249"/>
  <c r="AU165"/>
  <c r="AU147"/>
  <c r="AU196"/>
  <c r="AU463"/>
  <c r="AU126"/>
  <c r="AU228"/>
  <c r="AU125"/>
  <c r="AU123"/>
  <c r="AU175"/>
  <c r="AU104"/>
  <c r="AU361"/>
  <c r="AU208"/>
  <c r="AU207"/>
  <c r="AU476"/>
  <c r="AU385"/>
  <c r="AU376"/>
  <c r="AU280"/>
  <c r="AU291"/>
  <c r="AU470"/>
  <c r="AU424"/>
  <c r="AU256"/>
  <c r="AU167"/>
  <c r="AU112"/>
  <c r="AU32" s="1"/>
  <c r="N32" s="1"/>
  <c r="AU377"/>
  <c r="AU293"/>
  <c r="AU235"/>
  <c r="AU130"/>
  <c r="AU487"/>
  <c r="AU403"/>
  <c r="AU398"/>
  <c r="AU312"/>
  <c r="AU323" s="1"/>
  <c r="AU79" s="1"/>
  <c r="N79" s="1"/>
  <c r="AU298"/>
  <c r="AU492"/>
  <c r="AU485"/>
  <c r="AU250"/>
  <c r="AU252"/>
  <c r="AU144"/>
  <c r="AU399"/>
  <c r="AU102"/>
  <c r="AU336"/>
  <c r="AU229"/>
  <c r="AU472"/>
  <c r="AU471"/>
  <c r="AU301"/>
  <c r="AU364"/>
  <c r="AU375"/>
  <c r="AU271"/>
  <c r="AU259"/>
  <c r="AU313"/>
  <c r="AU172"/>
  <c r="AU238"/>
  <c r="AU166"/>
  <c r="AU154"/>
  <c r="AU39"/>
  <c r="AU105"/>
  <c r="AU22" s="1"/>
  <c r="N22" s="1"/>
  <c r="AU146"/>
  <c r="AU486"/>
  <c r="AU333"/>
  <c r="AU396"/>
  <c r="AU407" s="1"/>
  <c r="AU83" s="1"/>
  <c r="N83" s="1"/>
  <c r="AU382"/>
  <c r="AU273"/>
  <c r="AU322"/>
  <c r="AU355"/>
  <c r="AU188"/>
  <c r="AU488"/>
  <c r="AU251"/>
  <c r="AU189"/>
  <c r="AU186"/>
  <c r="AU168"/>
  <c r="AU133"/>
  <c r="AT36" i="117"/>
  <c r="AT38" s="1"/>
  <c r="AU496"/>
  <c r="AU87" s="1"/>
  <c r="N87" s="1"/>
  <c r="AU155"/>
  <c r="AU71" s="1"/>
  <c r="N71" s="1"/>
  <c r="AU407"/>
  <c r="AU83" s="1"/>
  <c r="N83" s="1"/>
  <c r="AU24"/>
  <c r="N24" s="1"/>
  <c r="AS88" i="120"/>
  <c r="AS90" s="1"/>
  <c r="AT20"/>
  <c r="AT134"/>
  <c r="AT70" s="1"/>
  <c r="AT155"/>
  <c r="AT71" s="1"/>
  <c r="AT31"/>
  <c r="G11" i="8"/>
  <c r="G47"/>
  <c r="G37"/>
  <c r="G49"/>
  <c r="G38"/>
  <c r="G43"/>
  <c r="G52"/>
  <c r="G74" i="109"/>
  <c r="G42" i="8"/>
  <c r="G76" i="109"/>
  <c r="J77"/>
  <c r="G51" i="8"/>
  <c r="G50"/>
  <c r="G46"/>
  <c r="G48"/>
  <c r="G36"/>
  <c r="J49"/>
  <c r="J48"/>
  <c r="G78" i="109"/>
  <c r="G79"/>
  <c r="G35" i="8"/>
  <c r="G41"/>
  <c r="G45"/>
  <c r="G75" i="109"/>
  <c r="G44" i="8"/>
  <c r="G77" i="109"/>
  <c r="J44" i="8"/>
  <c r="J76" i="109"/>
  <c r="G31" i="8" l="1"/>
  <c r="AT90" i="120"/>
  <c r="AU464"/>
  <c r="AU85" s="1"/>
  <c r="N85" s="1"/>
  <c r="AU155"/>
  <c r="AU71" s="1"/>
  <c r="N71" s="1"/>
  <c r="AU218"/>
  <c r="AU74" s="1"/>
  <c r="N74" s="1"/>
  <c r="AU176"/>
  <c r="AU72" s="1"/>
  <c r="N72" s="1"/>
  <c r="AU31"/>
  <c r="N31" s="1"/>
  <c r="AT36"/>
  <c r="AT38" s="1"/>
  <c r="AU65"/>
  <c r="N45"/>
  <c r="AU344"/>
  <c r="AU80" s="1"/>
  <c r="N80" s="1"/>
  <c r="AU386"/>
  <c r="AU82" s="1"/>
  <c r="N82" s="1"/>
  <c r="AU496"/>
  <c r="AU87" s="1"/>
  <c r="N87" s="1"/>
  <c r="AU302"/>
  <c r="AU78" s="1"/>
  <c r="N78" s="1"/>
  <c r="AU21"/>
  <c r="N21" s="1"/>
  <c r="AU239"/>
  <c r="AU75" s="1"/>
  <c r="N75" s="1"/>
  <c r="AU480"/>
  <c r="AU86" s="1"/>
  <c r="N86" s="1"/>
  <c r="AU26"/>
  <c r="N26" s="1"/>
  <c r="AU281"/>
  <c r="AU77" s="1"/>
  <c r="N77" s="1"/>
  <c r="AU25"/>
  <c r="N25" s="1"/>
  <c r="AT88"/>
  <c r="AU19"/>
  <c r="AU113"/>
  <c r="AU69" s="1"/>
  <c r="AU14"/>
  <c r="N10"/>
  <c r="N14" s="1"/>
  <c r="AU36" i="117"/>
  <c r="N19"/>
  <c r="AU90"/>
  <c r="N90" s="1"/>
  <c r="AU88"/>
  <c r="N69"/>
  <c r="N65"/>
  <c r="AU365" i="120"/>
  <c r="AU81" s="1"/>
  <c r="N81" s="1"/>
  <c r="AU197"/>
  <c r="AU73" s="1"/>
  <c r="N73" s="1"/>
  <c r="AU134"/>
  <c r="AU70" s="1"/>
  <c r="N70" s="1"/>
  <c r="AU260"/>
  <c r="AU76" s="1"/>
  <c r="N76" s="1"/>
  <c r="AU20"/>
  <c r="N20" s="1"/>
  <c r="AU24"/>
  <c r="N24" s="1"/>
  <c r="J36" i="8"/>
  <c r="J47"/>
  <c r="J40"/>
  <c r="J79" i="109"/>
  <c r="J46" i="8"/>
  <c r="J74" i="109"/>
  <c r="J42" i="8"/>
  <c r="G73" i="109"/>
  <c r="J41" i="8"/>
  <c r="G34"/>
  <c r="J50"/>
  <c r="J11"/>
  <c r="J37"/>
  <c r="J43"/>
  <c r="J35"/>
  <c r="J39"/>
  <c r="J52"/>
  <c r="J51"/>
  <c r="J38"/>
  <c r="J78" i="109"/>
  <c r="J45" i="8"/>
  <c r="J75" i="109"/>
  <c r="J31" i="8" l="1"/>
  <c r="G53"/>
  <c r="G55" s="1"/>
  <c r="G80" i="109"/>
  <c r="G81" s="1"/>
  <c r="AU38" i="117"/>
  <c r="N36"/>
  <c r="N38" s="1"/>
  <c r="N65" i="120"/>
  <c r="N88" i="117"/>
  <c r="AU36" i="120"/>
  <c r="N19"/>
  <c r="AU88"/>
  <c r="AU90" s="1"/>
  <c r="N90" s="1"/>
  <c r="N69"/>
  <c r="J34" i="8"/>
  <c r="J73" i="109"/>
  <c r="J80" l="1"/>
  <c r="J81" s="1"/>
  <c r="J53" i="8"/>
  <c r="J55" s="1"/>
  <c r="G60"/>
  <c r="G144" i="109"/>
  <c r="G57" i="8"/>
  <c r="AU38" i="120"/>
  <c r="N36"/>
  <c r="N38" s="1"/>
  <c r="N88"/>
  <c r="H61" i="8" l="1"/>
  <c r="S14" i="1" s="1"/>
  <c r="R13" s="1"/>
  <c r="J60" i="8"/>
  <c r="J61" s="1"/>
  <c r="Y14" i="1" s="1"/>
  <c r="X13" s="1"/>
  <c r="J144" i="109"/>
  <c r="J57" i="8"/>
  <c r="Q12" i="1" l="1"/>
  <c r="R5" s="1"/>
  <c r="R4" s="1"/>
  <c r="R6" i="109"/>
  <c r="G61" i="8"/>
  <c r="P14" i="1" s="1"/>
  <c r="O13" s="1"/>
  <c r="I61" i="8"/>
  <c r="V14" i="1" s="1"/>
  <c r="U13" s="1"/>
  <c r="W12"/>
  <c r="X5" s="1"/>
  <c r="X4" s="1"/>
  <c r="X6" i="109"/>
  <c r="E61" i="8"/>
  <c r="J14" i="1" s="1"/>
  <c r="I13" s="1"/>
  <c r="F61" i="8"/>
  <c r="M14" i="1" s="1"/>
  <c r="L13" s="1"/>
  <c r="E160" i="109" l="1"/>
  <c r="I6"/>
  <c r="H12" i="1"/>
  <c r="I5" s="1"/>
  <c r="I4" s="1"/>
  <c r="E157" i="109" s="1"/>
  <c r="O6"/>
  <c r="N12" i="1"/>
  <c r="O5" s="1"/>
  <c r="O4" s="1"/>
  <c r="E162" i="109"/>
  <c r="L6"/>
  <c r="K12" i="1"/>
  <c r="L5" s="1"/>
  <c r="L4" s="1"/>
  <c r="U6" i="109"/>
  <c r="T12" i="1"/>
  <c r="U5" s="1"/>
  <c r="U4" s="1"/>
  <c r="L8" l="1"/>
  <c r="E158" i="109"/>
  <c r="H160"/>
  <c r="X8" i="1"/>
  <c r="E159" i="109"/>
  <c r="O8" i="1"/>
  <c r="H162" i="109"/>
  <c r="F162"/>
  <c r="G162" s="1"/>
  <c r="R8" i="1"/>
  <c r="I8"/>
  <c r="U8"/>
  <c r="E161" i="109"/>
  <c r="H157"/>
  <c r="F161" l="1"/>
  <c r="G161" s="1"/>
  <c r="H161"/>
  <c r="H159"/>
  <c r="F159"/>
  <c r="G159" s="1"/>
  <c r="H158"/>
  <c r="F158"/>
  <c r="G158" s="1"/>
  <c r="F157"/>
  <c r="G157" s="1"/>
  <c r="F160"/>
  <c r="G160" s="1"/>
</calcChain>
</file>

<file path=xl/comments1.xml><?xml version="1.0" encoding="utf-8"?>
<comments xmlns="http://schemas.openxmlformats.org/spreadsheetml/2006/main">
  <authors>
    <author>Alok Patil</author>
  </authors>
  <commentList>
    <comment ref="A156" authorId="0">
      <text>
        <r>
          <rPr>
            <b/>
            <sz val="9"/>
            <color indexed="81"/>
            <rFont val="Tahoma"/>
            <family val="2"/>
          </rPr>
          <t>Alok Patil:</t>
        </r>
        <r>
          <rPr>
            <sz val="9"/>
            <color indexed="81"/>
            <rFont val="Tahoma"/>
            <family val="2"/>
          </rPr>
          <t xml:space="preserve">
Results 04-04-2014</t>
        </r>
      </text>
    </comment>
  </commentList>
</comments>
</file>

<file path=xl/sharedStrings.xml><?xml version="1.0" encoding="utf-8"?>
<sst xmlns="http://schemas.openxmlformats.org/spreadsheetml/2006/main" count="8695" uniqueCount="890">
  <si>
    <t>Additional stakeholders become involved, and there is more pressure for public interaction, when outside waste is brought into the treatment facility.  Combined with land application, this configuration requires quite a bit of engagement with various stakeholders.</t>
    <phoneticPr fontId="75" type="noConversion"/>
  </si>
  <si>
    <t>Additional stakeholders become involved, and there is more pressure for public interaction, when outside waste is brought into the treatment facility.  As noted above, landfill disposal involves minimal engagement with the landfill operators.</t>
    <phoneticPr fontId="75" type="noConversion"/>
  </si>
  <si>
    <t>Anaerobic digestion can be operated at a WRRF without requiring much interaction with outside parties; but CHP involves some minimal interaction with an electric utility, at the least.  On the other hand, land application requires considerable interaction with the public: farmers, neighbors, communities.</t>
    <phoneticPr fontId="75" type="noConversion"/>
  </si>
  <si>
    <t>Anaerobic digestion can be operated at a WRRF without requiring much interaction with outside parties; but CHP involves some minimal interaction with an electric utility, at the least.  Landfill disposal requires some interaction with the landfill operators.</t>
    <phoneticPr fontId="75" type="noConversion"/>
  </si>
  <si>
    <t>Usage Cost of Natural Gas Forecast</t>
  </si>
  <si>
    <t>[Nominal $/GJ]</t>
  </si>
  <si>
    <t>Electricity</t>
  </si>
  <si>
    <t>[Years]</t>
  </si>
  <si>
    <t>Capital Cost</t>
  </si>
  <si>
    <t>[2013 USD$]</t>
  </si>
  <si>
    <t>Project Schedule Spend Profile</t>
  </si>
  <si>
    <t>Cash Flow Units</t>
  </si>
  <si>
    <t>[Nominal $]</t>
  </si>
  <si>
    <t>Total Cash flow</t>
  </si>
  <si>
    <t>[kWh]</t>
  </si>
  <si>
    <t>[Nominal $/kWh]</t>
  </si>
  <si>
    <t>Natural Gas</t>
  </si>
  <si>
    <t>Client</t>
  </si>
  <si>
    <t>Project</t>
  </si>
  <si>
    <t>Capital Costs</t>
  </si>
  <si>
    <t>Cost of Electricity</t>
  </si>
  <si>
    <t>[2011 cents/kWh]</t>
  </si>
  <si>
    <t>Electric Escalation</t>
  </si>
  <si>
    <t>Costs</t>
  </si>
  <si>
    <t>Plant Size</t>
  </si>
  <si>
    <t>[MGD]</t>
  </si>
  <si>
    <t>Imported Electricity Costs</t>
  </si>
  <si>
    <t>Natural Gas Costs</t>
  </si>
  <si>
    <t>Forecasts</t>
  </si>
  <si>
    <t>Gravity Thickener</t>
  </si>
  <si>
    <t>(From Sankey Diagram)</t>
  </si>
  <si>
    <r>
      <t xml:space="preserve">Based on 15 hp compressor, 10 hp chiller, and 5 hp misc items </t>
    </r>
    <r>
      <rPr>
        <b/>
        <i/>
        <sz val="11"/>
        <color theme="1"/>
        <rFont val="Calibri"/>
        <family val="2"/>
        <scheme val="minor"/>
      </rPr>
      <t>(St. Joseph, MO)</t>
    </r>
  </si>
  <si>
    <t xml:space="preserve">St. Joseph, MO - Installed hp adjusted for lower gas flows </t>
  </si>
  <si>
    <t>(Deducted from onsite generation - Net from CHP)</t>
  </si>
  <si>
    <t xml:space="preserve"> --</t>
  </si>
  <si>
    <r>
      <t xml:space="preserve"> 60 hp/hopper</t>
    </r>
    <r>
      <rPr>
        <b/>
        <i/>
        <sz val="11"/>
        <color theme="1"/>
        <rFont val="Calibri"/>
        <family val="2"/>
        <scheme val="minor"/>
      </rPr>
      <t xml:space="preserve"> (HRSD, VA)</t>
    </r>
  </si>
  <si>
    <t>1 fill/d - 1 h/fill</t>
  </si>
  <si>
    <t>Total - h/yr</t>
  </si>
  <si>
    <t>Operations</t>
  </si>
  <si>
    <t>Ops + Maintenance</t>
  </si>
  <si>
    <t>1 Op: 1 h/shift - 3 shifts/d</t>
  </si>
  <si>
    <t>1 Tech: 1 h/shift - 1 shift/d</t>
  </si>
  <si>
    <t>Based on project experience</t>
  </si>
  <si>
    <t>1 Op: 4 h/shift - 3 shifts/d</t>
  </si>
  <si>
    <t>Category</t>
  </si>
  <si>
    <t>Economic</t>
  </si>
  <si>
    <t>Criteria</t>
  </si>
  <si>
    <t>Net Present Value (NPV)</t>
  </si>
  <si>
    <t>Simplicity</t>
  </si>
  <si>
    <t>Flexibility</t>
  </si>
  <si>
    <t>State of Technology</t>
  </si>
  <si>
    <t>Social</t>
  </si>
  <si>
    <t>Environmental</t>
  </si>
  <si>
    <t>Net Impact on Media</t>
  </si>
  <si>
    <t>Regulatory</t>
  </si>
  <si>
    <t>Nuisance issues</t>
  </si>
  <si>
    <t>Odor</t>
  </si>
  <si>
    <t>Dust</t>
  </si>
  <si>
    <t>Traffic</t>
  </si>
  <si>
    <t>Visual</t>
  </si>
  <si>
    <t>Workplace Conditions/Safety</t>
  </si>
  <si>
    <t>Public Interaction/Engagement</t>
  </si>
  <si>
    <t>Score</t>
  </si>
  <si>
    <t>Normalize to Max</t>
  </si>
  <si>
    <t>0-5</t>
  </si>
  <si>
    <t>+/-5</t>
  </si>
  <si>
    <t>As-Is</t>
  </si>
  <si>
    <t>Category Weight</t>
  </si>
  <si>
    <t>ScoringMethod</t>
  </si>
  <si>
    <t>Facotrs</t>
  </si>
  <si>
    <t>Engineering/Technical</t>
  </si>
  <si>
    <t>Conservation/Optimization of Resources</t>
  </si>
  <si>
    <t>1X:AnaDig+CHP,
Prtmt,LandApp</t>
  </si>
  <si>
    <t>1Y:AnaDig+CHP,
Prtmt,Landfill</t>
  </si>
  <si>
    <t>2X:AnaDig+CHP,
Codig,LandApp</t>
  </si>
  <si>
    <t>2Y:AnaDig+CHP,
Codig,Landfill</t>
  </si>
  <si>
    <t>Cost Item</t>
  </si>
  <si>
    <t>Total Scenario NPV</t>
  </si>
  <si>
    <t>ASSUMPTIONS</t>
  </si>
  <si>
    <t>Units</t>
  </si>
  <si>
    <t>Value</t>
  </si>
  <si>
    <t>GENERAL ASSUMPTIONS</t>
  </si>
  <si>
    <t>Project In-Service Year</t>
  </si>
  <si>
    <t>[Year]</t>
  </si>
  <si>
    <t>Analysis Period</t>
  </si>
  <si>
    <t>[%]</t>
  </si>
  <si>
    <t>Discount Rate</t>
  </si>
  <si>
    <t>CapEx Escalation</t>
  </si>
  <si>
    <t>Cost of Electricity Base Year</t>
  </si>
  <si>
    <t>Cost of Natural Gas Base Year</t>
  </si>
  <si>
    <t>Usage Cost of Electricity Forecast</t>
  </si>
  <si>
    <t>(Deducted from energy recovery - Net rec. shown)</t>
  </si>
  <si>
    <t>1 Op: 8 h/shift - 3 shift/d</t>
  </si>
  <si>
    <t>1 Tech: 8 h/shift - 1 shift/d</t>
  </si>
  <si>
    <t xml:space="preserve">FBI operator oversees energy recovery </t>
  </si>
  <si>
    <t>1 Op: 0 h/shift - 0 shift/d</t>
  </si>
  <si>
    <t>1 Eng: 8 h/shift - 3 shifts/d</t>
  </si>
  <si>
    <t>Ash Conveyance</t>
  </si>
  <si>
    <t>Caustic: 4 lb/dt processed</t>
  </si>
  <si>
    <t>$570/ton</t>
  </si>
  <si>
    <t>$25K ea for GBT &amp; Dew, $77K for cake load out</t>
  </si>
  <si>
    <t>To Boiler</t>
  </si>
  <si>
    <t>To Incinerator</t>
  </si>
  <si>
    <t>Disposal</t>
  </si>
  <si>
    <t>Ash Cleanout</t>
  </si>
  <si>
    <t>$20.00/wet ton</t>
  </si>
  <si>
    <t xml:space="preserve">Ash Disposal </t>
  </si>
  <si>
    <t>$50.00/wet ton</t>
  </si>
  <si>
    <t>Electricity Production</t>
  </si>
  <si>
    <t>(from MaxWest)</t>
  </si>
  <si>
    <t>Natural Gas Price Escalation</t>
  </si>
  <si>
    <t>Item Description</t>
  </si>
  <si>
    <t>Unit Cost</t>
  </si>
  <si>
    <t>Sitework</t>
  </si>
  <si>
    <t>Total Capital Costs</t>
  </si>
  <si>
    <t>General Requirements</t>
  </si>
  <si>
    <t>Subtotal</t>
  </si>
  <si>
    <t>Sub-Criteria Weight</t>
  </si>
  <si>
    <t>Criteria Weight</t>
  </si>
  <si>
    <t>Sub-Criteria Score</t>
  </si>
  <si>
    <t>Criteria Score</t>
  </si>
  <si>
    <t>Category Score</t>
  </si>
  <si>
    <t>[2013 US$]</t>
  </si>
  <si>
    <t>Total TBL Score</t>
  </si>
  <si>
    <t>4Y:Gasif,Landfill</t>
  </si>
  <si>
    <t>Labor</t>
  </si>
  <si>
    <t>Maintenance</t>
  </si>
  <si>
    <t>Chemicals</t>
  </si>
  <si>
    <t>Digester Cleaning</t>
  </si>
  <si>
    <t xml:space="preserve">Labor </t>
  </si>
  <si>
    <t>Spent Media Disposal</t>
  </si>
  <si>
    <t>CAPITAL COST SUMMARY - PROCESS CONFIGURATIONS 1X and 1Y</t>
  </si>
  <si>
    <t>Basis</t>
  </si>
  <si>
    <t>Total Cost (2013 $)</t>
  </si>
  <si>
    <t>One 40' diameter gravity thickener</t>
  </si>
  <si>
    <t>Gravity Belt Thickener</t>
  </si>
  <si>
    <t>Two 2m GBTs (1 Duty/1Standby)</t>
  </si>
  <si>
    <t>Three 2m BFPs (2 Duty/1 Standby)</t>
  </si>
  <si>
    <t>Pre-Treatment (CAMBI)</t>
  </si>
  <si>
    <t>Based on a packaged B2 system (rough cost)</t>
  </si>
  <si>
    <t>Two 0.9 MG digesters</t>
  </si>
  <si>
    <t xml:space="preserve">Digester Gas Flow of 82 scfm </t>
  </si>
  <si>
    <t>One 350 kw engine generator</t>
  </si>
  <si>
    <t>Belt Filter Press Dewatering</t>
  </si>
  <si>
    <t>Two 2m BFPs (1 Duty/1 Standby)</t>
  </si>
  <si>
    <t xml:space="preserve">One 41 cy silos (2-day storage) w/building </t>
  </si>
  <si>
    <t>Contingencies</t>
  </si>
  <si>
    <t>Engineering, Legal &amp; Admin</t>
  </si>
  <si>
    <t>Total - Process Configurations 1X &amp; 1Y</t>
  </si>
  <si>
    <t>CAPITAL COST SUMMARY - PROCESS CONFIGURATIONS 2X and 2Y</t>
  </si>
  <si>
    <t>2000 gpd of FOG</t>
  </si>
  <si>
    <t xml:space="preserve">Three 41 cy silos (2-day storage) w/building </t>
  </si>
  <si>
    <t>Total - Process Configurations 2X &amp; 2Y</t>
  </si>
  <si>
    <t>Ash Conveyance &amp; Storage</t>
  </si>
  <si>
    <t>One MW 1000 model Gasifier from MaxWest</t>
  </si>
  <si>
    <t>Two 4,000 cy lagoons</t>
  </si>
  <si>
    <t>O&amp;M COST SUMMARY - PROCESS CONFIGURATIONS 1X and 1Y</t>
  </si>
  <si>
    <t>kWh/d</t>
  </si>
  <si>
    <t>Total - kWh/yr</t>
  </si>
  <si>
    <t>NOTES</t>
  </si>
  <si>
    <t>Fluid Bed Incineration</t>
  </si>
  <si>
    <t>FOG Receiving</t>
  </si>
  <si>
    <t>Gas Cleaning</t>
  </si>
  <si>
    <t xml:space="preserve">Pre-Dewatering </t>
  </si>
  <si>
    <t>FBI (share of regional)</t>
  </si>
  <si>
    <t>Gasification</t>
  </si>
  <si>
    <t>FBI</t>
  </si>
  <si>
    <t xml:space="preserve">FBI </t>
  </si>
  <si>
    <t>Anaerobic Digestion-Clean-up</t>
  </si>
  <si>
    <t>10 mgd plant's share of the total capital costs for a 100 dtpd FBI</t>
  </si>
  <si>
    <t xml:space="preserve">2. FBI costs do not include any equipment to meet MACT 129 emissions. </t>
  </si>
  <si>
    <t>1Y-</t>
  </si>
  <si>
    <t>2Y-</t>
  </si>
  <si>
    <t>1X-</t>
  </si>
  <si>
    <t>2X-</t>
  </si>
  <si>
    <t>Conservation of Nutrients</t>
  </si>
  <si>
    <t>#/day</t>
  </si>
  <si>
    <t>max</t>
  </si>
  <si>
    <t>min</t>
  </si>
  <si>
    <t>range</t>
  </si>
  <si>
    <t>total</t>
  </si>
  <si>
    <t>% of max</t>
  </si>
  <si>
    <t>ENERGY RECOVERY</t>
  </si>
  <si>
    <t>electricity (kWh/day)</t>
  </si>
  <si>
    <t>1 Tech: 2 h/shift - 1 shift/d</t>
  </si>
  <si>
    <t>1 Op: 8 h/shift - 3 shifts/d</t>
  </si>
  <si>
    <t>1 Tech: 4 h/shift - 1 shift/d</t>
  </si>
  <si>
    <t>2 Op: 1 h/shift - 3 shifts/d</t>
  </si>
  <si>
    <t>2 Tech: 1 h/shift - 1 shift/d</t>
  </si>
  <si>
    <t>1 Op: 1 h/shift - 1 shift/d</t>
  </si>
  <si>
    <t>1 Tech: 0.5 h/shift - 1 shift/d</t>
  </si>
  <si>
    <t>Equipment Costs</t>
  </si>
  <si>
    <t>Maintenance, $/yr</t>
  </si>
  <si>
    <t>Maintenance Materials</t>
  </si>
  <si>
    <t>1% of equipment costs</t>
  </si>
  <si>
    <t>Equipment costs exclude buildings</t>
  </si>
  <si>
    <t>2% of equipment costs</t>
  </si>
  <si>
    <t>Annual Costs, $/yr</t>
  </si>
  <si>
    <t>Polymer: 8 lb/dt processed</t>
  </si>
  <si>
    <t>$2.00/lb</t>
  </si>
  <si>
    <t>Polymer: 15 lb/dt processed</t>
  </si>
  <si>
    <r>
      <t>H</t>
    </r>
    <r>
      <rPr>
        <vertAlign val="subscript"/>
        <sz val="11"/>
        <color theme="1"/>
        <rFont val="Calibri"/>
        <family val="2"/>
        <scheme val="minor"/>
      </rPr>
      <t>2</t>
    </r>
    <r>
      <rPr>
        <sz val="11"/>
        <color theme="1"/>
        <rFont val="Calibri"/>
        <family val="2"/>
        <scheme val="minor"/>
      </rPr>
      <t>O Cond</t>
    </r>
  </si>
  <si>
    <t>$3.25/dt solids processed</t>
  </si>
  <si>
    <t>Polymer: 25 lb/dt processed</t>
  </si>
  <si>
    <t>Odor Control Chemicals</t>
  </si>
  <si>
    <t>(Oklahoma City, OK &amp; HRSD)</t>
  </si>
  <si>
    <t>$25K ea for GBT, Pre-Dew, &amp; Dew, $45K for cake load out</t>
  </si>
  <si>
    <t>Natural Gas Purchase</t>
  </si>
  <si>
    <t>Supplemental Natural Gas</t>
  </si>
  <si>
    <t>MJ/d</t>
  </si>
  <si>
    <t>MJ/yr</t>
  </si>
  <si>
    <t>Cleaning Costs, $/5 yrs</t>
  </si>
  <si>
    <t>20% of volume cleaned/5 yrs</t>
  </si>
  <si>
    <t>$0.150/gal</t>
  </si>
  <si>
    <t>Reuse &amp; Disposal</t>
  </si>
  <si>
    <t>Gas Cleaning Spent Media Disposal</t>
  </si>
  <si>
    <t>Estimate</t>
  </si>
  <si>
    <t>Land Application of Biosolids</t>
  </si>
  <si>
    <t>$25.00/wet ton</t>
  </si>
  <si>
    <t>Class A</t>
  </si>
  <si>
    <t>Landfill Disposal of Biosolids</t>
  </si>
  <si>
    <t>$45.00/wet ton</t>
  </si>
  <si>
    <t>Revenue</t>
  </si>
  <si>
    <t>kWh/yr</t>
  </si>
  <si>
    <t>Electricity Production from CHP</t>
  </si>
  <si>
    <t>GPS-X Model</t>
  </si>
  <si>
    <t>O&amp;M COST SUMMARY - PROCESS CONFIGURATIONS 2X and 2Y</t>
  </si>
  <si>
    <t>2 fill/d - 1 h/fill</t>
  </si>
  <si>
    <t>1 Op: 8 h/shift - 1 shift/d</t>
  </si>
  <si>
    <t>Polymer: 20 lb/dt processed</t>
  </si>
  <si>
    <t>$25K ea for GBT &amp; Dew, $77K for cake load out, $5K for FOG</t>
  </si>
  <si>
    <t>$35.00/wet ton</t>
  </si>
  <si>
    <t>Class B</t>
  </si>
  <si>
    <t>lb Nox/MMBtu - average of range for int. combustion engines (lean burn) from CHP guidance for EPA by Brown and Caldwell</t>
  </si>
  <si>
    <t>lb Nox/MMBtu - &lt;90% load for 4-stroke lean-burn engines from epa emissions factors for natural gas powered engines</t>
  </si>
  <si>
    <t>lb SO2/MMBtu - for 4-stroke lean-burn engines from epa emissions factors for natural gas powered engines</t>
  </si>
  <si>
    <t>molectular weight</t>
  </si>
  <si>
    <t>mg/m3</t>
  </si>
  <si>
    <t>kg/day</t>
  </si>
  <si>
    <t>mg/dscm</t>
  </si>
  <si>
    <t xml:space="preserve">dry tons per year  </t>
  </si>
  <si>
    <t>solids</t>
  </si>
  <si>
    <t>Sanford data</t>
  </si>
  <si>
    <t>#/hour feed rate</t>
  </si>
  <si>
    <t>of the time running</t>
  </si>
  <si>
    <t>To Thermal Dryer</t>
  </si>
  <si>
    <t>To Gasifier</t>
  </si>
  <si>
    <t>O&amp;M Escalation (Material/General)</t>
  </si>
  <si>
    <t>Labor Escalation</t>
  </si>
  <si>
    <t>Lookup</t>
  </si>
  <si>
    <t>1X1Y</t>
  </si>
  <si>
    <t>1X1Y-</t>
  </si>
  <si>
    <t>Total O&amp;M Costs</t>
  </si>
  <si>
    <t>Analysis Start Year</t>
  </si>
  <si>
    <t>Config</t>
  </si>
  <si>
    <t>Cost</t>
  </si>
  <si>
    <t>kWh</t>
  </si>
  <si>
    <t>kWh-</t>
  </si>
  <si>
    <t>Hrs</t>
  </si>
  <si>
    <t>Chem</t>
  </si>
  <si>
    <t>NG</t>
  </si>
  <si>
    <t>Dispo</t>
  </si>
  <si>
    <t>Hrs-</t>
  </si>
  <si>
    <t>Chem-</t>
  </si>
  <si>
    <t>kWhProd</t>
  </si>
  <si>
    <t>kWhProd-</t>
  </si>
  <si>
    <t>[hrs/yr]</t>
  </si>
  <si>
    <t>Total Labor</t>
  </si>
  <si>
    <t>Unit Labor Costs</t>
  </si>
  <si>
    <t>OMM</t>
  </si>
  <si>
    <t>OMM-</t>
  </si>
  <si>
    <t>O&amp;M Materials</t>
  </si>
  <si>
    <t>Extraordinary Maintenance</t>
  </si>
  <si>
    <t>ExtraOrd-</t>
  </si>
  <si>
    <t>NG-</t>
  </si>
  <si>
    <t>[MJ/yr]</t>
  </si>
  <si>
    <t>Reuse and Disposal Costs</t>
  </si>
  <si>
    <t>Dispo-</t>
  </si>
  <si>
    <t>ExtraOrd</t>
  </si>
  <si>
    <t>TipFee</t>
  </si>
  <si>
    <t>2X2Y</t>
  </si>
  <si>
    <t>Total Material</t>
  </si>
  <si>
    <t>O&amp;M Chemicals</t>
  </si>
  <si>
    <t>Total Reuse &amp; Disposal</t>
  </si>
  <si>
    <t>Electricity Consumption</t>
  </si>
  <si>
    <t>Net Electric Consumption (Production)</t>
  </si>
  <si>
    <t>FOG Tipping Fee</t>
  </si>
  <si>
    <t>FOG Tipping Fee (@ $0.020/gal)</t>
  </si>
  <si>
    <t>2X2Y-</t>
  </si>
  <si>
    <t>TipFee-</t>
  </si>
  <si>
    <t>Net Natural Gas Consumption (Production)</t>
  </si>
  <si>
    <t>Extraordinary Maintenance Costs</t>
  </si>
  <si>
    <t>Tipping Fees</t>
  </si>
  <si>
    <t>[kWh/yr]</t>
  </si>
  <si>
    <t>Water &amp; Environment Research Foundation</t>
  </si>
  <si>
    <t>ENER1C12</t>
  </si>
  <si>
    <t>1X</t>
  </si>
  <si>
    <t>Configuration Number:</t>
  </si>
  <si>
    <t>Esc Factor</t>
  </si>
  <si>
    <t>1Y</t>
  </si>
  <si>
    <t>2X</t>
  </si>
  <si>
    <t>2Y</t>
  </si>
  <si>
    <t>Part</t>
  </si>
  <si>
    <t>Clean-Up Schedule</t>
  </si>
  <si>
    <t>Benefits</t>
  </si>
  <si>
    <t>Net Costs</t>
  </si>
  <si>
    <t>Capital</t>
  </si>
  <si>
    <t>Facility</t>
  </si>
  <si>
    <t>General O&amp;M</t>
  </si>
  <si>
    <t>Land Application</t>
  </si>
  <si>
    <t>Clean-Up Schedule - 5 yrs</t>
  </si>
  <si>
    <t>Land Disposal</t>
  </si>
  <si>
    <t>Landfill Application</t>
  </si>
  <si>
    <t>Landfill Disposal</t>
  </si>
  <si>
    <t>Genaral O&amp;M</t>
  </si>
  <si>
    <t>Anaerobic Digestion</t>
  </si>
  <si>
    <t>Cake Storage/Load Out</t>
  </si>
  <si>
    <t>Cake Storage</t>
  </si>
  <si>
    <t>CHP</t>
  </si>
  <si>
    <t>Dewatering</t>
  </si>
  <si>
    <t>Drying/Gasification/Energy Recovery</t>
  </si>
  <si>
    <t>Energy Recovery</t>
  </si>
  <si>
    <t>First Name</t>
  </si>
  <si>
    <t>LastName</t>
  </si>
  <si>
    <t>Custom Data</t>
  </si>
  <si>
    <t>In a TBL criteria weighting process, between the Economic, Environmental, and Social categories, how much weight would you place on the Economic category?</t>
  </si>
  <si>
    <t>In a TBL criteria weighting process, between the Economic, Environmental, and Social categories, how much weight would you place on the Environmental category?</t>
  </si>
  <si>
    <t>In a TBL criteria weighting process, between the Economic, Environmental, and Social categories, how much weight would you place on the Social category?</t>
  </si>
  <si>
    <t>Please specify the ideal weight you would allocate to the Economic, Environmental, and Social categories.  The total of the three percentages should sum to 100%.</t>
  </si>
  <si>
    <t>heat (MJ/day)</t>
  </si>
  <si>
    <t>=</t>
  </si>
  <si>
    <t>ton</t>
  </si>
  <si>
    <t>Mg</t>
  </si>
  <si>
    <t>0-5 score</t>
  </si>
  <si>
    <t>GHG EMISSIONS</t>
  </si>
  <si>
    <t>GPS-X output (tCO2e/yr)</t>
  </si>
  <si>
    <t>BEAM output (MgCO2e/yr)</t>
  </si>
  <si>
    <t>BEAM output (tCO2e/yr)</t>
  </si>
  <si>
    <t>Inverse of % of range</t>
  </si>
  <si>
    <t>Water Conservation</t>
  </si>
  <si>
    <t>Mass of Biosolids Applied (Mg-dry/year)</t>
  </si>
  <si>
    <t>Mass of Biosolids Compost Applied (Mg-dry/year)</t>
  </si>
  <si>
    <t>gallons of irrigation water saved per ton of biosolids applied (Dr. Brown data)</t>
  </si>
  <si>
    <t>lb/day TSS - GPS-X</t>
  </si>
  <si>
    <t>Mg/day TSS</t>
  </si>
  <si>
    <t>Land Impacts</t>
  </si>
  <si>
    <t>Scenario</t>
  </si>
  <si>
    <t>score</t>
  </si>
  <si>
    <t>Mg/yr</t>
  </si>
  <si>
    <t>Nox</t>
  </si>
  <si>
    <t>PM</t>
  </si>
  <si>
    <t>CHP (Internal Combustion Engine)</t>
  </si>
  <si>
    <t>kg CH4/day</t>
  </si>
  <si>
    <t>Btu/m3 CH4</t>
  </si>
  <si>
    <t>MMBtu/day</t>
  </si>
  <si>
    <t>lb Nox/MMBtu - low end of range for int. combustion engines (lean burn) from CHP guidance for EPA by Brown and Caldwell</t>
  </si>
  <si>
    <t>lb Nox/MMBtu - high end of range for int. combustion engines (lean burn) from CHP guidance for EPA by Brown and Caldwell</t>
  </si>
  <si>
    <t>Within the Social category, the following criteria were selected by the WERF research team to evaluate wastewater biosolids management options. Between 0 and 100%, what weight would you allocate to each of the following criteria in your evaluation process? (Total of all criteria weights should add up to 100%.)</t>
  </si>
  <si>
    <t>_x0000_</t>
  </si>
  <si>
    <t>Underweight (Less than 30%)</t>
  </si>
  <si>
    <t>Equal Weight (33.3% for each category)</t>
  </si>
  <si>
    <t>Overweight (40% to 50%)</t>
  </si>
  <si>
    <t>More than 50%</t>
  </si>
  <si>
    <t>Open-Ended Response</t>
  </si>
  <si>
    <t>Net Impacts on Media</t>
  </si>
  <si>
    <t>Nuisance Issues (Odor, Dust, Traffic, and Visual)</t>
  </si>
  <si>
    <t>X</t>
  </si>
  <si>
    <t>Assuming the the NPV costs used satisfy the process design, quality and performance requirements for all the options.</t>
  </si>
  <si>
    <t>Water Impacts</t>
  </si>
  <si>
    <t xml:space="preserve">No site specific criteria --&gt; each scenario will rank the same.  </t>
  </si>
  <si>
    <t>Regulatory Flexibility</t>
  </si>
  <si>
    <t>Class A land application --&gt; better suited for future regulatory changes than Class B</t>
  </si>
  <si>
    <t>Potential organics bans and limits related to methane emissions from landfilling organic wastes</t>
  </si>
  <si>
    <t>Class B --&gt; more risky related to future regulatory restrictions</t>
  </si>
  <si>
    <t>This is a hard question.  Regulatory pressure might be the only real pressure a utility may feel.  So it could easily be 100%, without regulatory pressure there is little to no movement in the current municipal system.  To add to this, the idea of nutrient utilization has more to do with future or potential regulations.  So let us do the right thing and get ahead of the curve so we can make decision as opposed to some other agency making them for us.  So we anticipate regulations.  If there were none, we would not move much.</t>
  </si>
  <si>
    <t>We have found the public interction is mostly seen at the Nuisannce level.  By taking care of this you take care of a lot of issues.  We are very safety conscious so the weighting is superfluous, we have a culture of safetey that is integrated into design and ops.  So this could be taken out of social.  The idea I am expressing is that safety is not negotiable so it is not weighed, if it is unsafe we do not do it.  Beyond that, yes we care about our work place.</t>
  </si>
  <si>
    <t>Conservation/Optimization of nutrient utilization may overlap net impacts on media some, therefore, a reduced weighting for the second may make sense.</t>
  </si>
  <si>
    <t>Within the Economic category, the following criteria were selected by the WERF research team to evaluate wastewater biosolids management options. Between 0 and 100%, what weight would you allocate to each of the following criteria in your evaluation process? (Total of all criteria weights should add up to 100%.)</t>
  </si>
  <si>
    <t>Your Comments:</t>
  </si>
  <si>
    <t>Within the Environmental category, the following criteria were selected by the WERF research team to evaluate wastewater biosolids management options. Between 0 and 100%, what weight would you allocate to each of the following criteria in your evaluation process? (Total of all criteria weights should add up to 100%.)</t>
  </si>
  <si>
    <t>Among the two most important factors are pathogen contamination of surface waters and odour in the environmental criteria.</t>
  </si>
  <si>
    <t>In our utility, odour is still the biggest risk to manage as well as managing customer perception around safety of produce (pathogen risk).</t>
  </si>
  <si>
    <t>I do not think that the state of a technology should be part of an economic evaluation.</t>
  </si>
  <si>
    <t>Careful consideration needs to be given to impacts of one category on another resulting in adding (or subtracting) weighting; for example, familiar mainstream technology is likely somewhat less costly in capital, so that has impact on NPV as well despite being outside the "category".</t>
  </si>
  <si>
    <t>This will differ in different parts of the world- some regions don't have the need to recover nutrients, while others do.</t>
  </si>
  <si>
    <t>NPV must be calculated over a long enough period to be useful or it outweighs other factors.  The water/wastewater industry tends to be very conservative so the track record of a process or technology is more important than cost.  We may not say this but if we invest in it, it must operate for at least its life expectancy if not longer.  We rely on the good desing and installaton of capital investments made by our precessors.  Innovation is exciting but reliability sells projects.</t>
  </si>
  <si>
    <t>Nuisance conditions especially odor can quickly kill a project. Public interaction and nuisance situations are closely connected. Agree that public should be engaged as early as possible.</t>
  </si>
  <si>
    <t>Should not use NPV solely to judge an option; it's just another tool and factor in the final decision</t>
  </si>
  <si>
    <t>For any WWTP, first and foremost, the regulations have to be met.</t>
  </si>
  <si>
    <t>Odor  and related nuisance issues are extremely important to my circumstance, but this is likely to vary with the site and situation and local "climate".</t>
  </si>
  <si>
    <t>1X:AnaDig+CHP,Prtmt,LandApp</t>
  </si>
  <si>
    <t>1Y:AnaDig+CHP,Prtmt,Landfill</t>
  </si>
  <si>
    <t>2X:AnaDig+CHP,Codig,LandApp</t>
  </si>
  <si>
    <t>2Y:AnaDig+CHP,Codig,Landfill</t>
  </si>
  <si>
    <t>AD/CHP</t>
  </si>
  <si>
    <t>Make sure to not be overly risk averse with the "state of technology- how well demonstrated" subcriterion.  If a technology has been used in Europe, Japan and/or Australia successfully, it shouldn't necessarily be penalized because it hasn't been installed at 5 US locations for 5 years each, or other such criteria common in the US.</t>
  </si>
  <si>
    <t>I put a lower rate on regulatory because if it can't pass, then the option won't be used regarless of how it performs on other areas.  However, if performance is good, but regulatory hurdle are difficult, sometimes we need to push the envelope and not be deterred by a barrier.</t>
  </si>
  <si>
    <t>The NPV does not take into account non-financial factors which have a significant impact. Addition of Engineering/Technical category seen as a good addition because it considers a wider spectrum of factors that can effect beneficial disposal options and new markets.</t>
  </si>
  <si>
    <t>TBL Engineering/Technical Criteria Scoring</t>
  </si>
  <si>
    <t>Fairly new technology.</t>
  </si>
  <si>
    <t>O&amp;M Summary</t>
  </si>
  <si>
    <t>Percent of Total O&amp;M</t>
  </si>
  <si>
    <t>Dewatered Solids Hauling to Regional FBI</t>
  </si>
  <si>
    <t>$15.00/wet ton</t>
  </si>
  <si>
    <t>!$N45</t>
  </si>
  <si>
    <t>!$N46</t>
  </si>
  <si>
    <t>!$N47</t>
  </si>
  <si>
    <t>!$N48</t>
  </si>
  <si>
    <t>!$N49</t>
  </si>
  <si>
    <t>!$N50</t>
  </si>
  <si>
    <t>!$N51</t>
  </si>
  <si>
    <t>!$N52</t>
  </si>
  <si>
    <t>!$N53</t>
  </si>
  <si>
    <t>2. Survey Weights</t>
  </si>
  <si>
    <t>Landfill as final disposition --&gt; no nutrients utilized</t>
  </si>
  <si>
    <t>Land Application --&gt; all nutrients utilized</t>
  </si>
  <si>
    <t>Gasification --&gt; ash to landfill --&gt; no nutrients utilized (would change if ash were recycled for phosphorus content, but would require analysis of ash)</t>
  </si>
  <si>
    <t xml:space="preserve">Nitrogen value from Total Nitrogen lbs/day in cake on mass balance worksheet of GPS-X output spreadsheet, </t>
  </si>
  <si>
    <t xml:space="preserve">Phosphorus value from Ortho Phosphate lbs/day in cake on mass balance worksheet of GPS-X output spreadsheet, </t>
  </si>
  <si>
    <t>Sum of GHG emissions</t>
  </si>
  <si>
    <t>sum (kWh/day converted to MJ/day)</t>
  </si>
  <si>
    <t>Range adjusted (min. value to zero)</t>
  </si>
  <si>
    <t xml:space="preserve">Energy recovery represents the amount of energy inherent in the wastewater solids that is both captured and utilized (whether on-site or off-site) </t>
  </si>
  <si>
    <t>Particulate Matter</t>
  </si>
  <si>
    <t>ton =</t>
  </si>
  <si>
    <t>Mg/year - NOx</t>
  </si>
  <si>
    <t>Mg/year - SO2</t>
  </si>
  <si>
    <t>Technology has to be maximumly usable by the operators and they have to buy into it.</t>
  </si>
  <si>
    <t>Regulatory considerations can make or break a project. Impacts on soil and conservation of nutrients are not totally independent, any more than you can separate out water and air??</t>
  </si>
  <si>
    <t>low end of range for int. combustion engines (lean burn) from CHP guidance for EPA by Brown and Caldwell</t>
  </si>
  <si>
    <t>high end of range for int. combustion engines (lean burn) from CHP guidance for EPA by Brown and Caldwell</t>
  </si>
  <si>
    <t>average of range for int. combustion engines (lean burn) from CHP guidance for EPA by Brown and Caldwell</t>
  </si>
  <si>
    <t>assuming no emissions control on the CHP engine</t>
  </si>
  <si>
    <t>Mg/year -  PM</t>
  </si>
  <si>
    <t>Incineration Emissions  (Fluidized Bed Incinerator)</t>
  </si>
  <si>
    <t>Nm3/day - Flue Gas Flow</t>
  </si>
  <si>
    <t>Terry Goss via 8-2-13 email</t>
  </si>
  <si>
    <t>ppmvd - NOx</t>
  </si>
  <si>
    <t xml:space="preserve">from Table 4-1. ACTUAL BASELINE EMISSIONS (based on average feed rates) EPA emissions data from incinerators (spreadsheet provided by C. Polo)
</t>
  </si>
  <si>
    <t>molectular weight of NOx</t>
  </si>
  <si>
    <t>mg/m3 - NOx</t>
  </si>
  <si>
    <t>NOx emissions</t>
  </si>
  <si>
    <t>SOx emissions</t>
  </si>
  <si>
    <t>ppmvd - SOx</t>
  </si>
  <si>
    <t>Gasification Emissions</t>
  </si>
  <si>
    <t>Mg/year - SOx</t>
  </si>
  <si>
    <t>Mg/year - PM</t>
  </si>
  <si>
    <t>Pollutant</t>
  </si>
  <si>
    <t>Emissions levels @ 7% O2 feed rate of 1000 lbs/hr</t>
  </si>
  <si>
    <t>SO2</t>
  </si>
  <si>
    <t>2 TPY</t>
  </si>
  <si>
    <t>VOC</t>
  </si>
  <si>
    <t>.44 TPY</t>
  </si>
  <si>
    <t>CO</t>
  </si>
  <si>
    <t>1.29 TPY</t>
  </si>
  <si>
    <t>.51 TPY</t>
  </si>
  <si>
    <t>HCL</t>
  </si>
  <si>
    <t>.048 TPY</t>
  </si>
  <si>
    <t>Hg</t>
  </si>
  <si>
    <t>1 lb/yr</t>
  </si>
  <si>
    <t>reported by MaxWest</t>
  </si>
  <si>
    <t>MaxWest emissions data - Sanford, FL</t>
  </si>
  <si>
    <t>via T. Goss email 8-2-13</t>
  </si>
  <si>
    <t>dry tons per day of sludge</t>
  </si>
  <si>
    <t>corrections factor</t>
  </si>
  <si>
    <t>total Water Conserved (gallons/year)</t>
  </si>
  <si>
    <t>gallons of water holding capacity increase per Mg of biosolids  applied (Dr. Brown data)</t>
  </si>
  <si>
    <r>
      <t xml:space="preserve">gallons of water holding capacity increase per ton of biosolids </t>
    </r>
    <r>
      <rPr>
        <b/>
        <u/>
        <sz val="11"/>
        <color theme="1"/>
        <rFont val="Calibri"/>
        <family val="2"/>
        <scheme val="minor"/>
      </rPr>
      <t>compost</t>
    </r>
    <r>
      <rPr>
        <sz val="11"/>
        <color theme="1"/>
        <rFont val="Calibri"/>
        <family val="2"/>
        <scheme val="minor"/>
      </rPr>
      <t xml:space="preserve"> applied (Dr. Brown data)</t>
    </r>
  </si>
  <si>
    <r>
      <t xml:space="preserve">gallons of water holding capacity increase per Mg of biosolids </t>
    </r>
    <r>
      <rPr>
        <b/>
        <u/>
        <sz val="11"/>
        <color theme="1"/>
        <rFont val="Calibri"/>
        <family val="2"/>
        <scheme val="minor"/>
      </rPr>
      <t>compost</t>
    </r>
    <r>
      <rPr>
        <sz val="11"/>
        <color theme="1"/>
        <rFont val="Calibri"/>
        <family val="2"/>
        <scheme val="minor"/>
      </rPr>
      <t xml:space="preserve"> applied (Dr. Brown data)</t>
    </r>
  </si>
  <si>
    <t>Amount of biosolids added to soil</t>
  </si>
  <si>
    <t>Amount of biosolids compost added to soil</t>
  </si>
  <si>
    <t>kWh/d used in thermal hydrolysis</t>
  </si>
  <si>
    <t>Heat</t>
  </si>
  <si>
    <t>MJ/d heat generated from CHP</t>
  </si>
  <si>
    <t>MJ/d heat generated from boiler running off of biogas</t>
  </si>
  <si>
    <t>MJ/d heat from CHP/boiler used for building heat</t>
  </si>
  <si>
    <t>MJ/d used to heat anaerobic digesters</t>
  </si>
  <si>
    <t>MJ/d used for thermal hydrolysis process</t>
  </si>
  <si>
    <t>MJ/d heat lost to the atmosphere</t>
  </si>
  <si>
    <t>kWh/d used in FOG receiving</t>
  </si>
  <si>
    <t>kWh/d from waste heat steam turbine back to plant</t>
  </si>
  <si>
    <t>kWh/d used to run the FBI</t>
  </si>
  <si>
    <t>MJ/d heat recovered from FBI utilized for plant operations</t>
  </si>
  <si>
    <t>kWh/d net electricity utilized from wastewater solids</t>
  </si>
  <si>
    <t>MJ/d net heat utilized from wastewater solids</t>
  </si>
  <si>
    <t>Fixed Carbon</t>
  </si>
  <si>
    <t>no electricity recovered</t>
  </si>
  <si>
    <t>kWh/d to run the thermal drying process and gasifier</t>
  </si>
  <si>
    <t>Total Cash Flow</t>
  </si>
  <si>
    <t>Capital Cost Summary</t>
  </si>
  <si>
    <t>Default Value</t>
  </si>
  <si>
    <t>Overwrite Value</t>
  </si>
  <si>
    <t>Capital Costs Summary by Modelus</t>
  </si>
  <si>
    <t>O&amp;M Costs Summary By Modules</t>
  </si>
  <si>
    <t>Blank Capital Line 1</t>
  </si>
  <si>
    <t>Blank Capital Line 2</t>
  </si>
  <si>
    <t>Blank Capital Line 3</t>
  </si>
  <si>
    <t>Blank O&amp;M Line 1</t>
  </si>
  <si>
    <t>Blank O&amp;M Line 2</t>
  </si>
  <si>
    <t>Blank O&amp;M Line 3</t>
  </si>
  <si>
    <t>Blank Benefit Line 1</t>
  </si>
  <si>
    <t>Blank Benefit Line 2</t>
  </si>
  <si>
    <t>Blank Benefit Line 3</t>
  </si>
  <si>
    <t>DETAIL COSTS BY MODULES</t>
  </si>
  <si>
    <t>COST SUMMARY BY MODULES</t>
  </si>
  <si>
    <t>COST SUMMARY</t>
  </si>
  <si>
    <t>On</t>
  </si>
  <si>
    <t>Off</t>
  </si>
  <si>
    <t>!$N54</t>
  </si>
  <si>
    <t>!$N55</t>
  </si>
  <si>
    <t>!$N56</t>
  </si>
  <si>
    <t>!$N57</t>
  </si>
  <si>
    <t>!$N58</t>
  </si>
  <si>
    <t>!$N59</t>
  </si>
  <si>
    <t>!$N60</t>
  </si>
  <si>
    <t>!$N61</t>
  </si>
  <si>
    <t>!$N62</t>
  </si>
  <si>
    <t>!$N63</t>
  </si>
  <si>
    <t>!$N69</t>
  </si>
  <si>
    <t>!$N70</t>
  </si>
  <si>
    <t>!$N71</t>
  </si>
  <si>
    <t>!$N72</t>
  </si>
  <si>
    <t>!$N73</t>
  </si>
  <si>
    <t>!$N83</t>
  </si>
  <si>
    <t>!$N84</t>
  </si>
  <si>
    <t>!$N85</t>
  </si>
  <si>
    <t>!$N86</t>
  </si>
  <si>
    <t>Custom-</t>
  </si>
  <si>
    <t>Custom</t>
  </si>
  <si>
    <t>Default O&amp;M Costs</t>
  </si>
  <si>
    <t>Default Capital Costs</t>
  </si>
  <si>
    <t>Default MGD Capex Scaling Factor</t>
  </si>
  <si>
    <t xml:space="preserve">Locks down the process. No flexibility otherwise, but dryer adds some flexibility. </t>
  </si>
  <si>
    <t>For Charts</t>
  </si>
  <si>
    <t>NPV</t>
  </si>
  <si>
    <t>Not Used</t>
  </si>
  <si>
    <t>NPV Inverse</t>
  </si>
  <si>
    <t>Cumilative Cash flow</t>
  </si>
  <si>
    <t>Scoring assumptions &amp; rationale</t>
  </si>
  <si>
    <t>Scoring system:</t>
  </si>
  <si>
    <t>qualitative, subjective</t>
  </si>
  <si>
    <t>normalization:</t>
  </si>
  <si>
    <t>none</t>
  </si>
  <si>
    <t>range of possible scores:</t>
  </si>
  <si>
    <t>0.0 - 5.0</t>
  </si>
  <si>
    <t>best score:</t>
  </si>
  <si>
    <t>meaning of best score:</t>
  </si>
  <si>
    <t>high net increase of productive land; sustainable future land use is increased</t>
  </si>
  <si>
    <t>worst score:</t>
  </si>
  <si>
    <t>meaning of worst score:</t>
  </si>
  <si>
    <t>high net decrease of productive land; sustainable future land use is reduced</t>
  </si>
  <si>
    <t>quantitative, cardinal, empirical estimates of the mass of solids and the percentages of nutrients they contain, based on research</t>
  </si>
  <si>
    <t>percentage of max</t>
  </si>
  <si>
    <t>greatest mass of nutrients returned to soils</t>
  </si>
  <si>
    <t>no nutrients returned to soils</t>
  </si>
  <si>
    <t>Subcriteria Weighting</t>
  </si>
  <si>
    <t>MJ</t>
  </si>
  <si>
    <r>
      <t xml:space="preserve">FIXED CARBON - </t>
    </r>
    <r>
      <rPr>
        <b/>
        <i/>
        <sz val="11"/>
        <color theme="1"/>
        <rFont val="Calibri"/>
        <family val="2"/>
        <scheme val="minor"/>
      </rPr>
      <t>weighted (see left)</t>
    </r>
  </si>
  <si>
    <t>quantitative, cardinal, empirical estimates of 1) expected net energy recovery and 2) expected net greenhouse gas (GHG) emissions, based on research</t>
  </si>
  <si>
    <t>for each item (energy recovery and GHG emissions), data are totaled, the range is adjusted so the minimum value = 0, and percent of range is calculated; for GHG emissions, the inverse of percent of range is calculated, since higher GHG emissions are worse; the % of range is adjusted to a  range of 0 - 5; the average for the two items is calculated.</t>
  </si>
  <si>
    <t>Energy captured and utilized from wastewater solids</t>
  </si>
  <si>
    <t>kWh/d from CHP back to plant</t>
  </si>
  <si>
    <t>lowest net energy recovery combined with highest net GHG emissions</t>
  </si>
  <si>
    <t>Energy recovery values are derived from the e-Sankey diagrams for each scenario and represent the amount of energy harvested and utilized from the wastewaster/biosolids minus the amount of energy input into the process used to derive the energy.  For instance, in 1X and 1Y, the thermal hydrolysis process results in greater biogas production --&gt; more heat and electricity from CHP, but the thermal hydrolysis process uses a significant amount of the heat generated from the CHP, so that is backed out of of the recovered heat.  Heat from biogas boiler and CHP that is used to heat the digesters and the buildings is considered recovered energy, but heat from the biogas boiler and CHP used to run the thermal hydrolysis unit is not considered recovered energy.</t>
  </si>
  <si>
    <t>quantitative, cardinal, empirical measurements based on typical water conserved in soils, based on research</t>
  </si>
  <si>
    <t>largest amount of water conserved in soils</t>
  </si>
  <si>
    <t>no water conserved in soils</t>
  </si>
  <si>
    <t>scoring assumptions &amp; rationale</t>
  </si>
  <si>
    <t>Air Impacts</t>
  </si>
  <si>
    <t>NOx (Mg/year)</t>
  </si>
  <si>
    <t>SOx (Mg/year)</t>
  </si>
  <si>
    <t>quantitative, cardinal, empirical measurements of typical NOx, SOx, and particulate matter (PM) emissions, based on research and experience</t>
  </si>
  <si>
    <t>lowest total air emissions / impacts</t>
  </si>
  <si>
    <t>highest total air emissions / impacts</t>
  </si>
  <si>
    <t>alternative data for NOx emissions from CHP engines</t>
  </si>
  <si>
    <t>from GPS-X output GHG Outputs worksheet</t>
  </si>
  <si>
    <t>condensable particulate matter (PM)</t>
  </si>
  <si>
    <t>score*</t>
  </si>
  <si>
    <t>* Scoring system:</t>
  </si>
  <si>
    <t>no net negative impact to water quality potentially affected by biosolids management scenario</t>
  </si>
  <si>
    <t>large net negative impact to water quality potentially affected by biosolids management scenario</t>
  </si>
  <si>
    <t>greatest flexibility with regards to current and anticipated future regulations</t>
  </si>
  <si>
    <t>!$N74</t>
  </si>
  <si>
    <t>!$N75</t>
  </si>
  <si>
    <t>!$N76</t>
  </si>
  <si>
    <t>!$N77</t>
  </si>
  <si>
    <t>!$N78</t>
  </si>
  <si>
    <t>!$N79</t>
  </si>
  <si>
    <t>!$N80</t>
  </si>
  <si>
    <t>!$N81</t>
  </si>
  <si>
    <t>!$N82</t>
  </si>
  <si>
    <t>least flexibility with regards to current and anticipated future regulations</t>
  </si>
  <si>
    <t>High resource</t>
  </si>
  <si>
    <t>Reference</t>
  </si>
  <si>
    <t>GHG25 with low gas price</t>
  </si>
  <si>
    <t>[$/MMBTU]</t>
  </si>
  <si>
    <t>Conversion Factor to $/GJ</t>
  </si>
  <si>
    <t>Scenarios</t>
  </si>
  <si>
    <t>Cost of Natural Gas Scenario</t>
  </si>
  <si>
    <t>Electric Gas Costs</t>
  </si>
  <si>
    <t>Electric Price Escalation</t>
  </si>
  <si>
    <t>Cost of Electricity Scenario</t>
  </si>
  <si>
    <t>Conversion Factor to $/kWh</t>
  </si>
  <si>
    <t>!N$19</t>
  </si>
  <si>
    <t>!N$20</t>
  </si>
  <si>
    <t>!N$21</t>
  </si>
  <si>
    <t>!N$22</t>
  </si>
  <si>
    <t>!N$23</t>
  </si>
  <si>
    <t>!N$24</t>
  </si>
  <si>
    <t>!N$25</t>
  </si>
  <si>
    <t>Total O&amp;M Cost</t>
  </si>
  <si>
    <t>Lifecycle O&amp;M Costs (Net)</t>
  </si>
  <si>
    <t>NPV Inverse Normalized to % of Maximum</t>
  </si>
  <si>
    <t>Input Costs Base Yr</t>
  </si>
  <si>
    <t>Team Weights</t>
  </si>
  <si>
    <t>Survey Weights</t>
  </si>
  <si>
    <t>Overweight Economic</t>
  </si>
  <si>
    <t>No water Conservation</t>
  </si>
  <si>
    <t>3Y:Incin,Landfill</t>
  </si>
  <si>
    <t>3Y</t>
  </si>
  <si>
    <t>4Y</t>
  </si>
  <si>
    <t>3Y-</t>
  </si>
  <si>
    <t>4Y-</t>
  </si>
  <si>
    <t>CAPITAL COST SUMMARY - PROCESS CONFIGURATIONS 3Y</t>
  </si>
  <si>
    <t>Total - Process Configuration 3Y</t>
  </si>
  <si>
    <t xml:space="preserve">1. Fluid bed incineration is not practical for a 10 dtpd. The costs shown for Process Configuration 3Y is based on the assumption that the solids generated at the 10 mgd plant would be hauled to a bigger regional for incineration. The costs shown are the 10 mgd plant's share of the total capital costs for a 100 dtpd FBI at the regional. </t>
  </si>
  <si>
    <t>CAPITAL COST SUMMARY - PROCESS CONFIGURATIONS 4Y</t>
  </si>
  <si>
    <t>Total - Process Configuration 4Y</t>
  </si>
  <si>
    <t>O&amp;M COST SUMMARY - PROCESS CONFIGURATION 4Y</t>
  </si>
  <si>
    <t>O&amp;M COST SUMMARY - PROCESS CONFIGURATION 3Y</t>
  </si>
  <si>
    <t>kg/m3 CH4 at std temp pressure (EPA via BEAM references)</t>
  </si>
  <si>
    <t>lb PM10(filterable)/MMBtu - for 4-stroke lean-burn engines from epa emissions factors for natural gas powered engines</t>
  </si>
  <si>
    <t xml:space="preserve">Particulate Matter emissions </t>
  </si>
  <si>
    <t>conversion (from ppmvd -&gt; mg/m3)</t>
  </si>
  <si>
    <t>highest net energy recovery combined with lowest net GHG emissions</t>
  </si>
  <si>
    <t>Some potential for increased odor &amp; mess in operations when taking in outside waste</t>
    <phoneticPr fontId="75" type="noConversion"/>
  </si>
  <si>
    <t>Traffic normalized (% of max)</t>
    <phoneticPr fontId="75" type="noConversion"/>
  </si>
  <si>
    <t>Traffic score (0-5, corrected)</t>
    <phoneticPr fontId="75" type="noConversion"/>
  </si>
  <si>
    <r>
      <t>meaning of worst score</t>
    </r>
    <r>
      <rPr>
        <b/>
        <sz val="11"/>
        <color indexed="8"/>
        <rFont val="Calibri"/>
        <family val="2"/>
      </rPr>
      <t xml:space="preserve"> (odor, dust, visual)</t>
    </r>
    <r>
      <rPr>
        <b/>
        <sz val="11"/>
        <color rgb="FF000000"/>
        <rFont val="Calibri"/>
        <family val="2"/>
        <scheme val="minor"/>
      </rPr>
      <t>:</t>
    </r>
    <phoneticPr fontId="75" type="noConversion"/>
  </si>
  <si>
    <t>meaning of best score (traffic):</t>
    <phoneticPr fontId="75" type="noConversion"/>
  </si>
  <si>
    <r>
      <t>meaning of best score</t>
    </r>
    <r>
      <rPr>
        <b/>
        <sz val="11"/>
        <color indexed="8"/>
        <rFont val="Calibri"/>
        <family val="2"/>
      </rPr>
      <t xml:space="preserve"> (odor, dust, visual):</t>
    </r>
    <phoneticPr fontId="75" type="noConversion"/>
  </si>
  <si>
    <t>none for odors, dust, &amp; visual; percent of maximum (corrected to inverse) for traffic</t>
    <phoneticPr fontId="75" type="noConversion"/>
  </si>
  <si>
    <t>fewest truckloads of final solids leaving facility</t>
    <phoneticPr fontId="75" type="noConversion"/>
  </si>
  <si>
    <t>meaning of worst score (traffic):</t>
    <phoneticPr fontId="75" type="noConversion"/>
  </si>
  <si>
    <t>most truckloads of final solids leaving facility</t>
    <phoneticPr fontId="75" type="noConversion"/>
  </si>
  <si>
    <t>maximum nuisance potential, based on experiences at similar operations</t>
    <phoneticPr fontId="75" type="noConversion"/>
  </si>
  <si>
    <t>minmal or no nuisance expected, based on experiences at similar operations</t>
    <phoneticPr fontId="75" type="noConversion"/>
  </si>
  <si>
    <t>Averaged score</t>
  </si>
  <si>
    <t>Averaged score</t>
    <phoneticPr fontId="75" type="noConversion"/>
  </si>
  <si>
    <t>Workplace Conditions</t>
    <phoneticPr fontId="75" type="noConversion"/>
  </si>
  <si>
    <t xml:space="preserve"> Table 4-1. ACTUAL BASELINE EMISSIONS (based on average feed rates) EPA emissions data from incinerators (spreadsheet provided by C. Polo) gives a NOx air concentration of 56.05 ppmvd
</t>
  </si>
  <si>
    <t>based on SSI MACT limits as per Ajay K.</t>
  </si>
  <si>
    <t xml:space="preserve"> Table 4-1. ACTUAL BASELINE EMISSIONS (based on average feed rates) EPA emissions data from incinerators (spreadsheet provided by C. Polo) gives a filterable PM  concentration of 11.59 mg/dcsm
</t>
  </si>
  <si>
    <t>NOx % of max</t>
  </si>
  <si>
    <t>NOx score (0-5, corrected)</t>
  </si>
  <si>
    <t>SOx % of max</t>
  </si>
  <si>
    <t>SOx score (0-5, corrected)</t>
  </si>
  <si>
    <t>Particulate Matter  % of max</t>
  </si>
  <si>
    <t>Particulate Matter score (0-5, corrected)</t>
  </si>
  <si>
    <t>Weighted Score</t>
  </si>
  <si>
    <t>each type of emission is rated 0-5, based on inverse of percent of maximum emissions (in Mg/year), the final score (0-5) is based on weighting the results of each individual score and summing the three scores</t>
  </si>
  <si>
    <t>1. Team Weights</t>
  </si>
  <si>
    <t>Nuisance Issues</t>
    <phoneticPr fontId="75" type="noConversion"/>
  </si>
  <si>
    <t>Averaged / Data</t>
  </si>
  <si>
    <t>Odor</t>
    <phoneticPr fontId="75" type="noConversion"/>
  </si>
  <si>
    <t>Visual</t>
    <phoneticPr fontId="75" type="noConversion"/>
  </si>
  <si>
    <t>The biosolids management program technologies and processes require no public engagement (for example, landfill disposal on the wastewater facility site reuires no public engagement (unless odor issues are possible), because the entire treatment and disposal is out of public sight.</t>
    <phoneticPr fontId="75" type="noConversion"/>
  </si>
  <si>
    <r>
      <t>Traffic</t>
    </r>
    <r>
      <rPr>
        <sz val="11"/>
        <rFont val="Calibri"/>
        <family val="2"/>
      </rPr>
      <t xml:space="preserve"> (truckloads per year*)</t>
    </r>
    <phoneticPr fontId="75" type="noConversion"/>
  </si>
  <si>
    <t>*Truckloads per year are derived from BEAModel generated for Environmental criteria using data from GPS-X modeling for each configuration.</t>
    <phoneticPr fontId="75" type="noConversion"/>
  </si>
  <si>
    <t>Anaerobic digestion is contained,making for a fairly comfortable workplace; land application sites are generally outdoor, pleasant workplaces</t>
    <phoneticPr fontId="75" type="noConversion"/>
  </si>
  <si>
    <t>Workplace conditions are very safe and pleasant for employees.</t>
    <phoneticPr fontId="75" type="noConversion"/>
  </si>
  <si>
    <t>Workplace conditions are very unpleasant for employees due to dust, noise, odors in the work environment.</t>
    <phoneticPr fontId="75" type="noConversion"/>
  </si>
  <si>
    <t>The biosolids management technologies and processes used require extensive engagement with customers, neighbors, the media, and the broader public (for example, a compost product requires public engagement to make the biosolids end use successful).</t>
    <phoneticPr fontId="75" type="noConversion"/>
  </si>
  <si>
    <t>Some potential for increased odor &amp; mess in operations when taking in outside waste; landfill is a less pleasing workplace than land application site</t>
    <phoneticPr fontId="75" type="noConversion"/>
  </si>
  <si>
    <t>Incinerator has potential for odors, dust, and noise - less pleasant work conditions; landfill is a less pleasing workplace than land application site</t>
    <phoneticPr fontId="75" type="noConversion"/>
  </si>
  <si>
    <t>Gasification has potential for odors, dust, and noise - less pleasant work conditions;landfill is a less pleasing workplace than land application site</t>
    <phoneticPr fontId="75" type="noConversion"/>
  </si>
  <si>
    <t>Landfill is a less pleasing workplace than land application site</t>
    <phoneticPr fontId="75" type="noConversion"/>
  </si>
  <si>
    <t>Scoring system:</t>
    <phoneticPr fontId="75" type="noConversion"/>
  </si>
  <si>
    <t>Public Engagement</t>
    <phoneticPr fontId="75" type="noConversion"/>
  </si>
  <si>
    <t>Potential organics bans and limits related to methane emissions from landfilling organic wastes - no difference in benefit between Class A from Class B when landfilling</t>
  </si>
  <si>
    <t>Not a proven track record with the technology at this time; hard to determine future regulatory restrictions as the use of this technology increases; on landfill end --&gt; no different than landfilling incinerator ash (it is an inorganic material --&gt; no methane generation)</t>
  </si>
  <si>
    <t>GAC: 4 dtpy (20 dtpy/100 dt)</t>
  </si>
  <si>
    <t>$3,800/ton</t>
  </si>
  <si>
    <t>$380/ton</t>
  </si>
  <si>
    <t xml:space="preserve">Spent Carbon Disposal </t>
  </si>
  <si>
    <t>$75.00/wet ton</t>
  </si>
  <si>
    <t>Low Electric and Gas Cost Scenario</t>
  </si>
  <si>
    <t>High Electric and Gas Cost Scenario</t>
  </si>
  <si>
    <t>Reference Case</t>
  </si>
  <si>
    <t>Difference</t>
  </si>
  <si>
    <t>Optimizing Nutrient Utilization (N &amp; P)</t>
  </si>
  <si>
    <t>Fixed Carbon - Energy Recovery &amp; GHG Emission</t>
  </si>
  <si>
    <t>Add sub-criteria here</t>
  </si>
  <si>
    <t>Add Criteria Here</t>
  </si>
  <si>
    <t>Land/Soil</t>
  </si>
  <si>
    <t>Air</t>
  </si>
  <si>
    <t>Water</t>
  </si>
  <si>
    <t>Life Cycle Cost Assessment</t>
  </si>
  <si>
    <t>Ranking</t>
  </si>
  <si>
    <t>Flexibility to Meet Current and Future Regulations</t>
  </si>
  <si>
    <t>NORMALIZATION</t>
  </si>
  <si>
    <t>Scoring Assumptions &amp; Rationale</t>
  </si>
  <si>
    <t>AD with CHP and pretreatment are fairly complex</t>
  </si>
  <si>
    <t>Codigestion is a little simpler than pretreatment, Foreign Material Handling Required</t>
  </si>
  <si>
    <t>Landfill will be a little easier than land application</t>
  </si>
  <si>
    <t>Incinerators are more complex than digesters, share of common facility adds complexity, ash disposal is simple</t>
  </si>
  <si>
    <t>Includes 2 processes: drying and gasification, both of which have some complexity.</t>
  </si>
  <si>
    <t>Land application programs have flexibility to divert to landfills</t>
  </si>
  <si>
    <t>Co-digestion is fairly well known</t>
  </si>
  <si>
    <t>Thermal hydrolysis is fairly new</t>
  </si>
  <si>
    <t>Lbs of Total Nitrogen</t>
  </si>
  <si>
    <t>Lbs of Ortho P</t>
  </si>
  <si>
    <t>1X: AnaDig + CHP, Prtmt, LandApp</t>
  </si>
  <si>
    <t>1Y: AnaDig + CHP, Prtmt, Landfill</t>
  </si>
  <si>
    <t>2X: AnaDig + CHP, Codig, LandApp</t>
  </si>
  <si>
    <t>3Y: Incin, Landfill</t>
  </si>
  <si>
    <t>4Y: Gasif, Landfill</t>
  </si>
  <si>
    <t>based on reported emissions from Sanford, FL MaxWest gasification system - adjusted to anticipated cake tonnage in scenario 3Y</t>
  </si>
  <si>
    <t>Scenario 3Y data</t>
  </si>
  <si>
    <t>to dryer and then to gasifier from mass balance worksheet for GPS-X output of scenario 3Y</t>
  </si>
  <si>
    <t>Sanford data to Scenario 3Y based on difference in dry tons per year --&gt; gasifier</t>
  </si>
  <si>
    <t>Assuming no loss of land to new construction.  Assuming 100% to agricultural land --&gt; no loss, but no gain.  Agricultural land stays in production, application rate provides for sustainable use for the long-term.  No difference relative to future use of the agricultural land compared to other agricultural methods</t>
  </si>
  <si>
    <t>Assuming no loss of land to new construction.  Assuming biosolids cake will be going to existing landfill --&gt; no loss, but no gain.</t>
  </si>
  <si>
    <t>Assuming no loss of land to new construction.  Assuming ash will be going to existing landfill --&gt; no loss, but no gain.</t>
  </si>
  <si>
    <t>This impact would be different between scenarios if we had site specific conditions, such as already enriched soils that are causing water quality problems, aquifer quality issues impacted by landfil leachate, etc.</t>
  </si>
  <si>
    <t>Track record with regulations has been good and would be landfilling an inorganic ash --&gt; Incineration could have issues if and when GHG emissions are taken seriously (especially nitrous oxide, N20).</t>
  </si>
  <si>
    <t>Table of Contents</t>
  </si>
  <si>
    <t>No.</t>
  </si>
  <si>
    <t>Description</t>
  </si>
  <si>
    <t>Privileged &amp; Confidential</t>
  </si>
  <si>
    <t>TBL ORG Chart</t>
  </si>
  <si>
    <t>Home</t>
  </si>
  <si>
    <t>Organization Chart</t>
  </si>
  <si>
    <t>TBL Scoring Summary</t>
  </si>
  <si>
    <t>Section 1: Triple Bottom Line</t>
  </si>
  <si>
    <t>Econ - NPV Results Summary</t>
  </si>
  <si>
    <t>Lifecycle Cost Summary</t>
  </si>
  <si>
    <t>Sheet Name &amp; Link</t>
  </si>
  <si>
    <t>Home &amp; Table of Contents</t>
  </si>
  <si>
    <t>Engineering/Technical Criteria Scoring</t>
  </si>
  <si>
    <t>Econ - Engineering Criteria</t>
  </si>
  <si>
    <t>Env - RC - Nutrients</t>
  </si>
  <si>
    <t>Env - RC - Fixed Carbon</t>
  </si>
  <si>
    <t>Env - RC - Water Conservation</t>
  </si>
  <si>
    <t>Env - Land Impacts</t>
  </si>
  <si>
    <t>Env - Air Impacts</t>
  </si>
  <si>
    <t>Env - Water Impacts</t>
  </si>
  <si>
    <t>Env - Regulatory Flexibility</t>
  </si>
  <si>
    <t>Soc - Nuisance</t>
  </si>
  <si>
    <t>Soc - Workplace</t>
  </si>
  <si>
    <t>Soc - Public</t>
  </si>
  <si>
    <t>Economic Category</t>
  </si>
  <si>
    <t>2.1.1</t>
  </si>
  <si>
    <t>2.1.2</t>
  </si>
  <si>
    <t>Environmental Category</t>
  </si>
  <si>
    <t>2.2.1</t>
  </si>
  <si>
    <t>2.2.2</t>
  </si>
  <si>
    <t>2.2.3</t>
  </si>
  <si>
    <t>Land/Soil Impacts</t>
  </si>
  <si>
    <t>2.2.4</t>
  </si>
  <si>
    <t>2.2.5</t>
  </si>
  <si>
    <t>2.2.6</t>
  </si>
  <si>
    <t>2.2.7</t>
  </si>
  <si>
    <t>Social Category</t>
  </si>
  <si>
    <t>2.3.1</t>
  </si>
  <si>
    <t>2.3.2</t>
  </si>
  <si>
    <t>2.3.3</t>
  </si>
  <si>
    <t>Assumptions</t>
  </si>
  <si>
    <t>O&amp;M Cost Summary</t>
  </si>
  <si>
    <r>
      <t xml:space="preserve">FOG Tipping Fee </t>
    </r>
    <r>
      <rPr>
        <b/>
        <sz val="11"/>
        <rFont val="Calibri"/>
        <family val="2"/>
        <scheme val="minor"/>
      </rPr>
      <t>(@ $0.020/gal)</t>
    </r>
  </si>
  <si>
    <r>
      <t>Aq NH</t>
    </r>
    <r>
      <rPr>
        <vertAlign val="subscript"/>
        <sz val="11"/>
        <color theme="1"/>
        <rFont val="Calibri"/>
        <family val="2"/>
        <scheme val="minor"/>
      </rPr>
      <t>3</t>
    </r>
    <r>
      <rPr>
        <sz val="11"/>
        <color theme="1"/>
        <rFont val="Calibri"/>
        <family val="2"/>
        <scheme val="minor"/>
      </rPr>
      <t>: 15 lb/dt processed</t>
    </r>
  </si>
  <si>
    <t>Lifecycle Cost (NPV) Summary</t>
  </si>
  <si>
    <t>Triple Bottom Line Tool</t>
  </si>
  <si>
    <t>Assessing Biosolids Management Options</t>
  </si>
  <si>
    <t>WERF ENER1C12</t>
  </si>
  <si>
    <t>2Y: AnaDig + CHP, Codig, Landfill</t>
  </si>
  <si>
    <t>Section 3: NPV Lifecycle Cost Build-ups</t>
  </si>
  <si>
    <t>Biosolid Management Scenario Configurations</t>
  </si>
  <si>
    <t>3.2.1</t>
  </si>
  <si>
    <t>3.2.2</t>
  </si>
  <si>
    <t>3.2.3</t>
  </si>
  <si>
    <t>3.2.4</t>
  </si>
  <si>
    <t>3.2.5</t>
  </si>
  <si>
    <t>3.2.6</t>
  </si>
  <si>
    <t>3.2.7</t>
  </si>
  <si>
    <t>Project Team</t>
  </si>
  <si>
    <t>Organization</t>
  </si>
  <si>
    <t>Team Members</t>
  </si>
  <si>
    <t>Contact Information</t>
  </si>
  <si>
    <t>Black &amp; Veatch</t>
  </si>
  <si>
    <t>Mike Elenbaas</t>
  </si>
  <si>
    <t>Alok Patil</t>
  </si>
  <si>
    <t>Northern Tilth</t>
  </si>
  <si>
    <t>Andrew Carpenter</t>
  </si>
  <si>
    <t>Patricia Scanlan</t>
  </si>
  <si>
    <t>ScanlanP@bv.com</t>
  </si>
  <si>
    <t>North East Biosolids and Residuals Association</t>
  </si>
  <si>
    <t>ElenbaasM@bv.com</t>
  </si>
  <si>
    <t>PatilAA@bv.com</t>
  </si>
  <si>
    <t>ned.beecher@nebiosolids.org</t>
  </si>
  <si>
    <t>Ned Beecher</t>
  </si>
  <si>
    <t>andrew@northerntilth.com</t>
  </si>
  <si>
    <t>Sally L. Brown</t>
  </si>
  <si>
    <t>slb@u.washington.edu</t>
  </si>
  <si>
    <t>University of Washington</t>
  </si>
  <si>
    <t>KasarabadaAN@bv.com</t>
  </si>
  <si>
    <t>Ajay Kasarabada</t>
  </si>
  <si>
    <t>Workplace Conditions</t>
  </si>
  <si>
    <t>Fixed Carbon - Energy Recovery &amp; GHG Emissions</t>
  </si>
  <si>
    <t>Public Engagement</t>
  </si>
  <si>
    <t>If incineration or gasification are conducted on site at a wastewater facility, there is little pressure (other than odors or visible emissions, which are unlikely) for the biosolids program managers to engage with the public.</t>
  </si>
  <si>
    <t>Site work</t>
  </si>
  <si>
    <t>Assuming hauling to regional facility: low capital investment and flexibility, When incinerators are taken down for maintenance, the impacts are significant; there is little flexibility</t>
  </si>
  <si>
    <t>Incineration --&gt; ash to landfill --&gt; no nutrients utilized (would change if ash were recycled for phosphorus content, but would require analysis on ash)</t>
  </si>
  <si>
    <t>data from e-Sankey diagrams</t>
  </si>
  <si>
    <t>kWh/d used in pre-dewatering for thermal hydrolysis (this step does not occur if thermal hydrolysis is not in place)</t>
  </si>
  <si>
    <t>kWh/d used for anaerobic digestion</t>
  </si>
  <si>
    <t>Class A or B</t>
  </si>
  <si>
    <t>Class A/B Land App</t>
  </si>
  <si>
    <t>Class A/B Landfill</t>
  </si>
  <si>
    <t>Weighting Scenario Selection</t>
  </si>
  <si>
    <t>Weights Selection</t>
  </si>
  <si>
    <t>General Instructions</t>
  </si>
  <si>
    <t>Section 2: Team Scoring Workpapers</t>
  </si>
  <si>
    <t> Scenario</t>
  </si>
  <si>
    <t xml:space="preserve">Score </t>
  </si>
  <si>
    <t>Rank</t>
  </si>
  <si>
    <t>Results for Nuisance Issues</t>
  </si>
  <si>
    <t>Results for Workplace Conditions</t>
  </si>
  <si>
    <t>Social Results</t>
  </si>
  <si>
    <t>Environmental Results</t>
  </si>
  <si>
    <t>Engineering Technical Results</t>
  </si>
  <si>
    <t>Results for Public Engagement</t>
  </si>
  <si>
    <t>The TBL model is divided into three color-coded sections as described below:</t>
  </si>
  <si>
    <t>All inputs to this model are indicated by pale yellow colored boxes as shown below.</t>
  </si>
  <si>
    <t>Scenario Name</t>
  </si>
  <si>
    <t>Custom Scenario</t>
  </si>
  <si>
    <t xml:space="preserve">Begin by entering the scenario names here. If you wish to use custom scenario, select "On" in the drop-down </t>
  </si>
  <si>
    <t xml:space="preserve">Section 3.2.1 through 3.2.7 present one NPV analysis sheet for each scenario. These sheets are populated with </t>
  </si>
  <si>
    <t xml:space="preserve">team's default values. However, User can choose to overwrite the default values by entering values in column P </t>
  </si>
  <si>
    <t xml:space="preserve">menu below and enter custome scenario name. Make sure all inputs are entered for custom scenario. </t>
  </si>
  <si>
    <t>If not using custom scenario, select "Off" below.</t>
  </si>
  <si>
    <t>of respective sheets.</t>
  </si>
  <si>
    <t xml:space="preserve">Customize individual category inputs to obtain TBL score. Alternatively, user can skip this section and enter </t>
  </si>
  <si>
    <t>category scores manually into section 1.3. If using this approach, be careful to maintain proper caliberation across</t>
  </si>
  <si>
    <t>all scenarios.</t>
  </si>
  <si>
    <t>Nutrient (N &amp; P)</t>
  </si>
  <si>
    <t>Flexibility to Meet Future Regulations</t>
  </si>
  <si>
    <t xml:space="preserve">User has an option of chosing one of the 3 category weighting methods, or developing their own weights. This </t>
  </si>
  <si>
    <t>selection can be made at section 1.3. The results are presented in the same section.</t>
  </si>
  <si>
    <t>make sure you are using weighing method No. 4 (Do-it-yourself).</t>
  </si>
  <si>
    <t>- To add sub-criteria, use rows marked "Add sub-criteria here".</t>
  </si>
  <si>
    <t>- To add criteria, use rows marked "Add criteria here".</t>
  </si>
  <si>
    <t>- To leave out a criteria (sub-criteria), assign it zero weight in the Do-it-yourself option.</t>
  </si>
  <si>
    <t xml:space="preserve">User also has an option of adding, replace or leaving out criteria/sub-criteria in this section. If using this option, </t>
  </si>
  <si>
    <t>- To replace a criteria (sub-criteria), simply overwrite it with new criteria and corresponding weights.</t>
  </si>
  <si>
    <t>Make sure that weights add up to 100% at both criteria and sub-criteria level.</t>
  </si>
  <si>
    <t>Review economic assumptions in section 3.1.</t>
  </si>
  <si>
    <t>Collect TBL scores and ranking from the top of section 1.3.</t>
  </si>
  <si>
    <t>Total TBL Ranking</t>
  </si>
  <si>
    <t>Base Case</t>
  </si>
  <si>
    <t>3. Research Guidance</t>
  </si>
  <si>
    <t/>
  </si>
  <si>
    <t>CO2</t>
  </si>
  <si>
    <t>GHG-</t>
  </si>
  <si>
    <t>GHG Cost</t>
  </si>
  <si>
    <t>[tCO2e/yr]</t>
  </si>
  <si>
    <t>Use GHG Cost</t>
  </si>
  <si>
    <t>!$N64</t>
  </si>
  <si>
    <t>!$N87</t>
  </si>
  <si>
    <t>Starting Year</t>
  </si>
  <si>
    <t>Starting Year Cost</t>
  </si>
  <si>
    <t>GHG Cost Escalation</t>
  </si>
  <si>
    <t>GHG Costs</t>
  </si>
  <si>
    <t>[$/tCO2e]</t>
  </si>
  <si>
    <t>4. Overweight Social</t>
  </si>
  <si>
    <t>5. Do-Your-Own 2</t>
  </si>
  <si>
    <t>Change in Rank</t>
  </si>
  <si>
    <t>Research Guidance</t>
  </si>
  <si>
    <t>Utility Decision Making</t>
  </si>
  <si>
    <t>5. Rearch Guidance Excl. Regulatory</t>
  </si>
  <si>
    <t>kWh/d used for dewatering</t>
  </si>
  <si>
    <t>Conservation of Resources</t>
  </si>
  <si>
    <t>Workplace Safety</t>
  </si>
  <si>
    <t>MJ/d natural gas used to run the FBI - from updated FBI for 25% from C Polo 9-15-14</t>
  </si>
  <si>
    <t>kWh/d net electricity utilized from wastewater solids - as per C Polo 9-15-14 electricity recovery does not change with increase in solids to 25%</t>
  </si>
  <si>
    <t>MJ/d excess heat from gasification used for building heat - from C Polo calculation 9-15-14 using high quality excess heat from gasification to help run boiler for building heat</t>
  </si>
  <si>
    <t>MJ/d supplemental heat from natural gas used in gasification - does not change with increase in solids content going to dryer</t>
  </si>
  <si>
    <t>MJ/d supplemental heat from natural gas used to run the dryer. Modified 9-15-14</t>
  </si>
  <si>
    <t>MJ/d heat recovered from gasification process utilized for plant operations used to run dryer. Modified 9-15-14</t>
  </si>
</sst>
</file>

<file path=xl/styles.xml><?xml version="1.0" encoding="utf-8"?>
<styleSheet xmlns="http://schemas.openxmlformats.org/spreadsheetml/2006/main">
  <numFmts count="26">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0.0%"/>
    <numFmt numFmtId="165" formatCode="0.0000%"/>
    <numFmt numFmtId="166" formatCode="&quot;$&quot;#,##0.00"/>
    <numFmt numFmtId="167" formatCode="&quot;$&quot;#,##0.0000"/>
    <numFmt numFmtId="168" formatCode="&quot;$&quot;#,##0.000"/>
    <numFmt numFmtId="169" formatCode="&quot;$&quot;#,##0"/>
    <numFmt numFmtId="170" formatCode="_([$€-2]* #,##0.00_);_([$€-2]* \(#,##0.00\);_([$€-2]* &quot;-&quot;??_)"/>
    <numFmt numFmtId="171" formatCode="0.0"/>
    <numFmt numFmtId="172" formatCode="_(&quot;$&quot;* #,##0_);_(&quot;$&quot;* \(#,##0\);_(&quot;$&quot;* &quot;-&quot;??_);_(@_)"/>
    <numFmt numFmtId="173" formatCode="&quot;$&quot;#,##0\ ;\(&quot;$&quot;#,##0\)"/>
    <numFmt numFmtId="174" formatCode="m/d/yy\ h:mm:ss"/>
    <numFmt numFmtId="175" formatCode="_(* #,##0_);_(* \(#,##0\);_(* &quot;-&quot;??_);_(@_)"/>
    <numFmt numFmtId="176" formatCode="[$-409]d\-mmm\-yy;@"/>
    <numFmt numFmtId="177" formatCode="[$$-1009]#,##0"/>
    <numFmt numFmtId="178" formatCode="General_)"/>
    <numFmt numFmtId="179" formatCode="0.0E+00"/>
    <numFmt numFmtId="180" formatCode="_(* #,##0.00_);_(* \(\ #,##0.00\ \);_(* &quot;-&quot;??_);_(\ @_ \)"/>
    <numFmt numFmtId="181" formatCode="_(* #,##0.000000000000_);_(* \(#,##0.000000000000\);_(* &quot;-&quot;??_);_(@_)"/>
    <numFmt numFmtId="182" formatCode="0.00000"/>
    <numFmt numFmtId="183" formatCode="0.000"/>
    <numFmt numFmtId="184" formatCode="#,##0.0"/>
    <numFmt numFmtId="185" formatCode="_(* #,##0.0000_);_(* \(#,##0.0000\);_(* &quot;-&quot;??_);_(@_)"/>
  </numFmts>
  <fonts count="95">
    <font>
      <sz val="11"/>
      <color theme="1"/>
      <name val="Calibri"/>
      <family val="2"/>
      <scheme val="minor"/>
    </font>
    <font>
      <sz val="11"/>
      <name val="Calibri"/>
      <family val="2"/>
    </font>
    <font>
      <sz val="11"/>
      <color theme="1"/>
      <name val="Calibri"/>
      <family val="2"/>
      <scheme val="minor"/>
    </font>
    <font>
      <b/>
      <sz val="11"/>
      <color theme="3"/>
      <name val="Calibri"/>
      <family val="2"/>
      <scheme val="minor"/>
    </font>
    <font>
      <b/>
      <sz val="11"/>
      <color theme="0"/>
      <name val="Calibri"/>
      <family val="2"/>
      <scheme val="minor"/>
    </font>
    <font>
      <b/>
      <sz val="11"/>
      <color theme="1"/>
      <name val="Calibri"/>
      <family val="2"/>
      <scheme val="minor"/>
    </font>
    <font>
      <sz val="11"/>
      <color theme="3"/>
      <name val="Calibri"/>
      <family val="2"/>
      <scheme val="minor"/>
    </font>
    <font>
      <sz val="11"/>
      <name val="Calibri"/>
      <family val="2"/>
      <scheme val="minor"/>
    </font>
    <font>
      <b/>
      <sz val="11"/>
      <name val="Calibri"/>
      <family val="2"/>
      <scheme val="minor"/>
    </font>
    <font>
      <sz val="10"/>
      <name val="Arial"/>
      <family val="2"/>
    </font>
    <font>
      <b/>
      <sz val="14"/>
      <color theme="3"/>
      <name val="Calibri"/>
      <family val="2"/>
      <scheme val="minor"/>
    </font>
    <font>
      <b/>
      <sz val="16"/>
      <color theme="0"/>
      <name val="Calibri"/>
      <family val="2"/>
      <scheme val="minor"/>
    </font>
    <font>
      <sz val="11"/>
      <color theme="2" tint="-0.249977111117893"/>
      <name val="Calibri"/>
      <family val="2"/>
      <scheme val="minor"/>
    </font>
    <font>
      <b/>
      <sz val="11"/>
      <color indexed="9"/>
      <name val="Calibri"/>
      <family val="2"/>
      <scheme val="minor"/>
    </font>
    <font>
      <sz val="10"/>
      <name val="Century Gothic"/>
      <family val="2"/>
    </font>
    <font>
      <sz val="12"/>
      <name val="Garamond"/>
      <family val="1"/>
    </font>
    <font>
      <sz val="11"/>
      <color indexed="8"/>
      <name val="Calibri"/>
      <family val="2"/>
    </font>
    <font>
      <sz val="10"/>
      <name val="MS Sans Serif"/>
      <family val="2"/>
    </font>
    <font>
      <sz val="12"/>
      <name val="Times New Roman"/>
      <family val="1"/>
    </font>
    <font>
      <sz val="10"/>
      <color indexed="8"/>
      <name val="Arial"/>
      <family val="2"/>
    </font>
    <font>
      <sz val="14"/>
      <name val="Arial"/>
      <family val="2"/>
    </font>
    <font>
      <i/>
      <sz val="10"/>
      <name val="Arial"/>
      <family val="2"/>
    </font>
    <font>
      <b/>
      <sz val="9"/>
      <name val="Arial"/>
      <family val="2"/>
    </font>
    <font>
      <sz val="18"/>
      <name val="Arial"/>
      <family val="2"/>
    </font>
    <font>
      <b/>
      <sz val="11"/>
      <color rgb="FF0000FF"/>
      <name val="Calibri"/>
      <family val="2"/>
      <scheme val="minor"/>
    </font>
    <font>
      <b/>
      <sz val="12"/>
      <color theme="3"/>
      <name val="Calibri"/>
      <family val="2"/>
      <scheme val="minor"/>
    </font>
    <font>
      <sz val="11"/>
      <color rgb="FF0000FF"/>
      <name val="Calibri"/>
      <family val="2"/>
      <scheme val="minor"/>
    </font>
    <font>
      <sz val="11"/>
      <color rgb="FFFF0000"/>
      <name val="Calibri"/>
      <family val="2"/>
      <scheme val="minor"/>
    </font>
    <font>
      <u/>
      <sz val="11"/>
      <color theme="1"/>
      <name val="Calibri"/>
      <family val="2"/>
      <scheme val="minor"/>
    </font>
    <font>
      <b/>
      <sz val="11"/>
      <color rgb="FFFF0000"/>
      <name val="Calibri"/>
      <family val="2"/>
      <scheme val="minor"/>
    </font>
    <font>
      <b/>
      <i/>
      <sz val="11"/>
      <color theme="1"/>
      <name val="Calibri"/>
      <family val="2"/>
      <scheme val="minor"/>
    </font>
    <font>
      <vertAlign val="subscript"/>
      <sz val="11"/>
      <color theme="1"/>
      <name val="Calibri"/>
      <family val="2"/>
      <scheme val="minor"/>
    </font>
    <font>
      <b/>
      <sz val="11"/>
      <color rgb="FF009900"/>
      <name val="Calibri"/>
      <family val="2"/>
      <scheme val="minor"/>
    </font>
    <font>
      <sz val="11"/>
      <color rgb="FF009900"/>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indexed="12"/>
      <name val="Arial"/>
      <family val="2"/>
    </font>
    <font>
      <sz val="11"/>
      <color indexed="62"/>
      <name val="Calibri"/>
      <family val="2"/>
    </font>
    <font>
      <sz val="11"/>
      <color indexed="52"/>
      <name val="Calibri"/>
      <family val="2"/>
    </font>
    <font>
      <sz val="11"/>
      <color indexed="60"/>
      <name val="Calibri"/>
      <family val="2"/>
    </font>
    <font>
      <sz val="10"/>
      <name val="Courier"/>
      <family val="3"/>
    </font>
    <font>
      <sz val="10"/>
      <name val="Arial MT"/>
    </font>
    <font>
      <b/>
      <sz val="11"/>
      <color indexed="63"/>
      <name val="Calibri"/>
      <family val="2"/>
    </font>
    <font>
      <b/>
      <sz val="18"/>
      <color indexed="56"/>
      <name val="Cambria"/>
      <family val="2"/>
    </font>
    <font>
      <b/>
      <sz val="11"/>
      <color indexed="8"/>
      <name val="Calibri"/>
      <family val="2"/>
    </font>
    <font>
      <sz val="11"/>
      <color indexed="10"/>
      <name val="Calibri"/>
      <family val="2"/>
    </font>
    <font>
      <b/>
      <i/>
      <sz val="11"/>
      <name val="Calibri"/>
      <family val="2"/>
      <scheme val="minor"/>
    </font>
    <font>
      <b/>
      <sz val="14"/>
      <color theme="1"/>
      <name val="Calibri"/>
      <family val="2"/>
      <scheme val="minor"/>
    </font>
    <font>
      <b/>
      <sz val="10"/>
      <name val="Arial"/>
      <family val="2"/>
    </font>
    <font>
      <b/>
      <sz val="12"/>
      <color theme="1"/>
      <name val="Calibri"/>
      <family val="2"/>
      <scheme val="minor"/>
    </font>
    <font>
      <b/>
      <i/>
      <sz val="12"/>
      <color theme="1"/>
      <name val="Calibri"/>
      <family val="2"/>
      <scheme val="minor"/>
    </font>
    <font>
      <sz val="10"/>
      <name val="Microsoft Sans Serif"/>
      <family val="2"/>
    </font>
    <font>
      <b/>
      <sz val="10"/>
      <name val="Microsoft Sans Serif"/>
      <family val="2"/>
    </font>
    <font>
      <b/>
      <sz val="11"/>
      <color rgb="FF000000"/>
      <name val="Calibri"/>
      <family val="2"/>
      <scheme val="minor"/>
    </font>
    <font>
      <b/>
      <u/>
      <sz val="14"/>
      <color theme="1"/>
      <name val="Calibri"/>
      <family val="2"/>
      <scheme val="minor"/>
    </font>
    <font>
      <sz val="11"/>
      <color theme="0"/>
      <name val="Calibri"/>
      <family val="2"/>
      <scheme val="minor"/>
    </font>
    <font>
      <b/>
      <i/>
      <sz val="10"/>
      <color theme="1"/>
      <name val="Calibri"/>
      <family val="2"/>
      <scheme val="minor"/>
    </font>
    <font>
      <i/>
      <sz val="10"/>
      <color theme="1"/>
      <name val="Calibri"/>
      <family val="2"/>
      <scheme val="minor"/>
    </font>
    <font>
      <sz val="11"/>
      <color rgb="FF1F497D"/>
      <name val="Calibri"/>
      <family val="2"/>
    </font>
    <font>
      <i/>
      <sz val="11"/>
      <color theme="1"/>
      <name val="Calibri"/>
      <family val="2"/>
      <scheme val="minor"/>
    </font>
    <font>
      <b/>
      <u/>
      <sz val="11"/>
      <color theme="1"/>
      <name val="Calibri"/>
      <family val="2"/>
      <scheme val="minor"/>
    </font>
    <font>
      <b/>
      <i/>
      <sz val="9"/>
      <color theme="1"/>
      <name val="Calibri"/>
      <family val="2"/>
      <scheme val="minor"/>
    </font>
    <font>
      <u/>
      <sz val="11"/>
      <color theme="10"/>
      <name val="Calibri"/>
      <family val="2"/>
      <scheme val="minor"/>
    </font>
    <font>
      <u/>
      <sz val="11"/>
      <color theme="11"/>
      <name val="Calibri"/>
      <family val="2"/>
      <scheme val="minor"/>
    </font>
    <font>
      <b/>
      <u/>
      <sz val="11"/>
      <name val="Calibri"/>
      <family val="2"/>
      <scheme val="minor"/>
    </font>
    <font>
      <sz val="11"/>
      <color rgb="FF000000"/>
      <name val="Calibri"/>
      <family val="2"/>
      <scheme val="minor"/>
    </font>
    <font>
      <b/>
      <i/>
      <sz val="11"/>
      <color rgb="FF000000"/>
      <name val="Calibri"/>
      <family val="2"/>
      <scheme val="minor"/>
    </font>
    <font>
      <sz val="8"/>
      <name val="Verdana"/>
      <family val="2"/>
    </font>
    <font>
      <sz val="11"/>
      <name val="Calibri"/>
      <family val="2"/>
    </font>
    <font>
      <b/>
      <sz val="14"/>
      <color indexed="8"/>
      <name val="Calibri"/>
      <family val="2"/>
    </font>
    <font>
      <b/>
      <sz val="12"/>
      <color indexed="8"/>
      <name val="Calibri"/>
      <family val="2"/>
    </font>
    <font>
      <b/>
      <i/>
      <sz val="11"/>
      <color indexed="8"/>
      <name val="Calibri"/>
      <family val="2"/>
    </font>
    <font>
      <b/>
      <sz val="12"/>
      <color rgb="FF000000"/>
      <name val="Arial"/>
      <family val="2"/>
    </font>
    <font>
      <sz val="10"/>
      <color theme="1"/>
      <name val="Arial"/>
      <family val="2"/>
    </font>
    <font>
      <sz val="11"/>
      <color theme="1"/>
      <name val="Arial"/>
      <family val="2"/>
    </font>
    <font>
      <b/>
      <sz val="20"/>
      <color theme="4" tint="-0.249977111117893"/>
      <name val="Arial"/>
      <family val="2"/>
    </font>
    <font>
      <b/>
      <sz val="18"/>
      <color theme="4" tint="-0.249977111117893"/>
      <name val="Arial"/>
      <family val="2"/>
    </font>
    <font>
      <b/>
      <sz val="11"/>
      <color theme="1"/>
      <name val="Arial"/>
      <family val="2"/>
    </font>
    <font>
      <b/>
      <u/>
      <sz val="10"/>
      <name val="Arial"/>
      <family val="2"/>
    </font>
    <font>
      <b/>
      <sz val="11"/>
      <color rgb="FFFFFFFF"/>
      <name val="Calibri"/>
      <family val="2"/>
    </font>
    <font>
      <b/>
      <sz val="11"/>
      <color rgb="FF000000"/>
      <name val="Calibri"/>
      <family val="2"/>
    </font>
    <font>
      <sz val="11"/>
      <color rgb="FF000000"/>
      <name val="Calibri"/>
      <family val="2"/>
    </font>
    <font>
      <sz val="8"/>
      <color theme="1"/>
      <name val="Calibri"/>
      <family val="2"/>
      <scheme val="minor"/>
    </font>
    <font>
      <b/>
      <sz val="11"/>
      <color theme="1"/>
      <name val="Times New Roman"/>
      <family val="1"/>
    </font>
    <font>
      <sz val="9"/>
      <color indexed="81"/>
      <name val="Tahoma"/>
      <family val="2"/>
    </font>
    <font>
      <b/>
      <sz val="9"/>
      <color indexed="81"/>
      <name val="Tahoma"/>
      <family val="2"/>
    </font>
    <font>
      <i/>
      <sz val="11"/>
      <name val="Calibri"/>
      <family val="2"/>
      <scheme val="minor"/>
    </font>
  </fonts>
  <fills count="55">
    <fill>
      <patternFill patternType="none"/>
    </fill>
    <fill>
      <patternFill patternType="gray125"/>
    </fill>
    <fill>
      <patternFill patternType="solid">
        <fgColor theme="3" tint="0.59999389629810485"/>
        <bgColor indexed="64"/>
      </patternFill>
    </fill>
    <fill>
      <patternFill patternType="solid">
        <fgColor theme="3"/>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2"/>
        <bgColor indexed="64"/>
      </patternFill>
    </fill>
    <fill>
      <patternFill patternType="solid">
        <fgColor theme="0" tint="-0.14999847407452621"/>
        <bgColor indexed="64"/>
      </patternFill>
    </fill>
    <fill>
      <patternFill patternType="solid">
        <fgColor theme="4"/>
        <bgColor indexed="64"/>
      </patternFill>
    </fill>
    <fill>
      <patternFill patternType="solid">
        <fgColor indexed="9"/>
      </patternFill>
    </fill>
    <fill>
      <patternFill patternType="solid">
        <fgColor theme="8" tint="0.59999389629810485"/>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1"/>
        <bgColor indexed="64"/>
      </patternFill>
    </fill>
    <fill>
      <patternFill patternType="lightGrid">
        <fgColor theme="1"/>
      </patternFill>
    </fill>
    <fill>
      <patternFill patternType="solid">
        <fgColor rgb="FF336699"/>
        <bgColor indexed="64"/>
      </patternFill>
    </fill>
    <fill>
      <patternFill patternType="solid">
        <fgColor indexed="40"/>
        <bgColor indexed="64"/>
      </patternFill>
    </fill>
    <fill>
      <patternFill patternType="solid">
        <fgColor indexed="50"/>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51"/>
        <bgColor indexed="64"/>
      </patternFill>
    </fill>
    <fill>
      <patternFill patternType="solid">
        <fgColor rgb="FFCCFFCC"/>
        <bgColor indexed="64"/>
      </patternFill>
    </fill>
    <fill>
      <patternFill patternType="solid">
        <fgColor rgb="FF4F81BD"/>
        <bgColor indexed="64"/>
      </patternFill>
    </fill>
    <fill>
      <patternFill patternType="solid">
        <fgColor rgb="FF7030A0"/>
        <bgColor indexed="64"/>
      </patternFill>
    </fill>
    <fill>
      <patternFill patternType="solid">
        <fgColor rgb="FFFF0000"/>
        <bgColor indexed="64"/>
      </patternFill>
    </fill>
    <fill>
      <patternFill patternType="lightGrid">
        <fgColor theme="1"/>
        <bgColor rgb="FFFFFF99"/>
      </patternFill>
    </fill>
  </fills>
  <borders count="127">
    <border>
      <left/>
      <right/>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medium">
        <color auto="1"/>
      </top>
      <bottom/>
      <diagonal/>
    </border>
    <border>
      <left/>
      <right style="thin">
        <color auto="1"/>
      </right>
      <top style="medium">
        <color auto="1"/>
      </top>
      <bottom/>
      <diagonal/>
    </border>
    <border>
      <left/>
      <right style="medium">
        <color auto="1"/>
      </right>
      <top style="medium">
        <color auto="1"/>
      </top>
      <bottom/>
      <diagonal/>
    </border>
    <border>
      <left style="medium">
        <color auto="1"/>
      </left>
      <right style="thin">
        <color auto="1"/>
      </right>
      <top/>
      <bottom/>
      <diagonal/>
    </border>
    <border>
      <left/>
      <right style="medium">
        <color auto="1"/>
      </right>
      <top/>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top style="thin">
        <color auto="1"/>
      </top>
      <bottom style="thin">
        <color auto="1"/>
      </bottom>
      <diagonal/>
    </border>
    <border>
      <left/>
      <right/>
      <top/>
      <bottom style="medium">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medium">
        <color auto="1"/>
      </top>
      <bottom/>
      <diagonal/>
    </border>
    <border>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top style="medium">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style="medium">
        <color auto="1"/>
      </right>
      <top style="medium">
        <color auto="1"/>
      </top>
      <bottom style="thin">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medium">
        <color indexed="64"/>
      </left>
      <right/>
      <top/>
      <bottom style="medium">
        <color indexed="64"/>
      </bottom>
      <diagonal/>
    </border>
    <border>
      <left/>
      <right style="thin">
        <color auto="1"/>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style="thin">
        <color auto="1"/>
      </right>
      <top/>
      <bottom style="thin">
        <color indexed="64"/>
      </bottom>
      <diagonal/>
    </border>
    <border>
      <left style="thin">
        <color auto="1"/>
      </left>
      <right/>
      <top/>
      <bottom style="thin">
        <color indexed="64"/>
      </bottom>
      <diagonal/>
    </border>
    <border>
      <left/>
      <right style="thin">
        <color auto="1"/>
      </right>
      <top/>
      <bottom style="thin">
        <color indexed="64"/>
      </bottom>
      <diagonal/>
    </border>
    <border>
      <left style="thin">
        <color auto="1"/>
      </left>
      <right style="thin">
        <color auto="1"/>
      </right>
      <top/>
      <bottom style="thin">
        <color indexed="64"/>
      </bottom>
      <diagonal/>
    </border>
    <border>
      <left/>
      <right/>
      <top/>
      <bottom style="thin">
        <color indexed="64"/>
      </bottom>
      <diagonal/>
    </border>
    <border>
      <left style="medium">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indexed="64"/>
      </left>
      <right style="thin">
        <color auto="1"/>
      </right>
      <top/>
      <bottom style="medium">
        <color indexed="64"/>
      </bottom>
      <diagonal/>
    </border>
    <border>
      <left style="medium">
        <color auto="1"/>
      </left>
      <right style="medium">
        <color indexed="64"/>
      </right>
      <top style="medium">
        <color indexed="64"/>
      </top>
      <bottom/>
      <diagonal/>
    </border>
    <border>
      <left style="medium">
        <color auto="1"/>
      </left>
      <right style="medium">
        <color indexed="64"/>
      </right>
      <top/>
      <bottom/>
      <diagonal/>
    </border>
    <border>
      <left style="medium">
        <color auto="1"/>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bottom style="medium">
        <color auto="1"/>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right style="medium">
        <color rgb="FF4F81BD"/>
      </right>
      <top/>
      <bottom/>
      <diagonal/>
    </border>
    <border>
      <left/>
      <right/>
      <top/>
      <bottom style="medium">
        <color rgb="FF4F81BD"/>
      </bottom>
      <diagonal/>
    </border>
    <border>
      <left/>
      <right style="medium">
        <color rgb="FF4F81BD"/>
      </right>
      <top/>
      <bottom style="medium">
        <color rgb="FF4F81BD"/>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59">
    <xf numFmtId="0" fontId="0" fillId="0" borderId="0"/>
    <xf numFmtId="9" fontId="2" fillId="0" borderId="0" applyFont="0" applyFill="0" applyBorder="0" applyAlignment="0" applyProtection="0"/>
    <xf numFmtId="0" fontId="9" fillId="0" borderId="0"/>
    <xf numFmtId="0" fontId="14" fillId="0" borderId="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170" fontId="14" fillId="0" borderId="0" applyFont="0" applyFill="0" applyBorder="0" applyAlignment="0" applyProtection="0"/>
    <xf numFmtId="0" fontId="9" fillId="0" borderId="0"/>
    <xf numFmtId="0" fontId="15" fillId="0" borderId="0"/>
    <xf numFmtId="0" fontId="16" fillId="0" borderId="0"/>
    <xf numFmtId="0" fontId="17" fillId="0" borderId="0"/>
    <xf numFmtId="3" fontId="18" fillId="0" borderId="0" applyFont="0" applyFill="0" applyBorder="0" applyAlignment="0" applyProtection="0"/>
    <xf numFmtId="173" fontId="18" fillId="0" borderId="0" applyFont="0" applyFill="0" applyBorder="0" applyAlignment="0" applyProtection="0"/>
    <xf numFmtId="0" fontId="18" fillId="0" borderId="0" applyFont="0" applyFill="0" applyBorder="0" applyAlignment="0" applyProtection="0"/>
    <xf numFmtId="2" fontId="18" fillId="0" borderId="0" applyFont="0" applyFill="0" applyBorder="0" applyAlignment="0" applyProtection="0"/>
    <xf numFmtId="165" fontId="9" fillId="0" borderId="0" applyFont="0" applyFill="0" applyBorder="0" applyAlignment="0" applyProtection="0"/>
    <xf numFmtId="0" fontId="9" fillId="0" borderId="21" applyNumberFormat="0" applyFont="0" applyFill="0" applyAlignment="0" applyProtection="0"/>
    <xf numFmtId="0" fontId="9" fillId="0" borderId="22" applyNumberFormat="0" applyFont="0" applyFill="0" applyAlignment="0" applyProtection="0"/>
    <xf numFmtId="0" fontId="9" fillId="0" borderId="23" applyNumberFormat="0" applyFont="0" applyFill="0" applyAlignment="0" applyProtection="0"/>
    <xf numFmtId="0" fontId="9" fillId="0" borderId="24" applyNumberFormat="0" applyFont="0" applyFill="0" applyAlignment="0" applyProtection="0"/>
    <xf numFmtId="0" fontId="9" fillId="0" borderId="25" applyNumberFormat="0" applyFont="0" applyFill="0" applyAlignment="0" applyProtection="0"/>
    <xf numFmtId="0" fontId="9" fillId="10" borderId="0" applyNumberFormat="0" applyFont="0" applyBorder="0" applyAlignment="0" applyProtection="0"/>
    <xf numFmtId="0" fontId="9" fillId="0" borderId="26" applyNumberFormat="0" applyFont="0" applyFill="0" applyAlignment="0" applyProtection="0"/>
    <xf numFmtId="0" fontId="9" fillId="0" borderId="27" applyNumberFormat="0" applyFont="0" applyFill="0" applyAlignment="0" applyProtection="0"/>
    <xf numFmtId="46" fontId="9" fillId="0" borderId="0" applyFont="0" applyFill="0" applyBorder="0" applyAlignment="0" applyProtection="0"/>
    <xf numFmtId="0" fontId="19" fillId="0" borderId="0" applyNumberFormat="0" applyFill="0" applyBorder="0" applyAlignment="0" applyProtection="0"/>
    <xf numFmtId="0" fontId="9" fillId="0" borderId="28" applyNumberFormat="0" applyFont="0" applyFill="0" applyAlignment="0" applyProtection="0"/>
    <xf numFmtId="0" fontId="9" fillId="0" borderId="29" applyNumberFormat="0" applyFont="0" applyFill="0" applyAlignment="0" applyProtection="0"/>
    <xf numFmtId="0" fontId="9" fillId="0" borderId="30" applyNumberFormat="0" applyFont="0" applyFill="0" applyAlignment="0" applyProtection="0"/>
    <xf numFmtId="0" fontId="9" fillId="0" borderId="31" applyNumberFormat="0" applyFont="0" applyFill="0" applyAlignment="0" applyProtection="0"/>
    <xf numFmtId="0" fontId="9" fillId="0" borderId="30" applyNumberFormat="0" applyFont="0" applyFill="0" applyAlignment="0" applyProtection="0"/>
    <xf numFmtId="0" fontId="9" fillId="0" borderId="0" applyNumberFormat="0" applyFont="0" applyFill="0" applyBorder="0" applyProtection="0">
      <alignment horizontal="center"/>
    </xf>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Protection="0">
      <alignment horizontal="left"/>
    </xf>
    <xf numFmtId="0" fontId="9" fillId="10" borderId="0" applyNumberFormat="0" applyFont="0" applyBorder="0" applyAlignment="0" applyProtection="0"/>
    <xf numFmtId="0" fontId="23" fillId="0" borderId="0" applyNumberFormat="0" applyFill="0" applyBorder="0" applyAlignment="0" applyProtection="0"/>
    <xf numFmtId="0" fontId="19" fillId="0" borderId="0" applyNumberFormat="0" applyFill="0" applyBorder="0" applyAlignment="0" applyProtection="0"/>
    <xf numFmtId="0" fontId="9" fillId="0" borderId="32" applyNumberFormat="0" applyFont="0" applyFill="0" applyAlignment="0" applyProtection="0"/>
    <xf numFmtId="0" fontId="9" fillId="0" borderId="33" applyNumberFormat="0" applyFont="0" applyFill="0" applyAlignment="0" applyProtection="0"/>
    <xf numFmtId="174" fontId="9" fillId="0" borderId="0" applyFont="0" applyFill="0" applyBorder="0" applyAlignment="0" applyProtection="0"/>
    <xf numFmtId="0" fontId="9" fillId="0" borderId="34" applyNumberFormat="0" applyFont="0" applyFill="0" applyAlignment="0" applyProtection="0"/>
    <xf numFmtId="0" fontId="9" fillId="0" borderId="35" applyNumberFormat="0" applyFont="0" applyFill="0" applyAlignment="0" applyProtection="0"/>
    <xf numFmtId="0" fontId="9" fillId="0" borderId="36" applyNumberFormat="0" applyFont="0" applyFill="0" applyAlignment="0" applyProtection="0"/>
    <xf numFmtId="0" fontId="9" fillId="0" borderId="37" applyNumberFormat="0" applyFont="0" applyFill="0" applyAlignment="0" applyProtection="0"/>
    <xf numFmtId="0" fontId="9" fillId="0" borderId="38" applyNumberFormat="0" applyFont="0" applyFill="0" applyAlignment="0" applyProtection="0"/>
    <xf numFmtId="43" fontId="2" fillId="0" borderId="0" applyFont="0" applyFill="0" applyBorder="0" applyAlignment="0" applyProtection="0"/>
    <xf numFmtId="0" fontId="2" fillId="0" borderId="0"/>
    <xf numFmtId="176" fontId="2" fillId="0" borderId="0"/>
    <xf numFmtId="176" fontId="9" fillId="0" borderId="0"/>
    <xf numFmtId="176" fontId="9" fillId="0" borderId="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34" fillId="24"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34" fillId="29" borderId="0" applyNumberFormat="0" applyBorder="0" applyAlignment="0" applyProtection="0"/>
    <xf numFmtId="0" fontId="34" fillId="30"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34" fillId="31" borderId="0" applyNumberFormat="0" applyBorder="0" applyAlignment="0" applyProtection="0"/>
    <xf numFmtId="0" fontId="35" fillId="15" borderId="0" applyNumberFormat="0" applyBorder="0" applyAlignment="0" applyProtection="0"/>
    <xf numFmtId="0" fontId="36" fillId="19" borderId="52" applyNumberFormat="0" applyAlignment="0" applyProtection="0"/>
    <xf numFmtId="0" fontId="36" fillId="19" borderId="52" applyNumberFormat="0" applyAlignment="0" applyProtection="0"/>
    <xf numFmtId="0" fontId="36" fillId="19" borderId="52" applyNumberFormat="0" applyAlignment="0" applyProtection="0"/>
    <xf numFmtId="0" fontId="36" fillId="19" borderId="52" applyNumberFormat="0" applyAlignment="0" applyProtection="0"/>
    <xf numFmtId="0" fontId="36" fillId="19" borderId="52" applyNumberFormat="0" applyAlignment="0" applyProtection="0"/>
    <xf numFmtId="0" fontId="36" fillId="19" borderId="52" applyNumberFormat="0" applyAlignment="0" applyProtection="0"/>
    <xf numFmtId="0" fontId="36" fillId="19" borderId="52" applyNumberFormat="0" applyAlignment="0" applyProtection="0"/>
    <xf numFmtId="0" fontId="36" fillId="19" borderId="52" applyNumberFormat="0" applyAlignment="0" applyProtection="0"/>
    <xf numFmtId="0" fontId="36" fillId="19" borderId="52" applyNumberFormat="0" applyAlignment="0" applyProtection="0"/>
    <xf numFmtId="0" fontId="37" fillId="32" borderId="53" applyNumberFormat="0" applyAlignment="0" applyProtection="0"/>
    <xf numFmtId="43" fontId="9" fillId="0" borderId="0" applyFont="0" applyFill="0" applyBorder="0" applyAlignment="0" applyProtection="0"/>
    <xf numFmtId="43" fontId="3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8" fillId="0" borderId="0" applyFont="0" applyFill="0" applyBorder="0" applyAlignment="0" applyProtection="0"/>
    <xf numFmtId="0" fontId="39" fillId="0" borderId="0" applyNumberFormat="0" applyFill="0" applyBorder="0" applyAlignment="0" applyProtection="0"/>
    <xf numFmtId="0" fontId="40" fillId="16" borderId="0" applyNumberFormat="0" applyBorder="0" applyAlignment="0" applyProtection="0"/>
    <xf numFmtId="0" fontId="41" fillId="0" borderId="54" applyNumberFormat="0" applyFill="0" applyAlignment="0" applyProtection="0"/>
    <xf numFmtId="0" fontId="42" fillId="0" borderId="55" applyNumberFormat="0" applyFill="0" applyAlignment="0" applyProtection="0"/>
    <xf numFmtId="0" fontId="43" fillId="0" borderId="56"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alignment vertical="top"/>
      <protection locked="0"/>
    </xf>
    <xf numFmtId="0" fontId="45" fillId="19" borderId="52" applyNumberFormat="0" applyAlignment="0" applyProtection="0"/>
    <xf numFmtId="0" fontId="45" fillId="19" borderId="52" applyNumberFormat="0" applyAlignment="0" applyProtection="0"/>
    <xf numFmtId="0" fontId="45" fillId="19" borderId="52" applyNumberFormat="0" applyAlignment="0" applyProtection="0"/>
    <xf numFmtId="0" fontId="45" fillId="19" borderId="52" applyNumberFormat="0" applyAlignment="0" applyProtection="0"/>
    <xf numFmtId="0" fontId="45" fillId="19" borderId="52" applyNumberFormat="0" applyAlignment="0" applyProtection="0"/>
    <xf numFmtId="0" fontId="45" fillId="19" borderId="52" applyNumberFormat="0" applyAlignment="0" applyProtection="0"/>
    <xf numFmtId="0" fontId="45" fillId="19" borderId="52" applyNumberFormat="0" applyAlignment="0" applyProtection="0"/>
    <xf numFmtId="0" fontId="45" fillId="19" borderId="52" applyNumberFormat="0" applyAlignment="0" applyProtection="0"/>
    <xf numFmtId="0" fontId="45" fillId="19" borderId="52" applyNumberFormat="0" applyAlignment="0" applyProtection="0"/>
    <xf numFmtId="0" fontId="46" fillId="0" borderId="57" applyNumberFormat="0" applyFill="0" applyAlignment="0" applyProtection="0"/>
    <xf numFmtId="0" fontId="47" fillId="33" borderId="0" applyNumberFormat="0" applyBorder="0" applyAlignment="0" applyProtection="0"/>
    <xf numFmtId="0" fontId="9" fillId="0" borderId="0"/>
    <xf numFmtId="0" fontId="9" fillId="0" borderId="0"/>
    <xf numFmtId="178" fontId="48" fillId="0" borderId="0"/>
    <xf numFmtId="37" fontId="49" fillId="0" borderId="0"/>
    <xf numFmtId="0" fontId="9" fillId="0" borderId="0"/>
    <xf numFmtId="3" fontId="49" fillId="0" borderId="0"/>
    <xf numFmtId="0" fontId="9" fillId="34" borderId="30" applyNumberFormat="0" applyFont="0" applyAlignment="0" applyProtection="0"/>
    <xf numFmtId="0" fontId="9" fillId="34" borderId="30" applyNumberFormat="0" applyFont="0" applyAlignment="0" applyProtection="0"/>
    <xf numFmtId="0" fontId="9" fillId="34" borderId="30" applyNumberFormat="0" applyFont="0" applyAlignment="0" applyProtection="0"/>
    <xf numFmtId="0" fontId="9" fillId="34" borderId="30" applyNumberFormat="0" applyFont="0" applyAlignment="0" applyProtection="0"/>
    <xf numFmtId="0" fontId="9" fillId="34" borderId="30" applyNumberFormat="0" applyFont="0" applyAlignment="0" applyProtection="0"/>
    <xf numFmtId="0" fontId="9" fillId="34" borderId="30" applyNumberFormat="0" applyFont="0" applyAlignment="0" applyProtection="0"/>
    <xf numFmtId="0" fontId="9" fillId="34" borderId="30" applyNumberFormat="0" applyFont="0" applyAlignment="0" applyProtection="0"/>
    <xf numFmtId="0" fontId="9" fillId="34" borderId="30" applyNumberFormat="0" applyFont="0" applyAlignment="0" applyProtection="0"/>
    <xf numFmtId="0" fontId="9" fillId="34" borderId="30" applyNumberFormat="0" applyFont="0" applyAlignment="0" applyProtection="0"/>
    <xf numFmtId="0" fontId="50" fillId="19" borderId="58" applyNumberFormat="0" applyAlignment="0" applyProtection="0"/>
    <xf numFmtId="0" fontId="50" fillId="19" borderId="58" applyNumberFormat="0" applyAlignment="0" applyProtection="0"/>
    <xf numFmtId="0" fontId="50" fillId="19" borderId="58" applyNumberFormat="0" applyAlignment="0" applyProtection="0"/>
    <xf numFmtId="0" fontId="50" fillId="19" borderId="58" applyNumberFormat="0" applyAlignment="0" applyProtection="0"/>
    <xf numFmtId="0" fontId="50" fillId="19" borderId="58" applyNumberFormat="0" applyAlignment="0" applyProtection="0"/>
    <xf numFmtId="0" fontId="50" fillId="19" borderId="58" applyNumberFormat="0" applyAlignment="0" applyProtection="0"/>
    <xf numFmtId="0" fontId="50" fillId="19" borderId="58" applyNumberFormat="0" applyAlignment="0" applyProtection="0"/>
    <xf numFmtId="0" fontId="50" fillId="19" borderId="58" applyNumberFormat="0" applyAlignment="0" applyProtection="0"/>
    <xf numFmtId="0" fontId="50" fillId="19" borderId="58"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38" fillId="0" borderId="0" applyFont="0" applyFill="0" applyBorder="0" applyAlignment="0" applyProtection="0"/>
    <xf numFmtId="0" fontId="51" fillId="0" borderId="0" applyNumberFormat="0" applyFill="0" applyBorder="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3" fillId="0" borderId="0" applyNumberFormat="0" applyFill="0" applyBorder="0" applyAlignment="0" applyProtection="0"/>
    <xf numFmtId="0" fontId="9" fillId="0" borderId="0" applyNumberFormat="0" applyFont="0" applyFill="0" applyBorder="0" applyAlignment="0" applyProtection="0"/>
    <xf numFmtId="0" fontId="59" fillId="0" borderId="0"/>
    <xf numFmtId="180" fontId="59" fillId="0" borderId="0" applyFont="0" applyFill="0" applyBorder="0" applyAlignment="0" applyProtection="0"/>
    <xf numFmtId="9" fontId="59" fillId="0" borderId="0" applyFont="0" applyFill="0" applyBorder="0" applyAlignment="0" applyProtection="0"/>
    <xf numFmtId="0" fontId="9" fillId="0" borderId="70" applyNumberFormat="0" applyFont="0" applyFill="0" applyAlignment="0" applyProtection="0"/>
    <xf numFmtId="0" fontId="9" fillId="0" borderId="71" applyNumberFormat="0" applyFont="0" applyFill="0" applyAlignment="0" applyProtection="0"/>
    <xf numFmtId="0" fontId="70" fillId="0" borderId="0" applyNumberFormat="0" applyFill="0" applyBorder="0" applyAlignment="0" applyProtection="0"/>
    <xf numFmtId="0" fontId="71" fillId="0" borderId="0" applyNumberFormat="0" applyFill="0" applyBorder="0" applyAlignment="0" applyProtection="0"/>
    <xf numFmtId="44" fontId="2" fillId="0" borderId="0" applyFont="0" applyFill="0" applyBorder="0" applyAlignment="0" applyProtection="0"/>
    <xf numFmtId="0" fontId="70" fillId="0" borderId="0" applyNumberFormat="0" applyFill="0" applyBorder="0" applyAlignment="0" applyProtection="0"/>
  </cellStyleXfs>
  <cellXfs count="1141">
    <xf numFmtId="0" fontId="0" fillId="0" borderId="0" xfId="0"/>
    <xf numFmtId="0" fontId="0" fillId="0" borderId="0" xfId="0" applyAlignment="1">
      <alignment horizontal="center"/>
    </xf>
    <xf numFmtId="0" fontId="5" fillId="0" borderId="0" xfId="0" applyFont="1"/>
    <xf numFmtId="0" fontId="5" fillId="0" borderId="0" xfId="0" applyFont="1" applyAlignment="1">
      <alignment horizontal="center" vertical="center"/>
    </xf>
    <xf numFmtId="0" fontId="5" fillId="5" borderId="1" xfId="0" applyFont="1" applyFill="1" applyBorder="1"/>
    <xf numFmtId="0" fontId="5" fillId="4" borderId="1" xfId="0" applyFont="1" applyFill="1" applyBorder="1"/>
    <xf numFmtId="0" fontId="5" fillId="5" borderId="3" xfId="0" applyFont="1" applyFill="1" applyBorder="1"/>
    <xf numFmtId="0" fontId="0" fillId="5" borderId="1" xfId="0" applyFill="1" applyBorder="1"/>
    <xf numFmtId="0" fontId="5" fillId="4" borderId="3" xfId="0" applyFont="1" applyFill="1" applyBorder="1"/>
    <xf numFmtId="0" fontId="0" fillId="4" borderId="1" xfId="0" applyFill="1" applyBorder="1"/>
    <xf numFmtId="0" fontId="0" fillId="5" borderId="2" xfId="0" applyFill="1" applyBorder="1" applyAlignment="1">
      <alignment horizontal="center"/>
    </xf>
    <xf numFmtId="9" fontId="0" fillId="5" borderId="2" xfId="0" applyNumberFormat="1" applyFill="1" applyBorder="1" applyAlignment="1">
      <alignment horizontal="center"/>
    </xf>
    <xf numFmtId="0" fontId="0" fillId="4" borderId="2" xfId="0" applyFill="1" applyBorder="1" applyAlignment="1">
      <alignment horizontal="center"/>
    </xf>
    <xf numFmtId="9" fontId="0" fillId="4" borderId="2" xfId="0" applyNumberFormat="1" applyFill="1" applyBorder="1" applyAlignment="1">
      <alignment horizontal="center"/>
    </xf>
    <xf numFmtId="0" fontId="4" fillId="3" borderId="4" xfId="0" applyFont="1" applyFill="1" applyBorder="1" applyAlignment="1">
      <alignment horizontal="center" vertical="center"/>
    </xf>
    <xf numFmtId="0" fontId="5" fillId="5" borderId="7" xfId="0" applyFont="1" applyFill="1" applyBorder="1"/>
    <xf numFmtId="0" fontId="5" fillId="4" borderId="7" xfId="0" applyFont="1" applyFill="1" applyBorder="1"/>
    <xf numFmtId="0" fontId="0" fillId="0" borderId="0" xfId="0" quotePrefix="1"/>
    <xf numFmtId="0" fontId="0" fillId="4" borderId="1" xfId="0" applyFill="1" applyBorder="1" applyAlignment="1">
      <alignment horizontal="center"/>
    </xf>
    <xf numFmtId="0" fontId="7" fillId="5" borderId="1" xfId="0" applyFont="1" applyFill="1" applyBorder="1" applyAlignment="1">
      <alignment horizontal="center"/>
    </xf>
    <xf numFmtId="9" fontId="7" fillId="5" borderId="1" xfId="0" applyNumberFormat="1" applyFont="1" applyFill="1" applyBorder="1" applyAlignment="1">
      <alignment horizontal="center"/>
    </xf>
    <xf numFmtId="0" fontId="7" fillId="4" borderId="1" xfId="0" applyFont="1" applyFill="1" applyBorder="1" applyAlignment="1">
      <alignment horizontal="center"/>
    </xf>
    <xf numFmtId="9" fontId="7" fillId="4" borderId="1" xfId="0" applyNumberFormat="1" applyFont="1" applyFill="1" applyBorder="1" applyAlignment="1">
      <alignment horizontal="center"/>
    </xf>
    <xf numFmtId="9" fontId="8" fillId="6" borderId="1" xfId="0" applyNumberFormat="1" applyFont="1" applyFill="1" applyBorder="1" applyAlignment="1">
      <alignment horizontal="center"/>
    </xf>
    <xf numFmtId="9" fontId="3" fillId="5" borderId="1" xfId="0" applyNumberFormat="1" applyFont="1" applyFill="1" applyBorder="1" applyAlignment="1">
      <alignment horizontal="center"/>
    </xf>
    <xf numFmtId="0" fontId="0" fillId="0" borderId="0" xfId="0" applyAlignment="1">
      <alignment horizontal="center" wrapText="1"/>
    </xf>
    <xf numFmtId="10" fontId="6" fillId="5" borderId="2" xfId="0" applyNumberFormat="1" applyFont="1" applyFill="1" applyBorder="1" applyAlignment="1">
      <alignment horizontal="center"/>
    </xf>
    <xf numFmtId="10" fontId="6" fillId="4" borderId="2" xfId="0" applyNumberFormat="1" applyFont="1" applyFill="1" applyBorder="1" applyAlignment="1">
      <alignment horizontal="center"/>
    </xf>
    <xf numFmtId="0" fontId="7" fillId="0" borderId="0" xfId="2" applyFont="1" applyBorder="1"/>
    <xf numFmtId="0" fontId="10" fillId="0" borderId="0" xfId="2" applyFont="1" applyBorder="1"/>
    <xf numFmtId="0" fontId="8" fillId="0" borderId="0" xfId="2" applyFont="1" applyBorder="1" applyAlignment="1">
      <alignment horizontal="center"/>
    </xf>
    <xf numFmtId="0" fontId="3" fillId="0" borderId="0" xfId="2" applyFont="1" applyBorder="1"/>
    <xf numFmtId="0" fontId="5" fillId="0" borderId="15" xfId="2" applyFont="1" applyFill="1" applyBorder="1" applyAlignment="1">
      <alignment horizontal="left" wrapText="1"/>
    </xf>
    <xf numFmtId="0" fontId="5" fillId="0" borderId="16" xfId="2" applyFont="1" applyFill="1" applyBorder="1" applyAlignment="1">
      <alignment horizontal="center" wrapText="1"/>
    </xf>
    <xf numFmtId="0" fontId="8" fillId="0" borderId="18" xfId="2" applyFont="1" applyBorder="1"/>
    <xf numFmtId="0" fontId="7" fillId="0" borderId="18" xfId="2" applyFont="1" applyBorder="1" applyAlignment="1">
      <alignment horizontal="left" indent="2"/>
    </xf>
    <xf numFmtId="0" fontId="7" fillId="0" borderId="0" xfId="2" applyFont="1" applyBorder="1" applyAlignment="1">
      <alignment horizontal="left" indent="2"/>
    </xf>
    <xf numFmtId="0" fontId="7" fillId="0" borderId="0" xfId="2" applyFont="1" applyBorder="1" applyAlignment="1">
      <alignment horizontal="left" indent="1"/>
    </xf>
    <xf numFmtId="0" fontId="7" fillId="0" borderId="0" xfId="2" applyFont="1"/>
    <xf numFmtId="0" fontId="8" fillId="0" borderId="0" xfId="2" applyFont="1" applyBorder="1"/>
    <xf numFmtId="0" fontId="13" fillId="3" borderId="0" xfId="2" applyFont="1" applyFill="1" applyBorder="1" applyAlignment="1">
      <alignment horizontal="center"/>
    </xf>
    <xf numFmtId="0" fontId="7" fillId="7" borderId="0" xfId="2" applyFont="1" applyFill="1"/>
    <xf numFmtId="0" fontId="7" fillId="0" borderId="0" xfId="2" applyFont="1" applyFill="1"/>
    <xf numFmtId="0" fontId="7" fillId="0" borderId="0" xfId="3" applyFont="1" applyFill="1" applyBorder="1" applyAlignment="1">
      <alignment horizontal="center" vertical="center"/>
    </xf>
    <xf numFmtId="166" fontId="7" fillId="0" borderId="0" xfId="2" applyNumberFormat="1" applyFont="1"/>
    <xf numFmtId="167" fontId="7" fillId="0" borderId="0" xfId="2" applyNumberFormat="1" applyFont="1"/>
    <xf numFmtId="9" fontId="7" fillId="0" borderId="0" xfId="2" applyNumberFormat="1" applyFont="1" applyBorder="1"/>
    <xf numFmtId="168" fontId="7" fillId="0" borderId="0" xfId="2" applyNumberFormat="1" applyFont="1"/>
    <xf numFmtId="4" fontId="7" fillId="0" borderId="0" xfId="2" applyNumberFormat="1" applyFont="1"/>
    <xf numFmtId="0" fontId="7" fillId="9" borderId="0" xfId="2" applyFont="1" applyFill="1"/>
    <xf numFmtId="169" fontId="7" fillId="0" borderId="0" xfId="2" applyNumberFormat="1" applyFont="1"/>
    <xf numFmtId="169" fontId="7" fillId="0" borderId="0" xfId="3" applyNumberFormat="1" applyFont="1" applyBorder="1" applyAlignment="1">
      <alignment horizontal="right" vertical="center"/>
    </xf>
    <xf numFmtId="169" fontId="7" fillId="0" borderId="0" xfId="2" applyNumberFormat="1" applyFont="1" applyFill="1" applyBorder="1"/>
    <xf numFmtId="0" fontId="7" fillId="7" borderId="0" xfId="2" applyFont="1" applyFill="1" applyBorder="1"/>
    <xf numFmtId="9" fontId="7" fillId="0" borderId="0" xfId="2" applyNumberFormat="1" applyFont="1" applyFill="1"/>
    <xf numFmtId="4" fontId="7" fillId="0" borderId="0" xfId="2" applyNumberFormat="1" applyFont="1" applyFill="1"/>
    <xf numFmtId="0" fontId="7" fillId="6" borderId="0" xfId="2" applyFont="1" applyFill="1" applyBorder="1"/>
    <xf numFmtId="1" fontId="7" fillId="6" borderId="0" xfId="2" applyNumberFormat="1" applyFont="1" applyFill="1" applyBorder="1"/>
    <xf numFmtId="164" fontId="7" fillId="6" borderId="0" xfId="2" applyNumberFormat="1" applyFont="1" applyFill="1" applyBorder="1"/>
    <xf numFmtId="9" fontId="7" fillId="6" borderId="0" xfId="2" applyNumberFormat="1" applyFont="1" applyFill="1"/>
    <xf numFmtId="0" fontId="8" fillId="0" borderId="0" xfId="2" applyFont="1"/>
    <xf numFmtId="0" fontId="8" fillId="0" borderId="0" xfId="2" applyFont="1" applyFill="1" applyBorder="1"/>
    <xf numFmtId="0" fontId="7" fillId="0" borderId="0" xfId="2" applyFont="1" applyFill="1" applyBorder="1" applyAlignment="1">
      <alignment horizontal="left" indent="2"/>
    </xf>
    <xf numFmtId="0" fontId="8" fillId="7" borderId="0" xfId="2" applyFont="1" applyFill="1"/>
    <xf numFmtId="0" fontId="8" fillId="7" borderId="0" xfId="2" applyFont="1" applyFill="1" applyBorder="1" applyAlignment="1">
      <alignment horizontal="center"/>
    </xf>
    <xf numFmtId="166" fontId="7" fillId="0" borderId="0" xfId="2" applyNumberFormat="1" applyFont="1" applyFill="1"/>
    <xf numFmtId="0" fontId="9" fillId="0" borderId="0" xfId="11" applyFont="1"/>
    <xf numFmtId="0" fontId="8" fillId="0" borderId="0" xfId="2" applyFont="1" applyBorder="1" applyAlignment="1">
      <alignment horizontal="center"/>
    </xf>
    <xf numFmtId="0" fontId="0" fillId="0" borderId="0" xfId="0" applyBorder="1"/>
    <xf numFmtId="175" fontId="7" fillId="6" borderId="0" xfId="47" applyNumberFormat="1" applyFont="1" applyFill="1" applyBorder="1"/>
    <xf numFmtId="3" fontId="7" fillId="0" borderId="0" xfId="2" applyNumberFormat="1" applyFont="1"/>
    <xf numFmtId="9" fontId="8" fillId="5" borderId="1" xfId="0" applyNumberFormat="1" applyFont="1" applyFill="1" applyBorder="1" applyAlignment="1">
      <alignment horizontal="center"/>
    </xf>
    <xf numFmtId="9" fontId="8" fillId="4" borderId="1" xfId="0" applyNumberFormat="1" applyFont="1" applyFill="1" applyBorder="1" applyAlignment="1">
      <alignment horizontal="center"/>
    </xf>
    <xf numFmtId="9" fontId="0" fillId="4" borderId="2" xfId="1" applyFont="1" applyFill="1" applyBorder="1" applyAlignment="1">
      <alignment horizontal="center"/>
    </xf>
    <xf numFmtId="171" fontId="0" fillId="5" borderId="0" xfId="0" applyNumberFormat="1" applyFill="1" applyBorder="1" applyAlignment="1">
      <alignment horizontal="center"/>
    </xf>
    <xf numFmtId="171" fontId="0" fillId="5" borderId="1" xfId="0" applyNumberFormat="1" applyFill="1" applyBorder="1" applyAlignment="1">
      <alignment horizontal="center"/>
    </xf>
    <xf numFmtId="0" fontId="8" fillId="13" borderId="1"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0" xfId="0" applyFont="1" applyFill="1" applyBorder="1" applyAlignment="1">
      <alignment horizontal="center" vertical="center" wrapText="1"/>
    </xf>
    <xf numFmtId="171" fontId="8" fillId="13" borderId="1" xfId="0" applyNumberFormat="1" applyFont="1" applyFill="1" applyBorder="1" applyAlignment="1">
      <alignment horizontal="center" vertical="center" wrapText="1"/>
    </xf>
    <xf numFmtId="171" fontId="8" fillId="13" borderId="0" xfId="0" applyNumberFormat="1" applyFont="1" applyFill="1" applyBorder="1" applyAlignment="1">
      <alignment horizontal="center" vertical="center" wrapText="1"/>
    </xf>
    <xf numFmtId="0" fontId="8" fillId="13" borderId="0" xfId="0" applyFont="1" applyFill="1" applyBorder="1" applyAlignment="1">
      <alignment horizontal="center" vertical="center"/>
    </xf>
    <xf numFmtId="0" fontId="8" fillId="13" borderId="43" xfId="0" applyFont="1" applyFill="1" applyBorder="1" applyAlignment="1">
      <alignment horizontal="center" vertical="center"/>
    </xf>
    <xf numFmtId="0" fontId="8" fillId="13" borderId="43" xfId="0" applyFont="1" applyFill="1" applyBorder="1" applyAlignment="1">
      <alignment horizontal="center" vertical="center" wrapText="1"/>
    </xf>
    <xf numFmtId="0" fontId="8" fillId="13" borderId="13" xfId="0" applyFont="1" applyFill="1" applyBorder="1" applyAlignment="1">
      <alignment horizontal="center" vertical="center" wrapText="1"/>
    </xf>
    <xf numFmtId="0" fontId="8" fillId="13" borderId="14"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8" fillId="13" borderId="41" xfId="0" applyFont="1" applyFill="1" applyBorder="1" applyAlignment="1">
      <alignment horizontal="center" vertical="center" wrapText="1"/>
    </xf>
    <xf numFmtId="0" fontId="8" fillId="2" borderId="7" xfId="0" applyFont="1" applyFill="1" applyBorder="1" applyAlignment="1">
      <alignment horizontal="center" vertical="center"/>
    </xf>
    <xf numFmtId="0" fontId="8" fillId="13" borderId="41" xfId="0"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4" fillId="3" borderId="48" xfId="0" applyFont="1" applyFill="1" applyBorder="1" applyAlignment="1">
      <alignment vertical="center"/>
    </xf>
    <xf numFmtId="177" fontId="7" fillId="6" borderId="0" xfId="2" applyNumberFormat="1" applyFont="1" applyFill="1" applyBorder="1"/>
    <xf numFmtId="0" fontId="0" fillId="0" borderId="20" xfId="0" applyBorder="1"/>
    <xf numFmtId="0" fontId="0" fillId="8" borderId="44" xfId="0" applyFont="1" applyFill="1" applyBorder="1" applyAlignment="1">
      <alignment horizontal="center" vertical="center"/>
    </xf>
    <xf numFmtId="0" fontId="0" fillId="0" borderId="1" xfId="0" applyBorder="1"/>
    <xf numFmtId="0" fontId="0" fillId="0" borderId="1" xfId="0" applyFont="1" applyBorder="1" applyAlignment="1">
      <alignment horizontal="left" vertical="center" indent="1"/>
    </xf>
    <xf numFmtId="0" fontId="0" fillId="0" borderId="1" xfId="0" applyFont="1" applyBorder="1" applyAlignment="1">
      <alignment horizontal="left" indent="1"/>
    </xf>
    <xf numFmtId="0" fontId="0" fillId="0" borderId="1" xfId="0" applyBorder="1" applyAlignment="1">
      <alignment horizontal="left" indent="1"/>
    </xf>
    <xf numFmtId="0" fontId="0" fillId="0" borderId="11" xfId="0" applyFont="1" applyFill="1" applyBorder="1" applyAlignment="1">
      <alignment horizontal="left" vertical="center" indent="1"/>
    </xf>
    <xf numFmtId="0" fontId="0" fillId="0" borderId="0" xfId="0" applyBorder="1" applyAlignment="1">
      <alignment horizontal="right" vertical="center" indent="1"/>
    </xf>
    <xf numFmtId="0" fontId="0" fillId="0" borderId="0" xfId="0" applyAlignment="1">
      <alignment horizontal="left" vertical="center"/>
    </xf>
    <xf numFmtId="0" fontId="28" fillId="0" borderId="0" xfId="0" applyFont="1" applyBorder="1" applyAlignment="1">
      <alignment horizontal="left" vertical="center"/>
    </xf>
    <xf numFmtId="0" fontId="27" fillId="0" borderId="0" xfId="0" applyFont="1" applyBorder="1" applyAlignment="1">
      <alignment vertical="top" wrapText="1"/>
    </xf>
    <xf numFmtId="0" fontId="0" fillId="0" borderId="11" xfId="0" applyFill="1" applyBorder="1" applyAlignment="1">
      <alignment horizontal="left" vertical="center" indent="1"/>
    </xf>
    <xf numFmtId="0" fontId="0" fillId="0" borderId="0" xfId="0" applyBorder="1" applyAlignment="1">
      <alignment vertical="top" wrapText="1"/>
    </xf>
    <xf numFmtId="0" fontId="5" fillId="8" borderId="48" xfId="0" applyFont="1" applyFill="1" applyBorder="1" applyAlignment="1">
      <alignment horizontal="center" vertical="center"/>
    </xf>
    <xf numFmtId="0" fontId="5" fillId="8" borderId="48" xfId="0" applyFont="1" applyFill="1" applyBorder="1" applyAlignment="1">
      <alignment horizontal="right" vertical="center" indent="3"/>
    </xf>
    <xf numFmtId="0" fontId="5" fillId="8" borderId="19" xfId="0" applyFont="1" applyFill="1" applyBorder="1" applyAlignment="1">
      <alignment horizontal="center" vertical="center"/>
    </xf>
    <xf numFmtId="0" fontId="24" fillId="11" borderId="0" xfId="0" applyFont="1" applyFill="1" applyBorder="1" applyAlignment="1">
      <alignment horizontal="left" vertical="center" indent="1"/>
    </xf>
    <xf numFmtId="0" fontId="0" fillId="11" borderId="0" xfId="0" applyFill="1" applyBorder="1" applyAlignment="1"/>
    <xf numFmtId="0" fontId="0" fillId="11" borderId="0" xfId="0" applyFill="1" applyBorder="1" applyAlignment="1">
      <alignment horizontal="right" vertical="center" indent="3"/>
    </xf>
    <xf numFmtId="0" fontId="0" fillId="11" borderId="0" xfId="0" applyFill="1" applyBorder="1" applyAlignment="1">
      <alignment vertical="center"/>
    </xf>
    <xf numFmtId="0" fontId="0" fillId="0" borderId="0" xfId="0" applyBorder="1" applyAlignment="1">
      <alignment horizontal="left" vertical="center" indent="2"/>
    </xf>
    <xf numFmtId="0" fontId="0" fillId="0" borderId="0" xfId="0" applyBorder="1" applyAlignment="1">
      <alignment horizontal="right" vertical="center" indent="3"/>
    </xf>
    <xf numFmtId="3" fontId="0" fillId="0" borderId="0" xfId="0" applyNumberFormat="1" applyBorder="1" applyAlignment="1">
      <alignment horizontal="right" vertical="center" indent="3"/>
    </xf>
    <xf numFmtId="0" fontId="0" fillId="0" borderId="0" xfId="0" applyBorder="1" applyAlignment="1">
      <alignment vertical="center"/>
    </xf>
    <xf numFmtId="0" fontId="0" fillId="0" borderId="0" xfId="0" applyFont="1" applyBorder="1" applyAlignment="1">
      <alignment horizontal="left" vertical="center" indent="2"/>
    </xf>
    <xf numFmtId="0" fontId="27" fillId="0" borderId="20" xfId="0" applyFont="1" applyBorder="1" applyAlignment="1">
      <alignment vertical="center"/>
    </xf>
    <xf numFmtId="0" fontId="0" fillId="0" borderId="0" xfId="0" applyBorder="1" applyAlignment="1"/>
    <xf numFmtId="0" fontId="24" fillId="11" borderId="43" xfId="0" applyFont="1" applyFill="1" applyBorder="1" applyAlignment="1">
      <alignment horizontal="left" vertical="center" indent="1"/>
    </xf>
    <xf numFmtId="0" fontId="24" fillId="11" borderId="43" xfId="0" applyFont="1" applyFill="1" applyBorder="1" applyAlignment="1">
      <alignment horizontal="center" vertical="center"/>
    </xf>
    <xf numFmtId="0" fontId="0" fillId="11" borderId="0" xfId="0" applyFill="1" applyBorder="1" applyAlignment="1">
      <alignment horizontal="center"/>
    </xf>
    <xf numFmtId="169" fontId="0" fillId="0" borderId="0" xfId="0" applyNumberFormat="1" applyBorder="1" applyAlignment="1">
      <alignment horizontal="right" vertical="center" indent="3"/>
    </xf>
    <xf numFmtId="169" fontId="0" fillId="0" borderId="20" xfId="0" applyNumberFormat="1" applyBorder="1" applyAlignment="1">
      <alignment horizontal="right" vertical="center" indent="3"/>
    </xf>
    <xf numFmtId="0" fontId="8" fillId="8" borderId="48" xfId="0" applyFont="1" applyFill="1" applyBorder="1" applyAlignment="1">
      <alignment horizontal="center" vertical="center"/>
    </xf>
    <xf numFmtId="0" fontId="24" fillId="11" borderId="0" xfId="0" applyFont="1" applyFill="1" applyBorder="1" applyAlignment="1">
      <alignment horizontal="center"/>
    </xf>
    <xf numFmtId="0" fontId="24" fillId="11" borderId="0" xfId="0" applyFont="1" applyFill="1" applyBorder="1" applyAlignment="1"/>
    <xf numFmtId="0" fontId="27" fillId="0" borderId="0" xfId="0" applyFont="1" applyBorder="1" applyAlignment="1">
      <alignment horizontal="right" vertical="center" indent="3"/>
    </xf>
    <xf numFmtId="0" fontId="5" fillId="0" borderId="0" xfId="0" applyFont="1" applyBorder="1" applyAlignment="1">
      <alignment horizontal="left" vertical="center" indent="1"/>
    </xf>
    <xf numFmtId="0" fontId="24" fillId="11" borderId="0" xfId="0" applyFont="1" applyFill="1" applyBorder="1" applyAlignment="1">
      <alignment horizontal="right" indent="3"/>
    </xf>
    <xf numFmtId="0" fontId="0" fillId="0" borderId="20" xfId="0" applyBorder="1" applyAlignment="1">
      <alignment horizontal="right" vertical="center" indent="3"/>
    </xf>
    <xf numFmtId="0" fontId="0" fillId="0" borderId="20" xfId="0" applyBorder="1" applyAlignment="1"/>
    <xf numFmtId="0" fontId="24" fillId="11" borderId="0"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43" xfId="0" applyFill="1" applyBorder="1" applyAlignment="1">
      <alignment vertical="center"/>
    </xf>
    <xf numFmtId="0" fontId="7" fillId="0" borderId="0" xfId="0" applyFont="1" applyBorder="1" applyAlignment="1">
      <alignment horizontal="left" vertical="center" indent="2"/>
    </xf>
    <xf numFmtId="0" fontId="27" fillId="0" borderId="0" xfId="0" applyFont="1" applyBorder="1" applyAlignment="1"/>
    <xf numFmtId="9" fontId="0" fillId="0" borderId="0" xfId="0" applyNumberFormat="1" applyBorder="1" applyAlignment="1">
      <alignment vertical="center"/>
    </xf>
    <xf numFmtId="9" fontId="0" fillId="0" borderId="0" xfId="0" applyNumberFormat="1" applyBorder="1" applyAlignment="1">
      <alignment horizontal="right" vertical="center" indent="3"/>
    </xf>
    <xf numFmtId="0" fontId="27" fillId="0" borderId="0" xfId="0" applyFont="1" applyBorder="1" applyAlignment="1">
      <alignment vertical="center"/>
    </xf>
    <xf numFmtId="0" fontId="0" fillId="0" borderId="20" xfId="0" applyBorder="1" applyAlignment="1">
      <alignment horizontal="left" vertical="center" indent="2"/>
    </xf>
    <xf numFmtId="9" fontId="0" fillId="0" borderId="20" xfId="0" applyNumberFormat="1" applyBorder="1" applyAlignment="1">
      <alignment vertical="center"/>
    </xf>
    <xf numFmtId="9" fontId="0" fillId="0" borderId="20" xfId="0" applyNumberFormat="1" applyBorder="1" applyAlignment="1">
      <alignment horizontal="right" vertical="center" indent="3"/>
    </xf>
    <xf numFmtId="0" fontId="0" fillId="0" borderId="20" xfId="0" applyBorder="1" applyAlignment="1">
      <alignment vertical="center"/>
    </xf>
    <xf numFmtId="0" fontId="32" fillId="4" borderId="43" xfId="0" applyFont="1" applyFill="1" applyBorder="1" applyAlignment="1">
      <alignment horizontal="left" vertical="center" indent="1"/>
    </xf>
    <xf numFmtId="0" fontId="33" fillId="4" borderId="43" xfId="0" applyFont="1" applyFill="1" applyBorder="1" applyAlignment="1">
      <alignment vertical="center"/>
    </xf>
    <xf numFmtId="0" fontId="32" fillId="4" borderId="43" xfId="0" applyFont="1" applyFill="1" applyBorder="1" applyAlignment="1">
      <alignment horizontal="right" vertical="center" indent="3"/>
    </xf>
    <xf numFmtId="0" fontId="7" fillId="0" borderId="20" xfId="0" applyFont="1" applyBorder="1" applyAlignment="1">
      <alignment horizontal="left" vertical="center" indent="2"/>
    </xf>
    <xf numFmtId="3" fontId="0" fillId="0" borderId="20" xfId="0" applyNumberFormat="1" applyBorder="1" applyAlignment="1">
      <alignment horizontal="right" vertical="center" indent="3"/>
    </xf>
    <xf numFmtId="0" fontId="26" fillId="0" borderId="0" xfId="0" applyFont="1" applyBorder="1" applyAlignment="1">
      <alignment vertical="center"/>
    </xf>
    <xf numFmtId="0" fontId="7" fillId="0" borderId="0" xfId="0" applyFont="1" applyFill="1" applyBorder="1" applyAlignment="1">
      <alignment horizontal="left" vertical="center" indent="1"/>
    </xf>
    <xf numFmtId="169" fontId="8" fillId="0" borderId="0" xfId="0" applyNumberFormat="1" applyFont="1" applyFill="1" applyBorder="1" applyAlignment="1">
      <alignment horizontal="right" vertical="center" indent="3"/>
    </xf>
    <xf numFmtId="0" fontId="32" fillId="0" borderId="0" xfId="0" applyFont="1" applyFill="1" applyBorder="1" applyAlignment="1">
      <alignment horizontal="right" vertical="center" indent="3"/>
    </xf>
    <xf numFmtId="0" fontId="0" fillId="0" borderId="0" xfId="0" applyFill="1" applyBorder="1"/>
    <xf numFmtId="0" fontId="7" fillId="0" borderId="20" xfId="0" applyFont="1" applyBorder="1" applyAlignment="1">
      <alignment horizontal="left" vertical="center" indent="1"/>
    </xf>
    <xf numFmtId="0" fontId="0" fillId="0" borderId="0" xfId="0" applyFill="1" applyBorder="1" applyAlignment="1">
      <alignment horizontal="left" vertical="center" indent="2"/>
    </xf>
    <xf numFmtId="0" fontId="0" fillId="0" borderId="20" xfId="0" applyBorder="1" applyAlignment="1">
      <alignment horizontal="right" vertical="center" indent="1"/>
    </xf>
    <xf numFmtId="0" fontId="0" fillId="0" borderId="0" xfId="0" applyBorder="1" applyAlignment="1">
      <alignment vertical="center" wrapText="1"/>
    </xf>
    <xf numFmtId="0" fontId="0" fillId="0" borderId="20" xfId="0" applyBorder="1" applyAlignment="1">
      <alignment vertical="center" wrapText="1"/>
    </xf>
    <xf numFmtId="0" fontId="7" fillId="0" borderId="0" xfId="0" applyFont="1" applyFill="1" applyBorder="1" applyAlignment="1">
      <alignment horizontal="left" vertical="center" indent="2"/>
    </xf>
    <xf numFmtId="0" fontId="0" fillId="0" borderId="0" xfId="0" applyFill="1" applyBorder="1" applyAlignment="1"/>
    <xf numFmtId="0" fontId="0" fillId="0" borderId="0" xfId="0" applyFill="1" applyBorder="1" applyAlignment="1">
      <alignment vertical="center"/>
    </xf>
    <xf numFmtId="169" fontId="0" fillId="0" borderId="0" xfId="0" applyNumberFormat="1" applyFill="1" applyBorder="1" applyAlignment="1">
      <alignment horizontal="right" vertical="center" indent="3"/>
    </xf>
    <xf numFmtId="0" fontId="0" fillId="0" borderId="0" xfId="0" applyBorder="1" applyAlignment="1">
      <alignment horizontal="left" vertical="center" wrapText="1" indent="2"/>
    </xf>
    <xf numFmtId="3" fontId="0" fillId="0" borderId="0" xfId="0" applyNumberFormat="1" applyFill="1" applyBorder="1" applyAlignment="1">
      <alignment horizontal="right" vertical="center" indent="3"/>
    </xf>
    <xf numFmtId="169" fontId="0" fillId="0" borderId="20" xfId="0" applyNumberFormat="1" applyFill="1" applyBorder="1" applyAlignment="1">
      <alignment horizontal="right" vertical="center" indent="3"/>
    </xf>
    <xf numFmtId="0" fontId="0" fillId="0" borderId="0" xfId="0"/>
    <xf numFmtId="0" fontId="24" fillId="6" borderId="16" xfId="0" applyFont="1" applyFill="1" applyBorder="1" applyAlignment="1">
      <alignment horizontal="center" vertical="center"/>
    </xf>
    <xf numFmtId="0" fontId="0" fillId="0" borderId="16" xfId="0" applyBorder="1" applyAlignment="1">
      <alignment horizontal="center"/>
    </xf>
    <xf numFmtId="0" fontId="8" fillId="0" borderId="0" xfId="2" applyFont="1" applyBorder="1" applyAlignment="1">
      <alignment horizontal="left" indent="2"/>
    </xf>
    <xf numFmtId="0" fontId="8" fillId="0" borderId="0" xfId="3" applyFont="1" applyFill="1" applyBorder="1" applyAlignment="1">
      <alignment horizontal="center" vertical="center"/>
    </xf>
    <xf numFmtId="169" fontId="0" fillId="0" borderId="0" xfId="0" applyNumberFormat="1" applyBorder="1"/>
    <xf numFmtId="166" fontId="0" fillId="0" borderId="0" xfId="0" applyNumberFormat="1" applyBorder="1"/>
    <xf numFmtId="43" fontId="0" fillId="0" borderId="0" xfId="0" applyNumberFormat="1" applyBorder="1" applyAlignment="1">
      <alignment horizontal="right" vertical="center" indent="1"/>
    </xf>
    <xf numFmtId="3" fontId="7" fillId="0" borderId="0" xfId="3" applyNumberFormat="1" applyFont="1" applyFill="1" applyBorder="1" applyAlignment="1">
      <alignment horizontal="center" vertical="center"/>
    </xf>
    <xf numFmtId="3" fontId="0" fillId="0" borderId="0" xfId="0" applyNumberFormat="1" applyBorder="1"/>
    <xf numFmtId="3" fontId="7" fillId="0" borderId="0" xfId="3" applyNumberFormat="1" applyFont="1" applyFill="1" applyBorder="1" applyAlignment="1">
      <alignment horizontal="right" vertical="center"/>
    </xf>
    <xf numFmtId="169" fontId="8" fillId="0" borderId="0" xfId="2" applyNumberFormat="1" applyFont="1" applyFill="1" applyBorder="1"/>
    <xf numFmtId="0" fontId="8" fillId="0" borderId="0" xfId="2" applyFont="1" applyBorder="1" applyAlignment="1">
      <alignment horizontal="left" indent="1"/>
    </xf>
    <xf numFmtId="3" fontId="8" fillId="0" borderId="0" xfId="3" applyNumberFormat="1" applyFont="1" applyFill="1" applyBorder="1" applyAlignment="1">
      <alignment horizontal="right" vertical="center"/>
    </xf>
    <xf numFmtId="169" fontId="8" fillId="0" borderId="0" xfId="3" applyNumberFormat="1" applyFont="1" applyBorder="1" applyAlignment="1">
      <alignment horizontal="right" vertical="center"/>
    </xf>
    <xf numFmtId="169" fontId="8" fillId="0" borderId="0" xfId="2" applyNumberFormat="1" applyFont="1"/>
    <xf numFmtId="9" fontId="7" fillId="0" borderId="0" xfId="1" applyFont="1" applyAlignment="1">
      <alignment horizontal="center"/>
    </xf>
    <xf numFmtId="9" fontId="8" fillId="0" borderId="0" xfId="1" applyFont="1" applyAlignment="1">
      <alignment horizontal="center"/>
    </xf>
    <xf numFmtId="3" fontId="8" fillId="0" borderId="0" xfId="2" applyNumberFormat="1" applyFont="1"/>
    <xf numFmtId="172" fontId="8" fillId="0" borderId="0" xfId="2" applyNumberFormat="1" applyFont="1" applyFill="1" applyBorder="1"/>
    <xf numFmtId="172" fontId="7" fillId="0" borderId="0" xfId="2" applyNumberFormat="1" applyFont="1" applyBorder="1"/>
    <xf numFmtId="172" fontId="8" fillId="0" borderId="0" xfId="2" applyNumberFormat="1" applyFont="1" applyBorder="1"/>
    <xf numFmtId="172" fontId="8" fillId="0" borderId="19" xfId="2" applyNumberFormat="1" applyFont="1" applyFill="1" applyBorder="1"/>
    <xf numFmtId="0" fontId="12" fillId="0" borderId="0" xfId="2" applyFont="1" applyFill="1" applyBorder="1"/>
    <xf numFmtId="0" fontId="54" fillId="0" borderId="0" xfId="2" applyFont="1" applyBorder="1" applyAlignment="1">
      <alignment horizontal="left" indent="4"/>
    </xf>
    <xf numFmtId="172" fontId="8" fillId="0" borderId="19" xfId="2" applyNumberFormat="1" applyFont="1" applyBorder="1"/>
    <xf numFmtId="0" fontId="0" fillId="0" borderId="0" xfId="0"/>
    <xf numFmtId="0" fontId="7" fillId="0" borderId="0" xfId="2" applyFont="1" applyFill="1" applyBorder="1"/>
    <xf numFmtId="172" fontId="7" fillId="0" borderId="0" xfId="2" applyNumberFormat="1" applyFont="1"/>
    <xf numFmtId="2" fontId="7" fillId="0" borderId="0" xfId="2" applyNumberFormat="1" applyFont="1"/>
    <xf numFmtId="175" fontId="7" fillId="0" borderId="0" xfId="47" applyNumberFormat="1" applyFont="1"/>
    <xf numFmtId="10" fontId="7" fillId="0" borderId="0" xfId="1" applyNumberFormat="1" applyFont="1"/>
    <xf numFmtId="0" fontId="7" fillId="0" borderId="4" xfId="2" applyFont="1" applyBorder="1"/>
    <xf numFmtId="0" fontId="7" fillId="0" borderId="60" xfId="2" applyFont="1" applyBorder="1"/>
    <xf numFmtId="0" fontId="7" fillId="0" borderId="61" xfId="2" applyFont="1" applyBorder="1"/>
    <xf numFmtId="0" fontId="7" fillId="0" borderId="7" xfId="2" applyFont="1" applyBorder="1"/>
    <xf numFmtId="0" fontId="7" fillId="0" borderId="2" xfId="2" applyFont="1" applyBorder="1"/>
    <xf numFmtId="0" fontId="7" fillId="0" borderId="62" xfId="2" applyFont="1" applyBorder="1"/>
    <xf numFmtId="42" fontId="7" fillId="0" borderId="7" xfId="2" applyNumberFormat="1" applyFont="1" applyBorder="1"/>
    <xf numFmtId="42" fontId="7" fillId="0" borderId="2" xfId="2" applyNumberFormat="1" applyFont="1" applyBorder="1"/>
    <xf numFmtId="42" fontId="7" fillId="0" borderId="62" xfId="2" applyNumberFormat="1" applyFont="1" applyBorder="1"/>
    <xf numFmtId="42" fontId="8" fillId="0" borderId="7" xfId="2" applyNumberFormat="1" applyFont="1" applyBorder="1"/>
    <xf numFmtId="42" fontId="8" fillId="0" borderId="2" xfId="2" applyNumberFormat="1" applyFont="1" applyBorder="1"/>
    <xf numFmtId="42" fontId="8" fillId="0" borderId="62" xfId="2" applyNumberFormat="1" applyFont="1" applyBorder="1"/>
    <xf numFmtId="6" fontId="7" fillId="0" borderId="7" xfId="2" applyNumberFormat="1" applyFont="1" applyFill="1" applyBorder="1"/>
    <xf numFmtId="6" fontId="7" fillId="0" borderId="2" xfId="2" applyNumberFormat="1" applyFont="1" applyFill="1" applyBorder="1"/>
    <xf numFmtId="6" fontId="7" fillId="0" borderId="62" xfId="2" applyNumberFormat="1" applyFont="1" applyFill="1" applyBorder="1"/>
    <xf numFmtId="0" fontId="5" fillId="0" borderId="63" xfId="2" applyFont="1" applyFill="1" applyBorder="1" applyAlignment="1">
      <alignment horizontal="center" wrapText="1"/>
    </xf>
    <xf numFmtId="0" fontId="5" fillId="0" borderId="64" xfId="2" applyFont="1" applyFill="1" applyBorder="1" applyAlignment="1">
      <alignment horizontal="center" wrapText="1"/>
    </xf>
    <xf numFmtId="0" fontId="5" fillId="0" borderId="65" xfId="2" applyFont="1" applyFill="1" applyBorder="1" applyAlignment="1">
      <alignment horizontal="center" wrapText="1"/>
    </xf>
    <xf numFmtId="0" fontId="8" fillId="0" borderId="49" xfId="2" applyFont="1" applyBorder="1"/>
    <xf numFmtId="0" fontId="7" fillId="0" borderId="50" xfId="2" applyFont="1" applyBorder="1"/>
    <xf numFmtId="42" fontId="8" fillId="0" borderId="66" xfId="2" applyNumberFormat="1" applyFont="1" applyBorder="1"/>
    <xf numFmtId="42" fontId="8" fillId="0" borderId="67" xfId="2" applyNumberFormat="1" applyFont="1" applyBorder="1"/>
    <xf numFmtId="42" fontId="8" fillId="0" borderId="68" xfId="2" applyNumberFormat="1" applyFont="1" applyBorder="1"/>
    <xf numFmtId="0" fontId="8" fillId="0" borderId="18" xfId="2" applyFont="1" applyBorder="1" applyAlignment="1">
      <alignment horizontal="left" indent="2"/>
    </xf>
    <xf numFmtId="0" fontId="8" fillId="2" borderId="7" xfId="0" applyFont="1" applyFill="1" applyBorder="1" applyAlignment="1">
      <alignment horizontal="center" vertical="center" wrapText="1"/>
    </xf>
    <xf numFmtId="9" fontId="3" fillId="5" borderId="7" xfId="0" applyNumberFormat="1" applyFont="1" applyFill="1" applyBorder="1" applyAlignment="1">
      <alignment horizontal="center"/>
    </xf>
    <xf numFmtId="1" fontId="5" fillId="0" borderId="0" xfId="0" applyNumberFormat="1" applyFont="1" applyAlignment="1">
      <alignment horizontal="center"/>
    </xf>
    <xf numFmtId="0" fontId="0" fillId="0" borderId="0" xfId="0" applyAlignment="1">
      <alignment horizontal="left"/>
    </xf>
    <xf numFmtId="0" fontId="57" fillId="0" borderId="69" xfId="0" applyFont="1" applyBorder="1"/>
    <xf numFmtId="0" fontId="60" fillId="0" borderId="0" xfId="150" applyFont="1" applyAlignment="1">
      <alignment horizontal="center" vertical="center" wrapText="1"/>
    </xf>
    <xf numFmtId="0" fontId="59" fillId="0" borderId="0" xfId="150"/>
    <xf numFmtId="0" fontId="59" fillId="0" borderId="0" xfId="150" applyAlignment="1">
      <alignment horizontal="center" vertical="center"/>
    </xf>
    <xf numFmtId="1" fontId="0" fillId="0" borderId="0" xfId="151" applyNumberFormat="1" applyFont="1" applyAlignment="1">
      <alignment horizontal="center" vertical="center"/>
    </xf>
    <xf numFmtId="0" fontId="59" fillId="0" borderId="0" xfId="150" applyAlignment="1">
      <alignment wrapText="1"/>
    </xf>
    <xf numFmtId="9" fontId="0" fillId="0" borderId="0" xfId="152" applyFont="1" applyAlignment="1">
      <alignment horizontal="center" vertical="center"/>
    </xf>
    <xf numFmtId="0" fontId="5" fillId="0" borderId="25" xfId="21" applyFont="1" applyFill="1" applyAlignment="1">
      <alignment horizontal="center" wrapText="1"/>
    </xf>
    <xf numFmtId="0" fontId="0" fillId="0" borderId="0" xfId="0" applyAlignment="1">
      <alignment wrapText="1"/>
    </xf>
    <xf numFmtId="0" fontId="0" fillId="0" borderId="0" xfId="0" applyAlignment="1">
      <alignment horizontal="center" vertical="center"/>
    </xf>
    <xf numFmtId="0" fontId="62" fillId="0" borderId="0" xfId="0" applyFont="1" applyAlignment="1">
      <alignment horizontal="center" vertical="center"/>
    </xf>
    <xf numFmtId="0" fontId="5" fillId="36" borderId="51" xfId="0" applyFont="1" applyFill="1" applyBorder="1"/>
    <xf numFmtId="0" fontId="5" fillId="36" borderId="5" xfId="0" applyFont="1" applyFill="1" applyBorder="1"/>
    <xf numFmtId="0" fontId="11" fillId="12" borderId="15" xfId="2" applyFont="1" applyFill="1" applyBorder="1" applyAlignment="1">
      <alignment horizontal="center"/>
    </xf>
    <xf numFmtId="0" fontId="11" fillId="12" borderId="16" xfId="2" applyFont="1" applyFill="1" applyBorder="1" applyAlignment="1">
      <alignment horizontal="center"/>
    </xf>
    <xf numFmtId="0" fontId="0" fillId="0" borderId="0" xfId="0" applyBorder="1" applyAlignment="1">
      <alignment horizontal="left" vertical="center" wrapText="1" indent="1"/>
    </xf>
    <xf numFmtId="0" fontId="0" fillId="0" borderId="20" xfId="0" applyBorder="1" applyAlignment="1">
      <alignment horizontal="left" vertical="center" indent="1"/>
    </xf>
    <xf numFmtId="0" fontId="0" fillId="0" borderId="20" xfId="0" applyBorder="1"/>
    <xf numFmtId="0" fontId="0" fillId="0" borderId="0" xfId="0" applyBorder="1" applyAlignment="1">
      <alignment horizontal="left" vertical="center" indent="1"/>
    </xf>
    <xf numFmtId="0" fontId="0" fillId="0" borderId="1" xfId="0" applyBorder="1" applyAlignment="1">
      <alignment horizontal="left" vertical="center" indent="1"/>
    </xf>
    <xf numFmtId="0" fontId="24" fillId="6" borderId="16" xfId="0" applyFont="1" applyFill="1" applyBorder="1" applyAlignment="1">
      <alignment horizontal="center" vertical="center"/>
    </xf>
    <xf numFmtId="0" fontId="0" fillId="0" borderId="16" xfId="0" applyBorder="1" applyAlignment="1">
      <alignment horizontal="center"/>
    </xf>
    <xf numFmtId="0" fontId="27" fillId="0" borderId="20" xfId="0" applyFont="1" applyBorder="1" applyAlignment="1">
      <alignment horizontal="left" vertical="center" wrapText="1"/>
    </xf>
    <xf numFmtId="0" fontId="27" fillId="0" borderId="0" xfId="0" applyFont="1" applyBorder="1" applyAlignment="1">
      <alignment vertical="center" wrapText="1"/>
    </xf>
    <xf numFmtId="0" fontId="63" fillId="9" borderId="0" xfId="2" applyFont="1" applyFill="1"/>
    <xf numFmtId="0" fontId="63" fillId="0" borderId="0" xfId="2" applyFont="1"/>
    <xf numFmtId="0" fontId="63" fillId="0" borderId="0" xfId="2" applyFont="1" applyBorder="1"/>
    <xf numFmtId="0" fontId="0" fillId="0" borderId="74" xfId="0" applyFill="1" applyBorder="1" applyAlignment="1">
      <alignment horizontal="left" vertical="center" indent="2"/>
    </xf>
    <xf numFmtId="0" fontId="0" fillId="0" borderId="74" xfId="0" applyBorder="1" applyAlignment="1">
      <alignment horizontal="left" vertical="center" indent="1"/>
    </xf>
    <xf numFmtId="0" fontId="0" fillId="0" borderId="74" xfId="0" applyBorder="1" applyAlignment="1">
      <alignment horizontal="right" vertical="center" indent="3"/>
    </xf>
    <xf numFmtId="0" fontId="0" fillId="0" borderId="74" xfId="0" applyBorder="1" applyAlignment="1">
      <alignment horizontal="left" vertical="center" indent="2"/>
    </xf>
    <xf numFmtId="0" fontId="0" fillId="0" borderId="74" xfId="0" applyBorder="1" applyAlignment="1">
      <alignment vertical="center"/>
    </xf>
    <xf numFmtId="0" fontId="0" fillId="0" borderId="74" xfId="0" applyBorder="1" applyAlignment="1">
      <alignment horizontal="left" vertical="center" wrapText="1" indent="1"/>
    </xf>
    <xf numFmtId="169" fontId="0" fillId="0" borderId="74" xfId="0" applyNumberFormat="1" applyBorder="1" applyAlignment="1">
      <alignment horizontal="right" vertical="center" indent="3"/>
    </xf>
    <xf numFmtId="0" fontId="0" fillId="0" borderId="74" xfId="0" applyFont="1" applyFill="1" applyBorder="1" applyAlignment="1">
      <alignment horizontal="left" vertical="center" indent="2"/>
    </xf>
    <xf numFmtId="0" fontId="5" fillId="8" borderId="74" xfId="0" applyFont="1" applyFill="1" applyBorder="1" applyAlignment="1">
      <alignment horizontal="center" vertical="center"/>
    </xf>
    <xf numFmtId="0" fontId="7" fillId="0" borderId="74" xfId="0" applyFont="1" applyBorder="1" applyAlignment="1">
      <alignment horizontal="left" vertical="center" indent="2"/>
    </xf>
    <xf numFmtId="3" fontId="0" fillId="0" borderId="74" xfId="0" applyNumberFormat="1" applyBorder="1" applyAlignment="1">
      <alignment horizontal="right" vertical="center" indent="3"/>
    </xf>
    <xf numFmtId="0" fontId="0" fillId="0" borderId="0" xfId="0" applyAlignment="1">
      <alignment horizontal="center"/>
    </xf>
    <xf numFmtId="0" fontId="0" fillId="0" borderId="69" xfId="0" applyBorder="1"/>
    <xf numFmtId="0" fontId="0" fillId="37" borderId="69" xfId="0" applyFill="1" applyBorder="1" applyAlignment="1">
      <alignment horizontal="center" wrapText="1"/>
    </xf>
    <xf numFmtId="0" fontId="0" fillId="40" borderId="69" xfId="0" applyFill="1" applyBorder="1" applyAlignment="1">
      <alignment horizontal="center" wrapText="1"/>
    </xf>
    <xf numFmtId="0" fontId="5" fillId="0" borderId="69" xfId="0" applyFont="1" applyBorder="1" applyAlignment="1">
      <alignment horizontal="center"/>
    </xf>
    <xf numFmtId="0" fontId="5" fillId="0" borderId="69" xfId="0" applyFont="1" applyBorder="1"/>
    <xf numFmtId="1" fontId="5" fillId="0" borderId="69" xfId="0" applyNumberFormat="1" applyFont="1" applyBorder="1" applyAlignment="1">
      <alignment horizontal="center"/>
    </xf>
    <xf numFmtId="0" fontId="5" fillId="0" borderId="0" xfId="0" applyFont="1" applyFill="1" applyBorder="1"/>
    <xf numFmtId="0" fontId="0" fillId="0" borderId="0" xfId="0" applyFont="1" applyFill="1" applyBorder="1"/>
    <xf numFmtId="0" fontId="58" fillId="0" borderId="0" xfId="0" applyFont="1" applyAlignment="1"/>
    <xf numFmtId="0" fontId="30" fillId="0" borderId="0" xfId="0" applyFont="1" applyAlignment="1"/>
    <xf numFmtId="0" fontId="0" fillId="0" borderId="69" xfId="0" quotePrefix="1" applyBorder="1"/>
    <xf numFmtId="0" fontId="65" fillId="0" borderId="0" xfId="0" applyFont="1" applyAlignment="1"/>
    <xf numFmtId="0" fontId="0" fillId="8" borderId="69" xfId="0" applyFill="1" applyBorder="1"/>
    <xf numFmtId="179" fontId="0" fillId="8" borderId="69" xfId="0" applyNumberFormat="1" applyFill="1" applyBorder="1"/>
    <xf numFmtId="171" fontId="0" fillId="0" borderId="69" xfId="0" applyNumberFormat="1" applyBorder="1" applyAlignment="1">
      <alignment horizontal="center"/>
    </xf>
    <xf numFmtId="171" fontId="0" fillId="0" borderId="69" xfId="0" applyNumberFormat="1" applyBorder="1"/>
    <xf numFmtId="171" fontId="0" fillId="0" borderId="0" xfId="0" applyNumberFormat="1" applyBorder="1" applyAlignment="1">
      <alignment horizontal="center"/>
    </xf>
    <xf numFmtId="3" fontId="0" fillId="8" borderId="69" xfId="0" applyNumberFormat="1" applyFill="1" applyBorder="1" applyAlignment="1">
      <alignment vertical="center"/>
    </xf>
    <xf numFmtId="0" fontId="0" fillId="0" borderId="69" xfId="0" applyBorder="1" applyAlignment="1">
      <alignment vertical="center"/>
    </xf>
    <xf numFmtId="0" fontId="0" fillId="8" borderId="69" xfId="0" applyFill="1" applyBorder="1" applyAlignment="1">
      <alignment vertical="center"/>
    </xf>
    <xf numFmtId="171" fontId="0" fillId="8" borderId="69" xfId="0" applyNumberFormat="1" applyFill="1" applyBorder="1"/>
    <xf numFmtId="171" fontId="0" fillId="0" borderId="0" xfId="0" applyNumberFormat="1" applyBorder="1"/>
    <xf numFmtId="0" fontId="0" fillId="0" borderId="0" xfId="0" applyBorder="1" applyAlignment="1">
      <alignment horizontal="left"/>
    </xf>
    <xf numFmtId="2" fontId="0" fillId="8" borderId="69" xfId="0" applyNumberFormat="1" applyFill="1" applyBorder="1" applyAlignment="1">
      <alignment vertical="center"/>
    </xf>
    <xf numFmtId="0" fontId="66" fillId="0" borderId="69" xfId="0" applyFont="1" applyBorder="1" applyAlignment="1">
      <alignment horizontal="center" vertical="center" wrapText="1"/>
    </xf>
    <xf numFmtId="0" fontId="0" fillId="0" borderId="75" xfId="0" applyBorder="1" applyAlignment="1">
      <alignment horizontal="center"/>
    </xf>
    <xf numFmtId="1" fontId="0" fillId="0" borderId="69" xfId="0" applyNumberFormat="1" applyBorder="1"/>
    <xf numFmtId="0" fontId="5" fillId="0" borderId="69" xfId="0" applyFont="1" applyBorder="1" applyAlignment="1">
      <alignment horizontal="center" vertical="center" wrapText="1"/>
    </xf>
    <xf numFmtId="1" fontId="0" fillId="8" borderId="69" xfId="0" applyNumberFormat="1" applyFill="1" applyBorder="1"/>
    <xf numFmtId="0" fontId="67" fillId="0" borderId="69" xfId="0" applyFont="1" applyBorder="1" applyAlignment="1">
      <alignment horizontal="right"/>
    </xf>
    <xf numFmtId="9" fontId="0" fillId="8" borderId="69" xfId="0" applyNumberFormat="1" applyFill="1" applyBorder="1"/>
    <xf numFmtId="9" fontId="0" fillId="8" borderId="69" xfId="1" applyFont="1" applyFill="1" applyBorder="1"/>
    <xf numFmtId="0" fontId="0" fillId="0" borderId="69" xfId="0" applyBorder="1" applyAlignment="1">
      <alignment horizontal="right"/>
    </xf>
    <xf numFmtId="0" fontId="0" fillId="0" borderId="69" xfId="0" applyFont="1" applyBorder="1"/>
    <xf numFmtId="2" fontId="0" fillId="0" borderId="69" xfId="0" applyNumberFormat="1" applyBorder="1" applyAlignment="1">
      <alignment horizontal="right"/>
    </xf>
    <xf numFmtId="0" fontId="0" fillId="37" borderId="69" xfId="0" applyFill="1" applyBorder="1" applyAlignment="1">
      <alignment horizontal="left" vertical="center"/>
    </xf>
    <xf numFmtId="0" fontId="0" fillId="40" borderId="69" xfId="0" applyFill="1" applyBorder="1" applyAlignment="1">
      <alignment horizontal="left" vertical="center"/>
    </xf>
    <xf numFmtId="0" fontId="0" fillId="38" borderId="69" xfId="0" applyFill="1" applyBorder="1" applyAlignment="1">
      <alignment horizontal="left" vertical="center" wrapText="1"/>
    </xf>
    <xf numFmtId="0" fontId="0" fillId="0" borderId="0" xfId="0"/>
    <xf numFmtId="0" fontId="7" fillId="0" borderId="0" xfId="2" applyFont="1" applyAlignment="1">
      <alignment horizontal="right"/>
    </xf>
    <xf numFmtId="0" fontId="0" fillId="0" borderId="0" xfId="0"/>
    <xf numFmtId="0" fontId="13" fillId="0" borderId="0" xfId="2" applyFont="1" applyFill="1" applyBorder="1" applyAlignment="1">
      <alignment horizontal="center"/>
    </xf>
    <xf numFmtId="0" fontId="4" fillId="0" borderId="0" xfId="2" applyFont="1" applyFill="1" applyBorder="1" applyAlignment="1">
      <alignment horizontal="center"/>
    </xf>
    <xf numFmtId="0" fontId="8" fillId="0" borderId="0" xfId="2" applyFont="1" applyFill="1"/>
    <xf numFmtId="3" fontId="7" fillId="0" borderId="0" xfId="2" applyNumberFormat="1" applyFont="1" applyFill="1"/>
    <xf numFmtId="3" fontId="8" fillId="0" borderId="0" xfId="2" applyNumberFormat="1" applyFont="1" applyFill="1"/>
    <xf numFmtId="9" fontId="7" fillId="0" borderId="0" xfId="2" applyNumberFormat="1" applyFont="1" applyFill="1" applyBorder="1"/>
    <xf numFmtId="175" fontId="7" fillId="0" borderId="0" xfId="47" applyNumberFormat="1" applyFont="1" applyFill="1"/>
    <xf numFmtId="0" fontId="7" fillId="41" borderId="0" xfId="2" applyFont="1" applyFill="1"/>
    <xf numFmtId="0" fontId="4" fillId="41" borderId="0" xfId="2" applyFont="1" applyFill="1"/>
    <xf numFmtId="172" fontId="7" fillId="42" borderId="0" xfId="2" applyNumberFormat="1" applyFont="1" applyFill="1" applyBorder="1"/>
    <xf numFmtId="172" fontId="8" fillId="42" borderId="0" xfId="2" applyNumberFormat="1" applyFont="1" applyFill="1" applyBorder="1"/>
    <xf numFmtId="172" fontId="7" fillId="6" borderId="0" xfId="2" applyNumberFormat="1" applyFont="1" applyFill="1" applyBorder="1"/>
    <xf numFmtId="169" fontId="7" fillId="6" borderId="0" xfId="2" applyNumberFormat="1" applyFont="1" applyFill="1" applyBorder="1"/>
    <xf numFmtId="3" fontId="7" fillId="6" borderId="0" xfId="2" applyNumberFormat="1" applyFont="1" applyFill="1"/>
    <xf numFmtId="0" fontId="4" fillId="43" borderId="0" xfId="2" applyFont="1" applyFill="1"/>
    <xf numFmtId="0" fontId="4" fillId="43" borderId="0" xfId="2" applyFont="1" applyFill="1" applyBorder="1" applyAlignment="1">
      <alignment horizontal="center"/>
    </xf>
    <xf numFmtId="0" fontId="7" fillId="43" borderId="0" xfId="2" applyFont="1" applyFill="1" applyBorder="1" applyAlignment="1">
      <alignment horizontal="left" indent="2"/>
    </xf>
    <xf numFmtId="0" fontId="7" fillId="43" borderId="0" xfId="2" applyFont="1" applyFill="1" applyBorder="1"/>
    <xf numFmtId="0" fontId="7" fillId="6" borderId="0" xfId="2" applyFont="1" applyFill="1" applyBorder="1" applyAlignment="1">
      <alignment horizontal="center"/>
    </xf>
    <xf numFmtId="166" fontId="7" fillId="6" borderId="0" xfId="2" applyNumberFormat="1" applyFont="1" applyFill="1"/>
    <xf numFmtId="0" fontId="7" fillId="0" borderId="0" xfId="2" applyFont="1" applyFill="1" applyAlignment="1">
      <alignment horizontal="center"/>
    </xf>
    <xf numFmtId="9" fontId="7" fillId="6" borderId="0" xfId="2" applyNumberFormat="1" applyFont="1" applyFill="1" applyBorder="1" applyAlignment="1">
      <alignment horizontal="center"/>
    </xf>
    <xf numFmtId="0" fontId="11" fillId="12" borderId="15" xfId="2" applyFont="1" applyFill="1" applyBorder="1" applyAlignment="1"/>
    <xf numFmtId="0" fontId="11" fillId="12" borderId="16" xfId="2" applyFont="1" applyFill="1" applyBorder="1" applyAlignment="1"/>
    <xf numFmtId="0" fontId="11" fillId="12" borderId="17" xfId="2" applyFont="1" applyFill="1" applyBorder="1" applyAlignment="1"/>
    <xf numFmtId="0" fontId="4" fillId="43" borderId="0" xfId="2" applyFont="1" applyFill="1" applyBorder="1" applyAlignment="1">
      <alignment horizontal="left"/>
    </xf>
    <xf numFmtId="0" fontId="8" fillId="2" borderId="0" xfId="0" applyFont="1" applyFill="1" applyBorder="1" applyAlignment="1">
      <alignment horizontal="center" vertical="center" wrapText="1"/>
    </xf>
    <xf numFmtId="0" fontId="0" fillId="5" borderId="0" xfId="0" applyFill="1" applyBorder="1"/>
    <xf numFmtId="0" fontId="5" fillId="5" borderId="0" xfId="0" applyFont="1" applyFill="1" applyBorder="1"/>
    <xf numFmtId="9" fontId="3" fillId="5" borderId="0" xfId="0" applyNumberFormat="1" applyFont="1" applyFill="1" applyBorder="1" applyAlignment="1">
      <alignment horizontal="center"/>
    </xf>
    <xf numFmtId="9" fontId="8" fillId="5" borderId="0" xfId="0" applyNumberFormat="1" applyFont="1" applyFill="1" applyBorder="1" applyAlignment="1">
      <alignment horizontal="center"/>
    </xf>
    <xf numFmtId="0" fontId="0" fillId="4" borderId="0" xfId="0" applyFill="1" applyBorder="1"/>
    <xf numFmtId="0" fontId="5" fillId="4" borderId="0" xfId="0" applyFont="1" applyFill="1" applyBorder="1"/>
    <xf numFmtId="9" fontId="3" fillId="4" borderId="0" xfId="0" applyNumberFormat="1" applyFont="1" applyFill="1" applyBorder="1" applyAlignment="1">
      <alignment horizontal="center"/>
    </xf>
    <xf numFmtId="9" fontId="8" fillId="4" borderId="0" xfId="0" applyNumberFormat="1" applyFont="1" applyFill="1" applyBorder="1" applyAlignment="1">
      <alignment horizontal="center"/>
    </xf>
    <xf numFmtId="0" fontId="8" fillId="13" borderId="74" xfId="0" applyFont="1" applyFill="1" applyBorder="1" applyAlignment="1">
      <alignment horizontal="center" vertical="center" wrapText="1"/>
    </xf>
    <xf numFmtId="171" fontId="0" fillId="5" borderId="13" xfId="0" applyNumberFormat="1" applyFill="1" applyBorder="1" applyAlignment="1">
      <alignment horizontal="center"/>
    </xf>
    <xf numFmtId="171" fontId="0" fillId="5" borderId="43" xfId="0" applyNumberFormat="1" applyFill="1" applyBorder="1" applyAlignment="1">
      <alignment horizontal="center"/>
    </xf>
    <xf numFmtId="171" fontId="0" fillId="5" borderId="14" xfId="0" applyNumberFormat="1" applyFill="1" applyBorder="1" applyAlignment="1">
      <alignment horizontal="center"/>
    </xf>
    <xf numFmtId="0" fontId="0" fillId="5" borderId="7" xfId="0" applyFill="1" applyBorder="1" applyAlignment="1">
      <alignment horizontal="center"/>
    </xf>
    <xf numFmtId="9" fontId="0" fillId="5" borderId="7" xfId="0" applyNumberFormat="1" applyFill="1" applyBorder="1" applyAlignment="1">
      <alignment horizontal="center"/>
    </xf>
    <xf numFmtId="10" fontId="6" fillId="5" borderId="7" xfId="0" applyNumberFormat="1" applyFont="1" applyFill="1" applyBorder="1" applyAlignment="1">
      <alignment horizontal="center"/>
    </xf>
    <xf numFmtId="0" fontId="0" fillId="4" borderId="7" xfId="0" applyFill="1" applyBorder="1" applyAlignment="1">
      <alignment horizontal="center"/>
    </xf>
    <xf numFmtId="9" fontId="0" fillId="4" borderId="7" xfId="1" applyFont="1" applyFill="1" applyBorder="1" applyAlignment="1">
      <alignment horizontal="center"/>
    </xf>
    <xf numFmtId="10" fontId="6" fillId="4" borderId="7" xfId="0" applyNumberFormat="1" applyFont="1" applyFill="1" applyBorder="1" applyAlignment="1">
      <alignment horizontal="center"/>
    </xf>
    <xf numFmtId="9" fontId="0" fillId="4" borderId="7" xfId="0" applyNumberFormat="1" applyFill="1" applyBorder="1" applyAlignment="1">
      <alignment horizontal="center"/>
    </xf>
    <xf numFmtId="9" fontId="8" fillId="6" borderId="7" xfId="0" applyNumberFormat="1" applyFont="1" applyFill="1" applyBorder="1" applyAlignment="1">
      <alignment horizontal="center"/>
    </xf>
    <xf numFmtId="0" fontId="5" fillId="0" borderId="0" xfId="0" applyFont="1" applyFill="1" applyAlignment="1">
      <alignment horizontal="center" vertical="center"/>
    </xf>
    <xf numFmtId="0" fontId="8" fillId="0" borderId="0" xfId="2" applyFont="1" applyBorder="1" applyAlignment="1">
      <alignment horizontal="center"/>
    </xf>
    <xf numFmtId="0" fontId="5" fillId="39" borderId="7" xfId="0" applyFont="1" applyFill="1" applyBorder="1"/>
    <xf numFmtId="0" fontId="5" fillId="39" borderId="3" xfId="0" applyFont="1" applyFill="1" applyBorder="1"/>
    <xf numFmtId="0" fontId="0" fillId="39" borderId="1" xfId="0" applyFill="1" applyBorder="1"/>
    <xf numFmtId="0" fontId="0" fillId="39" borderId="2" xfId="0" applyFill="1" applyBorder="1" applyAlignment="1">
      <alignment horizontal="center"/>
    </xf>
    <xf numFmtId="0" fontId="7" fillId="39" borderId="1" xfId="0" applyFont="1" applyFill="1" applyBorder="1" applyAlignment="1">
      <alignment horizontal="center"/>
    </xf>
    <xf numFmtId="0" fontId="0" fillId="39" borderId="0" xfId="0" applyFill="1" applyBorder="1"/>
    <xf numFmtId="0" fontId="0" fillId="39" borderId="1" xfId="0" applyFill="1" applyBorder="1" applyAlignment="1">
      <alignment horizontal="center"/>
    </xf>
    <xf numFmtId="0" fontId="5" fillId="39" borderId="1" xfId="0" applyFont="1" applyFill="1" applyBorder="1"/>
    <xf numFmtId="9" fontId="8" fillId="39" borderId="1" xfId="0" applyNumberFormat="1" applyFont="1" applyFill="1" applyBorder="1" applyAlignment="1">
      <alignment horizontal="center"/>
    </xf>
    <xf numFmtId="0" fontId="5" fillId="39" borderId="0" xfId="0" applyFont="1" applyFill="1" applyBorder="1"/>
    <xf numFmtId="9" fontId="3" fillId="39" borderId="0" xfId="0" applyNumberFormat="1" applyFont="1" applyFill="1" applyBorder="1" applyAlignment="1">
      <alignment horizontal="center"/>
    </xf>
    <xf numFmtId="9" fontId="6" fillId="39" borderId="2" xfId="0" applyNumberFormat="1" applyFont="1" applyFill="1" applyBorder="1" applyAlignment="1">
      <alignment horizontal="center"/>
    </xf>
    <xf numFmtId="9" fontId="7" fillId="39" borderId="1" xfId="0" applyNumberFormat="1" applyFont="1" applyFill="1" applyBorder="1" applyAlignment="1">
      <alignment horizontal="center"/>
    </xf>
    <xf numFmtId="9" fontId="8" fillId="39" borderId="0" xfId="0" applyNumberFormat="1" applyFont="1" applyFill="1" applyBorder="1" applyAlignment="1">
      <alignment horizontal="center"/>
    </xf>
    <xf numFmtId="9" fontId="7" fillId="39" borderId="2" xfId="0" applyNumberFormat="1" applyFont="1" applyFill="1" applyBorder="1" applyAlignment="1">
      <alignment horizontal="center"/>
    </xf>
    <xf numFmtId="0" fontId="5" fillId="39" borderId="9" xfId="0" applyFont="1" applyFill="1" applyBorder="1"/>
    <xf numFmtId="0" fontId="5" fillId="39" borderId="10" xfId="0" applyFont="1" applyFill="1" applyBorder="1"/>
    <xf numFmtId="0" fontId="0" fillId="39" borderId="11" xfId="0" applyFill="1" applyBorder="1"/>
    <xf numFmtId="9" fontId="7" fillId="39" borderId="12" xfId="0" applyNumberFormat="1" applyFont="1" applyFill="1" applyBorder="1" applyAlignment="1">
      <alignment horizontal="center"/>
    </xf>
    <xf numFmtId="9" fontId="7" fillId="39" borderId="11" xfId="0" applyNumberFormat="1" applyFont="1" applyFill="1" applyBorder="1" applyAlignment="1">
      <alignment horizontal="center"/>
    </xf>
    <xf numFmtId="0" fontId="0" fillId="39" borderId="78" xfId="0" applyFill="1" applyBorder="1"/>
    <xf numFmtId="171" fontId="25" fillId="5" borderId="3" xfId="0" applyNumberFormat="1" applyFont="1" applyFill="1" applyBorder="1" applyAlignment="1">
      <alignment horizontal="center"/>
    </xf>
    <xf numFmtId="0" fontId="5" fillId="5" borderId="80" xfId="0" applyFont="1" applyFill="1" applyBorder="1"/>
    <xf numFmtId="0" fontId="5" fillId="5" borderId="81" xfId="0" applyFont="1" applyFill="1" applyBorder="1"/>
    <xf numFmtId="0" fontId="0" fillId="5" borderId="82" xfId="0" applyFill="1" applyBorder="1"/>
    <xf numFmtId="9" fontId="6" fillId="5" borderId="83" xfId="0" applyNumberFormat="1" applyFont="1" applyFill="1" applyBorder="1" applyAlignment="1">
      <alignment horizontal="center"/>
    </xf>
    <xf numFmtId="9" fontId="7" fillId="5" borderId="82" xfId="0" applyNumberFormat="1" applyFont="1" applyFill="1" applyBorder="1" applyAlignment="1">
      <alignment horizontal="center"/>
    </xf>
    <xf numFmtId="0" fontId="0" fillId="5" borderId="84" xfId="0" applyFill="1" applyBorder="1"/>
    <xf numFmtId="0" fontId="5" fillId="4" borderId="80" xfId="0" applyFont="1" applyFill="1" applyBorder="1"/>
    <xf numFmtId="0" fontId="5" fillId="4" borderId="81" xfId="0" applyFont="1" applyFill="1" applyBorder="1"/>
    <xf numFmtId="0" fontId="0" fillId="4" borderId="82" xfId="0" applyFill="1" applyBorder="1"/>
    <xf numFmtId="9" fontId="0" fillId="4" borderId="83" xfId="0" applyNumberFormat="1" applyFill="1" applyBorder="1" applyAlignment="1">
      <alignment horizontal="center"/>
    </xf>
    <xf numFmtId="9" fontId="7" fillId="4" borderId="82" xfId="0" applyNumberFormat="1" applyFont="1" applyFill="1" applyBorder="1" applyAlignment="1">
      <alignment horizontal="center"/>
    </xf>
    <xf numFmtId="0" fontId="0" fillId="4" borderId="84" xfId="0" applyFill="1" applyBorder="1"/>
    <xf numFmtId="0" fontId="8" fillId="13" borderId="74" xfId="0" applyFont="1" applyFill="1" applyBorder="1" applyAlignment="1">
      <alignment horizontal="center" vertical="center"/>
    </xf>
    <xf numFmtId="0" fontId="8" fillId="13" borderId="85" xfId="0" applyFont="1" applyFill="1" applyBorder="1" applyAlignment="1">
      <alignment horizontal="center" vertical="center"/>
    </xf>
    <xf numFmtId="0" fontId="8" fillId="13" borderId="18" xfId="0" applyFont="1" applyFill="1" applyBorder="1" applyAlignment="1">
      <alignment horizontal="center" vertical="center"/>
    </xf>
    <xf numFmtId="0" fontId="8" fillId="13" borderId="18" xfId="0" applyFont="1" applyFill="1" applyBorder="1" applyAlignment="1">
      <alignment horizontal="left" vertical="center" indent="2"/>
    </xf>
    <xf numFmtId="0" fontId="8" fillId="13" borderId="73" xfId="0" applyFont="1" applyFill="1" applyBorder="1" applyAlignment="1">
      <alignment horizontal="center" vertical="center"/>
    </xf>
    <xf numFmtId="0" fontId="8" fillId="13" borderId="0" xfId="0" applyFont="1" applyFill="1" applyBorder="1" applyAlignment="1">
      <alignment horizontal="left" vertical="center" indent="2"/>
    </xf>
    <xf numFmtId="171" fontId="72" fillId="13" borderId="0" xfId="0" applyNumberFormat="1" applyFont="1" applyFill="1" applyBorder="1" applyAlignment="1">
      <alignment horizontal="center" vertical="center" wrapText="1"/>
    </xf>
    <xf numFmtId="171" fontId="72" fillId="13" borderId="1" xfId="0" applyNumberFormat="1" applyFont="1" applyFill="1" applyBorder="1" applyAlignment="1">
      <alignment horizontal="center" vertical="center" wrapText="1"/>
    </xf>
    <xf numFmtId="0" fontId="72" fillId="13" borderId="3" xfId="0" applyFont="1" applyFill="1" applyBorder="1" applyAlignment="1">
      <alignment horizontal="center" vertical="center" wrapText="1"/>
    </xf>
    <xf numFmtId="2" fontId="0" fillId="0" borderId="0" xfId="0" applyNumberFormat="1" applyAlignment="1">
      <alignment horizontal="center"/>
    </xf>
    <xf numFmtId="0" fontId="0" fillId="0" borderId="0" xfId="0"/>
    <xf numFmtId="43" fontId="7" fillId="0" borderId="0" xfId="2" applyNumberFormat="1" applyFont="1"/>
    <xf numFmtId="0" fontId="4" fillId="43" borderId="0" xfId="2" applyFont="1" applyFill="1" applyAlignment="1">
      <alignment horizontal="center"/>
    </xf>
    <xf numFmtId="0" fontId="7" fillId="0" borderId="0" xfId="2" applyFont="1" applyBorder="1" applyAlignment="1">
      <alignment horizontal="center"/>
    </xf>
    <xf numFmtId="0" fontId="7" fillId="41" borderId="0" xfId="2" applyFont="1" applyFill="1" applyAlignment="1">
      <alignment horizontal="center"/>
    </xf>
    <xf numFmtId="0" fontId="7" fillId="0" borderId="0" xfId="2" applyFont="1" applyAlignment="1">
      <alignment horizontal="center"/>
    </xf>
    <xf numFmtId="9" fontId="7" fillId="0" borderId="0" xfId="2" applyNumberFormat="1" applyFont="1" applyBorder="1" applyAlignment="1">
      <alignment horizontal="center"/>
    </xf>
    <xf numFmtId="42" fontId="7" fillId="0" borderId="0" xfId="2" applyNumberFormat="1" applyFont="1"/>
    <xf numFmtId="0" fontId="8" fillId="2" borderId="8" xfId="0" applyFont="1" applyFill="1" applyBorder="1" applyAlignment="1">
      <alignment horizontal="center" vertical="center" wrapText="1"/>
    </xf>
    <xf numFmtId="0" fontId="0" fillId="5" borderId="8" xfId="0" applyFill="1" applyBorder="1"/>
    <xf numFmtId="0" fontId="5" fillId="5" borderId="8" xfId="0" applyFont="1" applyFill="1" applyBorder="1"/>
    <xf numFmtId="9" fontId="8" fillId="6" borderId="8" xfId="0" applyNumberFormat="1" applyFont="1" applyFill="1" applyBorder="1" applyAlignment="1">
      <alignment horizontal="center"/>
    </xf>
    <xf numFmtId="9" fontId="8" fillId="5" borderId="8" xfId="0" applyNumberFormat="1" applyFont="1" applyFill="1" applyBorder="1" applyAlignment="1">
      <alignment horizontal="center"/>
    </xf>
    <xf numFmtId="9" fontId="3" fillId="5" borderId="8" xfId="0" applyNumberFormat="1" applyFont="1" applyFill="1" applyBorder="1" applyAlignment="1">
      <alignment horizontal="center"/>
    </xf>
    <xf numFmtId="9" fontId="6" fillId="5" borderId="80" xfId="0" applyNumberFormat="1" applyFont="1" applyFill="1" applyBorder="1" applyAlignment="1">
      <alignment horizontal="center"/>
    </xf>
    <xf numFmtId="0" fontId="0" fillId="5" borderId="45" xfId="0" applyFill="1" applyBorder="1"/>
    <xf numFmtId="0" fontId="0" fillId="4" borderId="8" xfId="0" applyFill="1" applyBorder="1"/>
    <xf numFmtId="0" fontId="5" fillId="4" borderId="8" xfId="0" applyFont="1" applyFill="1" applyBorder="1"/>
    <xf numFmtId="9" fontId="3" fillId="4" borderId="8" xfId="0" applyNumberFormat="1" applyFont="1" applyFill="1" applyBorder="1" applyAlignment="1">
      <alignment horizontal="center"/>
    </xf>
    <xf numFmtId="9" fontId="8" fillId="4" borderId="8" xfId="0" applyNumberFormat="1" applyFont="1" applyFill="1" applyBorder="1" applyAlignment="1">
      <alignment horizontal="center"/>
    </xf>
    <xf numFmtId="9" fontId="0" fillId="4" borderId="80" xfId="0" applyNumberFormat="1" applyFill="1" applyBorder="1" applyAlignment="1">
      <alignment horizontal="center"/>
    </xf>
    <xf numFmtId="0" fontId="0" fillId="4" borderId="45" xfId="0" applyFill="1" applyBorder="1"/>
    <xf numFmtId="0" fontId="0" fillId="39" borderId="7" xfId="0" applyFill="1" applyBorder="1" applyAlignment="1">
      <alignment horizontal="center"/>
    </xf>
    <xf numFmtId="0" fontId="0" fillId="39" borderId="8" xfId="0" applyFill="1" applyBorder="1"/>
    <xf numFmtId="9" fontId="8" fillId="39" borderId="7" xfId="0" applyNumberFormat="1" applyFont="1" applyFill="1" applyBorder="1" applyAlignment="1">
      <alignment horizontal="center"/>
    </xf>
    <xf numFmtId="0" fontId="5" fillId="39" borderId="8" xfId="0" applyFont="1" applyFill="1" applyBorder="1"/>
    <xf numFmtId="9" fontId="3" fillId="39" borderId="8" xfId="0" applyNumberFormat="1" applyFont="1" applyFill="1" applyBorder="1" applyAlignment="1">
      <alignment horizontal="center"/>
    </xf>
    <xf numFmtId="9" fontId="6" fillId="39" borderId="7" xfId="0" applyNumberFormat="1" applyFont="1" applyFill="1" applyBorder="1" applyAlignment="1">
      <alignment horizontal="center"/>
    </xf>
    <xf numFmtId="9" fontId="8" fillId="39" borderId="8" xfId="0" applyNumberFormat="1" applyFont="1" applyFill="1" applyBorder="1" applyAlignment="1">
      <alignment horizontal="center"/>
    </xf>
    <xf numFmtId="9" fontId="7" fillId="39" borderId="7" xfId="0" applyNumberFormat="1" applyFont="1" applyFill="1" applyBorder="1" applyAlignment="1">
      <alignment horizontal="center"/>
    </xf>
    <xf numFmtId="9" fontId="7" fillId="39" borderId="88" xfId="0" applyNumberFormat="1" applyFont="1" applyFill="1" applyBorder="1" applyAlignment="1">
      <alignment horizontal="center"/>
    </xf>
    <xf numFmtId="9" fontId="7" fillId="39" borderId="77" xfId="0" applyNumberFormat="1" applyFont="1" applyFill="1" applyBorder="1" applyAlignment="1">
      <alignment horizontal="center"/>
    </xf>
    <xf numFmtId="0" fontId="0" fillId="39" borderId="79" xfId="0" applyFill="1" applyBorder="1"/>
    <xf numFmtId="0" fontId="0" fillId="0" borderId="0" xfId="0" applyBorder="1" applyAlignment="1">
      <alignment horizontal="center"/>
    </xf>
    <xf numFmtId="0" fontId="0" fillId="0" borderId="0" xfId="0"/>
    <xf numFmtId="181" fontId="7" fillId="0" borderId="0" xfId="47" applyNumberFormat="1" applyFont="1" applyFill="1"/>
    <xf numFmtId="0" fontId="7" fillId="0" borderId="0" xfId="2" applyFont="1" applyFill="1" applyAlignment="1">
      <alignment horizontal="right"/>
    </xf>
    <xf numFmtId="43" fontId="7" fillId="0" borderId="0" xfId="47" applyFont="1" applyFill="1"/>
    <xf numFmtId="181" fontId="7" fillId="0" borderId="0" xfId="2" applyNumberFormat="1" applyFont="1" applyFill="1"/>
    <xf numFmtId="9" fontId="7" fillId="0" borderId="0" xfId="1" applyFont="1" applyFill="1"/>
    <xf numFmtId="2" fontId="7" fillId="0" borderId="0" xfId="2" applyNumberFormat="1" applyFont="1" applyFill="1"/>
    <xf numFmtId="0" fontId="7" fillId="0" borderId="0" xfId="2" applyFont="1" applyFill="1" applyAlignment="1">
      <alignment horizontal="left"/>
    </xf>
    <xf numFmtId="0" fontId="61" fillId="0" borderId="0" xfId="0" applyFont="1" applyAlignment="1">
      <alignment horizontal="left"/>
    </xf>
    <xf numFmtId="0" fontId="73" fillId="0" borderId="0" xfId="0" applyFont="1"/>
    <xf numFmtId="0" fontId="61" fillId="0" borderId="0" xfId="0" applyFont="1" applyAlignment="1">
      <alignment horizontal="right"/>
    </xf>
    <xf numFmtId="171" fontId="73" fillId="0" borderId="0" xfId="0" applyNumberFormat="1" applyFont="1" applyAlignment="1">
      <alignment horizontal="left"/>
    </xf>
    <xf numFmtId="0" fontId="74" fillId="0" borderId="0" xfId="0" applyFont="1" applyAlignment="1">
      <alignment horizontal="left"/>
    </xf>
    <xf numFmtId="4" fontId="5" fillId="5" borderId="3" xfId="0" applyNumberFormat="1" applyFont="1" applyFill="1" applyBorder="1" applyAlignment="1">
      <alignment horizontal="center"/>
    </xf>
    <xf numFmtId="4" fontId="3" fillId="5" borderId="0" xfId="0" applyNumberFormat="1" applyFont="1" applyFill="1" applyBorder="1" applyAlignment="1">
      <alignment horizontal="center"/>
    </xf>
    <xf numFmtId="4" fontId="5" fillId="5" borderId="1" xfId="0" applyNumberFormat="1" applyFont="1" applyFill="1" applyBorder="1" applyAlignment="1">
      <alignment horizontal="center"/>
    </xf>
    <xf numFmtId="4" fontId="5" fillId="5" borderId="3" xfId="1" applyNumberFormat="1" applyFont="1" applyFill="1" applyBorder="1" applyAlignment="1">
      <alignment horizontal="center"/>
    </xf>
    <xf numFmtId="4" fontId="8" fillId="5" borderId="0" xfId="0" applyNumberFormat="1" applyFont="1" applyFill="1" applyBorder="1" applyAlignment="1">
      <alignment horizontal="center"/>
    </xf>
    <xf numFmtId="4" fontId="0" fillId="5" borderId="3" xfId="1" applyNumberFormat="1" applyFont="1" applyFill="1" applyBorder="1" applyAlignment="1">
      <alignment horizontal="center"/>
    </xf>
    <xf numFmtId="4" fontId="7" fillId="5" borderId="0" xfId="47" applyNumberFormat="1" applyFont="1" applyFill="1" applyBorder="1" applyAlignment="1">
      <alignment horizontal="center"/>
    </xf>
    <xf numFmtId="4" fontId="7" fillId="6" borderId="1" xfId="47" applyNumberFormat="1" applyFont="1" applyFill="1" applyBorder="1" applyAlignment="1">
      <alignment horizontal="center"/>
    </xf>
    <xf numFmtId="4" fontId="0" fillId="5" borderId="3" xfId="0" applyNumberFormat="1" applyFill="1" applyBorder="1" applyAlignment="1">
      <alignment horizontal="center"/>
    </xf>
    <xf numFmtId="4" fontId="25" fillId="5" borderId="0" xfId="0" applyNumberFormat="1" applyFont="1" applyFill="1" applyBorder="1" applyAlignment="1">
      <alignment horizontal="center"/>
    </xf>
    <xf numFmtId="4" fontId="0" fillId="5" borderId="1" xfId="0" applyNumberFormat="1" applyFill="1" applyBorder="1" applyAlignment="1">
      <alignment horizontal="center"/>
    </xf>
    <xf numFmtId="4" fontId="25" fillId="5" borderId="1" xfId="0" applyNumberFormat="1" applyFont="1" applyFill="1" applyBorder="1" applyAlignment="1">
      <alignment horizontal="center"/>
    </xf>
    <xf numFmtId="4" fontId="6" fillId="5" borderId="0" xfId="0" applyNumberFormat="1" applyFont="1" applyFill="1" applyBorder="1" applyAlignment="1">
      <alignment horizontal="center"/>
    </xf>
    <xf numFmtId="4" fontId="0" fillId="5" borderId="81" xfId="1" applyNumberFormat="1" applyFont="1" applyFill="1" applyBorder="1" applyAlignment="1">
      <alignment horizontal="center"/>
    </xf>
    <xf numFmtId="4" fontId="6" fillId="5" borderId="84" xfId="0" applyNumberFormat="1" applyFont="1" applyFill="1" applyBorder="1" applyAlignment="1">
      <alignment horizontal="center"/>
    </xf>
    <xf numFmtId="4" fontId="0" fillId="5" borderId="82" xfId="0" applyNumberFormat="1" applyFill="1" applyBorder="1" applyAlignment="1">
      <alignment horizontal="center"/>
    </xf>
    <xf numFmtId="4" fontId="0" fillId="4" borderId="3" xfId="47" applyNumberFormat="1" applyFont="1" applyFill="1" applyBorder="1" applyAlignment="1">
      <alignment horizontal="center"/>
    </xf>
    <xf numFmtId="4" fontId="6" fillId="4" borderId="0" xfId="47" applyNumberFormat="1" applyFont="1" applyFill="1" applyBorder="1" applyAlignment="1">
      <alignment horizontal="center"/>
    </xf>
    <xf numFmtId="4" fontId="0" fillId="4" borderId="1" xfId="47" applyNumberFormat="1" applyFont="1" applyFill="1" applyBorder="1" applyAlignment="1">
      <alignment horizontal="center"/>
    </xf>
    <xf numFmtId="4" fontId="25" fillId="4" borderId="3" xfId="47" applyNumberFormat="1" applyFont="1" applyFill="1" applyBorder="1" applyAlignment="1">
      <alignment horizontal="center"/>
    </xf>
    <xf numFmtId="4" fontId="5" fillId="4" borderId="3" xfId="47" applyNumberFormat="1" applyFont="1" applyFill="1" applyBorder="1" applyAlignment="1">
      <alignment horizontal="center"/>
    </xf>
    <xf numFmtId="4" fontId="3" fillId="4" borderId="0" xfId="47" applyNumberFormat="1" applyFont="1" applyFill="1" applyBorder="1" applyAlignment="1">
      <alignment horizontal="center"/>
    </xf>
    <xf numFmtId="4" fontId="3" fillId="4" borderId="1" xfId="47" applyNumberFormat="1" applyFont="1" applyFill="1" applyBorder="1" applyAlignment="1">
      <alignment horizontal="center"/>
    </xf>
    <xf numFmtId="4" fontId="8" fillId="4" borderId="0" xfId="47" applyNumberFormat="1" applyFont="1" applyFill="1" applyBorder="1" applyAlignment="1">
      <alignment horizontal="center"/>
    </xf>
    <xf numFmtId="4" fontId="25" fillId="4" borderId="1" xfId="47" applyNumberFormat="1" applyFont="1" applyFill="1" applyBorder="1" applyAlignment="1">
      <alignment horizontal="center"/>
    </xf>
    <xf numFmtId="4" fontId="0" fillId="4" borderId="3" xfId="1" applyNumberFormat="1" applyFont="1" applyFill="1" applyBorder="1" applyAlignment="1">
      <alignment horizontal="center"/>
    </xf>
    <xf numFmtId="4" fontId="6" fillId="4" borderId="0" xfId="0" applyNumberFormat="1" applyFont="1" applyFill="1" applyBorder="1" applyAlignment="1">
      <alignment horizontal="center"/>
    </xf>
    <xf numFmtId="4" fontId="0" fillId="6" borderId="1" xfId="0" applyNumberFormat="1" applyFill="1" applyBorder="1" applyAlignment="1">
      <alignment horizontal="center"/>
    </xf>
    <xf numFmtId="4" fontId="0" fillId="4" borderId="3" xfId="0" applyNumberFormat="1" applyFill="1" applyBorder="1" applyAlignment="1">
      <alignment horizontal="center"/>
    </xf>
    <xf numFmtId="4" fontId="0" fillId="4" borderId="1" xfId="0" applyNumberFormat="1" applyFill="1" applyBorder="1" applyAlignment="1">
      <alignment horizontal="center"/>
    </xf>
    <xf numFmtId="4" fontId="25" fillId="4" borderId="1" xfId="0" applyNumberFormat="1" applyFont="1" applyFill="1" applyBorder="1" applyAlignment="1">
      <alignment horizontal="center"/>
    </xf>
    <xf numFmtId="4" fontId="0" fillId="4" borderId="81" xfId="1" applyNumberFormat="1" applyFont="1" applyFill="1" applyBorder="1" applyAlignment="1">
      <alignment horizontal="center"/>
    </xf>
    <xf numFmtId="4" fontId="6" fillId="4" borderId="84" xfId="0" applyNumberFormat="1" applyFont="1" applyFill="1" applyBorder="1" applyAlignment="1">
      <alignment horizontal="center"/>
    </xf>
    <xf numFmtId="4" fontId="0" fillId="4" borderId="82" xfId="0" applyNumberFormat="1" applyFill="1" applyBorder="1" applyAlignment="1">
      <alignment horizontal="center"/>
    </xf>
    <xf numFmtId="4" fontId="0" fillId="39" borderId="3" xfId="47" applyNumberFormat="1" applyFont="1" applyFill="1" applyBorder="1" applyAlignment="1">
      <alignment horizontal="center"/>
    </xf>
    <xf numFmtId="4" fontId="6" fillId="39" borderId="0" xfId="47" applyNumberFormat="1" applyFont="1" applyFill="1" applyBorder="1" applyAlignment="1">
      <alignment horizontal="center"/>
    </xf>
    <xf numFmtId="4" fontId="0" fillId="39" borderId="1" xfId="0" applyNumberFormat="1" applyFill="1" applyBorder="1" applyAlignment="1">
      <alignment horizontal="center"/>
    </xf>
    <xf numFmtId="4" fontId="25" fillId="39" borderId="3" xfId="47" applyNumberFormat="1" applyFont="1" applyFill="1" applyBorder="1" applyAlignment="1">
      <alignment horizontal="center"/>
    </xf>
    <xf numFmtId="4" fontId="5" fillId="39" borderId="3" xfId="47" applyNumberFormat="1" applyFont="1" applyFill="1" applyBorder="1" applyAlignment="1">
      <alignment horizontal="center"/>
    </xf>
    <xf numFmtId="4" fontId="3" fillId="39" borderId="0" xfId="47" applyNumberFormat="1" applyFont="1" applyFill="1" applyBorder="1" applyAlignment="1">
      <alignment horizontal="center"/>
    </xf>
    <xf numFmtId="4" fontId="3" fillId="39" borderId="1" xfId="0" applyNumberFormat="1" applyFont="1" applyFill="1" applyBorder="1" applyAlignment="1">
      <alignment horizontal="center"/>
    </xf>
    <xf numFmtId="4" fontId="8" fillId="39" borderId="0" xfId="47" applyNumberFormat="1" applyFont="1" applyFill="1" applyBorder="1" applyAlignment="1">
      <alignment horizontal="center"/>
    </xf>
    <xf numFmtId="4" fontId="25" fillId="39" borderId="1" xfId="0" applyNumberFormat="1" applyFont="1" applyFill="1" applyBorder="1" applyAlignment="1">
      <alignment horizontal="center"/>
    </xf>
    <xf numFmtId="4" fontId="0" fillId="39" borderId="3" xfId="1" applyNumberFormat="1" applyFont="1" applyFill="1" applyBorder="1" applyAlignment="1">
      <alignment horizontal="center"/>
    </xf>
    <xf numFmtId="4" fontId="6" fillId="39" borderId="0" xfId="0" applyNumberFormat="1" applyFont="1" applyFill="1" applyBorder="1" applyAlignment="1">
      <alignment horizontal="center"/>
    </xf>
    <xf numFmtId="4" fontId="0" fillId="39" borderId="3" xfId="0" applyNumberFormat="1" applyFill="1" applyBorder="1" applyAlignment="1">
      <alignment horizontal="center"/>
    </xf>
    <xf numFmtId="4" fontId="0" fillId="39" borderId="10" xfId="1" applyNumberFormat="1" applyFont="1" applyFill="1" applyBorder="1" applyAlignment="1">
      <alignment horizontal="center"/>
    </xf>
    <xf numFmtId="4" fontId="6" fillId="39" borderId="20" xfId="0" applyNumberFormat="1" applyFont="1" applyFill="1" applyBorder="1" applyAlignment="1">
      <alignment horizontal="center"/>
    </xf>
    <xf numFmtId="4" fontId="0" fillId="39" borderId="11" xfId="0" applyNumberFormat="1" applyFill="1" applyBorder="1" applyAlignment="1">
      <alignment horizontal="center"/>
    </xf>
    <xf numFmtId="171" fontId="5" fillId="38" borderId="0" xfId="0" applyNumberFormat="1" applyFont="1" applyFill="1" applyBorder="1" applyAlignment="1">
      <alignment horizontal="center"/>
    </xf>
    <xf numFmtId="0" fontId="5" fillId="0" borderId="69" xfId="0" applyFont="1" applyBorder="1" applyAlignment="1">
      <alignment wrapText="1"/>
    </xf>
    <xf numFmtId="9" fontId="5" fillId="0" borderId="69" xfId="1" applyFont="1" applyBorder="1" applyAlignment="1">
      <alignment horizontal="center"/>
    </xf>
    <xf numFmtId="9" fontId="5" fillId="0" borderId="0" xfId="1" applyFont="1" applyAlignment="1">
      <alignment horizontal="center"/>
    </xf>
    <xf numFmtId="0" fontId="5" fillId="0" borderId="0" xfId="0" applyFont="1" applyBorder="1" applyAlignment="1">
      <alignment horizontal="left"/>
    </xf>
    <xf numFmtId="171" fontId="5" fillId="39" borderId="0" xfId="0" applyNumberFormat="1" applyFont="1" applyFill="1" applyBorder="1" applyAlignment="1">
      <alignment horizontal="center"/>
    </xf>
    <xf numFmtId="0" fontId="57" fillId="0" borderId="69" xfId="0" applyFont="1" applyBorder="1" applyAlignment="1">
      <alignment horizontal="center"/>
    </xf>
    <xf numFmtId="0" fontId="5" fillId="0" borderId="0" xfId="0" applyFont="1" applyAlignment="1">
      <alignment horizontal="left"/>
    </xf>
    <xf numFmtId="0" fontId="5" fillId="0" borderId="0" xfId="0" applyFont="1" applyAlignment="1">
      <alignment horizontal="right"/>
    </xf>
    <xf numFmtId="171" fontId="0" fillId="0" borderId="0" xfId="0" applyNumberFormat="1" applyFill="1" applyBorder="1" applyAlignment="1">
      <alignment horizontal="left"/>
    </xf>
    <xf numFmtId="0" fontId="5" fillId="0" borderId="0" xfId="0" applyFont="1" applyFill="1" applyBorder="1" applyAlignment="1">
      <alignment horizontal="right"/>
    </xf>
    <xf numFmtId="171" fontId="0" fillId="0" borderId="0" xfId="0" applyNumberFormat="1" applyAlignment="1">
      <alignment horizontal="left"/>
    </xf>
    <xf numFmtId="0" fontId="30" fillId="0" borderId="0" xfId="0" applyFont="1" applyFill="1" applyBorder="1" applyAlignment="1">
      <alignment horizontal="left"/>
    </xf>
    <xf numFmtId="1" fontId="59" fillId="0" borderId="0" xfId="150" applyNumberFormat="1"/>
    <xf numFmtId="171" fontId="5" fillId="0" borderId="0" xfId="0" applyNumberFormat="1" applyFont="1" applyFill="1" applyBorder="1" applyAlignment="1">
      <alignment horizontal="center"/>
    </xf>
    <xf numFmtId="0" fontId="73" fillId="0" borderId="0" xfId="0" applyFont="1" applyFill="1"/>
    <xf numFmtId="171" fontId="73" fillId="0" borderId="0" xfId="0" applyNumberFormat="1" applyFont="1" applyFill="1" applyAlignment="1">
      <alignment horizontal="left"/>
    </xf>
    <xf numFmtId="0" fontId="74" fillId="0" borderId="0" xfId="0" applyFont="1" applyFill="1" applyAlignment="1">
      <alignment horizontal="left"/>
    </xf>
    <xf numFmtId="0" fontId="0" fillId="0" borderId="0" xfId="0" applyFill="1"/>
    <xf numFmtId="182" fontId="7" fillId="6" borderId="0" xfId="2" applyNumberFormat="1" applyFont="1" applyFill="1" applyBorder="1"/>
    <xf numFmtId="44" fontId="7" fillId="6" borderId="0" xfId="157" applyFont="1" applyFill="1" applyBorder="1" applyAlignment="1">
      <alignment horizontal="center" vertical="center"/>
    </xf>
    <xf numFmtId="44" fontId="7" fillId="6" borderId="0" xfId="157" applyFont="1" applyFill="1"/>
    <xf numFmtId="44" fontId="7" fillId="6" borderId="0" xfId="157" applyFont="1" applyFill="1" applyBorder="1"/>
    <xf numFmtId="164" fontId="7" fillId="0" borderId="0" xfId="2" applyNumberFormat="1" applyFont="1" applyFill="1" applyBorder="1"/>
    <xf numFmtId="182" fontId="7" fillId="0" borderId="0" xfId="2" applyNumberFormat="1" applyFont="1" applyFill="1" applyBorder="1"/>
    <xf numFmtId="168" fontId="7" fillId="0" borderId="0" xfId="2" applyNumberFormat="1" applyFont="1" applyFill="1"/>
    <xf numFmtId="42" fontId="8" fillId="0" borderId="0" xfId="2" applyNumberFormat="1" applyFont="1" applyBorder="1"/>
    <xf numFmtId="0" fontId="0" fillId="0" borderId="0" xfId="0"/>
    <xf numFmtId="9" fontId="7" fillId="0" borderId="0" xfId="1" applyFont="1" applyBorder="1"/>
    <xf numFmtId="0" fontId="7" fillId="0" borderId="51" xfId="2" applyFont="1" applyBorder="1" applyAlignment="1">
      <alignment horizontal="left" indent="2"/>
    </xf>
    <xf numFmtId="0" fontId="7" fillId="0" borderId="42" xfId="2" applyFont="1" applyBorder="1"/>
    <xf numFmtId="42" fontId="7" fillId="0" borderId="4" xfId="2" applyNumberFormat="1" applyFont="1" applyBorder="1"/>
    <xf numFmtId="42" fontId="7" fillId="0" borderId="89" xfId="2" applyNumberFormat="1" applyFont="1" applyBorder="1"/>
    <xf numFmtId="42" fontId="7" fillId="0" borderId="90" xfId="2" applyNumberFormat="1" applyFont="1" applyBorder="1"/>
    <xf numFmtId="0" fontId="8" fillId="0" borderId="76" xfId="2" applyFont="1" applyBorder="1" applyAlignment="1">
      <alignment horizontal="left" indent="2"/>
    </xf>
    <xf numFmtId="0" fontId="7" fillId="0" borderId="78" xfId="2" applyFont="1" applyBorder="1"/>
    <xf numFmtId="42" fontId="8" fillId="0" borderId="88" xfId="2" applyNumberFormat="1" applyFont="1" applyBorder="1"/>
    <xf numFmtId="42" fontId="8" fillId="0" borderId="91" xfId="2" applyNumberFormat="1" applyFont="1" applyBorder="1"/>
    <xf numFmtId="164" fontId="0" fillId="0" borderId="0" xfId="0" applyNumberFormat="1"/>
    <xf numFmtId="0" fontId="0" fillId="0" borderId="0" xfId="0"/>
    <xf numFmtId="0" fontId="0" fillId="0" borderId="0" xfId="0"/>
    <xf numFmtId="172" fontId="7" fillId="0" borderId="0" xfId="157" applyNumberFormat="1" applyFont="1"/>
    <xf numFmtId="0" fontId="29" fillId="0" borderId="0" xfId="0" applyFont="1"/>
    <xf numFmtId="171" fontId="0" fillId="0" borderId="69" xfId="0" applyNumberFormat="1" applyFill="1" applyBorder="1"/>
    <xf numFmtId="0" fontId="30" fillId="8" borderId="0" xfId="0" applyFont="1" applyFill="1"/>
    <xf numFmtId="9" fontId="5" fillId="8" borderId="69" xfId="1" applyFont="1" applyFill="1" applyBorder="1" applyAlignment="1">
      <alignment horizontal="center"/>
    </xf>
    <xf numFmtId="9" fontId="5" fillId="0" borderId="0" xfId="1" applyFont="1" applyBorder="1" applyAlignment="1">
      <alignment horizontal="center"/>
    </xf>
    <xf numFmtId="0" fontId="5" fillId="0" borderId="0" xfId="0" applyFont="1" applyBorder="1" applyAlignment="1">
      <alignment horizontal="center"/>
    </xf>
    <xf numFmtId="171" fontId="5" fillId="0" borderId="0" xfId="0" applyNumberFormat="1" applyFont="1" applyBorder="1" applyAlignment="1">
      <alignment horizontal="center"/>
    </xf>
    <xf numFmtId="0" fontId="55" fillId="0" borderId="0" xfId="0" applyFont="1" applyAlignment="1">
      <alignment horizontal="center"/>
    </xf>
    <xf numFmtId="0" fontId="0" fillId="0" borderId="3" xfId="0" applyBorder="1" applyAlignment="1">
      <alignment horizontal="center"/>
    </xf>
    <xf numFmtId="0" fontId="0" fillId="37" borderId="69" xfId="0" applyFill="1" applyBorder="1" applyAlignment="1">
      <alignment horizontal="left"/>
    </xf>
    <xf numFmtId="0" fontId="0" fillId="40" borderId="69" xfId="0" applyFill="1" applyBorder="1" applyAlignment="1">
      <alignment horizontal="left"/>
    </xf>
    <xf numFmtId="0" fontId="0" fillId="0" borderId="0" xfId="0"/>
    <xf numFmtId="164" fontId="0" fillId="0" borderId="0" xfId="1" applyNumberFormat="1" applyFont="1"/>
    <xf numFmtId="1" fontId="0" fillId="48" borderId="92" xfId="0" applyNumberFormat="1" applyFill="1" applyBorder="1" applyAlignment="1">
      <alignment horizontal="center"/>
    </xf>
    <xf numFmtId="1" fontId="5" fillId="48" borderId="92" xfId="0" applyNumberFormat="1" applyFont="1" applyFill="1" applyBorder="1" applyAlignment="1">
      <alignment horizontal="center"/>
    </xf>
    <xf numFmtId="9" fontId="5" fillId="48" borderId="92" xfId="1" applyFont="1" applyFill="1" applyBorder="1" applyAlignment="1">
      <alignment horizontal="center"/>
    </xf>
    <xf numFmtId="0" fontId="5" fillId="48" borderId="92" xfId="0" applyFont="1" applyFill="1" applyBorder="1" applyAlignment="1">
      <alignment horizontal="center"/>
    </xf>
    <xf numFmtId="0" fontId="0" fillId="46" borderId="92" xfId="0" applyFill="1" applyBorder="1" applyAlignment="1">
      <alignment horizontal="center" wrapText="1"/>
    </xf>
    <xf numFmtId="0" fontId="5" fillId="0" borderId="0" xfId="0" applyFont="1" applyFill="1" applyBorder="1" applyAlignment="1">
      <alignment horizontal="center"/>
    </xf>
    <xf numFmtId="0" fontId="0" fillId="44" borderId="92" xfId="0" applyFill="1" applyBorder="1" applyAlignment="1">
      <alignment wrapText="1"/>
    </xf>
    <xf numFmtId="1" fontId="0" fillId="44" borderId="92" xfId="0" applyNumberFormat="1" applyFill="1" applyBorder="1" applyAlignment="1">
      <alignment horizontal="center"/>
    </xf>
    <xf numFmtId="1" fontId="5" fillId="44" borderId="92" xfId="0" applyNumberFormat="1" applyFont="1" applyFill="1" applyBorder="1" applyAlignment="1">
      <alignment horizontal="center"/>
    </xf>
    <xf numFmtId="9" fontId="5" fillId="44" borderId="92" xfId="1" applyFont="1" applyFill="1" applyBorder="1" applyAlignment="1">
      <alignment horizontal="center"/>
    </xf>
    <xf numFmtId="171" fontId="5" fillId="44" borderId="92" xfId="0" applyNumberFormat="1" applyFont="1" applyFill="1" applyBorder="1" applyAlignment="1">
      <alignment horizontal="center"/>
    </xf>
    <xf numFmtId="0" fontId="0" fillId="45" borderId="92" xfId="0" applyFill="1" applyBorder="1" applyAlignment="1">
      <alignment horizontal="center" wrapText="1"/>
    </xf>
    <xf numFmtId="1" fontId="0" fillId="45" borderId="92" xfId="0" applyNumberFormat="1" applyFont="1" applyFill="1" applyBorder="1" applyAlignment="1">
      <alignment horizontal="center"/>
    </xf>
    <xf numFmtId="1" fontId="5" fillId="45" borderId="92" xfId="0" applyNumberFormat="1" applyFont="1" applyFill="1" applyBorder="1" applyAlignment="1">
      <alignment horizontal="center"/>
    </xf>
    <xf numFmtId="9" fontId="5" fillId="45" borderId="92" xfId="1" applyFont="1" applyFill="1" applyBorder="1" applyAlignment="1">
      <alignment horizontal="center"/>
    </xf>
    <xf numFmtId="171" fontId="5" fillId="45" borderId="92" xfId="0" applyNumberFormat="1" applyFont="1" applyFill="1" applyBorder="1" applyAlignment="1">
      <alignment horizontal="center"/>
    </xf>
    <xf numFmtId="1" fontId="0" fillId="49" borderId="92" xfId="0" applyNumberFormat="1" applyFill="1" applyBorder="1" applyAlignment="1">
      <alignment horizontal="center"/>
    </xf>
    <xf numFmtId="1" fontId="5" fillId="49" borderId="92" xfId="0" applyNumberFormat="1" applyFont="1" applyFill="1" applyBorder="1" applyAlignment="1">
      <alignment horizontal="center"/>
    </xf>
    <xf numFmtId="9" fontId="5" fillId="49" borderId="92" xfId="1" applyFont="1" applyFill="1" applyBorder="1" applyAlignment="1">
      <alignment horizontal="center"/>
    </xf>
    <xf numFmtId="0" fontId="5" fillId="49" borderId="92" xfId="0" applyFont="1" applyFill="1" applyBorder="1" applyAlignment="1">
      <alignment horizontal="center"/>
    </xf>
    <xf numFmtId="0" fontId="0" fillId="44" borderId="92" xfId="0" applyFill="1" applyBorder="1" applyAlignment="1">
      <alignment horizontal="center" wrapText="1"/>
    </xf>
    <xf numFmtId="9" fontId="0" fillId="44" borderId="92" xfId="1" applyFont="1" applyFill="1" applyBorder="1" applyAlignment="1">
      <alignment horizontal="center"/>
    </xf>
    <xf numFmtId="0" fontId="0" fillId="44" borderId="92" xfId="0" applyFill="1" applyBorder="1"/>
    <xf numFmtId="1" fontId="57" fillId="44" borderId="92" xfId="0" applyNumberFormat="1" applyFont="1" applyFill="1" applyBorder="1" applyAlignment="1">
      <alignment horizontal="center"/>
    </xf>
    <xf numFmtId="9" fontId="0" fillId="44" borderId="92" xfId="0" applyNumberFormat="1" applyFill="1" applyBorder="1" applyAlignment="1">
      <alignment horizontal="center"/>
    </xf>
    <xf numFmtId="9" fontId="0" fillId="48" borderId="92" xfId="0" applyNumberFormat="1" applyFill="1" applyBorder="1" applyAlignment="1">
      <alignment horizontal="center"/>
    </xf>
    <xf numFmtId="171" fontId="5" fillId="48" borderId="92" xfId="0" applyNumberFormat="1" applyFont="1" applyFill="1" applyBorder="1" applyAlignment="1">
      <alignment horizontal="center"/>
    </xf>
    <xf numFmtId="0" fontId="0" fillId="48" borderId="92" xfId="0" applyFill="1" applyBorder="1"/>
    <xf numFmtId="1" fontId="57" fillId="48" borderId="92" xfId="0" applyNumberFormat="1" applyFont="1" applyFill="1" applyBorder="1" applyAlignment="1">
      <alignment horizontal="center"/>
    </xf>
    <xf numFmtId="9" fontId="0" fillId="48" borderId="92" xfId="1" applyFont="1" applyFill="1" applyBorder="1" applyAlignment="1">
      <alignment horizontal="center"/>
    </xf>
    <xf numFmtId="9" fontId="0" fillId="45" borderId="92" xfId="0" applyNumberFormat="1" applyFill="1" applyBorder="1" applyAlignment="1">
      <alignment horizontal="center"/>
    </xf>
    <xf numFmtId="0" fontId="0" fillId="45" borderId="92" xfId="0" applyFill="1" applyBorder="1"/>
    <xf numFmtId="1" fontId="57" fillId="45" borderId="92" xfId="0" applyNumberFormat="1" applyFont="1" applyFill="1" applyBorder="1" applyAlignment="1">
      <alignment horizontal="center"/>
    </xf>
    <xf numFmtId="1" fontId="0" fillId="45" borderId="92" xfId="0" applyNumberFormat="1" applyFill="1" applyBorder="1" applyAlignment="1">
      <alignment horizontal="center"/>
    </xf>
    <xf numFmtId="9" fontId="0" fillId="45" borderId="92" xfId="1" applyFont="1" applyFill="1" applyBorder="1" applyAlignment="1">
      <alignment horizontal="center"/>
    </xf>
    <xf numFmtId="9" fontId="0" fillId="49" borderId="92" xfId="0" applyNumberFormat="1" applyFill="1" applyBorder="1" applyAlignment="1">
      <alignment horizontal="center"/>
    </xf>
    <xf numFmtId="171" fontId="5" fillId="49" borderId="92" xfId="0" applyNumberFormat="1" applyFont="1" applyFill="1" applyBorder="1" applyAlignment="1">
      <alignment horizontal="center"/>
    </xf>
    <xf numFmtId="0" fontId="0" fillId="49" borderId="92" xfId="0" applyFill="1" applyBorder="1"/>
    <xf numFmtId="1" fontId="57" fillId="49" borderId="92" xfId="0" applyNumberFormat="1" applyFont="1" applyFill="1" applyBorder="1" applyAlignment="1">
      <alignment horizontal="center"/>
    </xf>
    <xf numFmtId="9" fontId="0" fillId="49" borderId="92" xfId="1" applyFont="1" applyFill="1" applyBorder="1" applyAlignment="1">
      <alignment horizontal="center"/>
    </xf>
    <xf numFmtId="171" fontId="61" fillId="0" borderId="0" xfId="0" applyNumberFormat="1" applyFont="1" applyFill="1" applyAlignment="1">
      <alignment horizontal="center"/>
    </xf>
    <xf numFmtId="0" fontId="0" fillId="44" borderId="92" xfId="0" applyFill="1" applyBorder="1" applyAlignment="1">
      <alignment horizontal="left"/>
    </xf>
    <xf numFmtId="0" fontId="0" fillId="48" borderId="92" xfId="0" applyFill="1" applyBorder="1" applyAlignment="1">
      <alignment horizontal="center"/>
    </xf>
    <xf numFmtId="0" fontId="0" fillId="45" borderId="92" xfId="0" applyFill="1" applyBorder="1" applyAlignment="1">
      <alignment horizontal="left"/>
    </xf>
    <xf numFmtId="0" fontId="0" fillId="46" borderId="92" xfId="0" applyFill="1" applyBorder="1" applyAlignment="1">
      <alignment horizontal="left"/>
    </xf>
    <xf numFmtId="0" fontId="0" fillId="46" borderId="92" xfId="0" applyFill="1" applyBorder="1" applyAlignment="1">
      <alignment horizontal="center"/>
    </xf>
    <xf numFmtId="171" fontId="0" fillId="44" borderId="92" xfId="0" applyNumberFormat="1" applyFill="1" applyBorder="1" applyAlignment="1">
      <alignment horizontal="center"/>
    </xf>
    <xf numFmtId="171" fontId="0" fillId="48" borderId="92" xfId="0" applyNumberFormat="1" applyFill="1" applyBorder="1" applyAlignment="1">
      <alignment horizontal="center"/>
    </xf>
    <xf numFmtId="171" fontId="0" fillId="45" borderId="92" xfId="0" applyNumberFormat="1" applyFill="1" applyBorder="1" applyAlignment="1">
      <alignment horizontal="center"/>
    </xf>
    <xf numFmtId="0" fontId="0" fillId="0" borderId="92" xfId="0" applyFill="1" applyBorder="1"/>
    <xf numFmtId="0" fontId="0" fillId="0" borderId="92" xfId="0" applyFill="1" applyBorder="1" applyAlignment="1">
      <alignment horizontal="center"/>
    </xf>
    <xf numFmtId="9" fontId="5" fillId="0" borderId="0" xfId="0" applyNumberFormat="1" applyFont="1" applyFill="1" applyBorder="1"/>
    <xf numFmtId="0" fontId="0" fillId="44" borderId="92" xfId="0" applyFill="1" applyBorder="1" applyAlignment="1">
      <alignment horizontal="left" vertical="center"/>
    </xf>
    <xf numFmtId="0" fontId="0" fillId="44" borderId="92" xfId="0" applyFill="1" applyBorder="1" applyAlignment="1">
      <alignment horizontal="left" vertical="center" wrapText="1"/>
    </xf>
    <xf numFmtId="0" fontId="0" fillId="48" borderId="92" xfId="0" applyFill="1" applyBorder="1" applyAlignment="1">
      <alignment horizontal="left" vertical="center" wrapText="1"/>
    </xf>
    <xf numFmtId="0" fontId="0" fillId="45" borderId="92" xfId="0" applyFill="1" applyBorder="1" applyAlignment="1">
      <alignment horizontal="left" vertical="center"/>
    </xf>
    <xf numFmtId="0" fontId="0" fillId="45" borderId="92" xfId="0" applyFill="1" applyBorder="1" applyAlignment="1">
      <alignment horizontal="left" vertical="center" wrapText="1"/>
    </xf>
    <xf numFmtId="0" fontId="0" fillId="46" borderId="92" xfId="0" applyFill="1" applyBorder="1" applyAlignment="1">
      <alignment horizontal="left" vertical="center"/>
    </xf>
    <xf numFmtId="171" fontId="0" fillId="44" borderId="92" xfId="0" applyNumberFormat="1" applyFont="1" applyFill="1" applyBorder="1" applyAlignment="1">
      <alignment horizontal="center"/>
    </xf>
    <xf numFmtId="9" fontId="2" fillId="44" borderId="92" xfId="1" applyFont="1" applyFill="1" applyBorder="1" applyAlignment="1">
      <alignment horizontal="center"/>
    </xf>
    <xf numFmtId="0" fontId="0" fillId="44" borderId="92" xfId="0" applyFill="1" applyBorder="1" applyAlignment="1">
      <alignment horizontal="center"/>
    </xf>
    <xf numFmtId="2" fontId="0" fillId="44" borderId="92" xfId="0" applyNumberFormat="1" applyFill="1" applyBorder="1" applyAlignment="1">
      <alignment horizontal="center"/>
    </xf>
    <xf numFmtId="171" fontId="0" fillId="48" borderId="92" xfId="0" applyNumberFormat="1" applyFont="1" applyFill="1" applyBorder="1" applyAlignment="1">
      <alignment horizontal="center"/>
    </xf>
    <xf numFmtId="9" fontId="2" fillId="48" borderId="92" xfId="1" applyFont="1" applyFill="1" applyBorder="1" applyAlignment="1">
      <alignment horizontal="center"/>
    </xf>
    <xf numFmtId="2" fontId="0" fillId="48" borderId="92" xfId="0" applyNumberFormat="1" applyFill="1" applyBorder="1" applyAlignment="1">
      <alignment horizontal="center"/>
    </xf>
    <xf numFmtId="183" fontId="0" fillId="48" borderId="92" xfId="0" applyNumberFormat="1" applyFill="1" applyBorder="1" applyAlignment="1">
      <alignment horizontal="center"/>
    </xf>
    <xf numFmtId="171" fontId="0" fillId="45" borderId="92" xfId="0" applyNumberFormat="1" applyFont="1" applyFill="1" applyBorder="1" applyAlignment="1">
      <alignment horizontal="center"/>
    </xf>
    <xf numFmtId="9" fontId="2" fillId="45" borderId="92" xfId="1" applyFont="1" applyFill="1" applyBorder="1" applyAlignment="1">
      <alignment horizontal="center"/>
    </xf>
    <xf numFmtId="0" fontId="0" fillId="45" borderId="92" xfId="0" applyFill="1" applyBorder="1" applyAlignment="1">
      <alignment horizontal="center"/>
    </xf>
    <xf numFmtId="2" fontId="0" fillId="45" borderId="92" xfId="0" applyNumberFormat="1" applyFill="1" applyBorder="1" applyAlignment="1">
      <alignment horizontal="center"/>
    </xf>
    <xf numFmtId="183" fontId="0" fillId="45" borderId="92" xfId="0" applyNumberFormat="1" applyFill="1" applyBorder="1" applyAlignment="1">
      <alignment horizontal="center"/>
    </xf>
    <xf numFmtId="0" fontId="77" fillId="0" borderId="0" xfId="0" applyFont="1" applyFill="1" applyBorder="1"/>
    <xf numFmtId="0" fontId="16" fillId="0" borderId="0" xfId="0" applyFont="1" applyFill="1"/>
    <xf numFmtId="0" fontId="52" fillId="0" borderId="25" xfId="0" applyFont="1" applyFill="1" applyBorder="1" applyAlignment="1">
      <alignment horizontal="center" wrapText="1"/>
    </xf>
    <xf numFmtId="0" fontId="52" fillId="0" borderId="31" xfId="0" applyFont="1" applyFill="1" applyBorder="1" applyAlignment="1">
      <alignment horizontal="center" wrapText="1"/>
    </xf>
    <xf numFmtId="0" fontId="52" fillId="0" borderId="92" xfId="0" applyFont="1" applyFill="1" applyBorder="1" applyAlignment="1">
      <alignment horizontal="center" wrapText="1"/>
    </xf>
    <xf numFmtId="0" fontId="7" fillId="0" borderId="92" xfId="2" applyFont="1" applyBorder="1" applyAlignment="1">
      <alignment horizontal="left"/>
    </xf>
    <xf numFmtId="171" fontId="5" fillId="44" borderId="92" xfId="0" applyNumberFormat="1" applyFont="1" applyFill="1" applyBorder="1" applyAlignment="1">
      <alignment horizontal="center"/>
    </xf>
    <xf numFmtId="0" fontId="7" fillId="0" borderId="93" xfId="2" applyFont="1" applyBorder="1" applyAlignment="1">
      <alignment horizontal="left"/>
    </xf>
    <xf numFmtId="171" fontId="7" fillId="44" borderId="71" xfId="154" applyNumberFormat="1" applyFont="1" applyFill="1" applyAlignment="1">
      <alignment horizontal="center"/>
    </xf>
    <xf numFmtId="171" fontId="7" fillId="44" borderId="24" xfId="154" applyNumberFormat="1" applyFont="1" applyFill="1" applyBorder="1" applyAlignment="1">
      <alignment horizontal="center"/>
    </xf>
    <xf numFmtId="1" fontId="2" fillId="48" borderId="92" xfId="1" applyNumberFormat="1" applyFont="1" applyFill="1" applyBorder="1" applyAlignment="1">
      <alignment horizontal="center"/>
    </xf>
    <xf numFmtId="1" fontId="2" fillId="45" borderId="92" xfId="1" applyNumberFormat="1" applyFont="1" applyFill="1" applyBorder="1" applyAlignment="1">
      <alignment horizontal="center"/>
    </xf>
    <xf numFmtId="171" fontId="2" fillId="44" borderId="92" xfId="1" applyNumberFormat="1" applyFont="1" applyFill="1" applyBorder="1" applyAlignment="1">
      <alignment horizontal="center"/>
    </xf>
    <xf numFmtId="171" fontId="2" fillId="48" borderId="92" xfId="1" applyNumberFormat="1" applyFont="1" applyFill="1" applyBorder="1" applyAlignment="1">
      <alignment horizontal="center"/>
    </xf>
    <xf numFmtId="171" fontId="2" fillId="45" borderId="92" xfId="1" applyNumberFormat="1" applyFont="1" applyFill="1" applyBorder="1" applyAlignment="1">
      <alignment horizontal="center"/>
    </xf>
    <xf numFmtId="171" fontId="0" fillId="0" borderId="0" xfId="0" applyNumberFormat="1"/>
    <xf numFmtId="171" fontId="0" fillId="0" borderId="69" xfId="0" applyNumberFormat="1" applyBorder="1" applyAlignment="1">
      <alignment horizontal="left" indent="1"/>
    </xf>
    <xf numFmtId="171" fontId="7" fillId="48" borderId="71" xfId="154" applyNumberFormat="1" applyFont="1" applyFill="1" applyAlignment="1">
      <alignment horizontal="center"/>
    </xf>
    <xf numFmtId="171" fontId="7" fillId="45" borderId="71" xfId="154" applyNumberFormat="1" applyFont="1" applyFill="1" applyAlignment="1">
      <alignment horizontal="center"/>
    </xf>
    <xf numFmtId="171" fontId="7" fillId="46" borderId="71" xfId="154" applyNumberFormat="1" applyFont="1" applyFill="1" applyAlignment="1">
      <alignment horizontal="center"/>
    </xf>
    <xf numFmtId="9" fontId="0" fillId="0" borderId="69" xfId="1" applyFont="1" applyBorder="1" applyAlignment="1">
      <alignment horizontal="left" indent="1"/>
    </xf>
    <xf numFmtId="9" fontId="0" fillId="0" borderId="0" xfId="1" applyFont="1"/>
    <xf numFmtId="171" fontId="2" fillId="45" borderId="92" xfId="1" applyNumberFormat="1" applyFont="1" applyFill="1" applyBorder="1" applyAlignment="1">
      <alignment horizontal="center"/>
    </xf>
    <xf numFmtId="4" fontId="0" fillId="6" borderId="1" xfId="0" applyNumberFormat="1" applyFill="1" applyBorder="1" applyAlignment="1">
      <alignment horizontal="center"/>
    </xf>
    <xf numFmtId="0" fontId="52" fillId="0" borderId="0" xfId="0" applyFont="1" applyAlignment="1">
      <alignment horizontal="right"/>
    </xf>
    <xf numFmtId="0" fontId="78" fillId="0" borderId="69" xfId="0" applyFont="1" applyBorder="1" applyAlignment="1">
      <alignment horizontal="center" wrapText="1"/>
    </xf>
    <xf numFmtId="0" fontId="78" fillId="0" borderId="69" xfId="0" applyFont="1" applyBorder="1"/>
    <xf numFmtId="0" fontId="16" fillId="44" borderId="96" xfId="0" applyFont="1" applyFill="1" applyBorder="1" applyAlignment="1">
      <alignment horizontal="left" vertical="center"/>
    </xf>
    <xf numFmtId="0" fontId="16" fillId="0" borderId="0" xfId="0" applyFont="1"/>
    <xf numFmtId="0" fontId="16" fillId="44" borderId="96" xfId="0" applyFont="1" applyFill="1" applyBorder="1" applyAlignment="1">
      <alignment horizontal="left" vertical="center" wrapText="1"/>
    </xf>
    <xf numFmtId="0" fontId="16" fillId="48" borderId="96" xfId="0" applyFont="1" applyFill="1" applyBorder="1" applyAlignment="1">
      <alignment horizontal="left" vertical="center"/>
    </xf>
    <xf numFmtId="0" fontId="16" fillId="48" borderId="96" xfId="0" applyFont="1" applyFill="1" applyBorder="1" applyAlignment="1">
      <alignment horizontal="left" vertical="center" wrapText="1"/>
    </xf>
    <xf numFmtId="0" fontId="16" fillId="45" borderId="96" xfId="0" applyFont="1" applyFill="1" applyBorder="1" applyAlignment="1">
      <alignment horizontal="left" vertical="center"/>
    </xf>
    <xf numFmtId="0" fontId="16" fillId="45" borderId="96" xfId="0" applyFont="1" applyFill="1" applyBorder="1" applyAlignment="1">
      <alignment horizontal="left" vertical="center" wrapText="1"/>
    </xf>
    <xf numFmtId="0" fontId="16" fillId="46" borderId="96" xfId="0" applyFont="1" applyFill="1" applyBorder="1" applyAlignment="1">
      <alignment horizontal="left" vertical="center"/>
    </xf>
    <xf numFmtId="0" fontId="16" fillId="46" borderId="96" xfId="0" applyFont="1" applyFill="1" applyBorder="1" applyAlignment="1">
      <alignment horizontal="left" vertical="center" wrapText="1"/>
    </xf>
    <xf numFmtId="0" fontId="16" fillId="40" borderId="69" xfId="0" applyFont="1" applyFill="1" applyBorder="1" applyAlignment="1">
      <alignment horizontal="left" vertical="center"/>
    </xf>
    <xf numFmtId="0" fontId="52" fillId="0" borderId="0" xfId="0" applyFont="1" applyAlignment="1">
      <alignment horizontal="left"/>
    </xf>
    <xf numFmtId="0" fontId="5" fillId="0" borderId="31" xfId="30" applyFont="1" applyFill="1" applyAlignment="1">
      <alignment horizontal="center" wrapText="1"/>
    </xf>
    <xf numFmtId="0" fontId="0" fillId="0" borderId="0" xfId="0"/>
    <xf numFmtId="0" fontId="5" fillId="44" borderId="92" xfId="0" applyFont="1" applyFill="1" applyBorder="1" applyAlignment="1">
      <alignment horizontal="center" wrapText="1"/>
    </xf>
    <xf numFmtId="0" fontId="5" fillId="37" borderId="69" xfId="0" applyFont="1" applyFill="1" applyBorder="1" applyAlignment="1">
      <alignment horizontal="center" wrapText="1"/>
    </xf>
    <xf numFmtId="0" fontId="5" fillId="45" borderId="92" xfId="0" applyFont="1" applyFill="1" applyBorder="1" applyAlignment="1">
      <alignment horizontal="center" wrapText="1"/>
    </xf>
    <xf numFmtId="0" fontId="5" fillId="46" borderId="92" xfId="0" applyFont="1" applyFill="1" applyBorder="1" applyAlignment="1">
      <alignment horizontal="center" wrapText="1"/>
    </xf>
    <xf numFmtId="0" fontId="5" fillId="40" borderId="69" xfId="0" applyFont="1" applyFill="1" applyBorder="1" applyAlignment="1">
      <alignment horizontal="center" wrapText="1"/>
    </xf>
    <xf numFmtId="0" fontId="5" fillId="44" borderId="98" xfId="0" applyFont="1" applyFill="1" applyBorder="1" applyAlignment="1">
      <alignment horizontal="center" wrapText="1"/>
    </xf>
    <xf numFmtId="0" fontId="5" fillId="37" borderId="98" xfId="0" applyFont="1" applyFill="1" applyBorder="1" applyAlignment="1">
      <alignment horizontal="center" wrapText="1"/>
    </xf>
    <xf numFmtId="0" fontId="5" fillId="45" borderId="98" xfId="0" applyFont="1" applyFill="1" applyBorder="1" applyAlignment="1">
      <alignment horizontal="center" wrapText="1"/>
    </xf>
    <xf numFmtId="0" fontId="5" fillId="46" borderId="98" xfId="0" applyFont="1" applyFill="1" applyBorder="1" applyAlignment="1">
      <alignment horizontal="center" wrapText="1"/>
    </xf>
    <xf numFmtId="0" fontId="5" fillId="40" borderId="98" xfId="0" applyFont="1" applyFill="1" applyBorder="1" applyAlignment="1">
      <alignment horizontal="center" wrapText="1"/>
    </xf>
    <xf numFmtId="0" fontId="5" fillId="47" borderId="98" xfId="0" applyFont="1" applyFill="1" applyBorder="1" applyAlignment="1">
      <alignment horizontal="center" wrapText="1"/>
    </xf>
    <xf numFmtId="0" fontId="5" fillId="0" borderId="98" xfId="2" applyFont="1" applyFill="1" applyBorder="1" applyAlignment="1">
      <alignment horizontal="center" wrapText="1"/>
    </xf>
    <xf numFmtId="0" fontId="5" fillId="36" borderId="99" xfId="0" applyFont="1" applyFill="1" applyBorder="1" applyAlignment="1">
      <alignment horizontal="center"/>
    </xf>
    <xf numFmtId="0" fontId="5" fillId="36" borderId="82" xfId="0" applyFont="1" applyFill="1" applyBorder="1" applyAlignment="1">
      <alignment horizontal="center"/>
    </xf>
    <xf numFmtId="0" fontId="0" fillId="44" borderId="101" xfId="0" applyFill="1" applyBorder="1" applyAlignment="1">
      <alignment horizontal="left" vertical="center"/>
    </xf>
    <xf numFmtId="0" fontId="0" fillId="37" borderId="101" xfId="0" applyFill="1" applyBorder="1" applyAlignment="1">
      <alignment horizontal="left" vertical="center"/>
    </xf>
    <xf numFmtId="0" fontId="0" fillId="45" borderId="101" xfId="0" applyFill="1" applyBorder="1" applyAlignment="1">
      <alignment horizontal="left" vertical="center"/>
    </xf>
    <xf numFmtId="0" fontId="0" fillId="46" borderId="101" xfId="0" applyFill="1" applyBorder="1" applyAlignment="1">
      <alignment horizontal="left" vertical="center"/>
    </xf>
    <xf numFmtId="0" fontId="0" fillId="40" borderId="101" xfId="0" applyFill="1" applyBorder="1" applyAlignment="1">
      <alignment horizontal="left" vertical="center"/>
    </xf>
    <xf numFmtId="0" fontId="0" fillId="44" borderId="100" xfId="0" applyFill="1" applyBorder="1" applyAlignment="1">
      <alignment horizontal="left" vertical="center" wrapText="1"/>
    </xf>
    <xf numFmtId="0" fontId="0" fillId="37" borderId="100" xfId="0" applyFill="1" applyBorder="1" applyAlignment="1">
      <alignment horizontal="left" vertical="center" wrapText="1"/>
    </xf>
    <xf numFmtId="0" fontId="0" fillId="45" borderId="100" xfId="0" applyFill="1" applyBorder="1" applyAlignment="1">
      <alignment horizontal="left" vertical="center" wrapText="1"/>
    </xf>
    <xf numFmtId="0" fontId="0" fillId="46" borderId="100" xfId="0" applyFill="1" applyBorder="1" applyAlignment="1">
      <alignment horizontal="left" vertical="center" wrapText="1"/>
    </xf>
    <xf numFmtId="0" fontId="0" fillId="40" borderId="100" xfId="0" applyFill="1" applyBorder="1" applyAlignment="1">
      <alignment horizontal="left" vertical="center" wrapText="1"/>
    </xf>
    <xf numFmtId="0" fontId="5" fillId="36" borderId="100" xfId="0" applyFont="1" applyFill="1" applyBorder="1" applyAlignment="1">
      <alignment horizontal="center" vertical="center" wrapText="1"/>
    </xf>
    <xf numFmtId="0" fontId="5" fillId="36" borderId="100" xfId="0" applyFont="1" applyFill="1" applyBorder="1" applyAlignment="1">
      <alignment horizontal="center" wrapText="1"/>
    </xf>
    <xf numFmtId="0" fontId="5" fillId="36" borderId="101" xfId="0" applyFont="1" applyFill="1" applyBorder="1" applyAlignment="1">
      <alignment horizontal="center" wrapText="1"/>
    </xf>
    <xf numFmtId="9" fontId="59" fillId="0" borderId="0" xfId="1" applyFont="1"/>
    <xf numFmtId="0" fontId="0" fillId="0" borderId="0" xfId="0"/>
    <xf numFmtId="0" fontId="0" fillId="40" borderId="69" xfId="0" applyFill="1" applyBorder="1" applyAlignment="1">
      <alignment horizontal="left"/>
    </xf>
    <xf numFmtId="0" fontId="0" fillId="46" borderId="92" xfId="0" applyFill="1" applyBorder="1" applyAlignment="1">
      <alignment horizontal="left"/>
    </xf>
    <xf numFmtId="0" fontId="0" fillId="45" borderId="92" xfId="0" applyFill="1" applyBorder="1" applyAlignment="1">
      <alignment horizontal="left"/>
    </xf>
    <xf numFmtId="0" fontId="0" fillId="37" borderId="69" xfId="0" applyFill="1" applyBorder="1" applyAlignment="1">
      <alignment horizontal="left"/>
    </xf>
    <xf numFmtId="0" fontId="0" fillId="44" borderId="92" xfId="0" applyFill="1" applyBorder="1" applyAlignment="1">
      <alignment horizontal="left"/>
    </xf>
    <xf numFmtId="169" fontId="0" fillId="0" borderId="0" xfId="47" applyNumberFormat="1" applyFont="1"/>
    <xf numFmtId="169" fontId="0" fillId="0" borderId="0" xfId="0" applyNumberFormat="1"/>
    <xf numFmtId="0" fontId="0" fillId="5" borderId="1" xfId="0" applyFill="1" applyBorder="1" applyAlignment="1">
      <alignment wrapText="1"/>
    </xf>
    <xf numFmtId="43" fontId="0" fillId="0" borderId="0" xfId="47" applyFont="1"/>
    <xf numFmtId="3" fontId="0" fillId="44" borderId="92" xfId="0" applyNumberFormat="1" applyFill="1" applyBorder="1" applyAlignment="1">
      <alignment horizontal="center" wrapText="1"/>
    </xf>
    <xf numFmtId="3" fontId="0" fillId="37" borderId="69" xfId="0" applyNumberFormat="1" applyFill="1" applyBorder="1" applyAlignment="1">
      <alignment horizontal="center" wrapText="1"/>
    </xf>
    <xf numFmtId="3" fontId="0" fillId="45" borderId="92" xfId="0" applyNumberFormat="1" applyFill="1" applyBorder="1" applyAlignment="1">
      <alignment horizontal="center" wrapText="1"/>
    </xf>
    <xf numFmtId="3" fontId="0" fillId="46" borderId="92" xfId="0" applyNumberFormat="1" applyFill="1" applyBorder="1" applyAlignment="1">
      <alignment horizontal="center" wrapText="1"/>
    </xf>
    <xf numFmtId="3" fontId="0" fillId="40" borderId="69" xfId="0" applyNumberFormat="1" applyFill="1" applyBorder="1" applyAlignment="1">
      <alignment horizontal="center" wrapText="1"/>
    </xf>
    <xf numFmtId="3" fontId="5" fillId="0" borderId="69" xfId="0" applyNumberFormat="1" applyFont="1" applyBorder="1" applyAlignment="1">
      <alignment horizontal="center"/>
    </xf>
    <xf numFmtId="3" fontId="5" fillId="44" borderId="92" xfId="47" applyNumberFormat="1" applyFont="1" applyFill="1" applyBorder="1" applyAlignment="1">
      <alignment horizontal="center"/>
    </xf>
    <xf numFmtId="3" fontId="5" fillId="48" borderId="92" xfId="47" applyNumberFormat="1" applyFont="1" applyFill="1" applyBorder="1" applyAlignment="1">
      <alignment horizontal="center"/>
    </xf>
    <xf numFmtId="3" fontId="5" fillId="45" borderId="92" xfId="47" applyNumberFormat="1" applyFont="1" applyFill="1" applyBorder="1" applyAlignment="1">
      <alignment horizontal="center"/>
    </xf>
    <xf numFmtId="3" fontId="5" fillId="49" borderId="92" xfId="47" applyNumberFormat="1" applyFont="1" applyFill="1" applyBorder="1" applyAlignment="1">
      <alignment horizontal="center"/>
    </xf>
    <xf numFmtId="3" fontId="5" fillId="0" borderId="69" xfId="47" applyNumberFormat="1" applyFont="1" applyBorder="1" applyAlignment="1">
      <alignment horizontal="center"/>
    </xf>
    <xf numFmtId="3" fontId="5" fillId="44" borderId="92" xfId="0" applyNumberFormat="1" applyFont="1" applyFill="1" applyBorder="1" applyAlignment="1">
      <alignment horizontal="center"/>
    </xf>
    <xf numFmtId="3" fontId="5" fillId="48" borderId="92" xfId="0" applyNumberFormat="1" applyFont="1" applyFill="1" applyBorder="1" applyAlignment="1">
      <alignment horizontal="center"/>
    </xf>
    <xf numFmtId="3" fontId="5" fillId="45" borderId="92" xfId="0" applyNumberFormat="1" applyFont="1" applyFill="1" applyBorder="1" applyAlignment="1">
      <alignment horizontal="center"/>
    </xf>
    <xf numFmtId="3" fontId="5" fillId="49" borderId="92" xfId="0" applyNumberFormat="1" applyFont="1" applyFill="1" applyBorder="1" applyAlignment="1">
      <alignment horizontal="center"/>
    </xf>
    <xf numFmtId="0" fontId="80" fillId="0" borderId="0" xfId="0" applyFont="1" applyAlignment="1">
      <alignment horizontal="center" vertical="center" readingOrder="1"/>
    </xf>
    <xf numFmtId="0" fontId="56" fillId="0" borderId="0" xfId="11" applyFont="1"/>
    <xf numFmtId="0" fontId="70" fillId="0" borderId="0" xfId="158"/>
    <xf numFmtId="0" fontId="56" fillId="0" borderId="0" xfId="11" applyFont="1" applyAlignment="1">
      <alignment horizontal="center"/>
    </xf>
    <xf numFmtId="0" fontId="9" fillId="0" borderId="0" xfId="11" applyFont="1" applyAlignment="1">
      <alignment horizontal="center"/>
    </xf>
    <xf numFmtId="169" fontId="0" fillId="0" borderId="0" xfId="0" applyNumberFormat="1" applyFont="1" applyFill="1" applyBorder="1" applyAlignment="1">
      <alignment horizontal="right" vertical="center" indent="3"/>
    </xf>
    <xf numFmtId="0" fontId="7" fillId="0" borderId="0" xfId="0" applyFont="1" applyBorder="1" applyAlignment="1">
      <alignment horizontal="right" vertical="center" indent="3"/>
    </xf>
    <xf numFmtId="0" fontId="0" fillId="0" borderId="0" xfId="0" applyFont="1" applyBorder="1" applyAlignment="1">
      <alignment horizontal="left" vertical="center" indent="1"/>
    </xf>
    <xf numFmtId="169" fontId="0" fillId="0" borderId="0" xfId="0" applyNumberFormat="1" applyFont="1" applyBorder="1" applyAlignment="1">
      <alignment horizontal="right" vertical="center" indent="3"/>
    </xf>
    <xf numFmtId="0" fontId="7" fillId="0" borderId="0" xfId="0" applyFont="1" applyFill="1" applyBorder="1" applyAlignment="1">
      <alignment vertical="center"/>
    </xf>
    <xf numFmtId="0" fontId="7" fillId="0" borderId="0" xfId="0" applyFont="1" applyFill="1" applyBorder="1" applyAlignment="1">
      <alignment horizontal="right" vertical="center" indent="3"/>
    </xf>
    <xf numFmtId="169" fontId="7" fillId="0" borderId="0" xfId="0" applyNumberFormat="1" applyFont="1" applyFill="1" applyBorder="1" applyAlignment="1">
      <alignment horizontal="right" vertical="center" indent="3"/>
    </xf>
    <xf numFmtId="9" fontId="7" fillId="0" borderId="0" xfId="0" applyNumberFormat="1" applyFont="1" applyFill="1" applyBorder="1" applyAlignment="1">
      <alignment vertical="center"/>
    </xf>
    <xf numFmtId="0" fontId="7" fillId="0" borderId="20" xfId="0" applyFont="1" applyBorder="1" applyAlignment="1">
      <alignment horizontal="right" vertical="center" indent="3"/>
    </xf>
    <xf numFmtId="0" fontId="0" fillId="0" borderId="1" xfId="0" applyFont="1" applyFill="1" applyBorder="1" applyAlignment="1">
      <alignment horizontal="left" vertical="center" indent="1"/>
    </xf>
    <xf numFmtId="0" fontId="0" fillId="0" borderId="1" xfId="0" applyFont="1" applyFill="1" applyBorder="1" applyAlignment="1">
      <alignment horizontal="left" indent="1"/>
    </xf>
    <xf numFmtId="0" fontId="0" fillId="6" borderId="100" xfId="0" applyFill="1" applyBorder="1" applyAlignment="1">
      <alignment horizontal="center" vertical="center"/>
    </xf>
    <xf numFmtId="0" fontId="5" fillId="35" borderId="92" xfId="0" applyFont="1" applyFill="1" applyBorder="1" applyAlignment="1">
      <alignment horizontal="center" wrapText="1"/>
    </xf>
    <xf numFmtId="0" fontId="0" fillId="35" borderId="92" xfId="0" applyFill="1" applyBorder="1" applyAlignment="1">
      <alignment horizontal="center" wrapText="1"/>
    </xf>
    <xf numFmtId="1" fontId="0" fillId="6" borderId="92" xfId="0" applyNumberFormat="1" applyFill="1" applyBorder="1" applyAlignment="1">
      <alignment horizontal="center"/>
    </xf>
    <xf numFmtId="1" fontId="0" fillId="6" borderId="92" xfId="0" applyNumberFormat="1" applyFont="1" applyFill="1" applyBorder="1" applyAlignment="1">
      <alignment horizontal="center"/>
    </xf>
    <xf numFmtId="1" fontId="0" fillId="6" borderId="69" xfId="0" applyNumberFormat="1" applyFill="1" applyBorder="1" applyAlignment="1">
      <alignment horizontal="center"/>
    </xf>
    <xf numFmtId="1" fontId="7" fillId="6" borderId="92" xfId="0" applyNumberFormat="1" applyFont="1" applyFill="1" applyBorder="1" applyAlignment="1">
      <alignment horizontal="center"/>
    </xf>
    <xf numFmtId="1" fontId="7" fillId="6" borderId="69" xfId="0" applyNumberFormat="1" applyFont="1" applyFill="1" applyBorder="1" applyAlignment="1">
      <alignment horizontal="center"/>
    </xf>
    <xf numFmtId="1" fontId="0" fillId="6" borderId="69" xfId="0" applyNumberFormat="1" applyFont="1" applyFill="1" applyBorder="1" applyAlignment="1">
      <alignment horizontal="center"/>
    </xf>
    <xf numFmtId="3" fontId="9" fillId="6" borderId="92" xfId="149" applyNumberFormat="1" applyFont="1" applyFill="1" applyBorder="1" applyAlignment="1">
      <alignment horizontal="center"/>
    </xf>
    <xf numFmtId="3" fontId="19" fillId="6" borderId="92" xfId="149" applyNumberFormat="1" applyFont="1" applyFill="1" applyBorder="1" applyAlignment="1">
      <alignment horizontal="center"/>
    </xf>
    <xf numFmtId="0" fontId="81" fillId="6" borderId="69" xfId="0" applyFont="1" applyFill="1" applyBorder="1" applyAlignment="1">
      <alignment horizontal="center"/>
    </xf>
    <xf numFmtId="3" fontId="9" fillId="6" borderId="69" xfId="149" applyNumberFormat="1" applyFont="1" applyFill="1" applyBorder="1" applyAlignment="1">
      <alignment horizontal="center"/>
    </xf>
    <xf numFmtId="0" fontId="0" fillId="6" borderId="92" xfId="0" applyFont="1" applyFill="1" applyBorder="1" applyAlignment="1">
      <alignment horizontal="center"/>
    </xf>
    <xf numFmtId="0" fontId="0" fillId="6" borderId="69" xfId="0" applyFont="1" applyFill="1" applyBorder="1" applyAlignment="1">
      <alignment horizontal="center"/>
    </xf>
    <xf numFmtId="3" fontId="0" fillId="35" borderId="92" xfId="0" applyNumberFormat="1" applyFill="1" applyBorder="1" applyAlignment="1">
      <alignment horizontal="center" wrapText="1"/>
    </xf>
    <xf numFmtId="1" fontId="0" fillId="35" borderId="69" xfId="0" applyNumberFormat="1" applyFill="1" applyBorder="1" applyAlignment="1">
      <alignment horizontal="center"/>
    </xf>
    <xf numFmtId="1" fontId="5" fillId="35" borderId="69" xfId="0" applyNumberFormat="1" applyFont="1" applyFill="1" applyBorder="1" applyAlignment="1">
      <alignment horizontal="center"/>
    </xf>
    <xf numFmtId="9" fontId="5" fillId="35" borderId="69" xfId="1" applyFont="1" applyFill="1" applyBorder="1" applyAlignment="1">
      <alignment horizontal="center"/>
    </xf>
    <xf numFmtId="0" fontId="5" fillId="35" borderId="69" xfId="0" applyFont="1" applyFill="1" applyBorder="1" applyAlignment="1">
      <alignment horizontal="center"/>
    </xf>
    <xf numFmtId="9" fontId="0" fillId="35" borderId="69" xfId="0" applyNumberFormat="1" applyFill="1" applyBorder="1" applyAlignment="1">
      <alignment horizontal="center"/>
    </xf>
    <xf numFmtId="171" fontId="5" fillId="35" borderId="69" xfId="0" applyNumberFormat="1" applyFont="1" applyFill="1" applyBorder="1" applyAlignment="1">
      <alignment horizontal="center"/>
    </xf>
    <xf numFmtId="0" fontId="0" fillId="35" borderId="69" xfId="0" applyFill="1" applyBorder="1"/>
    <xf numFmtId="1" fontId="57" fillId="35" borderId="69" xfId="0" applyNumberFormat="1" applyFont="1" applyFill="1" applyBorder="1" applyAlignment="1">
      <alignment horizontal="center"/>
    </xf>
    <xf numFmtId="9" fontId="0" fillId="35" borderId="69" xfId="1" applyFont="1" applyFill="1" applyBorder="1" applyAlignment="1">
      <alignment horizontal="center"/>
    </xf>
    <xf numFmtId="171" fontId="5" fillId="35" borderId="69" xfId="0" applyNumberFormat="1" applyFont="1" applyFill="1" applyBorder="1" applyAlignment="1">
      <alignment horizontal="center" vertical="center"/>
    </xf>
    <xf numFmtId="1" fontId="0" fillId="50" borderId="69" xfId="0" applyNumberFormat="1" applyFill="1" applyBorder="1" applyAlignment="1">
      <alignment horizontal="center"/>
    </xf>
    <xf numFmtId="1" fontId="5" fillId="50" borderId="69" xfId="0" applyNumberFormat="1" applyFont="1" applyFill="1" applyBorder="1" applyAlignment="1">
      <alignment horizontal="center"/>
    </xf>
    <xf numFmtId="9" fontId="5" fillId="50" borderId="69" xfId="1" applyFont="1" applyFill="1" applyBorder="1" applyAlignment="1">
      <alignment horizontal="center"/>
    </xf>
    <xf numFmtId="0" fontId="5" fillId="50" borderId="69" xfId="0" applyFont="1" applyFill="1" applyBorder="1" applyAlignment="1">
      <alignment horizontal="center"/>
    </xf>
    <xf numFmtId="9" fontId="0" fillId="50" borderId="69" xfId="0" applyNumberFormat="1" applyFill="1" applyBorder="1" applyAlignment="1">
      <alignment horizontal="center"/>
    </xf>
    <xf numFmtId="171" fontId="5" fillId="50" borderId="69" xfId="0" applyNumberFormat="1" applyFont="1" applyFill="1" applyBorder="1" applyAlignment="1">
      <alignment horizontal="center"/>
    </xf>
    <xf numFmtId="0" fontId="0" fillId="50" borderId="69" xfId="0" applyFill="1" applyBorder="1"/>
    <xf numFmtId="1" fontId="57" fillId="50" borderId="69" xfId="0" applyNumberFormat="1" applyFont="1" applyFill="1" applyBorder="1" applyAlignment="1">
      <alignment horizontal="center"/>
    </xf>
    <xf numFmtId="9" fontId="0" fillId="50" borderId="69" xfId="1" applyFont="1" applyFill="1" applyBorder="1" applyAlignment="1">
      <alignment horizontal="center"/>
    </xf>
    <xf numFmtId="3" fontId="5" fillId="50" borderId="69" xfId="47" applyNumberFormat="1" applyFont="1" applyFill="1" applyBorder="1" applyAlignment="1">
      <alignment horizontal="center"/>
    </xf>
    <xf numFmtId="3" fontId="5" fillId="50" borderId="69" xfId="0" applyNumberFormat="1" applyFont="1" applyFill="1" applyBorder="1" applyAlignment="1">
      <alignment horizontal="center"/>
    </xf>
    <xf numFmtId="1" fontId="0" fillId="40" borderId="92" xfId="0" applyNumberFormat="1" applyFont="1" applyFill="1" applyBorder="1" applyAlignment="1">
      <alignment horizontal="center"/>
    </xf>
    <xf numFmtId="171" fontId="0" fillId="40" borderId="92" xfId="0" applyNumberFormat="1" applyFill="1" applyBorder="1" applyAlignment="1">
      <alignment horizontal="center"/>
    </xf>
    <xf numFmtId="0" fontId="0" fillId="35" borderId="92" xfId="0" applyFill="1" applyBorder="1" applyAlignment="1">
      <alignment horizontal="left"/>
    </xf>
    <xf numFmtId="1" fontId="0" fillId="35" borderId="92" xfId="0" applyNumberFormat="1" applyFont="1" applyFill="1" applyBorder="1" applyAlignment="1">
      <alignment horizontal="center"/>
    </xf>
    <xf numFmtId="171" fontId="0" fillId="35" borderId="92" xfId="0" applyNumberFormat="1" applyFill="1" applyBorder="1" applyAlignment="1">
      <alignment horizontal="center"/>
    </xf>
    <xf numFmtId="3" fontId="5" fillId="35" borderId="92" xfId="47" applyNumberFormat="1" applyFont="1" applyFill="1" applyBorder="1" applyAlignment="1">
      <alignment horizontal="center"/>
    </xf>
    <xf numFmtId="9" fontId="5" fillId="35" borderId="92" xfId="1" applyFont="1" applyFill="1" applyBorder="1" applyAlignment="1">
      <alignment horizontal="center"/>
    </xf>
    <xf numFmtId="3" fontId="5" fillId="35" borderId="92" xfId="0" applyNumberFormat="1" applyFont="1" applyFill="1" applyBorder="1" applyAlignment="1">
      <alignment horizontal="center"/>
    </xf>
    <xf numFmtId="0" fontId="0" fillId="40" borderId="92" xfId="0" applyFill="1" applyBorder="1" applyAlignment="1">
      <alignment horizontal="left" vertical="center" wrapText="1"/>
    </xf>
    <xf numFmtId="0" fontId="0" fillId="35" borderId="92" xfId="0" applyFill="1" applyBorder="1" applyAlignment="1">
      <alignment horizontal="left" vertical="center"/>
    </xf>
    <xf numFmtId="0" fontId="0" fillId="35" borderId="92" xfId="0" applyFill="1" applyBorder="1" applyAlignment="1">
      <alignment horizontal="left" vertical="center" wrapText="1"/>
    </xf>
    <xf numFmtId="171" fontId="0" fillId="50" borderId="69" xfId="0" applyNumberFormat="1" applyFont="1" applyFill="1" applyBorder="1" applyAlignment="1">
      <alignment horizontal="center"/>
    </xf>
    <xf numFmtId="171" fontId="0" fillId="50" borderId="69" xfId="0" applyNumberFormat="1" applyFill="1" applyBorder="1" applyAlignment="1">
      <alignment horizontal="center"/>
    </xf>
    <xf numFmtId="9" fontId="2" fillId="50" borderId="69" xfId="1" applyFont="1" applyFill="1" applyBorder="1" applyAlignment="1">
      <alignment horizontal="center"/>
    </xf>
    <xf numFmtId="2" fontId="0" fillId="35" borderId="92" xfId="0" applyNumberFormat="1" applyFill="1" applyBorder="1" applyAlignment="1">
      <alignment horizontal="center"/>
    </xf>
    <xf numFmtId="9" fontId="2" fillId="35" borderId="92" xfId="1" applyFont="1" applyFill="1" applyBorder="1" applyAlignment="1">
      <alignment horizontal="center"/>
    </xf>
    <xf numFmtId="171" fontId="0" fillId="35" borderId="92" xfId="0" applyNumberFormat="1" applyFont="1" applyFill="1" applyBorder="1" applyAlignment="1">
      <alignment horizontal="center"/>
    </xf>
    <xf numFmtId="171" fontId="5" fillId="35" borderId="92" xfId="0" applyNumberFormat="1" applyFont="1" applyFill="1" applyBorder="1" applyAlignment="1">
      <alignment horizontal="center"/>
    </xf>
    <xf numFmtId="2" fontId="0" fillId="40" borderId="92" xfId="0" applyNumberFormat="1" applyFill="1" applyBorder="1" applyAlignment="1">
      <alignment horizontal="center"/>
    </xf>
    <xf numFmtId="9" fontId="2" fillId="40" borderId="92" xfId="1" applyFont="1" applyFill="1" applyBorder="1" applyAlignment="1">
      <alignment horizontal="center"/>
    </xf>
    <xf numFmtId="171" fontId="0" fillId="40" borderId="92" xfId="0" applyNumberFormat="1" applyFont="1" applyFill="1" applyBorder="1" applyAlignment="1">
      <alignment horizontal="center"/>
    </xf>
    <xf numFmtId="2" fontId="0" fillId="50" borderId="69" xfId="0" applyNumberFormat="1" applyFill="1" applyBorder="1" applyAlignment="1">
      <alignment horizontal="center"/>
    </xf>
    <xf numFmtId="183" fontId="0" fillId="50" borderId="69" xfId="0" applyNumberFormat="1" applyFill="1" applyBorder="1" applyAlignment="1">
      <alignment horizontal="center"/>
    </xf>
    <xf numFmtId="0" fontId="0" fillId="50" borderId="69" xfId="0" applyFill="1" applyBorder="1" applyAlignment="1">
      <alignment horizontal="left" vertical="center" wrapText="1"/>
    </xf>
    <xf numFmtId="0" fontId="7" fillId="6" borderId="33" xfId="21" applyFont="1" applyFill="1" applyBorder="1" applyAlignment="1">
      <alignment horizontal="center"/>
    </xf>
    <xf numFmtId="1" fontId="7" fillId="6" borderId="71" xfId="154" applyNumberFormat="1" applyFont="1" applyFill="1" applyAlignment="1">
      <alignment horizontal="center"/>
    </xf>
    <xf numFmtId="0" fontId="7" fillId="6" borderId="38" xfId="21" applyFont="1" applyFill="1" applyBorder="1" applyAlignment="1">
      <alignment horizontal="center"/>
    </xf>
    <xf numFmtId="1" fontId="7" fillId="6" borderId="28" xfId="154" applyNumberFormat="1" applyFont="1" applyFill="1" applyBorder="1" applyAlignment="1">
      <alignment horizontal="center"/>
    </xf>
    <xf numFmtId="0" fontId="7" fillId="6" borderId="92" xfId="21" applyFont="1" applyFill="1" applyBorder="1" applyAlignment="1">
      <alignment horizontal="center"/>
    </xf>
    <xf numFmtId="1" fontId="7" fillId="6" borderId="92" xfId="154" applyNumberFormat="1" applyFont="1" applyFill="1" applyBorder="1" applyAlignment="1">
      <alignment horizontal="center"/>
    </xf>
    <xf numFmtId="1" fontId="0" fillId="6" borderId="0" xfId="0" applyNumberFormat="1" applyFill="1" applyAlignment="1">
      <alignment horizontal="center"/>
    </xf>
    <xf numFmtId="0" fontId="7" fillId="6" borderId="25" xfId="21" applyFont="1" applyFill="1" applyAlignment="1">
      <alignment horizontal="center"/>
    </xf>
    <xf numFmtId="1" fontId="2" fillId="6" borderId="92" xfId="1" applyNumberFormat="1" applyFont="1" applyFill="1" applyBorder="1" applyAlignment="1">
      <alignment horizontal="center"/>
    </xf>
    <xf numFmtId="171" fontId="0" fillId="6" borderId="92" xfId="0" applyNumberFormat="1" applyFill="1" applyBorder="1" applyAlignment="1">
      <alignment horizontal="center"/>
    </xf>
    <xf numFmtId="1" fontId="2" fillId="35" borderId="92" xfId="1" applyNumberFormat="1" applyFont="1" applyFill="1" applyBorder="1" applyAlignment="1">
      <alignment horizontal="center"/>
    </xf>
    <xf numFmtId="9" fontId="0" fillId="35" borderId="92" xfId="1" applyFont="1" applyFill="1" applyBorder="1" applyAlignment="1">
      <alignment horizontal="center"/>
    </xf>
    <xf numFmtId="171" fontId="2" fillId="35" borderId="92" xfId="1" applyNumberFormat="1" applyFont="1" applyFill="1" applyBorder="1" applyAlignment="1">
      <alignment horizontal="center"/>
    </xf>
    <xf numFmtId="1" fontId="2" fillId="50" borderId="69" xfId="1" applyNumberFormat="1" applyFont="1" applyFill="1" applyBorder="1" applyAlignment="1">
      <alignment horizontal="center"/>
    </xf>
    <xf numFmtId="171" fontId="2" fillId="50" borderId="69" xfId="1" applyNumberFormat="1" applyFont="1" applyFill="1" applyBorder="1" applyAlignment="1">
      <alignment horizontal="center"/>
    </xf>
    <xf numFmtId="1" fontId="2" fillId="40" borderId="92" xfId="1" applyNumberFormat="1" applyFont="1" applyFill="1" applyBorder="1" applyAlignment="1">
      <alignment horizontal="center"/>
    </xf>
    <xf numFmtId="9" fontId="0" fillId="40" borderId="92" xfId="1" applyFont="1" applyFill="1" applyBorder="1" applyAlignment="1">
      <alignment horizontal="center"/>
    </xf>
    <xf numFmtId="171" fontId="2" fillId="40" borderId="92" xfId="1" applyNumberFormat="1" applyFont="1" applyFill="1" applyBorder="1" applyAlignment="1">
      <alignment horizontal="center"/>
    </xf>
    <xf numFmtId="0" fontId="7" fillId="40" borderId="25" xfId="21" applyFont="1" applyFill="1" applyAlignment="1">
      <alignment horizontal="center"/>
    </xf>
    <xf numFmtId="0" fontId="7" fillId="35" borderId="25" xfId="21" applyFont="1" applyFill="1" applyAlignment="1">
      <alignment horizontal="center"/>
    </xf>
    <xf numFmtId="171" fontId="7" fillId="6" borderId="71" xfId="154" applyNumberFormat="1" applyFont="1" applyFill="1" applyAlignment="1">
      <alignment horizontal="center"/>
    </xf>
    <xf numFmtId="171" fontId="7" fillId="6" borderId="24" xfId="0" applyNumberFormat="1" applyFont="1" applyFill="1" applyBorder="1" applyAlignment="1">
      <alignment horizontal="center"/>
    </xf>
    <xf numFmtId="171" fontId="76" fillId="6" borderId="71" xfId="0" applyNumberFormat="1" applyFont="1" applyFill="1" applyBorder="1" applyAlignment="1">
      <alignment horizontal="center"/>
    </xf>
    <xf numFmtId="171" fontId="76" fillId="6" borderId="24" xfId="0" applyNumberFormat="1" applyFont="1" applyFill="1" applyBorder="1" applyAlignment="1">
      <alignment horizontal="center"/>
    </xf>
    <xf numFmtId="0" fontId="76" fillId="40" borderId="25" xfId="0" applyFont="1" applyFill="1" applyBorder="1" applyAlignment="1">
      <alignment horizontal="center"/>
    </xf>
    <xf numFmtId="0" fontId="16" fillId="40" borderId="92" xfId="0" applyFont="1" applyFill="1" applyBorder="1" applyAlignment="1">
      <alignment horizontal="left" vertical="center" wrapText="1"/>
    </xf>
    <xf numFmtId="0" fontId="16" fillId="35" borderId="92" xfId="0" applyFont="1" applyFill="1" applyBorder="1" applyAlignment="1">
      <alignment horizontal="left" vertical="center"/>
    </xf>
    <xf numFmtId="0" fontId="76" fillId="35" borderId="25" xfId="0" applyFont="1" applyFill="1" applyBorder="1" applyAlignment="1">
      <alignment horizontal="center"/>
    </xf>
    <xf numFmtId="0" fontId="16" fillId="35" borderId="92" xfId="0" applyFont="1" applyFill="1" applyBorder="1" applyAlignment="1">
      <alignment horizontal="left" vertical="center" wrapText="1"/>
    </xf>
    <xf numFmtId="3" fontId="0" fillId="6" borderId="92" xfId="47" applyNumberFormat="1" applyFont="1" applyFill="1" applyBorder="1" applyAlignment="1">
      <alignment horizontal="center"/>
    </xf>
    <xf numFmtId="3" fontId="0" fillId="6" borderId="92" xfId="0" applyNumberFormat="1" applyFill="1" applyBorder="1" applyAlignment="1">
      <alignment horizontal="center"/>
    </xf>
    <xf numFmtId="3" fontId="0" fillId="6" borderId="92" xfId="0" applyNumberFormat="1" applyFont="1" applyFill="1" applyBorder="1" applyAlignment="1">
      <alignment horizontal="center"/>
    </xf>
    <xf numFmtId="3" fontId="0" fillId="6" borderId="69" xfId="0" applyNumberFormat="1" applyFill="1" applyBorder="1" applyAlignment="1">
      <alignment horizontal="center"/>
    </xf>
    <xf numFmtId="0" fontId="5" fillId="6" borderId="92" xfId="0" applyFont="1" applyFill="1" applyBorder="1" applyAlignment="1">
      <alignment horizontal="center" vertical="center"/>
    </xf>
    <xf numFmtId="0" fontId="5" fillId="6" borderId="69" xfId="0" applyFont="1" applyFill="1" applyBorder="1" applyAlignment="1">
      <alignment horizontal="center" vertical="center"/>
    </xf>
    <xf numFmtId="171" fontId="0" fillId="6" borderId="92" xfId="0" applyNumberFormat="1" applyFont="1" applyFill="1" applyBorder="1" applyAlignment="1">
      <alignment horizontal="center"/>
    </xf>
    <xf numFmtId="171" fontId="0" fillId="6" borderId="69" xfId="0" applyNumberFormat="1" applyFont="1" applyFill="1" applyBorder="1" applyAlignment="1">
      <alignment horizontal="center"/>
    </xf>
    <xf numFmtId="2" fontId="0" fillId="6" borderId="92" xfId="0" applyNumberFormat="1" applyFont="1" applyFill="1" applyBorder="1" applyAlignment="1">
      <alignment horizontal="center"/>
    </xf>
    <xf numFmtId="2" fontId="0" fillId="6" borderId="69" xfId="0" applyNumberFormat="1" applyFont="1" applyFill="1" applyBorder="1" applyAlignment="1">
      <alignment horizontal="center"/>
    </xf>
    <xf numFmtId="2" fontId="0" fillId="6" borderId="92" xfId="0" applyNumberFormat="1" applyFill="1" applyBorder="1" applyAlignment="1">
      <alignment horizontal="center"/>
    </xf>
    <xf numFmtId="171" fontId="0" fillId="6" borderId="69" xfId="0" applyNumberFormat="1" applyFill="1" applyBorder="1" applyAlignment="1">
      <alignment horizontal="center"/>
    </xf>
    <xf numFmtId="0" fontId="5" fillId="2" borderId="93" xfId="0" applyFont="1" applyFill="1" applyBorder="1" applyAlignment="1">
      <alignment horizontal="center" vertical="center" wrapText="1"/>
    </xf>
    <xf numFmtId="0" fontId="5" fillId="2" borderId="94" xfId="0" applyFont="1" applyFill="1" applyBorder="1" applyAlignment="1">
      <alignment horizontal="center" vertical="center" wrapText="1"/>
    </xf>
    <xf numFmtId="0" fontId="5" fillId="2" borderId="95" xfId="0" applyFont="1" applyFill="1" applyBorder="1" applyAlignment="1">
      <alignment horizontal="center" vertical="center" wrapText="1"/>
    </xf>
    <xf numFmtId="4" fontId="6" fillId="5" borderId="97" xfId="0" applyNumberFormat="1" applyFont="1" applyFill="1" applyBorder="1" applyAlignment="1">
      <alignment horizontal="center"/>
    </xf>
    <xf numFmtId="4" fontId="6" fillId="4" borderId="97" xfId="0" applyNumberFormat="1" applyFont="1" applyFill="1" applyBorder="1" applyAlignment="1">
      <alignment horizontal="center"/>
    </xf>
    <xf numFmtId="4" fontId="0" fillId="39" borderId="102" xfId="1" applyNumberFormat="1" applyFont="1" applyFill="1" applyBorder="1" applyAlignment="1">
      <alignment horizontal="center"/>
    </xf>
    <xf numFmtId="4" fontId="6" fillId="39" borderId="78" xfId="0" applyNumberFormat="1" applyFont="1" applyFill="1" applyBorder="1" applyAlignment="1">
      <alignment horizontal="center"/>
    </xf>
    <xf numFmtId="4" fontId="0" fillId="39" borderId="77" xfId="0" applyNumberFormat="1" applyFill="1" applyBorder="1" applyAlignment="1">
      <alignment horizontal="center"/>
    </xf>
    <xf numFmtId="0" fontId="61" fillId="0" borderId="0" xfId="0" applyFont="1" applyAlignment="1">
      <alignment horizontal="left" vertical="top"/>
    </xf>
    <xf numFmtId="0" fontId="61" fillId="0" borderId="0" xfId="0" applyFont="1" applyAlignment="1">
      <alignment horizontal="right" vertical="top"/>
    </xf>
    <xf numFmtId="0" fontId="73" fillId="0" borderId="0" xfId="0" applyFont="1" applyAlignment="1">
      <alignment vertical="top"/>
    </xf>
    <xf numFmtId="0" fontId="0" fillId="0" borderId="0" xfId="0" applyAlignment="1">
      <alignment vertical="top"/>
    </xf>
    <xf numFmtId="171" fontId="73" fillId="0" borderId="0" xfId="0" applyNumberFormat="1" applyFont="1" applyAlignment="1">
      <alignment horizontal="left" vertical="top"/>
    </xf>
    <xf numFmtId="0" fontId="52" fillId="0" borderId="0" xfId="0" applyFont="1" applyAlignment="1">
      <alignment horizontal="left" vertical="top"/>
    </xf>
    <xf numFmtId="0" fontId="16" fillId="0" borderId="0" xfId="0" applyFont="1" applyAlignment="1">
      <alignment vertical="top"/>
    </xf>
    <xf numFmtId="0" fontId="52" fillId="0" borderId="0" xfId="0" applyFont="1" applyAlignment="1">
      <alignment horizontal="right" vertical="top"/>
    </xf>
    <xf numFmtId="171" fontId="16" fillId="0" borderId="0" xfId="0" applyNumberFormat="1" applyFont="1" applyAlignment="1">
      <alignment horizontal="left" vertical="top"/>
    </xf>
    <xf numFmtId="0" fontId="82" fillId="0" borderId="0" xfId="0" applyFont="1"/>
    <xf numFmtId="0" fontId="82" fillId="0" borderId="0" xfId="0" applyFont="1" applyAlignment="1">
      <alignment horizontal="center" vertical="center"/>
    </xf>
    <xf numFmtId="0" fontId="4" fillId="3" borderId="48" xfId="0" applyFont="1" applyFill="1" applyBorder="1" applyAlignment="1">
      <alignment horizontal="center" vertical="center"/>
    </xf>
    <xf numFmtId="0" fontId="0" fillId="0" borderId="0" xfId="0"/>
    <xf numFmtId="0" fontId="5" fillId="6" borderId="0" xfId="0" applyFont="1" applyFill="1" applyAlignment="1">
      <alignment horizontal="center" vertical="center"/>
    </xf>
    <xf numFmtId="184" fontId="7" fillId="6" borderId="0" xfId="47" applyNumberFormat="1" applyFont="1" applyFill="1" applyBorder="1" applyAlignment="1">
      <alignment horizontal="center"/>
    </xf>
    <xf numFmtId="0" fontId="8" fillId="0" borderId="0" xfId="2" applyFont="1" applyFill="1" applyBorder="1" applyAlignment="1">
      <alignment horizontal="center"/>
    </xf>
    <xf numFmtId="0" fontId="87" fillId="51" borderId="103" xfId="0" applyFont="1" applyFill="1" applyBorder="1" applyAlignment="1">
      <alignment vertical="center"/>
    </xf>
    <xf numFmtId="0" fontId="87" fillId="51" borderId="104" xfId="0" applyFont="1" applyFill="1" applyBorder="1" applyAlignment="1">
      <alignment vertical="center"/>
    </xf>
    <xf numFmtId="0" fontId="87" fillId="51" borderId="104" xfId="0" applyFont="1" applyFill="1" applyBorder="1" applyAlignment="1">
      <alignment horizontal="center" vertical="center" wrapText="1"/>
    </xf>
    <xf numFmtId="0" fontId="87" fillId="51" borderId="105" xfId="0" applyFont="1" applyFill="1" applyBorder="1" applyAlignment="1">
      <alignment horizontal="center" vertical="center" wrapText="1"/>
    </xf>
    <xf numFmtId="0" fontId="82" fillId="0" borderId="107" xfId="0" applyFont="1" applyBorder="1" applyAlignment="1">
      <alignment horizontal="center" vertical="center"/>
    </xf>
    <xf numFmtId="0" fontId="82" fillId="0" borderId="108" xfId="0" applyFont="1" applyBorder="1" applyAlignment="1">
      <alignment horizontal="center" vertical="center"/>
    </xf>
    <xf numFmtId="0" fontId="82" fillId="0" borderId="109" xfId="0" applyFont="1" applyBorder="1" applyAlignment="1">
      <alignment horizontal="center" vertical="center"/>
    </xf>
    <xf numFmtId="0" fontId="82" fillId="0" borderId="110" xfId="0" applyFont="1" applyBorder="1" applyAlignment="1">
      <alignment horizontal="center" vertical="center"/>
    </xf>
    <xf numFmtId="0" fontId="82" fillId="0" borderId="111" xfId="0" applyFont="1" applyBorder="1" applyAlignment="1">
      <alignment horizontal="center" vertical="center"/>
    </xf>
    <xf numFmtId="0" fontId="89" fillId="0" borderId="108" xfId="0" applyFont="1" applyBorder="1" applyAlignment="1">
      <alignment horizontal="center" vertical="center"/>
    </xf>
    <xf numFmtId="0" fontId="89" fillId="0" borderId="109" xfId="0" applyFont="1" applyBorder="1" applyAlignment="1">
      <alignment horizontal="center" vertical="center"/>
    </xf>
    <xf numFmtId="0" fontId="89" fillId="0" borderId="111" xfId="0" applyFont="1" applyBorder="1" applyAlignment="1">
      <alignment horizontal="center" vertical="center"/>
    </xf>
    <xf numFmtId="0" fontId="90" fillId="0" borderId="0" xfId="0" applyFont="1" applyAlignment="1">
      <alignment vertical="center"/>
    </xf>
    <xf numFmtId="2" fontId="89" fillId="0" borderId="107" xfId="0" applyNumberFormat="1" applyFont="1" applyBorder="1" applyAlignment="1">
      <alignment horizontal="center" vertical="center"/>
    </xf>
    <xf numFmtId="2" fontId="89" fillId="0" borderId="0" xfId="0" applyNumberFormat="1" applyFont="1" applyAlignment="1">
      <alignment horizontal="center" vertical="center"/>
    </xf>
    <xf numFmtId="2" fontId="89" fillId="0" borderId="110" xfId="0" applyNumberFormat="1" applyFont="1" applyBorder="1" applyAlignment="1">
      <alignment horizontal="center" vertical="center"/>
    </xf>
    <xf numFmtId="0" fontId="57" fillId="0" borderId="100" xfId="0" applyFont="1" applyBorder="1" applyAlignment="1">
      <alignment horizontal="center"/>
    </xf>
    <xf numFmtId="1" fontId="0" fillId="44" borderId="92" xfId="0" applyNumberFormat="1" applyFill="1" applyBorder="1" applyAlignment="1">
      <alignment horizontal="center" vertical="center"/>
    </xf>
    <xf numFmtId="1" fontId="0" fillId="37" borderId="69" xfId="0" applyNumberFormat="1" applyFill="1" applyBorder="1" applyAlignment="1">
      <alignment horizontal="center" vertical="center"/>
    </xf>
    <xf numFmtId="1" fontId="0" fillId="45" borderId="92" xfId="0" applyNumberFormat="1" applyFill="1" applyBorder="1" applyAlignment="1">
      <alignment horizontal="center" vertical="center"/>
    </xf>
    <xf numFmtId="1" fontId="0" fillId="46" borderId="92" xfId="0" applyNumberFormat="1" applyFill="1" applyBorder="1" applyAlignment="1">
      <alignment horizontal="center" vertical="center"/>
    </xf>
    <xf numFmtId="1" fontId="0" fillId="40" borderId="69" xfId="0" applyNumberFormat="1" applyFill="1" applyBorder="1" applyAlignment="1">
      <alignment horizontal="center" vertical="center"/>
    </xf>
    <xf numFmtId="1" fontId="0" fillId="35" borderId="92" xfId="0" applyNumberFormat="1" applyFill="1" applyBorder="1" applyAlignment="1">
      <alignment horizontal="center" vertical="center"/>
    </xf>
    <xf numFmtId="4" fontId="89" fillId="0" borderId="107" xfId="0" applyNumberFormat="1" applyFont="1" applyBorder="1" applyAlignment="1">
      <alignment horizontal="right" vertical="center"/>
    </xf>
    <xf numFmtId="0" fontId="89" fillId="0" borderId="108" xfId="0" applyFont="1" applyBorder="1" applyAlignment="1">
      <alignment horizontal="right" vertical="center"/>
    </xf>
    <xf numFmtId="0" fontId="88" fillId="0" borderId="0" xfId="0" applyFont="1" applyBorder="1" applyAlignment="1">
      <alignment vertical="center"/>
    </xf>
    <xf numFmtId="2" fontId="89" fillId="0" borderId="0" xfId="0" applyNumberFormat="1" applyFont="1" applyBorder="1" applyAlignment="1">
      <alignment horizontal="center" vertical="center"/>
    </xf>
    <xf numFmtId="0" fontId="89" fillId="0" borderId="0" xfId="0" applyFont="1" applyBorder="1" applyAlignment="1">
      <alignment horizontal="center" vertical="center"/>
    </xf>
    <xf numFmtId="0" fontId="91" fillId="0" borderId="0" xfId="0" applyFont="1" applyAlignment="1">
      <alignment horizontal="center" vertical="center"/>
    </xf>
    <xf numFmtId="4" fontId="89" fillId="0" borderId="0" xfId="0" applyNumberFormat="1" applyFont="1" applyBorder="1" applyAlignment="1">
      <alignment horizontal="right" vertical="center"/>
    </xf>
    <xf numFmtId="0" fontId="89" fillId="0" borderId="0" xfId="0" applyFont="1" applyBorder="1" applyAlignment="1">
      <alignment horizontal="right" vertical="center"/>
    </xf>
    <xf numFmtId="0" fontId="86" fillId="0" borderId="0" xfId="11" applyFont="1" applyAlignment="1">
      <alignment horizontal="center"/>
    </xf>
    <xf numFmtId="0" fontId="55" fillId="0" borderId="0" xfId="0" applyFont="1" applyAlignment="1">
      <alignment horizontal="center"/>
    </xf>
    <xf numFmtId="0" fontId="0" fillId="0" borderId="0" xfId="0" applyBorder="1" applyAlignment="1">
      <alignment horizontal="center"/>
    </xf>
    <xf numFmtId="0" fontId="0" fillId="0" borderId="0" xfId="0" applyAlignment="1">
      <alignment horizontal="left" vertical="center" wrapText="1"/>
    </xf>
    <xf numFmtId="0" fontId="73" fillId="0" borderId="0" xfId="0" applyFont="1" applyAlignment="1">
      <alignment vertical="top" wrapText="1"/>
    </xf>
    <xf numFmtId="0" fontId="0" fillId="0" borderId="0" xfId="0"/>
    <xf numFmtId="0" fontId="9" fillId="52" borderId="0" xfId="11" applyFont="1" applyFill="1"/>
    <xf numFmtId="0" fontId="9" fillId="35" borderId="0" xfId="11" applyFont="1" applyFill="1"/>
    <xf numFmtId="0" fontId="9" fillId="53" borderId="0" xfId="11" applyFont="1" applyFill="1"/>
    <xf numFmtId="0" fontId="9" fillId="6" borderId="0" xfId="11" applyFont="1" applyFill="1"/>
    <xf numFmtId="0" fontId="0" fillId="0" borderId="0" xfId="0"/>
    <xf numFmtId="0" fontId="55" fillId="0" borderId="0" xfId="0" applyFont="1" applyBorder="1" applyAlignment="1">
      <alignment horizontal="center"/>
    </xf>
    <xf numFmtId="0" fontId="8" fillId="13" borderId="112" xfId="0" applyFont="1" applyFill="1" applyBorder="1" applyAlignment="1">
      <alignment horizontal="center" vertical="center" wrapText="1"/>
    </xf>
    <xf numFmtId="171" fontId="72" fillId="13" borderId="8" xfId="0" applyNumberFormat="1" applyFont="1" applyFill="1" applyBorder="1" applyAlignment="1">
      <alignment horizontal="center" vertical="center" wrapText="1"/>
    </xf>
    <xf numFmtId="171" fontId="8" fillId="13" borderId="8" xfId="0" applyNumberFormat="1" applyFont="1" applyFill="1" applyBorder="1" applyAlignment="1">
      <alignment horizontal="center" vertical="center" wrapText="1"/>
    </xf>
    <xf numFmtId="0" fontId="8" fillId="13" borderId="8" xfId="0" applyFont="1" applyFill="1" applyBorder="1" applyAlignment="1">
      <alignment horizontal="center" vertical="center" wrapText="1"/>
    </xf>
    <xf numFmtId="0" fontId="5" fillId="2" borderId="113" xfId="0" applyFont="1" applyFill="1" applyBorder="1" applyAlignment="1">
      <alignment horizontal="center" vertical="center" wrapText="1"/>
    </xf>
    <xf numFmtId="171" fontId="0" fillId="5" borderId="112" xfId="0" applyNumberFormat="1" applyFill="1" applyBorder="1" applyAlignment="1">
      <alignment horizontal="center"/>
    </xf>
    <xf numFmtId="171" fontId="0" fillId="5" borderId="8" xfId="0" applyNumberFormat="1" applyFill="1" applyBorder="1" applyAlignment="1">
      <alignment horizontal="center"/>
    </xf>
    <xf numFmtId="4" fontId="5" fillId="5" borderId="8" xfId="0" applyNumberFormat="1" applyFont="1" applyFill="1" applyBorder="1" applyAlignment="1">
      <alignment horizontal="center"/>
    </xf>
    <xf numFmtId="4" fontId="7" fillId="6" borderId="8" xfId="47" applyNumberFormat="1" applyFont="1" applyFill="1" applyBorder="1" applyAlignment="1">
      <alignment horizontal="center"/>
    </xf>
    <xf numFmtId="4" fontId="0" fillId="5" borderId="8" xfId="0" applyNumberFormat="1" applyFill="1" applyBorder="1" applyAlignment="1">
      <alignment horizontal="center"/>
    </xf>
    <xf numFmtId="4" fontId="25" fillId="5" borderId="8" xfId="0" applyNumberFormat="1" applyFont="1" applyFill="1" applyBorder="1" applyAlignment="1">
      <alignment horizontal="center"/>
    </xf>
    <xf numFmtId="4" fontId="0" fillId="5" borderId="45" xfId="0" applyNumberFormat="1" applyFill="1" applyBorder="1" applyAlignment="1">
      <alignment horizontal="center"/>
    </xf>
    <xf numFmtId="4" fontId="0" fillId="4" borderId="8" xfId="47" applyNumberFormat="1" applyFont="1" applyFill="1" applyBorder="1" applyAlignment="1">
      <alignment horizontal="center"/>
    </xf>
    <xf numFmtId="4" fontId="3" fillId="4" borderId="8" xfId="47" applyNumberFormat="1" applyFont="1" applyFill="1" applyBorder="1" applyAlignment="1">
      <alignment horizontal="center"/>
    </xf>
    <xf numFmtId="4" fontId="25" fillId="4" borderId="8" xfId="47" applyNumberFormat="1" applyFont="1" applyFill="1" applyBorder="1" applyAlignment="1">
      <alignment horizontal="center"/>
    </xf>
    <xf numFmtId="4" fontId="0" fillId="6" borderId="8" xfId="0" applyNumberFormat="1" applyFill="1" applyBorder="1" applyAlignment="1">
      <alignment horizontal="center"/>
    </xf>
    <xf numFmtId="4" fontId="0" fillId="4" borderId="8" xfId="0" applyNumberFormat="1" applyFill="1" applyBorder="1" applyAlignment="1">
      <alignment horizontal="center"/>
    </xf>
    <xf numFmtId="4" fontId="25" fillId="4" borderId="8" xfId="0" applyNumberFormat="1" applyFont="1" applyFill="1" applyBorder="1" applyAlignment="1">
      <alignment horizontal="center"/>
    </xf>
    <xf numFmtId="4" fontId="0" fillId="4" borderId="45" xfId="0" applyNumberFormat="1" applyFill="1" applyBorder="1" applyAlignment="1">
      <alignment horizontal="center"/>
    </xf>
    <xf numFmtId="4" fontId="0" fillId="39" borderId="8" xfId="0" applyNumberFormat="1" applyFill="1" applyBorder="1" applyAlignment="1">
      <alignment horizontal="center"/>
    </xf>
    <xf numFmtId="4" fontId="3" fillId="39" borderId="8" xfId="0" applyNumberFormat="1" applyFont="1" applyFill="1" applyBorder="1" applyAlignment="1">
      <alignment horizontal="center"/>
    </xf>
    <xf numFmtId="4" fontId="25" fillId="39" borderId="8" xfId="0" applyNumberFormat="1" applyFont="1" applyFill="1" applyBorder="1" applyAlignment="1">
      <alignment horizontal="center"/>
    </xf>
    <xf numFmtId="4" fontId="0" fillId="39" borderId="79" xfId="0" applyNumberFormat="1" applyFill="1" applyBorder="1" applyAlignment="1">
      <alignment horizontal="center"/>
    </xf>
    <xf numFmtId="0" fontId="9" fillId="6" borderId="0" xfId="11" applyFont="1" applyFill="1" applyAlignment="1">
      <alignment horizontal="center"/>
    </xf>
    <xf numFmtId="0" fontId="0" fillId="44" borderId="114" xfId="0" applyFill="1" applyBorder="1" applyAlignment="1">
      <alignment horizontal="left" vertical="center"/>
    </xf>
    <xf numFmtId="0" fontId="0" fillId="37" borderId="114" xfId="0" applyFill="1" applyBorder="1" applyAlignment="1">
      <alignment horizontal="left" vertical="center"/>
    </xf>
    <xf numFmtId="0" fontId="0" fillId="45" borderId="114" xfId="0" applyFill="1" applyBorder="1" applyAlignment="1">
      <alignment horizontal="left" vertical="center"/>
    </xf>
    <xf numFmtId="0" fontId="0" fillId="46" borderId="114" xfId="0" applyFill="1" applyBorder="1" applyAlignment="1">
      <alignment horizontal="left" vertical="center"/>
    </xf>
    <xf numFmtId="0" fontId="0" fillId="40" borderId="114" xfId="0" applyFill="1" applyBorder="1" applyAlignment="1">
      <alignment horizontal="left" vertical="center"/>
    </xf>
    <xf numFmtId="0" fontId="0" fillId="44" borderId="95" xfId="0" applyFill="1" applyBorder="1" applyAlignment="1">
      <alignment horizontal="left" vertical="center"/>
    </xf>
    <xf numFmtId="0" fontId="0" fillId="37" borderId="95" xfId="0" applyFill="1" applyBorder="1" applyAlignment="1">
      <alignment horizontal="left" vertical="center"/>
    </xf>
    <xf numFmtId="0" fontId="0" fillId="45" borderId="95" xfId="0" applyFill="1" applyBorder="1" applyAlignment="1">
      <alignment horizontal="left" vertical="center"/>
    </xf>
    <xf numFmtId="0" fontId="0" fillId="46" borderId="95" xfId="0" applyFill="1" applyBorder="1" applyAlignment="1">
      <alignment horizontal="left" vertical="center"/>
    </xf>
    <xf numFmtId="0" fontId="0" fillId="40" borderId="95" xfId="0" applyFill="1" applyBorder="1" applyAlignment="1">
      <alignment horizontal="left" vertical="center"/>
    </xf>
    <xf numFmtId="0" fontId="0" fillId="35" borderId="117" xfId="0" applyFill="1" applyBorder="1" applyAlignment="1">
      <alignment horizontal="left" vertical="center"/>
    </xf>
    <xf numFmtId="0" fontId="0" fillId="35" borderId="118" xfId="0" applyFill="1" applyBorder="1" applyAlignment="1">
      <alignment horizontal="left" vertical="center"/>
    </xf>
    <xf numFmtId="0" fontId="0" fillId="6" borderId="119" xfId="0" applyFill="1" applyBorder="1" applyAlignment="1">
      <alignment horizontal="center" vertical="center"/>
    </xf>
    <xf numFmtId="0" fontId="0" fillId="35" borderId="119" xfId="0" applyFill="1" applyBorder="1" applyAlignment="1">
      <alignment horizontal="left" vertical="center" wrapText="1"/>
    </xf>
    <xf numFmtId="0" fontId="0" fillId="35" borderId="120" xfId="0" applyFill="1" applyBorder="1" applyAlignment="1">
      <alignment horizontal="left" vertical="center"/>
    </xf>
    <xf numFmtId="0" fontId="0" fillId="6" borderId="121" xfId="0" applyFill="1" applyBorder="1" applyAlignment="1">
      <alignment horizontal="center" vertical="center"/>
    </xf>
    <xf numFmtId="0" fontId="0" fillId="6" borderId="115" xfId="0" applyFill="1" applyBorder="1" applyAlignment="1">
      <alignment horizontal="left" vertical="center"/>
    </xf>
    <xf numFmtId="0" fontId="0" fillId="6" borderId="116" xfId="0" applyFill="1" applyBorder="1" applyAlignment="1">
      <alignment horizontal="left" vertical="center"/>
    </xf>
    <xf numFmtId="0" fontId="0" fillId="6" borderId="121" xfId="0" applyFill="1" applyBorder="1" applyAlignment="1">
      <alignment horizontal="left" vertical="center" wrapText="1"/>
    </xf>
    <xf numFmtId="0" fontId="0" fillId="6" borderId="122" xfId="0" applyFill="1" applyBorder="1" applyAlignment="1">
      <alignment horizontal="left" vertical="center"/>
    </xf>
    <xf numFmtId="0" fontId="0" fillId="6" borderId="92" xfId="0" applyFill="1" applyBorder="1" applyAlignment="1">
      <alignment horizontal="center" wrapText="1"/>
    </xf>
    <xf numFmtId="0" fontId="0" fillId="44" borderId="0" xfId="0" applyFill="1" applyBorder="1" applyAlignment="1">
      <alignment horizontal="left"/>
    </xf>
    <xf numFmtId="0" fontId="30" fillId="0" borderId="0" xfId="0" applyFont="1" applyBorder="1" applyAlignment="1">
      <alignment horizontal="left"/>
    </xf>
    <xf numFmtId="0" fontId="69" fillId="0" borderId="0" xfId="0" applyFont="1" applyBorder="1" applyAlignment="1">
      <alignment horizontal="left"/>
    </xf>
    <xf numFmtId="0" fontId="0" fillId="37" borderId="0" xfId="0" applyFill="1" applyBorder="1" applyAlignment="1">
      <alignment horizontal="left"/>
    </xf>
    <xf numFmtId="0" fontId="0" fillId="45" borderId="0" xfId="0" applyFill="1" applyBorder="1" applyAlignment="1">
      <alignment horizontal="left"/>
    </xf>
    <xf numFmtId="0" fontId="0" fillId="46" borderId="0" xfId="0" applyFill="1" applyBorder="1" applyAlignment="1">
      <alignment horizontal="left"/>
    </xf>
    <xf numFmtId="0" fontId="0" fillId="40" borderId="0" xfId="0" applyFill="1" applyBorder="1" applyAlignment="1">
      <alignment horizontal="left"/>
    </xf>
    <xf numFmtId="0" fontId="0" fillId="47" borderId="0" xfId="0" applyFill="1" applyBorder="1" applyAlignment="1">
      <alignment horizontal="left"/>
    </xf>
    <xf numFmtId="0" fontId="0" fillId="0" borderId="0" xfId="0" applyFill="1" applyBorder="1" applyAlignment="1">
      <alignment horizontal="left"/>
    </xf>
    <xf numFmtId="179" fontId="64" fillId="0" borderId="0" xfId="0" applyNumberFormat="1" applyFont="1" applyFill="1" applyBorder="1" applyAlignment="1">
      <alignment horizontal="left"/>
    </xf>
    <xf numFmtId="0" fontId="0" fillId="40" borderId="0" xfId="0" applyFill="1" applyBorder="1" applyAlignment="1">
      <alignment horizontal="center" vertical="center" wrapText="1"/>
    </xf>
    <xf numFmtId="3" fontId="30" fillId="0" borderId="0" xfId="0" applyNumberFormat="1" applyFont="1" applyFill="1" applyBorder="1" applyAlignment="1">
      <alignment horizontal="left" vertical="center"/>
    </xf>
    <xf numFmtId="0" fontId="0" fillId="0" borderId="123" xfId="0" applyBorder="1" applyAlignment="1">
      <alignment horizontal="left" vertical="top" wrapText="1"/>
    </xf>
    <xf numFmtId="0" fontId="7" fillId="0" borderId="0" xfId="0" applyFont="1" applyBorder="1" applyAlignment="1">
      <alignment horizontal="left"/>
    </xf>
    <xf numFmtId="0" fontId="0" fillId="0" borderId="3" xfId="0" applyBorder="1" applyAlignment="1">
      <alignment horizontal="left" vertical="top" wrapText="1"/>
    </xf>
    <xf numFmtId="0" fontId="0" fillId="35" borderId="0" xfId="0" applyFill="1" applyBorder="1" applyAlignment="1">
      <alignment horizontal="center" vertical="center" wrapText="1"/>
    </xf>
    <xf numFmtId="0" fontId="65" fillId="0" borderId="0" xfId="0" applyFont="1" applyBorder="1" applyAlignment="1">
      <alignment horizontal="left"/>
    </xf>
    <xf numFmtId="4" fontId="2" fillId="6" borderId="8" xfId="47" applyNumberFormat="1" applyFont="1" applyFill="1" applyBorder="1" applyAlignment="1">
      <alignment horizontal="center"/>
    </xf>
    <xf numFmtId="0" fontId="9" fillId="0" borderId="0" xfId="11" quotePrefix="1" applyFont="1"/>
    <xf numFmtId="0" fontId="9" fillId="0" borderId="0" xfId="11" applyFont="1" applyFill="1"/>
    <xf numFmtId="0" fontId="8" fillId="0" borderId="0" xfId="2" applyFont="1" applyBorder="1" applyAlignment="1">
      <alignment horizontal="center"/>
    </xf>
    <xf numFmtId="0" fontId="0" fillId="0" borderId="0" xfId="0"/>
    <xf numFmtId="0" fontId="8" fillId="43" borderId="0" xfId="2" applyFont="1" applyFill="1" applyBorder="1" applyAlignment="1">
      <alignment horizontal="center"/>
    </xf>
    <xf numFmtId="177" fontId="7" fillId="6" borderId="0" xfId="2" applyNumberFormat="1" applyFont="1" applyFill="1" applyBorder="1" applyAlignment="1">
      <alignment horizontal="right"/>
    </xf>
    <xf numFmtId="172" fontId="8" fillId="54" borderId="0" xfId="2" applyNumberFormat="1" applyFont="1" applyFill="1" applyBorder="1"/>
    <xf numFmtId="44" fontId="7" fillId="0" borderId="0" xfId="2" applyNumberFormat="1" applyFont="1" applyBorder="1"/>
    <xf numFmtId="185" fontId="0" fillId="0" borderId="0" xfId="47" applyNumberFormat="1" applyFont="1"/>
    <xf numFmtId="1" fontId="89" fillId="0" borderId="107" xfId="0" applyNumberFormat="1" applyFont="1" applyBorder="1" applyAlignment="1">
      <alignment horizontal="center" vertical="center"/>
    </xf>
    <xf numFmtId="1" fontId="89" fillId="0" borderId="0" xfId="0" applyNumberFormat="1" applyFont="1" applyAlignment="1">
      <alignment horizontal="center" vertical="center"/>
    </xf>
    <xf numFmtId="1" fontId="89" fillId="0" borderId="110" xfId="0" applyNumberFormat="1" applyFont="1" applyBorder="1" applyAlignment="1">
      <alignment horizontal="center" vertical="center"/>
    </xf>
    <xf numFmtId="42" fontId="0" fillId="0" borderId="0" xfId="0" applyNumberFormat="1"/>
    <xf numFmtId="0" fontId="0" fillId="0" borderId="0" xfId="0"/>
    <xf numFmtId="171" fontId="72" fillId="13" borderId="3" xfId="0" applyNumberFormat="1" applyFont="1" applyFill="1" applyBorder="1" applyAlignment="1">
      <alignment horizontal="center" vertical="center" wrapText="1"/>
    </xf>
    <xf numFmtId="3" fontId="0" fillId="8" borderId="69" xfId="0" applyNumberFormat="1" applyFill="1" applyBorder="1"/>
    <xf numFmtId="0" fontId="0" fillId="0" borderId="0" xfId="0"/>
    <xf numFmtId="3" fontId="5" fillId="0" borderId="69" xfId="0" applyNumberFormat="1" applyFont="1" applyBorder="1"/>
    <xf numFmtId="0" fontId="0" fillId="35" borderId="0" xfId="0" applyFill="1"/>
    <xf numFmtId="9" fontId="7" fillId="0" borderId="0" xfId="1" applyFont="1"/>
    <xf numFmtId="2" fontId="5" fillId="44" borderId="92" xfId="0" applyNumberFormat="1" applyFont="1" applyFill="1" applyBorder="1" applyAlignment="1">
      <alignment horizontal="center"/>
    </xf>
    <xf numFmtId="2" fontId="5" fillId="48" borderId="92" xfId="0" applyNumberFormat="1" applyFont="1" applyFill="1" applyBorder="1" applyAlignment="1">
      <alignment horizontal="center"/>
    </xf>
    <xf numFmtId="2" fontId="5" fillId="45" borderId="92" xfId="0" applyNumberFormat="1" applyFont="1" applyFill="1" applyBorder="1" applyAlignment="1">
      <alignment horizontal="center"/>
    </xf>
    <xf numFmtId="2" fontId="5" fillId="50" borderId="69" xfId="0" applyNumberFormat="1" applyFont="1" applyFill="1" applyBorder="1" applyAlignment="1">
      <alignment horizontal="center"/>
    </xf>
    <xf numFmtId="2" fontId="5" fillId="40" borderId="92" xfId="0" applyNumberFormat="1" applyFont="1" applyFill="1" applyBorder="1" applyAlignment="1">
      <alignment horizontal="center"/>
    </xf>
    <xf numFmtId="2" fontId="5" fillId="35" borderId="92" xfId="0" applyNumberFormat="1" applyFont="1" applyFill="1" applyBorder="1" applyAlignment="1">
      <alignment horizontal="center"/>
    </xf>
    <xf numFmtId="0" fontId="7" fillId="8" borderId="69" xfId="0" applyFont="1" applyFill="1" applyBorder="1"/>
    <xf numFmtId="0" fontId="94" fillId="0" borderId="69" xfId="0" applyFont="1" applyBorder="1" applyAlignment="1">
      <alignment horizontal="right"/>
    </xf>
    <xf numFmtId="3" fontId="7" fillId="8" borderId="69" xfId="0" applyNumberFormat="1" applyFont="1" applyFill="1" applyBorder="1"/>
    <xf numFmtId="0" fontId="83" fillId="0" borderId="0" xfId="11" applyFont="1" applyAlignment="1">
      <alignment horizontal="center" vertical="center"/>
    </xf>
    <xf numFmtId="0" fontId="85" fillId="0" borderId="0" xfId="0" applyFont="1" applyAlignment="1">
      <alignment horizontal="center"/>
    </xf>
    <xf numFmtId="0" fontId="86" fillId="0" borderId="0" xfId="11" applyFont="1" applyAlignment="1">
      <alignment horizontal="center"/>
    </xf>
    <xf numFmtId="0" fontId="84" fillId="0" borderId="0" xfId="11" applyFont="1" applyAlignment="1">
      <alignment horizontal="center" vertical="center"/>
    </xf>
    <xf numFmtId="0" fontId="56" fillId="0" borderId="0" xfId="11" applyFont="1"/>
    <xf numFmtId="0" fontId="8" fillId="2" borderId="3" xfId="0" applyFont="1" applyFill="1" applyBorder="1" applyAlignment="1">
      <alignment horizontal="center" vertical="center"/>
    </xf>
    <xf numFmtId="0" fontId="8" fillId="2" borderId="1" xfId="0" applyFont="1" applyFill="1" applyBorder="1" applyAlignment="1">
      <alignment horizontal="center" vertical="center"/>
    </xf>
    <xf numFmtId="0" fontId="55" fillId="0" borderId="78" xfId="0" applyFont="1" applyBorder="1" applyAlignment="1">
      <alignment horizontal="center"/>
    </xf>
    <xf numFmtId="0" fontId="4" fillId="3" borderId="46" xfId="0" applyFont="1" applyFill="1" applyBorder="1" applyAlignment="1">
      <alignment horizontal="center" vertical="center"/>
    </xf>
    <xf numFmtId="0" fontId="4" fillId="3" borderId="48" xfId="0" applyFont="1" applyFill="1" applyBorder="1" applyAlignment="1">
      <alignment horizontal="center" vertical="center"/>
    </xf>
    <xf numFmtId="0" fontId="4" fillId="3" borderId="72" xfId="0" applyFont="1" applyFill="1" applyBorder="1" applyAlignment="1">
      <alignment horizontal="center" vertical="center"/>
    </xf>
    <xf numFmtId="0" fontId="4" fillId="3" borderId="47" xfId="0" applyFont="1" applyFill="1" applyBorder="1" applyAlignment="1">
      <alignment horizontal="center" vertical="center"/>
    </xf>
    <xf numFmtId="0" fontId="4" fillId="3" borderId="51" xfId="0" applyFont="1" applyFill="1" applyBorder="1" applyAlignment="1">
      <alignment horizontal="center" vertical="center" wrapText="1"/>
    </xf>
    <xf numFmtId="0" fontId="4" fillId="3" borderId="42"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5" fillId="36" borderId="46" xfId="0" applyFont="1" applyFill="1" applyBorder="1" applyAlignment="1">
      <alignment horizontal="center" vertical="center" wrapText="1"/>
    </xf>
    <xf numFmtId="0" fontId="5" fillId="36" borderId="47" xfId="0" applyFont="1" applyFill="1" applyBorder="1" applyAlignment="1">
      <alignment horizontal="center" vertical="center" wrapText="1"/>
    </xf>
    <xf numFmtId="0" fontId="5" fillId="36" borderId="72" xfId="0" applyFont="1" applyFill="1" applyBorder="1" applyAlignment="1">
      <alignment horizontal="center" vertical="center" wrapText="1"/>
    </xf>
    <xf numFmtId="0" fontId="55" fillId="0" borderId="0" xfId="0" applyFont="1" applyAlignment="1">
      <alignment horizontal="center"/>
    </xf>
    <xf numFmtId="0" fontId="0" fillId="0" borderId="13" xfId="0" applyBorder="1" applyAlignment="1">
      <alignment horizontal="center"/>
    </xf>
    <xf numFmtId="0" fontId="0" fillId="0" borderId="43" xfId="0" applyBorder="1" applyAlignment="1">
      <alignment horizontal="center"/>
    </xf>
    <xf numFmtId="0" fontId="0" fillId="0" borderId="14" xfId="0" applyBorder="1" applyAlignment="1">
      <alignment horizontal="center"/>
    </xf>
    <xf numFmtId="0" fontId="0" fillId="0" borderId="3" xfId="0"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0" fillId="0" borderId="81" xfId="0" applyBorder="1" applyAlignment="1">
      <alignment horizontal="center"/>
    </xf>
    <xf numFmtId="0" fontId="0" fillId="0" borderId="84" xfId="0" applyBorder="1" applyAlignment="1">
      <alignment horizontal="center"/>
    </xf>
    <xf numFmtId="0" fontId="0" fillId="0" borderId="82" xfId="0" applyBorder="1" applyAlignment="1">
      <alignment horizontal="center"/>
    </xf>
    <xf numFmtId="0" fontId="0" fillId="0" borderId="124" xfId="0" applyBorder="1" applyAlignment="1">
      <alignment horizontal="center"/>
    </xf>
    <xf numFmtId="0" fontId="0" fillId="0" borderId="125" xfId="0" applyBorder="1" applyAlignment="1">
      <alignment horizontal="center"/>
    </xf>
    <xf numFmtId="0" fontId="0" fillId="0" borderId="126" xfId="0" applyBorder="1" applyAlignment="1">
      <alignment horizontal="center"/>
    </xf>
    <xf numFmtId="0" fontId="0" fillId="0" borderId="69" xfId="0" applyBorder="1" applyAlignment="1">
      <alignment horizontal="left"/>
    </xf>
    <xf numFmtId="0" fontId="5" fillId="0" borderId="69" xfId="0" applyFont="1" applyBorder="1" applyAlignment="1">
      <alignment horizontal="left"/>
    </xf>
    <xf numFmtId="0" fontId="69" fillId="0" borderId="69" xfId="0" applyFont="1" applyBorder="1" applyAlignment="1">
      <alignment horizontal="left"/>
    </xf>
    <xf numFmtId="0" fontId="0" fillId="47" borderId="92" xfId="0" applyFill="1" applyBorder="1" applyAlignment="1">
      <alignment horizontal="left"/>
    </xf>
    <xf numFmtId="0" fontId="30" fillId="0" borderId="69" xfId="0" applyFont="1" applyBorder="1" applyAlignment="1">
      <alignment horizontal="left"/>
    </xf>
    <xf numFmtId="0" fontId="0" fillId="40" borderId="69" xfId="0" applyFill="1" applyBorder="1" applyAlignment="1">
      <alignment horizontal="left"/>
    </xf>
    <xf numFmtId="0" fontId="0" fillId="46" borderId="92" xfId="0" applyFill="1" applyBorder="1" applyAlignment="1">
      <alignment horizontal="left"/>
    </xf>
    <xf numFmtId="0" fontId="0" fillId="45" borderId="92" xfId="0" applyFill="1" applyBorder="1" applyAlignment="1">
      <alignment horizontal="left"/>
    </xf>
    <xf numFmtId="0" fontId="0" fillId="37" borderId="69" xfId="0" applyFill="1" applyBorder="1" applyAlignment="1">
      <alignment horizontal="left"/>
    </xf>
    <xf numFmtId="0" fontId="0" fillId="0" borderId="69" xfId="0" applyBorder="1" applyAlignment="1">
      <alignment horizontal="center"/>
    </xf>
    <xf numFmtId="171" fontId="5" fillId="0" borderId="69" xfId="0" applyNumberFormat="1" applyFont="1" applyFill="1" applyBorder="1" applyAlignment="1">
      <alignment horizontal="center"/>
    </xf>
    <xf numFmtId="0" fontId="0" fillId="0" borderId="0" xfId="0" applyAlignment="1">
      <alignment horizontal="left" vertical="center" wrapText="1"/>
    </xf>
    <xf numFmtId="0" fontId="0" fillId="44" borderId="92" xfId="0" applyFill="1" applyBorder="1" applyAlignment="1">
      <alignment horizontal="left"/>
    </xf>
    <xf numFmtId="0" fontId="73" fillId="0" borderId="0" xfId="0" applyFont="1" applyAlignment="1">
      <alignment vertical="top" wrapText="1"/>
    </xf>
    <xf numFmtId="3" fontId="0" fillId="0" borderId="13" xfId="0" applyNumberFormat="1" applyBorder="1" applyAlignment="1">
      <alignment horizontal="center"/>
    </xf>
    <xf numFmtId="3" fontId="0" fillId="0" borderId="43" xfId="0" applyNumberFormat="1" applyBorder="1" applyAlignment="1">
      <alignment horizontal="center"/>
    </xf>
    <xf numFmtId="3" fontId="0" fillId="0" borderId="14" xfId="0" applyNumberFormat="1" applyBorder="1" applyAlignment="1">
      <alignment horizontal="center"/>
    </xf>
    <xf numFmtId="3" fontId="0" fillId="0" borderId="81" xfId="0" applyNumberFormat="1" applyBorder="1" applyAlignment="1">
      <alignment horizontal="center"/>
    </xf>
    <xf numFmtId="3" fontId="0" fillId="0" borderId="84" xfId="0" applyNumberFormat="1" applyBorder="1" applyAlignment="1">
      <alignment horizontal="center"/>
    </xf>
    <xf numFmtId="3" fontId="0" fillId="0" borderId="82" xfId="0" applyNumberFormat="1" applyBorder="1" applyAlignment="1">
      <alignment horizontal="center"/>
    </xf>
    <xf numFmtId="0" fontId="0" fillId="0" borderId="92" xfId="0" applyFill="1" applyBorder="1" applyAlignment="1">
      <alignment horizontal="left"/>
    </xf>
    <xf numFmtId="0" fontId="0" fillId="0" borderId="69" xfId="0" applyBorder="1" applyAlignment="1">
      <alignment horizontal="left" vertical="top" wrapText="1"/>
    </xf>
    <xf numFmtId="0" fontId="0" fillId="0" borderId="3" xfId="0" applyBorder="1" applyAlignment="1">
      <alignment horizontal="center" vertical="top" wrapText="1"/>
    </xf>
    <xf numFmtId="0" fontId="0" fillId="0" borderId="0" xfId="0" applyBorder="1" applyAlignment="1">
      <alignment horizontal="center" vertical="top" wrapText="1"/>
    </xf>
    <xf numFmtId="0" fontId="0" fillId="35" borderId="92" xfId="0" applyFill="1" applyBorder="1" applyAlignment="1">
      <alignment horizontal="center" vertical="center" wrapText="1"/>
    </xf>
    <xf numFmtId="3" fontId="30" fillId="0" borderId="69" xfId="0" applyNumberFormat="1" applyFont="1" applyFill="1" applyBorder="1" applyAlignment="1">
      <alignment horizontal="left" vertical="center"/>
    </xf>
    <xf numFmtId="0" fontId="7" fillId="0" borderId="69" xfId="0" applyFont="1" applyBorder="1" applyAlignment="1">
      <alignment horizontal="left"/>
    </xf>
    <xf numFmtId="0" fontId="67" fillId="0" borderId="69" xfId="0" applyFont="1" applyBorder="1" applyAlignment="1">
      <alignment horizontal="center"/>
    </xf>
    <xf numFmtId="0" fontId="65" fillId="0" borderId="86" xfId="0" applyFont="1" applyBorder="1" applyAlignment="1">
      <alignment horizontal="left"/>
    </xf>
    <xf numFmtId="0" fontId="65" fillId="0" borderId="87" xfId="0" applyFont="1" applyBorder="1" applyAlignment="1">
      <alignment horizontal="left"/>
    </xf>
    <xf numFmtId="0" fontId="65" fillId="0" borderId="40" xfId="0" applyFont="1" applyBorder="1" applyAlignment="1">
      <alignment horizontal="left"/>
    </xf>
    <xf numFmtId="179" fontId="64" fillId="0" borderId="86" xfId="0" applyNumberFormat="1" applyFont="1" applyFill="1" applyBorder="1" applyAlignment="1">
      <alignment horizontal="left"/>
    </xf>
    <xf numFmtId="179" fontId="64" fillId="0" borderId="87" xfId="0" applyNumberFormat="1" applyFont="1" applyFill="1" applyBorder="1" applyAlignment="1">
      <alignment horizontal="left"/>
    </xf>
    <xf numFmtId="179" fontId="64" fillId="0" borderId="40" xfId="0" applyNumberFormat="1" applyFont="1" applyFill="1" applyBorder="1" applyAlignment="1">
      <alignment horizontal="left"/>
    </xf>
    <xf numFmtId="0" fontId="0" fillId="40" borderId="69" xfId="0" applyFill="1" applyBorder="1" applyAlignment="1">
      <alignment horizontal="center" vertical="center" wrapText="1"/>
    </xf>
    <xf numFmtId="0" fontId="0" fillId="0" borderId="86" xfId="0" applyBorder="1" applyAlignment="1">
      <alignment horizontal="center"/>
    </xf>
    <xf numFmtId="0" fontId="0" fillId="0" borderId="87" xfId="0" applyBorder="1" applyAlignment="1">
      <alignment horizontal="center"/>
    </xf>
    <xf numFmtId="0" fontId="0" fillId="0" borderId="40" xfId="0" applyBorder="1" applyAlignment="1">
      <alignment horizontal="center"/>
    </xf>
    <xf numFmtId="0" fontId="0" fillId="0" borderId="43" xfId="0" applyBorder="1" applyAlignment="1">
      <alignment wrapText="1"/>
    </xf>
    <xf numFmtId="0" fontId="0" fillId="35" borderId="93" xfId="0" applyFill="1" applyBorder="1" applyAlignment="1">
      <alignment horizontal="center" wrapText="1"/>
    </xf>
    <xf numFmtId="0" fontId="0" fillId="35" borderId="94" xfId="0" applyFill="1" applyBorder="1" applyAlignment="1">
      <alignment horizontal="center" wrapText="1"/>
    </xf>
    <xf numFmtId="0" fontId="0" fillId="35" borderId="95" xfId="0" applyFill="1" applyBorder="1" applyAlignment="1">
      <alignment horizontal="center" wrapText="1"/>
    </xf>
    <xf numFmtId="0" fontId="77" fillId="0" borderId="0" xfId="0" applyFont="1" applyAlignment="1">
      <alignment horizontal="center"/>
    </xf>
    <xf numFmtId="0" fontId="0" fillId="44" borderId="93" xfId="0" applyFill="1" applyBorder="1" applyAlignment="1">
      <alignment horizontal="center" wrapText="1"/>
    </xf>
    <xf numFmtId="0" fontId="0" fillId="44" borderId="94" xfId="0" applyFill="1" applyBorder="1" applyAlignment="1">
      <alignment horizontal="center" wrapText="1"/>
    </xf>
    <xf numFmtId="0" fontId="0" fillId="44" borderId="95" xfId="0" applyFill="1" applyBorder="1" applyAlignment="1">
      <alignment horizontal="center" wrapText="1"/>
    </xf>
    <xf numFmtId="0" fontId="0" fillId="37" borderId="93" xfId="0" applyFill="1" applyBorder="1" applyAlignment="1">
      <alignment horizontal="center" wrapText="1"/>
    </xf>
    <xf numFmtId="0" fontId="0" fillId="37" borderId="94" xfId="0" applyFill="1" applyBorder="1" applyAlignment="1">
      <alignment horizontal="center" wrapText="1"/>
    </xf>
    <xf numFmtId="0" fontId="0" fillId="37" borderId="95" xfId="0" applyFill="1" applyBorder="1" applyAlignment="1">
      <alignment horizontal="center" wrapText="1"/>
    </xf>
    <xf numFmtId="0" fontId="0" fillId="40" borderId="93" xfId="0" applyFill="1" applyBorder="1" applyAlignment="1">
      <alignment horizontal="center" wrapText="1"/>
    </xf>
    <xf numFmtId="0" fontId="0" fillId="40" borderId="94" xfId="0" applyFill="1" applyBorder="1" applyAlignment="1">
      <alignment horizontal="center" wrapText="1"/>
    </xf>
    <xf numFmtId="0" fontId="0" fillId="40" borderId="95" xfId="0" applyFill="1" applyBorder="1" applyAlignment="1">
      <alignment horizontal="center" wrapText="1"/>
    </xf>
    <xf numFmtId="0" fontId="0" fillId="46" borderId="93" xfId="0" applyFill="1" applyBorder="1" applyAlignment="1">
      <alignment horizontal="center" wrapText="1"/>
    </xf>
    <xf numFmtId="0" fontId="0" fillId="46" borderId="94" xfId="0" applyFill="1" applyBorder="1" applyAlignment="1">
      <alignment horizontal="center" wrapText="1"/>
    </xf>
    <xf numFmtId="0" fontId="0" fillId="46" borderId="95" xfId="0" applyFill="1" applyBorder="1" applyAlignment="1">
      <alignment horizontal="center" wrapText="1"/>
    </xf>
    <xf numFmtId="0" fontId="0" fillId="45" borderId="93" xfId="0" applyFill="1" applyBorder="1" applyAlignment="1">
      <alignment horizontal="center" wrapText="1"/>
    </xf>
    <xf numFmtId="0" fontId="0" fillId="45" borderId="94" xfId="0" applyFill="1" applyBorder="1" applyAlignment="1">
      <alignment horizontal="center" wrapText="1"/>
    </xf>
    <xf numFmtId="0" fontId="0" fillId="45" borderId="95" xfId="0" applyFill="1" applyBorder="1" applyAlignment="1">
      <alignment horizontal="center" wrapText="1"/>
    </xf>
    <xf numFmtId="0" fontId="79" fillId="0" borderId="0" xfId="0" applyFont="1" applyAlignment="1">
      <alignment horizontal="left"/>
    </xf>
    <xf numFmtId="0" fontId="77" fillId="0" borderId="97" xfId="0" applyFont="1" applyBorder="1" applyAlignment="1">
      <alignment horizontal="center"/>
    </xf>
    <xf numFmtId="0" fontId="16" fillId="0" borderId="0" xfId="0" applyFont="1" applyAlignment="1">
      <alignment vertical="top" wrapText="1"/>
    </xf>
    <xf numFmtId="0" fontId="24" fillId="6" borderId="16" xfId="0" applyFont="1" applyFill="1" applyBorder="1" applyAlignment="1">
      <alignment horizontal="center" vertical="center"/>
    </xf>
    <xf numFmtId="0" fontId="0" fillId="0" borderId="16" xfId="0" applyBorder="1" applyAlignment="1">
      <alignment horizontal="center"/>
    </xf>
    <xf numFmtId="0" fontId="0" fillId="8" borderId="46" xfId="0" applyFill="1" applyBorder="1" applyAlignment="1">
      <alignment horizontal="center" vertical="center"/>
    </xf>
    <xf numFmtId="0" fontId="0" fillId="8" borderId="48" xfId="0" applyFill="1" applyBorder="1" applyAlignment="1">
      <alignment horizontal="center" vertical="center"/>
    </xf>
    <xf numFmtId="0" fontId="0" fillId="8" borderId="47" xfId="0" applyFill="1" applyBorder="1" applyAlignment="1">
      <alignment horizontal="center" vertical="center"/>
    </xf>
    <xf numFmtId="0" fontId="0" fillId="0" borderId="48" xfId="0" applyBorder="1"/>
    <xf numFmtId="0" fontId="0" fillId="0" borderId="3" xfId="0" applyBorder="1" applyAlignment="1">
      <alignment horizontal="left" vertical="center" indent="1"/>
    </xf>
    <xf numFmtId="0" fontId="0" fillId="0" borderId="0" xfId="0" applyBorder="1" applyAlignment="1">
      <alignment horizontal="left" vertical="center" indent="1"/>
    </xf>
    <xf numFmtId="0" fontId="0" fillId="0" borderId="1" xfId="0" applyBorder="1" applyAlignment="1">
      <alignment horizontal="left" vertical="center" indent="1"/>
    </xf>
    <xf numFmtId="169" fontId="0" fillId="0" borderId="3" xfId="0" applyNumberFormat="1" applyBorder="1" applyAlignment="1">
      <alignment horizontal="right" vertical="center" indent="2"/>
    </xf>
    <xf numFmtId="0" fontId="0" fillId="0" borderId="0" xfId="0"/>
    <xf numFmtId="0" fontId="0" fillId="0" borderId="3" xfId="0" applyFont="1" applyFill="1" applyBorder="1" applyAlignment="1">
      <alignment horizontal="left" vertical="center" indent="1"/>
    </xf>
    <xf numFmtId="0" fontId="0" fillId="0" borderId="0" xfId="0" applyFont="1" applyFill="1" applyBorder="1" applyAlignment="1">
      <alignment horizontal="left" vertical="center" indent="1"/>
    </xf>
    <xf numFmtId="0" fontId="0" fillId="0" borderId="1" xfId="0" applyFont="1" applyFill="1" applyBorder="1" applyAlignment="1">
      <alignment horizontal="left" vertical="center" indent="1"/>
    </xf>
    <xf numFmtId="169" fontId="0" fillId="0" borderId="3" xfId="0" applyNumberFormat="1" applyFont="1" applyFill="1" applyBorder="1" applyAlignment="1">
      <alignment horizontal="right" vertical="center" indent="2"/>
    </xf>
    <xf numFmtId="0" fontId="0" fillId="0" borderId="0" xfId="0" applyFont="1" applyFill="1"/>
    <xf numFmtId="0" fontId="26" fillId="0" borderId="42" xfId="0" applyFont="1" applyBorder="1" applyAlignment="1">
      <alignment horizontal="right" vertical="center" indent="1"/>
    </xf>
    <xf numFmtId="169" fontId="26" fillId="0" borderId="42" xfId="0" applyNumberFormat="1" applyFont="1" applyBorder="1" applyAlignment="1">
      <alignment horizontal="right" vertical="center" indent="2"/>
    </xf>
    <xf numFmtId="9" fontId="0" fillId="0" borderId="0" xfId="0" applyNumberFormat="1" applyBorder="1" applyAlignment="1">
      <alignment horizontal="right" vertical="center" indent="1"/>
    </xf>
    <xf numFmtId="169" fontId="0" fillId="0" borderId="0" xfId="0" applyNumberFormat="1" applyBorder="1" applyAlignment="1">
      <alignment horizontal="right" vertical="center" indent="2"/>
    </xf>
    <xf numFmtId="9" fontId="0" fillId="0" borderId="20" xfId="0" applyNumberFormat="1" applyBorder="1" applyAlignment="1">
      <alignment horizontal="right" vertical="center" indent="1"/>
    </xf>
    <xf numFmtId="169" fontId="0" fillId="0" borderId="20" xfId="0" applyNumberFormat="1" applyBorder="1" applyAlignment="1">
      <alignment horizontal="right" vertical="center" indent="2"/>
    </xf>
    <xf numFmtId="0" fontId="0" fillId="0" borderId="10" xfId="0" applyBorder="1" applyAlignment="1">
      <alignment horizontal="left" vertical="center" indent="1"/>
    </xf>
    <xf numFmtId="0" fontId="0" fillId="0" borderId="20" xfId="0" applyBorder="1" applyAlignment="1">
      <alignment horizontal="left" vertical="center" indent="1"/>
    </xf>
    <xf numFmtId="0" fontId="0" fillId="0" borderId="11" xfId="0" applyBorder="1" applyAlignment="1">
      <alignment horizontal="left" vertical="center" indent="1"/>
    </xf>
    <xf numFmtId="169" fontId="0" fillId="0" borderId="10" xfId="0" applyNumberFormat="1" applyBorder="1" applyAlignment="1">
      <alignment horizontal="right" vertical="center" indent="2"/>
    </xf>
    <xf numFmtId="0" fontId="0" fillId="0" borderId="20" xfId="0" applyBorder="1"/>
    <xf numFmtId="0" fontId="24" fillId="0" borderId="16" xfId="0" applyFont="1" applyBorder="1" applyAlignment="1">
      <alignment horizontal="right" vertical="center" indent="1"/>
    </xf>
    <xf numFmtId="169" fontId="24" fillId="0" borderId="16" xfId="0" applyNumberFormat="1" applyFont="1" applyBorder="1" applyAlignment="1">
      <alignment horizontal="right" vertical="center" indent="2"/>
    </xf>
    <xf numFmtId="0" fontId="0" fillId="0" borderId="3" xfId="0" applyFont="1" applyFill="1" applyBorder="1" applyAlignment="1">
      <alignment horizontal="left" vertical="center" wrapText="1" indent="1"/>
    </xf>
    <xf numFmtId="0" fontId="0" fillId="0" borderId="0" xfId="0" applyFont="1" applyFill="1" applyBorder="1" applyAlignment="1">
      <alignment horizontal="left" vertical="center" wrapText="1" indent="1"/>
    </xf>
    <xf numFmtId="0" fontId="0" fillId="0" borderId="1" xfId="0" applyFont="1" applyFill="1" applyBorder="1" applyAlignment="1">
      <alignment horizontal="left" vertical="center" wrapText="1" indent="1"/>
    </xf>
    <xf numFmtId="0" fontId="0" fillId="0" borderId="10" xfId="0" applyFont="1" applyFill="1" applyBorder="1" applyAlignment="1">
      <alignment horizontal="left" vertical="center" wrapText="1" indent="1"/>
    </xf>
    <xf numFmtId="0" fontId="0" fillId="0" borderId="20" xfId="0" applyFont="1" applyFill="1" applyBorder="1" applyAlignment="1">
      <alignment horizontal="left" vertical="center" wrapText="1" indent="1"/>
    </xf>
    <xf numFmtId="0" fontId="0" fillId="0" borderId="11" xfId="0" applyFont="1" applyFill="1" applyBorder="1" applyAlignment="1">
      <alignment horizontal="left" vertical="center" wrapText="1" indent="1"/>
    </xf>
    <xf numFmtId="169" fontId="0" fillId="0" borderId="10" xfId="0" applyNumberFormat="1" applyFont="1" applyFill="1" applyBorder="1" applyAlignment="1">
      <alignment horizontal="right" vertical="center" indent="2"/>
    </xf>
    <xf numFmtId="0" fontId="0" fillId="0" borderId="20" xfId="0" applyFont="1" applyFill="1" applyBorder="1"/>
    <xf numFmtId="0" fontId="0" fillId="0" borderId="13" xfId="0" applyBorder="1" applyAlignment="1">
      <alignment horizontal="right" vertical="center" indent="2"/>
    </xf>
    <xf numFmtId="0" fontId="0" fillId="0" borderId="43" xfId="0" applyBorder="1" applyAlignment="1">
      <alignment horizontal="right" vertical="center" indent="2"/>
    </xf>
    <xf numFmtId="0" fontId="29" fillId="0" borderId="42" xfId="0" quotePrefix="1" applyFont="1" applyBorder="1" applyAlignment="1">
      <alignment horizontal="left" vertical="center" wrapText="1"/>
    </xf>
    <xf numFmtId="0" fontId="29" fillId="0" borderId="0" xfId="0" quotePrefix="1" applyFont="1" applyBorder="1" applyAlignment="1">
      <alignment horizontal="left" vertical="center" wrapText="1"/>
    </xf>
    <xf numFmtId="0" fontId="27" fillId="0" borderId="0" xfId="0" quotePrefix="1" applyFont="1" applyBorder="1" applyAlignment="1">
      <alignment horizontal="center" vertical="center" wrapText="1"/>
    </xf>
    <xf numFmtId="0" fontId="0" fillId="0" borderId="20" xfId="0" applyBorder="1" applyAlignment="1">
      <alignment horizontal="center" vertical="center"/>
    </xf>
    <xf numFmtId="0" fontId="0" fillId="0" borderId="1" xfId="0" applyBorder="1" applyAlignment="1">
      <alignment horizontal="left" vertical="center" wrapText="1" indent="1"/>
    </xf>
    <xf numFmtId="0" fontId="0" fillId="0" borderId="3" xfId="0" applyBorder="1" applyAlignment="1">
      <alignment horizontal="left" vertical="center" wrapText="1" indent="1"/>
    </xf>
    <xf numFmtId="0" fontId="0" fillId="0" borderId="0" xfId="0" applyBorder="1" applyAlignment="1">
      <alignment horizontal="left" vertical="center" wrapText="1" indent="1"/>
    </xf>
    <xf numFmtId="0" fontId="0" fillId="0" borderId="3" xfId="0" applyBorder="1"/>
    <xf numFmtId="0" fontId="27" fillId="0" borderId="0" xfId="0" applyFont="1" applyBorder="1" applyAlignment="1">
      <alignment vertical="center" wrapText="1"/>
    </xf>
    <xf numFmtId="0" fontId="27" fillId="0" borderId="20" xfId="0" applyFont="1" applyBorder="1" applyAlignment="1">
      <alignment vertical="center" wrapText="1"/>
    </xf>
    <xf numFmtId="0" fontId="27" fillId="0" borderId="0" xfId="0" applyFont="1" applyBorder="1" applyAlignment="1">
      <alignment horizontal="left" vertical="center" wrapText="1"/>
    </xf>
    <xf numFmtId="0" fontId="27" fillId="0" borderId="20" xfId="0" applyFont="1" applyBorder="1" applyAlignment="1">
      <alignment horizontal="left" vertical="center" wrapText="1"/>
    </xf>
    <xf numFmtId="0" fontId="60" fillId="0" borderId="0" xfId="150" applyFont="1" applyAlignment="1">
      <alignment horizontal="center" vertical="center" wrapText="1"/>
    </xf>
    <xf numFmtId="0" fontId="88" fillId="0" borderId="106" xfId="0" applyFont="1" applyBorder="1" applyAlignment="1">
      <alignment vertical="center"/>
    </xf>
    <xf numFmtId="0" fontId="88" fillId="0" borderId="107" xfId="0" applyFont="1" applyBorder="1" applyAlignment="1">
      <alignment vertical="center"/>
    </xf>
  </cellXfs>
  <cellStyles count="159">
    <cellStyle name="20% - Accent1 2" xfId="52"/>
    <cellStyle name="20% - Accent2 2" xfId="53"/>
    <cellStyle name="20% - Accent3 2" xfId="54"/>
    <cellStyle name="20% - Accent4 2" xfId="55"/>
    <cellStyle name="20% - Accent5 2" xfId="56"/>
    <cellStyle name="20% - Accent6 2" xfId="57"/>
    <cellStyle name="40% - Accent1 2" xfId="58"/>
    <cellStyle name="40% - Accent2 2" xfId="59"/>
    <cellStyle name="40% - Accent3 2" xfId="60"/>
    <cellStyle name="40% - Accent4 2" xfId="61"/>
    <cellStyle name="40% - Accent5 2" xfId="62"/>
    <cellStyle name="40% - Accent6 2" xfId="63"/>
    <cellStyle name="60% - Accent1 2" xfId="64"/>
    <cellStyle name="60% - Accent2 2" xfId="65"/>
    <cellStyle name="60% - Accent3 2" xfId="66"/>
    <cellStyle name="60% - Accent4 2" xfId="67"/>
    <cellStyle name="60% - Accent5 2" xfId="68"/>
    <cellStyle name="60% - Accent6 2" xfId="69"/>
    <cellStyle name="Accent1 2" xfId="70"/>
    <cellStyle name="Accent2 2" xfId="71"/>
    <cellStyle name="Accent3 2" xfId="72"/>
    <cellStyle name="Accent4 2" xfId="73"/>
    <cellStyle name="Accent5 2" xfId="74"/>
    <cellStyle name="Accent6 2" xfId="75"/>
    <cellStyle name="Bad 2" xfId="76"/>
    <cellStyle name="Calculation 10" xfId="77"/>
    <cellStyle name="Calculation 2" xfId="78"/>
    <cellStyle name="Calculation 3" xfId="79"/>
    <cellStyle name="Calculation 4" xfId="80"/>
    <cellStyle name="Calculation 5" xfId="81"/>
    <cellStyle name="Calculation 6" xfId="82"/>
    <cellStyle name="Calculation 7" xfId="83"/>
    <cellStyle name="Calculation 8" xfId="84"/>
    <cellStyle name="Calculation 9" xfId="85"/>
    <cellStyle name="Check Cell 2" xfId="86"/>
    <cellStyle name="Comma" xfId="47" builtinId="3"/>
    <cellStyle name="Comma 2" xfId="4"/>
    <cellStyle name="Comma 2 2" xfId="87"/>
    <cellStyle name="Comma 3" xfId="88"/>
    <cellStyle name="Comma 4" xfId="151"/>
    <cellStyle name="Comma0" xfId="12"/>
    <cellStyle name="Currency" xfId="157" builtinId="4"/>
    <cellStyle name="Currency 2" xfId="6"/>
    <cellStyle name="Currency 2 2" xfId="89"/>
    <cellStyle name="Currency 3" xfId="90"/>
    <cellStyle name="Currency 3 2" xfId="91"/>
    <cellStyle name="Currency 4" xfId="92"/>
    <cellStyle name="Currency0" xfId="13"/>
    <cellStyle name="Date" xfId="14"/>
    <cellStyle name="Euro" xfId="7"/>
    <cellStyle name="Explanatory Text 2" xfId="93"/>
    <cellStyle name="Fixed" xfId="15"/>
    <cellStyle name="Followed Hyperlink" xfId="156" builtinId="9" hidden="1"/>
    <cellStyle name="Good 2" xfId="94"/>
    <cellStyle name="Heading 1 2" xfId="95"/>
    <cellStyle name="Heading 2 2" xfId="96"/>
    <cellStyle name="Heading 3 2" xfId="97"/>
    <cellStyle name="Heading 4 2" xfId="98"/>
    <cellStyle name="Hyperlink" xfId="155" builtinId="8" hidden="1"/>
    <cellStyle name="Hyperlink" xfId="158" builtinId="8"/>
    <cellStyle name="Hyperlink 2" xfId="99"/>
    <cellStyle name="Input 10" xfId="100"/>
    <cellStyle name="Input 2" xfId="101"/>
    <cellStyle name="Input 3" xfId="102"/>
    <cellStyle name="Input 4" xfId="103"/>
    <cellStyle name="Input 5" xfId="104"/>
    <cellStyle name="Input 6" xfId="105"/>
    <cellStyle name="Input 7" xfId="106"/>
    <cellStyle name="Input 8" xfId="107"/>
    <cellStyle name="Input 9" xfId="108"/>
    <cellStyle name="Linked Cell 2" xfId="109"/>
    <cellStyle name="Neutral 2" xfId="110"/>
    <cellStyle name="Normal" xfId="0" builtinId="0"/>
    <cellStyle name="Normal 10" xfId="149"/>
    <cellStyle name="Normal 2" xfId="2"/>
    <cellStyle name="Normal 2 2" xfId="3"/>
    <cellStyle name="Normal 2 2 2" xfId="50"/>
    <cellStyle name="Normal 2 2 2 2" xfId="51"/>
    <cellStyle name="Normal 2 2 3" xfId="111"/>
    <cellStyle name="Normal 2 2 3 2" xfId="112"/>
    <cellStyle name="Normal 2 2 3 3" xfId="113"/>
    <cellStyle name="Normal 2 3" xfId="114"/>
    <cellStyle name="Normal 3" xfId="8"/>
    <cellStyle name="Normal 3 2" xfId="115"/>
    <cellStyle name="Normal 3 3" xfId="116"/>
    <cellStyle name="Normal 4" xfId="9"/>
    <cellStyle name="Normal 5" xfId="10"/>
    <cellStyle name="Normal 6" xfId="11"/>
    <cellStyle name="Normal 7" xfId="48"/>
    <cellStyle name="Normal 8" xfId="49"/>
    <cellStyle name="Normal 9" xfId="150"/>
    <cellStyle name="Note 10" xfId="117"/>
    <cellStyle name="Note 2" xfId="118"/>
    <cellStyle name="Note 3" xfId="119"/>
    <cellStyle name="Note 4" xfId="120"/>
    <cellStyle name="Note 5" xfId="121"/>
    <cellStyle name="Note 6" xfId="122"/>
    <cellStyle name="Note 7" xfId="123"/>
    <cellStyle name="Note 8" xfId="124"/>
    <cellStyle name="Note 9" xfId="125"/>
    <cellStyle name="Output 10" xfId="126"/>
    <cellStyle name="Output 2" xfId="127"/>
    <cellStyle name="Output 3" xfId="128"/>
    <cellStyle name="Output 4" xfId="129"/>
    <cellStyle name="Output 5" xfId="130"/>
    <cellStyle name="Output 6" xfId="131"/>
    <cellStyle name="Output 7" xfId="132"/>
    <cellStyle name="Output 8" xfId="133"/>
    <cellStyle name="Output 9" xfId="134"/>
    <cellStyle name="Percent" xfId="1" builtinId="5"/>
    <cellStyle name="Percent 2" xfId="5"/>
    <cellStyle name="Percent 2 2" xfId="135"/>
    <cellStyle name="Percent 3" xfId="136"/>
    <cellStyle name="Percent 3 2" xfId="137"/>
    <cellStyle name="Percent 4" xfId="152"/>
    <cellStyle name="RISKbigPercent" xfId="16"/>
    <cellStyle name="RISKblandrEdge" xfId="17"/>
    <cellStyle name="RISKblandrEdge 2" xfId="154"/>
    <cellStyle name="RISKblCorner" xfId="18"/>
    <cellStyle name="RISKblCorner 2" xfId="153"/>
    <cellStyle name="RISKbottomEdge" xfId="19"/>
    <cellStyle name="RISKbrCorner" xfId="20"/>
    <cellStyle name="RISKdarkBoxed" xfId="21"/>
    <cellStyle name="RISKdarkShade" xfId="22"/>
    <cellStyle name="RISKdbottomEdge" xfId="23"/>
    <cellStyle name="RISKdrightEdge" xfId="24"/>
    <cellStyle name="RISKdurationTime" xfId="25"/>
    <cellStyle name="RISKinNumber" xfId="26"/>
    <cellStyle name="RISKlandrEdge" xfId="27"/>
    <cellStyle name="RISKleftEdge" xfId="28"/>
    <cellStyle name="RISKlightBoxed" xfId="29"/>
    <cellStyle name="RISKltandbEdge" xfId="30"/>
    <cellStyle name="RISKnormBoxed" xfId="31"/>
    <cellStyle name="RISKnormCenter" xfId="32"/>
    <cellStyle name="RISKnormHeading" xfId="33"/>
    <cellStyle name="RISKnormItal" xfId="34"/>
    <cellStyle name="RISKnormLabel" xfId="35"/>
    <cellStyle name="RISKnormShade" xfId="36"/>
    <cellStyle name="RISKnormTitle" xfId="37"/>
    <cellStyle name="RISKoutNumber" xfId="38"/>
    <cellStyle name="RISKrightEdge" xfId="39"/>
    <cellStyle name="RISKrtandbEdge" xfId="40"/>
    <cellStyle name="RISKssTime" xfId="41"/>
    <cellStyle name="RISKtandbEdge" xfId="42"/>
    <cellStyle name="RISKtlandrEdge" xfId="43"/>
    <cellStyle name="RISKtlCorner" xfId="44"/>
    <cellStyle name="RISKtopEdge" xfId="45"/>
    <cellStyle name="RISKtrCorner" xfId="46"/>
    <cellStyle name="Title 2" xfId="138"/>
    <cellStyle name="Total 10" xfId="139"/>
    <cellStyle name="Total 2" xfId="140"/>
    <cellStyle name="Total 3" xfId="141"/>
    <cellStyle name="Total 4" xfId="142"/>
    <cellStyle name="Total 5" xfId="143"/>
    <cellStyle name="Total 6" xfId="144"/>
    <cellStyle name="Total 7" xfId="145"/>
    <cellStyle name="Total 8" xfId="146"/>
    <cellStyle name="Total 9" xfId="147"/>
    <cellStyle name="Warning Text 2" xfId="148"/>
  </cellStyles>
  <dxfs count="0"/>
  <tableStyles count="0" defaultTableStyle="TableStyleMedium9"/>
  <colors>
    <mruColors>
      <color rgb="FFFFFF99"/>
      <color rgb="FFB8CCE4"/>
      <color rgb="FFCCFFCC"/>
      <color rgb="FF00CCFF"/>
      <color rgb="FFC4D79B"/>
      <color rgb="FF336699"/>
      <color rgb="FFEBF1DE"/>
      <color rgb="FFEAF1D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Scenario</a:t>
            </a:r>
            <a:r>
              <a:rPr lang="en-US" baseline="0"/>
              <a:t> Cost Inputs - Natural Gas Costs</a:t>
            </a:r>
            <a:endParaRPr lang="en-US"/>
          </a:p>
        </c:rich>
      </c:tx>
    </c:title>
    <c:plotArea>
      <c:layout/>
      <c:lineChart>
        <c:grouping val="standard"/>
        <c:ser>
          <c:idx val="0"/>
          <c:order val="0"/>
          <c:tx>
            <c:strRef>
              <c:f>Assumptions!$F$38</c:f>
              <c:strCache>
                <c:ptCount val="1"/>
                <c:pt idx="0">
                  <c:v>High resource</c:v>
                </c:pt>
              </c:strCache>
            </c:strRef>
          </c:tx>
          <c:marker>
            <c:symbol val="none"/>
          </c:marker>
          <c:cat>
            <c:numRef>
              <c:f>Assumptions!$K$37:$AM$37</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cat>
          <c:val>
            <c:numRef>
              <c:f>Assumptions!$K$38:$AM$38</c:f>
              <c:numCache>
                <c:formatCode>_("$"* #,##0.00_);_("$"* \(#,##0.00\);_("$"* "-"??_);_(@_)</c:formatCode>
                <c:ptCount val="29"/>
                <c:pt idx="0">
                  <c:v>3.7214649999999998</c:v>
                </c:pt>
                <c:pt idx="1">
                  <c:v>4.2544890000000004</c:v>
                </c:pt>
                <c:pt idx="2">
                  <c:v>4.0913459999999997</c:v>
                </c:pt>
                <c:pt idx="3">
                  <c:v>3.9905620000000002</c:v>
                </c:pt>
                <c:pt idx="4">
                  <c:v>4.2698549999999997</c:v>
                </c:pt>
                <c:pt idx="5">
                  <c:v>4.3250149999999996</c:v>
                </c:pt>
                <c:pt idx="6">
                  <c:v>4.4419029999999999</c:v>
                </c:pt>
                <c:pt idx="7">
                  <c:v>4.5249480000000002</c:v>
                </c:pt>
                <c:pt idx="8">
                  <c:v>4.6121889999999999</c:v>
                </c:pt>
                <c:pt idx="9">
                  <c:v>4.7219379999999997</c:v>
                </c:pt>
                <c:pt idx="10">
                  <c:v>4.8481870000000002</c:v>
                </c:pt>
                <c:pt idx="11">
                  <c:v>4.9957659999999997</c:v>
                </c:pt>
                <c:pt idx="12">
                  <c:v>5.1514850000000001</c:v>
                </c:pt>
                <c:pt idx="13">
                  <c:v>5.3185019999999996</c:v>
                </c:pt>
                <c:pt idx="14">
                  <c:v>5.4200220000000003</c:v>
                </c:pt>
                <c:pt idx="15">
                  <c:v>5.5580639999999999</c:v>
                </c:pt>
                <c:pt idx="16">
                  <c:v>5.6865889999999997</c:v>
                </c:pt>
                <c:pt idx="17">
                  <c:v>5.8097820000000002</c:v>
                </c:pt>
                <c:pt idx="18">
                  <c:v>6.0706129999999998</c:v>
                </c:pt>
                <c:pt idx="19">
                  <c:v>6.3122920000000002</c:v>
                </c:pt>
                <c:pt idx="20">
                  <c:v>6.5620659999999997</c:v>
                </c:pt>
                <c:pt idx="21">
                  <c:v>6.7994289999999999</c:v>
                </c:pt>
                <c:pt idx="22">
                  <c:v>7.0719469999999998</c:v>
                </c:pt>
                <c:pt idx="23">
                  <c:v>7.4337200000000001</c:v>
                </c:pt>
                <c:pt idx="24">
                  <c:v>7.7448449999999998</c:v>
                </c:pt>
                <c:pt idx="25">
                  <c:v>8.0753520000000005</c:v>
                </c:pt>
                <c:pt idx="26">
                  <c:v>8.4378989999999998</c:v>
                </c:pt>
                <c:pt idx="27">
                  <c:v>8.7002830000000007</c:v>
                </c:pt>
                <c:pt idx="28">
                  <c:v>8.9346709999999998</c:v>
                </c:pt>
              </c:numCache>
            </c:numRef>
          </c:val>
        </c:ser>
        <c:ser>
          <c:idx val="1"/>
          <c:order val="1"/>
          <c:tx>
            <c:strRef>
              <c:f>Assumptions!$F$39</c:f>
              <c:strCache>
                <c:ptCount val="1"/>
                <c:pt idx="0">
                  <c:v>Reference</c:v>
                </c:pt>
              </c:strCache>
            </c:strRef>
          </c:tx>
          <c:marker>
            <c:symbol val="none"/>
          </c:marker>
          <c:cat>
            <c:numRef>
              <c:f>Assumptions!$K$37:$AM$37</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cat>
          <c:val>
            <c:numRef>
              <c:f>Assumptions!$K$39:$AM$39</c:f>
              <c:numCache>
                <c:formatCode>_("$"* #,##0.00_);_("$"* \(#,##0.00\);_("$"* "-"??_);_(@_)</c:formatCode>
                <c:ptCount val="29"/>
                <c:pt idx="0">
                  <c:v>3.8264330000000002</c:v>
                </c:pt>
                <c:pt idx="1">
                  <c:v>4.4859660000000003</c:v>
                </c:pt>
                <c:pt idx="2">
                  <c:v>4.5921500000000002</c:v>
                </c:pt>
                <c:pt idx="3">
                  <c:v>4.7131360000000004</c:v>
                </c:pt>
                <c:pt idx="4">
                  <c:v>5.2669119999999996</c:v>
                </c:pt>
                <c:pt idx="5">
                  <c:v>5.5686999999999998</c:v>
                </c:pt>
                <c:pt idx="6">
                  <c:v>5.9413330000000002</c:v>
                </c:pt>
                <c:pt idx="7">
                  <c:v>6.1811170000000004</c:v>
                </c:pt>
                <c:pt idx="8">
                  <c:v>6.3757950000000001</c:v>
                </c:pt>
                <c:pt idx="9">
                  <c:v>6.61693</c:v>
                </c:pt>
                <c:pt idx="10">
                  <c:v>6.9605119999999996</c:v>
                </c:pt>
                <c:pt idx="11">
                  <c:v>7.30905</c:v>
                </c:pt>
                <c:pt idx="12">
                  <c:v>7.5634300000000003</c:v>
                </c:pt>
                <c:pt idx="13">
                  <c:v>7.7516600000000002</c:v>
                </c:pt>
                <c:pt idx="14">
                  <c:v>8.0268719999999991</c:v>
                </c:pt>
                <c:pt idx="15">
                  <c:v>8.2236049999999992</c:v>
                </c:pt>
                <c:pt idx="16">
                  <c:v>8.5094370000000001</c:v>
                </c:pt>
                <c:pt idx="17">
                  <c:v>8.7882160000000002</c:v>
                </c:pt>
                <c:pt idx="18">
                  <c:v>9.0544700000000002</c:v>
                </c:pt>
                <c:pt idx="19">
                  <c:v>9.3855140000000006</c:v>
                </c:pt>
                <c:pt idx="20">
                  <c:v>9.6938560000000003</c:v>
                </c:pt>
                <c:pt idx="21">
                  <c:v>10.082288999999999</c:v>
                </c:pt>
                <c:pt idx="22">
                  <c:v>10.640556</c:v>
                </c:pt>
                <c:pt idx="23">
                  <c:v>11.250476000000001</c:v>
                </c:pt>
                <c:pt idx="24">
                  <c:v>12.019</c:v>
                </c:pt>
                <c:pt idx="25">
                  <c:v>12.768236</c:v>
                </c:pt>
                <c:pt idx="26">
                  <c:v>13.546346</c:v>
                </c:pt>
                <c:pt idx="27">
                  <c:v>14.013643999999999</c:v>
                </c:pt>
                <c:pt idx="28">
                  <c:v>14.657753</c:v>
                </c:pt>
              </c:numCache>
            </c:numRef>
          </c:val>
        </c:ser>
        <c:ser>
          <c:idx val="2"/>
          <c:order val="2"/>
          <c:tx>
            <c:strRef>
              <c:f>Assumptions!$F$40</c:f>
              <c:strCache>
                <c:ptCount val="1"/>
                <c:pt idx="0">
                  <c:v>GHG25 with low gas price</c:v>
                </c:pt>
              </c:strCache>
            </c:strRef>
          </c:tx>
          <c:marker>
            <c:symbol val="none"/>
          </c:marker>
          <c:cat>
            <c:numRef>
              <c:f>Assumptions!$K$37:$AM$37</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cat>
          <c:val>
            <c:numRef>
              <c:f>Assumptions!$K$40:$AM$40</c:f>
              <c:numCache>
                <c:formatCode>_("$"* #,##0.00_);_("$"* \(#,##0.00\);_("$"* "-"??_);_(@_)</c:formatCode>
                <c:ptCount val="29"/>
                <c:pt idx="0">
                  <c:v>3.7250040000000002</c:v>
                </c:pt>
                <c:pt idx="1">
                  <c:v>4.2492099999999997</c:v>
                </c:pt>
                <c:pt idx="2">
                  <c:v>6.2741889999999998</c:v>
                </c:pt>
                <c:pt idx="3">
                  <c:v>6.2645090000000003</c:v>
                </c:pt>
                <c:pt idx="4">
                  <c:v>7.1641899999999996</c:v>
                </c:pt>
                <c:pt idx="5">
                  <c:v>7.2701539999999998</c:v>
                </c:pt>
                <c:pt idx="6">
                  <c:v>7.4578230000000003</c:v>
                </c:pt>
                <c:pt idx="7">
                  <c:v>7.5860539999999999</c:v>
                </c:pt>
                <c:pt idx="8">
                  <c:v>7.8229069999999998</c:v>
                </c:pt>
                <c:pt idx="9">
                  <c:v>8.0707550000000001</c:v>
                </c:pt>
                <c:pt idx="10">
                  <c:v>8.4239759999999997</c:v>
                </c:pt>
                <c:pt idx="11">
                  <c:v>8.7659769999999995</c:v>
                </c:pt>
                <c:pt idx="12">
                  <c:v>9.0917589999999997</c:v>
                </c:pt>
                <c:pt idx="13">
                  <c:v>9.4541400000000007</c:v>
                </c:pt>
                <c:pt idx="14">
                  <c:v>9.7315439999999995</c:v>
                </c:pt>
                <c:pt idx="15">
                  <c:v>10.057505000000001</c:v>
                </c:pt>
                <c:pt idx="16">
                  <c:v>10.508668999999999</c:v>
                </c:pt>
                <c:pt idx="17">
                  <c:v>10.976912</c:v>
                </c:pt>
                <c:pt idx="18">
                  <c:v>11.468204999999999</c:v>
                </c:pt>
                <c:pt idx="19">
                  <c:v>11.950531</c:v>
                </c:pt>
                <c:pt idx="20">
                  <c:v>12.485469</c:v>
                </c:pt>
                <c:pt idx="21">
                  <c:v>13.026408</c:v>
                </c:pt>
                <c:pt idx="22">
                  <c:v>13.621401000000001</c:v>
                </c:pt>
                <c:pt idx="23">
                  <c:v>14.301581000000001</c:v>
                </c:pt>
                <c:pt idx="24">
                  <c:v>14.92306</c:v>
                </c:pt>
                <c:pt idx="25">
                  <c:v>15.649527000000001</c:v>
                </c:pt>
                <c:pt idx="26">
                  <c:v>16.448048</c:v>
                </c:pt>
                <c:pt idx="27">
                  <c:v>17.382840999999999</c:v>
                </c:pt>
                <c:pt idx="28">
                  <c:v>18.307827</c:v>
                </c:pt>
              </c:numCache>
            </c:numRef>
          </c:val>
        </c:ser>
        <c:dLbls/>
        <c:marker val="1"/>
        <c:axId val="109934464"/>
        <c:axId val="109936000"/>
      </c:lineChart>
      <c:catAx>
        <c:axId val="109934464"/>
        <c:scaling>
          <c:orientation val="minMax"/>
        </c:scaling>
        <c:axPos val="b"/>
        <c:numFmt formatCode="General" sourceLinked="1"/>
        <c:tickLblPos val="nextTo"/>
        <c:crossAx val="109936000"/>
        <c:crosses val="autoZero"/>
        <c:auto val="1"/>
        <c:lblAlgn val="ctr"/>
        <c:lblOffset val="100"/>
      </c:catAx>
      <c:valAx>
        <c:axId val="109936000"/>
        <c:scaling>
          <c:orientation val="minMax"/>
        </c:scaling>
        <c:axPos val="l"/>
        <c:majorGridlines/>
        <c:title>
          <c:tx>
            <c:rich>
              <a:bodyPr rot="-5400000" vert="horz"/>
              <a:lstStyle/>
              <a:p>
                <a:pPr>
                  <a:defRPr/>
                </a:pPr>
                <a:r>
                  <a:rPr lang="en-US"/>
                  <a:t>$/MMBTU</a:t>
                </a:r>
              </a:p>
            </c:rich>
          </c:tx>
        </c:title>
        <c:numFmt formatCode="_(&quot;$&quot;* #,##0.00_);_(&quot;$&quot;* \(#,##0.00\);_(&quot;$&quot;* &quot;-&quot;??_);_(@_)" sourceLinked="1"/>
        <c:tickLblPos val="nextTo"/>
        <c:crossAx val="109934464"/>
        <c:crosses val="autoZero"/>
        <c:crossBetween val="between"/>
      </c:valAx>
    </c:plotArea>
    <c:legend>
      <c:legendPos val="b"/>
    </c:legend>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Category</a:t>
            </a:r>
            <a:r>
              <a:rPr lang="en-US" baseline="0"/>
              <a:t> Weighted </a:t>
            </a:r>
            <a:r>
              <a:rPr lang="en-US"/>
              <a:t>Economic Results</a:t>
            </a:r>
          </a:p>
        </c:rich>
      </c:tx>
    </c:title>
    <c:plotArea>
      <c:layout/>
      <c:barChart>
        <c:barDir val="col"/>
        <c:grouping val="stacked"/>
        <c:ser>
          <c:idx val="1"/>
          <c:order val="0"/>
          <c:tx>
            <c:strRef>
              <c:f>'Chart Data'!$D$7</c:f>
              <c:strCache>
                <c:ptCount val="1"/>
                <c:pt idx="0">
                  <c:v>Engineering/Technical</c:v>
                </c:pt>
              </c:strCache>
            </c:strRef>
          </c:tx>
          <c:spPr>
            <a:solidFill>
              <a:schemeClr val="accent3"/>
            </a:solidFill>
          </c:spPr>
          <c:cat>
            <c:strRef>
              <c:f>'Econ - NPV Results Summary'!$E$7:$J$7</c:f>
              <c:strCache>
                <c:ptCount val="6"/>
                <c:pt idx="0">
                  <c:v>1X</c:v>
                </c:pt>
                <c:pt idx="1">
                  <c:v>1Y</c:v>
                </c:pt>
                <c:pt idx="2">
                  <c:v>2X</c:v>
                </c:pt>
                <c:pt idx="3">
                  <c:v>2Y</c:v>
                </c:pt>
                <c:pt idx="4">
                  <c:v>3Y</c:v>
                </c:pt>
                <c:pt idx="5">
                  <c:v>4Y</c:v>
                </c:pt>
              </c:strCache>
            </c:strRef>
          </c:cat>
          <c:val>
            <c:numRef>
              <c:f>('Chart Data'!$I$7,'Chart Data'!$L$7,'Chart Data'!$O$7,'Chart Data'!$R$7,'Chart Data'!$U$7,'Chart Data'!$X$7)</c:f>
              <c:numCache>
                <c:formatCode>0.00</c:formatCode>
                <c:ptCount val="6"/>
                <c:pt idx="0">
                  <c:v>0.48999999999999994</c:v>
                </c:pt>
                <c:pt idx="1">
                  <c:v>0.41999999999999993</c:v>
                </c:pt>
                <c:pt idx="2">
                  <c:v>0.62999999999999989</c:v>
                </c:pt>
                <c:pt idx="3">
                  <c:v>0.55999999999999994</c:v>
                </c:pt>
                <c:pt idx="4">
                  <c:v>0.20999999999999996</c:v>
                </c:pt>
                <c:pt idx="5">
                  <c:v>0.41999999999999993</c:v>
                </c:pt>
              </c:numCache>
            </c:numRef>
          </c:val>
        </c:ser>
        <c:ser>
          <c:idx val="0"/>
          <c:order val="1"/>
          <c:tx>
            <c:strRef>
              <c:f>'Chart Data'!$D$6</c:f>
              <c:strCache>
                <c:ptCount val="1"/>
                <c:pt idx="0">
                  <c:v>NPV</c:v>
                </c:pt>
              </c:strCache>
            </c:strRef>
          </c:tx>
          <c:spPr>
            <a:solidFill>
              <a:schemeClr val="accent2"/>
            </a:solidFill>
          </c:spPr>
          <c:cat>
            <c:strRef>
              <c:f>'Econ - NPV Results Summary'!$E$7:$J$7</c:f>
              <c:strCache>
                <c:ptCount val="6"/>
                <c:pt idx="0">
                  <c:v>1X</c:v>
                </c:pt>
                <c:pt idx="1">
                  <c:v>1Y</c:v>
                </c:pt>
                <c:pt idx="2">
                  <c:v>2X</c:v>
                </c:pt>
                <c:pt idx="3">
                  <c:v>2Y</c:v>
                </c:pt>
                <c:pt idx="4">
                  <c:v>3Y</c:v>
                </c:pt>
                <c:pt idx="5">
                  <c:v>4Y</c:v>
                </c:pt>
              </c:strCache>
            </c:strRef>
          </c:cat>
          <c:val>
            <c:numRef>
              <c:f>('Chart Data'!$I$6,'Chart Data'!$L$6,'Chart Data'!$O$6,'Chart Data'!$R$6,'Chart Data'!$U$6,'Chart Data'!$X$6)</c:f>
              <c:numCache>
                <c:formatCode>0.00</c:formatCode>
                <c:ptCount val="6"/>
                <c:pt idx="0">
                  <c:v>3.4173598396181704</c:v>
                </c:pt>
                <c:pt idx="1">
                  <c:v>3.3238047703756703</c:v>
                </c:pt>
                <c:pt idx="2">
                  <c:v>3.9047601646542822</c:v>
                </c:pt>
                <c:pt idx="3">
                  <c:v>3.7849049148566811</c:v>
                </c:pt>
                <c:pt idx="4">
                  <c:v>4.2999889264870159</c:v>
                </c:pt>
                <c:pt idx="5">
                  <c:v>4.3</c:v>
                </c:pt>
              </c:numCache>
            </c:numRef>
          </c:val>
        </c:ser>
        <c:dLbls/>
        <c:overlap val="100"/>
        <c:axId val="120598912"/>
        <c:axId val="120600448"/>
      </c:barChart>
      <c:catAx>
        <c:axId val="120598912"/>
        <c:scaling>
          <c:orientation val="minMax"/>
        </c:scaling>
        <c:axPos val="b"/>
        <c:tickLblPos val="nextTo"/>
        <c:crossAx val="120600448"/>
        <c:crosses val="autoZero"/>
        <c:auto val="1"/>
        <c:lblAlgn val="ctr"/>
        <c:lblOffset val="100"/>
      </c:catAx>
      <c:valAx>
        <c:axId val="120600448"/>
        <c:scaling>
          <c:orientation val="minMax"/>
        </c:scaling>
        <c:axPos val="l"/>
        <c:majorGridlines/>
        <c:numFmt formatCode="0" sourceLinked="0"/>
        <c:tickLblPos val="nextTo"/>
        <c:crossAx val="120598912"/>
        <c:crosses val="autoZero"/>
        <c:crossBetween val="between"/>
        <c:majorUnit val="1"/>
      </c:valAx>
      <c:dTable>
        <c:showHorzBorder val="1"/>
        <c:showVertBorder val="1"/>
        <c:showOutline val="1"/>
        <c:showKeys val="1"/>
      </c:dTable>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Category-Weighted TBL Results</a:t>
            </a:r>
          </a:p>
        </c:rich>
      </c:tx>
    </c:title>
    <c:plotArea>
      <c:layout/>
      <c:barChart>
        <c:barDir val="col"/>
        <c:grouping val="stacked"/>
        <c:ser>
          <c:idx val="2"/>
          <c:order val="0"/>
          <c:tx>
            <c:strRef>
              <c:f>'TBL Scoring Summary'!$C$7</c:f>
              <c:strCache>
                <c:ptCount val="1"/>
                <c:pt idx="0">
                  <c:v>Social</c:v>
                </c:pt>
              </c:strCache>
            </c:strRef>
          </c:tx>
          <c:spPr>
            <a:solidFill>
              <a:schemeClr val="accent1"/>
            </a:solidFill>
          </c:spPr>
          <c:cat>
            <c:strRef>
              <c:f>'Econ - NPV Results Summary'!$E$7:$J$7</c:f>
              <c:strCache>
                <c:ptCount val="6"/>
                <c:pt idx="0">
                  <c:v>1X</c:v>
                </c:pt>
                <c:pt idx="1">
                  <c:v>1Y</c:v>
                </c:pt>
                <c:pt idx="2">
                  <c:v>2X</c:v>
                </c:pt>
                <c:pt idx="3">
                  <c:v>2Y</c:v>
                </c:pt>
                <c:pt idx="4">
                  <c:v>3Y</c:v>
                </c:pt>
                <c:pt idx="5">
                  <c:v>4Y</c:v>
                </c:pt>
              </c:strCache>
            </c:strRef>
          </c:cat>
          <c:val>
            <c:numRef>
              <c:f>('TBL Scoring Summary'!$I$7,'TBL Scoring Summary'!$L$7,'TBL Scoring Summary'!$O$7,'TBL Scoring Summary'!$R$7,'TBL Scoring Summary'!$U$7,'TBL Scoring Summary'!$X$7)</c:f>
              <c:numCache>
                <c:formatCode>0.0</c:formatCode>
                <c:ptCount val="6"/>
                <c:pt idx="0">
                  <c:v>1.0705823293172694</c:v>
                </c:pt>
                <c:pt idx="1">
                  <c:v>0.89558232931726922</c:v>
                </c:pt>
                <c:pt idx="2">
                  <c:v>1.1208333333333336</c:v>
                </c:pt>
                <c:pt idx="3">
                  <c:v>1.029166666666667</c:v>
                </c:pt>
                <c:pt idx="4">
                  <c:v>0.77911646586345396</c:v>
                </c:pt>
                <c:pt idx="5">
                  <c:v>0.77911646586345396</c:v>
                </c:pt>
              </c:numCache>
            </c:numRef>
          </c:val>
        </c:ser>
        <c:ser>
          <c:idx val="1"/>
          <c:order val="1"/>
          <c:tx>
            <c:strRef>
              <c:f>'TBL Scoring Summary'!$C$6</c:f>
              <c:strCache>
                <c:ptCount val="1"/>
                <c:pt idx="0">
                  <c:v>Environmental</c:v>
                </c:pt>
              </c:strCache>
            </c:strRef>
          </c:tx>
          <c:spPr>
            <a:solidFill>
              <a:schemeClr val="accent3"/>
            </a:solidFill>
          </c:spPr>
          <c:cat>
            <c:strRef>
              <c:f>'Econ - NPV Results Summary'!$E$7:$J$7</c:f>
              <c:strCache>
                <c:ptCount val="6"/>
                <c:pt idx="0">
                  <c:v>1X</c:v>
                </c:pt>
                <c:pt idx="1">
                  <c:v>1Y</c:v>
                </c:pt>
                <c:pt idx="2">
                  <c:v>2X</c:v>
                </c:pt>
                <c:pt idx="3">
                  <c:v>2Y</c:v>
                </c:pt>
                <c:pt idx="4">
                  <c:v>3Y</c:v>
                </c:pt>
                <c:pt idx="5">
                  <c:v>4Y</c:v>
                </c:pt>
              </c:strCache>
            </c:strRef>
          </c:cat>
          <c:val>
            <c:numRef>
              <c:f>('TBL Scoring Summary'!$I$6,'TBL Scoring Summary'!$L$6,'TBL Scoring Summary'!$O$6,'TBL Scoring Summary'!$R$6,'TBL Scoring Summary'!$U$6,'TBL Scoring Summary'!$X$6)</c:f>
              <c:numCache>
                <c:formatCode>0.0</c:formatCode>
                <c:ptCount val="6"/>
                <c:pt idx="0">
                  <c:v>1.2875136909884264</c:v>
                </c:pt>
                <c:pt idx="1">
                  <c:v>0.67509368726316343</c:v>
                </c:pt>
                <c:pt idx="2">
                  <c:v>1.205566344145057</c:v>
                </c:pt>
                <c:pt idx="3">
                  <c:v>0.50953105239824326</c:v>
                </c:pt>
                <c:pt idx="4">
                  <c:v>0.53961698224933463</c:v>
                </c:pt>
                <c:pt idx="5">
                  <c:v>0.64617391870761409</c:v>
                </c:pt>
              </c:numCache>
            </c:numRef>
          </c:val>
        </c:ser>
        <c:ser>
          <c:idx val="0"/>
          <c:order val="2"/>
          <c:tx>
            <c:strRef>
              <c:f>'TBL Scoring Summary'!$C$5</c:f>
              <c:strCache>
                <c:ptCount val="1"/>
                <c:pt idx="0">
                  <c:v>Economic</c:v>
                </c:pt>
              </c:strCache>
            </c:strRef>
          </c:tx>
          <c:spPr>
            <a:solidFill>
              <a:schemeClr val="accent2"/>
            </a:solidFill>
          </c:spPr>
          <c:cat>
            <c:strRef>
              <c:f>'Econ - NPV Results Summary'!$E$7:$J$7</c:f>
              <c:strCache>
                <c:ptCount val="6"/>
                <c:pt idx="0">
                  <c:v>1X</c:v>
                </c:pt>
                <c:pt idx="1">
                  <c:v>1Y</c:v>
                </c:pt>
                <c:pt idx="2">
                  <c:v>2X</c:v>
                </c:pt>
                <c:pt idx="3">
                  <c:v>2Y</c:v>
                </c:pt>
                <c:pt idx="4">
                  <c:v>3Y</c:v>
                </c:pt>
                <c:pt idx="5">
                  <c:v>4Y</c:v>
                </c:pt>
              </c:strCache>
            </c:strRef>
          </c:cat>
          <c:val>
            <c:numRef>
              <c:f>('TBL Scoring Summary'!$I$5,'TBL Scoring Summary'!$L$5,'TBL Scoring Summary'!$O$5,'TBL Scoring Summary'!$R$5,'TBL Scoring Summary'!$U$5,'TBL Scoring Summary'!$X$5)</c:f>
              <c:numCache>
                <c:formatCode>0.0</c:formatCode>
                <c:ptCount val="6"/>
                <c:pt idx="0">
                  <c:v>1.3024532798727233</c:v>
                </c:pt>
                <c:pt idx="1">
                  <c:v>1.2479349234585566</c:v>
                </c:pt>
                <c:pt idx="2">
                  <c:v>1.5115867215514271</c:v>
                </c:pt>
                <c:pt idx="3">
                  <c:v>1.4483016382855602</c:v>
                </c:pt>
                <c:pt idx="4">
                  <c:v>1.5033296421623386</c:v>
                </c:pt>
                <c:pt idx="5">
                  <c:v>1.5733333333333333</c:v>
                </c:pt>
              </c:numCache>
            </c:numRef>
          </c:val>
        </c:ser>
        <c:dLbls/>
        <c:overlap val="100"/>
        <c:axId val="120633984"/>
        <c:axId val="108331392"/>
      </c:barChart>
      <c:catAx>
        <c:axId val="120633984"/>
        <c:scaling>
          <c:orientation val="minMax"/>
        </c:scaling>
        <c:axPos val="b"/>
        <c:tickLblPos val="nextTo"/>
        <c:crossAx val="108331392"/>
        <c:crosses val="autoZero"/>
        <c:auto val="1"/>
        <c:lblAlgn val="ctr"/>
        <c:lblOffset val="100"/>
      </c:catAx>
      <c:valAx>
        <c:axId val="108331392"/>
        <c:scaling>
          <c:orientation val="minMax"/>
          <c:max val="5"/>
        </c:scaling>
        <c:axPos val="l"/>
        <c:majorGridlines/>
        <c:numFmt formatCode="0" sourceLinked="0"/>
        <c:tickLblPos val="nextTo"/>
        <c:crossAx val="120633984"/>
        <c:crosses val="autoZero"/>
        <c:crossBetween val="between"/>
        <c:majorUnit val="1"/>
      </c:valAx>
      <c:dTable>
        <c:showHorzBorder val="1"/>
        <c:showVertBorder val="1"/>
        <c:showOutline val="1"/>
        <c:showKeys val="1"/>
      </c:dTable>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600"/>
              <a:t>Category</a:t>
            </a:r>
            <a:r>
              <a:rPr lang="en-US" sz="1600" baseline="0"/>
              <a:t> Weighted </a:t>
            </a:r>
            <a:r>
              <a:rPr lang="en-US" sz="1600"/>
              <a:t>Environmental Results</a:t>
            </a:r>
          </a:p>
        </c:rich>
      </c:tx>
      <c:layout>
        <c:manualLayout>
          <c:xMode val="edge"/>
          <c:yMode val="edge"/>
          <c:x val="0.11144785391528575"/>
          <c:y val="4.3352601156069377E-2"/>
        </c:manualLayout>
      </c:layout>
    </c:title>
    <c:plotArea>
      <c:layout/>
      <c:barChart>
        <c:barDir val="col"/>
        <c:grouping val="stacked"/>
        <c:ser>
          <c:idx val="2"/>
          <c:order val="0"/>
          <c:tx>
            <c:strRef>
              <c:f>'Chart Data'!$D$13</c:f>
              <c:strCache>
                <c:ptCount val="1"/>
                <c:pt idx="0">
                  <c:v>Regulatory</c:v>
                </c:pt>
              </c:strCache>
            </c:strRef>
          </c:tx>
          <c:spPr>
            <a:solidFill>
              <a:schemeClr val="accent1"/>
            </a:solidFill>
          </c:spPr>
          <c:cat>
            <c:strRef>
              <c:f>'Econ - NPV Results Summary'!$E$7:$J$7</c:f>
              <c:strCache>
                <c:ptCount val="6"/>
                <c:pt idx="0">
                  <c:v>1X</c:v>
                </c:pt>
                <c:pt idx="1">
                  <c:v>1Y</c:v>
                </c:pt>
                <c:pt idx="2">
                  <c:v>2X</c:v>
                </c:pt>
                <c:pt idx="3">
                  <c:v>2Y</c:v>
                </c:pt>
                <c:pt idx="4">
                  <c:v>3Y</c:v>
                </c:pt>
                <c:pt idx="5">
                  <c:v>4Y</c:v>
                </c:pt>
              </c:strCache>
            </c:strRef>
          </c:cat>
          <c:val>
            <c:numRef>
              <c:f>('Chart Data'!$I$13,'Chart Data'!$L$13,'Chart Data'!$O$13,'Chart Data'!$R$13,'Chart Data'!$U$13,'Chart Data'!$X$13)</c:f>
              <c:numCache>
                <c:formatCode>0.00</c:formatCode>
                <c:ptCount val="6"/>
                <c:pt idx="0">
                  <c:v>1</c:v>
                </c:pt>
                <c:pt idx="1">
                  <c:v>0.75</c:v>
                </c:pt>
                <c:pt idx="2">
                  <c:v>0.625</c:v>
                </c:pt>
                <c:pt idx="3">
                  <c:v>0.625</c:v>
                </c:pt>
                <c:pt idx="4">
                  <c:v>0.75</c:v>
                </c:pt>
                <c:pt idx="5">
                  <c:v>0.5</c:v>
                </c:pt>
              </c:numCache>
            </c:numRef>
          </c:val>
        </c:ser>
        <c:ser>
          <c:idx val="1"/>
          <c:order val="1"/>
          <c:tx>
            <c:strRef>
              <c:f>'Chart Data'!$D$12</c:f>
              <c:strCache>
                <c:ptCount val="1"/>
                <c:pt idx="0">
                  <c:v>Net Impact on Media</c:v>
                </c:pt>
              </c:strCache>
            </c:strRef>
          </c:tx>
          <c:spPr>
            <a:solidFill>
              <a:schemeClr val="accent3"/>
            </a:solidFill>
          </c:spPr>
          <c:cat>
            <c:strRef>
              <c:f>'Econ - NPV Results Summary'!$E$7:$J$7</c:f>
              <c:strCache>
                <c:ptCount val="6"/>
                <c:pt idx="0">
                  <c:v>1X</c:v>
                </c:pt>
                <c:pt idx="1">
                  <c:v>1Y</c:v>
                </c:pt>
                <c:pt idx="2">
                  <c:v>2X</c:v>
                </c:pt>
                <c:pt idx="3">
                  <c:v>2Y</c:v>
                </c:pt>
                <c:pt idx="4">
                  <c:v>3Y</c:v>
                </c:pt>
                <c:pt idx="5">
                  <c:v>4Y</c:v>
                </c:pt>
              </c:strCache>
            </c:strRef>
          </c:cat>
          <c:val>
            <c:numRef>
              <c:f>('Chart Data'!$I$12,'Chart Data'!$L$12,'Chart Data'!$O$12,'Chart Data'!$R$12,'Chart Data'!$U$12,'Chart Data'!$X$12)</c:f>
              <c:numCache>
                <c:formatCode>0.00</c:formatCode>
                <c:ptCount val="6"/>
                <c:pt idx="0">
                  <c:v>0.53714237615335669</c:v>
                </c:pt>
                <c:pt idx="1">
                  <c:v>0.53714237615335669</c:v>
                </c:pt>
                <c:pt idx="2">
                  <c:v>0.5413129060666898</c:v>
                </c:pt>
                <c:pt idx="3">
                  <c:v>0.5413129060666898</c:v>
                </c:pt>
                <c:pt idx="4">
                  <c:v>0.64830369930813958</c:v>
                </c:pt>
                <c:pt idx="5">
                  <c:v>0.72650565873372164</c:v>
                </c:pt>
              </c:numCache>
            </c:numRef>
          </c:val>
        </c:ser>
        <c:ser>
          <c:idx val="0"/>
          <c:order val="2"/>
          <c:tx>
            <c:strRef>
              <c:f>'Chart Data'!$D$11</c:f>
              <c:strCache>
                <c:ptCount val="1"/>
                <c:pt idx="0">
                  <c:v>Conservation of Resources</c:v>
                </c:pt>
              </c:strCache>
            </c:strRef>
          </c:tx>
          <c:spPr>
            <a:solidFill>
              <a:schemeClr val="accent2"/>
            </a:solidFill>
          </c:spPr>
          <c:cat>
            <c:strRef>
              <c:f>'Econ - NPV Results Summary'!$E$7:$J$7</c:f>
              <c:strCache>
                <c:ptCount val="6"/>
                <c:pt idx="0">
                  <c:v>1X</c:v>
                </c:pt>
                <c:pt idx="1">
                  <c:v>1Y</c:v>
                </c:pt>
                <c:pt idx="2">
                  <c:v>2X</c:v>
                </c:pt>
                <c:pt idx="3">
                  <c:v>2Y</c:v>
                </c:pt>
                <c:pt idx="4">
                  <c:v>3Y</c:v>
                </c:pt>
                <c:pt idx="5">
                  <c:v>4Y</c:v>
                </c:pt>
              </c:strCache>
            </c:strRef>
          </c:cat>
          <c:val>
            <c:numRef>
              <c:f>('Chart Data'!$I$11,'Chart Data'!$L$11,'Chart Data'!$O$11,'Chart Data'!$R$11,'Chart Data'!$U$11,'Chart Data'!$X$11)</c:f>
              <c:numCache>
                <c:formatCode>0.00</c:formatCode>
                <c:ptCount val="6"/>
                <c:pt idx="0">
                  <c:v>2.3253986968119227</c:v>
                </c:pt>
                <c:pt idx="1">
                  <c:v>0.73813868563613372</c:v>
                </c:pt>
                <c:pt idx="2">
                  <c:v>2.4503861263684819</c:v>
                </c:pt>
                <c:pt idx="3">
                  <c:v>0.3622802511280403</c:v>
                </c:pt>
                <c:pt idx="4">
                  <c:v>0.22054724743986456</c:v>
                </c:pt>
                <c:pt idx="5">
                  <c:v>0.71201609738912064</c:v>
                </c:pt>
              </c:numCache>
            </c:numRef>
          </c:val>
        </c:ser>
        <c:dLbls/>
        <c:overlap val="100"/>
        <c:axId val="108370560"/>
        <c:axId val="108380544"/>
      </c:barChart>
      <c:catAx>
        <c:axId val="108370560"/>
        <c:scaling>
          <c:orientation val="minMax"/>
        </c:scaling>
        <c:axPos val="b"/>
        <c:tickLblPos val="nextTo"/>
        <c:crossAx val="108380544"/>
        <c:crosses val="autoZero"/>
        <c:auto val="1"/>
        <c:lblAlgn val="ctr"/>
        <c:lblOffset val="100"/>
      </c:catAx>
      <c:valAx>
        <c:axId val="108380544"/>
        <c:scaling>
          <c:orientation val="minMax"/>
          <c:max val="5"/>
        </c:scaling>
        <c:axPos val="l"/>
        <c:majorGridlines/>
        <c:numFmt formatCode="0" sourceLinked="0"/>
        <c:tickLblPos val="nextTo"/>
        <c:crossAx val="108370560"/>
        <c:crosses val="autoZero"/>
        <c:crossBetween val="between"/>
        <c:majorUnit val="1"/>
      </c:valAx>
      <c:dTable>
        <c:showHorzBorder val="1"/>
        <c:showVertBorder val="1"/>
        <c:showOutline val="1"/>
        <c:showKeys val="1"/>
      </c:dTable>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plotArea>
      <c:layout/>
      <c:barChart>
        <c:barDir val="col"/>
        <c:grouping val="clustered"/>
        <c:ser>
          <c:idx val="0"/>
          <c:order val="0"/>
          <c:tx>
            <c:strRef>
              <c:f>'Econ - NPV Results Summary'!$C$10</c:f>
              <c:strCache>
                <c:ptCount val="1"/>
                <c:pt idx="0">
                  <c:v>Capital Costs</c:v>
                </c:pt>
              </c:strCache>
            </c:strRef>
          </c:tx>
          <c:cat>
            <c:strRef>
              <c:f>'Econ - NPV Results Summary'!$E$7:$J$7</c:f>
              <c:strCache>
                <c:ptCount val="6"/>
                <c:pt idx="0">
                  <c:v>1X</c:v>
                </c:pt>
                <c:pt idx="1">
                  <c:v>1Y</c:v>
                </c:pt>
                <c:pt idx="2">
                  <c:v>2X</c:v>
                </c:pt>
                <c:pt idx="3">
                  <c:v>2Y</c:v>
                </c:pt>
                <c:pt idx="4">
                  <c:v>3Y</c:v>
                </c:pt>
                <c:pt idx="5">
                  <c:v>4Y</c:v>
                </c:pt>
              </c:strCache>
            </c:strRef>
          </c:cat>
          <c:val>
            <c:numRef>
              <c:f>'Econ - NPV Results Summary'!$E$31:$J$31</c:f>
              <c:numCache>
                <c:formatCode>_("$"* #,##0_);_("$"* \(#,##0\);_("$"* "-"_);_(@_)</c:formatCode>
                <c:ptCount val="6"/>
                <c:pt idx="0">
                  <c:v>36564028.30188679</c:v>
                </c:pt>
                <c:pt idx="1">
                  <c:v>36564028.30188679</c:v>
                </c:pt>
                <c:pt idx="2">
                  <c:v>32679179.245283023</c:v>
                </c:pt>
                <c:pt idx="3">
                  <c:v>32679179.245283023</c:v>
                </c:pt>
                <c:pt idx="4">
                  <c:v>28335688.679245286</c:v>
                </c:pt>
                <c:pt idx="5">
                  <c:v>31473301.886792451</c:v>
                </c:pt>
              </c:numCache>
            </c:numRef>
          </c:val>
        </c:ser>
        <c:dLbls/>
        <c:axId val="138290688"/>
        <c:axId val="138292608"/>
      </c:barChart>
      <c:catAx>
        <c:axId val="138290688"/>
        <c:scaling>
          <c:orientation val="minMax"/>
        </c:scaling>
        <c:axPos val="b"/>
        <c:title>
          <c:tx>
            <c:rich>
              <a:bodyPr/>
              <a:lstStyle/>
              <a:p>
                <a:pPr>
                  <a:defRPr/>
                </a:pPr>
                <a:r>
                  <a:rPr lang="en-US"/>
                  <a:t>Configuration</a:t>
                </a:r>
              </a:p>
            </c:rich>
          </c:tx>
        </c:title>
        <c:tickLblPos val="nextTo"/>
        <c:crossAx val="138292608"/>
        <c:crosses val="autoZero"/>
        <c:auto val="1"/>
        <c:lblAlgn val="ctr"/>
        <c:lblOffset val="100"/>
      </c:catAx>
      <c:valAx>
        <c:axId val="138292608"/>
        <c:scaling>
          <c:orientation val="minMax"/>
        </c:scaling>
        <c:axPos val="l"/>
        <c:majorGridlines/>
        <c:title>
          <c:tx>
            <c:rich>
              <a:bodyPr rot="-5400000" vert="horz"/>
              <a:lstStyle/>
              <a:p>
                <a:pPr>
                  <a:defRPr/>
                </a:pPr>
                <a:r>
                  <a:rPr lang="en-US"/>
                  <a:t>2014</a:t>
                </a:r>
                <a:r>
                  <a:rPr lang="en-US" baseline="0"/>
                  <a:t> $</a:t>
                </a:r>
                <a:endParaRPr lang="en-US"/>
              </a:p>
            </c:rich>
          </c:tx>
        </c:title>
        <c:numFmt formatCode="_(&quot;$&quot;* #,##0_);_(&quot;$&quot;* \(#,##0\);_(&quot;$&quot;* &quot;-&quot;_);_(@_)" sourceLinked="1"/>
        <c:tickLblPos val="nextTo"/>
        <c:crossAx val="138290688"/>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800" b="1" i="0" u="none" strike="noStrike" baseline="0">
                <a:effectLst/>
              </a:rPr>
              <a:t>Criteria Weights - Sensitivity Scenarios</a:t>
            </a:r>
            <a:endParaRPr lang="en-US"/>
          </a:p>
        </c:rich>
      </c:tx>
    </c:title>
    <c:plotArea>
      <c:layout/>
      <c:barChart>
        <c:barDir val="col"/>
        <c:grouping val="clustered"/>
        <c:ser>
          <c:idx val="0"/>
          <c:order val="0"/>
          <c:tx>
            <c:strRef>
              <c:f>'Chart Data'!$S$43</c:f>
              <c:strCache>
                <c:ptCount val="1"/>
                <c:pt idx="0">
                  <c:v>NPV</c:v>
                </c:pt>
              </c:strCache>
            </c:strRef>
          </c:tx>
          <c:spPr>
            <a:solidFill>
              <a:srgbClr val="C00000"/>
            </a:solidFill>
          </c:spPr>
          <c:dLbls>
            <c:numFmt formatCode="0%" sourceLinked="0"/>
            <c:txPr>
              <a:bodyPr rot="-5400000" vert="horz"/>
              <a:lstStyle/>
              <a:p>
                <a:pPr>
                  <a:defRPr/>
                </a:pPr>
                <a:endParaRPr lang="en-US"/>
              </a:p>
            </c:txPr>
            <c:dLblPos val="ctr"/>
            <c:showVal val="1"/>
          </c:dLbls>
          <c:cat>
            <c:strRef>
              <c:f>'Chart Data'!$T$42:$W$42</c:f>
              <c:strCache>
                <c:ptCount val="4"/>
                <c:pt idx="0">
                  <c:v>Utility Decision Making</c:v>
                </c:pt>
                <c:pt idx="1">
                  <c:v>Survey Weights</c:v>
                </c:pt>
                <c:pt idx="2">
                  <c:v>Research Guidance</c:v>
                </c:pt>
                <c:pt idx="3">
                  <c:v>No water Conservation</c:v>
                </c:pt>
              </c:strCache>
            </c:strRef>
          </c:cat>
          <c:val>
            <c:numRef>
              <c:f>'Chart Data'!$T$43:$V$43</c:f>
              <c:numCache>
                <c:formatCode>0.0%</c:formatCode>
                <c:ptCount val="3"/>
                <c:pt idx="0">
                  <c:v>0.19999999999999998</c:v>
                </c:pt>
                <c:pt idx="1">
                  <c:v>0.20408163265306123</c:v>
                </c:pt>
                <c:pt idx="2">
                  <c:v>0.28666666666666663</c:v>
                </c:pt>
              </c:numCache>
            </c:numRef>
          </c:val>
        </c:ser>
        <c:ser>
          <c:idx val="1"/>
          <c:order val="1"/>
          <c:tx>
            <c:strRef>
              <c:f>'Chart Data'!$S$44</c:f>
              <c:strCache>
                <c:ptCount val="1"/>
                <c:pt idx="0">
                  <c:v>Engineering/Technical</c:v>
                </c:pt>
              </c:strCache>
            </c:strRef>
          </c:tx>
          <c:spPr>
            <a:solidFill>
              <a:srgbClr val="FF0000"/>
            </a:solidFill>
          </c:spPr>
          <c:dLbls>
            <c:numFmt formatCode="0%" sourceLinked="0"/>
            <c:txPr>
              <a:bodyPr rot="-5400000" vert="horz"/>
              <a:lstStyle/>
              <a:p>
                <a:pPr>
                  <a:defRPr/>
                </a:pPr>
                <a:endParaRPr lang="en-US"/>
              </a:p>
            </c:txPr>
            <c:dLblPos val="ctr"/>
            <c:showVal val="1"/>
          </c:dLbls>
          <c:cat>
            <c:strRef>
              <c:f>'Chart Data'!$T$42:$W$42</c:f>
              <c:strCache>
                <c:ptCount val="4"/>
                <c:pt idx="0">
                  <c:v>Utility Decision Making</c:v>
                </c:pt>
                <c:pt idx="1">
                  <c:v>Survey Weights</c:v>
                </c:pt>
                <c:pt idx="2">
                  <c:v>Research Guidance</c:v>
                </c:pt>
                <c:pt idx="3">
                  <c:v>No water Conservation</c:v>
                </c:pt>
              </c:strCache>
            </c:strRef>
          </c:cat>
          <c:val>
            <c:numRef>
              <c:f>'Chart Data'!$T$44:$V$44</c:f>
              <c:numCache>
                <c:formatCode>0.0%</c:formatCode>
                <c:ptCount val="3"/>
                <c:pt idx="0">
                  <c:v>0.13333333333333333</c:v>
                </c:pt>
                <c:pt idx="1">
                  <c:v>0.20408163265306123</c:v>
                </c:pt>
                <c:pt idx="2">
                  <c:v>4.6666666666666662E-2</c:v>
                </c:pt>
              </c:numCache>
            </c:numRef>
          </c:val>
        </c:ser>
        <c:ser>
          <c:idx val="2"/>
          <c:order val="2"/>
          <c:tx>
            <c:strRef>
              <c:f>'Chart Data'!$S$45</c:f>
              <c:strCache>
                <c:ptCount val="1"/>
                <c:pt idx="0">
                  <c:v>Conservation/Optimization of Resources</c:v>
                </c:pt>
              </c:strCache>
            </c:strRef>
          </c:tx>
          <c:spPr>
            <a:solidFill>
              <a:schemeClr val="tx2">
                <a:lumMod val="75000"/>
              </a:schemeClr>
            </a:solidFill>
          </c:spPr>
          <c:dLbls>
            <c:numFmt formatCode="0%" sourceLinked="0"/>
            <c:txPr>
              <a:bodyPr rot="-5400000" vert="horz"/>
              <a:lstStyle/>
              <a:p>
                <a:pPr>
                  <a:defRPr/>
                </a:pPr>
                <a:endParaRPr lang="en-US"/>
              </a:p>
            </c:txPr>
            <c:dLblPos val="ctr"/>
            <c:showVal val="1"/>
          </c:dLbls>
          <c:cat>
            <c:strRef>
              <c:f>'Chart Data'!$T$42:$W$42</c:f>
              <c:strCache>
                <c:ptCount val="4"/>
                <c:pt idx="0">
                  <c:v>Utility Decision Making</c:v>
                </c:pt>
                <c:pt idx="1">
                  <c:v>Survey Weights</c:v>
                </c:pt>
                <c:pt idx="2">
                  <c:v>Research Guidance</c:v>
                </c:pt>
                <c:pt idx="3">
                  <c:v>No water Conservation</c:v>
                </c:pt>
              </c:strCache>
            </c:strRef>
          </c:cat>
          <c:val>
            <c:numRef>
              <c:f>'Chart Data'!$T$45:$V$45</c:f>
              <c:numCache>
                <c:formatCode>0.0%</c:formatCode>
                <c:ptCount val="3"/>
                <c:pt idx="0">
                  <c:v>0.16666666666666666</c:v>
                </c:pt>
                <c:pt idx="1">
                  <c:v>0.11112244897959185</c:v>
                </c:pt>
                <c:pt idx="2">
                  <c:v>0.16666666666666666</c:v>
                </c:pt>
              </c:numCache>
            </c:numRef>
          </c:val>
        </c:ser>
        <c:ser>
          <c:idx val="3"/>
          <c:order val="3"/>
          <c:tx>
            <c:strRef>
              <c:f>'Chart Data'!$S$46</c:f>
              <c:strCache>
                <c:ptCount val="1"/>
                <c:pt idx="0">
                  <c:v>Net Impact on Media</c:v>
                </c:pt>
              </c:strCache>
            </c:strRef>
          </c:tx>
          <c:spPr>
            <a:solidFill>
              <a:schemeClr val="tx2">
                <a:lumMod val="60000"/>
                <a:lumOff val="40000"/>
              </a:schemeClr>
            </a:solidFill>
          </c:spPr>
          <c:dLbls>
            <c:numFmt formatCode="0%" sourceLinked="0"/>
            <c:txPr>
              <a:bodyPr rot="-5400000" vert="horz"/>
              <a:lstStyle/>
              <a:p>
                <a:pPr>
                  <a:defRPr/>
                </a:pPr>
                <a:endParaRPr lang="en-US"/>
              </a:p>
            </c:txPr>
            <c:dLblPos val="ctr"/>
            <c:showVal val="1"/>
          </c:dLbls>
          <c:cat>
            <c:strRef>
              <c:f>'Chart Data'!$T$42:$W$42</c:f>
              <c:strCache>
                <c:ptCount val="4"/>
                <c:pt idx="0">
                  <c:v>Utility Decision Making</c:v>
                </c:pt>
                <c:pt idx="1">
                  <c:v>Survey Weights</c:v>
                </c:pt>
                <c:pt idx="2">
                  <c:v>Research Guidance</c:v>
                </c:pt>
                <c:pt idx="3">
                  <c:v>No water Conservation</c:v>
                </c:pt>
              </c:strCache>
            </c:strRef>
          </c:cat>
          <c:val>
            <c:numRef>
              <c:f>'Chart Data'!$T$46:$V$46</c:f>
              <c:numCache>
                <c:formatCode>0.0%</c:formatCode>
                <c:ptCount val="3"/>
                <c:pt idx="0">
                  <c:v>8.3333333333333329E-2</c:v>
                </c:pt>
                <c:pt idx="1">
                  <c:v>0.10102040816326531</c:v>
                </c:pt>
                <c:pt idx="2">
                  <c:v>8.3333333333333329E-2</c:v>
                </c:pt>
              </c:numCache>
            </c:numRef>
          </c:val>
        </c:ser>
        <c:ser>
          <c:idx val="4"/>
          <c:order val="4"/>
          <c:tx>
            <c:strRef>
              <c:f>'Chart Data'!$S$47</c:f>
              <c:strCache>
                <c:ptCount val="1"/>
                <c:pt idx="0">
                  <c:v>Regulatory</c:v>
                </c:pt>
              </c:strCache>
            </c:strRef>
          </c:tx>
          <c:spPr>
            <a:solidFill>
              <a:schemeClr val="tx2">
                <a:lumMod val="40000"/>
                <a:lumOff val="60000"/>
              </a:schemeClr>
            </a:solidFill>
          </c:spPr>
          <c:dLbls>
            <c:numFmt formatCode="0%" sourceLinked="0"/>
            <c:txPr>
              <a:bodyPr rot="-5400000" vert="horz"/>
              <a:lstStyle/>
              <a:p>
                <a:pPr>
                  <a:defRPr/>
                </a:pPr>
                <a:endParaRPr lang="en-US"/>
              </a:p>
            </c:txPr>
            <c:dLblPos val="ctr"/>
            <c:showVal val="1"/>
          </c:dLbls>
          <c:cat>
            <c:strRef>
              <c:f>'Chart Data'!$T$42:$W$42</c:f>
              <c:strCache>
                <c:ptCount val="4"/>
                <c:pt idx="0">
                  <c:v>Utility Decision Making</c:v>
                </c:pt>
                <c:pt idx="1">
                  <c:v>Survey Weights</c:v>
                </c:pt>
                <c:pt idx="2">
                  <c:v>Research Guidance</c:v>
                </c:pt>
                <c:pt idx="3">
                  <c:v>No water Conservation</c:v>
                </c:pt>
              </c:strCache>
            </c:strRef>
          </c:cat>
          <c:val>
            <c:numRef>
              <c:f>'Chart Data'!$T$47:$V$47</c:f>
              <c:numCache>
                <c:formatCode>0.0%</c:formatCode>
                <c:ptCount val="3"/>
                <c:pt idx="0">
                  <c:v>8.3333333333333329E-2</c:v>
                </c:pt>
                <c:pt idx="1">
                  <c:v>0.12459183673469387</c:v>
                </c:pt>
                <c:pt idx="2">
                  <c:v>8.3333333333333329E-2</c:v>
                </c:pt>
              </c:numCache>
            </c:numRef>
          </c:val>
        </c:ser>
        <c:ser>
          <c:idx val="5"/>
          <c:order val="5"/>
          <c:tx>
            <c:strRef>
              <c:f>'Chart Data'!$S$48</c:f>
              <c:strCache>
                <c:ptCount val="1"/>
                <c:pt idx="0">
                  <c:v>Nuisance issues</c:v>
                </c:pt>
              </c:strCache>
            </c:strRef>
          </c:tx>
          <c:spPr>
            <a:solidFill>
              <a:schemeClr val="accent3">
                <a:lumMod val="75000"/>
              </a:schemeClr>
            </a:solidFill>
          </c:spPr>
          <c:dLbls>
            <c:numFmt formatCode="0%" sourceLinked="0"/>
            <c:txPr>
              <a:bodyPr rot="-5400000" vert="horz"/>
              <a:lstStyle/>
              <a:p>
                <a:pPr>
                  <a:defRPr/>
                </a:pPr>
                <a:endParaRPr lang="en-US"/>
              </a:p>
            </c:txPr>
            <c:dLblPos val="ctr"/>
            <c:showVal val="1"/>
          </c:dLbls>
          <c:cat>
            <c:strRef>
              <c:f>'Chart Data'!$T$42:$W$42</c:f>
              <c:strCache>
                <c:ptCount val="4"/>
                <c:pt idx="0">
                  <c:v>Utility Decision Making</c:v>
                </c:pt>
                <c:pt idx="1">
                  <c:v>Survey Weights</c:v>
                </c:pt>
                <c:pt idx="2">
                  <c:v>Research Guidance</c:v>
                </c:pt>
                <c:pt idx="3">
                  <c:v>No water Conservation</c:v>
                </c:pt>
              </c:strCache>
            </c:strRef>
          </c:cat>
          <c:val>
            <c:numRef>
              <c:f>'Chart Data'!$T$48:$V$48</c:f>
              <c:numCache>
                <c:formatCode>0.0%</c:formatCode>
                <c:ptCount val="3"/>
                <c:pt idx="0">
                  <c:v>8.3333333333333356E-2</c:v>
                </c:pt>
                <c:pt idx="1">
                  <c:v>0.10841836734693877</c:v>
                </c:pt>
                <c:pt idx="2">
                  <c:v>8.3333333333333356E-2</c:v>
                </c:pt>
              </c:numCache>
            </c:numRef>
          </c:val>
        </c:ser>
        <c:ser>
          <c:idx val="6"/>
          <c:order val="6"/>
          <c:tx>
            <c:strRef>
              <c:f>'Chart Data'!$S$49</c:f>
              <c:strCache>
                <c:ptCount val="1"/>
                <c:pt idx="0">
                  <c:v>Workplace Conditions/Safety</c:v>
                </c:pt>
              </c:strCache>
            </c:strRef>
          </c:tx>
          <c:spPr>
            <a:solidFill>
              <a:schemeClr val="accent3">
                <a:lumMod val="60000"/>
                <a:lumOff val="40000"/>
              </a:schemeClr>
            </a:solidFill>
          </c:spPr>
          <c:dLbls>
            <c:numFmt formatCode="0%" sourceLinked="0"/>
            <c:txPr>
              <a:bodyPr rot="-5400000" vert="horz"/>
              <a:lstStyle/>
              <a:p>
                <a:pPr>
                  <a:defRPr/>
                </a:pPr>
                <a:endParaRPr lang="en-US"/>
              </a:p>
            </c:txPr>
            <c:dLblPos val="ctr"/>
            <c:showVal val="1"/>
          </c:dLbls>
          <c:cat>
            <c:strRef>
              <c:f>'Chart Data'!$T$42:$W$42</c:f>
              <c:strCache>
                <c:ptCount val="4"/>
                <c:pt idx="0">
                  <c:v>Utility Decision Making</c:v>
                </c:pt>
                <c:pt idx="1">
                  <c:v>Survey Weights</c:v>
                </c:pt>
                <c:pt idx="2">
                  <c:v>Research Guidance</c:v>
                </c:pt>
                <c:pt idx="3">
                  <c:v>No water Conservation</c:v>
                </c:pt>
              </c:strCache>
            </c:strRef>
          </c:cat>
          <c:val>
            <c:numRef>
              <c:f>'Chart Data'!$T$49:$V$49</c:f>
              <c:numCache>
                <c:formatCode>0.0%</c:formatCode>
                <c:ptCount val="3"/>
                <c:pt idx="0">
                  <c:v>8.3333333333333356E-2</c:v>
                </c:pt>
                <c:pt idx="1">
                  <c:v>7.6530612244897961E-2</c:v>
                </c:pt>
                <c:pt idx="2">
                  <c:v>8.3333333333333356E-2</c:v>
                </c:pt>
              </c:numCache>
            </c:numRef>
          </c:val>
        </c:ser>
        <c:ser>
          <c:idx val="7"/>
          <c:order val="7"/>
          <c:tx>
            <c:strRef>
              <c:f>'Chart Data'!$S$50</c:f>
              <c:strCache>
                <c:ptCount val="1"/>
                <c:pt idx="0">
                  <c:v>Public Interaction/Engagement</c:v>
                </c:pt>
              </c:strCache>
            </c:strRef>
          </c:tx>
          <c:spPr>
            <a:solidFill>
              <a:schemeClr val="accent3">
                <a:lumMod val="40000"/>
                <a:lumOff val="60000"/>
              </a:schemeClr>
            </a:solidFill>
          </c:spPr>
          <c:dLbls>
            <c:numFmt formatCode="0%" sourceLinked="0"/>
            <c:txPr>
              <a:bodyPr rot="-5400000" vert="horz"/>
              <a:lstStyle/>
              <a:p>
                <a:pPr>
                  <a:defRPr/>
                </a:pPr>
                <a:endParaRPr lang="en-US"/>
              </a:p>
            </c:txPr>
            <c:dLblPos val="ctr"/>
            <c:showVal val="1"/>
          </c:dLbls>
          <c:cat>
            <c:strRef>
              <c:f>'Chart Data'!$T$42:$W$42</c:f>
              <c:strCache>
                <c:ptCount val="4"/>
                <c:pt idx="0">
                  <c:v>Utility Decision Making</c:v>
                </c:pt>
                <c:pt idx="1">
                  <c:v>Survey Weights</c:v>
                </c:pt>
                <c:pt idx="2">
                  <c:v>Research Guidance</c:v>
                </c:pt>
                <c:pt idx="3">
                  <c:v>No water Conservation</c:v>
                </c:pt>
              </c:strCache>
            </c:strRef>
          </c:cat>
          <c:val>
            <c:numRef>
              <c:f>'Chart Data'!$T$50:$V$50</c:f>
              <c:numCache>
                <c:formatCode>0.0%</c:formatCode>
                <c:ptCount val="3"/>
                <c:pt idx="0">
                  <c:v>0.16666666666666671</c:v>
                </c:pt>
                <c:pt idx="1">
                  <c:v>7.0153061224489791E-2</c:v>
                </c:pt>
                <c:pt idx="2">
                  <c:v>0.16666666666666671</c:v>
                </c:pt>
              </c:numCache>
            </c:numRef>
          </c:val>
        </c:ser>
        <c:dLbls>
          <c:showVal val="1"/>
        </c:dLbls>
        <c:axId val="138351744"/>
        <c:axId val="138353280"/>
      </c:barChart>
      <c:catAx>
        <c:axId val="138351744"/>
        <c:scaling>
          <c:orientation val="minMax"/>
        </c:scaling>
        <c:axPos val="b"/>
        <c:tickLblPos val="nextTo"/>
        <c:crossAx val="138353280"/>
        <c:crosses val="autoZero"/>
        <c:auto val="1"/>
        <c:lblAlgn val="ctr"/>
        <c:lblOffset val="100"/>
      </c:catAx>
      <c:valAx>
        <c:axId val="138353280"/>
        <c:scaling>
          <c:orientation val="minMax"/>
        </c:scaling>
        <c:axPos val="l"/>
        <c:majorGridlines/>
        <c:numFmt formatCode="0%" sourceLinked="0"/>
        <c:tickLblPos val="nextTo"/>
        <c:crossAx val="138351744"/>
        <c:crosses val="autoZero"/>
        <c:crossBetween val="between"/>
      </c:valAx>
    </c:plotArea>
    <c:legend>
      <c:legendPos val="b"/>
    </c:legend>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Total O&amp;M Cost</a:t>
            </a:r>
          </a:p>
        </c:rich>
      </c:tx>
    </c:title>
    <c:plotArea>
      <c:layout/>
      <c:barChart>
        <c:barDir val="col"/>
        <c:grouping val="stacked"/>
        <c:ser>
          <c:idx val="0"/>
          <c:order val="0"/>
          <c:tx>
            <c:strRef>
              <c:f>'Chart Data'!$C$73</c:f>
              <c:strCache>
                <c:ptCount val="1"/>
                <c:pt idx="0">
                  <c:v>Labor</c:v>
                </c:pt>
              </c:strCache>
            </c:strRef>
          </c:tx>
          <c:cat>
            <c:strRef>
              <c:f>'Econ - NPV Results Summary'!$E$7:$J$7</c:f>
              <c:strCache>
                <c:ptCount val="6"/>
                <c:pt idx="0">
                  <c:v>1X</c:v>
                </c:pt>
                <c:pt idx="1">
                  <c:v>1Y</c:v>
                </c:pt>
                <c:pt idx="2">
                  <c:v>2X</c:v>
                </c:pt>
                <c:pt idx="3">
                  <c:v>2Y</c:v>
                </c:pt>
                <c:pt idx="4">
                  <c:v>3Y</c:v>
                </c:pt>
                <c:pt idx="5">
                  <c:v>4Y</c:v>
                </c:pt>
              </c:strCache>
            </c:strRef>
          </c:cat>
          <c:val>
            <c:numRef>
              <c:f>'Chart Data'!$E$73:$J$73</c:f>
              <c:numCache>
                <c:formatCode>_("$"* #,##0_);_("$"* \(#,##0\);_("$"* "-"_);_(@_)</c:formatCode>
                <c:ptCount val="6"/>
                <c:pt idx="0">
                  <c:v>16171631.830854949</c:v>
                </c:pt>
                <c:pt idx="1">
                  <c:v>16171631.830854949</c:v>
                </c:pt>
                <c:pt idx="2">
                  <c:v>10402292.907414803</c:v>
                </c:pt>
                <c:pt idx="3">
                  <c:v>10402292.907414803</c:v>
                </c:pt>
                <c:pt idx="4">
                  <c:v>9468277.8886760529</c:v>
                </c:pt>
                <c:pt idx="5">
                  <c:v>11189020.942429367</c:v>
                </c:pt>
              </c:numCache>
            </c:numRef>
          </c:val>
        </c:ser>
        <c:ser>
          <c:idx val="1"/>
          <c:order val="1"/>
          <c:tx>
            <c:strRef>
              <c:f>'Chart Data'!$C$74</c:f>
              <c:strCache>
                <c:ptCount val="1"/>
                <c:pt idx="0">
                  <c:v>Maintenance</c:v>
                </c:pt>
              </c:strCache>
            </c:strRef>
          </c:tx>
          <c:cat>
            <c:strRef>
              <c:f>'Econ - NPV Results Summary'!$E$7:$J$7</c:f>
              <c:strCache>
                <c:ptCount val="6"/>
                <c:pt idx="0">
                  <c:v>1X</c:v>
                </c:pt>
                <c:pt idx="1">
                  <c:v>1Y</c:v>
                </c:pt>
                <c:pt idx="2">
                  <c:v>2X</c:v>
                </c:pt>
                <c:pt idx="3">
                  <c:v>2Y</c:v>
                </c:pt>
                <c:pt idx="4">
                  <c:v>3Y</c:v>
                </c:pt>
                <c:pt idx="5">
                  <c:v>4Y</c:v>
                </c:pt>
              </c:strCache>
            </c:strRef>
          </c:cat>
          <c:val>
            <c:numRef>
              <c:f>'Chart Data'!$E$74:$J$74</c:f>
              <c:numCache>
                <c:formatCode>_("$"* #,##0_);_("$"* \(#,##0\);_("$"* "-"_);_(@_)</c:formatCode>
                <c:ptCount val="6"/>
                <c:pt idx="0">
                  <c:v>4529801.7758612046</c:v>
                </c:pt>
                <c:pt idx="1">
                  <c:v>4529801.7758612046</c:v>
                </c:pt>
                <c:pt idx="2">
                  <c:v>3640263.6627766779</c:v>
                </c:pt>
                <c:pt idx="3">
                  <c:v>3640263.6627766779</c:v>
                </c:pt>
                <c:pt idx="4">
                  <c:v>3202337.2071042955</c:v>
                </c:pt>
                <c:pt idx="5">
                  <c:v>3065485.1897066766</c:v>
                </c:pt>
              </c:numCache>
            </c:numRef>
          </c:val>
        </c:ser>
        <c:ser>
          <c:idx val="2"/>
          <c:order val="2"/>
          <c:tx>
            <c:strRef>
              <c:f>'Chart Data'!$C$75</c:f>
              <c:strCache>
                <c:ptCount val="1"/>
                <c:pt idx="0">
                  <c:v>Chemicals</c:v>
                </c:pt>
              </c:strCache>
            </c:strRef>
          </c:tx>
          <c:cat>
            <c:strRef>
              <c:f>'Econ - NPV Results Summary'!$E$7:$J$7</c:f>
              <c:strCache>
                <c:ptCount val="6"/>
                <c:pt idx="0">
                  <c:v>1X</c:v>
                </c:pt>
                <c:pt idx="1">
                  <c:v>1Y</c:v>
                </c:pt>
                <c:pt idx="2">
                  <c:v>2X</c:v>
                </c:pt>
                <c:pt idx="3">
                  <c:v>2Y</c:v>
                </c:pt>
                <c:pt idx="4">
                  <c:v>3Y</c:v>
                </c:pt>
                <c:pt idx="5">
                  <c:v>4Y</c:v>
                </c:pt>
              </c:strCache>
            </c:strRef>
          </c:cat>
          <c:val>
            <c:numRef>
              <c:f>'Chart Data'!$E$75:$J$75</c:f>
              <c:numCache>
                <c:formatCode>_("$"* #,##0_);_("$"* \(#,##0\);_("$"* "-"_);_(@_)</c:formatCode>
                <c:ptCount val="6"/>
                <c:pt idx="0">
                  <c:v>4912987.4245745381</c:v>
                </c:pt>
                <c:pt idx="1">
                  <c:v>4912987.4245745381</c:v>
                </c:pt>
                <c:pt idx="2">
                  <c:v>3599208.0575573919</c:v>
                </c:pt>
                <c:pt idx="3">
                  <c:v>3599208.0575573919</c:v>
                </c:pt>
                <c:pt idx="4">
                  <c:v>4406634.9602033468</c:v>
                </c:pt>
                <c:pt idx="5">
                  <c:v>2134891.471402864</c:v>
                </c:pt>
              </c:numCache>
            </c:numRef>
          </c:val>
        </c:ser>
        <c:ser>
          <c:idx val="3"/>
          <c:order val="3"/>
          <c:tx>
            <c:strRef>
              <c:f>'Chart Data'!$C$76</c:f>
              <c:strCache>
                <c:ptCount val="1"/>
                <c:pt idx="0">
                  <c:v>Reuse and Disposal Costs</c:v>
                </c:pt>
              </c:strCache>
            </c:strRef>
          </c:tx>
          <c:cat>
            <c:strRef>
              <c:f>'Econ - NPV Results Summary'!$E$7:$J$7</c:f>
              <c:strCache>
                <c:ptCount val="6"/>
                <c:pt idx="0">
                  <c:v>1X</c:v>
                </c:pt>
                <c:pt idx="1">
                  <c:v>1Y</c:v>
                </c:pt>
                <c:pt idx="2">
                  <c:v>2X</c:v>
                </c:pt>
                <c:pt idx="3">
                  <c:v>2Y</c:v>
                </c:pt>
                <c:pt idx="4">
                  <c:v>3Y</c:v>
                </c:pt>
                <c:pt idx="5">
                  <c:v>4Y</c:v>
                </c:pt>
              </c:strCache>
            </c:strRef>
          </c:cat>
          <c:val>
            <c:numRef>
              <c:f>'Chart Data'!$E$76:$J$76</c:f>
              <c:numCache>
                <c:formatCode>_("$"* #,##0_);_("$"* \(#,##0\);_("$"* "-"_);_(@_)</c:formatCode>
                <c:ptCount val="6"/>
                <c:pt idx="0">
                  <c:v>2641243.9357740558</c:v>
                </c:pt>
                <c:pt idx="1">
                  <c:v>4420320.1619431097</c:v>
                </c:pt>
                <c:pt idx="2">
                  <c:v>6527841.2298664488</c:v>
                </c:pt>
                <c:pt idx="3">
                  <c:v>8279547.0525559774</c:v>
                </c:pt>
                <c:pt idx="4">
                  <c:v>4748765.0036973963</c:v>
                </c:pt>
                <c:pt idx="5">
                  <c:v>1669594.6122509574</c:v>
                </c:pt>
              </c:numCache>
            </c:numRef>
          </c:val>
        </c:ser>
        <c:ser>
          <c:idx val="4"/>
          <c:order val="4"/>
          <c:tx>
            <c:strRef>
              <c:f>'Chart Data'!$C$77</c:f>
              <c:strCache>
                <c:ptCount val="1"/>
                <c:pt idx="0">
                  <c:v>Natural Gas</c:v>
                </c:pt>
              </c:strCache>
            </c:strRef>
          </c:tx>
          <c:cat>
            <c:strRef>
              <c:f>'Econ - NPV Results Summary'!$E$7:$J$7</c:f>
              <c:strCache>
                <c:ptCount val="6"/>
                <c:pt idx="0">
                  <c:v>1X</c:v>
                </c:pt>
                <c:pt idx="1">
                  <c:v>1Y</c:v>
                </c:pt>
                <c:pt idx="2">
                  <c:v>2X</c:v>
                </c:pt>
                <c:pt idx="3">
                  <c:v>2Y</c:v>
                </c:pt>
                <c:pt idx="4">
                  <c:v>3Y</c:v>
                </c:pt>
                <c:pt idx="5">
                  <c:v>4Y</c:v>
                </c:pt>
              </c:strCache>
            </c:strRef>
          </c:cat>
          <c:val>
            <c:numRef>
              <c:f>'Chart Data'!$E$77:$J$77</c:f>
              <c:numCache>
                <c:formatCode>_("$"* #,##0_);_("$"* \(#,##0\);_("$"* "-"_);_(@_)</c:formatCode>
                <c:ptCount val="6"/>
                <c:pt idx="0">
                  <c:v>0</c:v>
                </c:pt>
                <c:pt idx="1">
                  <c:v>0</c:v>
                </c:pt>
                <c:pt idx="2">
                  <c:v>0</c:v>
                </c:pt>
                <c:pt idx="3">
                  <c:v>0</c:v>
                </c:pt>
                <c:pt idx="4">
                  <c:v>698562.82938168244</c:v>
                </c:pt>
                <c:pt idx="5">
                  <c:v>181994.54263963987</c:v>
                </c:pt>
              </c:numCache>
            </c:numRef>
          </c:val>
        </c:ser>
        <c:ser>
          <c:idx val="5"/>
          <c:order val="5"/>
          <c:tx>
            <c:strRef>
              <c:f>'Chart Data'!$C$78</c:f>
              <c:strCache>
                <c:ptCount val="1"/>
                <c:pt idx="0">
                  <c:v>Electricity Consumption</c:v>
                </c:pt>
              </c:strCache>
            </c:strRef>
          </c:tx>
          <c:cat>
            <c:strRef>
              <c:f>'Econ - NPV Results Summary'!$E$7:$J$7</c:f>
              <c:strCache>
                <c:ptCount val="6"/>
                <c:pt idx="0">
                  <c:v>1X</c:v>
                </c:pt>
                <c:pt idx="1">
                  <c:v>1Y</c:v>
                </c:pt>
                <c:pt idx="2">
                  <c:v>2X</c:v>
                </c:pt>
                <c:pt idx="3">
                  <c:v>2Y</c:v>
                </c:pt>
                <c:pt idx="4">
                  <c:v>3Y</c:v>
                </c:pt>
                <c:pt idx="5">
                  <c:v>4Y</c:v>
                </c:pt>
              </c:strCache>
            </c:strRef>
          </c:cat>
          <c:val>
            <c:numRef>
              <c:f>'Chart Data'!$E$78:$J$78</c:f>
              <c:numCache>
                <c:formatCode>_("$"* #,##0_);_("$"* \(#,##0\);_("$"* "-"_);_(@_)</c:formatCode>
                <c:ptCount val="6"/>
                <c:pt idx="0">
                  <c:v>539934.9098973209</c:v>
                </c:pt>
                <c:pt idx="1">
                  <c:v>539934.9098973209</c:v>
                </c:pt>
                <c:pt idx="2">
                  <c:v>894038.56354271842</c:v>
                </c:pt>
                <c:pt idx="3">
                  <c:v>894038.56354271842</c:v>
                </c:pt>
                <c:pt idx="4">
                  <c:v>116863.96062456917</c:v>
                </c:pt>
                <c:pt idx="5">
                  <c:v>518234.64341922704</c:v>
                </c:pt>
              </c:numCache>
            </c:numRef>
          </c:val>
        </c:ser>
        <c:ser>
          <c:idx val="6"/>
          <c:order val="6"/>
          <c:tx>
            <c:strRef>
              <c:f>'Chart Data'!$C$79</c:f>
              <c:strCache>
                <c:ptCount val="1"/>
                <c:pt idx="0">
                  <c:v>Extraordinary Maintenance Costs</c:v>
                </c:pt>
              </c:strCache>
            </c:strRef>
          </c:tx>
          <c:cat>
            <c:strRef>
              <c:f>'Econ - NPV Results Summary'!$E$7:$J$7</c:f>
              <c:strCache>
                <c:ptCount val="6"/>
                <c:pt idx="0">
                  <c:v>1X</c:v>
                </c:pt>
                <c:pt idx="1">
                  <c:v>1Y</c:v>
                </c:pt>
                <c:pt idx="2">
                  <c:v>2X</c:v>
                </c:pt>
                <c:pt idx="3">
                  <c:v>2Y</c:v>
                </c:pt>
                <c:pt idx="4">
                  <c:v>3Y</c:v>
                </c:pt>
                <c:pt idx="5">
                  <c:v>4Y</c:v>
                </c:pt>
              </c:strCache>
            </c:strRef>
          </c:cat>
          <c:val>
            <c:numRef>
              <c:f>'Chart Data'!$E$79:$J$79</c:f>
              <c:numCache>
                <c:formatCode>_("$"* #,##0_);_("$"* \(#,##0\);_("$"* "-"_);_(@_)</c:formatCode>
                <c:ptCount val="6"/>
                <c:pt idx="0">
                  <c:v>0</c:v>
                </c:pt>
                <c:pt idx="1">
                  <c:v>0</c:v>
                </c:pt>
                <c:pt idx="2">
                  <c:v>0</c:v>
                </c:pt>
                <c:pt idx="3">
                  <c:v>0</c:v>
                </c:pt>
                <c:pt idx="4">
                  <c:v>0</c:v>
                </c:pt>
                <c:pt idx="5">
                  <c:v>0</c:v>
                </c:pt>
              </c:numCache>
            </c:numRef>
          </c:val>
        </c:ser>
        <c:dLbls/>
        <c:overlap val="100"/>
        <c:axId val="138613504"/>
        <c:axId val="138615040"/>
      </c:barChart>
      <c:catAx>
        <c:axId val="138613504"/>
        <c:scaling>
          <c:orientation val="minMax"/>
        </c:scaling>
        <c:axPos val="b"/>
        <c:tickLblPos val="nextTo"/>
        <c:crossAx val="138615040"/>
        <c:crosses val="autoZero"/>
        <c:auto val="1"/>
        <c:lblAlgn val="ctr"/>
        <c:lblOffset val="100"/>
      </c:catAx>
      <c:valAx>
        <c:axId val="138615040"/>
        <c:scaling>
          <c:orientation val="minMax"/>
        </c:scaling>
        <c:axPos val="l"/>
        <c:majorGridlines/>
        <c:numFmt formatCode="_(&quot;$&quot;* #,##0_);_(&quot;$&quot;* \(#,##0\);_(&quot;$&quot;* &quot;-&quot;_);_(@_)" sourceLinked="1"/>
        <c:tickLblPos val="nextTo"/>
        <c:crossAx val="138613504"/>
        <c:crosses val="autoZero"/>
        <c:crossBetween val="between"/>
      </c:valAx>
    </c:plotArea>
    <c:legend>
      <c:legendPos val="b"/>
    </c:legend>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Lifecycle Cash</a:t>
            </a:r>
            <a:r>
              <a:rPr lang="en-US" baseline="0"/>
              <a:t> Flows</a:t>
            </a:r>
            <a:endParaRPr lang="en-US"/>
          </a:p>
        </c:rich>
      </c:tx>
    </c:title>
    <c:plotArea>
      <c:layout/>
      <c:lineChart>
        <c:grouping val="standard"/>
        <c:ser>
          <c:idx val="0"/>
          <c:order val="0"/>
          <c:tx>
            <c:strRef>
              <c:f>'TBL Scoring Summary'!$H$2</c:f>
              <c:strCache>
                <c:ptCount val="1"/>
                <c:pt idx="0">
                  <c:v>1X: AnaDig + CHP, Prtmt, LandApp</c:v>
                </c:pt>
              </c:strCache>
            </c:strRef>
          </c:tx>
          <c:marker>
            <c:symbol val="none"/>
          </c:marker>
          <c:cat>
            <c:numRef>
              <c:f>'1X'!$Q$94:$AU$94</c:f>
              <c:numCache>
                <c:formatCode>General</c:formatCode>
                <c:ptCount val="31"/>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2028</c:v>
                </c:pt>
                <c:pt idx="16">
                  <c:v>2029</c:v>
                </c:pt>
                <c:pt idx="17">
                  <c:v>2030</c:v>
                </c:pt>
                <c:pt idx="18">
                  <c:v>2031</c:v>
                </c:pt>
                <c:pt idx="19">
                  <c:v>2032</c:v>
                </c:pt>
                <c:pt idx="20">
                  <c:v>2033</c:v>
                </c:pt>
                <c:pt idx="21">
                  <c:v>2034</c:v>
                </c:pt>
                <c:pt idx="22">
                  <c:v>2035</c:v>
                </c:pt>
                <c:pt idx="23">
                  <c:v>2036</c:v>
                </c:pt>
                <c:pt idx="24">
                  <c:v>2037</c:v>
                </c:pt>
                <c:pt idx="25">
                  <c:v>2038</c:v>
                </c:pt>
                <c:pt idx="26">
                  <c:v>2039</c:v>
                </c:pt>
                <c:pt idx="27">
                  <c:v>2040</c:v>
                </c:pt>
                <c:pt idx="28">
                  <c:v>2041</c:v>
                </c:pt>
                <c:pt idx="29">
                  <c:v>2042</c:v>
                </c:pt>
                <c:pt idx="30">
                  <c:v>2043</c:v>
                </c:pt>
              </c:numCache>
            </c:numRef>
          </c:cat>
          <c:val>
            <c:numRef>
              <c:f>'1X'!$Q$39:$AK$39</c:f>
              <c:numCache>
                <c:formatCode>_("$"* #,##0_);_("$"* \(#,##0\);_("$"* "-"??_);_(@_)</c:formatCode>
                <c:ptCount val="21"/>
                <c:pt idx="0" formatCode="General">
                  <c:v>0</c:v>
                </c:pt>
                <c:pt idx="1">
                  <c:v>38436679.536095291</c:v>
                </c:pt>
                <c:pt idx="2">
                  <c:v>40240146.835055478</c:v>
                </c:pt>
                <c:pt idx="3">
                  <c:v>41973196.866467081</c:v>
                </c:pt>
                <c:pt idx="4">
                  <c:v>43639843.293426581</c:v>
                </c:pt>
                <c:pt idx="5">
                  <c:v>45258869.313986145</c:v>
                </c:pt>
                <c:pt idx="6">
                  <c:v>46802396.373839773</c:v>
                </c:pt>
                <c:pt idx="7">
                  <c:v>48288013.410437278</c:v>
                </c:pt>
                <c:pt idx="8">
                  <c:v>49717168.271038257</c:v>
                </c:pt>
                <c:pt idx="9">
                  <c:v>51092063.285148144</c:v>
                </c:pt>
                <c:pt idx="10">
                  <c:v>52427604.371089451</c:v>
                </c:pt>
                <c:pt idx="11">
                  <c:v>53700173.165972389</c:v>
                </c:pt>
                <c:pt idx="12">
                  <c:v>54924776.472940393</c:v>
                </c:pt>
                <c:pt idx="13">
                  <c:v>56102943.972240292</c:v>
                </c:pt>
                <c:pt idx="14">
                  <c:v>57236457.295438245</c:v>
                </c:pt>
                <c:pt idx="15">
                  <c:v>58337612.051468179</c:v>
                </c:pt>
                <c:pt idx="16">
                  <c:v>59386554.630367361</c:v>
                </c:pt>
                <c:pt idx="17">
                  <c:v>60395630.423935615</c:v>
                </c:pt>
                <c:pt idx="18">
                  <c:v>61366266.001984403</c:v>
                </c:pt>
                <c:pt idx="19">
                  <c:v>62299874.818634547</c:v>
                </c:pt>
                <c:pt idx="20">
                  <c:v>63206644.976927914</c:v>
                </c:pt>
              </c:numCache>
            </c:numRef>
          </c:val>
        </c:ser>
        <c:ser>
          <c:idx val="1"/>
          <c:order val="1"/>
          <c:tx>
            <c:strRef>
              <c:f>'TBL Scoring Summary'!$K$2</c:f>
              <c:strCache>
                <c:ptCount val="1"/>
                <c:pt idx="0">
                  <c:v>1Y: AnaDig + CHP, Prtmt, Landfill</c:v>
                </c:pt>
              </c:strCache>
            </c:strRef>
          </c:tx>
          <c:marker>
            <c:symbol val="none"/>
          </c:marker>
          <c:val>
            <c:numRef>
              <c:f>'1Y'!$Q$39:$AK$39</c:f>
              <c:numCache>
                <c:formatCode>_("$"* #,##0_);_("$"* \(#,##0\);_("$"* "-"??_);_(@_)</c:formatCode>
                <c:ptCount val="21"/>
                <c:pt idx="0" formatCode="General">
                  <c:v>0</c:v>
                </c:pt>
                <c:pt idx="1">
                  <c:v>38561773.875717938</c:v>
                </c:pt>
                <c:pt idx="2">
                  <c:v>40485614.973182924</c:v>
                </c:pt>
                <c:pt idx="3">
                  <c:v>42334496.395608589</c:v>
                </c:pt>
                <c:pt idx="4">
                  <c:v>44112603.217694819</c:v>
                </c:pt>
                <c:pt idx="5">
                  <c:v>45838883.580734834</c:v>
                </c:pt>
                <c:pt idx="6">
                  <c:v>47485617.649390399</c:v>
                </c:pt>
                <c:pt idx="7">
                  <c:v>49070547.090684108</c:v>
                </c:pt>
                <c:pt idx="8">
                  <c:v>50595266.718068227</c:v>
                </c:pt>
                <c:pt idx="9">
                  <c:v>52062120.281346783</c:v>
                </c:pt>
                <c:pt idx="10">
                  <c:v>53486149.782525882</c:v>
                </c:pt>
                <c:pt idx="11">
                  <c:v>54843867.807165928</c:v>
                </c:pt>
                <c:pt idx="12">
                  <c:v>56150407.165409647</c:v>
                </c:pt>
                <c:pt idx="13">
                  <c:v>57407418.789522029</c:v>
                </c:pt>
                <c:pt idx="14">
                  <c:v>58616800.987539537</c:v>
                </c:pt>
                <c:pt idx="15">
                  <c:v>59790961.641980745</c:v>
                </c:pt>
                <c:pt idx="16">
                  <c:v>60910155.179728515</c:v>
                </c:pt>
                <c:pt idx="17">
                  <c:v>61986830.952566154</c:v>
                </c:pt>
                <c:pt idx="18">
                  <c:v>63022515.567270406</c:v>
                </c:pt>
                <c:pt idx="19">
                  <c:v>64018718.73994749</c:v>
                </c:pt>
                <c:pt idx="20">
                  <c:v>64985721.203096963</c:v>
                </c:pt>
              </c:numCache>
            </c:numRef>
          </c:val>
        </c:ser>
        <c:ser>
          <c:idx val="2"/>
          <c:order val="2"/>
          <c:tx>
            <c:strRef>
              <c:f>'TBL Scoring Summary'!$N$2</c:f>
              <c:strCache>
                <c:ptCount val="1"/>
                <c:pt idx="0">
                  <c:v>2X: AnaDig + CHP, Codig, LandApp</c:v>
                </c:pt>
              </c:strCache>
            </c:strRef>
          </c:tx>
          <c:marker>
            <c:symbol val="none"/>
          </c:marker>
          <c:val>
            <c:numRef>
              <c:f>'2X'!$Q$39:$AK$39</c:f>
              <c:numCache>
                <c:formatCode>_("$"* #,##0_);_("$"* \(#,##0\);_("$"* "-"??_);_(@_)</c:formatCode>
                <c:ptCount val="21"/>
                <c:pt idx="0" formatCode="General">
                  <c:v>0</c:v>
                </c:pt>
                <c:pt idx="1">
                  <c:v>34273081.969357647</c:v>
                </c:pt>
                <c:pt idx="2">
                  <c:v>35808020.948284045</c:v>
                </c:pt>
                <c:pt idx="3">
                  <c:v>37283151.676125892</c:v>
                </c:pt>
                <c:pt idx="4">
                  <c:v>38701814.188346833</c:v>
                </c:pt>
                <c:pt idx="5">
                  <c:v>40066619.884709619</c:v>
                </c:pt>
                <c:pt idx="6">
                  <c:v>41380466.842749491</c:v>
                </c:pt>
                <c:pt idx="7">
                  <c:v>42645003.197719112</c:v>
                </c:pt>
                <c:pt idx="8">
                  <c:v>43861500.86829903</c:v>
                </c:pt>
                <c:pt idx="9">
                  <c:v>45031829.874114104</c:v>
                </c:pt>
                <c:pt idx="10">
                  <c:v>46157672.902940802</c:v>
                </c:pt>
                <c:pt idx="11">
                  <c:v>47240927.77941791</c:v>
                </c:pt>
                <c:pt idx="12">
                  <c:v>48283349.811443828</c:v>
                </c:pt>
                <c:pt idx="13">
                  <c:v>49286256.005103238</c:v>
                </c:pt>
                <c:pt idx="14">
                  <c:v>50251160.950274564</c:v>
                </c:pt>
                <c:pt idx="15">
                  <c:v>51179451.10666468</c:v>
                </c:pt>
                <c:pt idx="16">
                  <c:v>52072398.649394527</c:v>
                </c:pt>
                <c:pt idx="17">
                  <c:v>52931423.241278619</c:v>
                </c:pt>
                <c:pt idx="18">
                  <c:v>53757742.839028962</c:v>
                </c:pt>
                <c:pt idx="19">
                  <c:v>54552561.952220641</c:v>
                </c:pt>
                <c:pt idx="20">
                  <c:v>55317059.443593539</c:v>
                </c:pt>
              </c:numCache>
            </c:numRef>
          </c:val>
        </c:ser>
        <c:ser>
          <c:idx val="3"/>
          <c:order val="3"/>
          <c:tx>
            <c:strRef>
              <c:f>'TBL Scoring Summary'!$Q$2</c:f>
              <c:strCache>
                <c:ptCount val="1"/>
                <c:pt idx="0">
                  <c:v>2Y: AnaDig + CHP, Codig, Landfill</c:v>
                </c:pt>
              </c:strCache>
            </c:strRef>
          </c:tx>
          <c:marker>
            <c:symbol val="none"/>
          </c:marker>
          <c:val>
            <c:numRef>
              <c:f>'2Y'!$Q$39:$AK$39</c:f>
              <c:numCache>
                <c:formatCode>_("$"* #,##0_);_("$"* \(#,##0\);_("$"* "-"??_);_(@_)</c:formatCode>
                <c:ptCount val="21"/>
                <c:pt idx="0" formatCode="General">
                  <c:v>0</c:v>
                </c:pt>
                <c:pt idx="1">
                  <c:v>34396251.780678399</c:v>
                </c:pt>
                <c:pt idx="2">
                  <c:v>36049712.653517231</c:v>
                </c:pt>
                <c:pt idx="3">
                  <c:v>37638892.750972912</c:v>
                </c:pt>
                <c:pt idx="4">
                  <c:v>39167300.883010946</c:v>
                </c:pt>
                <c:pt idx="5">
                  <c:v>40637710.855046786</c:v>
                </c:pt>
                <c:pt idx="6">
                  <c:v>42053177.021753184</c:v>
                </c:pt>
                <c:pt idx="7">
                  <c:v>43415497.898269832</c:v>
                </c:pt>
                <c:pt idx="8">
                  <c:v>44726090.108451612</c:v>
                </c:pt>
                <c:pt idx="9">
                  <c:v>45986962.916525081</c:v>
                </c:pt>
                <c:pt idx="10">
                  <c:v>47199933.000355132</c:v>
                </c:pt>
                <c:pt idx="11">
                  <c:v>48367027.11843925</c:v>
                </c:pt>
                <c:pt idx="12">
                  <c:v>49490124.647105873</c:v>
                </c:pt>
                <c:pt idx="13">
                  <c:v>50570661.979042187</c:v>
                </c:pt>
                <c:pt idx="14">
                  <c:v>51610268.585574307</c:v>
                </c:pt>
                <c:pt idx="15">
                  <c:v>52610441.47270783</c:v>
                </c:pt>
                <c:pt idx="16">
                  <c:v>53572559.190303974</c:v>
                </c:pt>
                <c:pt idx="17">
                  <c:v>54498143.761776395</c:v>
                </c:pt>
                <c:pt idx="18">
                  <c:v>55388511.641772106</c:v>
                </c:pt>
                <c:pt idx="19">
                  <c:v>56244962.120898001</c:v>
                </c:pt>
                <c:pt idx="20">
                  <c:v>57068765.26628308</c:v>
                </c:pt>
              </c:numCache>
            </c:numRef>
          </c:val>
        </c:ser>
        <c:ser>
          <c:idx val="4"/>
          <c:order val="4"/>
          <c:tx>
            <c:strRef>
              <c:f>'TBL Scoring Summary'!$T$2</c:f>
              <c:strCache>
                <c:ptCount val="1"/>
                <c:pt idx="0">
                  <c:v>3Y: Incin, Landfill</c:v>
                </c:pt>
              </c:strCache>
            </c:strRef>
          </c:tx>
          <c:marker>
            <c:symbol val="none"/>
          </c:marker>
          <c:val>
            <c:numRef>
              <c:f>'3Y'!$Q$39:$AK$39</c:f>
              <c:numCache>
                <c:formatCode>_("$"* #,##0_);_("$"* \(#,##0\);_("$"* "-"??_);_(@_)</c:formatCode>
                <c:ptCount val="21"/>
                <c:pt idx="0" formatCode="General">
                  <c:v>0</c:v>
                </c:pt>
                <c:pt idx="1">
                  <c:v>29866050.194066849</c:v>
                </c:pt>
                <c:pt idx="2">
                  <c:v>31339454.511974428</c:v>
                </c:pt>
                <c:pt idx="3">
                  <c:v>32759821.809392836</c:v>
                </c:pt>
                <c:pt idx="4">
                  <c:v>34127604.117587984</c:v>
                </c:pt>
                <c:pt idx="5">
                  <c:v>35445368.001631252</c:v>
                </c:pt>
                <c:pt idx="6">
                  <c:v>36714425.754456945</c:v>
                </c:pt>
                <c:pt idx="7">
                  <c:v>37936144.834386989</c:v>
                </c:pt>
                <c:pt idx="8">
                  <c:v>39112248.207392834</c:v>
                </c:pt>
                <c:pt idx="9">
                  <c:v>40244965.697690137</c:v>
                </c:pt>
                <c:pt idx="10">
                  <c:v>41335833.374645591</c:v>
                </c:pt>
                <c:pt idx="11">
                  <c:v>42385997.753179796</c:v>
                </c:pt>
                <c:pt idx="12">
                  <c:v>43396718.953508347</c:v>
                </c:pt>
                <c:pt idx="13">
                  <c:v>44369719.60567341</c:v>
                </c:pt>
                <c:pt idx="14">
                  <c:v>45306072.952919021</c:v>
                </c:pt>
                <c:pt idx="15">
                  <c:v>46207449.573335253</c:v>
                </c:pt>
                <c:pt idx="16">
                  <c:v>47075046.832268186</c:v>
                </c:pt>
                <c:pt idx="17">
                  <c:v>47910098.229099609</c:v>
                </c:pt>
                <c:pt idx="18">
                  <c:v>48713972.054532044</c:v>
                </c:pt>
                <c:pt idx="19">
                  <c:v>49487717.360333599</c:v>
                </c:pt>
                <c:pt idx="20">
                  <c:v>50232652.649555437</c:v>
                </c:pt>
              </c:numCache>
            </c:numRef>
          </c:val>
        </c:ser>
        <c:ser>
          <c:idx val="5"/>
          <c:order val="5"/>
          <c:tx>
            <c:strRef>
              <c:f>'TBL Scoring Summary'!$W$2</c:f>
              <c:strCache>
                <c:ptCount val="1"/>
                <c:pt idx="0">
                  <c:v>4Y: Gasif, Landfill</c:v>
                </c:pt>
              </c:strCache>
            </c:strRef>
          </c:tx>
          <c:marker>
            <c:symbol val="none"/>
          </c:marker>
          <c:val>
            <c:numRef>
              <c:f>'4Y'!$Q$39:$AK$39</c:f>
              <c:numCache>
                <c:formatCode>_("$"* #,##0_);_("$"* \(#,##0\);_("$"* "-"??_);_(@_)</c:formatCode>
                <c:ptCount val="21"/>
                <c:pt idx="0" formatCode="General">
                  <c:v>0</c:v>
                </c:pt>
                <c:pt idx="1">
                  <c:v>32788818.319201842</c:v>
                </c:pt>
                <c:pt idx="2">
                  <c:v>34054290.746809825</c:v>
                </c:pt>
                <c:pt idx="3">
                  <c:v>35273646.613356091</c:v>
                </c:pt>
                <c:pt idx="4">
                  <c:v>36447665.830849886</c:v>
                </c:pt>
                <c:pt idx="5">
                  <c:v>37577963.930417895</c:v>
                </c:pt>
                <c:pt idx="6">
                  <c:v>38665595.950875603</c:v>
                </c:pt>
                <c:pt idx="7">
                  <c:v>39712190.60818179</c:v>
                </c:pt>
                <c:pt idx="8">
                  <c:v>40719582.616571888</c:v>
                </c:pt>
                <c:pt idx="9">
                  <c:v>41689354.374492995</c:v>
                </c:pt>
                <c:pt idx="10">
                  <c:v>42622929.760113865</c:v>
                </c:pt>
                <c:pt idx="11">
                  <c:v>43521449.324441507</c:v>
                </c:pt>
                <c:pt idx="12">
                  <c:v>44386087.888058074</c:v>
                </c:pt>
                <c:pt idx="13">
                  <c:v>45218300.050577</c:v>
                </c:pt>
                <c:pt idx="14">
                  <c:v>46019206.179864116</c:v>
                </c:pt>
                <c:pt idx="15">
                  <c:v>46790087.017901398</c:v>
                </c:pt>
                <c:pt idx="16">
                  <c:v>47532099.963751487</c:v>
                </c:pt>
                <c:pt idx="17">
                  <c:v>48246279.449639469</c:v>
                </c:pt>
                <c:pt idx="18">
                  <c:v>48933744.251557596</c:v>
                </c:pt>
                <c:pt idx="19">
                  <c:v>49595484.498365089</c:v>
                </c:pt>
                <c:pt idx="20">
                  <c:v>50232523.288641199</c:v>
                </c:pt>
              </c:numCache>
            </c:numRef>
          </c:val>
        </c:ser>
        <c:dLbls/>
        <c:marker val="1"/>
        <c:axId val="138669056"/>
        <c:axId val="138679040"/>
      </c:lineChart>
      <c:catAx>
        <c:axId val="138669056"/>
        <c:scaling>
          <c:orientation val="minMax"/>
        </c:scaling>
        <c:axPos val="b"/>
        <c:numFmt formatCode="General" sourceLinked="1"/>
        <c:tickLblPos val="nextTo"/>
        <c:crossAx val="138679040"/>
        <c:crosses val="autoZero"/>
        <c:auto val="1"/>
        <c:lblAlgn val="ctr"/>
        <c:lblOffset val="100"/>
      </c:catAx>
      <c:valAx>
        <c:axId val="138679040"/>
        <c:scaling>
          <c:orientation val="minMax"/>
        </c:scaling>
        <c:axPos val="l"/>
        <c:majorGridlines/>
        <c:title>
          <c:tx>
            <c:rich>
              <a:bodyPr rot="-5400000" vert="horz"/>
              <a:lstStyle/>
              <a:p>
                <a:pPr>
                  <a:defRPr/>
                </a:pPr>
                <a:r>
                  <a:rPr lang="en-US"/>
                  <a:t>NPV</a:t>
                </a:r>
              </a:p>
            </c:rich>
          </c:tx>
        </c:title>
        <c:numFmt formatCode="&quot;$&quot;#,##0" sourceLinked="0"/>
        <c:tickLblPos val="nextTo"/>
        <c:crossAx val="138669056"/>
        <c:crosses val="autoZero"/>
        <c:crossBetween val="between"/>
      </c:valAx>
    </c:plotArea>
    <c:legend>
      <c:legendPos val="b"/>
    </c:legend>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plotArea>
      <c:layout/>
      <c:barChart>
        <c:barDir val="col"/>
        <c:grouping val="clustered"/>
        <c:ser>
          <c:idx val="0"/>
          <c:order val="0"/>
          <c:tx>
            <c:strRef>
              <c:f>'Econ - NPV Results Summary'!$C$33</c:f>
              <c:strCache>
                <c:ptCount val="1"/>
                <c:pt idx="0">
                  <c:v>Lifecycle O&amp;M Costs (Net)</c:v>
                </c:pt>
              </c:strCache>
            </c:strRef>
          </c:tx>
          <c:cat>
            <c:strRef>
              <c:f>'Econ - NPV Results Summary'!$E$7:$J$7</c:f>
              <c:strCache>
                <c:ptCount val="6"/>
                <c:pt idx="0">
                  <c:v>1X</c:v>
                </c:pt>
                <c:pt idx="1">
                  <c:v>1Y</c:v>
                </c:pt>
                <c:pt idx="2">
                  <c:v>2X</c:v>
                </c:pt>
                <c:pt idx="3">
                  <c:v>2Y</c:v>
                </c:pt>
                <c:pt idx="4">
                  <c:v>3Y</c:v>
                </c:pt>
                <c:pt idx="5">
                  <c:v>4Y</c:v>
                </c:pt>
              </c:strCache>
            </c:strRef>
          </c:cat>
          <c:val>
            <c:numRef>
              <c:f>'Econ - NPV Results Summary'!$E$53:$J$53</c:f>
              <c:numCache>
                <c:formatCode>_("$"* #,##0_);_("$"* \(#,##0\);_("$"* "-"_);_(@_)</c:formatCode>
                <c:ptCount val="6"/>
                <c:pt idx="0">
                  <c:v>26642616.675041128</c:v>
                </c:pt>
                <c:pt idx="1">
                  <c:v>28421692.901210178</c:v>
                </c:pt>
                <c:pt idx="2">
                  <c:v>22637880.19831052</c:v>
                </c:pt>
                <c:pt idx="3">
                  <c:v>24389586.02100005</c:v>
                </c:pt>
                <c:pt idx="4">
                  <c:v>21896963.970310155</c:v>
                </c:pt>
                <c:pt idx="5">
                  <c:v>18759221.401848733</c:v>
                </c:pt>
              </c:numCache>
            </c:numRef>
          </c:val>
        </c:ser>
        <c:dLbls/>
        <c:axId val="138734592"/>
        <c:axId val="138749056"/>
      </c:barChart>
      <c:catAx>
        <c:axId val="138734592"/>
        <c:scaling>
          <c:orientation val="minMax"/>
        </c:scaling>
        <c:axPos val="b"/>
        <c:title>
          <c:tx>
            <c:rich>
              <a:bodyPr/>
              <a:lstStyle/>
              <a:p>
                <a:pPr>
                  <a:defRPr/>
                </a:pPr>
                <a:r>
                  <a:rPr lang="en-US"/>
                  <a:t>Configuration</a:t>
                </a:r>
              </a:p>
            </c:rich>
          </c:tx>
        </c:title>
        <c:tickLblPos val="nextTo"/>
        <c:crossAx val="138749056"/>
        <c:crosses val="autoZero"/>
        <c:auto val="1"/>
        <c:lblAlgn val="ctr"/>
        <c:lblOffset val="100"/>
      </c:catAx>
      <c:valAx>
        <c:axId val="138749056"/>
        <c:scaling>
          <c:orientation val="minMax"/>
        </c:scaling>
        <c:axPos val="l"/>
        <c:majorGridlines/>
        <c:title>
          <c:tx>
            <c:rich>
              <a:bodyPr rot="-5400000" vert="horz"/>
              <a:lstStyle/>
              <a:p>
                <a:pPr>
                  <a:defRPr/>
                </a:pPr>
                <a:r>
                  <a:rPr lang="en-US"/>
                  <a:t>NPV 2014</a:t>
                </a:r>
                <a:r>
                  <a:rPr lang="en-US" baseline="0"/>
                  <a:t> $</a:t>
                </a:r>
                <a:endParaRPr lang="en-US"/>
              </a:p>
            </c:rich>
          </c:tx>
        </c:title>
        <c:numFmt formatCode="_(&quot;$&quot;* #,##0_);_(&quot;$&quot;* \(#,##0\);_(&quot;$&quot;* &quot;-&quot;_);_(@_)" sourceLinked="1"/>
        <c:tickLblPos val="nextTo"/>
        <c:crossAx val="138734592"/>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Energy Recovery</a:t>
            </a:r>
          </a:p>
        </c:rich>
      </c:tx>
    </c:title>
    <c:plotArea>
      <c:layout/>
      <c:barChart>
        <c:barDir val="col"/>
        <c:grouping val="clustered"/>
        <c:ser>
          <c:idx val="0"/>
          <c:order val="0"/>
          <c:dLbls>
            <c:numFmt formatCode="#,##0_);\(#,##0\)" sourceLinked="0"/>
            <c:spPr>
              <a:solidFill>
                <a:schemeClr val="bg1"/>
              </a:solidFill>
            </c:spPr>
            <c:showVal val="1"/>
          </c:dLbls>
          <c:cat>
            <c:strRef>
              <c:f>'Chart Data'!$E$71:$J$71</c:f>
              <c:strCache>
                <c:ptCount val="6"/>
                <c:pt idx="0">
                  <c:v>1X</c:v>
                </c:pt>
                <c:pt idx="1">
                  <c:v>1Y</c:v>
                </c:pt>
                <c:pt idx="2">
                  <c:v>2X</c:v>
                </c:pt>
                <c:pt idx="3">
                  <c:v>2Y</c:v>
                </c:pt>
                <c:pt idx="4">
                  <c:v>3Y</c:v>
                </c:pt>
                <c:pt idx="5">
                  <c:v>4Y</c:v>
                </c:pt>
              </c:strCache>
            </c:strRef>
          </c:cat>
          <c:val>
            <c:numRef>
              <c:f>'Env - RC - Fixed Carbon'!$C$7:$H$7</c:f>
              <c:numCache>
                <c:formatCode>0</c:formatCode>
                <c:ptCount val="6"/>
                <c:pt idx="0">
                  <c:v>24094.400000000001</c:v>
                </c:pt>
                <c:pt idx="1">
                  <c:v>24094.400000000001</c:v>
                </c:pt>
                <c:pt idx="2">
                  <c:v>22661.600000000002</c:v>
                </c:pt>
                <c:pt idx="3">
                  <c:v>22661.600000000002</c:v>
                </c:pt>
                <c:pt idx="4">
                  <c:v>-18147</c:v>
                </c:pt>
                <c:pt idx="5">
                  <c:v>-5610</c:v>
                </c:pt>
              </c:numCache>
            </c:numRef>
          </c:val>
        </c:ser>
        <c:dLbls/>
        <c:axId val="138765440"/>
        <c:axId val="138766976"/>
      </c:barChart>
      <c:catAx>
        <c:axId val="138765440"/>
        <c:scaling>
          <c:orientation val="minMax"/>
        </c:scaling>
        <c:axPos val="b"/>
        <c:tickLblPos val="low"/>
        <c:crossAx val="138766976"/>
        <c:crosses val="autoZero"/>
        <c:auto val="1"/>
        <c:lblAlgn val="ctr"/>
        <c:lblOffset val="100"/>
      </c:catAx>
      <c:valAx>
        <c:axId val="138766976"/>
        <c:scaling>
          <c:orientation val="minMax"/>
        </c:scaling>
        <c:axPos val="l"/>
        <c:majorGridlines/>
        <c:title>
          <c:tx>
            <c:rich>
              <a:bodyPr rot="-5400000" vert="horz"/>
              <a:lstStyle/>
              <a:p>
                <a:pPr>
                  <a:defRPr/>
                </a:pPr>
                <a:r>
                  <a:rPr lang="en-US"/>
                  <a:t>MJ/day</a:t>
                </a:r>
              </a:p>
            </c:rich>
          </c:tx>
        </c:title>
        <c:numFmt formatCode="#,##0" sourceLinked="0"/>
        <c:tickLblPos val="nextTo"/>
        <c:crossAx val="138765440"/>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GHG Emissions</a:t>
            </a:r>
          </a:p>
        </c:rich>
      </c:tx>
    </c:title>
    <c:plotArea>
      <c:layout/>
      <c:barChart>
        <c:barDir val="col"/>
        <c:grouping val="clustered"/>
        <c:ser>
          <c:idx val="0"/>
          <c:order val="0"/>
          <c:dLbls>
            <c:numFmt formatCode="#,##0_);\(#,##0\)" sourceLinked="0"/>
            <c:spPr>
              <a:solidFill>
                <a:schemeClr val="bg1"/>
              </a:solidFill>
            </c:spPr>
            <c:showVal val="1"/>
          </c:dLbls>
          <c:cat>
            <c:strRef>
              <c:f>'Chart Data'!$E$71:$J$71</c:f>
              <c:strCache>
                <c:ptCount val="6"/>
                <c:pt idx="0">
                  <c:v>1X</c:v>
                </c:pt>
                <c:pt idx="1">
                  <c:v>1Y</c:v>
                </c:pt>
                <c:pt idx="2">
                  <c:v>2X</c:v>
                </c:pt>
                <c:pt idx="3">
                  <c:v>2Y</c:v>
                </c:pt>
                <c:pt idx="4">
                  <c:v>3Y</c:v>
                </c:pt>
                <c:pt idx="5">
                  <c:v>4Y</c:v>
                </c:pt>
              </c:strCache>
            </c:strRef>
          </c:cat>
          <c:val>
            <c:numRef>
              <c:f>'Env - RC - Fixed Carbon'!$C$16:$H$16</c:f>
              <c:numCache>
                <c:formatCode>0</c:formatCode>
                <c:ptCount val="6"/>
                <c:pt idx="0">
                  <c:v>-2338.4273516958401</c:v>
                </c:pt>
                <c:pt idx="1">
                  <c:v>1507.4250440917108</c:v>
                </c:pt>
                <c:pt idx="2">
                  <c:v>-2152.1869488536154</c:v>
                </c:pt>
                <c:pt idx="3">
                  <c:v>3340.5379188712523</c:v>
                </c:pt>
                <c:pt idx="4">
                  <c:v>2227.2222222222222</c:v>
                </c:pt>
                <c:pt idx="5">
                  <c:v>308.13051146384481</c:v>
                </c:pt>
              </c:numCache>
            </c:numRef>
          </c:val>
        </c:ser>
        <c:dLbls/>
        <c:axId val="138824320"/>
        <c:axId val="138838400"/>
      </c:barChart>
      <c:catAx>
        <c:axId val="138824320"/>
        <c:scaling>
          <c:orientation val="minMax"/>
        </c:scaling>
        <c:axPos val="b"/>
        <c:tickLblPos val="low"/>
        <c:crossAx val="138838400"/>
        <c:crosses val="autoZero"/>
        <c:auto val="1"/>
        <c:lblAlgn val="ctr"/>
        <c:lblOffset val="100"/>
      </c:catAx>
      <c:valAx>
        <c:axId val="138838400"/>
        <c:scaling>
          <c:orientation val="minMax"/>
        </c:scaling>
        <c:axPos val="l"/>
        <c:majorGridlines/>
        <c:title>
          <c:tx>
            <c:rich>
              <a:bodyPr rot="-5400000" vert="horz"/>
              <a:lstStyle/>
              <a:p>
                <a:pPr>
                  <a:defRPr b="1"/>
                </a:pPr>
                <a:r>
                  <a:rPr lang="en-US" b="1"/>
                  <a:t>tCO2e/yr</a:t>
                </a:r>
              </a:p>
            </c:rich>
          </c:tx>
        </c:title>
        <c:numFmt formatCode="0" sourceLinked="1"/>
        <c:tickLblPos val="nextTo"/>
        <c:crossAx val="138824320"/>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Scenario</a:t>
            </a:r>
            <a:r>
              <a:rPr lang="en-US" baseline="0"/>
              <a:t> Cost Inputs - Electric Costs</a:t>
            </a:r>
            <a:endParaRPr lang="en-US"/>
          </a:p>
        </c:rich>
      </c:tx>
    </c:title>
    <c:plotArea>
      <c:layout/>
      <c:lineChart>
        <c:grouping val="standard"/>
        <c:ser>
          <c:idx val="0"/>
          <c:order val="0"/>
          <c:tx>
            <c:strRef>
              <c:f>Assumptions!$F$38</c:f>
              <c:strCache>
                <c:ptCount val="1"/>
                <c:pt idx="0">
                  <c:v>High resource</c:v>
                </c:pt>
              </c:strCache>
            </c:strRef>
          </c:tx>
          <c:marker>
            <c:symbol val="none"/>
          </c:marker>
          <c:cat>
            <c:numRef>
              <c:f>Assumptions!$K$37:$AM$37</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cat>
          <c:val>
            <c:numRef>
              <c:f>Assumptions!$K$48:$AM$48</c:f>
              <c:numCache>
                <c:formatCode>_("$"* #,##0.00_);_("$"* \(#,##0.00\);_("$"* "-"??_);_(@_)</c:formatCode>
                <c:ptCount val="29"/>
                <c:pt idx="0">
                  <c:v>18.691535999999999</c:v>
                </c:pt>
                <c:pt idx="1">
                  <c:v>18.611194999999999</c:v>
                </c:pt>
                <c:pt idx="2">
                  <c:v>18.592392</c:v>
                </c:pt>
                <c:pt idx="3">
                  <c:v>18.424910000000001</c:v>
                </c:pt>
                <c:pt idx="4">
                  <c:v>19.065849</c:v>
                </c:pt>
                <c:pt idx="5">
                  <c:v>19.400031999999999</c:v>
                </c:pt>
                <c:pt idx="6">
                  <c:v>19.574251</c:v>
                </c:pt>
                <c:pt idx="7">
                  <c:v>19.676590000000001</c:v>
                </c:pt>
                <c:pt idx="8">
                  <c:v>20.132657999999999</c:v>
                </c:pt>
                <c:pt idx="9">
                  <c:v>20.748214999999998</c:v>
                </c:pt>
                <c:pt idx="10">
                  <c:v>20.889420999999999</c:v>
                </c:pt>
                <c:pt idx="11">
                  <c:v>21.027287000000001</c:v>
                </c:pt>
                <c:pt idx="12">
                  <c:v>21.412929999999999</c:v>
                </c:pt>
                <c:pt idx="13">
                  <c:v>21.845960999999999</c:v>
                </c:pt>
                <c:pt idx="14">
                  <c:v>22.255468</c:v>
                </c:pt>
                <c:pt idx="15">
                  <c:v>22.711749999999999</c:v>
                </c:pt>
                <c:pt idx="16">
                  <c:v>23.167141000000001</c:v>
                </c:pt>
                <c:pt idx="17">
                  <c:v>23.626698000000001</c:v>
                </c:pt>
                <c:pt idx="18">
                  <c:v>24.140647999999999</c:v>
                </c:pt>
                <c:pt idx="19">
                  <c:v>24.766459000000001</c:v>
                </c:pt>
                <c:pt idx="20">
                  <c:v>25.379971000000001</c:v>
                </c:pt>
                <c:pt idx="21">
                  <c:v>26.002856999999999</c:v>
                </c:pt>
                <c:pt idx="22">
                  <c:v>26.683672000000001</c:v>
                </c:pt>
                <c:pt idx="23">
                  <c:v>27.432884000000001</c:v>
                </c:pt>
                <c:pt idx="24">
                  <c:v>28.183783999999999</c:v>
                </c:pt>
                <c:pt idx="25">
                  <c:v>28.927295999999998</c:v>
                </c:pt>
                <c:pt idx="26">
                  <c:v>29.733613999999999</c:v>
                </c:pt>
                <c:pt idx="27">
                  <c:v>30.577826999999999</c:v>
                </c:pt>
                <c:pt idx="28">
                  <c:v>31.272625000000001</c:v>
                </c:pt>
              </c:numCache>
            </c:numRef>
          </c:val>
        </c:ser>
        <c:ser>
          <c:idx val="1"/>
          <c:order val="1"/>
          <c:tx>
            <c:strRef>
              <c:f>Assumptions!$F$39</c:f>
              <c:strCache>
                <c:ptCount val="1"/>
                <c:pt idx="0">
                  <c:v>Reference</c:v>
                </c:pt>
              </c:strCache>
            </c:strRef>
          </c:tx>
          <c:marker>
            <c:symbol val="none"/>
          </c:marker>
          <c:cat>
            <c:numRef>
              <c:f>Assumptions!$K$37:$AM$37</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cat>
          <c:val>
            <c:numRef>
              <c:f>Assumptions!$K$49:$AM$49</c:f>
              <c:numCache>
                <c:formatCode>_("$"* #,##0.00_);_("$"* \(#,##0.00\);_("$"* "-"??_);_(@_)</c:formatCode>
                <c:ptCount val="29"/>
                <c:pt idx="0">
                  <c:v>18.763317000000001</c:v>
                </c:pt>
                <c:pt idx="1">
                  <c:v>18.779178999999999</c:v>
                </c:pt>
                <c:pt idx="2">
                  <c:v>18.941590999999999</c:v>
                </c:pt>
                <c:pt idx="3">
                  <c:v>19.059664000000001</c:v>
                </c:pt>
                <c:pt idx="4">
                  <c:v>19.881325</c:v>
                </c:pt>
                <c:pt idx="5">
                  <c:v>20.477715</c:v>
                </c:pt>
                <c:pt idx="6">
                  <c:v>20.971865000000001</c:v>
                </c:pt>
                <c:pt idx="7">
                  <c:v>21.240164</c:v>
                </c:pt>
                <c:pt idx="8">
                  <c:v>21.585794</c:v>
                </c:pt>
                <c:pt idx="9">
                  <c:v>22.117623999999999</c:v>
                </c:pt>
                <c:pt idx="10">
                  <c:v>22.647134999999999</c:v>
                </c:pt>
                <c:pt idx="11">
                  <c:v>23.213369</c:v>
                </c:pt>
                <c:pt idx="12">
                  <c:v>23.716166000000001</c:v>
                </c:pt>
                <c:pt idx="13">
                  <c:v>24.172853</c:v>
                </c:pt>
                <c:pt idx="14">
                  <c:v>24.731241000000001</c:v>
                </c:pt>
                <c:pt idx="15">
                  <c:v>25.294906999999998</c:v>
                </c:pt>
                <c:pt idx="16">
                  <c:v>25.896334</c:v>
                </c:pt>
                <c:pt idx="17">
                  <c:v>26.570074000000002</c:v>
                </c:pt>
                <c:pt idx="18">
                  <c:v>27.221239000000001</c:v>
                </c:pt>
                <c:pt idx="19">
                  <c:v>27.927401</c:v>
                </c:pt>
                <c:pt idx="20">
                  <c:v>28.674976000000001</c:v>
                </c:pt>
                <c:pt idx="21">
                  <c:v>29.455029</c:v>
                </c:pt>
                <c:pt idx="22">
                  <c:v>30.322216000000001</c:v>
                </c:pt>
                <c:pt idx="23">
                  <c:v>31.422543999999998</c:v>
                </c:pt>
                <c:pt idx="24">
                  <c:v>32.710223999999997</c:v>
                </c:pt>
                <c:pt idx="25">
                  <c:v>33.93544</c:v>
                </c:pt>
                <c:pt idx="26">
                  <c:v>35.173102999999998</c:v>
                </c:pt>
                <c:pt idx="27">
                  <c:v>36.478065000000001</c:v>
                </c:pt>
                <c:pt idx="28">
                  <c:v>37.538424999999997</c:v>
                </c:pt>
              </c:numCache>
            </c:numRef>
          </c:val>
        </c:ser>
        <c:ser>
          <c:idx val="2"/>
          <c:order val="2"/>
          <c:tx>
            <c:strRef>
              <c:f>Assumptions!$F$40</c:f>
              <c:strCache>
                <c:ptCount val="1"/>
                <c:pt idx="0">
                  <c:v>GHG25 with low gas price</c:v>
                </c:pt>
              </c:strCache>
            </c:strRef>
          </c:tx>
          <c:marker>
            <c:symbol val="none"/>
          </c:marker>
          <c:cat>
            <c:numRef>
              <c:f>Assumptions!$K$37:$AM$37</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cat>
          <c:val>
            <c:numRef>
              <c:f>Assumptions!$K$50:$AM$50</c:f>
              <c:numCache>
                <c:formatCode>_("$"* #,##0.00_);_("$"* \(#,##0.00\);_("$"* "-"??_);_(@_)</c:formatCode>
                <c:ptCount val="29"/>
                <c:pt idx="0">
                  <c:v>18.690535000000001</c:v>
                </c:pt>
                <c:pt idx="1">
                  <c:v>18.597054</c:v>
                </c:pt>
                <c:pt idx="2">
                  <c:v>22.021758999999999</c:v>
                </c:pt>
                <c:pt idx="3">
                  <c:v>24.647772</c:v>
                </c:pt>
                <c:pt idx="4">
                  <c:v>26.456312</c:v>
                </c:pt>
                <c:pt idx="5">
                  <c:v>27.013729000000001</c:v>
                </c:pt>
                <c:pt idx="6">
                  <c:v>27.142969000000001</c:v>
                </c:pt>
                <c:pt idx="7">
                  <c:v>27.321664999999999</c:v>
                </c:pt>
                <c:pt idx="8">
                  <c:v>27.527557000000002</c:v>
                </c:pt>
                <c:pt idx="9">
                  <c:v>28.095175000000001</c:v>
                </c:pt>
                <c:pt idx="10">
                  <c:v>28.809833999999999</c:v>
                </c:pt>
                <c:pt idx="11">
                  <c:v>29.549994999999999</c:v>
                </c:pt>
                <c:pt idx="12">
                  <c:v>30.224342</c:v>
                </c:pt>
                <c:pt idx="13">
                  <c:v>31.028825999999999</c:v>
                </c:pt>
                <c:pt idx="14">
                  <c:v>31.638109</c:v>
                </c:pt>
                <c:pt idx="15">
                  <c:v>32.438107000000002</c:v>
                </c:pt>
                <c:pt idx="16">
                  <c:v>33.255833000000003</c:v>
                </c:pt>
                <c:pt idx="17">
                  <c:v>34.287208999999997</c:v>
                </c:pt>
                <c:pt idx="18">
                  <c:v>35.414417</c:v>
                </c:pt>
                <c:pt idx="19">
                  <c:v>36.509872000000001</c:v>
                </c:pt>
                <c:pt idx="20">
                  <c:v>37.706260999999998</c:v>
                </c:pt>
                <c:pt idx="21">
                  <c:v>38.990428999999999</c:v>
                </c:pt>
                <c:pt idx="22">
                  <c:v>40.149360999999999</c:v>
                </c:pt>
                <c:pt idx="23">
                  <c:v>41.395882</c:v>
                </c:pt>
                <c:pt idx="24">
                  <c:v>42.607761000000004</c:v>
                </c:pt>
                <c:pt idx="25">
                  <c:v>43.767505999999997</c:v>
                </c:pt>
                <c:pt idx="26">
                  <c:v>45.305346999999998</c:v>
                </c:pt>
                <c:pt idx="27">
                  <c:v>46.837620000000001</c:v>
                </c:pt>
                <c:pt idx="28">
                  <c:v>48.537258000000001</c:v>
                </c:pt>
              </c:numCache>
            </c:numRef>
          </c:val>
        </c:ser>
        <c:dLbls/>
        <c:marker val="1"/>
        <c:axId val="110831872"/>
        <c:axId val="110841856"/>
      </c:lineChart>
      <c:catAx>
        <c:axId val="110831872"/>
        <c:scaling>
          <c:orientation val="minMax"/>
        </c:scaling>
        <c:axPos val="b"/>
        <c:numFmt formatCode="General" sourceLinked="1"/>
        <c:tickLblPos val="nextTo"/>
        <c:crossAx val="110841856"/>
        <c:crosses val="autoZero"/>
        <c:auto val="1"/>
        <c:lblAlgn val="ctr"/>
        <c:lblOffset val="100"/>
      </c:catAx>
      <c:valAx>
        <c:axId val="110841856"/>
        <c:scaling>
          <c:orientation val="minMax"/>
        </c:scaling>
        <c:axPos val="l"/>
        <c:majorGridlines/>
        <c:title>
          <c:tx>
            <c:rich>
              <a:bodyPr rot="-5400000" vert="horz"/>
              <a:lstStyle/>
              <a:p>
                <a:pPr>
                  <a:defRPr/>
                </a:pPr>
                <a:r>
                  <a:rPr lang="en-US"/>
                  <a:t>$/MMBTU</a:t>
                </a:r>
              </a:p>
            </c:rich>
          </c:tx>
        </c:title>
        <c:numFmt formatCode="_(&quot;$&quot;* #,##0.00_);_(&quot;$&quot;* \(#,##0.00\);_(&quot;$&quot;* &quot;-&quot;??_);_(@_)" sourceLinked="1"/>
        <c:tickLblPos val="nextTo"/>
        <c:crossAx val="110831872"/>
        <c:crosses val="autoZero"/>
        <c:crossBetween val="between"/>
      </c:valAx>
    </c:plotArea>
    <c:legend>
      <c:legendPos val="b"/>
    </c:legend>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view3D>
      <c:rAngAx val="1"/>
    </c:view3D>
    <c:plotArea>
      <c:layout/>
      <c:bar3DChart>
        <c:barDir val="col"/>
        <c:grouping val="clustered"/>
        <c:ser>
          <c:idx val="0"/>
          <c:order val="0"/>
          <c:tx>
            <c:v>Survey Weights</c:v>
          </c:tx>
          <c:cat>
            <c:strRef>
              <c:f>'Chart Data'!$E$145:$J$145</c:f>
              <c:strCache>
                <c:ptCount val="6"/>
                <c:pt idx="0">
                  <c:v>1X</c:v>
                </c:pt>
                <c:pt idx="1">
                  <c:v>1Y</c:v>
                </c:pt>
                <c:pt idx="2">
                  <c:v>2X</c:v>
                </c:pt>
                <c:pt idx="3">
                  <c:v>2Y</c:v>
                </c:pt>
                <c:pt idx="4">
                  <c:v>3Y</c:v>
                </c:pt>
                <c:pt idx="5">
                  <c:v>4Y</c:v>
                </c:pt>
              </c:strCache>
            </c:strRef>
          </c:cat>
          <c:val>
            <c:numRef>
              <c:f>'Chart Data'!$E$157:$E$162</c:f>
              <c:numCache>
                <c:formatCode>0.00</c:formatCode>
                <c:ptCount val="6"/>
                <c:pt idx="0">
                  <c:v>3.6605493001784191</c:v>
                </c:pt>
                <c:pt idx="1">
                  <c:v>2.8186109400389894</c:v>
                </c:pt>
                <c:pt idx="2">
                  <c:v>3.837986399029818</c:v>
                </c:pt>
                <c:pt idx="3">
                  <c:v>2.9869993573504705</c:v>
                </c:pt>
                <c:pt idx="4">
                  <c:v>2.8220630902751269</c:v>
                </c:pt>
                <c:pt idx="5">
                  <c:v>2.9986237179044011</c:v>
                </c:pt>
              </c:numCache>
            </c:numRef>
          </c:val>
        </c:ser>
        <c:ser>
          <c:idx val="1"/>
          <c:order val="1"/>
          <c:tx>
            <c:v>Project Team Weights</c:v>
          </c:tx>
          <c:cat>
            <c:strRef>
              <c:f>'Chart Data'!$E$145:$J$145</c:f>
              <c:strCache>
                <c:ptCount val="6"/>
                <c:pt idx="0">
                  <c:v>1X</c:v>
                </c:pt>
                <c:pt idx="1">
                  <c:v>1Y</c:v>
                </c:pt>
                <c:pt idx="2">
                  <c:v>2X</c:v>
                </c:pt>
                <c:pt idx="3">
                  <c:v>2Y</c:v>
                </c:pt>
                <c:pt idx="4">
                  <c:v>3Y</c:v>
                </c:pt>
                <c:pt idx="5">
                  <c:v>4Y</c:v>
                </c:pt>
              </c:strCache>
            </c:strRef>
          </c:cat>
          <c:val>
            <c:numRef>
              <c:f>'Chart Data'!$I$157:$I$162</c:f>
              <c:numCache>
                <c:formatCode>_(* #,##0.0000_);_(* \(#,##0.0000\);_(* "-"??_);_(@_)</c:formatCode>
                <c:ptCount val="6"/>
                <c:pt idx="0">
                  <c:v>3.5228308667285262</c:v>
                </c:pt>
                <c:pt idx="1">
                  <c:v>2.6436538701561698</c:v>
                </c:pt>
                <c:pt idx="2">
                  <c:v>3.7376118337663415</c:v>
                </c:pt>
                <c:pt idx="3">
                  <c:v>2.9520365614464423</c:v>
                </c:pt>
                <c:pt idx="4">
                  <c:v>2.7605075991818393</c:v>
                </c:pt>
                <c:pt idx="5">
                  <c:v>2.7513739557441479</c:v>
                </c:pt>
              </c:numCache>
            </c:numRef>
          </c:val>
        </c:ser>
        <c:dLbls/>
        <c:shape val="box"/>
        <c:axId val="138868608"/>
        <c:axId val="138870144"/>
        <c:axId val="0"/>
      </c:bar3DChart>
      <c:catAx>
        <c:axId val="138868608"/>
        <c:scaling>
          <c:orientation val="minMax"/>
        </c:scaling>
        <c:axPos val="b"/>
        <c:tickLblPos val="nextTo"/>
        <c:crossAx val="138870144"/>
        <c:crosses val="autoZero"/>
        <c:auto val="1"/>
        <c:lblAlgn val="ctr"/>
        <c:lblOffset val="100"/>
      </c:catAx>
      <c:valAx>
        <c:axId val="138870144"/>
        <c:scaling>
          <c:orientation val="minMax"/>
        </c:scaling>
        <c:axPos val="l"/>
        <c:majorGridlines/>
        <c:numFmt formatCode="0.00" sourceLinked="1"/>
        <c:tickLblPos val="nextTo"/>
        <c:crossAx val="138868608"/>
        <c:crosses val="autoZero"/>
        <c:crossBetween val="between"/>
      </c:valAx>
    </c:plotArea>
    <c:legend>
      <c:legendPos val="r"/>
    </c:legend>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aseline="0"/>
            </a:pPr>
            <a:r>
              <a:rPr lang="en-US" sz="1400" baseline="0"/>
              <a:t>Category Weighted Social Results</a:t>
            </a:r>
          </a:p>
        </c:rich>
      </c:tx>
    </c:title>
    <c:plotArea>
      <c:layout/>
      <c:barChart>
        <c:barDir val="col"/>
        <c:grouping val="stacked"/>
        <c:ser>
          <c:idx val="2"/>
          <c:order val="0"/>
          <c:tx>
            <c:strRef>
              <c:f>'Chart Data'!$D$18</c:f>
              <c:strCache>
                <c:ptCount val="1"/>
                <c:pt idx="0">
                  <c:v>Public Engagement</c:v>
                </c:pt>
              </c:strCache>
            </c:strRef>
          </c:tx>
          <c:spPr>
            <a:solidFill>
              <a:schemeClr val="accent1"/>
            </a:solidFill>
          </c:spPr>
          <c:cat>
            <c:strRef>
              <c:f>'Econ - NPV Results Summary'!$E$7:$J$7</c:f>
              <c:strCache>
                <c:ptCount val="6"/>
                <c:pt idx="0">
                  <c:v>1X</c:v>
                </c:pt>
                <c:pt idx="1">
                  <c:v>1Y</c:v>
                </c:pt>
                <c:pt idx="2">
                  <c:v>2X</c:v>
                </c:pt>
                <c:pt idx="3">
                  <c:v>2Y</c:v>
                </c:pt>
                <c:pt idx="4">
                  <c:v>3Y</c:v>
                </c:pt>
                <c:pt idx="5">
                  <c:v>4Y</c:v>
                </c:pt>
              </c:strCache>
            </c:strRef>
          </c:cat>
          <c:val>
            <c:numRef>
              <c:f>('Chart Data'!$I$18,'Chart Data'!$L$18,'Chart Data'!$O$18,'Chart Data'!$R$18,'Chart Data'!$U$18,'Chart Data'!$X$18)</c:f>
              <c:numCache>
                <c:formatCode>0.00</c:formatCode>
                <c:ptCount val="6"/>
                <c:pt idx="0">
                  <c:v>1.25</c:v>
                </c:pt>
                <c:pt idx="1">
                  <c:v>0.75</c:v>
                </c:pt>
                <c:pt idx="2">
                  <c:v>1.75</c:v>
                </c:pt>
                <c:pt idx="3">
                  <c:v>1.5</c:v>
                </c:pt>
                <c:pt idx="4">
                  <c:v>0.5</c:v>
                </c:pt>
                <c:pt idx="5">
                  <c:v>0.5</c:v>
                </c:pt>
              </c:numCache>
            </c:numRef>
          </c:val>
        </c:ser>
        <c:ser>
          <c:idx val="1"/>
          <c:order val="1"/>
          <c:tx>
            <c:strRef>
              <c:f>'Chart Data'!$D$17</c:f>
              <c:strCache>
                <c:ptCount val="1"/>
                <c:pt idx="0">
                  <c:v>Workplace Safety</c:v>
                </c:pt>
              </c:strCache>
            </c:strRef>
          </c:tx>
          <c:spPr>
            <a:solidFill>
              <a:schemeClr val="accent3"/>
            </a:solidFill>
          </c:spPr>
          <c:cat>
            <c:strRef>
              <c:f>'Econ - NPV Results Summary'!$E$7:$J$7</c:f>
              <c:strCache>
                <c:ptCount val="6"/>
                <c:pt idx="0">
                  <c:v>1X</c:v>
                </c:pt>
                <c:pt idx="1">
                  <c:v>1Y</c:v>
                </c:pt>
                <c:pt idx="2">
                  <c:v>2X</c:v>
                </c:pt>
                <c:pt idx="3">
                  <c:v>2Y</c:v>
                </c:pt>
                <c:pt idx="4">
                  <c:v>3Y</c:v>
                </c:pt>
                <c:pt idx="5">
                  <c:v>4Y</c:v>
                </c:pt>
              </c:strCache>
            </c:strRef>
          </c:cat>
          <c:val>
            <c:numRef>
              <c:f>('Chart Data'!$I$17,'Chart Data'!$L$17,'Chart Data'!$O$17,'Chart Data'!$R$17,'Chart Data'!$U$17,'Chart Data'!$X$17)</c:f>
              <c:numCache>
                <c:formatCode>0.00</c:formatCode>
                <c:ptCount val="6"/>
                <c:pt idx="0">
                  <c:v>1</c:v>
                </c:pt>
                <c:pt idx="1">
                  <c:v>0.875</c:v>
                </c:pt>
                <c:pt idx="2">
                  <c:v>0.9375</c:v>
                </c:pt>
                <c:pt idx="3">
                  <c:v>0.8125</c:v>
                </c:pt>
                <c:pt idx="4">
                  <c:v>0.75</c:v>
                </c:pt>
                <c:pt idx="5">
                  <c:v>0.75</c:v>
                </c:pt>
              </c:numCache>
            </c:numRef>
          </c:val>
        </c:ser>
        <c:ser>
          <c:idx val="0"/>
          <c:order val="2"/>
          <c:tx>
            <c:strRef>
              <c:f>'Chart Data'!$D$16</c:f>
              <c:strCache>
                <c:ptCount val="1"/>
                <c:pt idx="0">
                  <c:v>Nuisance issues</c:v>
                </c:pt>
              </c:strCache>
            </c:strRef>
          </c:tx>
          <c:spPr>
            <a:solidFill>
              <a:schemeClr val="accent2"/>
            </a:solidFill>
          </c:spPr>
          <c:cat>
            <c:strRef>
              <c:f>'Econ - NPV Results Summary'!$E$7:$J$7</c:f>
              <c:strCache>
                <c:ptCount val="6"/>
                <c:pt idx="0">
                  <c:v>1X</c:v>
                </c:pt>
                <c:pt idx="1">
                  <c:v>1Y</c:v>
                </c:pt>
                <c:pt idx="2">
                  <c:v>2X</c:v>
                </c:pt>
                <c:pt idx="3">
                  <c:v>2Y</c:v>
                </c:pt>
                <c:pt idx="4">
                  <c:v>3Y</c:v>
                </c:pt>
                <c:pt idx="5">
                  <c:v>4Y</c:v>
                </c:pt>
              </c:strCache>
            </c:strRef>
          </c:cat>
          <c:val>
            <c:numRef>
              <c:f>('Chart Data'!$I$16,'Chart Data'!$L$16,'Chart Data'!$O$16,'Chart Data'!$R$16,'Chart Data'!$U$16,'Chart Data'!$X$16)</c:f>
              <c:numCache>
                <c:formatCode>0.00</c:formatCode>
                <c:ptCount val="6"/>
                <c:pt idx="0">
                  <c:v>0.96174698795180724</c:v>
                </c:pt>
                <c:pt idx="1">
                  <c:v>1.0617469879518071</c:v>
                </c:pt>
                <c:pt idx="2">
                  <c:v>0.67500000000000004</c:v>
                </c:pt>
                <c:pt idx="3">
                  <c:v>0.77500000000000002</c:v>
                </c:pt>
                <c:pt idx="4">
                  <c:v>1.0873493975903614</c:v>
                </c:pt>
                <c:pt idx="5">
                  <c:v>1.0873493975903614</c:v>
                </c:pt>
              </c:numCache>
            </c:numRef>
          </c:val>
        </c:ser>
        <c:dLbls/>
        <c:overlap val="100"/>
        <c:axId val="138905088"/>
        <c:axId val="138906624"/>
      </c:barChart>
      <c:catAx>
        <c:axId val="138905088"/>
        <c:scaling>
          <c:orientation val="minMax"/>
        </c:scaling>
        <c:axPos val="b"/>
        <c:tickLblPos val="nextTo"/>
        <c:crossAx val="138906624"/>
        <c:crosses val="autoZero"/>
        <c:auto val="1"/>
        <c:lblAlgn val="ctr"/>
        <c:lblOffset val="100"/>
      </c:catAx>
      <c:valAx>
        <c:axId val="138906624"/>
        <c:scaling>
          <c:orientation val="minMax"/>
        </c:scaling>
        <c:axPos val="l"/>
        <c:majorGridlines/>
        <c:numFmt formatCode="0" sourceLinked="0"/>
        <c:tickLblPos val="nextTo"/>
        <c:crossAx val="138905088"/>
        <c:crosses val="autoZero"/>
        <c:crossBetween val="between"/>
        <c:majorUnit val="1"/>
      </c:valAx>
      <c:dTable>
        <c:showHorzBorder val="1"/>
        <c:showVertBorder val="1"/>
        <c:showOutline val="1"/>
        <c:showKeys val="1"/>
      </c:dTable>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800" b="1" i="0" baseline="0">
                <a:effectLst/>
              </a:rPr>
              <a:t>How much weight would you place on the </a:t>
            </a:r>
            <a:r>
              <a:rPr lang="en-US" sz="1800" b="1" i="1" u="sng" baseline="0">
                <a:effectLst/>
              </a:rPr>
              <a:t>Economic</a:t>
            </a:r>
            <a:r>
              <a:rPr lang="en-US" sz="1800" b="1" i="0" baseline="0">
                <a:effectLst/>
              </a:rPr>
              <a:t> category?</a:t>
            </a:r>
            <a:endParaRPr lang="en-US">
              <a:effectLst/>
            </a:endParaRPr>
          </a:p>
        </c:rich>
      </c:tx>
    </c:title>
    <c:plotArea>
      <c:layout/>
      <c:barChart>
        <c:barDir val="col"/>
        <c:grouping val="clustered"/>
        <c:ser>
          <c:idx val="0"/>
          <c:order val="0"/>
          <c:dLbls>
            <c:spPr>
              <a:solidFill>
                <a:schemeClr val="bg1"/>
              </a:solidFill>
            </c:spPr>
            <c:txPr>
              <a:bodyPr/>
              <a:lstStyle/>
              <a:p>
                <a:pPr>
                  <a:defRPr b="1"/>
                </a:pPr>
                <a:endParaRPr lang="en-US"/>
              </a:p>
            </c:txPr>
            <c:showVal val="1"/>
          </c:dLbls>
          <c:cat>
            <c:strRef>
              <c:f>'Survey 09-12'!$D$2:$G$2</c:f>
              <c:strCache>
                <c:ptCount val="4"/>
                <c:pt idx="0">
                  <c:v>Underweight (Less than 30%)</c:v>
                </c:pt>
                <c:pt idx="1">
                  <c:v>Equal Weight (33.3% for each category)</c:v>
                </c:pt>
                <c:pt idx="2">
                  <c:v>Overweight (40% to 50%)</c:v>
                </c:pt>
                <c:pt idx="3">
                  <c:v>More than 50%</c:v>
                </c:pt>
              </c:strCache>
            </c:strRef>
          </c:cat>
          <c:val>
            <c:numRef>
              <c:f>'Survey 09-12'!$D$23:$G$23</c:f>
              <c:numCache>
                <c:formatCode>0%</c:formatCode>
                <c:ptCount val="4"/>
                <c:pt idx="0">
                  <c:v>0.13333333333333333</c:v>
                </c:pt>
                <c:pt idx="1">
                  <c:v>0.26666666666666666</c:v>
                </c:pt>
                <c:pt idx="2">
                  <c:v>0.46666666666666667</c:v>
                </c:pt>
                <c:pt idx="3">
                  <c:v>0.13333333333333333</c:v>
                </c:pt>
              </c:numCache>
            </c:numRef>
          </c:val>
        </c:ser>
        <c:dLbls/>
        <c:gapWidth val="100"/>
        <c:axId val="133085056"/>
        <c:axId val="133086592"/>
      </c:barChart>
      <c:catAx>
        <c:axId val="133085056"/>
        <c:scaling>
          <c:orientation val="minMax"/>
        </c:scaling>
        <c:axPos val="b"/>
        <c:tickLblPos val="nextTo"/>
        <c:crossAx val="133086592"/>
        <c:crosses val="autoZero"/>
        <c:auto val="1"/>
        <c:lblAlgn val="ctr"/>
        <c:lblOffset val="100"/>
      </c:catAx>
      <c:valAx>
        <c:axId val="133086592"/>
        <c:scaling>
          <c:orientation val="minMax"/>
        </c:scaling>
        <c:axPos val="l"/>
        <c:majorGridlines/>
        <c:numFmt formatCode="0%" sourceLinked="1"/>
        <c:tickLblPos val="nextTo"/>
        <c:crossAx val="133085056"/>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800" b="1" i="0" baseline="0">
                <a:effectLst/>
              </a:rPr>
              <a:t>How much weight would you place on the </a:t>
            </a:r>
            <a:r>
              <a:rPr lang="en-US" sz="1800" b="1" i="1" u="sng" baseline="0">
                <a:effectLst/>
              </a:rPr>
              <a:t>Environmental</a:t>
            </a:r>
            <a:r>
              <a:rPr lang="en-US" sz="1800" b="1" i="0" baseline="0">
                <a:effectLst/>
              </a:rPr>
              <a:t> category?</a:t>
            </a:r>
            <a:endParaRPr lang="en-US">
              <a:effectLst/>
            </a:endParaRPr>
          </a:p>
        </c:rich>
      </c:tx>
    </c:title>
    <c:plotArea>
      <c:layout/>
      <c:barChart>
        <c:barDir val="col"/>
        <c:grouping val="clustered"/>
        <c:ser>
          <c:idx val="0"/>
          <c:order val="0"/>
          <c:dLbls>
            <c:spPr>
              <a:solidFill>
                <a:schemeClr val="bg1"/>
              </a:solidFill>
            </c:spPr>
            <c:txPr>
              <a:bodyPr/>
              <a:lstStyle/>
              <a:p>
                <a:pPr>
                  <a:defRPr b="1"/>
                </a:pPr>
                <a:endParaRPr lang="en-US"/>
              </a:p>
            </c:txPr>
            <c:showVal val="1"/>
          </c:dLbls>
          <c:cat>
            <c:strRef>
              <c:f>'Survey 09-12'!$I$2:$L$2</c:f>
              <c:strCache>
                <c:ptCount val="4"/>
                <c:pt idx="0">
                  <c:v>Underweight (Less than 30%)</c:v>
                </c:pt>
                <c:pt idx="1">
                  <c:v>Equal Weight (33.3% for each category)</c:v>
                </c:pt>
                <c:pt idx="2">
                  <c:v>Overweight (40% to 50%)</c:v>
                </c:pt>
                <c:pt idx="3">
                  <c:v>More than 50%</c:v>
                </c:pt>
              </c:strCache>
            </c:strRef>
          </c:cat>
          <c:val>
            <c:numRef>
              <c:f>'Survey 09-12'!$I$23:$L$23</c:f>
              <c:numCache>
                <c:formatCode>0%</c:formatCode>
                <c:ptCount val="4"/>
                <c:pt idx="0">
                  <c:v>0.33333333333333331</c:v>
                </c:pt>
                <c:pt idx="1">
                  <c:v>0.33333333333333331</c:v>
                </c:pt>
                <c:pt idx="2">
                  <c:v>0.33333333333333331</c:v>
                </c:pt>
                <c:pt idx="3">
                  <c:v>0</c:v>
                </c:pt>
              </c:numCache>
            </c:numRef>
          </c:val>
        </c:ser>
        <c:dLbls/>
        <c:gapWidth val="100"/>
        <c:axId val="123706368"/>
        <c:axId val="123712256"/>
      </c:barChart>
      <c:catAx>
        <c:axId val="123706368"/>
        <c:scaling>
          <c:orientation val="minMax"/>
        </c:scaling>
        <c:axPos val="b"/>
        <c:tickLblPos val="nextTo"/>
        <c:crossAx val="123712256"/>
        <c:crosses val="autoZero"/>
        <c:auto val="1"/>
        <c:lblAlgn val="ctr"/>
        <c:lblOffset val="100"/>
      </c:catAx>
      <c:valAx>
        <c:axId val="123712256"/>
        <c:scaling>
          <c:orientation val="minMax"/>
        </c:scaling>
        <c:axPos val="l"/>
        <c:majorGridlines/>
        <c:numFmt formatCode="0%" sourceLinked="1"/>
        <c:tickLblPos val="nextTo"/>
        <c:crossAx val="123706368"/>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800" b="1" i="0" baseline="0">
                <a:effectLst/>
              </a:rPr>
              <a:t>How much weight would you place on the </a:t>
            </a:r>
            <a:r>
              <a:rPr lang="en-US" sz="1800" b="1" i="1" u="sng" baseline="0">
                <a:effectLst/>
              </a:rPr>
              <a:t>Social</a:t>
            </a:r>
            <a:r>
              <a:rPr lang="en-US" sz="1800" b="1" i="0" baseline="0">
                <a:effectLst/>
              </a:rPr>
              <a:t> category?</a:t>
            </a:r>
            <a:endParaRPr lang="en-US">
              <a:effectLst/>
            </a:endParaRPr>
          </a:p>
        </c:rich>
      </c:tx>
    </c:title>
    <c:plotArea>
      <c:layout/>
      <c:barChart>
        <c:barDir val="col"/>
        <c:grouping val="clustered"/>
        <c:ser>
          <c:idx val="0"/>
          <c:order val="0"/>
          <c:dLbls>
            <c:spPr>
              <a:solidFill>
                <a:schemeClr val="bg1"/>
              </a:solidFill>
            </c:spPr>
            <c:txPr>
              <a:bodyPr/>
              <a:lstStyle/>
              <a:p>
                <a:pPr>
                  <a:defRPr b="1"/>
                </a:pPr>
                <a:endParaRPr lang="en-US"/>
              </a:p>
            </c:txPr>
            <c:showVal val="1"/>
          </c:dLbls>
          <c:cat>
            <c:strRef>
              <c:f>'Survey 09-12'!$N$2:$Q$2</c:f>
              <c:strCache>
                <c:ptCount val="4"/>
                <c:pt idx="0">
                  <c:v>Underweight (Less than 30%)</c:v>
                </c:pt>
                <c:pt idx="1">
                  <c:v>Equal Weight (33.3% for each category)</c:v>
                </c:pt>
                <c:pt idx="2">
                  <c:v>Overweight (40% to 50%)</c:v>
                </c:pt>
                <c:pt idx="3">
                  <c:v>More than 50%</c:v>
                </c:pt>
              </c:strCache>
            </c:strRef>
          </c:cat>
          <c:val>
            <c:numRef>
              <c:f>'Survey 09-12'!$N$23:$Q$23</c:f>
              <c:numCache>
                <c:formatCode>0%</c:formatCode>
                <c:ptCount val="4"/>
                <c:pt idx="0">
                  <c:v>0.6</c:v>
                </c:pt>
                <c:pt idx="1">
                  <c:v>0.26666666666666666</c:v>
                </c:pt>
                <c:pt idx="2">
                  <c:v>0.13333333333333333</c:v>
                </c:pt>
                <c:pt idx="3">
                  <c:v>0</c:v>
                </c:pt>
              </c:numCache>
            </c:numRef>
          </c:val>
        </c:ser>
        <c:dLbls/>
        <c:gapWidth val="100"/>
        <c:axId val="123728256"/>
        <c:axId val="123729792"/>
      </c:barChart>
      <c:catAx>
        <c:axId val="123728256"/>
        <c:scaling>
          <c:orientation val="minMax"/>
        </c:scaling>
        <c:axPos val="b"/>
        <c:tickLblPos val="nextTo"/>
        <c:crossAx val="123729792"/>
        <c:crosses val="autoZero"/>
        <c:auto val="1"/>
        <c:lblAlgn val="ctr"/>
        <c:lblOffset val="100"/>
      </c:catAx>
      <c:valAx>
        <c:axId val="123729792"/>
        <c:scaling>
          <c:orientation val="minMax"/>
        </c:scaling>
        <c:axPos val="l"/>
        <c:majorGridlines/>
        <c:numFmt formatCode="0%" sourceLinked="1"/>
        <c:tickLblPos val="nextTo"/>
        <c:crossAx val="123728256"/>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Please specify the ideal weight you would allocate to each category.</a:t>
            </a:r>
          </a:p>
        </c:rich>
      </c:tx>
    </c:title>
    <c:plotArea>
      <c:layout/>
      <c:stockChart>
        <c:ser>
          <c:idx val="0"/>
          <c:order val="0"/>
          <c:tx>
            <c:v>Minimum</c:v>
          </c:tx>
          <c:spPr>
            <a:ln w="28575">
              <a:noFill/>
            </a:ln>
          </c:spPr>
          <c:marker>
            <c:symbol val="none"/>
          </c:marker>
          <c:cat>
            <c:strRef>
              <c:f>'Survey 09-12'!$S$2:$U$2</c:f>
              <c:strCache>
                <c:ptCount val="3"/>
                <c:pt idx="0">
                  <c:v>Economic</c:v>
                </c:pt>
                <c:pt idx="1">
                  <c:v>Environmental</c:v>
                </c:pt>
                <c:pt idx="2">
                  <c:v>Social</c:v>
                </c:pt>
              </c:strCache>
            </c:strRef>
          </c:cat>
          <c:val>
            <c:numRef>
              <c:f>'Survey 09-12'!$S$22:$U$22</c:f>
              <c:numCache>
                <c:formatCode>0%</c:formatCode>
                <c:ptCount val="3"/>
                <c:pt idx="0">
                  <c:v>0.2</c:v>
                </c:pt>
                <c:pt idx="1">
                  <c:v>0.25</c:v>
                </c:pt>
                <c:pt idx="2">
                  <c:v>0.12</c:v>
                </c:pt>
              </c:numCache>
            </c:numRef>
          </c:val>
        </c:ser>
        <c:ser>
          <c:idx val="1"/>
          <c:order val="1"/>
          <c:tx>
            <c:v>Median</c:v>
          </c:tx>
          <c:spPr>
            <a:ln w="28575">
              <a:noFill/>
            </a:ln>
          </c:spPr>
          <c:dLbls>
            <c:spPr>
              <a:solidFill>
                <a:schemeClr val="bg1"/>
              </a:solidFill>
            </c:spPr>
            <c:txPr>
              <a:bodyPr/>
              <a:lstStyle/>
              <a:p>
                <a:pPr>
                  <a:defRPr b="1"/>
                </a:pPr>
                <a:endParaRPr lang="en-US"/>
              </a:p>
            </c:txPr>
            <c:showVal val="1"/>
          </c:dLbls>
          <c:cat>
            <c:strRef>
              <c:f>'Survey 09-12'!$S$2:$U$2</c:f>
              <c:strCache>
                <c:ptCount val="3"/>
                <c:pt idx="0">
                  <c:v>Economic</c:v>
                </c:pt>
                <c:pt idx="1">
                  <c:v>Environmental</c:v>
                </c:pt>
                <c:pt idx="2">
                  <c:v>Social</c:v>
                </c:pt>
              </c:strCache>
            </c:strRef>
          </c:cat>
          <c:val>
            <c:numRef>
              <c:f>'Survey 09-12'!$S$23:$U$23</c:f>
              <c:numCache>
                <c:formatCode>0%</c:formatCode>
                <c:ptCount val="3"/>
                <c:pt idx="0">
                  <c:v>0.4</c:v>
                </c:pt>
                <c:pt idx="1">
                  <c:v>0.33</c:v>
                </c:pt>
                <c:pt idx="2">
                  <c:v>0.25</c:v>
                </c:pt>
              </c:numCache>
            </c:numRef>
          </c:val>
        </c:ser>
        <c:ser>
          <c:idx val="2"/>
          <c:order val="2"/>
          <c:tx>
            <c:v>Maximum</c:v>
          </c:tx>
          <c:spPr>
            <a:ln w="28575">
              <a:noFill/>
            </a:ln>
          </c:spPr>
          <c:marker>
            <c:symbol val="none"/>
          </c:marker>
          <c:cat>
            <c:strRef>
              <c:f>'Survey 09-12'!$S$2:$U$2</c:f>
              <c:strCache>
                <c:ptCount val="3"/>
                <c:pt idx="0">
                  <c:v>Economic</c:v>
                </c:pt>
                <c:pt idx="1">
                  <c:v>Environmental</c:v>
                </c:pt>
                <c:pt idx="2">
                  <c:v>Social</c:v>
                </c:pt>
              </c:strCache>
            </c:strRef>
          </c:cat>
          <c:val>
            <c:numRef>
              <c:f>'Survey 09-12'!$S$24:$U$24</c:f>
              <c:numCache>
                <c:formatCode>0%</c:formatCode>
                <c:ptCount val="3"/>
                <c:pt idx="0">
                  <c:v>0.55000000000000004</c:v>
                </c:pt>
                <c:pt idx="1">
                  <c:v>0.4</c:v>
                </c:pt>
                <c:pt idx="2">
                  <c:v>0.4</c:v>
                </c:pt>
              </c:numCache>
            </c:numRef>
          </c:val>
        </c:ser>
        <c:dLbls/>
        <c:hiLowLines>
          <c:spPr>
            <a:ln w="25400" cap="rnd">
              <a:solidFill>
                <a:schemeClr val="tx2"/>
              </a:solidFill>
              <a:headEnd type="oval"/>
              <a:tailEnd type="oval"/>
            </a:ln>
          </c:spPr>
        </c:hiLowLines>
        <c:axId val="133144960"/>
        <c:axId val="133146496"/>
      </c:stockChart>
      <c:catAx>
        <c:axId val="133144960"/>
        <c:scaling>
          <c:orientation val="minMax"/>
        </c:scaling>
        <c:axPos val="b"/>
        <c:majorTickMark val="none"/>
        <c:tickLblPos val="nextTo"/>
        <c:crossAx val="133146496"/>
        <c:crosses val="autoZero"/>
        <c:auto val="1"/>
        <c:lblAlgn val="ctr"/>
        <c:lblOffset val="100"/>
      </c:catAx>
      <c:valAx>
        <c:axId val="133146496"/>
        <c:scaling>
          <c:orientation val="minMax"/>
        </c:scaling>
        <c:axPos val="l"/>
        <c:majorGridlines/>
        <c:numFmt formatCode="0%" sourceLinked="1"/>
        <c:majorTickMark val="none"/>
        <c:tickLblPos val="nextTo"/>
        <c:crossAx val="133144960"/>
        <c:crosses val="autoZero"/>
        <c:crossBetween val="between"/>
      </c:valAx>
      <c:dTable>
        <c:showHorzBorder val="1"/>
        <c:showVertBorder val="1"/>
        <c:showOutline val="1"/>
        <c:showKeys val="1"/>
      </c:dTable>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What weight would you allocate to each of the following </a:t>
            </a:r>
            <a:r>
              <a:rPr lang="en-US" i="1" u="sng"/>
              <a:t>Economic</a:t>
            </a:r>
            <a:r>
              <a:rPr lang="en-US" baseline="0"/>
              <a:t> sub-</a:t>
            </a:r>
            <a:r>
              <a:rPr lang="en-US"/>
              <a:t>criteria?</a:t>
            </a:r>
          </a:p>
        </c:rich>
      </c:tx>
    </c:title>
    <c:plotArea>
      <c:layout/>
      <c:stockChart>
        <c:ser>
          <c:idx val="0"/>
          <c:order val="0"/>
          <c:tx>
            <c:v>Minimum</c:v>
          </c:tx>
          <c:spPr>
            <a:ln w="28575">
              <a:noFill/>
            </a:ln>
          </c:spPr>
          <c:marker>
            <c:symbol val="none"/>
          </c:marker>
          <c:cat>
            <c:strRef>
              <c:f>'Survey 09-12'!$W$2:$X$2</c:f>
              <c:strCache>
                <c:ptCount val="2"/>
                <c:pt idx="0">
                  <c:v>Net Present Value (NPV)</c:v>
                </c:pt>
                <c:pt idx="1">
                  <c:v>Engineering/Technical</c:v>
                </c:pt>
              </c:strCache>
            </c:strRef>
          </c:cat>
          <c:val>
            <c:numRef>
              <c:f>'Survey 09-12'!$W$22:$X$22</c:f>
              <c:numCache>
                <c:formatCode>0%</c:formatCode>
                <c:ptCount val="2"/>
                <c:pt idx="0">
                  <c:v>0.4</c:v>
                </c:pt>
                <c:pt idx="1">
                  <c:v>0.3</c:v>
                </c:pt>
              </c:numCache>
            </c:numRef>
          </c:val>
        </c:ser>
        <c:ser>
          <c:idx val="1"/>
          <c:order val="1"/>
          <c:tx>
            <c:v>Median</c:v>
          </c:tx>
          <c:spPr>
            <a:ln w="28575">
              <a:noFill/>
            </a:ln>
          </c:spPr>
          <c:dLbls>
            <c:spPr>
              <a:solidFill>
                <a:schemeClr val="bg1"/>
              </a:solidFill>
            </c:spPr>
            <c:txPr>
              <a:bodyPr/>
              <a:lstStyle/>
              <a:p>
                <a:pPr>
                  <a:defRPr b="1"/>
                </a:pPr>
                <a:endParaRPr lang="en-US"/>
              </a:p>
            </c:txPr>
            <c:showVal val="1"/>
          </c:dLbls>
          <c:cat>
            <c:strRef>
              <c:f>'Survey 09-12'!$W$2:$X$2</c:f>
              <c:strCache>
                <c:ptCount val="2"/>
                <c:pt idx="0">
                  <c:v>Net Present Value (NPV)</c:v>
                </c:pt>
                <c:pt idx="1">
                  <c:v>Engineering/Technical</c:v>
                </c:pt>
              </c:strCache>
            </c:strRef>
          </c:cat>
          <c:val>
            <c:numRef>
              <c:f>'Survey 09-12'!$W$23:$X$23</c:f>
              <c:numCache>
                <c:formatCode>0%</c:formatCode>
                <c:ptCount val="2"/>
                <c:pt idx="0">
                  <c:v>0.5</c:v>
                </c:pt>
                <c:pt idx="1">
                  <c:v>0.5</c:v>
                </c:pt>
              </c:numCache>
            </c:numRef>
          </c:val>
        </c:ser>
        <c:ser>
          <c:idx val="2"/>
          <c:order val="2"/>
          <c:tx>
            <c:v>Maximum</c:v>
          </c:tx>
          <c:spPr>
            <a:ln w="28575">
              <a:noFill/>
            </a:ln>
          </c:spPr>
          <c:marker>
            <c:symbol val="none"/>
          </c:marker>
          <c:cat>
            <c:strRef>
              <c:f>'Survey 09-12'!$W$2:$X$2</c:f>
              <c:strCache>
                <c:ptCount val="2"/>
                <c:pt idx="0">
                  <c:v>Net Present Value (NPV)</c:v>
                </c:pt>
                <c:pt idx="1">
                  <c:v>Engineering/Technical</c:v>
                </c:pt>
              </c:strCache>
            </c:strRef>
          </c:cat>
          <c:val>
            <c:numRef>
              <c:f>'Survey 09-12'!$W$24:$X$24</c:f>
              <c:numCache>
                <c:formatCode>0%</c:formatCode>
                <c:ptCount val="2"/>
                <c:pt idx="0">
                  <c:v>0.7</c:v>
                </c:pt>
                <c:pt idx="1">
                  <c:v>0.6</c:v>
                </c:pt>
              </c:numCache>
            </c:numRef>
          </c:val>
        </c:ser>
        <c:dLbls/>
        <c:hiLowLines>
          <c:spPr>
            <a:ln w="25400" cap="rnd">
              <a:solidFill>
                <a:schemeClr val="tx2"/>
              </a:solidFill>
              <a:headEnd type="oval"/>
              <a:tailEnd type="oval"/>
            </a:ln>
          </c:spPr>
        </c:hiLowLines>
        <c:axId val="133408640"/>
        <c:axId val="133410176"/>
      </c:stockChart>
      <c:catAx>
        <c:axId val="133408640"/>
        <c:scaling>
          <c:orientation val="minMax"/>
        </c:scaling>
        <c:axPos val="b"/>
        <c:majorTickMark val="none"/>
        <c:tickLblPos val="nextTo"/>
        <c:crossAx val="133410176"/>
        <c:crosses val="autoZero"/>
        <c:auto val="1"/>
        <c:lblAlgn val="ctr"/>
        <c:lblOffset val="100"/>
      </c:catAx>
      <c:valAx>
        <c:axId val="133410176"/>
        <c:scaling>
          <c:orientation val="minMax"/>
        </c:scaling>
        <c:axPos val="l"/>
        <c:majorGridlines/>
        <c:numFmt formatCode="0%" sourceLinked="1"/>
        <c:majorTickMark val="none"/>
        <c:tickLblPos val="nextTo"/>
        <c:crossAx val="133408640"/>
        <c:crosses val="autoZero"/>
        <c:crossBetween val="between"/>
      </c:valAx>
      <c:dTable>
        <c:showHorzBorder val="1"/>
        <c:showVertBorder val="1"/>
        <c:showOutline val="1"/>
        <c:showKeys val="1"/>
      </c:dTable>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What weight would you allocate to each of the following </a:t>
            </a:r>
            <a:r>
              <a:rPr lang="en-US" i="1" u="sng"/>
              <a:t>Environmental</a:t>
            </a:r>
            <a:r>
              <a:rPr lang="en-US" baseline="0"/>
              <a:t> sub-</a:t>
            </a:r>
            <a:r>
              <a:rPr lang="en-US"/>
              <a:t>criteria?</a:t>
            </a:r>
          </a:p>
        </c:rich>
      </c:tx>
    </c:title>
    <c:plotArea>
      <c:layout/>
      <c:stockChart>
        <c:ser>
          <c:idx val="0"/>
          <c:order val="0"/>
          <c:tx>
            <c:v>Minimum</c:v>
          </c:tx>
          <c:spPr>
            <a:ln w="28575">
              <a:noFill/>
            </a:ln>
          </c:spPr>
          <c:marker>
            <c:symbol val="none"/>
          </c:marker>
          <c:cat>
            <c:strRef>
              <c:f>'Survey 09-12'!$AA$2:$AC$2</c:f>
              <c:strCache>
                <c:ptCount val="3"/>
                <c:pt idx="0">
                  <c:v>Conservation/Optimization of Resources</c:v>
                </c:pt>
                <c:pt idx="1">
                  <c:v>Net Impacts on Media</c:v>
                </c:pt>
                <c:pt idx="2">
                  <c:v>Regulatory</c:v>
                </c:pt>
              </c:strCache>
            </c:strRef>
          </c:cat>
          <c:val>
            <c:numRef>
              <c:f>'Survey 09-12'!$AA$22:$AC$22</c:f>
              <c:numCache>
                <c:formatCode>0%</c:formatCode>
                <c:ptCount val="3"/>
                <c:pt idx="0">
                  <c:v>0.2</c:v>
                </c:pt>
                <c:pt idx="1">
                  <c:v>0.2</c:v>
                </c:pt>
                <c:pt idx="2">
                  <c:v>0.2</c:v>
                </c:pt>
              </c:numCache>
            </c:numRef>
          </c:val>
        </c:ser>
        <c:ser>
          <c:idx val="1"/>
          <c:order val="1"/>
          <c:tx>
            <c:v>Median</c:v>
          </c:tx>
          <c:spPr>
            <a:ln w="28575">
              <a:noFill/>
            </a:ln>
          </c:spPr>
          <c:dLbls>
            <c:spPr>
              <a:solidFill>
                <a:schemeClr val="bg1"/>
              </a:solidFill>
            </c:spPr>
            <c:txPr>
              <a:bodyPr/>
              <a:lstStyle/>
              <a:p>
                <a:pPr>
                  <a:defRPr b="1"/>
                </a:pPr>
                <a:endParaRPr lang="en-US"/>
              </a:p>
            </c:txPr>
            <c:showVal val="1"/>
          </c:dLbls>
          <c:cat>
            <c:strRef>
              <c:f>'Survey 09-12'!$AA$2:$AC$2</c:f>
              <c:strCache>
                <c:ptCount val="3"/>
                <c:pt idx="0">
                  <c:v>Conservation/Optimization of Resources</c:v>
                </c:pt>
                <c:pt idx="1">
                  <c:v>Net Impacts on Media</c:v>
                </c:pt>
                <c:pt idx="2">
                  <c:v>Regulatory</c:v>
                </c:pt>
              </c:strCache>
            </c:strRef>
          </c:cat>
          <c:val>
            <c:numRef>
              <c:f>'Survey 09-12'!$AA$23:$AC$23</c:f>
              <c:numCache>
                <c:formatCode>0%</c:formatCode>
                <c:ptCount val="3"/>
                <c:pt idx="0">
                  <c:v>0.33</c:v>
                </c:pt>
                <c:pt idx="1">
                  <c:v>0.3</c:v>
                </c:pt>
                <c:pt idx="2">
                  <c:v>0.4</c:v>
                </c:pt>
              </c:numCache>
            </c:numRef>
          </c:val>
        </c:ser>
        <c:ser>
          <c:idx val="2"/>
          <c:order val="2"/>
          <c:tx>
            <c:v>Maximum</c:v>
          </c:tx>
          <c:spPr>
            <a:ln w="28575">
              <a:noFill/>
            </a:ln>
          </c:spPr>
          <c:marker>
            <c:symbol val="none"/>
          </c:marker>
          <c:cat>
            <c:strRef>
              <c:f>'Survey 09-12'!$AA$2:$AC$2</c:f>
              <c:strCache>
                <c:ptCount val="3"/>
                <c:pt idx="0">
                  <c:v>Conservation/Optimization of Resources</c:v>
                </c:pt>
                <c:pt idx="1">
                  <c:v>Net Impacts on Media</c:v>
                </c:pt>
                <c:pt idx="2">
                  <c:v>Regulatory</c:v>
                </c:pt>
              </c:strCache>
            </c:strRef>
          </c:cat>
          <c:val>
            <c:numRef>
              <c:f>'Survey 09-12'!$AA$24:$AC$24</c:f>
              <c:numCache>
                <c:formatCode>0%</c:formatCode>
                <c:ptCount val="3"/>
                <c:pt idx="0">
                  <c:v>0.55000000000000004</c:v>
                </c:pt>
                <c:pt idx="1">
                  <c:v>0.5</c:v>
                </c:pt>
                <c:pt idx="2">
                  <c:v>0.6</c:v>
                </c:pt>
              </c:numCache>
            </c:numRef>
          </c:val>
        </c:ser>
        <c:dLbls/>
        <c:hiLowLines>
          <c:spPr>
            <a:ln w="25400" cap="rnd">
              <a:solidFill>
                <a:schemeClr val="tx2"/>
              </a:solidFill>
              <a:headEnd type="oval"/>
              <a:tailEnd type="oval"/>
            </a:ln>
          </c:spPr>
        </c:hiLowLines>
        <c:axId val="137977216"/>
        <c:axId val="137999488"/>
      </c:stockChart>
      <c:catAx>
        <c:axId val="137977216"/>
        <c:scaling>
          <c:orientation val="minMax"/>
        </c:scaling>
        <c:axPos val="b"/>
        <c:majorTickMark val="none"/>
        <c:tickLblPos val="nextTo"/>
        <c:crossAx val="137999488"/>
        <c:crosses val="autoZero"/>
        <c:auto val="1"/>
        <c:lblAlgn val="ctr"/>
        <c:lblOffset val="100"/>
      </c:catAx>
      <c:valAx>
        <c:axId val="137999488"/>
        <c:scaling>
          <c:orientation val="minMax"/>
        </c:scaling>
        <c:axPos val="l"/>
        <c:majorGridlines/>
        <c:numFmt formatCode="0%" sourceLinked="1"/>
        <c:majorTickMark val="none"/>
        <c:tickLblPos val="nextTo"/>
        <c:crossAx val="137977216"/>
        <c:crosses val="autoZero"/>
        <c:crossBetween val="between"/>
      </c:valAx>
      <c:dTable>
        <c:showHorzBorder val="1"/>
        <c:showVertBorder val="1"/>
        <c:showOutline val="1"/>
        <c:showKeys val="1"/>
      </c:dTable>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What weight would you allocate to each of the following </a:t>
            </a:r>
            <a:r>
              <a:rPr lang="en-US" i="1" u="sng"/>
              <a:t>Social</a:t>
            </a:r>
            <a:r>
              <a:rPr lang="en-US" baseline="0"/>
              <a:t> sub-</a:t>
            </a:r>
            <a:r>
              <a:rPr lang="en-US"/>
              <a:t>criteria?</a:t>
            </a:r>
          </a:p>
        </c:rich>
      </c:tx>
    </c:title>
    <c:plotArea>
      <c:layout/>
      <c:stockChart>
        <c:ser>
          <c:idx val="0"/>
          <c:order val="0"/>
          <c:tx>
            <c:v>Minimum</c:v>
          </c:tx>
          <c:spPr>
            <a:ln w="28575">
              <a:noFill/>
            </a:ln>
          </c:spPr>
          <c:marker>
            <c:symbol val="none"/>
          </c:marker>
          <c:cat>
            <c:strRef>
              <c:f>'Survey 09-12'!$AF$2:$AH$2</c:f>
              <c:strCache>
                <c:ptCount val="3"/>
                <c:pt idx="0">
                  <c:v>Nuisance Issues (Odor, Dust, Traffic, and Visual)</c:v>
                </c:pt>
                <c:pt idx="1">
                  <c:v>Workplace Conditions</c:v>
                </c:pt>
                <c:pt idx="2">
                  <c:v>Public Engagement</c:v>
                </c:pt>
              </c:strCache>
            </c:strRef>
          </c:cat>
          <c:val>
            <c:numRef>
              <c:f>'Survey 09-12'!$AF$22:$AH$22</c:f>
              <c:numCache>
                <c:formatCode>0%</c:formatCode>
                <c:ptCount val="3"/>
                <c:pt idx="0">
                  <c:v>0.2</c:v>
                </c:pt>
                <c:pt idx="1">
                  <c:v>0.2</c:v>
                </c:pt>
                <c:pt idx="2">
                  <c:v>0.1</c:v>
                </c:pt>
              </c:numCache>
            </c:numRef>
          </c:val>
        </c:ser>
        <c:ser>
          <c:idx val="1"/>
          <c:order val="1"/>
          <c:tx>
            <c:v>Median</c:v>
          </c:tx>
          <c:spPr>
            <a:ln w="28575">
              <a:noFill/>
            </a:ln>
          </c:spPr>
          <c:dLbls>
            <c:spPr>
              <a:solidFill>
                <a:schemeClr val="bg1"/>
              </a:solidFill>
            </c:spPr>
            <c:txPr>
              <a:bodyPr/>
              <a:lstStyle/>
              <a:p>
                <a:pPr>
                  <a:defRPr b="1"/>
                </a:pPr>
                <a:endParaRPr lang="en-US"/>
              </a:p>
            </c:txPr>
            <c:showVal val="1"/>
          </c:dLbls>
          <c:cat>
            <c:strRef>
              <c:f>'Survey 09-12'!$AF$2:$AH$2</c:f>
              <c:strCache>
                <c:ptCount val="3"/>
                <c:pt idx="0">
                  <c:v>Nuisance Issues (Odor, Dust, Traffic, and Visual)</c:v>
                </c:pt>
                <c:pt idx="1">
                  <c:v>Workplace Conditions</c:v>
                </c:pt>
                <c:pt idx="2">
                  <c:v>Public Engagement</c:v>
                </c:pt>
              </c:strCache>
            </c:strRef>
          </c:cat>
          <c:val>
            <c:numRef>
              <c:f>'Survey 09-12'!$AF$23:$AH$23</c:f>
              <c:numCache>
                <c:formatCode>0%</c:formatCode>
                <c:ptCount val="3"/>
                <c:pt idx="0">
                  <c:v>0.42499999999999999</c:v>
                </c:pt>
                <c:pt idx="1">
                  <c:v>0.3</c:v>
                </c:pt>
                <c:pt idx="2">
                  <c:v>0.25</c:v>
                </c:pt>
              </c:numCache>
            </c:numRef>
          </c:val>
        </c:ser>
        <c:ser>
          <c:idx val="2"/>
          <c:order val="2"/>
          <c:tx>
            <c:v>Maximum</c:v>
          </c:tx>
          <c:spPr>
            <a:ln w="28575">
              <a:noFill/>
            </a:ln>
          </c:spPr>
          <c:marker>
            <c:symbol val="none"/>
          </c:marker>
          <c:cat>
            <c:strRef>
              <c:f>'Survey 09-12'!$AF$2:$AH$2</c:f>
              <c:strCache>
                <c:ptCount val="3"/>
                <c:pt idx="0">
                  <c:v>Nuisance Issues (Odor, Dust, Traffic, and Visual)</c:v>
                </c:pt>
                <c:pt idx="1">
                  <c:v>Workplace Conditions</c:v>
                </c:pt>
                <c:pt idx="2">
                  <c:v>Public Engagement</c:v>
                </c:pt>
              </c:strCache>
            </c:strRef>
          </c:cat>
          <c:val>
            <c:numRef>
              <c:f>'Survey 09-12'!$AF$24:$AH$24</c:f>
              <c:numCache>
                <c:formatCode>0%</c:formatCode>
                <c:ptCount val="3"/>
                <c:pt idx="0">
                  <c:v>0.6</c:v>
                </c:pt>
                <c:pt idx="1">
                  <c:v>0.5</c:v>
                </c:pt>
                <c:pt idx="2">
                  <c:v>0.4</c:v>
                </c:pt>
              </c:numCache>
            </c:numRef>
          </c:val>
        </c:ser>
        <c:dLbls/>
        <c:hiLowLines>
          <c:spPr>
            <a:ln w="25400" cap="rnd">
              <a:solidFill>
                <a:schemeClr val="tx2"/>
              </a:solidFill>
              <a:headEnd type="oval"/>
              <a:tailEnd type="oval"/>
            </a:ln>
          </c:spPr>
        </c:hiLowLines>
        <c:axId val="137909376"/>
        <c:axId val="137910912"/>
      </c:stockChart>
      <c:catAx>
        <c:axId val="137909376"/>
        <c:scaling>
          <c:orientation val="minMax"/>
        </c:scaling>
        <c:axPos val="b"/>
        <c:majorTickMark val="none"/>
        <c:tickLblPos val="nextTo"/>
        <c:crossAx val="137910912"/>
        <c:crosses val="autoZero"/>
        <c:auto val="1"/>
        <c:lblAlgn val="ctr"/>
        <c:lblOffset val="100"/>
      </c:catAx>
      <c:valAx>
        <c:axId val="137910912"/>
        <c:scaling>
          <c:orientation val="minMax"/>
        </c:scaling>
        <c:axPos val="l"/>
        <c:majorGridlines/>
        <c:numFmt formatCode="0%" sourceLinked="1"/>
        <c:majorTickMark val="none"/>
        <c:tickLblPos val="nextTo"/>
        <c:crossAx val="137909376"/>
        <c:crosses val="autoZero"/>
        <c:crossBetween val="between"/>
      </c:valAx>
      <c:dTable>
        <c:showHorzBorder val="1"/>
        <c:showVertBorder val="1"/>
        <c:showOutline val="1"/>
        <c:showKeys val="1"/>
      </c:dTable>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diagrams/colors1.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4C2911D-3996-4600-ACA5-2A248B290449}" type="doc">
      <dgm:prSet loTypeId="urn:microsoft.com/office/officeart/2005/8/layout/orgChart1" loCatId="hierarchy" qsTypeId="urn:microsoft.com/office/officeart/2005/8/quickstyle/simple1" qsCatId="simple" csTypeId="urn:microsoft.com/office/officeart/2005/8/colors/colorful4" csCatId="colorful" phldr="1"/>
      <dgm:spPr/>
      <dgm:t>
        <a:bodyPr/>
        <a:lstStyle/>
        <a:p>
          <a:endParaRPr lang="en-US"/>
        </a:p>
      </dgm:t>
    </dgm:pt>
    <dgm:pt modelId="{4A632E9F-CA01-4B38-BBBC-D1AEED09B238}">
      <dgm:prSet phldrT="[Text]" custT="1"/>
      <dgm:spPr>
        <a:ln>
          <a:noFill/>
        </a:ln>
      </dgm:spPr>
      <dgm:t>
        <a:bodyPr/>
        <a:lstStyle/>
        <a:p>
          <a:r>
            <a:rPr lang="en-US" sz="1000" b="1"/>
            <a:t>Triple Bottom Line</a:t>
          </a:r>
        </a:p>
      </dgm:t>
    </dgm:pt>
    <dgm:pt modelId="{331D91B0-585F-4EFC-9539-9FA65C60A144}" type="parTrans" cxnId="{E0A88295-FF5A-4F4F-BAB5-32ADF1A45F4E}">
      <dgm:prSet/>
      <dgm:spPr/>
      <dgm:t>
        <a:bodyPr/>
        <a:lstStyle/>
        <a:p>
          <a:endParaRPr lang="en-US"/>
        </a:p>
      </dgm:t>
    </dgm:pt>
    <dgm:pt modelId="{7524A824-23D0-46D5-927F-91BF869AE479}" type="sibTrans" cxnId="{E0A88295-FF5A-4F4F-BAB5-32ADF1A45F4E}">
      <dgm:prSet/>
      <dgm:spPr/>
      <dgm:t>
        <a:bodyPr/>
        <a:lstStyle/>
        <a:p>
          <a:endParaRPr lang="en-US"/>
        </a:p>
      </dgm:t>
    </dgm:pt>
    <dgm:pt modelId="{1ACD89F7-7A7E-49AA-99E5-5E1F43F9C0C3}">
      <dgm:prSet phldrT="[Text]" custT="1"/>
      <dgm:spPr>
        <a:ln>
          <a:noFill/>
        </a:ln>
      </dgm:spPr>
      <dgm:t>
        <a:bodyPr/>
        <a:lstStyle/>
        <a:p>
          <a:r>
            <a:rPr lang="en-US" sz="1000" b="1"/>
            <a:t>Environmental</a:t>
          </a:r>
        </a:p>
      </dgm:t>
    </dgm:pt>
    <dgm:pt modelId="{74EA7787-D40E-489C-B9A0-677C302F91C2}" type="parTrans" cxnId="{5BE2A4DB-65D6-4B07-A8AA-F64078CC03AD}">
      <dgm:prSet/>
      <dgm:spPr/>
      <dgm:t>
        <a:bodyPr/>
        <a:lstStyle/>
        <a:p>
          <a:endParaRPr lang="en-US" sz="1000" b="1"/>
        </a:p>
      </dgm:t>
    </dgm:pt>
    <dgm:pt modelId="{B7CE4659-85AB-4B74-9931-722583EFDE6D}" type="sibTrans" cxnId="{5BE2A4DB-65D6-4B07-A8AA-F64078CC03AD}">
      <dgm:prSet/>
      <dgm:spPr/>
      <dgm:t>
        <a:bodyPr/>
        <a:lstStyle/>
        <a:p>
          <a:endParaRPr lang="en-US"/>
        </a:p>
      </dgm:t>
    </dgm:pt>
    <dgm:pt modelId="{30711104-DAA5-493B-9DAF-6C94E27A362A}">
      <dgm:prSet phldrT="[Text]" custT="1"/>
      <dgm:spPr>
        <a:ln>
          <a:noFill/>
        </a:ln>
      </dgm:spPr>
      <dgm:t>
        <a:bodyPr/>
        <a:lstStyle/>
        <a:p>
          <a:r>
            <a:rPr lang="en-US" sz="1000" b="1"/>
            <a:t>Social</a:t>
          </a:r>
        </a:p>
      </dgm:t>
    </dgm:pt>
    <dgm:pt modelId="{CD04F478-77E6-4A88-8811-D7777A280D63}" type="parTrans" cxnId="{C16C5897-8F25-458F-9624-9DC566601162}">
      <dgm:prSet/>
      <dgm:spPr/>
      <dgm:t>
        <a:bodyPr/>
        <a:lstStyle/>
        <a:p>
          <a:endParaRPr lang="en-US" sz="1000" b="1"/>
        </a:p>
      </dgm:t>
    </dgm:pt>
    <dgm:pt modelId="{8C24F040-642E-4A57-A295-005E914F3BA9}" type="sibTrans" cxnId="{C16C5897-8F25-458F-9624-9DC566601162}">
      <dgm:prSet/>
      <dgm:spPr/>
      <dgm:t>
        <a:bodyPr/>
        <a:lstStyle/>
        <a:p>
          <a:endParaRPr lang="en-US"/>
        </a:p>
      </dgm:t>
    </dgm:pt>
    <dgm:pt modelId="{33702F50-0D8D-40F8-98B7-9E2878C7F0D1}">
      <dgm:prSet phldrT="[Text]" custT="1"/>
      <dgm:spPr>
        <a:ln>
          <a:noFill/>
        </a:ln>
      </dgm:spPr>
      <dgm:t>
        <a:bodyPr/>
        <a:lstStyle/>
        <a:p>
          <a:r>
            <a:rPr lang="en-US" sz="1000" b="1"/>
            <a:t>Economic</a:t>
          </a:r>
        </a:p>
      </dgm:t>
    </dgm:pt>
    <dgm:pt modelId="{8B11A64D-2A3C-4979-987D-766F80DDE66F}" type="sibTrans" cxnId="{B5F79A8F-66AA-4F57-962C-7DE86ADC138A}">
      <dgm:prSet/>
      <dgm:spPr/>
      <dgm:t>
        <a:bodyPr/>
        <a:lstStyle/>
        <a:p>
          <a:endParaRPr lang="en-US"/>
        </a:p>
      </dgm:t>
    </dgm:pt>
    <dgm:pt modelId="{E6AAA51F-7324-4D8A-B7B3-33ACED521A1B}" type="parTrans" cxnId="{B5F79A8F-66AA-4F57-962C-7DE86ADC138A}">
      <dgm:prSet/>
      <dgm:spPr/>
      <dgm:t>
        <a:bodyPr/>
        <a:lstStyle/>
        <a:p>
          <a:endParaRPr lang="en-US" sz="1000" b="1"/>
        </a:p>
      </dgm:t>
    </dgm:pt>
    <dgm:pt modelId="{0A6E2B67-45A7-4AD1-B873-5E06ACA3AA78}">
      <dgm:prSet phldrT="[Text]" custT="1"/>
      <dgm:spPr>
        <a:ln>
          <a:noFill/>
        </a:ln>
      </dgm:spPr>
      <dgm:t>
        <a:bodyPr/>
        <a:lstStyle/>
        <a:p>
          <a:r>
            <a:rPr lang="en-US" sz="1000" b="1"/>
            <a:t>NPV</a:t>
          </a:r>
        </a:p>
      </dgm:t>
    </dgm:pt>
    <dgm:pt modelId="{CB7B219B-BC9C-4A1E-AE40-4B7195548E31}" type="parTrans" cxnId="{6CFB5482-4604-4AE3-A4B2-59F91FDEEA6B}">
      <dgm:prSet/>
      <dgm:spPr/>
      <dgm:t>
        <a:bodyPr/>
        <a:lstStyle/>
        <a:p>
          <a:endParaRPr lang="en-US" sz="1000" b="1"/>
        </a:p>
      </dgm:t>
    </dgm:pt>
    <dgm:pt modelId="{D6FC07DD-70CD-4303-87FE-C316A953C068}" type="sibTrans" cxnId="{6CFB5482-4604-4AE3-A4B2-59F91FDEEA6B}">
      <dgm:prSet/>
      <dgm:spPr/>
      <dgm:t>
        <a:bodyPr/>
        <a:lstStyle/>
        <a:p>
          <a:endParaRPr lang="en-US"/>
        </a:p>
      </dgm:t>
    </dgm:pt>
    <dgm:pt modelId="{766BCFF3-83B7-496C-A15B-C0F28F869C68}">
      <dgm:prSet phldrT="[Text]" custT="1"/>
      <dgm:spPr>
        <a:ln>
          <a:noFill/>
        </a:ln>
      </dgm:spPr>
      <dgm:t>
        <a:bodyPr/>
        <a:lstStyle/>
        <a:p>
          <a:r>
            <a:rPr lang="en-US" sz="1000" b="1"/>
            <a:t>Engineering/ Technical</a:t>
          </a:r>
        </a:p>
      </dgm:t>
    </dgm:pt>
    <dgm:pt modelId="{D6316EE9-E58D-4BB3-8D83-459F295A2F79}" type="parTrans" cxnId="{6C9CAF91-4068-43E5-9B8F-4E185710BE42}">
      <dgm:prSet/>
      <dgm:spPr/>
      <dgm:t>
        <a:bodyPr/>
        <a:lstStyle/>
        <a:p>
          <a:endParaRPr lang="en-US" sz="1000" b="1"/>
        </a:p>
      </dgm:t>
    </dgm:pt>
    <dgm:pt modelId="{92B7DF32-D99A-4AF3-9327-EE8F903C3765}" type="sibTrans" cxnId="{6C9CAF91-4068-43E5-9B8F-4E185710BE42}">
      <dgm:prSet/>
      <dgm:spPr/>
      <dgm:t>
        <a:bodyPr/>
        <a:lstStyle/>
        <a:p>
          <a:endParaRPr lang="en-US"/>
        </a:p>
      </dgm:t>
    </dgm:pt>
    <dgm:pt modelId="{42358016-CC8D-4187-893D-A46E3B37D105}">
      <dgm:prSet phldrT="[Text]" custT="1"/>
      <dgm:spPr>
        <a:ln>
          <a:noFill/>
        </a:ln>
      </dgm:spPr>
      <dgm:t>
        <a:bodyPr/>
        <a:lstStyle/>
        <a:p>
          <a:r>
            <a:rPr lang="en-US" sz="800" b="1"/>
            <a:t>Simplicity</a:t>
          </a:r>
        </a:p>
      </dgm:t>
    </dgm:pt>
    <dgm:pt modelId="{5F01A54A-7232-4FAE-96F4-395EF85240EC}" type="parTrans" cxnId="{6917565C-3D4E-4287-B670-037118CCC14C}">
      <dgm:prSet/>
      <dgm:spPr/>
      <dgm:t>
        <a:bodyPr/>
        <a:lstStyle/>
        <a:p>
          <a:endParaRPr lang="en-US" sz="1000" b="1"/>
        </a:p>
      </dgm:t>
    </dgm:pt>
    <dgm:pt modelId="{08383373-170C-4C3C-AB49-A133AC9C66EA}" type="sibTrans" cxnId="{6917565C-3D4E-4287-B670-037118CCC14C}">
      <dgm:prSet/>
      <dgm:spPr/>
      <dgm:t>
        <a:bodyPr/>
        <a:lstStyle/>
        <a:p>
          <a:endParaRPr lang="en-US"/>
        </a:p>
      </dgm:t>
    </dgm:pt>
    <dgm:pt modelId="{63E2331F-AA24-4ADD-B0A2-E1CB625866D2}">
      <dgm:prSet phldrT="[Text]" custT="1"/>
      <dgm:spPr>
        <a:ln>
          <a:noFill/>
        </a:ln>
      </dgm:spPr>
      <dgm:t>
        <a:bodyPr/>
        <a:lstStyle/>
        <a:p>
          <a:r>
            <a:rPr lang="en-US" sz="800" b="1"/>
            <a:t>Flexibility</a:t>
          </a:r>
        </a:p>
      </dgm:t>
    </dgm:pt>
    <dgm:pt modelId="{B98D8532-DB8F-44B7-8496-2A67DB116BAD}" type="parTrans" cxnId="{F3650F13-37F7-4425-9319-3BE5CC9B6BB4}">
      <dgm:prSet/>
      <dgm:spPr/>
      <dgm:t>
        <a:bodyPr/>
        <a:lstStyle/>
        <a:p>
          <a:endParaRPr lang="en-US" sz="1000" b="1"/>
        </a:p>
      </dgm:t>
    </dgm:pt>
    <dgm:pt modelId="{4F815D3D-6943-44D7-8E24-67CC21279BCA}" type="sibTrans" cxnId="{F3650F13-37F7-4425-9319-3BE5CC9B6BB4}">
      <dgm:prSet/>
      <dgm:spPr/>
      <dgm:t>
        <a:bodyPr/>
        <a:lstStyle/>
        <a:p>
          <a:endParaRPr lang="en-US"/>
        </a:p>
      </dgm:t>
    </dgm:pt>
    <dgm:pt modelId="{A04D9F54-3B04-4C54-8282-DE3F0C06CA5B}">
      <dgm:prSet phldrT="[Text]" custT="1"/>
      <dgm:spPr>
        <a:ln>
          <a:noFill/>
        </a:ln>
      </dgm:spPr>
      <dgm:t>
        <a:bodyPr/>
        <a:lstStyle/>
        <a:p>
          <a:r>
            <a:rPr lang="en-US" sz="800" b="1"/>
            <a:t>State of Technology </a:t>
          </a:r>
        </a:p>
      </dgm:t>
    </dgm:pt>
    <dgm:pt modelId="{4C384DE9-DEC6-480F-8F41-D0D62F00CDA0}" type="parTrans" cxnId="{B0357732-C3D4-4123-88AE-A6954F3DC241}">
      <dgm:prSet/>
      <dgm:spPr/>
      <dgm:t>
        <a:bodyPr/>
        <a:lstStyle/>
        <a:p>
          <a:endParaRPr lang="en-US" sz="1000" b="1"/>
        </a:p>
      </dgm:t>
    </dgm:pt>
    <dgm:pt modelId="{770726E2-D169-42B4-8114-221BC5F545B5}" type="sibTrans" cxnId="{B0357732-C3D4-4123-88AE-A6954F3DC241}">
      <dgm:prSet/>
      <dgm:spPr/>
      <dgm:t>
        <a:bodyPr/>
        <a:lstStyle/>
        <a:p>
          <a:endParaRPr lang="en-US"/>
        </a:p>
      </dgm:t>
    </dgm:pt>
    <dgm:pt modelId="{F2622D98-8EA0-4726-9904-073D750E15B4}">
      <dgm:prSet phldrT="[Text]" custT="1"/>
      <dgm:spPr>
        <a:ln>
          <a:noFill/>
        </a:ln>
      </dgm:spPr>
      <dgm:t>
        <a:bodyPr/>
        <a:lstStyle/>
        <a:p>
          <a:r>
            <a:rPr lang="en-US" sz="1000" b="1"/>
            <a:t>Conservation / Optimization of Resources </a:t>
          </a:r>
        </a:p>
      </dgm:t>
    </dgm:pt>
    <dgm:pt modelId="{4E3E4C07-164D-4E26-B8B5-9C5C6E8C0F04}" type="parTrans" cxnId="{679CB469-DEFB-4E10-B142-0F22E13B340E}">
      <dgm:prSet/>
      <dgm:spPr/>
      <dgm:t>
        <a:bodyPr/>
        <a:lstStyle/>
        <a:p>
          <a:endParaRPr lang="en-US" sz="1000" b="1"/>
        </a:p>
      </dgm:t>
    </dgm:pt>
    <dgm:pt modelId="{98260AA9-60FB-46A3-813B-76D7BBC7538D}" type="sibTrans" cxnId="{679CB469-DEFB-4E10-B142-0F22E13B340E}">
      <dgm:prSet/>
      <dgm:spPr/>
      <dgm:t>
        <a:bodyPr/>
        <a:lstStyle/>
        <a:p>
          <a:endParaRPr lang="en-US"/>
        </a:p>
      </dgm:t>
    </dgm:pt>
    <dgm:pt modelId="{EDE9A722-61D5-4D3C-A709-28FF1086E0A8}">
      <dgm:prSet phldrT="[Text]" custT="1"/>
      <dgm:spPr>
        <a:ln>
          <a:noFill/>
        </a:ln>
      </dgm:spPr>
      <dgm:t>
        <a:bodyPr/>
        <a:lstStyle/>
        <a:p>
          <a:r>
            <a:rPr lang="en-US" sz="800" b="1"/>
            <a:t>Nutrient (N &amp; P)</a:t>
          </a:r>
        </a:p>
      </dgm:t>
    </dgm:pt>
    <dgm:pt modelId="{5BF4F84D-34F0-4674-BDBC-49060535982C}" type="parTrans" cxnId="{4C4580B5-0200-4997-AD5B-C2626DB88A34}">
      <dgm:prSet/>
      <dgm:spPr/>
      <dgm:t>
        <a:bodyPr/>
        <a:lstStyle/>
        <a:p>
          <a:endParaRPr lang="en-US" sz="1000" b="1"/>
        </a:p>
      </dgm:t>
    </dgm:pt>
    <dgm:pt modelId="{7F8AE9E2-A1BD-476B-AAC1-2365CD3C71EA}" type="sibTrans" cxnId="{4C4580B5-0200-4997-AD5B-C2626DB88A34}">
      <dgm:prSet/>
      <dgm:spPr/>
      <dgm:t>
        <a:bodyPr/>
        <a:lstStyle/>
        <a:p>
          <a:endParaRPr lang="en-US"/>
        </a:p>
      </dgm:t>
    </dgm:pt>
    <dgm:pt modelId="{7A744635-266F-4905-BECC-F5E3B9313C24}">
      <dgm:prSet phldrT="[Text]" custT="1"/>
      <dgm:spPr>
        <a:ln>
          <a:noFill/>
        </a:ln>
      </dgm:spPr>
      <dgm:t>
        <a:bodyPr/>
        <a:lstStyle/>
        <a:p>
          <a:r>
            <a:rPr lang="en-US" sz="800" b="1"/>
            <a:t>Fixed Carbon - Energy Recovery &amp; GHG Emissions</a:t>
          </a:r>
        </a:p>
      </dgm:t>
    </dgm:pt>
    <dgm:pt modelId="{0BBBCB2D-C9A4-4AD5-B990-C2669CAF1B33}" type="parTrans" cxnId="{6147097A-6D41-4F65-946B-8270E5F02706}">
      <dgm:prSet/>
      <dgm:spPr/>
      <dgm:t>
        <a:bodyPr/>
        <a:lstStyle/>
        <a:p>
          <a:endParaRPr lang="en-US" sz="1000" b="1"/>
        </a:p>
      </dgm:t>
    </dgm:pt>
    <dgm:pt modelId="{038DE747-556A-4A59-96F9-8ABAFCE60609}" type="sibTrans" cxnId="{6147097A-6D41-4F65-946B-8270E5F02706}">
      <dgm:prSet/>
      <dgm:spPr/>
      <dgm:t>
        <a:bodyPr/>
        <a:lstStyle/>
        <a:p>
          <a:endParaRPr lang="en-US"/>
        </a:p>
      </dgm:t>
    </dgm:pt>
    <dgm:pt modelId="{7294EBF6-3850-4E00-8350-1C45F607DAE9}">
      <dgm:prSet phldrT="[Text]" custT="1"/>
      <dgm:spPr>
        <a:ln>
          <a:noFill/>
        </a:ln>
      </dgm:spPr>
      <dgm:t>
        <a:bodyPr/>
        <a:lstStyle/>
        <a:p>
          <a:r>
            <a:rPr lang="en-US" sz="800" b="1"/>
            <a:t>Water Conservation</a:t>
          </a:r>
        </a:p>
      </dgm:t>
    </dgm:pt>
    <dgm:pt modelId="{CE6A3589-4DF9-40C9-9C60-958E44A8BFCB}" type="parTrans" cxnId="{4AAEBD8C-9142-43D3-8C8C-AD3C73982E55}">
      <dgm:prSet/>
      <dgm:spPr/>
      <dgm:t>
        <a:bodyPr/>
        <a:lstStyle/>
        <a:p>
          <a:endParaRPr lang="en-US" sz="1000" b="1"/>
        </a:p>
      </dgm:t>
    </dgm:pt>
    <dgm:pt modelId="{70329A9D-B5E2-4ED5-AF06-D532DEBB56F5}" type="sibTrans" cxnId="{4AAEBD8C-9142-43D3-8C8C-AD3C73982E55}">
      <dgm:prSet/>
      <dgm:spPr/>
      <dgm:t>
        <a:bodyPr/>
        <a:lstStyle/>
        <a:p>
          <a:endParaRPr lang="en-US"/>
        </a:p>
      </dgm:t>
    </dgm:pt>
    <dgm:pt modelId="{8BD13B37-A196-4519-BE6F-BE7D1BD80B52}">
      <dgm:prSet phldrT="[Text]" custT="1"/>
      <dgm:spPr>
        <a:ln>
          <a:noFill/>
        </a:ln>
      </dgm:spPr>
      <dgm:t>
        <a:bodyPr/>
        <a:lstStyle/>
        <a:p>
          <a:r>
            <a:rPr lang="en-US" sz="1000" b="1"/>
            <a:t>Net Impacts on Media</a:t>
          </a:r>
        </a:p>
      </dgm:t>
    </dgm:pt>
    <dgm:pt modelId="{F1706551-809E-47DA-9A5B-AD8A50C4A84E}" type="parTrans" cxnId="{D0734E37-9C2A-4464-B7B8-FBB7B9FA9F46}">
      <dgm:prSet/>
      <dgm:spPr/>
      <dgm:t>
        <a:bodyPr/>
        <a:lstStyle/>
        <a:p>
          <a:endParaRPr lang="en-US" sz="1000" b="1"/>
        </a:p>
      </dgm:t>
    </dgm:pt>
    <dgm:pt modelId="{10597134-1B1A-495C-8163-5FF370D07AA4}" type="sibTrans" cxnId="{D0734E37-9C2A-4464-B7B8-FBB7B9FA9F46}">
      <dgm:prSet/>
      <dgm:spPr/>
      <dgm:t>
        <a:bodyPr/>
        <a:lstStyle/>
        <a:p>
          <a:endParaRPr lang="en-US"/>
        </a:p>
      </dgm:t>
    </dgm:pt>
    <dgm:pt modelId="{97C4147D-355B-42C3-A9C1-09C8C8510882}">
      <dgm:prSet phldrT="[Text]" custT="1"/>
      <dgm:spPr>
        <a:ln>
          <a:noFill/>
        </a:ln>
      </dgm:spPr>
      <dgm:t>
        <a:bodyPr/>
        <a:lstStyle/>
        <a:p>
          <a:r>
            <a:rPr lang="en-US" sz="800" b="1"/>
            <a:t>Air</a:t>
          </a:r>
        </a:p>
      </dgm:t>
    </dgm:pt>
    <dgm:pt modelId="{0C5489B9-4B3D-4B85-AFA1-2EDB5BAB8D7A}" type="parTrans" cxnId="{8C1AB7E8-EB61-4664-9590-A60F6BE93636}">
      <dgm:prSet/>
      <dgm:spPr/>
      <dgm:t>
        <a:bodyPr/>
        <a:lstStyle/>
        <a:p>
          <a:endParaRPr lang="en-US" sz="1000" b="1"/>
        </a:p>
      </dgm:t>
    </dgm:pt>
    <dgm:pt modelId="{CC6037E6-EC94-4811-88A2-46F8DC13AECA}" type="sibTrans" cxnId="{8C1AB7E8-EB61-4664-9590-A60F6BE93636}">
      <dgm:prSet/>
      <dgm:spPr/>
      <dgm:t>
        <a:bodyPr/>
        <a:lstStyle/>
        <a:p>
          <a:endParaRPr lang="en-US"/>
        </a:p>
      </dgm:t>
    </dgm:pt>
    <dgm:pt modelId="{CCD2C872-B113-4F6B-A4CD-846A4E9E681A}">
      <dgm:prSet phldrT="[Text]" custT="1"/>
      <dgm:spPr>
        <a:ln>
          <a:noFill/>
        </a:ln>
      </dgm:spPr>
      <dgm:t>
        <a:bodyPr/>
        <a:lstStyle/>
        <a:p>
          <a:r>
            <a:rPr lang="en-US" sz="800" b="1"/>
            <a:t>Water</a:t>
          </a:r>
        </a:p>
      </dgm:t>
    </dgm:pt>
    <dgm:pt modelId="{51079894-9A00-44A4-8837-751A110772EF}" type="parTrans" cxnId="{DD1FA9B2-D2A7-4156-AAC7-CBF1D5F06BAA}">
      <dgm:prSet/>
      <dgm:spPr/>
      <dgm:t>
        <a:bodyPr/>
        <a:lstStyle/>
        <a:p>
          <a:endParaRPr lang="en-US" sz="1000" b="1"/>
        </a:p>
      </dgm:t>
    </dgm:pt>
    <dgm:pt modelId="{8973F6F1-9FED-44AC-8077-0777CDB54034}" type="sibTrans" cxnId="{DD1FA9B2-D2A7-4156-AAC7-CBF1D5F06BAA}">
      <dgm:prSet/>
      <dgm:spPr/>
      <dgm:t>
        <a:bodyPr/>
        <a:lstStyle/>
        <a:p>
          <a:endParaRPr lang="en-US"/>
        </a:p>
      </dgm:t>
    </dgm:pt>
    <dgm:pt modelId="{86AFCED9-881B-4E56-A8D7-592E44A178B6}">
      <dgm:prSet phldrT="[Text]" custT="1"/>
      <dgm:spPr>
        <a:ln>
          <a:noFill/>
        </a:ln>
      </dgm:spPr>
      <dgm:t>
        <a:bodyPr/>
        <a:lstStyle/>
        <a:p>
          <a:r>
            <a:rPr lang="en-US" sz="1000" b="1"/>
            <a:t>Regulatory</a:t>
          </a:r>
        </a:p>
      </dgm:t>
    </dgm:pt>
    <dgm:pt modelId="{0E834E5B-5750-4813-81FB-75B103238427}" type="parTrans" cxnId="{4F51DF8F-8790-47E6-AC7E-2A5516A0E34E}">
      <dgm:prSet/>
      <dgm:spPr/>
      <dgm:t>
        <a:bodyPr/>
        <a:lstStyle/>
        <a:p>
          <a:endParaRPr lang="en-US" sz="1000" b="1"/>
        </a:p>
      </dgm:t>
    </dgm:pt>
    <dgm:pt modelId="{21D4AF13-452D-4663-90AE-06D895B2D2C0}" type="sibTrans" cxnId="{4F51DF8F-8790-47E6-AC7E-2A5516A0E34E}">
      <dgm:prSet/>
      <dgm:spPr/>
      <dgm:t>
        <a:bodyPr/>
        <a:lstStyle/>
        <a:p>
          <a:endParaRPr lang="en-US"/>
        </a:p>
      </dgm:t>
    </dgm:pt>
    <dgm:pt modelId="{26DA4331-5CE5-42F6-AF46-B7D80A62DAC5}">
      <dgm:prSet phldrT="[Text]" custT="1"/>
      <dgm:spPr>
        <a:ln>
          <a:noFill/>
        </a:ln>
      </dgm:spPr>
      <dgm:t>
        <a:bodyPr/>
        <a:lstStyle/>
        <a:p>
          <a:r>
            <a:rPr lang="en-US" sz="1000" b="1"/>
            <a:t>Nuisance Issues</a:t>
          </a:r>
        </a:p>
      </dgm:t>
    </dgm:pt>
    <dgm:pt modelId="{4A728670-31BD-4B1A-ADCF-77C0985522B3}" type="parTrans" cxnId="{D51FB15B-69CB-444B-BE4B-38F60F02612A}">
      <dgm:prSet/>
      <dgm:spPr/>
      <dgm:t>
        <a:bodyPr/>
        <a:lstStyle/>
        <a:p>
          <a:endParaRPr lang="en-US" sz="1000" b="1"/>
        </a:p>
      </dgm:t>
    </dgm:pt>
    <dgm:pt modelId="{2E9E37C8-E82C-4533-818B-9AD8CB0024BF}" type="sibTrans" cxnId="{D51FB15B-69CB-444B-BE4B-38F60F02612A}">
      <dgm:prSet/>
      <dgm:spPr/>
      <dgm:t>
        <a:bodyPr/>
        <a:lstStyle/>
        <a:p>
          <a:endParaRPr lang="en-US"/>
        </a:p>
      </dgm:t>
    </dgm:pt>
    <dgm:pt modelId="{D3FA9973-EA01-4F51-A48A-81471415A2A0}">
      <dgm:prSet phldrT="[Text]" custT="1"/>
      <dgm:spPr>
        <a:ln>
          <a:noFill/>
        </a:ln>
      </dgm:spPr>
      <dgm:t>
        <a:bodyPr/>
        <a:lstStyle/>
        <a:p>
          <a:r>
            <a:rPr lang="en-US" sz="1000" b="1"/>
            <a:t>Workplace conditions</a:t>
          </a:r>
        </a:p>
      </dgm:t>
    </dgm:pt>
    <dgm:pt modelId="{F77D76B7-4084-41B8-9FD0-019C96EE85C6}" type="parTrans" cxnId="{0ACF14EE-F0A6-4C11-B24C-4B974B022322}">
      <dgm:prSet/>
      <dgm:spPr/>
      <dgm:t>
        <a:bodyPr/>
        <a:lstStyle/>
        <a:p>
          <a:endParaRPr lang="en-US" sz="1000" b="1"/>
        </a:p>
      </dgm:t>
    </dgm:pt>
    <dgm:pt modelId="{2F4E2695-41A3-4B5C-9293-D418BB19347A}" type="sibTrans" cxnId="{0ACF14EE-F0A6-4C11-B24C-4B974B022322}">
      <dgm:prSet/>
      <dgm:spPr/>
      <dgm:t>
        <a:bodyPr/>
        <a:lstStyle/>
        <a:p>
          <a:endParaRPr lang="en-US"/>
        </a:p>
      </dgm:t>
    </dgm:pt>
    <dgm:pt modelId="{7E213AE3-9289-4A9E-8284-48EFCDA8F209}">
      <dgm:prSet phldrT="[Text]" custT="1"/>
      <dgm:spPr>
        <a:ln>
          <a:noFill/>
        </a:ln>
      </dgm:spPr>
      <dgm:t>
        <a:bodyPr/>
        <a:lstStyle/>
        <a:p>
          <a:r>
            <a:rPr lang="en-US" sz="800" b="1"/>
            <a:t>Odor</a:t>
          </a:r>
        </a:p>
      </dgm:t>
    </dgm:pt>
    <dgm:pt modelId="{D0B3C796-7FD4-4453-BFCD-44DE6D33ABBB}" type="parTrans" cxnId="{D4975889-B28E-4C73-8219-54C8605A8A4B}">
      <dgm:prSet/>
      <dgm:spPr/>
      <dgm:t>
        <a:bodyPr/>
        <a:lstStyle/>
        <a:p>
          <a:endParaRPr lang="en-US" sz="1000" b="1"/>
        </a:p>
      </dgm:t>
    </dgm:pt>
    <dgm:pt modelId="{750FECE6-BA1B-464D-BCD5-37BFA09132F9}" type="sibTrans" cxnId="{D4975889-B28E-4C73-8219-54C8605A8A4B}">
      <dgm:prSet/>
      <dgm:spPr/>
      <dgm:t>
        <a:bodyPr/>
        <a:lstStyle/>
        <a:p>
          <a:endParaRPr lang="en-US"/>
        </a:p>
      </dgm:t>
    </dgm:pt>
    <dgm:pt modelId="{7DE250CE-7C2C-493E-B4F9-C2E21C8A410E}">
      <dgm:prSet custT="1"/>
      <dgm:spPr>
        <a:ln>
          <a:noFill/>
        </a:ln>
      </dgm:spPr>
      <dgm:t>
        <a:bodyPr/>
        <a:lstStyle/>
        <a:p>
          <a:r>
            <a:rPr lang="en-US" sz="800" b="1"/>
            <a:t>Dust</a:t>
          </a:r>
        </a:p>
      </dgm:t>
    </dgm:pt>
    <dgm:pt modelId="{29CB437B-11C0-44A0-A142-48F6DF6E4ACB}" type="parTrans" cxnId="{292AE82C-0DFB-4D11-84A3-F3C483EC7151}">
      <dgm:prSet/>
      <dgm:spPr/>
      <dgm:t>
        <a:bodyPr/>
        <a:lstStyle/>
        <a:p>
          <a:endParaRPr lang="en-US" sz="1000" b="1"/>
        </a:p>
      </dgm:t>
    </dgm:pt>
    <dgm:pt modelId="{F6650228-FD5D-44A6-AC67-4B49C4ED50D5}" type="sibTrans" cxnId="{292AE82C-0DFB-4D11-84A3-F3C483EC7151}">
      <dgm:prSet/>
      <dgm:spPr/>
      <dgm:t>
        <a:bodyPr/>
        <a:lstStyle/>
        <a:p>
          <a:endParaRPr lang="en-US"/>
        </a:p>
      </dgm:t>
    </dgm:pt>
    <dgm:pt modelId="{9DC1473D-399F-4711-B62C-5C4C1CB52BA3}">
      <dgm:prSet custT="1"/>
      <dgm:spPr>
        <a:ln>
          <a:noFill/>
        </a:ln>
      </dgm:spPr>
      <dgm:t>
        <a:bodyPr/>
        <a:lstStyle/>
        <a:p>
          <a:r>
            <a:rPr lang="en-US" sz="800" b="1"/>
            <a:t>Traffic</a:t>
          </a:r>
        </a:p>
      </dgm:t>
    </dgm:pt>
    <dgm:pt modelId="{C31E67BB-1C3B-4ADA-B02A-BE8704E1F670}" type="parTrans" cxnId="{6D601C3C-B831-4756-86C0-82E960B9DD61}">
      <dgm:prSet/>
      <dgm:spPr/>
      <dgm:t>
        <a:bodyPr/>
        <a:lstStyle/>
        <a:p>
          <a:endParaRPr lang="en-US" sz="1000" b="1"/>
        </a:p>
      </dgm:t>
    </dgm:pt>
    <dgm:pt modelId="{4D84A79F-D61B-4DF8-915D-FE386CDA512C}" type="sibTrans" cxnId="{6D601C3C-B831-4756-86C0-82E960B9DD61}">
      <dgm:prSet/>
      <dgm:spPr/>
      <dgm:t>
        <a:bodyPr/>
        <a:lstStyle/>
        <a:p>
          <a:endParaRPr lang="en-US"/>
        </a:p>
      </dgm:t>
    </dgm:pt>
    <dgm:pt modelId="{7AB3AC0E-114B-40DF-98E8-23052373698E}">
      <dgm:prSet custT="1"/>
      <dgm:spPr>
        <a:ln>
          <a:noFill/>
        </a:ln>
      </dgm:spPr>
      <dgm:t>
        <a:bodyPr/>
        <a:lstStyle/>
        <a:p>
          <a:r>
            <a:rPr lang="en-US" sz="800" b="1"/>
            <a:t>Visual</a:t>
          </a:r>
        </a:p>
      </dgm:t>
    </dgm:pt>
    <dgm:pt modelId="{5E4DF5FD-83E1-4DA7-AAFD-F9CE28420989}" type="parTrans" cxnId="{E23DDF03-3DB9-4E46-8841-9F8E6C794AAF}">
      <dgm:prSet/>
      <dgm:spPr/>
      <dgm:t>
        <a:bodyPr/>
        <a:lstStyle/>
        <a:p>
          <a:endParaRPr lang="en-US" sz="1000" b="1"/>
        </a:p>
      </dgm:t>
    </dgm:pt>
    <dgm:pt modelId="{871F76BF-5364-4043-84D3-E21C24B91E5F}" type="sibTrans" cxnId="{E23DDF03-3DB9-4E46-8841-9F8E6C794AAF}">
      <dgm:prSet/>
      <dgm:spPr/>
      <dgm:t>
        <a:bodyPr/>
        <a:lstStyle/>
        <a:p>
          <a:endParaRPr lang="en-US"/>
        </a:p>
      </dgm:t>
    </dgm:pt>
    <dgm:pt modelId="{AE90CE70-1BC6-4A8D-B6D1-78B1D94190B0}">
      <dgm:prSet phldrT="[Text]" custT="1"/>
      <dgm:spPr>
        <a:ln>
          <a:noFill/>
        </a:ln>
      </dgm:spPr>
      <dgm:t>
        <a:bodyPr/>
        <a:lstStyle/>
        <a:p>
          <a:r>
            <a:rPr lang="en-US" sz="1000" b="1"/>
            <a:t>Public Engagement </a:t>
          </a:r>
        </a:p>
      </dgm:t>
    </dgm:pt>
    <dgm:pt modelId="{FBC5A526-5614-4D6F-857A-C458AC1397EF}" type="parTrans" cxnId="{1B88D362-4611-4D47-97C5-FC3CA36D1FD0}">
      <dgm:prSet/>
      <dgm:spPr/>
      <dgm:t>
        <a:bodyPr/>
        <a:lstStyle/>
        <a:p>
          <a:endParaRPr lang="en-US" sz="1000" b="1"/>
        </a:p>
      </dgm:t>
    </dgm:pt>
    <dgm:pt modelId="{9AD8143B-0E20-4627-868C-03A79E7926AC}" type="sibTrans" cxnId="{1B88D362-4611-4D47-97C5-FC3CA36D1FD0}">
      <dgm:prSet/>
      <dgm:spPr/>
      <dgm:t>
        <a:bodyPr/>
        <a:lstStyle/>
        <a:p>
          <a:endParaRPr lang="en-US"/>
        </a:p>
      </dgm:t>
    </dgm:pt>
    <dgm:pt modelId="{2400D4D7-CF12-404F-8D5C-20FFF2B36B8A}">
      <dgm:prSet phldrT="[Text]" custT="1"/>
      <dgm:spPr>
        <a:ln>
          <a:noFill/>
        </a:ln>
      </dgm:spPr>
      <dgm:t>
        <a:bodyPr/>
        <a:lstStyle/>
        <a:p>
          <a:r>
            <a:rPr lang="en-US" sz="800" b="1"/>
            <a:t>Land/Soil</a:t>
          </a:r>
        </a:p>
      </dgm:t>
    </dgm:pt>
    <dgm:pt modelId="{47E93154-7F85-440B-AD97-8CE88E61FBD2}" type="parTrans" cxnId="{44BC76BF-9312-40B7-80CF-6EBE5009B7F8}">
      <dgm:prSet/>
      <dgm:spPr/>
      <dgm:t>
        <a:bodyPr/>
        <a:lstStyle/>
        <a:p>
          <a:endParaRPr lang="en-US"/>
        </a:p>
      </dgm:t>
    </dgm:pt>
    <dgm:pt modelId="{A4CB4C28-67EA-4D7C-B5A7-A6DF3B9BB06B}" type="sibTrans" cxnId="{44BC76BF-9312-40B7-80CF-6EBE5009B7F8}">
      <dgm:prSet/>
      <dgm:spPr/>
      <dgm:t>
        <a:bodyPr/>
        <a:lstStyle/>
        <a:p>
          <a:endParaRPr lang="en-US"/>
        </a:p>
      </dgm:t>
    </dgm:pt>
    <dgm:pt modelId="{D08AB2CA-A085-44D5-8CCB-7592D640DC08}" type="pres">
      <dgm:prSet presAssocID="{C4C2911D-3996-4600-ACA5-2A248B290449}" presName="hierChild1" presStyleCnt="0">
        <dgm:presLayoutVars>
          <dgm:orgChart val="1"/>
          <dgm:chPref val="1"/>
          <dgm:dir/>
          <dgm:animOne val="branch"/>
          <dgm:animLvl val="lvl"/>
          <dgm:resizeHandles/>
        </dgm:presLayoutVars>
      </dgm:prSet>
      <dgm:spPr/>
      <dgm:t>
        <a:bodyPr/>
        <a:lstStyle/>
        <a:p>
          <a:endParaRPr lang="en-US"/>
        </a:p>
      </dgm:t>
    </dgm:pt>
    <dgm:pt modelId="{FD8EF2D6-4B8D-4970-8B6D-DE0B0528CCB7}" type="pres">
      <dgm:prSet presAssocID="{4A632E9F-CA01-4B38-BBBC-D1AEED09B238}" presName="hierRoot1" presStyleCnt="0">
        <dgm:presLayoutVars>
          <dgm:hierBranch val="init"/>
        </dgm:presLayoutVars>
      </dgm:prSet>
      <dgm:spPr/>
    </dgm:pt>
    <dgm:pt modelId="{56C9BB59-46C3-44B7-A245-0B7F9ED3D8FC}" type="pres">
      <dgm:prSet presAssocID="{4A632E9F-CA01-4B38-BBBC-D1AEED09B238}" presName="rootComposite1" presStyleCnt="0"/>
      <dgm:spPr/>
    </dgm:pt>
    <dgm:pt modelId="{A47E2B03-02FB-4A2F-A671-9BD5B7D5089B}" type="pres">
      <dgm:prSet presAssocID="{4A632E9F-CA01-4B38-BBBC-D1AEED09B238}" presName="rootText1" presStyleLbl="node0" presStyleIdx="0" presStyleCnt="1" custScaleX="133100" custScaleY="133100">
        <dgm:presLayoutVars>
          <dgm:chPref val="3"/>
        </dgm:presLayoutVars>
      </dgm:prSet>
      <dgm:spPr/>
      <dgm:t>
        <a:bodyPr/>
        <a:lstStyle/>
        <a:p>
          <a:endParaRPr lang="en-US"/>
        </a:p>
      </dgm:t>
    </dgm:pt>
    <dgm:pt modelId="{BB07F2EA-2AB5-4169-810B-2CE4A47E38EE}" type="pres">
      <dgm:prSet presAssocID="{4A632E9F-CA01-4B38-BBBC-D1AEED09B238}" presName="rootConnector1" presStyleLbl="node1" presStyleIdx="0" presStyleCnt="0"/>
      <dgm:spPr/>
      <dgm:t>
        <a:bodyPr/>
        <a:lstStyle/>
        <a:p>
          <a:endParaRPr lang="en-US"/>
        </a:p>
      </dgm:t>
    </dgm:pt>
    <dgm:pt modelId="{5DC022D6-BF71-470B-B87D-97A909296ED0}" type="pres">
      <dgm:prSet presAssocID="{4A632E9F-CA01-4B38-BBBC-D1AEED09B238}" presName="hierChild2" presStyleCnt="0"/>
      <dgm:spPr/>
    </dgm:pt>
    <dgm:pt modelId="{56123A4E-8353-4471-8A96-8E5EA4E49438}" type="pres">
      <dgm:prSet presAssocID="{E6AAA51F-7324-4D8A-B7B3-33ACED521A1B}" presName="Name37" presStyleLbl="parChTrans1D2" presStyleIdx="0" presStyleCnt="3"/>
      <dgm:spPr/>
      <dgm:t>
        <a:bodyPr/>
        <a:lstStyle/>
        <a:p>
          <a:endParaRPr lang="en-US"/>
        </a:p>
      </dgm:t>
    </dgm:pt>
    <dgm:pt modelId="{43BDD859-794D-4C7D-A881-BCA584F3CB54}" type="pres">
      <dgm:prSet presAssocID="{33702F50-0D8D-40F8-98B7-9E2878C7F0D1}" presName="hierRoot2" presStyleCnt="0">
        <dgm:presLayoutVars>
          <dgm:hierBranch val="init"/>
        </dgm:presLayoutVars>
      </dgm:prSet>
      <dgm:spPr/>
    </dgm:pt>
    <dgm:pt modelId="{E9E282C5-D5EC-4989-BAC3-7B5EE6C8B5D2}" type="pres">
      <dgm:prSet presAssocID="{33702F50-0D8D-40F8-98B7-9E2878C7F0D1}" presName="rootComposite" presStyleCnt="0"/>
      <dgm:spPr/>
    </dgm:pt>
    <dgm:pt modelId="{DDF93D61-F0E4-4DE5-B0C8-CD9EBBFFB373}" type="pres">
      <dgm:prSet presAssocID="{33702F50-0D8D-40F8-98B7-9E2878C7F0D1}" presName="rootText" presStyleLbl="node2" presStyleIdx="0" presStyleCnt="3" custScaleX="133100" custScaleY="133100">
        <dgm:presLayoutVars>
          <dgm:chPref val="3"/>
        </dgm:presLayoutVars>
      </dgm:prSet>
      <dgm:spPr/>
      <dgm:t>
        <a:bodyPr/>
        <a:lstStyle/>
        <a:p>
          <a:endParaRPr lang="en-US"/>
        </a:p>
      </dgm:t>
    </dgm:pt>
    <dgm:pt modelId="{A3B3C751-5BF0-4D25-9FFB-4C869D9BE6C3}" type="pres">
      <dgm:prSet presAssocID="{33702F50-0D8D-40F8-98B7-9E2878C7F0D1}" presName="rootConnector" presStyleLbl="node2" presStyleIdx="0" presStyleCnt="3"/>
      <dgm:spPr/>
      <dgm:t>
        <a:bodyPr/>
        <a:lstStyle/>
        <a:p>
          <a:endParaRPr lang="en-US"/>
        </a:p>
      </dgm:t>
    </dgm:pt>
    <dgm:pt modelId="{BDE7A7CC-1200-4FBB-9260-34B31A4E11B1}" type="pres">
      <dgm:prSet presAssocID="{33702F50-0D8D-40F8-98B7-9E2878C7F0D1}" presName="hierChild4" presStyleCnt="0"/>
      <dgm:spPr/>
    </dgm:pt>
    <dgm:pt modelId="{915E4097-DE4F-48C3-895E-52CF0E1AC70F}" type="pres">
      <dgm:prSet presAssocID="{CB7B219B-BC9C-4A1E-AE40-4B7195548E31}" presName="Name37" presStyleLbl="parChTrans1D3" presStyleIdx="0" presStyleCnt="8"/>
      <dgm:spPr/>
      <dgm:t>
        <a:bodyPr/>
        <a:lstStyle/>
        <a:p>
          <a:endParaRPr lang="en-US"/>
        </a:p>
      </dgm:t>
    </dgm:pt>
    <dgm:pt modelId="{7FFA529C-6BCA-4FF4-8951-883C063DCF8B}" type="pres">
      <dgm:prSet presAssocID="{0A6E2B67-45A7-4AD1-B873-5E06ACA3AA78}" presName="hierRoot2" presStyleCnt="0">
        <dgm:presLayoutVars>
          <dgm:hierBranch val="init"/>
        </dgm:presLayoutVars>
      </dgm:prSet>
      <dgm:spPr/>
    </dgm:pt>
    <dgm:pt modelId="{47091CA1-961F-4A2F-9653-2E7D0EAC7825}" type="pres">
      <dgm:prSet presAssocID="{0A6E2B67-45A7-4AD1-B873-5E06ACA3AA78}" presName="rootComposite" presStyleCnt="0"/>
      <dgm:spPr/>
    </dgm:pt>
    <dgm:pt modelId="{8F06BBE7-EBEC-4F2F-90E6-E2C8BA918E65}" type="pres">
      <dgm:prSet presAssocID="{0A6E2B67-45A7-4AD1-B873-5E06ACA3AA78}" presName="rootText" presStyleLbl="node3" presStyleIdx="0" presStyleCnt="8" custScaleX="133100" custScaleY="133100">
        <dgm:presLayoutVars>
          <dgm:chPref val="3"/>
        </dgm:presLayoutVars>
      </dgm:prSet>
      <dgm:spPr/>
      <dgm:t>
        <a:bodyPr/>
        <a:lstStyle/>
        <a:p>
          <a:endParaRPr lang="en-US"/>
        </a:p>
      </dgm:t>
    </dgm:pt>
    <dgm:pt modelId="{02CA2350-E5BF-4221-8929-693761DA207C}" type="pres">
      <dgm:prSet presAssocID="{0A6E2B67-45A7-4AD1-B873-5E06ACA3AA78}" presName="rootConnector" presStyleLbl="node3" presStyleIdx="0" presStyleCnt="8"/>
      <dgm:spPr/>
      <dgm:t>
        <a:bodyPr/>
        <a:lstStyle/>
        <a:p>
          <a:endParaRPr lang="en-US"/>
        </a:p>
      </dgm:t>
    </dgm:pt>
    <dgm:pt modelId="{F55E7B87-D134-4514-8C8D-064AE03C7D9D}" type="pres">
      <dgm:prSet presAssocID="{0A6E2B67-45A7-4AD1-B873-5E06ACA3AA78}" presName="hierChild4" presStyleCnt="0"/>
      <dgm:spPr/>
    </dgm:pt>
    <dgm:pt modelId="{C18C81B5-4BD8-4CE0-BE6A-ED9700EA1596}" type="pres">
      <dgm:prSet presAssocID="{0A6E2B67-45A7-4AD1-B873-5E06ACA3AA78}" presName="hierChild5" presStyleCnt="0"/>
      <dgm:spPr/>
    </dgm:pt>
    <dgm:pt modelId="{D9426C2F-C8AF-449C-A215-9642E4C2D5AC}" type="pres">
      <dgm:prSet presAssocID="{D6316EE9-E58D-4BB3-8D83-459F295A2F79}" presName="Name37" presStyleLbl="parChTrans1D3" presStyleIdx="1" presStyleCnt="8"/>
      <dgm:spPr/>
      <dgm:t>
        <a:bodyPr/>
        <a:lstStyle/>
        <a:p>
          <a:endParaRPr lang="en-US"/>
        </a:p>
      </dgm:t>
    </dgm:pt>
    <dgm:pt modelId="{4FE6E03E-F7EF-4512-BF82-73C8E9626C37}" type="pres">
      <dgm:prSet presAssocID="{766BCFF3-83B7-496C-A15B-C0F28F869C68}" presName="hierRoot2" presStyleCnt="0">
        <dgm:presLayoutVars>
          <dgm:hierBranch val="init"/>
        </dgm:presLayoutVars>
      </dgm:prSet>
      <dgm:spPr/>
    </dgm:pt>
    <dgm:pt modelId="{0E28D805-325F-4248-B01A-72C8BF0F836B}" type="pres">
      <dgm:prSet presAssocID="{766BCFF3-83B7-496C-A15B-C0F28F869C68}" presName="rootComposite" presStyleCnt="0"/>
      <dgm:spPr/>
    </dgm:pt>
    <dgm:pt modelId="{CBD51592-8B7A-4A03-9655-4A5136B29450}" type="pres">
      <dgm:prSet presAssocID="{766BCFF3-83B7-496C-A15B-C0F28F869C68}" presName="rootText" presStyleLbl="node3" presStyleIdx="1" presStyleCnt="8" custScaleX="133100" custScaleY="133100" custLinFactNeighborX="-10800">
        <dgm:presLayoutVars>
          <dgm:chPref val="3"/>
        </dgm:presLayoutVars>
      </dgm:prSet>
      <dgm:spPr/>
      <dgm:t>
        <a:bodyPr/>
        <a:lstStyle/>
        <a:p>
          <a:endParaRPr lang="en-US"/>
        </a:p>
      </dgm:t>
    </dgm:pt>
    <dgm:pt modelId="{FDA48958-368F-49FB-9D0A-C13F9BD9517C}" type="pres">
      <dgm:prSet presAssocID="{766BCFF3-83B7-496C-A15B-C0F28F869C68}" presName="rootConnector" presStyleLbl="node3" presStyleIdx="1" presStyleCnt="8"/>
      <dgm:spPr/>
      <dgm:t>
        <a:bodyPr/>
        <a:lstStyle/>
        <a:p>
          <a:endParaRPr lang="en-US"/>
        </a:p>
      </dgm:t>
    </dgm:pt>
    <dgm:pt modelId="{008E2F72-2823-4AA7-B4AC-29489E71AE30}" type="pres">
      <dgm:prSet presAssocID="{766BCFF3-83B7-496C-A15B-C0F28F869C68}" presName="hierChild4" presStyleCnt="0"/>
      <dgm:spPr/>
    </dgm:pt>
    <dgm:pt modelId="{3BAFDB2E-263B-4460-9A75-A89987043A6C}" type="pres">
      <dgm:prSet presAssocID="{5F01A54A-7232-4FAE-96F4-395EF85240EC}" presName="Name37" presStyleLbl="parChTrans1D4" presStyleIdx="0" presStyleCnt="13"/>
      <dgm:spPr/>
      <dgm:t>
        <a:bodyPr/>
        <a:lstStyle/>
        <a:p>
          <a:endParaRPr lang="en-US"/>
        </a:p>
      </dgm:t>
    </dgm:pt>
    <dgm:pt modelId="{27D5E860-C923-414D-B970-210A2CEFC820}" type="pres">
      <dgm:prSet presAssocID="{42358016-CC8D-4187-893D-A46E3B37D105}" presName="hierRoot2" presStyleCnt="0">
        <dgm:presLayoutVars>
          <dgm:hierBranch val="init"/>
        </dgm:presLayoutVars>
      </dgm:prSet>
      <dgm:spPr/>
    </dgm:pt>
    <dgm:pt modelId="{02CA0B9B-C767-4901-8B9A-0A6E4E269C32}" type="pres">
      <dgm:prSet presAssocID="{42358016-CC8D-4187-893D-A46E3B37D105}" presName="rootComposite" presStyleCnt="0"/>
      <dgm:spPr/>
    </dgm:pt>
    <dgm:pt modelId="{C5CF7D9E-EB83-4274-AAC2-76B5FDC395A5}" type="pres">
      <dgm:prSet presAssocID="{42358016-CC8D-4187-893D-A46E3B37D105}" presName="rootText" presStyleLbl="node4" presStyleIdx="0" presStyleCnt="13" custScaleX="133100" custScaleY="133100" custLinFactNeighborX="-20400">
        <dgm:presLayoutVars>
          <dgm:chPref val="3"/>
        </dgm:presLayoutVars>
      </dgm:prSet>
      <dgm:spPr/>
      <dgm:t>
        <a:bodyPr/>
        <a:lstStyle/>
        <a:p>
          <a:endParaRPr lang="en-US"/>
        </a:p>
      </dgm:t>
    </dgm:pt>
    <dgm:pt modelId="{D800451E-D1C5-4262-AB3F-F5BB903430EB}" type="pres">
      <dgm:prSet presAssocID="{42358016-CC8D-4187-893D-A46E3B37D105}" presName="rootConnector" presStyleLbl="node4" presStyleIdx="0" presStyleCnt="13"/>
      <dgm:spPr/>
      <dgm:t>
        <a:bodyPr/>
        <a:lstStyle/>
        <a:p>
          <a:endParaRPr lang="en-US"/>
        </a:p>
      </dgm:t>
    </dgm:pt>
    <dgm:pt modelId="{7C784160-85AC-4238-9739-E066F2B4DA2C}" type="pres">
      <dgm:prSet presAssocID="{42358016-CC8D-4187-893D-A46E3B37D105}" presName="hierChild4" presStyleCnt="0"/>
      <dgm:spPr/>
    </dgm:pt>
    <dgm:pt modelId="{BD65E02B-8399-4619-8433-D37B45F80888}" type="pres">
      <dgm:prSet presAssocID="{42358016-CC8D-4187-893D-A46E3B37D105}" presName="hierChild5" presStyleCnt="0"/>
      <dgm:spPr/>
    </dgm:pt>
    <dgm:pt modelId="{6E03F8FC-BF57-40B0-A0A4-6EE3D0A44E61}" type="pres">
      <dgm:prSet presAssocID="{B98D8532-DB8F-44B7-8496-2A67DB116BAD}" presName="Name37" presStyleLbl="parChTrans1D4" presStyleIdx="1" presStyleCnt="13"/>
      <dgm:spPr/>
      <dgm:t>
        <a:bodyPr/>
        <a:lstStyle/>
        <a:p>
          <a:endParaRPr lang="en-US"/>
        </a:p>
      </dgm:t>
    </dgm:pt>
    <dgm:pt modelId="{005B80D5-7844-4D83-AC83-BE51AC6C1052}" type="pres">
      <dgm:prSet presAssocID="{63E2331F-AA24-4ADD-B0A2-E1CB625866D2}" presName="hierRoot2" presStyleCnt="0">
        <dgm:presLayoutVars>
          <dgm:hierBranch val="init"/>
        </dgm:presLayoutVars>
      </dgm:prSet>
      <dgm:spPr/>
    </dgm:pt>
    <dgm:pt modelId="{B2EE7208-105F-43F2-8B10-8CE888193569}" type="pres">
      <dgm:prSet presAssocID="{63E2331F-AA24-4ADD-B0A2-E1CB625866D2}" presName="rootComposite" presStyleCnt="0"/>
      <dgm:spPr/>
    </dgm:pt>
    <dgm:pt modelId="{784F3322-5337-48A9-BC08-05306E8073BC}" type="pres">
      <dgm:prSet presAssocID="{63E2331F-AA24-4ADD-B0A2-E1CB625866D2}" presName="rootText" presStyleLbl="node4" presStyleIdx="1" presStyleCnt="13" custScaleX="133100" custScaleY="133100" custLinFactNeighborX="-20400">
        <dgm:presLayoutVars>
          <dgm:chPref val="3"/>
        </dgm:presLayoutVars>
      </dgm:prSet>
      <dgm:spPr/>
      <dgm:t>
        <a:bodyPr/>
        <a:lstStyle/>
        <a:p>
          <a:endParaRPr lang="en-US"/>
        </a:p>
      </dgm:t>
    </dgm:pt>
    <dgm:pt modelId="{AEA9D40C-1FBF-4FF3-ACFC-98C0DAD01758}" type="pres">
      <dgm:prSet presAssocID="{63E2331F-AA24-4ADD-B0A2-E1CB625866D2}" presName="rootConnector" presStyleLbl="node4" presStyleIdx="1" presStyleCnt="13"/>
      <dgm:spPr/>
      <dgm:t>
        <a:bodyPr/>
        <a:lstStyle/>
        <a:p>
          <a:endParaRPr lang="en-US"/>
        </a:p>
      </dgm:t>
    </dgm:pt>
    <dgm:pt modelId="{B480DF14-4E2C-4F5D-8D58-B34E65085AB7}" type="pres">
      <dgm:prSet presAssocID="{63E2331F-AA24-4ADD-B0A2-E1CB625866D2}" presName="hierChild4" presStyleCnt="0"/>
      <dgm:spPr/>
    </dgm:pt>
    <dgm:pt modelId="{D43F060F-1024-48A6-B2F0-27771DD9A900}" type="pres">
      <dgm:prSet presAssocID="{63E2331F-AA24-4ADD-B0A2-E1CB625866D2}" presName="hierChild5" presStyleCnt="0"/>
      <dgm:spPr/>
    </dgm:pt>
    <dgm:pt modelId="{19C0768C-0F40-4597-AD8D-DCE702D9031E}" type="pres">
      <dgm:prSet presAssocID="{4C384DE9-DEC6-480F-8F41-D0D62F00CDA0}" presName="Name37" presStyleLbl="parChTrans1D4" presStyleIdx="2" presStyleCnt="13"/>
      <dgm:spPr/>
      <dgm:t>
        <a:bodyPr/>
        <a:lstStyle/>
        <a:p>
          <a:endParaRPr lang="en-US"/>
        </a:p>
      </dgm:t>
    </dgm:pt>
    <dgm:pt modelId="{E7DF528C-9A00-4F8D-92D4-A8D6DE5F653F}" type="pres">
      <dgm:prSet presAssocID="{A04D9F54-3B04-4C54-8282-DE3F0C06CA5B}" presName="hierRoot2" presStyleCnt="0">
        <dgm:presLayoutVars>
          <dgm:hierBranch val="init"/>
        </dgm:presLayoutVars>
      </dgm:prSet>
      <dgm:spPr/>
    </dgm:pt>
    <dgm:pt modelId="{4CEDCF3A-545D-4CCD-9A18-7312B4E166D1}" type="pres">
      <dgm:prSet presAssocID="{A04D9F54-3B04-4C54-8282-DE3F0C06CA5B}" presName="rootComposite" presStyleCnt="0"/>
      <dgm:spPr/>
    </dgm:pt>
    <dgm:pt modelId="{FC432D72-2177-4EF7-BF10-0C7A3802437A}" type="pres">
      <dgm:prSet presAssocID="{A04D9F54-3B04-4C54-8282-DE3F0C06CA5B}" presName="rootText" presStyleLbl="node4" presStyleIdx="2" presStyleCnt="13" custScaleX="133100" custScaleY="133100" custLinFactNeighborX="-20400">
        <dgm:presLayoutVars>
          <dgm:chPref val="3"/>
        </dgm:presLayoutVars>
      </dgm:prSet>
      <dgm:spPr/>
      <dgm:t>
        <a:bodyPr/>
        <a:lstStyle/>
        <a:p>
          <a:endParaRPr lang="en-US"/>
        </a:p>
      </dgm:t>
    </dgm:pt>
    <dgm:pt modelId="{1EB11D07-47F4-45CC-BFB3-1053F265C59D}" type="pres">
      <dgm:prSet presAssocID="{A04D9F54-3B04-4C54-8282-DE3F0C06CA5B}" presName="rootConnector" presStyleLbl="node4" presStyleIdx="2" presStyleCnt="13"/>
      <dgm:spPr/>
      <dgm:t>
        <a:bodyPr/>
        <a:lstStyle/>
        <a:p>
          <a:endParaRPr lang="en-US"/>
        </a:p>
      </dgm:t>
    </dgm:pt>
    <dgm:pt modelId="{83DC92C2-FD9A-4D42-8259-6E133334750D}" type="pres">
      <dgm:prSet presAssocID="{A04D9F54-3B04-4C54-8282-DE3F0C06CA5B}" presName="hierChild4" presStyleCnt="0"/>
      <dgm:spPr/>
    </dgm:pt>
    <dgm:pt modelId="{627FEACF-D432-4D67-AA95-98E0DCDB195A}" type="pres">
      <dgm:prSet presAssocID="{A04D9F54-3B04-4C54-8282-DE3F0C06CA5B}" presName="hierChild5" presStyleCnt="0"/>
      <dgm:spPr/>
    </dgm:pt>
    <dgm:pt modelId="{E44106F7-1903-4348-A4C8-C6583BE9AC37}" type="pres">
      <dgm:prSet presAssocID="{766BCFF3-83B7-496C-A15B-C0F28F869C68}" presName="hierChild5" presStyleCnt="0"/>
      <dgm:spPr/>
    </dgm:pt>
    <dgm:pt modelId="{490EAAF3-87A4-4DA2-A5AF-75DB0720D824}" type="pres">
      <dgm:prSet presAssocID="{33702F50-0D8D-40F8-98B7-9E2878C7F0D1}" presName="hierChild5" presStyleCnt="0"/>
      <dgm:spPr/>
    </dgm:pt>
    <dgm:pt modelId="{AD1101D6-8E64-4CE9-8556-42994709CF26}" type="pres">
      <dgm:prSet presAssocID="{74EA7787-D40E-489C-B9A0-677C302F91C2}" presName="Name37" presStyleLbl="parChTrans1D2" presStyleIdx="1" presStyleCnt="3"/>
      <dgm:spPr/>
      <dgm:t>
        <a:bodyPr/>
        <a:lstStyle/>
        <a:p>
          <a:endParaRPr lang="en-US"/>
        </a:p>
      </dgm:t>
    </dgm:pt>
    <dgm:pt modelId="{C102E36D-A16E-4ADA-AB02-BD196D8A7AC9}" type="pres">
      <dgm:prSet presAssocID="{1ACD89F7-7A7E-49AA-99E5-5E1F43F9C0C3}" presName="hierRoot2" presStyleCnt="0">
        <dgm:presLayoutVars>
          <dgm:hierBranch val="init"/>
        </dgm:presLayoutVars>
      </dgm:prSet>
      <dgm:spPr/>
    </dgm:pt>
    <dgm:pt modelId="{5ECF0DAA-E544-436A-BA46-FF5DC4CF7679}" type="pres">
      <dgm:prSet presAssocID="{1ACD89F7-7A7E-49AA-99E5-5E1F43F9C0C3}" presName="rootComposite" presStyleCnt="0"/>
      <dgm:spPr/>
    </dgm:pt>
    <dgm:pt modelId="{E70D6F0E-32A6-44F5-AF06-91FEA3EDAE30}" type="pres">
      <dgm:prSet presAssocID="{1ACD89F7-7A7E-49AA-99E5-5E1F43F9C0C3}" presName="rootText" presStyleLbl="node2" presStyleIdx="1" presStyleCnt="3" custScaleX="133100" custScaleY="133100" custLinFactNeighborX="-6000">
        <dgm:presLayoutVars>
          <dgm:chPref val="3"/>
        </dgm:presLayoutVars>
      </dgm:prSet>
      <dgm:spPr/>
      <dgm:t>
        <a:bodyPr/>
        <a:lstStyle/>
        <a:p>
          <a:endParaRPr lang="en-US"/>
        </a:p>
      </dgm:t>
    </dgm:pt>
    <dgm:pt modelId="{044332DE-6523-46D1-9BD1-B918F972E536}" type="pres">
      <dgm:prSet presAssocID="{1ACD89F7-7A7E-49AA-99E5-5E1F43F9C0C3}" presName="rootConnector" presStyleLbl="node2" presStyleIdx="1" presStyleCnt="3"/>
      <dgm:spPr/>
      <dgm:t>
        <a:bodyPr/>
        <a:lstStyle/>
        <a:p>
          <a:endParaRPr lang="en-US"/>
        </a:p>
      </dgm:t>
    </dgm:pt>
    <dgm:pt modelId="{25B296B7-F772-40FA-8B9A-02BECC4C53F2}" type="pres">
      <dgm:prSet presAssocID="{1ACD89F7-7A7E-49AA-99E5-5E1F43F9C0C3}" presName="hierChild4" presStyleCnt="0"/>
      <dgm:spPr/>
    </dgm:pt>
    <dgm:pt modelId="{2CA96FED-ED30-49B5-8ED7-0C10C7F86968}" type="pres">
      <dgm:prSet presAssocID="{4E3E4C07-164D-4E26-B8B5-9C5C6E8C0F04}" presName="Name37" presStyleLbl="parChTrans1D3" presStyleIdx="2" presStyleCnt="8"/>
      <dgm:spPr/>
      <dgm:t>
        <a:bodyPr/>
        <a:lstStyle/>
        <a:p>
          <a:endParaRPr lang="en-US"/>
        </a:p>
      </dgm:t>
    </dgm:pt>
    <dgm:pt modelId="{D14BF760-45F9-4A56-98CC-DF3D905734FF}" type="pres">
      <dgm:prSet presAssocID="{F2622D98-8EA0-4726-9904-073D750E15B4}" presName="hierRoot2" presStyleCnt="0">
        <dgm:presLayoutVars>
          <dgm:hierBranch val="init"/>
        </dgm:presLayoutVars>
      </dgm:prSet>
      <dgm:spPr/>
    </dgm:pt>
    <dgm:pt modelId="{B3F5293C-F2DD-4DDB-AC5D-302931DAB7C9}" type="pres">
      <dgm:prSet presAssocID="{F2622D98-8EA0-4726-9904-073D750E15B4}" presName="rootComposite" presStyleCnt="0"/>
      <dgm:spPr/>
    </dgm:pt>
    <dgm:pt modelId="{18987297-4384-4D86-BF70-2A5B7874E143}" type="pres">
      <dgm:prSet presAssocID="{F2622D98-8EA0-4726-9904-073D750E15B4}" presName="rootText" presStyleLbl="node3" presStyleIdx="2" presStyleCnt="8" custScaleX="133100" custScaleY="133100" custLinFactNeighborX="-10800">
        <dgm:presLayoutVars>
          <dgm:chPref val="3"/>
        </dgm:presLayoutVars>
      </dgm:prSet>
      <dgm:spPr/>
      <dgm:t>
        <a:bodyPr/>
        <a:lstStyle/>
        <a:p>
          <a:endParaRPr lang="en-US"/>
        </a:p>
      </dgm:t>
    </dgm:pt>
    <dgm:pt modelId="{E92138E3-A193-4570-8A9D-1F23EEF68BA6}" type="pres">
      <dgm:prSet presAssocID="{F2622D98-8EA0-4726-9904-073D750E15B4}" presName="rootConnector" presStyleLbl="node3" presStyleIdx="2" presStyleCnt="8"/>
      <dgm:spPr/>
      <dgm:t>
        <a:bodyPr/>
        <a:lstStyle/>
        <a:p>
          <a:endParaRPr lang="en-US"/>
        </a:p>
      </dgm:t>
    </dgm:pt>
    <dgm:pt modelId="{2297304F-25FE-4929-97E5-E04502DA0015}" type="pres">
      <dgm:prSet presAssocID="{F2622D98-8EA0-4726-9904-073D750E15B4}" presName="hierChild4" presStyleCnt="0"/>
      <dgm:spPr/>
    </dgm:pt>
    <dgm:pt modelId="{D367F06C-3A3F-45CA-A1CF-5C7445D2B417}" type="pres">
      <dgm:prSet presAssocID="{5BF4F84D-34F0-4674-BDBC-49060535982C}" presName="Name37" presStyleLbl="parChTrans1D4" presStyleIdx="3" presStyleCnt="13"/>
      <dgm:spPr/>
      <dgm:t>
        <a:bodyPr/>
        <a:lstStyle/>
        <a:p>
          <a:endParaRPr lang="en-US"/>
        </a:p>
      </dgm:t>
    </dgm:pt>
    <dgm:pt modelId="{0321716F-F909-4670-9A82-3DE5E5EB1EC3}" type="pres">
      <dgm:prSet presAssocID="{EDE9A722-61D5-4D3C-A709-28FF1086E0A8}" presName="hierRoot2" presStyleCnt="0">
        <dgm:presLayoutVars>
          <dgm:hierBranch val="init"/>
        </dgm:presLayoutVars>
      </dgm:prSet>
      <dgm:spPr/>
    </dgm:pt>
    <dgm:pt modelId="{082635EA-7259-40EC-8B74-1F773401FD42}" type="pres">
      <dgm:prSet presAssocID="{EDE9A722-61D5-4D3C-A709-28FF1086E0A8}" presName="rootComposite" presStyleCnt="0"/>
      <dgm:spPr/>
    </dgm:pt>
    <dgm:pt modelId="{3E687EE5-37AE-4DB8-AAE2-BF630A20AE39}" type="pres">
      <dgm:prSet presAssocID="{EDE9A722-61D5-4D3C-A709-28FF1086E0A8}" presName="rootText" presStyleLbl="node4" presStyleIdx="3" presStyleCnt="13" custScaleX="133100" custScaleY="133100" custLinFactNeighborX="-16800">
        <dgm:presLayoutVars>
          <dgm:chPref val="3"/>
        </dgm:presLayoutVars>
      </dgm:prSet>
      <dgm:spPr/>
      <dgm:t>
        <a:bodyPr/>
        <a:lstStyle/>
        <a:p>
          <a:endParaRPr lang="en-US"/>
        </a:p>
      </dgm:t>
    </dgm:pt>
    <dgm:pt modelId="{1AE19E34-2C6C-40CF-8DB6-D453D150FCB9}" type="pres">
      <dgm:prSet presAssocID="{EDE9A722-61D5-4D3C-A709-28FF1086E0A8}" presName="rootConnector" presStyleLbl="node4" presStyleIdx="3" presStyleCnt="13"/>
      <dgm:spPr/>
      <dgm:t>
        <a:bodyPr/>
        <a:lstStyle/>
        <a:p>
          <a:endParaRPr lang="en-US"/>
        </a:p>
      </dgm:t>
    </dgm:pt>
    <dgm:pt modelId="{5E445187-802F-4023-851B-A4449452CD27}" type="pres">
      <dgm:prSet presAssocID="{EDE9A722-61D5-4D3C-A709-28FF1086E0A8}" presName="hierChild4" presStyleCnt="0"/>
      <dgm:spPr/>
    </dgm:pt>
    <dgm:pt modelId="{F5C443A7-3FC7-47D3-B6C4-F9690BA4A34A}" type="pres">
      <dgm:prSet presAssocID="{EDE9A722-61D5-4D3C-A709-28FF1086E0A8}" presName="hierChild5" presStyleCnt="0"/>
      <dgm:spPr/>
    </dgm:pt>
    <dgm:pt modelId="{D52F8A09-CC4E-4DA7-8941-6B1C0DBE58C3}" type="pres">
      <dgm:prSet presAssocID="{0BBBCB2D-C9A4-4AD5-B990-C2669CAF1B33}" presName="Name37" presStyleLbl="parChTrans1D4" presStyleIdx="4" presStyleCnt="13"/>
      <dgm:spPr/>
      <dgm:t>
        <a:bodyPr/>
        <a:lstStyle/>
        <a:p>
          <a:endParaRPr lang="en-US"/>
        </a:p>
      </dgm:t>
    </dgm:pt>
    <dgm:pt modelId="{3C536DDB-57FF-47F5-8FF9-8C42DA8E5F3F}" type="pres">
      <dgm:prSet presAssocID="{7A744635-266F-4905-BECC-F5E3B9313C24}" presName="hierRoot2" presStyleCnt="0">
        <dgm:presLayoutVars>
          <dgm:hierBranch val="init"/>
        </dgm:presLayoutVars>
      </dgm:prSet>
      <dgm:spPr/>
    </dgm:pt>
    <dgm:pt modelId="{8A5C0927-46EE-4601-B094-DF16D2910165}" type="pres">
      <dgm:prSet presAssocID="{7A744635-266F-4905-BECC-F5E3B9313C24}" presName="rootComposite" presStyleCnt="0"/>
      <dgm:spPr/>
    </dgm:pt>
    <dgm:pt modelId="{10F2E8FD-7E4B-4078-86BB-1684D3AAAD0F}" type="pres">
      <dgm:prSet presAssocID="{7A744635-266F-4905-BECC-F5E3B9313C24}" presName="rootText" presStyleLbl="node4" presStyleIdx="4" presStyleCnt="13" custScaleX="133100" custScaleY="133100" custLinFactNeighborX="-16800">
        <dgm:presLayoutVars>
          <dgm:chPref val="3"/>
        </dgm:presLayoutVars>
      </dgm:prSet>
      <dgm:spPr/>
      <dgm:t>
        <a:bodyPr/>
        <a:lstStyle/>
        <a:p>
          <a:endParaRPr lang="en-US"/>
        </a:p>
      </dgm:t>
    </dgm:pt>
    <dgm:pt modelId="{22563636-D78A-40E7-A15D-4A9074A1BC71}" type="pres">
      <dgm:prSet presAssocID="{7A744635-266F-4905-BECC-F5E3B9313C24}" presName="rootConnector" presStyleLbl="node4" presStyleIdx="4" presStyleCnt="13"/>
      <dgm:spPr/>
      <dgm:t>
        <a:bodyPr/>
        <a:lstStyle/>
        <a:p>
          <a:endParaRPr lang="en-US"/>
        </a:p>
      </dgm:t>
    </dgm:pt>
    <dgm:pt modelId="{72190995-105C-40EA-A473-1464FE18CCE4}" type="pres">
      <dgm:prSet presAssocID="{7A744635-266F-4905-BECC-F5E3B9313C24}" presName="hierChild4" presStyleCnt="0"/>
      <dgm:spPr/>
    </dgm:pt>
    <dgm:pt modelId="{2E605E57-98E9-4064-88E3-44A73E907965}" type="pres">
      <dgm:prSet presAssocID="{7A744635-266F-4905-BECC-F5E3B9313C24}" presName="hierChild5" presStyleCnt="0"/>
      <dgm:spPr/>
    </dgm:pt>
    <dgm:pt modelId="{BEA138B3-67FF-4BC4-950C-5E90867D6967}" type="pres">
      <dgm:prSet presAssocID="{CE6A3589-4DF9-40C9-9C60-958E44A8BFCB}" presName="Name37" presStyleLbl="parChTrans1D4" presStyleIdx="5" presStyleCnt="13"/>
      <dgm:spPr/>
      <dgm:t>
        <a:bodyPr/>
        <a:lstStyle/>
        <a:p>
          <a:endParaRPr lang="en-US"/>
        </a:p>
      </dgm:t>
    </dgm:pt>
    <dgm:pt modelId="{760B2FA5-83A7-41A3-9608-A6E86B2D0355}" type="pres">
      <dgm:prSet presAssocID="{7294EBF6-3850-4E00-8350-1C45F607DAE9}" presName="hierRoot2" presStyleCnt="0">
        <dgm:presLayoutVars>
          <dgm:hierBranch val="init"/>
        </dgm:presLayoutVars>
      </dgm:prSet>
      <dgm:spPr/>
    </dgm:pt>
    <dgm:pt modelId="{880C1EDA-7BB4-4C2E-A4AF-1D5974F008EB}" type="pres">
      <dgm:prSet presAssocID="{7294EBF6-3850-4E00-8350-1C45F607DAE9}" presName="rootComposite" presStyleCnt="0"/>
      <dgm:spPr/>
    </dgm:pt>
    <dgm:pt modelId="{B9AF1901-A856-4069-9B2B-E443EB355303}" type="pres">
      <dgm:prSet presAssocID="{7294EBF6-3850-4E00-8350-1C45F607DAE9}" presName="rootText" presStyleLbl="node4" presStyleIdx="5" presStyleCnt="13" custScaleX="133100" custScaleY="133100" custLinFactNeighborX="-16800">
        <dgm:presLayoutVars>
          <dgm:chPref val="3"/>
        </dgm:presLayoutVars>
      </dgm:prSet>
      <dgm:spPr/>
      <dgm:t>
        <a:bodyPr/>
        <a:lstStyle/>
        <a:p>
          <a:endParaRPr lang="en-US"/>
        </a:p>
      </dgm:t>
    </dgm:pt>
    <dgm:pt modelId="{84D3B2CF-EEB9-40FB-B739-F50860885659}" type="pres">
      <dgm:prSet presAssocID="{7294EBF6-3850-4E00-8350-1C45F607DAE9}" presName="rootConnector" presStyleLbl="node4" presStyleIdx="5" presStyleCnt="13"/>
      <dgm:spPr/>
      <dgm:t>
        <a:bodyPr/>
        <a:lstStyle/>
        <a:p>
          <a:endParaRPr lang="en-US"/>
        </a:p>
      </dgm:t>
    </dgm:pt>
    <dgm:pt modelId="{F1EBDE76-A28B-4979-B3EE-E394F1B0D550}" type="pres">
      <dgm:prSet presAssocID="{7294EBF6-3850-4E00-8350-1C45F607DAE9}" presName="hierChild4" presStyleCnt="0"/>
      <dgm:spPr/>
    </dgm:pt>
    <dgm:pt modelId="{2133DC5F-96B4-49EF-84BB-777E8037696F}" type="pres">
      <dgm:prSet presAssocID="{7294EBF6-3850-4E00-8350-1C45F607DAE9}" presName="hierChild5" presStyleCnt="0"/>
      <dgm:spPr/>
    </dgm:pt>
    <dgm:pt modelId="{22CF333B-3012-471F-8D1A-1FD3DB1B383A}" type="pres">
      <dgm:prSet presAssocID="{F2622D98-8EA0-4726-9904-073D750E15B4}" presName="hierChild5" presStyleCnt="0"/>
      <dgm:spPr/>
    </dgm:pt>
    <dgm:pt modelId="{9D497B2C-0E58-4431-A104-3361CBEC38D5}" type="pres">
      <dgm:prSet presAssocID="{F1706551-809E-47DA-9A5B-AD8A50C4A84E}" presName="Name37" presStyleLbl="parChTrans1D3" presStyleIdx="3" presStyleCnt="8"/>
      <dgm:spPr/>
      <dgm:t>
        <a:bodyPr/>
        <a:lstStyle/>
        <a:p>
          <a:endParaRPr lang="en-US"/>
        </a:p>
      </dgm:t>
    </dgm:pt>
    <dgm:pt modelId="{21085D1C-D648-4344-BD35-D881DF452522}" type="pres">
      <dgm:prSet presAssocID="{8BD13B37-A196-4519-BE6F-BE7D1BD80B52}" presName="hierRoot2" presStyleCnt="0">
        <dgm:presLayoutVars>
          <dgm:hierBranch val="init"/>
        </dgm:presLayoutVars>
      </dgm:prSet>
      <dgm:spPr/>
    </dgm:pt>
    <dgm:pt modelId="{578C1C3B-B5A4-4E70-9084-C3C4949932E0}" type="pres">
      <dgm:prSet presAssocID="{8BD13B37-A196-4519-BE6F-BE7D1BD80B52}" presName="rootComposite" presStyleCnt="0"/>
      <dgm:spPr/>
    </dgm:pt>
    <dgm:pt modelId="{40C29A57-C1C2-49D0-8878-A6E5F0BE8CB4}" type="pres">
      <dgm:prSet presAssocID="{8BD13B37-A196-4519-BE6F-BE7D1BD80B52}" presName="rootText" presStyleLbl="node3" presStyleIdx="3" presStyleCnt="8" custScaleX="133100" custScaleY="133100" custLinFactNeighborX="-9600">
        <dgm:presLayoutVars>
          <dgm:chPref val="3"/>
        </dgm:presLayoutVars>
      </dgm:prSet>
      <dgm:spPr/>
      <dgm:t>
        <a:bodyPr/>
        <a:lstStyle/>
        <a:p>
          <a:endParaRPr lang="en-US"/>
        </a:p>
      </dgm:t>
    </dgm:pt>
    <dgm:pt modelId="{19F0EA0C-6C0C-42BA-BC77-D89755596647}" type="pres">
      <dgm:prSet presAssocID="{8BD13B37-A196-4519-BE6F-BE7D1BD80B52}" presName="rootConnector" presStyleLbl="node3" presStyleIdx="3" presStyleCnt="8"/>
      <dgm:spPr/>
      <dgm:t>
        <a:bodyPr/>
        <a:lstStyle/>
        <a:p>
          <a:endParaRPr lang="en-US"/>
        </a:p>
      </dgm:t>
    </dgm:pt>
    <dgm:pt modelId="{3DF5E61F-4026-4BE3-9A52-4F3540F6016D}" type="pres">
      <dgm:prSet presAssocID="{8BD13B37-A196-4519-BE6F-BE7D1BD80B52}" presName="hierChild4" presStyleCnt="0"/>
      <dgm:spPr/>
    </dgm:pt>
    <dgm:pt modelId="{01E308CB-94C3-41AE-BC51-6E8A6C8B817E}" type="pres">
      <dgm:prSet presAssocID="{47E93154-7F85-440B-AD97-8CE88E61FBD2}" presName="Name37" presStyleLbl="parChTrans1D4" presStyleIdx="6" presStyleCnt="13"/>
      <dgm:spPr/>
      <dgm:t>
        <a:bodyPr/>
        <a:lstStyle/>
        <a:p>
          <a:endParaRPr lang="en-US"/>
        </a:p>
      </dgm:t>
    </dgm:pt>
    <dgm:pt modelId="{1442BEE7-F021-405F-8CE0-5751ABEA6CB3}" type="pres">
      <dgm:prSet presAssocID="{2400D4D7-CF12-404F-8D5C-20FFF2B36B8A}" presName="hierRoot2" presStyleCnt="0">
        <dgm:presLayoutVars>
          <dgm:hierBranch val="init"/>
        </dgm:presLayoutVars>
      </dgm:prSet>
      <dgm:spPr/>
    </dgm:pt>
    <dgm:pt modelId="{6F6139CC-AE9C-4F8F-936D-610D4900F7E7}" type="pres">
      <dgm:prSet presAssocID="{2400D4D7-CF12-404F-8D5C-20FFF2B36B8A}" presName="rootComposite" presStyleCnt="0"/>
      <dgm:spPr/>
    </dgm:pt>
    <dgm:pt modelId="{883230B4-BF70-4DE2-A1F6-880039D12CD0}" type="pres">
      <dgm:prSet presAssocID="{2400D4D7-CF12-404F-8D5C-20FFF2B36B8A}" presName="rootText" presStyleLbl="node4" presStyleIdx="6" presStyleCnt="13" custScaleX="131942" custScaleY="140232" custLinFactNeighborX="-9036" custLinFactNeighborY="-3484">
        <dgm:presLayoutVars>
          <dgm:chPref val="3"/>
        </dgm:presLayoutVars>
      </dgm:prSet>
      <dgm:spPr/>
      <dgm:t>
        <a:bodyPr/>
        <a:lstStyle/>
        <a:p>
          <a:endParaRPr lang="en-US"/>
        </a:p>
      </dgm:t>
    </dgm:pt>
    <dgm:pt modelId="{9CC32C98-0E71-475C-B7BA-46E7F3A72177}" type="pres">
      <dgm:prSet presAssocID="{2400D4D7-CF12-404F-8D5C-20FFF2B36B8A}" presName="rootConnector" presStyleLbl="node4" presStyleIdx="6" presStyleCnt="13"/>
      <dgm:spPr/>
      <dgm:t>
        <a:bodyPr/>
        <a:lstStyle/>
        <a:p>
          <a:endParaRPr lang="en-US"/>
        </a:p>
      </dgm:t>
    </dgm:pt>
    <dgm:pt modelId="{88060BA3-4EC3-48B3-84FF-B430F4C5990F}" type="pres">
      <dgm:prSet presAssocID="{2400D4D7-CF12-404F-8D5C-20FFF2B36B8A}" presName="hierChild4" presStyleCnt="0"/>
      <dgm:spPr/>
    </dgm:pt>
    <dgm:pt modelId="{D8937611-F37A-4B7A-8918-52B9A7B568CA}" type="pres">
      <dgm:prSet presAssocID="{2400D4D7-CF12-404F-8D5C-20FFF2B36B8A}" presName="hierChild5" presStyleCnt="0"/>
      <dgm:spPr/>
    </dgm:pt>
    <dgm:pt modelId="{C53980E0-303A-48DB-9366-8E3588EDE328}" type="pres">
      <dgm:prSet presAssocID="{0C5489B9-4B3D-4B85-AFA1-2EDB5BAB8D7A}" presName="Name37" presStyleLbl="parChTrans1D4" presStyleIdx="7" presStyleCnt="13"/>
      <dgm:spPr/>
      <dgm:t>
        <a:bodyPr/>
        <a:lstStyle/>
        <a:p>
          <a:endParaRPr lang="en-US"/>
        </a:p>
      </dgm:t>
    </dgm:pt>
    <dgm:pt modelId="{E81946E2-B7E3-4BFA-9836-F6C1EFCFF4A6}" type="pres">
      <dgm:prSet presAssocID="{97C4147D-355B-42C3-A9C1-09C8C8510882}" presName="hierRoot2" presStyleCnt="0">
        <dgm:presLayoutVars>
          <dgm:hierBranch val="init"/>
        </dgm:presLayoutVars>
      </dgm:prSet>
      <dgm:spPr/>
    </dgm:pt>
    <dgm:pt modelId="{1F3124BB-0CF6-4C0A-9C9D-A04B4E982CA7}" type="pres">
      <dgm:prSet presAssocID="{97C4147D-355B-42C3-A9C1-09C8C8510882}" presName="rootComposite" presStyleCnt="0"/>
      <dgm:spPr/>
    </dgm:pt>
    <dgm:pt modelId="{848AAB3A-A2E4-43F2-AD51-BC93B89409A1}" type="pres">
      <dgm:prSet presAssocID="{97C4147D-355B-42C3-A9C1-09C8C8510882}" presName="rootText" presStyleLbl="node4" presStyleIdx="7" presStyleCnt="13" custScaleX="133100" custScaleY="133100" custLinFactNeighborX="-9600">
        <dgm:presLayoutVars>
          <dgm:chPref val="3"/>
        </dgm:presLayoutVars>
      </dgm:prSet>
      <dgm:spPr/>
      <dgm:t>
        <a:bodyPr/>
        <a:lstStyle/>
        <a:p>
          <a:endParaRPr lang="en-US"/>
        </a:p>
      </dgm:t>
    </dgm:pt>
    <dgm:pt modelId="{9E643002-BBC9-496A-8D72-65CDA676A343}" type="pres">
      <dgm:prSet presAssocID="{97C4147D-355B-42C3-A9C1-09C8C8510882}" presName="rootConnector" presStyleLbl="node4" presStyleIdx="7" presStyleCnt="13"/>
      <dgm:spPr/>
      <dgm:t>
        <a:bodyPr/>
        <a:lstStyle/>
        <a:p>
          <a:endParaRPr lang="en-US"/>
        </a:p>
      </dgm:t>
    </dgm:pt>
    <dgm:pt modelId="{C8E351C4-47A0-4AB0-82D5-D00A1E35DD25}" type="pres">
      <dgm:prSet presAssocID="{97C4147D-355B-42C3-A9C1-09C8C8510882}" presName="hierChild4" presStyleCnt="0"/>
      <dgm:spPr/>
    </dgm:pt>
    <dgm:pt modelId="{124DE810-988A-4E1E-9B3B-F144C00AE6C6}" type="pres">
      <dgm:prSet presAssocID="{97C4147D-355B-42C3-A9C1-09C8C8510882}" presName="hierChild5" presStyleCnt="0"/>
      <dgm:spPr/>
    </dgm:pt>
    <dgm:pt modelId="{093B5977-2B4A-48B3-9913-B9C36FFC6C4F}" type="pres">
      <dgm:prSet presAssocID="{51079894-9A00-44A4-8837-751A110772EF}" presName="Name37" presStyleLbl="parChTrans1D4" presStyleIdx="8" presStyleCnt="13"/>
      <dgm:spPr/>
      <dgm:t>
        <a:bodyPr/>
        <a:lstStyle/>
        <a:p>
          <a:endParaRPr lang="en-US"/>
        </a:p>
      </dgm:t>
    </dgm:pt>
    <dgm:pt modelId="{0CA549C2-1538-475A-BCD2-6EDD36BA6E5F}" type="pres">
      <dgm:prSet presAssocID="{CCD2C872-B113-4F6B-A4CD-846A4E9E681A}" presName="hierRoot2" presStyleCnt="0">
        <dgm:presLayoutVars>
          <dgm:hierBranch val="init"/>
        </dgm:presLayoutVars>
      </dgm:prSet>
      <dgm:spPr/>
    </dgm:pt>
    <dgm:pt modelId="{EBDB5E43-F1B3-4482-8D9E-0981DEB8C2C9}" type="pres">
      <dgm:prSet presAssocID="{CCD2C872-B113-4F6B-A4CD-846A4E9E681A}" presName="rootComposite" presStyleCnt="0"/>
      <dgm:spPr/>
    </dgm:pt>
    <dgm:pt modelId="{56B6CC2D-B328-4266-9972-D2951A1308AB}" type="pres">
      <dgm:prSet presAssocID="{CCD2C872-B113-4F6B-A4CD-846A4E9E681A}" presName="rootText" presStyleLbl="node4" presStyleIdx="8" presStyleCnt="13" custScaleX="133100" custScaleY="133100" custLinFactNeighborX="-9600">
        <dgm:presLayoutVars>
          <dgm:chPref val="3"/>
        </dgm:presLayoutVars>
      </dgm:prSet>
      <dgm:spPr/>
      <dgm:t>
        <a:bodyPr/>
        <a:lstStyle/>
        <a:p>
          <a:endParaRPr lang="en-US"/>
        </a:p>
      </dgm:t>
    </dgm:pt>
    <dgm:pt modelId="{4CA1F0F0-B3B6-47EB-928D-B5E845D31B67}" type="pres">
      <dgm:prSet presAssocID="{CCD2C872-B113-4F6B-A4CD-846A4E9E681A}" presName="rootConnector" presStyleLbl="node4" presStyleIdx="8" presStyleCnt="13"/>
      <dgm:spPr/>
      <dgm:t>
        <a:bodyPr/>
        <a:lstStyle/>
        <a:p>
          <a:endParaRPr lang="en-US"/>
        </a:p>
      </dgm:t>
    </dgm:pt>
    <dgm:pt modelId="{A3F84E1D-FC8C-42FD-8410-226777A86877}" type="pres">
      <dgm:prSet presAssocID="{CCD2C872-B113-4F6B-A4CD-846A4E9E681A}" presName="hierChild4" presStyleCnt="0"/>
      <dgm:spPr/>
    </dgm:pt>
    <dgm:pt modelId="{EE87B9CF-48DD-4241-A9CD-C818613B6F98}" type="pres">
      <dgm:prSet presAssocID="{CCD2C872-B113-4F6B-A4CD-846A4E9E681A}" presName="hierChild5" presStyleCnt="0"/>
      <dgm:spPr/>
    </dgm:pt>
    <dgm:pt modelId="{5E273BBA-5537-429F-918B-20C2AD42F88A}" type="pres">
      <dgm:prSet presAssocID="{8BD13B37-A196-4519-BE6F-BE7D1BD80B52}" presName="hierChild5" presStyleCnt="0"/>
      <dgm:spPr/>
    </dgm:pt>
    <dgm:pt modelId="{E050BD47-0AE5-40C0-893B-7755916AFFF6}" type="pres">
      <dgm:prSet presAssocID="{0E834E5B-5750-4813-81FB-75B103238427}" presName="Name37" presStyleLbl="parChTrans1D3" presStyleIdx="4" presStyleCnt="8"/>
      <dgm:spPr/>
      <dgm:t>
        <a:bodyPr/>
        <a:lstStyle/>
        <a:p>
          <a:endParaRPr lang="en-US"/>
        </a:p>
      </dgm:t>
    </dgm:pt>
    <dgm:pt modelId="{03281D1D-FDF2-42D6-87E1-74FD9EE6071A}" type="pres">
      <dgm:prSet presAssocID="{86AFCED9-881B-4E56-A8D7-592E44A178B6}" presName="hierRoot2" presStyleCnt="0">
        <dgm:presLayoutVars>
          <dgm:hierBranch val="init"/>
        </dgm:presLayoutVars>
      </dgm:prSet>
      <dgm:spPr/>
    </dgm:pt>
    <dgm:pt modelId="{A6A192E5-7A7D-485D-8FED-BA1C5B8986E3}" type="pres">
      <dgm:prSet presAssocID="{86AFCED9-881B-4E56-A8D7-592E44A178B6}" presName="rootComposite" presStyleCnt="0"/>
      <dgm:spPr/>
    </dgm:pt>
    <dgm:pt modelId="{BDC7E489-C5D4-42D2-92CA-3452BB32306C}" type="pres">
      <dgm:prSet presAssocID="{86AFCED9-881B-4E56-A8D7-592E44A178B6}" presName="rootText" presStyleLbl="node3" presStyleIdx="4" presStyleCnt="8" custScaleX="133100" custScaleY="133100">
        <dgm:presLayoutVars>
          <dgm:chPref val="3"/>
        </dgm:presLayoutVars>
      </dgm:prSet>
      <dgm:spPr/>
      <dgm:t>
        <a:bodyPr/>
        <a:lstStyle/>
        <a:p>
          <a:endParaRPr lang="en-US"/>
        </a:p>
      </dgm:t>
    </dgm:pt>
    <dgm:pt modelId="{CFA840E1-D742-454A-A3A5-A9770B12FFF0}" type="pres">
      <dgm:prSet presAssocID="{86AFCED9-881B-4E56-A8D7-592E44A178B6}" presName="rootConnector" presStyleLbl="node3" presStyleIdx="4" presStyleCnt="8"/>
      <dgm:spPr/>
      <dgm:t>
        <a:bodyPr/>
        <a:lstStyle/>
        <a:p>
          <a:endParaRPr lang="en-US"/>
        </a:p>
      </dgm:t>
    </dgm:pt>
    <dgm:pt modelId="{5DF96B78-DA38-4BF3-AA42-32A2F5B8411B}" type="pres">
      <dgm:prSet presAssocID="{86AFCED9-881B-4E56-A8D7-592E44A178B6}" presName="hierChild4" presStyleCnt="0"/>
      <dgm:spPr/>
    </dgm:pt>
    <dgm:pt modelId="{ED8BA58C-D8EC-4E94-8E2A-017AD39C2648}" type="pres">
      <dgm:prSet presAssocID="{86AFCED9-881B-4E56-A8D7-592E44A178B6}" presName="hierChild5" presStyleCnt="0"/>
      <dgm:spPr/>
    </dgm:pt>
    <dgm:pt modelId="{0F5A2A18-2A55-4D92-A14D-B4B35E695F1E}" type="pres">
      <dgm:prSet presAssocID="{1ACD89F7-7A7E-49AA-99E5-5E1F43F9C0C3}" presName="hierChild5" presStyleCnt="0"/>
      <dgm:spPr/>
    </dgm:pt>
    <dgm:pt modelId="{D989CD9B-D273-480A-AECC-0FC742671A81}" type="pres">
      <dgm:prSet presAssocID="{CD04F478-77E6-4A88-8811-D7777A280D63}" presName="Name37" presStyleLbl="parChTrans1D2" presStyleIdx="2" presStyleCnt="3"/>
      <dgm:spPr/>
      <dgm:t>
        <a:bodyPr/>
        <a:lstStyle/>
        <a:p>
          <a:endParaRPr lang="en-US"/>
        </a:p>
      </dgm:t>
    </dgm:pt>
    <dgm:pt modelId="{D7FB21EB-7557-4F07-B5B2-FC307CEA4072}" type="pres">
      <dgm:prSet presAssocID="{30711104-DAA5-493B-9DAF-6C94E27A362A}" presName="hierRoot2" presStyleCnt="0">
        <dgm:presLayoutVars>
          <dgm:hierBranch val="init"/>
        </dgm:presLayoutVars>
      </dgm:prSet>
      <dgm:spPr/>
    </dgm:pt>
    <dgm:pt modelId="{75E60DA5-BD7D-44ED-9329-14AF0EB03E7F}" type="pres">
      <dgm:prSet presAssocID="{30711104-DAA5-493B-9DAF-6C94E27A362A}" presName="rootComposite" presStyleCnt="0"/>
      <dgm:spPr/>
    </dgm:pt>
    <dgm:pt modelId="{C7F4373C-2BB8-4192-881A-2E61E847C4BA}" type="pres">
      <dgm:prSet presAssocID="{30711104-DAA5-493B-9DAF-6C94E27A362A}" presName="rootText" presStyleLbl="node2" presStyleIdx="2" presStyleCnt="3" custScaleX="133100" custScaleY="133100">
        <dgm:presLayoutVars>
          <dgm:chPref val="3"/>
        </dgm:presLayoutVars>
      </dgm:prSet>
      <dgm:spPr/>
      <dgm:t>
        <a:bodyPr/>
        <a:lstStyle/>
        <a:p>
          <a:endParaRPr lang="en-US"/>
        </a:p>
      </dgm:t>
    </dgm:pt>
    <dgm:pt modelId="{4D33A532-03BD-4993-9D24-86B6BE10DEEE}" type="pres">
      <dgm:prSet presAssocID="{30711104-DAA5-493B-9DAF-6C94E27A362A}" presName="rootConnector" presStyleLbl="node2" presStyleIdx="2" presStyleCnt="3"/>
      <dgm:spPr/>
      <dgm:t>
        <a:bodyPr/>
        <a:lstStyle/>
        <a:p>
          <a:endParaRPr lang="en-US"/>
        </a:p>
      </dgm:t>
    </dgm:pt>
    <dgm:pt modelId="{E0162658-85CF-4C8B-80C5-4D00DC9554DE}" type="pres">
      <dgm:prSet presAssocID="{30711104-DAA5-493B-9DAF-6C94E27A362A}" presName="hierChild4" presStyleCnt="0"/>
      <dgm:spPr/>
    </dgm:pt>
    <dgm:pt modelId="{965783C9-5D34-48C5-8BB0-8D0688801DAE}" type="pres">
      <dgm:prSet presAssocID="{4A728670-31BD-4B1A-ADCF-77C0985522B3}" presName="Name37" presStyleLbl="parChTrans1D3" presStyleIdx="5" presStyleCnt="8"/>
      <dgm:spPr/>
      <dgm:t>
        <a:bodyPr/>
        <a:lstStyle/>
        <a:p>
          <a:endParaRPr lang="en-US"/>
        </a:p>
      </dgm:t>
    </dgm:pt>
    <dgm:pt modelId="{3EED4162-65F6-4867-B0D5-98FE25D28A5C}" type="pres">
      <dgm:prSet presAssocID="{26DA4331-5CE5-42F6-AF46-B7D80A62DAC5}" presName="hierRoot2" presStyleCnt="0">
        <dgm:presLayoutVars>
          <dgm:hierBranch val="init"/>
        </dgm:presLayoutVars>
      </dgm:prSet>
      <dgm:spPr/>
    </dgm:pt>
    <dgm:pt modelId="{A68A0989-071E-469B-B8B2-8E4B0AD6E48B}" type="pres">
      <dgm:prSet presAssocID="{26DA4331-5CE5-42F6-AF46-B7D80A62DAC5}" presName="rootComposite" presStyleCnt="0"/>
      <dgm:spPr/>
    </dgm:pt>
    <dgm:pt modelId="{2296A37E-1027-4F17-8E23-96BCB212C4B9}" type="pres">
      <dgm:prSet presAssocID="{26DA4331-5CE5-42F6-AF46-B7D80A62DAC5}" presName="rootText" presStyleLbl="node3" presStyleIdx="5" presStyleCnt="8" custScaleX="133100" custScaleY="133100">
        <dgm:presLayoutVars>
          <dgm:chPref val="3"/>
        </dgm:presLayoutVars>
      </dgm:prSet>
      <dgm:spPr/>
      <dgm:t>
        <a:bodyPr/>
        <a:lstStyle/>
        <a:p>
          <a:endParaRPr lang="en-US"/>
        </a:p>
      </dgm:t>
    </dgm:pt>
    <dgm:pt modelId="{2090A97A-957F-4AFB-AF48-937245B386CA}" type="pres">
      <dgm:prSet presAssocID="{26DA4331-5CE5-42F6-AF46-B7D80A62DAC5}" presName="rootConnector" presStyleLbl="node3" presStyleIdx="5" presStyleCnt="8"/>
      <dgm:spPr/>
      <dgm:t>
        <a:bodyPr/>
        <a:lstStyle/>
        <a:p>
          <a:endParaRPr lang="en-US"/>
        </a:p>
      </dgm:t>
    </dgm:pt>
    <dgm:pt modelId="{FDCBFF7D-00E5-407C-AF78-4D827CBA3CFA}" type="pres">
      <dgm:prSet presAssocID="{26DA4331-5CE5-42F6-AF46-B7D80A62DAC5}" presName="hierChild4" presStyleCnt="0"/>
      <dgm:spPr/>
    </dgm:pt>
    <dgm:pt modelId="{FA730D86-869E-4CE4-A7E2-ACC0CBD2844C}" type="pres">
      <dgm:prSet presAssocID="{D0B3C796-7FD4-4453-BFCD-44DE6D33ABBB}" presName="Name37" presStyleLbl="parChTrans1D4" presStyleIdx="9" presStyleCnt="13"/>
      <dgm:spPr/>
      <dgm:t>
        <a:bodyPr/>
        <a:lstStyle/>
        <a:p>
          <a:endParaRPr lang="en-US"/>
        </a:p>
      </dgm:t>
    </dgm:pt>
    <dgm:pt modelId="{7239DBF9-8B3A-4F83-BE9A-0260EAF749DE}" type="pres">
      <dgm:prSet presAssocID="{7E213AE3-9289-4A9E-8284-48EFCDA8F209}" presName="hierRoot2" presStyleCnt="0">
        <dgm:presLayoutVars>
          <dgm:hierBranch val="init"/>
        </dgm:presLayoutVars>
      </dgm:prSet>
      <dgm:spPr/>
    </dgm:pt>
    <dgm:pt modelId="{969AF402-0318-4D87-A982-42FCF038D62E}" type="pres">
      <dgm:prSet presAssocID="{7E213AE3-9289-4A9E-8284-48EFCDA8F209}" presName="rootComposite" presStyleCnt="0"/>
      <dgm:spPr/>
    </dgm:pt>
    <dgm:pt modelId="{21EA652E-6554-471D-9542-095C0BFD9E24}" type="pres">
      <dgm:prSet presAssocID="{7E213AE3-9289-4A9E-8284-48EFCDA8F209}" presName="rootText" presStyleLbl="node4" presStyleIdx="9" presStyleCnt="13" custScaleX="133100" custScaleY="133100" custLinFactNeighborX="-3600">
        <dgm:presLayoutVars>
          <dgm:chPref val="3"/>
        </dgm:presLayoutVars>
      </dgm:prSet>
      <dgm:spPr/>
      <dgm:t>
        <a:bodyPr/>
        <a:lstStyle/>
        <a:p>
          <a:endParaRPr lang="en-US"/>
        </a:p>
      </dgm:t>
    </dgm:pt>
    <dgm:pt modelId="{3371899B-9778-4BAC-B5CD-41855EEBE9BD}" type="pres">
      <dgm:prSet presAssocID="{7E213AE3-9289-4A9E-8284-48EFCDA8F209}" presName="rootConnector" presStyleLbl="node4" presStyleIdx="9" presStyleCnt="13"/>
      <dgm:spPr/>
      <dgm:t>
        <a:bodyPr/>
        <a:lstStyle/>
        <a:p>
          <a:endParaRPr lang="en-US"/>
        </a:p>
      </dgm:t>
    </dgm:pt>
    <dgm:pt modelId="{97B76AB6-4D0D-400F-90CE-16712B49950B}" type="pres">
      <dgm:prSet presAssocID="{7E213AE3-9289-4A9E-8284-48EFCDA8F209}" presName="hierChild4" presStyleCnt="0"/>
      <dgm:spPr/>
    </dgm:pt>
    <dgm:pt modelId="{718DA003-50F9-4A30-B1B9-EC4CB95C1D91}" type="pres">
      <dgm:prSet presAssocID="{7E213AE3-9289-4A9E-8284-48EFCDA8F209}" presName="hierChild5" presStyleCnt="0"/>
      <dgm:spPr/>
    </dgm:pt>
    <dgm:pt modelId="{7F043D58-4F60-4CF9-8BF4-35EE3B853AE1}" type="pres">
      <dgm:prSet presAssocID="{29CB437B-11C0-44A0-A142-48F6DF6E4ACB}" presName="Name37" presStyleLbl="parChTrans1D4" presStyleIdx="10" presStyleCnt="13"/>
      <dgm:spPr/>
      <dgm:t>
        <a:bodyPr/>
        <a:lstStyle/>
        <a:p>
          <a:endParaRPr lang="en-US"/>
        </a:p>
      </dgm:t>
    </dgm:pt>
    <dgm:pt modelId="{330FC0E4-6DF8-4BE0-9810-E3ABE0314996}" type="pres">
      <dgm:prSet presAssocID="{7DE250CE-7C2C-493E-B4F9-C2E21C8A410E}" presName="hierRoot2" presStyleCnt="0">
        <dgm:presLayoutVars>
          <dgm:hierBranch val="init"/>
        </dgm:presLayoutVars>
      </dgm:prSet>
      <dgm:spPr/>
    </dgm:pt>
    <dgm:pt modelId="{AA7F173A-60B3-4C74-92AC-ECFB9EF69BAC}" type="pres">
      <dgm:prSet presAssocID="{7DE250CE-7C2C-493E-B4F9-C2E21C8A410E}" presName="rootComposite" presStyleCnt="0"/>
      <dgm:spPr/>
    </dgm:pt>
    <dgm:pt modelId="{73342660-5C3C-4B41-A5EB-06399B232F72}" type="pres">
      <dgm:prSet presAssocID="{7DE250CE-7C2C-493E-B4F9-C2E21C8A410E}" presName="rootText" presStyleLbl="node4" presStyleIdx="10" presStyleCnt="13" custScaleX="133100" custScaleY="133100" custLinFactNeighborX="-3600">
        <dgm:presLayoutVars>
          <dgm:chPref val="3"/>
        </dgm:presLayoutVars>
      </dgm:prSet>
      <dgm:spPr/>
      <dgm:t>
        <a:bodyPr/>
        <a:lstStyle/>
        <a:p>
          <a:endParaRPr lang="en-US"/>
        </a:p>
      </dgm:t>
    </dgm:pt>
    <dgm:pt modelId="{85C7C85B-8177-4630-B342-32A7A00B6333}" type="pres">
      <dgm:prSet presAssocID="{7DE250CE-7C2C-493E-B4F9-C2E21C8A410E}" presName="rootConnector" presStyleLbl="node4" presStyleIdx="10" presStyleCnt="13"/>
      <dgm:spPr/>
      <dgm:t>
        <a:bodyPr/>
        <a:lstStyle/>
        <a:p>
          <a:endParaRPr lang="en-US"/>
        </a:p>
      </dgm:t>
    </dgm:pt>
    <dgm:pt modelId="{0D0AE429-559B-4281-B5EA-401EB811A5D8}" type="pres">
      <dgm:prSet presAssocID="{7DE250CE-7C2C-493E-B4F9-C2E21C8A410E}" presName="hierChild4" presStyleCnt="0"/>
      <dgm:spPr/>
    </dgm:pt>
    <dgm:pt modelId="{074259B9-43E8-413C-B076-A0C0947D858A}" type="pres">
      <dgm:prSet presAssocID="{7DE250CE-7C2C-493E-B4F9-C2E21C8A410E}" presName="hierChild5" presStyleCnt="0"/>
      <dgm:spPr/>
    </dgm:pt>
    <dgm:pt modelId="{2645185A-DAAB-4A80-B801-A42F817104D3}" type="pres">
      <dgm:prSet presAssocID="{C31E67BB-1C3B-4ADA-B02A-BE8704E1F670}" presName="Name37" presStyleLbl="parChTrans1D4" presStyleIdx="11" presStyleCnt="13"/>
      <dgm:spPr/>
      <dgm:t>
        <a:bodyPr/>
        <a:lstStyle/>
        <a:p>
          <a:endParaRPr lang="en-US"/>
        </a:p>
      </dgm:t>
    </dgm:pt>
    <dgm:pt modelId="{49C4FD78-0E8E-481E-B503-42E7F7349805}" type="pres">
      <dgm:prSet presAssocID="{9DC1473D-399F-4711-B62C-5C4C1CB52BA3}" presName="hierRoot2" presStyleCnt="0">
        <dgm:presLayoutVars>
          <dgm:hierBranch val="init"/>
        </dgm:presLayoutVars>
      </dgm:prSet>
      <dgm:spPr/>
    </dgm:pt>
    <dgm:pt modelId="{825B9975-9451-46B9-BE42-2E0773B57008}" type="pres">
      <dgm:prSet presAssocID="{9DC1473D-399F-4711-B62C-5C4C1CB52BA3}" presName="rootComposite" presStyleCnt="0"/>
      <dgm:spPr/>
    </dgm:pt>
    <dgm:pt modelId="{6B310D71-C8BB-40E7-BB81-A97200B87B2F}" type="pres">
      <dgm:prSet presAssocID="{9DC1473D-399F-4711-B62C-5C4C1CB52BA3}" presName="rootText" presStyleLbl="node4" presStyleIdx="11" presStyleCnt="13" custScaleX="133100" custScaleY="133100" custLinFactNeighborX="-3600">
        <dgm:presLayoutVars>
          <dgm:chPref val="3"/>
        </dgm:presLayoutVars>
      </dgm:prSet>
      <dgm:spPr/>
      <dgm:t>
        <a:bodyPr/>
        <a:lstStyle/>
        <a:p>
          <a:endParaRPr lang="en-US"/>
        </a:p>
      </dgm:t>
    </dgm:pt>
    <dgm:pt modelId="{51E3A570-616C-4C8D-A74B-659472A1748F}" type="pres">
      <dgm:prSet presAssocID="{9DC1473D-399F-4711-B62C-5C4C1CB52BA3}" presName="rootConnector" presStyleLbl="node4" presStyleIdx="11" presStyleCnt="13"/>
      <dgm:spPr/>
      <dgm:t>
        <a:bodyPr/>
        <a:lstStyle/>
        <a:p>
          <a:endParaRPr lang="en-US"/>
        </a:p>
      </dgm:t>
    </dgm:pt>
    <dgm:pt modelId="{528F40A9-8936-491D-BCF8-9C17ECF91A69}" type="pres">
      <dgm:prSet presAssocID="{9DC1473D-399F-4711-B62C-5C4C1CB52BA3}" presName="hierChild4" presStyleCnt="0"/>
      <dgm:spPr/>
    </dgm:pt>
    <dgm:pt modelId="{6C5B91D4-608A-42C1-AB3E-1EC7DC8FD45C}" type="pres">
      <dgm:prSet presAssocID="{9DC1473D-399F-4711-B62C-5C4C1CB52BA3}" presName="hierChild5" presStyleCnt="0"/>
      <dgm:spPr/>
    </dgm:pt>
    <dgm:pt modelId="{0BB81E3E-AC56-4C2F-A909-9A2663BC068C}" type="pres">
      <dgm:prSet presAssocID="{5E4DF5FD-83E1-4DA7-AAFD-F9CE28420989}" presName="Name37" presStyleLbl="parChTrans1D4" presStyleIdx="12" presStyleCnt="13"/>
      <dgm:spPr/>
      <dgm:t>
        <a:bodyPr/>
        <a:lstStyle/>
        <a:p>
          <a:endParaRPr lang="en-US"/>
        </a:p>
      </dgm:t>
    </dgm:pt>
    <dgm:pt modelId="{821441B4-D3E2-46FD-BACB-BB34245DF699}" type="pres">
      <dgm:prSet presAssocID="{7AB3AC0E-114B-40DF-98E8-23052373698E}" presName="hierRoot2" presStyleCnt="0">
        <dgm:presLayoutVars>
          <dgm:hierBranch val="init"/>
        </dgm:presLayoutVars>
      </dgm:prSet>
      <dgm:spPr/>
    </dgm:pt>
    <dgm:pt modelId="{BAF88DDE-0727-44C3-BCE9-63763C692CD9}" type="pres">
      <dgm:prSet presAssocID="{7AB3AC0E-114B-40DF-98E8-23052373698E}" presName="rootComposite" presStyleCnt="0"/>
      <dgm:spPr/>
    </dgm:pt>
    <dgm:pt modelId="{716B72CD-21F9-46FB-9392-0C67DC20C119}" type="pres">
      <dgm:prSet presAssocID="{7AB3AC0E-114B-40DF-98E8-23052373698E}" presName="rootText" presStyleLbl="node4" presStyleIdx="12" presStyleCnt="13" custScaleX="133100" custScaleY="133100" custLinFactNeighborX="-3600">
        <dgm:presLayoutVars>
          <dgm:chPref val="3"/>
        </dgm:presLayoutVars>
      </dgm:prSet>
      <dgm:spPr/>
      <dgm:t>
        <a:bodyPr/>
        <a:lstStyle/>
        <a:p>
          <a:endParaRPr lang="en-US"/>
        </a:p>
      </dgm:t>
    </dgm:pt>
    <dgm:pt modelId="{5863F7D9-8254-4E29-A6BF-AC2012ABA74F}" type="pres">
      <dgm:prSet presAssocID="{7AB3AC0E-114B-40DF-98E8-23052373698E}" presName="rootConnector" presStyleLbl="node4" presStyleIdx="12" presStyleCnt="13"/>
      <dgm:spPr/>
      <dgm:t>
        <a:bodyPr/>
        <a:lstStyle/>
        <a:p>
          <a:endParaRPr lang="en-US"/>
        </a:p>
      </dgm:t>
    </dgm:pt>
    <dgm:pt modelId="{36C1319D-5604-4697-8310-AFB6709C33BB}" type="pres">
      <dgm:prSet presAssocID="{7AB3AC0E-114B-40DF-98E8-23052373698E}" presName="hierChild4" presStyleCnt="0"/>
      <dgm:spPr/>
    </dgm:pt>
    <dgm:pt modelId="{7AF7EA98-80A6-462A-9EDE-923DF4F34DC6}" type="pres">
      <dgm:prSet presAssocID="{7AB3AC0E-114B-40DF-98E8-23052373698E}" presName="hierChild5" presStyleCnt="0"/>
      <dgm:spPr/>
    </dgm:pt>
    <dgm:pt modelId="{99D4C1AC-3F11-4644-8D74-12F578D60E00}" type="pres">
      <dgm:prSet presAssocID="{26DA4331-5CE5-42F6-AF46-B7D80A62DAC5}" presName="hierChild5" presStyleCnt="0"/>
      <dgm:spPr/>
    </dgm:pt>
    <dgm:pt modelId="{51028A9A-7D19-46A2-8F9E-5516F77FDB70}" type="pres">
      <dgm:prSet presAssocID="{F77D76B7-4084-41B8-9FD0-019C96EE85C6}" presName="Name37" presStyleLbl="parChTrans1D3" presStyleIdx="6" presStyleCnt="8"/>
      <dgm:spPr/>
      <dgm:t>
        <a:bodyPr/>
        <a:lstStyle/>
        <a:p>
          <a:endParaRPr lang="en-US"/>
        </a:p>
      </dgm:t>
    </dgm:pt>
    <dgm:pt modelId="{ED26F354-F8A9-4B65-B6C6-C022B0AC1A28}" type="pres">
      <dgm:prSet presAssocID="{D3FA9973-EA01-4F51-A48A-81471415A2A0}" presName="hierRoot2" presStyleCnt="0">
        <dgm:presLayoutVars>
          <dgm:hierBranch val="init"/>
        </dgm:presLayoutVars>
      </dgm:prSet>
      <dgm:spPr/>
    </dgm:pt>
    <dgm:pt modelId="{700681E7-C2BA-42BC-B23F-60C9FD83F5CA}" type="pres">
      <dgm:prSet presAssocID="{D3FA9973-EA01-4F51-A48A-81471415A2A0}" presName="rootComposite" presStyleCnt="0"/>
      <dgm:spPr/>
    </dgm:pt>
    <dgm:pt modelId="{40CF5C0B-99F9-461B-A412-526099B9E08B}" type="pres">
      <dgm:prSet presAssocID="{D3FA9973-EA01-4F51-A48A-81471415A2A0}" presName="rootText" presStyleLbl="node3" presStyleIdx="6" presStyleCnt="8" custScaleX="133100" custScaleY="133100">
        <dgm:presLayoutVars>
          <dgm:chPref val="3"/>
        </dgm:presLayoutVars>
      </dgm:prSet>
      <dgm:spPr/>
      <dgm:t>
        <a:bodyPr/>
        <a:lstStyle/>
        <a:p>
          <a:endParaRPr lang="en-US"/>
        </a:p>
      </dgm:t>
    </dgm:pt>
    <dgm:pt modelId="{B0CA7445-47ED-4209-87DE-B037F094C227}" type="pres">
      <dgm:prSet presAssocID="{D3FA9973-EA01-4F51-A48A-81471415A2A0}" presName="rootConnector" presStyleLbl="node3" presStyleIdx="6" presStyleCnt="8"/>
      <dgm:spPr/>
      <dgm:t>
        <a:bodyPr/>
        <a:lstStyle/>
        <a:p>
          <a:endParaRPr lang="en-US"/>
        </a:p>
      </dgm:t>
    </dgm:pt>
    <dgm:pt modelId="{ABCA7218-1D10-4935-A68D-2C10876C6879}" type="pres">
      <dgm:prSet presAssocID="{D3FA9973-EA01-4F51-A48A-81471415A2A0}" presName="hierChild4" presStyleCnt="0"/>
      <dgm:spPr/>
    </dgm:pt>
    <dgm:pt modelId="{502DDB1F-B04F-4DDD-ADAA-866ECFAB5DB6}" type="pres">
      <dgm:prSet presAssocID="{D3FA9973-EA01-4F51-A48A-81471415A2A0}" presName="hierChild5" presStyleCnt="0"/>
      <dgm:spPr/>
    </dgm:pt>
    <dgm:pt modelId="{5AAE64E2-6782-489C-8177-0FECA6F8C8D9}" type="pres">
      <dgm:prSet presAssocID="{FBC5A526-5614-4D6F-857A-C458AC1397EF}" presName="Name37" presStyleLbl="parChTrans1D3" presStyleIdx="7" presStyleCnt="8"/>
      <dgm:spPr/>
      <dgm:t>
        <a:bodyPr/>
        <a:lstStyle/>
        <a:p>
          <a:endParaRPr lang="en-US"/>
        </a:p>
      </dgm:t>
    </dgm:pt>
    <dgm:pt modelId="{22DCA95C-64FC-4003-AA65-379722DC29C4}" type="pres">
      <dgm:prSet presAssocID="{AE90CE70-1BC6-4A8D-B6D1-78B1D94190B0}" presName="hierRoot2" presStyleCnt="0">
        <dgm:presLayoutVars>
          <dgm:hierBranch val="init"/>
        </dgm:presLayoutVars>
      </dgm:prSet>
      <dgm:spPr/>
    </dgm:pt>
    <dgm:pt modelId="{22806154-DFBF-4AFA-9BF3-8876A227D4EB}" type="pres">
      <dgm:prSet presAssocID="{AE90CE70-1BC6-4A8D-B6D1-78B1D94190B0}" presName="rootComposite" presStyleCnt="0"/>
      <dgm:spPr/>
    </dgm:pt>
    <dgm:pt modelId="{5DE29278-9D93-45E6-8880-23709D2D631F}" type="pres">
      <dgm:prSet presAssocID="{AE90CE70-1BC6-4A8D-B6D1-78B1D94190B0}" presName="rootText" presStyleLbl="node3" presStyleIdx="7" presStyleCnt="8" custScaleX="133100" custScaleY="133100">
        <dgm:presLayoutVars>
          <dgm:chPref val="3"/>
        </dgm:presLayoutVars>
      </dgm:prSet>
      <dgm:spPr/>
      <dgm:t>
        <a:bodyPr/>
        <a:lstStyle/>
        <a:p>
          <a:endParaRPr lang="en-US"/>
        </a:p>
      </dgm:t>
    </dgm:pt>
    <dgm:pt modelId="{8499AF18-54D2-44CA-94D7-E078CFC6DEF2}" type="pres">
      <dgm:prSet presAssocID="{AE90CE70-1BC6-4A8D-B6D1-78B1D94190B0}" presName="rootConnector" presStyleLbl="node3" presStyleIdx="7" presStyleCnt="8"/>
      <dgm:spPr/>
      <dgm:t>
        <a:bodyPr/>
        <a:lstStyle/>
        <a:p>
          <a:endParaRPr lang="en-US"/>
        </a:p>
      </dgm:t>
    </dgm:pt>
    <dgm:pt modelId="{48976119-EC26-4A7D-A431-B3AE7AC3489B}" type="pres">
      <dgm:prSet presAssocID="{AE90CE70-1BC6-4A8D-B6D1-78B1D94190B0}" presName="hierChild4" presStyleCnt="0"/>
      <dgm:spPr/>
    </dgm:pt>
    <dgm:pt modelId="{5AE644B7-1579-46D7-98D1-006CECC4E19E}" type="pres">
      <dgm:prSet presAssocID="{AE90CE70-1BC6-4A8D-B6D1-78B1D94190B0}" presName="hierChild5" presStyleCnt="0"/>
      <dgm:spPr/>
    </dgm:pt>
    <dgm:pt modelId="{016A09CA-0D03-481D-BE22-19B252C38554}" type="pres">
      <dgm:prSet presAssocID="{30711104-DAA5-493B-9DAF-6C94E27A362A}" presName="hierChild5" presStyleCnt="0"/>
      <dgm:spPr/>
    </dgm:pt>
    <dgm:pt modelId="{388E73EE-943E-4B6B-B97A-2A24C86E57D0}" type="pres">
      <dgm:prSet presAssocID="{4A632E9F-CA01-4B38-BBBC-D1AEED09B238}" presName="hierChild3" presStyleCnt="0"/>
      <dgm:spPr/>
    </dgm:pt>
  </dgm:ptLst>
  <dgm:cxnLst>
    <dgm:cxn modelId="{425047FA-2503-46B3-8E59-AB61C665E16A}" type="presOf" srcId="{26DA4331-5CE5-42F6-AF46-B7D80A62DAC5}" destId="{2090A97A-957F-4AFB-AF48-937245B386CA}" srcOrd="1" destOrd="0" presId="urn:microsoft.com/office/officeart/2005/8/layout/orgChart1"/>
    <dgm:cxn modelId="{7BE29266-584C-48E6-98A5-F9D330A596F2}" type="presOf" srcId="{D6316EE9-E58D-4BB3-8D83-459F295A2F79}" destId="{D9426C2F-C8AF-449C-A215-9642E4C2D5AC}" srcOrd="0" destOrd="0" presId="urn:microsoft.com/office/officeart/2005/8/layout/orgChart1"/>
    <dgm:cxn modelId="{08751D51-DBEE-47A0-A342-A5594C6AB569}" type="presOf" srcId="{42358016-CC8D-4187-893D-A46E3B37D105}" destId="{C5CF7D9E-EB83-4274-AAC2-76B5FDC395A5}" srcOrd="0" destOrd="0" presId="urn:microsoft.com/office/officeart/2005/8/layout/orgChart1"/>
    <dgm:cxn modelId="{3F9DC9F1-38B4-40FE-9BC2-AFFBDC02A7CA}" type="presOf" srcId="{CE6A3589-4DF9-40C9-9C60-958E44A8BFCB}" destId="{BEA138B3-67FF-4BC4-950C-5E90867D6967}" srcOrd="0" destOrd="0" presId="urn:microsoft.com/office/officeart/2005/8/layout/orgChart1"/>
    <dgm:cxn modelId="{37391920-8C0E-4FD3-BE35-18E5BA0958A1}" type="presOf" srcId="{C4C2911D-3996-4600-ACA5-2A248B290449}" destId="{D08AB2CA-A085-44D5-8CCB-7592D640DC08}" srcOrd="0" destOrd="0" presId="urn:microsoft.com/office/officeart/2005/8/layout/orgChart1"/>
    <dgm:cxn modelId="{612BB697-E5EE-4B89-8CDA-3B4B36210A95}" type="presOf" srcId="{A04D9F54-3B04-4C54-8282-DE3F0C06CA5B}" destId="{FC432D72-2177-4EF7-BF10-0C7A3802437A}" srcOrd="0" destOrd="0" presId="urn:microsoft.com/office/officeart/2005/8/layout/orgChart1"/>
    <dgm:cxn modelId="{0BCA2380-CA8E-49EE-886F-7582FC2EBAE7}" type="presOf" srcId="{63E2331F-AA24-4ADD-B0A2-E1CB625866D2}" destId="{AEA9D40C-1FBF-4FF3-ACFC-98C0DAD01758}" srcOrd="1" destOrd="0" presId="urn:microsoft.com/office/officeart/2005/8/layout/orgChart1"/>
    <dgm:cxn modelId="{5DD90CDF-0AC6-4FBC-BF7E-64400D1FD74A}" type="presOf" srcId="{97C4147D-355B-42C3-A9C1-09C8C8510882}" destId="{9E643002-BBC9-496A-8D72-65CDA676A343}" srcOrd="1" destOrd="0" presId="urn:microsoft.com/office/officeart/2005/8/layout/orgChart1"/>
    <dgm:cxn modelId="{B3A29EA0-727C-4D8C-B4B1-4C7A4726B3E1}" type="presOf" srcId="{63E2331F-AA24-4ADD-B0A2-E1CB625866D2}" destId="{784F3322-5337-48A9-BC08-05306E8073BC}" srcOrd="0" destOrd="0" presId="urn:microsoft.com/office/officeart/2005/8/layout/orgChart1"/>
    <dgm:cxn modelId="{679CB469-DEFB-4E10-B142-0F22E13B340E}" srcId="{1ACD89F7-7A7E-49AA-99E5-5E1F43F9C0C3}" destId="{F2622D98-8EA0-4726-9904-073D750E15B4}" srcOrd="0" destOrd="0" parTransId="{4E3E4C07-164D-4E26-B8B5-9C5C6E8C0F04}" sibTransId="{98260AA9-60FB-46A3-813B-76D7BBC7538D}"/>
    <dgm:cxn modelId="{EECF69CD-1465-4BD3-B3E7-155690CCAE5A}" type="presOf" srcId="{0A6E2B67-45A7-4AD1-B873-5E06ACA3AA78}" destId="{8F06BBE7-EBEC-4F2F-90E6-E2C8BA918E65}" srcOrd="0" destOrd="0" presId="urn:microsoft.com/office/officeart/2005/8/layout/orgChart1"/>
    <dgm:cxn modelId="{68A9473A-DF15-4853-9218-B7A0D1336FF1}" type="presOf" srcId="{7294EBF6-3850-4E00-8350-1C45F607DAE9}" destId="{B9AF1901-A856-4069-9B2B-E443EB355303}" srcOrd="0" destOrd="0" presId="urn:microsoft.com/office/officeart/2005/8/layout/orgChart1"/>
    <dgm:cxn modelId="{A10B7B90-20C4-4E60-8045-6C575B304E32}" type="presOf" srcId="{CCD2C872-B113-4F6B-A4CD-846A4E9E681A}" destId="{56B6CC2D-B328-4266-9972-D2951A1308AB}" srcOrd="0" destOrd="0" presId="urn:microsoft.com/office/officeart/2005/8/layout/orgChart1"/>
    <dgm:cxn modelId="{A7A5E4DC-7402-41ED-86E7-A8C5DC879076}" type="presOf" srcId="{74EA7787-D40E-489C-B9A0-677C302F91C2}" destId="{AD1101D6-8E64-4CE9-8556-42994709CF26}" srcOrd="0" destOrd="0" presId="urn:microsoft.com/office/officeart/2005/8/layout/orgChart1"/>
    <dgm:cxn modelId="{4583BF03-9772-438C-81F2-1B01720D9768}" type="presOf" srcId="{CD04F478-77E6-4A88-8811-D7777A280D63}" destId="{D989CD9B-D273-480A-AECC-0FC742671A81}" srcOrd="0" destOrd="0" presId="urn:microsoft.com/office/officeart/2005/8/layout/orgChart1"/>
    <dgm:cxn modelId="{5EDFA7F1-6DD2-47BE-9914-8C67047AC3F8}" type="presOf" srcId="{33702F50-0D8D-40F8-98B7-9E2878C7F0D1}" destId="{DDF93D61-F0E4-4DE5-B0C8-CD9EBBFFB373}" srcOrd="0" destOrd="0" presId="urn:microsoft.com/office/officeart/2005/8/layout/orgChart1"/>
    <dgm:cxn modelId="{2D8BDD27-22FA-41A6-8FCC-847A9ABF5A66}" type="presOf" srcId="{2400D4D7-CF12-404F-8D5C-20FFF2B36B8A}" destId="{9CC32C98-0E71-475C-B7BA-46E7F3A72177}" srcOrd="1" destOrd="0" presId="urn:microsoft.com/office/officeart/2005/8/layout/orgChart1"/>
    <dgm:cxn modelId="{C04E03CE-06B8-46B5-B9F7-A08433945813}" type="presOf" srcId="{EDE9A722-61D5-4D3C-A709-28FF1086E0A8}" destId="{3E687EE5-37AE-4DB8-AAE2-BF630A20AE39}" srcOrd="0" destOrd="0" presId="urn:microsoft.com/office/officeart/2005/8/layout/orgChart1"/>
    <dgm:cxn modelId="{1B88D362-4611-4D47-97C5-FC3CA36D1FD0}" srcId="{30711104-DAA5-493B-9DAF-6C94E27A362A}" destId="{AE90CE70-1BC6-4A8D-B6D1-78B1D94190B0}" srcOrd="2" destOrd="0" parTransId="{FBC5A526-5614-4D6F-857A-C458AC1397EF}" sibTransId="{9AD8143B-0E20-4627-868C-03A79E7926AC}"/>
    <dgm:cxn modelId="{E77AC942-5F43-4600-A144-462D97F49217}" type="presOf" srcId="{4A728670-31BD-4B1A-ADCF-77C0985522B3}" destId="{965783C9-5D34-48C5-8BB0-8D0688801DAE}" srcOrd="0" destOrd="0" presId="urn:microsoft.com/office/officeart/2005/8/layout/orgChart1"/>
    <dgm:cxn modelId="{5B61E575-DA0F-4175-80A2-B5BE26F00B20}" type="presOf" srcId="{1ACD89F7-7A7E-49AA-99E5-5E1F43F9C0C3}" destId="{E70D6F0E-32A6-44F5-AF06-91FEA3EDAE30}" srcOrd="0" destOrd="0" presId="urn:microsoft.com/office/officeart/2005/8/layout/orgChart1"/>
    <dgm:cxn modelId="{CAAC5BF7-3C53-44D3-9CE3-F13667718279}" type="presOf" srcId="{7E213AE3-9289-4A9E-8284-48EFCDA8F209}" destId="{3371899B-9778-4BAC-B5CD-41855EEBE9BD}" srcOrd="1" destOrd="0" presId="urn:microsoft.com/office/officeart/2005/8/layout/orgChart1"/>
    <dgm:cxn modelId="{EDA31E00-5DCF-4D73-8D09-C134C364D867}" type="presOf" srcId="{F77D76B7-4084-41B8-9FD0-019C96EE85C6}" destId="{51028A9A-7D19-46A2-8F9E-5516F77FDB70}" srcOrd="0" destOrd="0" presId="urn:microsoft.com/office/officeart/2005/8/layout/orgChart1"/>
    <dgm:cxn modelId="{97E423B5-AAA3-4ACE-8C7B-B1420E66D589}" type="presOf" srcId="{F1706551-809E-47DA-9A5B-AD8A50C4A84E}" destId="{9D497B2C-0E58-4431-A104-3361CBEC38D5}" srcOrd="0" destOrd="0" presId="urn:microsoft.com/office/officeart/2005/8/layout/orgChart1"/>
    <dgm:cxn modelId="{CA8466AA-9C3A-4DD6-A85F-3EFC3FA6AA9C}" type="presOf" srcId="{47E93154-7F85-440B-AD97-8CE88E61FBD2}" destId="{01E308CB-94C3-41AE-BC51-6E8A6C8B817E}" srcOrd="0" destOrd="0" presId="urn:microsoft.com/office/officeart/2005/8/layout/orgChart1"/>
    <dgm:cxn modelId="{5BE2A4DB-65D6-4B07-A8AA-F64078CC03AD}" srcId="{4A632E9F-CA01-4B38-BBBC-D1AEED09B238}" destId="{1ACD89F7-7A7E-49AA-99E5-5E1F43F9C0C3}" srcOrd="1" destOrd="0" parTransId="{74EA7787-D40E-489C-B9A0-677C302F91C2}" sibTransId="{B7CE4659-85AB-4B74-9931-722583EFDE6D}"/>
    <dgm:cxn modelId="{E648D130-DF13-4360-8431-CC3B3216BD88}" type="presOf" srcId="{30711104-DAA5-493B-9DAF-6C94E27A362A}" destId="{C7F4373C-2BB8-4192-881A-2E61E847C4BA}" srcOrd="0" destOrd="0" presId="urn:microsoft.com/office/officeart/2005/8/layout/orgChart1"/>
    <dgm:cxn modelId="{46B6F9EE-DC2C-466C-A5F5-347C8F8F3DD7}" type="presOf" srcId="{A04D9F54-3B04-4C54-8282-DE3F0C06CA5B}" destId="{1EB11D07-47F4-45CC-BFB3-1053F265C59D}" srcOrd="1" destOrd="0" presId="urn:microsoft.com/office/officeart/2005/8/layout/orgChart1"/>
    <dgm:cxn modelId="{DC4D46FF-FCED-4674-9D5A-3FA289434BF4}" type="presOf" srcId="{B98D8532-DB8F-44B7-8496-2A67DB116BAD}" destId="{6E03F8FC-BF57-40B0-A0A4-6EE3D0A44E61}" srcOrd="0" destOrd="0" presId="urn:microsoft.com/office/officeart/2005/8/layout/orgChart1"/>
    <dgm:cxn modelId="{3E96D411-CA74-4172-8CDD-85F1CED56EE9}" type="presOf" srcId="{4E3E4C07-164D-4E26-B8B5-9C5C6E8C0F04}" destId="{2CA96FED-ED30-49B5-8ED7-0C10C7F86968}" srcOrd="0" destOrd="0" presId="urn:microsoft.com/office/officeart/2005/8/layout/orgChart1"/>
    <dgm:cxn modelId="{4C4580B5-0200-4997-AD5B-C2626DB88A34}" srcId="{F2622D98-8EA0-4726-9904-073D750E15B4}" destId="{EDE9A722-61D5-4D3C-A709-28FF1086E0A8}" srcOrd="0" destOrd="0" parTransId="{5BF4F84D-34F0-4674-BDBC-49060535982C}" sibTransId="{7F8AE9E2-A1BD-476B-AAC1-2365CD3C71EA}"/>
    <dgm:cxn modelId="{D0734E37-9C2A-4464-B7B8-FBB7B9FA9F46}" srcId="{1ACD89F7-7A7E-49AA-99E5-5E1F43F9C0C3}" destId="{8BD13B37-A196-4519-BE6F-BE7D1BD80B52}" srcOrd="1" destOrd="0" parTransId="{F1706551-809E-47DA-9A5B-AD8A50C4A84E}" sibTransId="{10597134-1B1A-495C-8163-5FF370D07AA4}"/>
    <dgm:cxn modelId="{D7F06F4B-350F-4CC1-B4F4-D2BBE8531DC1}" type="presOf" srcId="{AE90CE70-1BC6-4A8D-B6D1-78B1D94190B0}" destId="{5DE29278-9D93-45E6-8880-23709D2D631F}" srcOrd="0" destOrd="0" presId="urn:microsoft.com/office/officeart/2005/8/layout/orgChart1"/>
    <dgm:cxn modelId="{36FA9E36-4C27-454A-BC02-53F05051AA97}" type="presOf" srcId="{EDE9A722-61D5-4D3C-A709-28FF1086E0A8}" destId="{1AE19E34-2C6C-40CF-8DB6-D453D150FCB9}" srcOrd="1" destOrd="0" presId="urn:microsoft.com/office/officeart/2005/8/layout/orgChart1"/>
    <dgm:cxn modelId="{AA3F5F4F-432F-4824-936C-D9E6058B11B6}" type="presOf" srcId="{0E834E5B-5750-4813-81FB-75B103238427}" destId="{E050BD47-0AE5-40C0-893B-7755916AFFF6}" srcOrd="0" destOrd="0" presId="urn:microsoft.com/office/officeart/2005/8/layout/orgChart1"/>
    <dgm:cxn modelId="{A2AD3491-754C-4C81-8AC6-443EDD9D87B3}" type="presOf" srcId="{0C5489B9-4B3D-4B85-AFA1-2EDB5BAB8D7A}" destId="{C53980E0-303A-48DB-9366-8E3588EDE328}" srcOrd="0" destOrd="0" presId="urn:microsoft.com/office/officeart/2005/8/layout/orgChart1"/>
    <dgm:cxn modelId="{6D601C3C-B831-4756-86C0-82E960B9DD61}" srcId="{26DA4331-5CE5-42F6-AF46-B7D80A62DAC5}" destId="{9DC1473D-399F-4711-B62C-5C4C1CB52BA3}" srcOrd="2" destOrd="0" parTransId="{C31E67BB-1C3B-4ADA-B02A-BE8704E1F670}" sibTransId="{4D84A79F-D61B-4DF8-915D-FE386CDA512C}"/>
    <dgm:cxn modelId="{8C1AB7E8-EB61-4664-9590-A60F6BE93636}" srcId="{8BD13B37-A196-4519-BE6F-BE7D1BD80B52}" destId="{97C4147D-355B-42C3-A9C1-09C8C8510882}" srcOrd="1" destOrd="0" parTransId="{0C5489B9-4B3D-4B85-AFA1-2EDB5BAB8D7A}" sibTransId="{CC6037E6-EC94-4811-88A2-46F8DC13AECA}"/>
    <dgm:cxn modelId="{A48A1512-E9C5-47F6-B94D-A0CD9EE81140}" type="presOf" srcId="{4A632E9F-CA01-4B38-BBBC-D1AEED09B238}" destId="{BB07F2EA-2AB5-4169-810B-2CE4A47E38EE}" srcOrd="1" destOrd="0" presId="urn:microsoft.com/office/officeart/2005/8/layout/orgChart1"/>
    <dgm:cxn modelId="{E850AB6F-CB91-4B26-8ED9-BCA4108CB3ED}" type="presOf" srcId="{7E213AE3-9289-4A9E-8284-48EFCDA8F209}" destId="{21EA652E-6554-471D-9542-095C0BFD9E24}" srcOrd="0" destOrd="0" presId="urn:microsoft.com/office/officeart/2005/8/layout/orgChart1"/>
    <dgm:cxn modelId="{0ACF14EE-F0A6-4C11-B24C-4B974B022322}" srcId="{30711104-DAA5-493B-9DAF-6C94E27A362A}" destId="{D3FA9973-EA01-4F51-A48A-81471415A2A0}" srcOrd="1" destOrd="0" parTransId="{F77D76B7-4084-41B8-9FD0-019C96EE85C6}" sibTransId="{2F4E2695-41A3-4B5C-9293-D418BB19347A}"/>
    <dgm:cxn modelId="{61F454BF-7204-4A51-B45F-C263BEFE7906}" type="presOf" srcId="{D3FA9973-EA01-4F51-A48A-81471415A2A0}" destId="{40CF5C0B-99F9-461B-A412-526099B9E08B}" srcOrd="0" destOrd="0" presId="urn:microsoft.com/office/officeart/2005/8/layout/orgChart1"/>
    <dgm:cxn modelId="{1416A665-8C71-4160-800E-37FAF37F28A0}" type="presOf" srcId="{5E4DF5FD-83E1-4DA7-AAFD-F9CE28420989}" destId="{0BB81E3E-AC56-4C2F-A909-9A2663BC068C}" srcOrd="0" destOrd="0" presId="urn:microsoft.com/office/officeart/2005/8/layout/orgChart1"/>
    <dgm:cxn modelId="{BC21E6AE-F074-4838-9547-0B4A4CF480A8}" type="presOf" srcId="{AE90CE70-1BC6-4A8D-B6D1-78B1D94190B0}" destId="{8499AF18-54D2-44CA-94D7-E078CFC6DEF2}" srcOrd="1" destOrd="0" presId="urn:microsoft.com/office/officeart/2005/8/layout/orgChart1"/>
    <dgm:cxn modelId="{48F2F52D-9BF0-4E26-AF7C-B4E62C403ABA}" type="presOf" srcId="{8BD13B37-A196-4519-BE6F-BE7D1BD80B52}" destId="{19F0EA0C-6C0C-42BA-BC77-D89755596647}" srcOrd="1" destOrd="0" presId="urn:microsoft.com/office/officeart/2005/8/layout/orgChart1"/>
    <dgm:cxn modelId="{BCEECDC0-8E30-4D91-831A-A637C4BB7C4F}" type="presOf" srcId="{33702F50-0D8D-40F8-98B7-9E2878C7F0D1}" destId="{A3B3C751-5BF0-4D25-9FFB-4C869D9BE6C3}" srcOrd="1" destOrd="0" presId="urn:microsoft.com/office/officeart/2005/8/layout/orgChart1"/>
    <dgm:cxn modelId="{725CDA4C-3543-463F-9E53-79545103A333}" type="presOf" srcId="{4C384DE9-DEC6-480F-8F41-D0D62F00CDA0}" destId="{19C0768C-0F40-4597-AD8D-DCE702D9031E}" srcOrd="0" destOrd="0" presId="urn:microsoft.com/office/officeart/2005/8/layout/orgChart1"/>
    <dgm:cxn modelId="{9B198B73-277B-4BE3-8A06-8BCCF6F55BD8}" type="presOf" srcId="{766BCFF3-83B7-496C-A15B-C0F28F869C68}" destId="{FDA48958-368F-49FB-9D0A-C13F9BD9517C}" srcOrd="1" destOrd="0" presId="urn:microsoft.com/office/officeart/2005/8/layout/orgChart1"/>
    <dgm:cxn modelId="{41CD798B-5709-4B8D-BBF6-7376237C0336}" type="presOf" srcId="{CCD2C872-B113-4F6B-A4CD-846A4E9E681A}" destId="{4CA1F0F0-B3B6-47EB-928D-B5E845D31B67}" srcOrd="1" destOrd="0" presId="urn:microsoft.com/office/officeart/2005/8/layout/orgChart1"/>
    <dgm:cxn modelId="{0DFBEC51-F66C-4F11-BD4D-62B1D5803925}" type="presOf" srcId="{1ACD89F7-7A7E-49AA-99E5-5E1F43F9C0C3}" destId="{044332DE-6523-46D1-9BD1-B918F972E536}" srcOrd="1" destOrd="0" presId="urn:microsoft.com/office/officeart/2005/8/layout/orgChart1"/>
    <dgm:cxn modelId="{EE618242-AC85-4FFC-97F3-8CECA0E3B1DF}" type="presOf" srcId="{97C4147D-355B-42C3-A9C1-09C8C8510882}" destId="{848AAB3A-A2E4-43F2-AD51-BC93B89409A1}" srcOrd="0" destOrd="0" presId="urn:microsoft.com/office/officeart/2005/8/layout/orgChart1"/>
    <dgm:cxn modelId="{D4975889-B28E-4C73-8219-54C8605A8A4B}" srcId="{26DA4331-5CE5-42F6-AF46-B7D80A62DAC5}" destId="{7E213AE3-9289-4A9E-8284-48EFCDA8F209}" srcOrd="0" destOrd="0" parTransId="{D0B3C796-7FD4-4453-BFCD-44DE6D33ABBB}" sibTransId="{750FECE6-BA1B-464D-BCD5-37BFA09132F9}"/>
    <dgm:cxn modelId="{AF9A9281-2A21-4221-9E9E-8DA113DED50D}" type="presOf" srcId="{8BD13B37-A196-4519-BE6F-BE7D1BD80B52}" destId="{40C29A57-C1C2-49D0-8878-A6E5F0BE8CB4}" srcOrd="0" destOrd="0" presId="urn:microsoft.com/office/officeart/2005/8/layout/orgChart1"/>
    <dgm:cxn modelId="{70AC75AE-6C72-4BD1-A2BB-4CA9C9D02310}" type="presOf" srcId="{29CB437B-11C0-44A0-A142-48F6DF6E4ACB}" destId="{7F043D58-4F60-4CF9-8BF4-35EE3B853AE1}" srcOrd="0" destOrd="0" presId="urn:microsoft.com/office/officeart/2005/8/layout/orgChart1"/>
    <dgm:cxn modelId="{6CFB5482-4604-4AE3-A4B2-59F91FDEEA6B}" srcId="{33702F50-0D8D-40F8-98B7-9E2878C7F0D1}" destId="{0A6E2B67-45A7-4AD1-B873-5E06ACA3AA78}" srcOrd="0" destOrd="0" parTransId="{CB7B219B-BC9C-4A1E-AE40-4B7195548E31}" sibTransId="{D6FC07DD-70CD-4303-87FE-C316A953C068}"/>
    <dgm:cxn modelId="{9EB3FA7D-46C2-416E-8057-D5807A1AF643}" type="presOf" srcId="{5BF4F84D-34F0-4674-BDBC-49060535982C}" destId="{D367F06C-3A3F-45CA-A1CF-5C7445D2B417}" srcOrd="0" destOrd="0" presId="urn:microsoft.com/office/officeart/2005/8/layout/orgChart1"/>
    <dgm:cxn modelId="{6EECD9F1-EFE6-411F-A941-FE7BA4CE6E7E}" type="presOf" srcId="{7A744635-266F-4905-BECC-F5E3B9313C24}" destId="{10F2E8FD-7E4B-4078-86BB-1684D3AAAD0F}" srcOrd="0" destOrd="0" presId="urn:microsoft.com/office/officeart/2005/8/layout/orgChart1"/>
    <dgm:cxn modelId="{E0A88295-FF5A-4F4F-BAB5-32ADF1A45F4E}" srcId="{C4C2911D-3996-4600-ACA5-2A248B290449}" destId="{4A632E9F-CA01-4B38-BBBC-D1AEED09B238}" srcOrd="0" destOrd="0" parTransId="{331D91B0-585F-4EFC-9539-9FA65C60A144}" sibTransId="{7524A824-23D0-46D5-927F-91BF869AE479}"/>
    <dgm:cxn modelId="{85071CB4-2B20-4DFD-BFA0-7944F80F76DF}" type="presOf" srcId="{86AFCED9-881B-4E56-A8D7-592E44A178B6}" destId="{BDC7E489-C5D4-42D2-92CA-3452BB32306C}" srcOrd="0" destOrd="0" presId="urn:microsoft.com/office/officeart/2005/8/layout/orgChart1"/>
    <dgm:cxn modelId="{CA15D724-E766-45A7-B19B-AEF321322E50}" type="presOf" srcId="{F2622D98-8EA0-4726-9904-073D750E15B4}" destId="{18987297-4384-4D86-BF70-2A5B7874E143}" srcOrd="0" destOrd="0" presId="urn:microsoft.com/office/officeart/2005/8/layout/orgChart1"/>
    <dgm:cxn modelId="{7978129E-E20E-434C-A6F1-F8E973255ADF}" type="presOf" srcId="{9DC1473D-399F-4711-B62C-5C4C1CB52BA3}" destId="{51E3A570-616C-4C8D-A74B-659472A1748F}" srcOrd="1" destOrd="0" presId="urn:microsoft.com/office/officeart/2005/8/layout/orgChart1"/>
    <dgm:cxn modelId="{7DAD8D55-CAA3-48FA-AE1A-DE59BBA8D42D}" type="presOf" srcId="{0A6E2B67-45A7-4AD1-B873-5E06ACA3AA78}" destId="{02CA2350-E5BF-4221-8929-693761DA207C}" srcOrd="1" destOrd="0" presId="urn:microsoft.com/office/officeart/2005/8/layout/orgChart1"/>
    <dgm:cxn modelId="{E03F0305-95F6-4674-8A1E-6AEBB945162B}" type="presOf" srcId="{7A744635-266F-4905-BECC-F5E3B9313C24}" destId="{22563636-D78A-40E7-A15D-4A9074A1BC71}" srcOrd="1" destOrd="0" presId="urn:microsoft.com/office/officeart/2005/8/layout/orgChart1"/>
    <dgm:cxn modelId="{6C9CAF91-4068-43E5-9B8F-4E185710BE42}" srcId="{33702F50-0D8D-40F8-98B7-9E2878C7F0D1}" destId="{766BCFF3-83B7-496C-A15B-C0F28F869C68}" srcOrd="1" destOrd="0" parTransId="{D6316EE9-E58D-4BB3-8D83-459F295A2F79}" sibTransId="{92B7DF32-D99A-4AF3-9327-EE8F903C3765}"/>
    <dgm:cxn modelId="{3653C4D6-767B-4ECD-A637-EAA864BF3573}" type="presOf" srcId="{F2622D98-8EA0-4726-9904-073D750E15B4}" destId="{E92138E3-A193-4570-8A9D-1F23EEF68BA6}" srcOrd="1" destOrd="0" presId="urn:microsoft.com/office/officeart/2005/8/layout/orgChart1"/>
    <dgm:cxn modelId="{0BE7D005-191E-43AA-9B67-C741F2240697}" type="presOf" srcId="{E6AAA51F-7324-4D8A-B7B3-33ACED521A1B}" destId="{56123A4E-8353-4471-8A96-8E5EA4E49438}" srcOrd="0" destOrd="0" presId="urn:microsoft.com/office/officeart/2005/8/layout/orgChart1"/>
    <dgm:cxn modelId="{B5F79A8F-66AA-4F57-962C-7DE86ADC138A}" srcId="{4A632E9F-CA01-4B38-BBBC-D1AEED09B238}" destId="{33702F50-0D8D-40F8-98B7-9E2878C7F0D1}" srcOrd="0" destOrd="0" parTransId="{E6AAA51F-7324-4D8A-B7B3-33ACED521A1B}" sibTransId="{8B11A64D-2A3C-4979-987D-766F80DDE66F}"/>
    <dgm:cxn modelId="{3EA16E60-70A5-495D-9B5E-488DDD2E4903}" type="presOf" srcId="{4A632E9F-CA01-4B38-BBBC-D1AEED09B238}" destId="{A47E2B03-02FB-4A2F-A671-9BD5B7D5089B}" srcOrd="0" destOrd="0" presId="urn:microsoft.com/office/officeart/2005/8/layout/orgChart1"/>
    <dgm:cxn modelId="{6917565C-3D4E-4287-B670-037118CCC14C}" srcId="{766BCFF3-83B7-496C-A15B-C0F28F869C68}" destId="{42358016-CC8D-4187-893D-A46E3B37D105}" srcOrd="0" destOrd="0" parTransId="{5F01A54A-7232-4FAE-96F4-395EF85240EC}" sibTransId="{08383373-170C-4C3C-AB49-A133AC9C66EA}"/>
    <dgm:cxn modelId="{C6E03647-116E-40DB-B179-1B6CCE82ECB5}" type="presOf" srcId="{766BCFF3-83B7-496C-A15B-C0F28F869C68}" destId="{CBD51592-8B7A-4A03-9655-4A5136B29450}" srcOrd="0" destOrd="0" presId="urn:microsoft.com/office/officeart/2005/8/layout/orgChart1"/>
    <dgm:cxn modelId="{0F07D046-3D96-4D69-B8BE-DE2DFC966661}" type="presOf" srcId="{C31E67BB-1C3B-4ADA-B02A-BE8704E1F670}" destId="{2645185A-DAAB-4A80-B801-A42F817104D3}" srcOrd="0" destOrd="0" presId="urn:microsoft.com/office/officeart/2005/8/layout/orgChart1"/>
    <dgm:cxn modelId="{573B9C72-D53D-4973-BFF3-8FBAD328123B}" type="presOf" srcId="{26DA4331-5CE5-42F6-AF46-B7D80A62DAC5}" destId="{2296A37E-1027-4F17-8E23-96BCB212C4B9}" srcOrd="0" destOrd="0" presId="urn:microsoft.com/office/officeart/2005/8/layout/orgChart1"/>
    <dgm:cxn modelId="{EF39F595-08A8-4F53-A044-F81A745ADF3D}" type="presOf" srcId="{9DC1473D-399F-4711-B62C-5C4C1CB52BA3}" destId="{6B310D71-C8BB-40E7-BB81-A97200B87B2F}" srcOrd="0" destOrd="0" presId="urn:microsoft.com/office/officeart/2005/8/layout/orgChart1"/>
    <dgm:cxn modelId="{DD1FA9B2-D2A7-4156-AAC7-CBF1D5F06BAA}" srcId="{8BD13B37-A196-4519-BE6F-BE7D1BD80B52}" destId="{CCD2C872-B113-4F6B-A4CD-846A4E9E681A}" srcOrd="2" destOrd="0" parTransId="{51079894-9A00-44A4-8837-751A110772EF}" sibTransId="{8973F6F1-9FED-44AC-8077-0777CDB54034}"/>
    <dgm:cxn modelId="{EC236E40-506D-414F-A25D-5FB8D798AC31}" type="presOf" srcId="{0BBBCB2D-C9A4-4AD5-B990-C2669CAF1B33}" destId="{D52F8A09-CC4E-4DA7-8941-6B1C0DBE58C3}" srcOrd="0" destOrd="0" presId="urn:microsoft.com/office/officeart/2005/8/layout/orgChart1"/>
    <dgm:cxn modelId="{4F51DF8F-8790-47E6-AC7E-2A5516A0E34E}" srcId="{1ACD89F7-7A7E-49AA-99E5-5E1F43F9C0C3}" destId="{86AFCED9-881B-4E56-A8D7-592E44A178B6}" srcOrd="2" destOrd="0" parTransId="{0E834E5B-5750-4813-81FB-75B103238427}" sibTransId="{21D4AF13-452D-4663-90AE-06D895B2D2C0}"/>
    <dgm:cxn modelId="{4AAEBD8C-9142-43D3-8C8C-AD3C73982E55}" srcId="{F2622D98-8EA0-4726-9904-073D750E15B4}" destId="{7294EBF6-3850-4E00-8350-1C45F607DAE9}" srcOrd="2" destOrd="0" parTransId="{CE6A3589-4DF9-40C9-9C60-958E44A8BFCB}" sibTransId="{70329A9D-B5E2-4ED5-AF06-D532DEBB56F5}"/>
    <dgm:cxn modelId="{C1449A36-9283-4830-A085-A7A76E99E954}" type="presOf" srcId="{51079894-9A00-44A4-8837-751A110772EF}" destId="{093B5977-2B4A-48B3-9913-B9C36FFC6C4F}" srcOrd="0" destOrd="0" presId="urn:microsoft.com/office/officeart/2005/8/layout/orgChart1"/>
    <dgm:cxn modelId="{D3BE1B14-7A7D-4324-B19B-24F693C3C50C}" type="presOf" srcId="{7DE250CE-7C2C-493E-B4F9-C2E21C8A410E}" destId="{85C7C85B-8177-4630-B342-32A7A00B6333}" srcOrd="1" destOrd="0" presId="urn:microsoft.com/office/officeart/2005/8/layout/orgChart1"/>
    <dgm:cxn modelId="{D0069B01-FD94-4B11-8C5A-97841996C7EE}" type="presOf" srcId="{2400D4D7-CF12-404F-8D5C-20FFF2B36B8A}" destId="{883230B4-BF70-4DE2-A1F6-880039D12CD0}" srcOrd="0" destOrd="0" presId="urn:microsoft.com/office/officeart/2005/8/layout/orgChart1"/>
    <dgm:cxn modelId="{51025FE9-53C3-4E12-9D2B-8019E5B24DAD}" type="presOf" srcId="{7AB3AC0E-114B-40DF-98E8-23052373698E}" destId="{5863F7D9-8254-4E29-A6BF-AC2012ABA74F}" srcOrd="1" destOrd="0" presId="urn:microsoft.com/office/officeart/2005/8/layout/orgChart1"/>
    <dgm:cxn modelId="{D51FB15B-69CB-444B-BE4B-38F60F02612A}" srcId="{30711104-DAA5-493B-9DAF-6C94E27A362A}" destId="{26DA4331-5CE5-42F6-AF46-B7D80A62DAC5}" srcOrd="0" destOrd="0" parTransId="{4A728670-31BD-4B1A-ADCF-77C0985522B3}" sibTransId="{2E9E37C8-E82C-4533-818B-9AD8CB0024BF}"/>
    <dgm:cxn modelId="{331418FF-0B54-428E-BBE6-58FCEE1F2B51}" type="presOf" srcId="{7DE250CE-7C2C-493E-B4F9-C2E21C8A410E}" destId="{73342660-5C3C-4B41-A5EB-06399B232F72}" srcOrd="0" destOrd="0" presId="urn:microsoft.com/office/officeart/2005/8/layout/orgChart1"/>
    <dgm:cxn modelId="{3BB58356-E022-40B7-8970-AB28CC57279A}" type="presOf" srcId="{5F01A54A-7232-4FAE-96F4-395EF85240EC}" destId="{3BAFDB2E-263B-4460-9A75-A89987043A6C}" srcOrd="0" destOrd="0" presId="urn:microsoft.com/office/officeart/2005/8/layout/orgChart1"/>
    <dgm:cxn modelId="{9E99AFA3-545A-4FB7-BAAF-2ABD85202411}" type="presOf" srcId="{CB7B219B-BC9C-4A1E-AE40-4B7195548E31}" destId="{915E4097-DE4F-48C3-895E-52CF0E1AC70F}" srcOrd="0" destOrd="0" presId="urn:microsoft.com/office/officeart/2005/8/layout/orgChart1"/>
    <dgm:cxn modelId="{292AE82C-0DFB-4D11-84A3-F3C483EC7151}" srcId="{26DA4331-5CE5-42F6-AF46-B7D80A62DAC5}" destId="{7DE250CE-7C2C-493E-B4F9-C2E21C8A410E}" srcOrd="1" destOrd="0" parTransId="{29CB437B-11C0-44A0-A142-48F6DF6E4ACB}" sibTransId="{F6650228-FD5D-44A6-AC67-4B49C4ED50D5}"/>
    <dgm:cxn modelId="{44BC76BF-9312-40B7-80CF-6EBE5009B7F8}" srcId="{8BD13B37-A196-4519-BE6F-BE7D1BD80B52}" destId="{2400D4D7-CF12-404F-8D5C-20FFF2B36B8A}" srcOrd="0" destOrd="0" parTransId="{47E93154-7F85-440B-AD97-8CE88E61FBD2}" sibTransId="{A4CB4C28-67EA-4D7C-B5A7-A6DF3B9BB06B}"/>
    <dgm:cxn modelId="{C50221D7-03B7-4657-9977-DB0F1B9C3A27}" type="presOf" srcId="{FBC5A526-5614-4D6F-857A-C458AC1397EF}" destId="{5AAE64E2-6782-489C-8177-0FECA6F8C8D9}" srcOrd="0" destOrd="0" presId="urn:microsoft.com/office/officeart/2005/8/layout/orgChart1"/>
    <dgm:cxn modelId="{9A9F7F76-2791-40BA-9ACD-823AC6C53927}" type="presOf" srcId="{7294EBF6-3850-4E00-8350-1C45F607DAE9}" destId="{84D3B2CF-EEB9-40FB-B739-F50860885659}" srcOrd="1" destOrd="0" presId="urn:microsoft.com/office/officeart/2005/8/layout/orgChart1"/>
    <dgm:cxn modelId="{EB14F856-3514-4A0D-B3E1-39C0758EB7B1}" type="presOf" srcId="{D3FA9973-EA01-4F51-A48A-81471415A2A0}" destId="{B0CA7445-47ED-4209-87DE-B037F094C227}" srcOrd="1" destOrd="0" presId="urn:microsoft.com/office/officeart/2005/8/layout/orgChart1"/>
    <dgm:cxn modelId="{21FCD18F-62E4-43A9-B8FC-41D68B359D94}" type="presOf" srcId="{30711104-DAA5-493B-9DAF-6C94E27A362A}" destId="{4D33A532-03BD-4993-9D24-86B6BE10DEEE}" srcOrd="1" destOrd="0" presId="urn:microsoft.com/office/officeart/2005/8/layout/orgChart1"/>
    <dgm:cxn modelId="{ABBC148D-97FF-445E-A18D-ECD49A7F2BF5}" type="presOf" srcId="{86AFCED9-881B-4E56-A8D7-592E44A178B6}" destId="{CFA840E1-D742-454A-A3A5-A9770B12FFF0}" srcOrd="1" destOrd="0" presId="urn:microsoft.com/office/officeart/2005/8/layout/orgChart1"/>
    <dgm:cxn modelId="{E23DDF03-3DB9-4E46-8841-9F8E6C794AAF}" srcId="{26DA4331-5CE5-42F6-AF46-B7D80A62DAC5}" destId="{7AB3AC0E-114B-40DF-98E8-23052373698E}" srcOrd="3" destOrd="0" parTransId="{5E4DF5FD-83E1-4DA7-AAFD-F9CE28420989}" sibTransId="{871F76BF-5364-4043-84D3-E21C24B91E5F}"/>
    <dgm:cxn modelId="{F3650F13-37F7-4425-9319-3BE5CC9B6BB4}" srcId="{766BCFF3-83B7-496C-A15B-C0F28F869C68}" destId="{63E2331F-AA24-4ADD-B0A2-E1CB625866D2}" srcOrd="1" destOrd="0" parTransId="{B98D8532-DB8F-44B7-8496-2A67DB116BAD}" sibTransId="{4F815D3D-6943-44D7-8E24-67CC21279BCA}"/>
    <dgm:cxn modelId="{6147097A-6D41-4F65-946B-8270E5F02706}" srcId="{F2622D98-8EA0-4726-9904-073D750E15B4}" destId="{7A744635-266F-4905-BECC-F5E3B9313C24}" srcOrd="1" destOrd="0" parTransId="{0BBBCB2D-C9A4-4AD5-B990-C2669CAF1B33}" sibTransId="{038DE747-556A-4A59-96F9-8ABAFCE60609}"/>
    <dgm:cxn modelId="{C16C5897-8F25-458F-9624-9DC566601162}" srcId="{4A632E9F-CA01-4B38-BBBC-D1AEED09B238}" destId="{30711104-DAA5-493B-9DAF-6C94E27A362A}" srcOrd="2" destOrd="0" parTransId="{CD04F478-77E6-4A88-8811-D7777A280D63}" sibTransId="{8C24F040-642E-4A57-A295-005E914F3BA9}"/>
    <dgm:cxn modelId="{B0357732-C3D4-4123-88AE-A6954F3DC241}" srcId="{766BCFF3-83B7-496C-A15B-C0F28F869C68}" destId="{A04D9F54-3B04-4C54-8282-DE3F0C06CA5B}" srcOrd="2" destOrd="0" parTransId="{4C384DE9-DEC6-480F-8F41-D0D62F00CDA0}" sibTransId="{770726E2-D169-42B4-8114-221BC5F545B5}"/>
    <dgm:cxn modelId="{8E2F27E4-B127-4F6F-87F4-9CD240A68D7E}" type="presOf" srcId="{7AB3AC0E-114B-40DF-98E8-23052373698E}" destId="{716B72CD-21F9-46FB-9392-0C67DC20C119}" srcOrd="0" destOrd="0" presId="urn:microsoft.com/office/officeart/2005/8/layout/orgChart1"/>
    <dgm:cxn modelId="{EF2A87B7-AC50-4081-9D4F-5B929229FC50}" type="presOf" srcId="{D0B3C796-7FD4-4453-BFCD-44DE6D33ABBB}" destId="{FA730D86-869E-4CE4-A7E2-ACC0CBD2844C}" srcOrd="0" destOrd="0" presId="urn:microsoft.com/office/officeart/2005/8/layout/orgChart1"/>
    <dgm:cxn modelId="{71E07BAF-486F-4075-91A1-A81EE9825B83}" type="presOf" srcId="{42358016-CC8D-4187-893D-A46E3B37D105}" destId="{D800451E-D1C5-4262-AB3F-F5BB903430EB}" srcOrd="1" destOrd="0" presId="urn:microsoft.com/office/officeart/2005/8/layout/orgChart1"/>
    <dgm:cxn modelId="{F6BE316D-24DD-476D-B9C1-6E1FE98160CB}" type="presParOf" srcId="{D08AB2CA-A085-44D5-8CCB-7592D640DC08}" destId="{FD8EF2D6-4B8D-4970-8B6D-DE0B0528CCB7}" srcOrd="0" destOrd="0" presId="urn:microsoft.com/office/officeart/2005/8/layout/orgChart1"/>
    <dgm:cxn modelId="{FDB39987-1C01-4D56-B715-1EA48BECA168}" type="presParOf" srcId="{FD8EF2D6-4B8D-4970-8B6D-DE0B0528CCB7}" destId="{56C9BB59-46C3-44B7-A245-0B7F9ED3D8FC}" srcOrd="0" destOrd="0" presId="urn:microsoft.com/office/officeart/2005/8/layout/orgChart1"/>
    <dgm:cxn modelId="{4F539C66-CF02-4502-B439-9AE976160F73}" type="presParOf" srcId="{56C9BB59-46C3-44B7-A245-0B7F9ED3D8FC}" destId="{A47E2B03-02FB-4A2F-A671-9BD5B7D5089B}" srcOrd="0" destOrd="0" presId="urn:microsoft.com/office/officeart/2005/8/layout/orgChart1"/>
    <dgm:cxn modelId="{4A751F8F-BBB9-4E40-91F4-C74C1FA94F78}" type="presParOf" srcId="{56C9BB59-46C3-44B7-A245-0B7F9ED3D8FC}" destId="{BB07F2EA-2AB5-4169-810B-2CE4A47E38EE}" srcOrd="1" destOrd="0" presId="urn:microsoft.com/office/officeart/2005/8/layout/orgChart1"/>
    <dgm:cxn modelId="{AFA3E53E-E88E-4525-ACFB-052D161F3ADC}" type="presParOf" srcId="{FD8EF2D6-4B8D-4970-8B6D-DE0B0528CCB7}" destId="{5DC022D6-BF71-470B-B87D-97A909296ED0}" srcOrd="1" destOrd="0" presId="urn:microsoft.com/office/officeart/2005/8/layout/orgChart1"/>
    <dgm:cxn modelId="{DC6F882A-E601-4672-AFB2-3D7E167F8425}" type="presParOf" srcId="{5DC022D6-BF71-470B-B87D-97A909296ED0}" destId="{56123A4E-8353-4471-8A96-8E5EA4E49438}" srcOrd="0" destOrd="0" presId="urn:microsoft.com/office/officeart/2005/8/layout/orgChart1"/>
    <dgm:cxn modelId="{D2DB2D0E-B50C-47BF-929B-33D67D195981}" type="presParOf" srcId="{5DC022D6-BF71-470B-B87D-97A909296ED0}" destId="{43BDD859-794D-4C7D-A881-BCA584F3CB54}" srcOrd="1" destOrd="0" presId="urn:microsoft.com/office/officeart/2005/8/layout/orgChart1"/>
    <dgm:cxn modelId="{0812723D-E9BD-4DDE-B1D7-F6B30D0D5302}" type="presParOf" srcId="{43BDD859-794D-4C7D-A881-BCA584F3CB54}" destId="{E9E282C5-D5EC-4989-BAC3-7B5EE6C8B5D2}" srcOrd="0" destOrd="0" presId="urn:microsoft.com/office/officeart/2005/8/layout/orgChart1"/>
    <dgm:cxn modelId="{4C00E290-276E-4ADB-9C4C-6DFCB3EA1FDA}" type="presParOf" srcId="{E9E282C5-D5EC-4989-BAC3-7B5EE6C8B5D2}" destId="{DDF93D61-F0E4-4DE5-B0C8-CD9EBBFFB373}" srcOrd="0" destOrd="0" presId="urn:microsoft.com/office/officeart/2005/8/layout/orgChart1"/>
    <dgm:cxn modelId="{3ABB8C1D-FAE0-441D-A43B-F1FD2267B955}" type="presParOf" srcId="{E9E282C5-D5EC-4989-BAC3-7B5EE6C8B5D2}" destId="{A3B3C751-5BF0-4D25-9FFB-4C869D9BE6C3}" srcOrd="1" destOrd="0" presId="urn:microsoft.com/office/officeart/2005/8/layout/orgChart1"/>
    <dgm:cxn modelId="{31436B6A-9C13-4F74-ADC2-48F1EEC8C8BF}" type="presParOf" srcId="{43BDD859-794D-4C7D-A881-BCA584F3CB54}" destId="{BDE7A7CC-1200-4FBB-9260-34B31A4E11B1}" srcOrd="1" destOrd="0" presId="urn:microsoft.com/office/officeart/2005/8/layout/orgChart1"/>
    <dgm:cxn modelId="{BF62B041-B66E-4435-A50F-354EBD55C991}" type="presParOf" srcId="{BDE7A7CC-1200-4FBB-9260-34B31A4E11B1}" destId="{915E4097-DE4F-48C3-895E-52CF0E1AC70F}" srcOrd="0" destOrd="0" presId="urn:microsoft.com/office/officeart/2005/8/layout/orgChart1"/>
    <dgm:cxn modelId="{C0607BBC-C813-4B5C-8402-0669108BD8FB}" type="presParOf" srcId="{BDE7A7CC-1200-4FBB-9260-34B31A4E11B1}" destId="{7FFA529C-6BCA-4FF4-8951-883C063DCF8B}" srcOrd="1" destOrd="0" presId="urn:microsoft.com/office/officeart/2005/8/layout/orgChart1"/>
    <dgm:cxn modelId="{E36034C0-794A-4F76-80AB-0AC1C35D8679}" type="presParOf" srcId="{7FFA529C-6BCA-4FF4-8951-883C063DCF8B}" destId="{47091CA1-961F-4A2F-9653-2E7D0EAC7825}" srcOrd="0" destOrd="0" presId="urn:microsoft.com/office/officeart/2005/8/layout/orgChart1"/>
    <dgm:cxn modelId="{9552FA83-A887-400C-B937-D5189711659A}" type="presParOf" srcId="{47091CA1-961F-4A2F-9653-2E7D0EAC7825}" destId="{8F06BBE7-EBEC-4F2F-90E6-E2C8BA918E65}" srcOrd="0" destOrd="0" presId="urn:microsoft.com/office/officeart/2005/8/layout/orgChart1"/>
    <dgm:cxn modelId="{EC036EED-DA3F-4392-918E-E0452C1D3727}" type="presParOf" srcId="{47091CA1-961F-4A2F-9653-2E7D0EAC7825}" destId="{02CA2350-E5BF-4221-8929-693761DA207C}" srcOrd="1" destOrd="0" presId="urn:microsoft.com/office/officeart/2005/8/layout/orgChart1"/>
    <dgm:cxn modelId="{4864DB75-50B1-4C5E-9E11-174235AD11C9}" type="presParOf" srcId="{7FFA529C-6BCA-4FF4-8951-883C063DCF8B}" destId="{F55E7B87-D134-4514-8C8D-064AE03C7D9D}" srcOrd="1" destOrd="0" presId="urn:microsoft.com/office/officeart/2005/8/layout/orgChart1"/>
    <dgm:cxn modelId="{1F5D0AAE-3DD0-4712-AB7B-56A042D4790B}" type="presParOf" srcId="{7FFA529C-6BCA-4FF4-8951-883C063DCF8B}" destId="{C18C81B5-4BD8-4CE0-BE6A-ED9700EA1596}" srcOrd="2" destOrd="0" presId="urn:microsoft.com/office/officeart/2005/8/layout/orgChart1"/>
    <dgm:cxn modelId="{32DA1E2D-D982-40F4-8F6C-BEBC7B28CAFA}" type="presParOf" srcId="{BDE7A7CC-1200-4FBB-9260-34B31A4E11B1}" destId="{D9426C2F-C8AF-449C-A215-9642E4C2D5AC}" srcOrd="2" destOrd="0" presId="urn:microsoft.com/office/officeart/2005/8/layout/orgChart1"/>
    <dgm:cxn modelId="{7FE66168-CCC2-4E31-B7D7-91A3A70FDD6F}" type="presParOf" srcId="{BDE7A7CC-1200-4FBB-9260-34B31A4E11B1}" destId="{4FE6E03E-F7EF-4512-BF82-73C8E9626C37}" srcOrd="3" destOrd="0" presId="urn:microsoft.com/office/officeart/2005/8/layout/orgChart1"/>
    <dgm:cxn modelId="{9B2660CA-F52D-4E77-9284-953323C5FBB2}" type="presParOf" srcId="{4FE6E03E-F7EF-4512-BF82-73C8E9626C37}" destId="{0E28D805-325F-4248-B01A-72C8BF0F836B}" srcOrd="0" destOrd="0" presId="urn:microsoft.com/office/officeart/2005/8/layout/orgChart1"/>
    <dgm:cxn modelId="{E4A2403A-50AE-4386-98C2-1EEA8741A5EF}" type="presParOf" srcId="{0E28D805-325F-4248-B01A-72C8BF0F836B}" destId="{CBD51592-8B7A-4A03-9655-4A5136B29450}" srcOrd="0" destOrd="0" presId="urn:microsoft.com/office/officeart/2005/8/layout/orgChart1"/>
    <dgm:cxn modelId="{41416A23-8B96-438C-AC64-1064F1D56DE1}" type="presParOf" srcId="{0E28D805-325F-4248-B01A-72C8BF0F836B}" destId="{FDA48958-368F-49FB-9D0A-C13F9BD9517C}" srcOrd="1" destOrd="0" presId="urn:microsoft.com/office/officeart/2005/8/layout/orgChart1"/>
    <dgm:cxn modelId="{3BD6AADC-E98F-4FE7-A32F-4745400397BD}" type="presParOf" srcId="{4FE6E03E-F7EF-4512-BF82-73C8E9626C37}" destId="{008E2F72-2823-4AA7-B4AC-29489E71AE30}" srcOrd="1" destOrd="0" presId="urn:microsoft.com/office/officeart/2005/8/layout/orgChart1"/>
    <dgm:cxn modelId="{5FC609A5-37F2-4B2C-B193-0A95E49371CE}" type="presParOf" srcId="{008E2F72-2823-4AA7-B4AC-29489E71AE30}" destId="{3BAFDB2E-263B-4460-9A75-A89987043A6C}" srcOrd="0" destOrd="0" presId="urn:microsoft.com/office/officeart/2005/8/layout/orgChart1"/>
    <dgm:cxn modelId="{8F8F87C1-1C3F-40F3-B309-7F8F70F344FD}" type="presParOf" srcId="{008E2F72-2823-4AA7-B4AC-29489E71AE30}" destId="{27D5E860-C923-414D-B970-210A2CEFC820}" srcOrd="1" destOrd="0" presId="urn:microsoft.com/office/officeart/2005/8/layout/orgChart1"/>
    <dgm:cxn modelId="{64330F7F-EAA0-439E-ADDF-8107992C8C0E}" type="presParOf" srcId="{27D5E860-C923-414D-B970-210A2CEFC820}" destId="{02CA0B9B-C767-4901-8B9A-0A6E4E269C32}" srcOrd="0" destOrd="0" presId="urn:microsoft.com/office/officeart/2005/8/layout/orgChart1"/>
    <dgm:cxn modelId="{5D691FF6-3DD1-4E05-916A-DC2D0303C7FA}" type="presParOf" srcId="{02CA0B9B-C767-4901-8B9A-0A6E4E269C32}" destId="{C5CF7D9E-EB83-4274-AAC2-76B5FDC395A5}" srcOrd="0" destOrd="0" presId="urn:microsoft.com/office/officeart/2005/8/layout/orgChart1"/>
    <dgm:cxn modelId="{53B5D767-BA1D-4404-AB75-378290FE81E0}" type="presParOf" srcId="{02CA0B9B-C767-4901-8B9A-0A6E4E269C32}" destId="{D800451E-D1C5-4262-AB3F-F5BB903430EB}" srcOrd="1" destOrd="0" presId="urn:microsoft.com/office/officeart/2005/8/layout/orgChart1"/>
    <dgm:cxn modelId="{2AABE740-3238-4AC4-B628-7B0B87C0AC71}" type="presParOf" srcId="{27D5E860-C923-414D-B970-210A2CEFC820}" destId="{7C784160-85AC-4238-9739-E066F2B4DA2C}" srcOrd="1" destOrd="0" presId="urn:microsoft.com/office/officeart/2005/8/layout/orgChart1"/>
    <dgm:cxn modelId="{4227B152-7CA2-4F5E-A7AD-2C3A6027C478}" type="presParOf" srcId="{27D5E860-C923-414D-B970-210A2CEFC820}" destId="{BD65E02B-8399-4619-8433-D37B45F80888}" srcOrd="2" destOrd="0" presId="urn:microsoft.com/office/officeart/2005/8/layout/orgChart1"/>
    <dgm:cxn modelId="{2E93CC05-3F35-4E00-A469-269864194908}" type="presParOf" srcId="{008E2F72-2823-4AA7-B4AC-29489E71AE30}" destId="{6E03F8FC-BF57-40B0-A0A4-6EE3D0A44E61}" srcOrd="2" destOrd="0" presId="urn:microsoft.com/office/officeart/2005/8/layout/orgChart1"/>
    <dgm:cxn modelId="{97C2E151-3D8E-4E87-A4CB-9F047571EE0C}" type="presParOf" srcId="{008E2F72-2823-4AA7-B4AC-29489E71AE30}" destId="{005B80D5-7844-4D83-AC83-BE51AC6C1052}" srcOrd="3" destOrd="0" presId="urn:microsoft.com/office/officeart/2005/8/layout/orgChart1"/>
    <dgm:cxn modelId="{A69446CA-F864-4A71-AFA3-15A0C9E422AF}" type="presParOf" srcId="{005B80D5-7844-4D83-AC83-BE51AC6C1052}" destId="{B2EE7208-105F-43F2-8B10-8CE888193569}" srcOrd="0" destOrd="0" presId="urn:microsoft.com/office/officeart/2005/8/layout/orgChart1"/>
    <dgm:cxn modelId="{B5DC1FF7-2718-44AC-9F65-FC2D32EF022F}" type="presParOf" srcId="{B2EE7208-105F-43F2-8B10-8CE888193569}" destId="{784F3322-5337-48A9-BC08-05306E8073BC}" srcOrd="0" destOrd="0" presId="urn:microsoft.com/office/officeart/2005/8/layout/orgChart1"/>
    <dgm:cxn modelId="{3891E659-9B57-4705-972C-FFE2D53A008E}" type="presParOf" srcId="{B2EE7208-105F-43F2-8B10-8CE888193569}" destId="{AEA9D40C-1FBF-4FF3-ACFC-98C0DAD01758}" srcOrd="1" destOrd="0" presId="urn:microsoft.com/office/officeart/2005/8/layout/orgChart1"/>
    <dgm:cxn modelId="{E8AD1956-77FC-44A9-B61F-C1FC59322B23}" type="presParOf" srcId="{005B80D5-7844-4D83-AC83-BE51AC6C1052}" destId="{B480DF14-4E2C-4F5D-8D58-B34E65085AB7}" srcOrd="1" destOrd="0" presId="urn:microsoft.com/office/officeart/2005/8/layout/orgChart1"/>
    <dgm:cxn modelId="{D825E28E-D021-4964-B127-F29FCDBE227B}" type="presParOf" srcId="{005B80D5-7844-4D83-AC83-BE51AC6C1052}" destId="{D43F060F-1024-48A6-B2F0-27771DD9A900}" srcOrd="2" destOrd="0" presId="urn:microsoft.com/office/officeart/2005/8/layout/orgChart1"/>
    <dgm:cxn modelId="{30A46465-CE88-4756-B257-D5CBF4C5283E}" type="presParOf" srcId="{008E2F72-2823-4AA7-B4AC-29489E71AE30}" destId="{19C0768C-0F40-4597-AD8D-DCE702D9031E}" srcOrd="4" destOrd="0" presId="urn:microsoft.com/office/officeart/2005/8/layout/orgChart1"/>
    <dgm:cxn modelId="{AE690A58-A557-4EE9-AFAB-3EFDFBFD451E}" type="presParOf" srcId="{008E2F72-2823-4AA7-B4AC-29489E71AE30}" destId="{E7DF528C-9A00-4F8D-92D4-A8D6DE5F653F}" srcOrd="5" destOrd="0" presId="urn:microsoft.com/office/officeart/2005/8/layout/orgChart1"/>
    <dgm:cxn modelId="{A9D9C080-B448-4C27-AF71-7A93E43950C6}" type="presParOf" srcId="{E7DF528C-9A00-4F8D-92D4-A8D6DE5F653F}" destId="{4CEDCF3A-545D-4CCD-9A18-7312B4E166D1}" srcOrd="0" destOrd="0" presId="urn:microsoft.com/office/officeart/2005/8/layout/orgChart1"/>
    <dgm:cxn modelId="{7AC317F9-D04D-4C6F-B618-60F7F7CEDD99}" type="presParOf" srcId="{4CEDCF3A-545D-4CCD-9A18-7312B4E166D1}" destId="{FC432D72-2177-4EF7-BF10-0C7A3802437A}" srcOrd="0" destOrd="0" presId="urn:microsoft.com/office/officeart/2005/8/layout/orgChart1"/>
    <dgm:cxn modelId="{C919C278-8059-424C-8DC0-3D527BC0FB31}" type="presParOf" srcId="{4CEDCF3A-545D-4CCD-9A18-7312B4E166D1}" destId="{1EB11D07-47F4-45CC-BFB3-1053F265C59D}" srcOrd="1" destOrd="0" presId="urn:microsoft.com/office/officeart/2005/8/layout/orgChart1"/>
    <dgm:cxn modelId="{38AB251D-9A24-4000-A695-3F0570442B8D}" type="presParOf" srcId="{E7DF528C-9A00-4F8D-92D4-A8D6DE5F653F}" destId="{83DC92C2-FD9A-4D42-8259-6E133334750D}" srcOrd="1" destOrd="0" presId="urn:microsoft.com/office/officeart/2005/8/layout/orgChart1"/>
    <dgm:cxn modelId="{8D480968-3670-4C7A-BA6F-70EFBA6E9A2E}" type="presParOf" srcId="{E7DF528C-9A00-4F8D-92D4-A8D6DE5F653F}" destId="{627FEACF-D432-4D67-AA95-98E0DCDB195A}" srcOrd="2" destOrd="0" presId="urn:microsoft.com/office/officeart/2005/8/layout/orgChart1"/>
    <dgm:cxn modelId="{78E75AD3-A35B-47F1-801D-9C8258786BBC}" type="presParOf" srcId="{4FE6E03E-F7EF-4512-BF82-73C8E9626C37}" destId="{E44106F7-1903-4348-A4C8-C6583BE9AC37}" srcOrd="2" destOrd="0" presId="urn:microsoft.com/office/officeart/2005/8/layout/orgChart1"/>
    <dgm:cxn modelId="{3F3DD1E5-B218-4C4C-825E-A24E0F4B024A}" type="presParOf" srcId="{43BDD859-794D-4C7D-A881-BCA584F3CB54}" destId="{490EAAF3-87A4-4DA2-A5AF-75DB0720D824}" srcOrd="2" destOrd="0" presId="urn:microsoft.com/office/officeart/2005/8/layout/orgChart1"/>
    <dgm:cxn modelId="{A22C7202-44A7-4C96-8869-C6EED5D88F4F}" type="presParOf" srcId="{5DC022D6-BF71-470B-B87D-97A909296ED0}" destId="{AD1101D6-8E64-4CE9-8556-42994709CF26}" srcOrd="2" destOrd="0" presId="urn:microsoft.com/office/officeart/2005/8/layout/orgChart1"/>
    <dgm:cxn modelId="{AAEEFA5A-C1B3-4516-A103-5B4CD3FCAF34}" type="presParOf" srcId="{5DC022D6-BF71-470B-B87D-97A909296ED0}" destId="{C102E36D-A16E-4ADA-AB02-BD196D8A7AC9}" srcOrd="3" destOrd="0" presId="urn:microsoft.com/office/officeart/2005/8/layout/orgChart1"/>
    <dgm:cxn modelId="{C3C7294B-F387-45B8-8858-CAF9C1806A54}" type="presParOf" srcId="{C102E36D-A16E-4ADA-AB02-BD196D8A7AC9}" destId="{5ECF0DAA-E544-436A-BA46-FF5DC4CF7679}" srcOrd="0" destOrd="0" presId="urn:microsoft.com/office/officeart/2005/8/layout/orgChart1"/>
    <dgm:cxn modelId="{62ABBC30-D3C5-4AA4-A0AA-EA6774AAE65B}" type="presParOf" srcId="{5ECF0DAA-E544-436A-BA46-FF5DC4CF7679}" destId="{E70D6F0E-32A6-44F5-AF06-91FEA3EDAE30}" srcOrd="0" destOrd="0" presId="urn:microsoft.com/office/officeart/2005/8/layout/orgChart1"/>
    <dgm:cxn modelId="{EC7EB1E6-D19F-496D-BACE-CA68CAD2F1E6}" type="presParOf" srcId="{5ECF0DAA-E544-436A-BA46-FF5DC4CF7679}" destId="{044332DE-6523-46D1-9BD1-B918F972E536}" srcOrd="1" destOrd="0" presId="urn:microsoft.com/office/officeart/2005/8/layout/orgChart1"/>
    <dgm:cxn modelId="{72103094-21D3-44A5-86D3-33097F3E696D}" type="presParOf" srcId="{C102E36D-A16E-4ADA-AB02-BD196D8A7AC9}" destId="{25B296B7-F772-40FA-8B9A-02BECC4C53F2}" srcOrd="1" destOrd="0" presId="urn:microsoft.com/office/officeart/2005/8/layout/orgChart1"/>
    <dgm:cxn modelId="{7CB33404-AA71-4AAC-A831-77411306131B}" type="presParOf" srcId="{25B296B7-F772-40FA-8B9A-02BECC4C53F2}" destId="{2CA96FED-ED30-49B5-8ED7-0C10C7F86968}" srcOrd="0" destOrd="0" presId="urn:microsoft.com/office/officeart/2005/8/layout/orgChart1"/>
    <dgm:cxn modelId="{3D86246D-4F6E-4BF7-B481-8ABDFA8D9AC5}" type="presParOf" srcId="{25B296B7-F772-40FA-8B9A-02BECC4C53F2}" destId="{D14BF760-45F9-4A56-98CC-DF3D905734FF}" srcOrd="1" destOrd="0" presId="urn:microsoft.com/office/officeart/2005/8/layout/orgChart1"/>
    <dgm:cxn modelId="{5583D42B-6093-48DA-8B02-B706E3D80DD6}" type="presParOf" srcId="{D14BF760-45F9-4A56-98CC-DF3D905734FF}" destId="{B3F5293C-F2DD-4DDB-AC5D-302931DAB7C9}" srcOrd="0" destOrd="0" presId="urn:microsoft.com/office/officeart/2005/8/layout/orgChart1"/>
    <dgm:cxn modelId="{D77400C0-77DF-48ED-898C-8BF58991DC51}" type="presParOf" srcId="{B3F5293C-F2DD-4DDB-AC5D-302931DAB7C9}" destId="{18987297-4384-4D86-BF70-2A5B7874E143}" srcOrd="0" destOrd="0" presId="urn:microsoft.com/office/officeart/2005/8/layout/orgChart1"/>
    <dgm:cxn modelId="{0A31AD3D-9E79-43E5-BCCE-75632F38D934}" type="presParOf" srcId="{B3F5293C-F2DD-4DDB-AC5D-302931DAB7C9}" destId="{E92138E3-A193-4570-8A9D-1F23EEF68BA6}" srcOrd="1" destOrd="0" presId="urn:microsoft.com/office/officeart/2005/8/layout/orgChart1"/>
    <dgm:cxn modelId="{6FCCFE84-68A0-481E-8DDC-45234D42CFA7}" type="presParOf" srcId="{D14BF760-45F9-4A56-98CC-DF3D905734FF}" destId="{2297304F-25FE-4929-97E5-E04502DA0015}" srcOrd="1" destOrd="0" presId="urn:microsoft.com/office/officeart/2005/8/layout/orgChart1"/>
    <dgm:cxn modelId="{0EEDEE67-1D7D-477A-A1FE-7EC00A286331}" type="presParOf" srcId="{2297304F-25FE-4929-97E5-E04502DA0015}" destId="{D367F06C-3A3F-45CA-A1CF-5C7445D2B417}" srcOrd="0" destOrd="0" presId="urn:microsoft.com/office/officeart/2005/8/layout/orgChart1"/>
    <dgm:cxn modelId="{EBE5BA05-796F-4729-B07D-3E68943C89D1}" type="presParOf" srcId="{2297304F-25FE-4929-97E5-E04502DA0015}" destId="{0321716F-F909-4670-9A82-3DE5E5EB1EC3}" srcOrd="1" destOrd="0" presId="urn:microsoft.com/office/officeart/2005/8/layout/orgChart1"/>
    <dgm:cxn modelId="{77687684-BD25-4EA0-BE3E-7A697F79F75C}" type="presParOf" srcId="{0321716F-F909-4670-9A82-3DE5E5EB1EC3}" destId="{082635EA-7259-40EC-8B74-1F773401FD42}" srcOrd="0" destOrd="0" presId="urn:microsoft.com/office/officeart/2005/8/layout/orgChart1"/>
    <dgm:cxn modelId="{E69EA60B-F890-469D-B5D2-DE79F16D4209}" type="presParOf" srcId="{082635EA-7259-40EC-8B74-1F773401FD42}" destId="{3E687EE5-37AE-4DB8-AAE2-BF630A20AE39}" srcOrd="0" destOrd="0" presId="urn:microsoft.com/office/officeart/2005/8/layout/orgChart1"/>
    <dgm:cxn modelId="{6FB35C40-9ED5-4E0B-ADB6-ADF051B5F94E}" type="presParOf" srcId="{082635EA-7259-40EC-8B74-1F773401FD42}" destId="{1AE19E34-2C6C-40CF-8DB6-D453D150FCB9}" srcOrd="1" destOrd="0" presId="urn:microsoft.com/office/officeart/2005/8/layout/orgChart1"/>
    <dgm:cxn modelId="{14CD5673-5E3B-49B2-81B9-B53A38A93252}" type="presParOf" srcId="{0321716F-F909-4670-9A82-3DE5E5EB1EC3}" destId="{5E445187-802F-4023-851B-A4449452CD27}" srcOrd="1" destOrd="0" presId="urn:microsoft.com/office/officeart/2005/8/layout/orgChart1"/>
    <dgm:cxn modelId="{3AF31051-9514-45CB-AAF7-FC7E7DDBAA0E}" type="presParOf" srcId="{0321716F-F909-4670-9A82-3DE5E5EB1EC3}" destId="{F5C443A7-3FC7-47D3-B6C4-F9690BA4A34A}" srcOrd="2" destOrd="0" presId="urn:microsoft.com/office/officeart/2005/8/layout/orgChart1"/>
    <dgm:cxn modelId="{C4E9B084-DC39-49DE-B307-336A40625D36}" type="presParOf" srcId="{2297304F-25FE-4929-97E5-E04502DA0015}" destId="{D52F8A09-CC4E-4DA7-8941-6B1C0DBE58C3}" srcOrd="2" destOrd="0" presId="urn:microsoft.com/office/officeart/2005/8/layout/orgChart1"/>
    <dgm:cxn modelId="{908B8B26-A8F7-459C-99FB-573BF0159C06}" type="presParOf" srcId="{2297304F-25FE-4929-97E5-E04502DA0015}" destId="{3C536DDB-57FF-47F5-8FF9-8C42DA8E5F3F}" srcOrd="3" destOrd="0" presId="urn:microsoft.com/office/officeart/2005/8/layout/orgChart1"/>
    <dgm:cxn modelId="{FEC6BC84-316C-4BC1-8EFD-0E7B516B4DA0}" type="presParOf" srcId="{3C536DDB-57FF-47F5-8FF9-8C42DA8E5F3F}" destId="{8A5C0927-46EE-4601-B094-DF16D2910165}" srcOrd="0" destOrd="0" presId="urn:microsoft.com/office/officeart/2005/8/layout/orgChart1"/>
    <dgm:cxn modelId="{D069E9ED-D90A-4FFE-9D56-4BCE015FA466}" type="presParOf" srcId="{8A5C0927-46EE-4601-B094-DF16D2910165}" destId="{10F2E8FD-7E4B-4078-86BB-1684D3AAAD0F}" srcOrd="0" destOrd="0" presId="urn:microsoft.com/office/officeart/2005/8/layout/orgChart1"/>
    <dgm:cxn modelId="{4877DC5C-2183-48D9-B8E0-D6DEF0DC8B66}" type="presParOf" srcId="{8A5C0927-46EE-4601-B094-DF16D2910165}" destId="{22563636-D78A-40E7-A15D-4A9074A1BC71}" srcOrd="1" destOrd="0" presId="urn:microsoft.com/office/officeart/2005/8/layout/orgChart1"/>
    <dgm:cxn modelId="{A2DED270-23ED-43B1-BE7F-28270940913E}" type="presParOf" srcId="{3C536DDB-57FF-47F5-8FF9-8C42DA8E5F3F}" destId="{72190995-105C-40EA-A473-1464FE18CCE4}" srcOrd="1" destOrd="0" presId="urn:microsoft.com/office/officeart/2005/8/layout/orgChart1"/>
    <dgm:cxn modelId="{74BCB6E3-0C51-44F8-ABFE-7CE4BDE0AF62}" type="presParOf" srcId="{3C536DDB-57FF-47F5-8FF9-8C42DA8E5F3F}" destId="{2E605E57-98E9-4064-88E3-44A73E907965}" srcOrd="2" destOrd="0" presId="urn:microsoft.com/office/officeart/2005/8/layout/orgChart1"/>
    <dgm:cxn modelId="{B83E1880-EDAB-4A20-B35A-69946C002B64}" type="presParOf" srcId="{2297304F-25FE-4929-97E5-E04502DA0015}" destId="{BEA138B3-67FF-4BC4-950C-5E90867D6967}" srcOrd="4" destOrd="0" presId="urn:microsoft.com/office/officeart/2005/8/layout/orgChart1"/>
    <dgm:cxn modelId="{0DD7EA26-0A64-4238-80B0-376D8DCC3BEF}" type="presParOf" srcId="{2297304F-25FE-4929-97E5-E04502DA0015}" destId="{760B2FA5-83A7-41A3-9608-A6E86B2D0355}" srcOrd="5" destOrd="0" presId="urn:microsoft.com/office/officeart/2005/8/layout/orgChart1"/>
    <dgm:cxn modelId="{798D1127-69EE-4F64-9FC8-B90D53207BF5}" type="presParOf" srcId="{760B2FA5-83A7-41A3-9608-A6E86B2D0355}" destId="{880C1EDA-7BB4-4C2E-A4AF-1D5974F008EB}" srcOrd="0" destOrd="0" presId="urn:microsoft.com/office/officeart/2005/8/layout/orgChart1"/>
    <dgm:cxn modelId="{65BCD063-056D-49E6-B4DD-637FA04A20DB}" type="presParOf" srcId="{880C1EDA-7BB4-4C2E-A4AF-1D5974F008EB}" destId="{B9AF1901-A856-4069-9B2B-E443EB355303}" srcOrd="0" destOrd="0" presId="urn:microsoft.com/office/officeart/2005/8/layout/orgChart1"/>
    <dgm:cxn modelId="{7C570271-EAA7-47D2-8A75-A68B19536ED5}" type="presParOf" srcId="{880C1EDA-7BB4-4C2E-A4AF-1D5974F008EB}" destId="{84D3B2CF-EEB9-40FB-B739-F50860885659}" srcOrd="1" destOrd="0" presId="urn:microsoft.com/office/officeart/2005/8/layout/orgChart1"/>
    <dgm:cxn modelId="{6CEC0317-7B1D-406E-A9DF-D9ED023A0636}" type="presParOf" srcId="{760B2FA5-83A7-41A3-9608-A6E86B2D0355}" destId="{F1EBDE76-A28B-4979-B3EE-E394F1B0D550}" srcOrd="1" destOrd="0" presId="urn:microsoft.com/office/officeart/2005/8/layout/orgChart1"/>
    <dgm:cxn modelId="{D1FE32CC-14F8-4022-A2EE-2B3D48624496}" type="presParOf" srcId="{760B2FA5-83A7-41A3-9608-A6E86B2D0355}" destId="{2133DC5F-96B4-49EF-84BB-777E8037696F}" srcOrd="2" destOrd="0" presId="urn:microsoft.com/office/officeart/2005/8/layout/orgChart1"/>
    <dgm:cxn modelId="{C1A21A4B-A847-4DB9-91FD-1EE63AFAC145}" type="presParOf" srcId="{D14BF760-45F9-4A56-98CC-DF3D905734FF}" destId="{22CF333B-3012-471F-8D1A-1FD3DB1B383A}" srcOrd="2" destOrd="0" presId="urn:microsoft.com/office/officeart/2005/8/layout/orgChart1"/>
    <dgm:cxn modelId="{20CF04C9-F69A-4F87-88D1-FFF9FF9E2E51}" type="presParOf" srcId="{25B296B7-F772-40FA-8B9A-02BECC4C53F2}" destId="{9D497B2C-0E58-4431-A104-3361CBEC38D5}" srcOrd="2" destOrd="0" presId="urn:microsoft.com/office/officeart/2005/8/layout/orgChart1"/>
    <dgm:cxn modelId="{B36B306D-2231-48CE-A20A-CC8386E9E6C6}" type="presParOf" srcId="{25B296B7-F772-40FA-8B9A-02BECC4C53F2}" destId="{21085D1C-D648-4344-BD35-D881DF452522}" srcOrd="3" destOrd="0" presId="urn:microsoft.com/office/officeart/2005/8/layout/orgChart1"/>
    <dgm:cxn modelId="{4273DEA4-4792-4DF5-A7E1-1D1DC155C1CC}" type="presParOf" srcId="{21085D1C-D648-4344-BD35-D881DF452522}" destId="{578C1C3B-B5A4-4E70-9084-C3C4949932E0}" srcOrd="0" destOrd="0" presId="urn:microsoft.com/office/officeart/2005/8/layout/orgChart1"/>
    <dgm:cxn modelId="{69D04545-B867-442E-9A4B-167F66FA1642}" type="presParOf" srcId="{578C1C3B-B5A4-4E70-9084-C3C4949932E0}" destId="{40C29A57-C1C2-49D0-8878-A6E5F0BE8CB4}" srcOrd="0" destOrd="0" presId="urn:microsoft.com/office/officeart/2005/8/layout/orgChart1"/>
    <dgm:cxn modelId="{E18628F8-FB6B-418A-A5F7-A199FB84FFB2}" type="presParOf" srcId="{578C1C3B-B5A4-4E70-9084-C3C4949932E0}" destId="{19F0EA0C-6C0C-42BA-BC77-D89755596647}" srcOrd="1" destOrd="0" presId="urn:microsoft.com/office/officeart/2005/8/layout/orgChart1"/>
    <dgm:cxn modelId="{4079B69A-D5A8-4D64-BC63-58219D771D4B}" type="presParOf" srcId="{21085D1C-D648-4344-BD35-D881DF452522}" destId="{3DF5E61F-4026-4BE3-9A52-4F3540F6016D}" srcOrd="1" destOrd="0" presId="urn:microsoft.com/office/officeart/2005/8/layout/orgChart1"/>
    <dgm:cxn modelId="{70FF0B1C-8793-4DDA-B1E8-8E157C37BE07}" type="presParOf" srcId="{3DF5E61F-4026-4BE3-9A52-4F3540F6016D}" destId="{01E308CB-94C3-41AE-BC51-6E8A6C8B817E}" srcOrd="0" destOrd="0" presId="urn:microsoft.com/office/officeart/2005/8/layout/orgChart1"/>
    <dgm:cxn modelId="{456B630C-5251-4629-AE1A-E8F9DDF9B911}" type="presParOf" srcId="{3DF5E61F-4026-4BE3-9A52-4F3540F6016D}" destId="{1442BEE7-F021-405F-8CE0-5751ABEA6CB3}" srcOrd="1" destOrd="0" presId="urn:microsoft.com/office/officeart/2005/8/layout/orgChart1"/>
    <dgm:cxn modelId="{8877746E-AB8B-4F63-B542-7ABBB45016DD}" type="presParOf" srcId="{1442BEE7-F021-405F-8CE0-5751ABEA6CB3}" destId="{6F6139CC-AE9C-4F8F-936D-610D4900F7E7}" srcOrd="0" destOrd="0" presId="urn:microsoft.com/office/officeart/2005/8/layout/orgChart1"/>
    <dgm:cxn modelId="{BAB1F663-15C7-4AA3-966C-A9B4F61E0CEF}" type="presParOf" srcId="{6F6139CC-AE9C-4F8F-936D-610D4900F7E7}" destId="{883230B4-BF70-4DE2-A1F6-880039D12CD0}" srcOrd="0" destOrd="0" presId="urn:microsoft.com/office/officeart/2005/8/layout/orgChart1"/>
    <dgm:cxn modelId="{C8917801-A726-4A65-93AC-5183472A29F2}" type="presParOf" srcId="{6F6139CC-AE9C-4F8F-936D-610D4900F7E7}" destId="{9CC32C98-0E71-475C-B7BA-46E7F3A72177}" srcOrd="1" destOrd="0" presId="urn:microsoft.com/office/officeart/2005/8/layout/orgChart1"/>
    <dgm:cxn modelId="{69653FF5-C945-48EA-B445-2E57F68E9FFF}" type="presParOf" srcId="{1442BEE7-F021-405F-8CE0-5751ABEA6CB3}" destId="{88060BA3-4EC3-48B3-84FF-B430F4C5990F}" srcOrd="1" destOrd="0" presId="urn:microsoft.com/office/officeart/2005/8/layout/orgChart1"/>
    <dgm:cxn modelId="{5B812B1D-3DC9-4D8D-9039-846E3EC47AD4}" type="presParOf" srcId="{1442BEE7-F021-405F-8CE0-5751ABEA6CB3}" destId="{D8937611-F37A-4B7A-8918-52B9A7B568CA}" srcOrd="2" destOrd="0" presId="urn:microsoft.com/office/officeart/2005/8/layout/orgChart1"/>
    <dgm:cxn modelId="{3B1EBCE6-B62A-4249-988D-29B1312B3B4D}" type="presParOf" srcId="{3DF5E61F-4026-4BE3-9A52-4F3540F6016D}" destId="{C53980E0-303A-48DB-9366-8E3588EDE328}" srcOrd="2" destOrd="0" presId="urn:microsoft.com/office/officeart/2005/8/layout/orgChart1"/>
    <dgm:cxn modelId="{33789F40-ACE0-4D43-9FC5-AAF2D641517D}" type="presParOf" srcId="{3DF5E61F-4026-4BE3-9A52-4F3540F6016D}" destId="{E81946E2-B7E3-4BFA-9836-F6C1EFCFF4A6}" srcOrd="3" destOrd="0" presId="urn:microsoft.com/office/officeart/2005/8/layout/orgChart1"/>
    <dgm:cxn modelId="{5DBA3AF3-B204-41F7-AFAB-E3E27D72204C}" type="presParOf" srcId="{E81946E2-B7E3-4BFA-9836-F6C1EFCFF4A6}" destId="{1F3124BB-0CF6-4C0A-9C9D-A04B4E982CA7}" srcOrd="0" destOrd="0" presId="urn:microsoft.com/office/officeart/2005/8/layout/orgChart1"/>
    <dgm:cxn modelId="{1529D28E-7314-461E-A1E6-E81E20104174}" type="presParOf" srcId="{1F3124BB-0CF6-4C0A-9C9D-A04B4E982CA7}" destId="{848AAB3A-A2E4-43F2-AD51-BC93B89409A1}" srcOrd="0" destOrd="0" presId="urn:microsoft.com/office/officeart/2005/8/layout/orgChart1"/>
    <dgm:cxn modelId="{FA79ACA1-630A-40A8-B450-FEEB509065AD}" type="presParOf" srcId="{1F3124BB-0CF6-4C0A-9C9D-A04B4E982CA7}" destId="{9E643002-BBC9-496A-8D72-65CDA676A343}" srcOrd="1" destOrd="0" presId="urn:microsoft.com/office/officeart/2005/8/layout/orgChart1"/>
    <dgm:cxn modelId="{21F40A52-9EFE-466A-9006-F653EA26AE68}" type="presParOf" srcId="{E81946E2-B7E3-4BFA-9836-F6C1EFCFF4A6}" destId="{C8E351C4-47A0-4AB0-82D5-D00A1E35DD25}" srcOrd="1" destOrd="0" presId="urn:microsoft.com/office/officeart/2005/8/layout/orgChart1"/>
    <dgm:cxn modelId="{E090761E-65FD-44BE-84A8-DCBDCB6205AF}" type="presParOf" srcId="{E81946E2-B7E3-4BFA-9836-F6C1EFCFF4A6}" destId="{124DE810-988A-4E1E-9B3B-F144C00AE6C6}" srcOrd="2" destOrd="0" presId="urn:microsoft.com/office/officeart/2005/8/layout/orgChart1"/>
    <dgm:cxn modelId="{018E986D-7BF9-43FD-BD0B-102ACFB507B0}" type="presParOf" srcId="{3DF5E61F-4026-4BE3-9A52-4F3540F6016D}" destId="{093B5977-2B4A-48B3-9913-B9C36FFC6C4F}" srcOrd="4" destOrd="0" presId="urn:microsoft.com/office/officeart/2005/8/layout/orgChart1"/>
    <dgm:cxn modelId="{79FCE8D2-D760-4427-AFED-0094B4F89825}" type="presParOf" srcId="{3DF5E61F-4026-4BE3-9A52-4F3540F6016D}" destId="{0CA549C2-1538-475A-BCD2-6EDD36BA6E5F}" srcOrd="5" destOrd="0" presId="urn:microsoft.com/office/officeart/2005/8/layout/orgChart1"/>
    <dgm:cxn modelId="{C2D4A1C5-D0EB-494A-8C42-CD7F54EA39D8}" type="presParOf" srcId="{0CA549C2-1538-475A-BCD2-6EDD36BA6E5F}" destId="{EBDB5E43-F1B3-4482-8D9E-0981DEB8C2C9}" srcOrd="0" destOrd="0" presId="urn:microsoft.com/office/officeart/2005/8/layout/orgChart1"/>
    <dgm:cxn modelId="{A00BCEC2-CE2E-4AA1-A019-8CE648F931BD}" type="presParOf" srcId="{EBDB5E43-F1B3-4482-8D9E-0981DEB8C2C9}" destId="{56B6CC2D-B328-4266-9972-D2951A1308AB}" srcOrd="0" destOrd="0" presId="urn:microsoft.com/office/officeart/2005/8/layout/orgChart1"/>
    <dgm:cxn modelId="{9E928504-B48A-4EB8-92C1-3CB808219B1A}" type="presParOf" srcId="{EBDB5E43-F1B3-4482-8D9E-0981DEB8C2C9}" destId="{4CA1F0F0-B3B6-47EB-928D-B5E845D31B67}" srcOrd="1" destOrd="0" presId="urn:microsoft.com/office/officeart/2005/8/layout/orgChart1"/>
    <dgm:cxn modelId="{8D10AF24-A862-4C0A-AE50-A7CF51AD396B}" type="presParOf" srcId="{0CA549C2-1538-475A-BCD2-6EDD36BA6E5F}" destId="{A3F84E1D-FC8C-42FD-8410-226777A86877}" srcOrd="1" destOrd="0" presId="urn:microsoft.com/office/officeart/2005/8/layout/orgChart1"/>
    <dgm:cxn modelId="{6BD1EB52-EC2F-425F-9D05-7CB6F836A0B8}" type="presParOf" srcId="{0CA549C2-1538-475A-BCD2-6EDD36BA6E5F}" destId="{EE87B9CF-48DD-4241-A9CD-C818613B6F98}" srcOrd="2" destOrd="0" presId="urn:microsoft.com/office/officeart/2005/8/layout/orgChart1"/>
    <dgm:cxn modelId="{186A5922-8B98-4502-8BD9-E2DC1B62A87C}" type="presParOf" srcId="{21085D1C-D648-4344-BD35-D881DF452522}" destId="{5E273BBA-5537-429F-918B-20C2AD42F88A}" srcOrd="2" destOrd="0" presId="urn:microsoft.com/office/officeart/2005/8/layout/orgChart1"/>
    <dgm:cxn modelId="{6968B4ED-F6B3-4726-9087-2647B3A11990}" type="presParOf" srcId="{25B296B7-F772-40FA-8B9A-02BECC4C53F2}" destId="{E050BD47-0AE5-40C0-893B-7755916AFFF6}" srcOrd="4" destOrd="0" presId="urn:microsoft.com/office/officeart/2005/8/layout/orgChart1"/>
    <dgm:cxn modelId="{3CB447C8-7FD2-48B8-9FE0-C9997ACDDECF}" type="presParOf" srcId="{25B296B7-F772-40FA-8B9A-02BECC4C53F2}" destId="{03281D1D-FDF2-42D6-87E1-74FD9EE6071A}" srcOrd="5" destOrd="0" presId="urn:microsoft.com/office/officeart/2005/8/layout/orgChart1"/>
    <dgm:cxn modelId="{077E2407-7169-498D-9920-22190E4C2CBF}" type="presParOf" srcId="{03281D1D-FDF2-42D6-87E1-74FD9EE6071A}" destId="{A6A192E5-7A7D-485D-8FED-BA1C5B8986E3}" srcOrd="0" destOrd="0" presId="urn:microsoft.com/office/officeart/2005/8/layout/orgChart1"/>
    <dgm:cxn modelId="{D92BE22D-9854-4829-8C7E-232CFD1F736C}" type="presParOf" srcId="{A6A192E5-7A7D-485D-8FED-BA1C5B8986E3}" destId="{BDC7E489-C5D4-42D2-92CA-3452BB32306C}" srcOrd="0" destOrd="0" presId="urn:microsoft.com/office/officeart/2005/8/layout/orgChart1"/>
    <dgm:cxn modelId="{D429B389-1323-44D3-844D-CF2A20837E66}" type="presParOf" srcId="{A6A192E5-7A7D-485D-8FED-BA1C5B8986E3}" destId="{CFA840E1-D742-454A-A3A5-A9770B12FFF0}" srcOrd="1" destOrd="0" presId="urn:microsoft.com/office/officeart/2005/8/layout/orgChart1"/>
    <dgm:cxn modelId="{CF36863E-69C4-487C-89C9-CE2A664E678E}" type="presParOf" srcId="{03281D1D-FDF2-42D6-87E1-74FD9EE6071A}" destId="{5DF96B78-DA38-4BF3-AA42-32A2F5B8411B}" srcOrd="1" destOrd="0" presId="urn:microsoft.com/office/officeart/2005/8/layout/orgChart1"/>
    <dgm:cxn modelId="{C3599FBD-50C9-4EB6-851A-4F54E47CFA2F}" type="presParOf" srcId="{03281D1D-FDF2-42D6-87E1-74FD9EE6071A}" destId="{ED8BA58C-D8EC-4E94-8E2A-017AD39C2648}" srcOrd="2" destOrd="0" presId="urn:microsoft.com/office/officeart/2005/8/layout/orgChart1"/>
    <dgm:cxn modelId="{7667F2C9-EC27-4927-B721-4D5138D3CCD9}" type="presParOf" srcId="{C102E36D-A16E-4ADA-AB02-BD196D8A7AC9}" destId="{0F5A2A18-2A55-4D92-A14D-B4B35E695F1E}" srcOrd="2" destOrd="0" presId="urn:microsoft.com/office/officeart/2005/8/layout/orgChart1"/>
    <dgm:cxn modelId="{E71D5346-0D99-43CC-B055-D3D65C816705}" type="presParOf" srcId="{5DC022D6-BF71-470B-B87D-97A909296ED0}" destId="{D989CD9B-D273-480A-AECC-0FC742671A81}" srcOrd="4" destOrd="0" presId="urn:microsoft.com/office/officeart/2005/8/layout/orgChart1"/>
    <dgm:cxn modelId="{7F23B763-0691-4530-8D61-9158A35F7587}" type="presParOf" srcId="{5DC022D6-BF71-470B-B87D-97A909296ED0}" destId="{D7FB21EB-7557-4F07-B5B2-FC307CEA4072}" srcOrd="5" destOrd="0" presId="urn:microsoft.com/office/officeart/2005/8/layout/orgChart1"/>
    <dgm:cxn modelId="{5A866EB7-1640-4267-927A-F81DE901F6AE}" type="presParOf" srcId="{D7FB21EB-7557-4F07-B5B2-FC307CEA4072}" destId="{75E60DA5-BD7D-44ED-9329-14AF0EB03E7F}" srcOrd="0" destOrd="0" presId="urn:microsoft.com/office/officeart/2005/8/layout/orgChart1"/>
    <dgm:cxn modelId="{BDC089BB-263F-4E40-B938-63658B35F9BA}" type="presParOf" srcId="{75E60DA5-BD7D-44ED-9329-14AF0EB03E7F}" destId="{C7F4373C-2BB8-4192-881A-2E61E847C4BA}" srcOrd="0" destOrd="0" presId="urn:microsoft.com/office/officeart/2005/8/layout/orgChart1"/>
    <dgm:cxn modelId="{0C970062-4090-48BB-A07F-B2AE5E27FE48}" type="presParOf" srcId="{75E60DA5-BD7D-44ED-9329-14AF0EB03E7F}" destId="{4D33A532-03BD-4993-9D24-86B6BE10DEEE}" srcOrd="1" destOrd="0" presId="urn:microsoft.com/office/officeart/2005/8/layout/orgChart1"/>
    <dgm:cxn modelId="{BCBD1DC0-7EC0-4121-8D74-BB75D2192A77}" type="presParOf" srcId="{D7FB21EB-7557-4F07-B5B2-FC307CEA4072}" destId="{E0162658-85CF-4C8B-80C5-4D00DC9554DE}" srcOrd="1" destOrd="0" presId="urn:microsoft.com/office/officeart/2005/8/layout/orgChart1"/>
    <dgm:cxn modelId="{FBAD4A74-5F39-4403-A4E6-95AC3CDB5AB5}" type="presParOf" srcId="{E0162658-85CF-4C8B-80C5-4D00DC9554DE}" destId="{965783C9-5D34-48C5-8BB0-8D0688801DAE}" srcOrd="0" destOrd="0" presId="urn:microsoft.com/office/officeart/2005/8/layout/orgChart1"/>
    <dgm:cxn modelId="{E8D42C13-9885-4438-84D3-48DD6A8BEED5}" type="presParOf" srcId="{E0162658-85CF-4C8B-80C5-4D00DC9554DE}" destId="{3EED4162-65F6-4867-B0D5-98FE25D28A5C}" srcOrd="1" destOrd="0" presId="urn:microsoft.com/office/officeart/2005/8/layout/orgChart1"/>
    <dgm:cxn modelId="{F88206FF-5D23-4EF5-9144-F7E0D89E15E5}" type="presParOf" srcId="{3EED4162-65F6-4867-B0D5-98FE25D28A5C}" destId="{A68A0989-071E-469B-B8B2-8E4B0AD6E48B}" srcOrd="0" destOrd="0" presId="urn:microsoft.com/office/officeart/2005/8/layout/orgChart1"/>
    <dgm:cxn modelId="{D0853C44-9234-4237-8557-F58519BF395A}" type="presParOf" srcId="{A68A0989-071E-469B-B8B2-8E4B0AD6E48B}" destId="{2296A37E-1027-4F17-8E23-96BCB212C4B9}" srcOrd="0" destOrd="0" presId="urn:microsoft.com/office/officeart/2005/8/layout/orgChart1"/>
    <dgm:cxn modelId="{68DF1BB3-FDEF-4C46-A604-4CECEF9BCEF8}" type="presParOf" srcId="{A68A0989-071E-469B-B8B2-8E4B0AD6E48B}" destId="{2090A97A-957F-4AFB-AF48-937245B386CA}" srcOrd="1" destOrd="0" presId="urn:microsoft.com/office/officeart/2005/8/layout/orgChart1"/>
    <dgm:cxn modelId="{567966E6-765C-4DA6-93E1-24490AD65D92}" type="presParOf" srcId="{3EED4162-65F6-4867-B0D5-98FE25D28A5C}" destId="{FDCBFF7D-00E5-407C-AF78-4D827CBA3CFA}" srcOrd="1" destOrd="0" presId="urn:microsoft.com/office/officeart/2005/8/layout/orgChart1"/>
    <dgm:cxn modelId="{2D360D62-1B2A-4539-ACDC-4458A5054DAE}" type="presParOf" srcId="{FDCBFF7D-00E5-407C-AF78-4D827CBA3CFA}" destId="{FA730D86-869E-4CE4-A7E2-ACC0CBD2844C}" srcOrd="0" destOrd="0" presId="urn:microsoft.com/office/officeart/2005/8/layout/orgChart1"/>
    <dgm:cxn modelId="{98C093C0-DA5E-4F37-8BFD-310C3053D2A3}" type="presParOf" srcId="{FDCBFF7D-00E5-407C-AF78-4D827CBA3CFA}" destId="{7239DBF9-8B3A-4F83-BE9A-0260EAF749DE}" srcOrd="1" destOrd="0" presId="urn:microsoft.com/office/officeart/2005/8/layout/orgChart1"/>
    <dgm:cxn modelId="{33C07886-1B99-4753-B459-DB54931628A3}" type="presParOf" srcId="{7239DBF9-8B3A-4F83-BE9A-0260EAF749DE}" destId="{969AF402-0318-4D87-A982-42FCF038D62E}" srcOrd="0" destOrd="0" presId="urn:microsoft.com/office/officeart/2005/8/layout/orgChart1"/>
    <dgm:cxn modelId="{FBEC088B-F96F-4B3E-90C8-AB8D60332041}" type="presParOf" srcId="{969AF402-0318-4D87-A982-42FCF038D62E}" destId="{21EA652E-6554-471D-9542-095C0BFD9E24}" srcOrd="0" destOrd="0" presId="urn:microsoft.com/office/officeart/2005/8/layout/orgChart1"/>
    <dgm:cxn modelId="{B7EEDBD0-8EC8-4435-9A99-A416941DB174}" type="presParOf" srcId="{969AF402-0318-4D87-A982-42FCF038D62E}" destId="{3371899B-9778-4BAC-B5CD-41855EEBE9BD}" srcOrd="1" destOrd="0" presId="urn:microsoft.com/office/officeart/2005/8/layout/orgChart1"/>
    <dgm:cxn modelId="{592F141D-08FC-47AE-AC8C-0E60CD86C726}" type="presParOf" srcId="{7239DBF9-8B3A-4F83-BE9A-0260EAF749DE}" destId="{97B76AB6-4D0D-400F-90CE-16712B49950B}" srcOrd="1" destOrd="0" presId="urn:microsoft.com/office/officeart/2005/8/layout/orgChart1"/>
    <dgm:cxn modelId="{CEA48BE5-B783-4994-A28C-7F665C4AAE3A}" type="presParOf" srcId="{7239DBF9-8B3A-4F83-BE9A-0260EAF749DE}" destId="{718DA003-50F9-4A30-B1B9-EC4CB95C1D91}" srcOrd="2" destOrd="0" presId="urn:microsoft.com/office/officeart/2005/8/layout/orgChart1"/>
    <dgm:cxn modelId="{C07E9399-FABA-4524-99E9-732E3F7F1FB1}" type="presParOf" srcId="{FDCBFF7D-00E5-407C-AF78-4D827CBA3CFA}" destId="{7F043D58-4F60-4CF9-8BF4-35EE3B853AE1}" srcOrd="2" destOrd="0" presId="urn:microsoft.com/office/officeart/2005/8/layout/orgChart1"/>
    <dgm:cxn modelId="{8A66436F-A6BC-4308-AFAD-8B1E79600524}" type="presParOf" srcId="{FDCBFF7D-00E5-407C-AF78-4D827CBA3CFA}" destId="{330FC0E4-6DF8-4BE0-9810-E3ABE0314996}" srcOrd="3" destOrd="0" presId="urn:microsoft.com/office/officeart/2005/8/layout/orgChart1"/>
    <dgm:cxn modelId="{787978FF-896D-4766-BA99-89AB8517A711}" type="presParOf" srcId="{330FC0E4-6DF8-4BE0-9810-E3ABE0314996}" destId="{AA7F173A-60B3-4C74-92AC-ECFB9EF69BAC}" srcOrd="0" destOrd="0" presId="urn:microsoft.com/office/officeart/2005/8/layout/orgChart1"/>
    <dgm:cxn modelId="{8D86209B-450C-47FB-9319-BDBE9FA05432}" type="presParOf" srcId="{AA7F173A-60B3-4C74-92AC-ECFB9EF69BAC}" destId="{73342660-5C3C-4B41-A5EB-06399B232F72}" srcOrd="0" destOrd="0" presId="urn:microsoft.com/office/officeart/2005/8/layout/orgChart1"/>
    <dgm:cxn modelId="{1B910884-5FFA-4C09-9219-1D4CA03811E4}" type="presParOf" srcId="{AA7F173A-60B3-4C74-92AC-ECFB9EF69BAC}" destId="{85C7C85B-8177-4630-B342-32A7A00B6333}" srcOrd="1" destOrd="0" presId="urn:microsoft.com/office/officeart/2005/8/layout/orgChart1"/>
    <dgm:cxn modelId="{75EEBB32-0797-4518-A930-EDC50E7CD51D}" type="presParOf" srcId="{330FC0E4-6DF8-4BE0-9810-E3ABE0314996}" destId="{0D0AE429-559B-4281-B5EA-401EB811A5D8}" srcOrd="1" destOrd="0" presId="urn:microsoft.com/office/officeart/2005/8/layout/orgChart1"/>
    <dgm:cxn modelId="{C953ACD0-0568-495E-A757-9651BB4F93E9}" type="presParOf" srcId="{330FC0E4-6DF8-4BE0-9810-E3ABE0314996}" destId="{074259B9-43E8-413C-B076-A0C0947D858A}" srcOrd="2" destOrd="0" presId="urn:microsoft.com/office/officeart/2005/8/layout/orgChart1"/>
    <dgm:cxn modelId="{55844805-0044-4CB1-9AD5-CFACFE7D968A}" type="presParOf" srcId="{FDCBFF7D-00E5-407C-AF78-4D827CBA3CFA}" destId="{2645185A-DAAB-4A80-B801-A42F817104D3}" srcOrd="4" destOrd="0" presId="urn:microsoft.com/office/officeart/2005/8/layout/orgChart1"/>
    <dgm:cxn modelId="{348A6395-FF87-45C4-8CC2-764243BD89C5}" type="presParOf" srcId="{FDCBFF7D-00E5-407C-AF78-4D827CBA3CFA}" destId="{49C4FD78-0E8E-481E-B503-42E7F7349805}" srcOrd="5" destOrd="0" presId="urn:microsoft.com/office/officeart/2005/8/layout/orgChart1"/>
    <dgm:cxn modelId="{0259611E-8EC0-4BBB-8863-F4BB42E5820A}" type="presParOf" srcId="{49C4FD78-0E8E-481E-B503-42E7F7349805}" destId="{825B9975-9451-46B9-BE42-2E0773B57008}" srcOrd="0" destOrd="0" presId="urn:microsoft.com/office/officeart/2005/8/layout/orgChart1"/>
    <dgm:cxn modelId="{C9945215-FDEC-4461-A493-6ECACE06A67A}" type="presParOf" srcId="{825B9975-9451-46B9-BE42-2E0773B57008}" destId="{6B310D71-C8BB-40E7-BB81-A97200B87B2F}" srcOrd="0" destOrd="0" presId="urn:microsoft.com/office/officeart/2005/8/layout/orgChart1"/>
    <dgm:cxn modelId="{29A95D1F-9F4C-4F87-BB6A-542BC767A3D5}" type="presParOf" srcId="{825B9975-9451-46B9-BE42-2E0773B57008}" destId="{51E3A570-616C-4C8D-A74B-659472A1748F}" srcOrd="1" destOrd="0" presId="urn:microsoft.com/office/officeart/2005/8/layout/orgChart1"/>
    <dgm:cxn modelId="{BDCE1FC6-FDD4-45E8-B569-BDCD9EB36DF2}" type="presParOf" srcId="{49C4FD78-0E8E-481E-B503-42E7F7349805}" destId="{528F40A9-8936-491D-BCF8-9C17ECF91A69}" srcOrd="1" destOrd="0" presId="urn:microsoft.com/office/officeart/2005/8/layout/orgChart1"/>
    <dgm:cxn modelId="{F9C54AC6-D326-4416-845C-E361FD4A3A5F}" type="presParOf" srcId="{49C4FD78-0E8E-481E-B503-42E7F7349805}" destId="{6C5B91D4-608A-42C1-AB3E-1EC7DC8FD45C}" srcOrd="2" destOrd="0" presId="urn:microsoft.com/office/officeart/2005/8/layout/orgChart1"/>
    <dgm:cxn modelId="{BBBBBD04-53F1-421A-8CB4-35C32F0D2E05}" type="presParOf" srcId="{FDCBFF7D-00E5-407C-AF78-4D827CBA3CFA}" destId="{0BB81E3E-AC56-4C2F-A909-9A2663BC068C}" srcOrd="6" destOrd="0" presId="urn:microsoft.com/office/officeart/2005/8/layout/orgChart1"/>
    <dgm:cxn modelId="{19734F1A-3928-4128-9FEB-571F3A9D5FFE}" type="presParOf" srcId="{FDCBFF7D-00E5-407C-AF78-4D827CBA3CFA}" destId="{821441B4-D3E2-46FD-BACB-BB34245DF699}" srcOrd="7" destOrd="0" presId="urn:microsoft.com/office/officeart/2005/8/layout/orgChart1"/>
    <dgm:cxn modelId="{0C8A59ED-615A-48BB-A71B-5FA4F1606F23}" type="presParOf" srcId="{821441B4-D3E2-46FD-BACB-BB34245DF699}" destId="{BAF88DDE-0727-44C3-BCE9-63763C692CD9}" srcOrd="0" destOrd="0" presId="urn:microsoft.com/office/officeart/2005/8/layout/orgChart1"/>
    <dgm:cxn modelId="{D1BF5A06-EEC7-4447-81AC-E55AEB8C5790}" type="presParOf" srcId="{BAF88DDE-0727-44C3-BCE9-63763C692CD9}" destId="{716B72CD-21F9-46FB-9392-0C67DC20C119}" srcOrd="0" destOrd="0" presId="urn:microsoft.com/office/officeart/2005/8/layout/orgChart1"/>
    <dgm:cxn modelId="{4D79CE0A-C5A2-4464-B681-E72A76BA16A3}" type="presParOf" srcId="{BAF88DDE-0727-44C3-BCE9-63763C692CD9}" destId="{5863F7D9-8254-4E29-A6BF-AC2012ABA74F}" srcOrd="1" destOrd="0" presId="urn:microsoft.com/office/officeart/2005/8/layout/orgChart1"/>
    <dgm:cxn modelId="{5090E833-77AF-4A6F-9A75-8E899A5DFB56}" type="presParOf" srcId="{821441B4-D3E2-46FD-BACB-BB34245DF699}" destId="{36C1319D-5604-4697-8310-AFB6709C33BB}" srcOrd="1" destOrd="0" presId="urn:microsoft.com/office/officeart/2005/8/layout/orgChart1"/>
    <dgm:cxn modelId="{758C96A7-7B2D-4215-9450-A407740B08F0}" type="presParOf" srcId="{821441B4-D3E2-46FD-BACB-BB34245DF699}" destId="{7AF7EA98-80A6-462A-9EDE-923DF4F34DC6}" srcOrd="2" destOrd="0" presId="urn:microsoft.com/office/officeart/2005/8/layout/orgChart1"/>
    <dgm:cxn modelId="{CBE7FA76-A9D6-4DBB-9949-DF7A72BDBB24}" type="presParOf" srcId="{3EED4162-65F6-4867-B0D5-98FE25D28A5C}" destId="{99D4C1AC-3F11-4644-8D74-12F578D60E00}" srcOrd="2" destOrd="0" presId="urn:microsoft.com/office/officeart/2005/8/layout/orgChart1"/>
    <dgm:cxn modelId="{12AECEFA-4D59-4C10-9FB2-1C3DE85940BB}" type="presParOf" srcId="{E0162658-85CF-4C8B-80C5-4D00DC9554DE}" destId="{51028A9A-7D19-46A2-8F9E-5516F77FDB70}" srcOrd="2" destOrd="0" presId="urn:microsoft.com/office/officeart/2005/8/layout/orgChart1"/>
    <dgm:cxn modelId="{D6B8D2C6-31AC-4827-9867-14C92127D086}" type="presParOf" srcId="{E0162658-85CF-4C8B-80C5-4D00DC9554DE}" destId="{ED26F354-F8A9-4B65-B6C6-C022B0AC1A28}" srcOrd="3" destOrd="0" presId="urn:microsoft.com/office/officeart/2005/8/layout/orgChart1"/>
    <dgm:cxn modelId="{C75FA37A-6822-4D2D-BAA2-D2560A1E2BD2}" type="presParOf" srcId="{ED26F354-F8A9-4B65-B6C6-C022B0AC1A28}" destId="{700681E7-C2BA-42BC-B23F-60C9FD83F5CA}" srcOrd="0" destOrd="0" presId="urn:microsoft.com/office/officeart/2005/8/layout/orgChart1"/>
    <dgm:cxn modelId="{0E107E2B-0D8C-4D77-AAB0-6BE83BAB693E}" type="presParOf" srcId="{700681E7-C2BA-42BC-B23F-60C9FD83F5CA}" destId="{40CF5C0B-99F9-461B-A412-526099B9E08B}" srcOrd="0" destOrd="0" presId="urn:microsoft.com/office/officeart/2005/8/layout/orgChart1"/>
    <dgm:cxn modelId="{F5BBA826-D263-491D-A0A6-116364BEF964}" type="presParOf" srcId="{700681E7-C2BA-42BC-B23F-60C9FD83F5CA}" destId="{B0CA7445-47ED-4209-87DE-B037F094C227}" srcOrd="1" destOrd="0" presId="urn:microsoft.com/office/officeart/2005/8/layout/orgChart1"/>
    <dgm:cxn modelId="{2006B1AB-EB06-4AA0-AEC2-ABE5F5B62635}" type="presParOf" srcId="{ED26F354-F8A9-4B65-B6C6-C022B0AC1A28}" destId="{ABCA7218-1D10-4935-A68D-2C10876C6879}" srcOrd="1" destOrd="0" presId="urn:microsoft.com/office/officeart/2005/8/layout/orgChart1"/>
    <dgm:cxn modelId="{2EB867D5-0F8B-4A2A-983A-3504A6162A5F}" type="presParOf" srcId="{ED26F354-F8A9-4B65-B6C6-C022B0AC1A28}" destId="{502DDB1F-B04F-4DDD-ADAA-866ECFAB5DB6}" srcOrd="2" destOrd="0" presId="urn:microsoft.com/office/officeart/2005/8/layout/orgChart1"/>
    <dgm:cxn modelId="{3C7E2BEB-1DF4-4B43-813D-F0BE09029F69}" type="presParOf" srcId="{E0162658-85CF-4C8B-80C5-4D00DC9554DE}" destId="{5AAE64E2-6782-489C-8177-0FECA6F8C8D9}" srcOrd="4" destOrd="0" presId="urn:microsoft.com/office/officeart/2005/8/layout/orgChart1"/>
    <dgm:cxn modelId="{AE75787E-E1D9-4A6C-AE8B-E8176DAE328D}" type="presParOf" srcId="{E0162658-85CF-4C8B-80C5-4D00DC9554DE}" destId="{22DCA95C-64FC-4003-AA65-379722DC29C4}" srcOrd="5" destOrd="0" presId="urn:microsoft.com/office/officeart/2005/8/layout/orgChart1"/>
    <dgm:cxn modelId="{6573932C-709A-4022-AACD-217CD2C101C7}" type="presParOf" srcId="{22DCA95C-64FC-4003-AA65-379722DC29C4}" destId="{22806154-DFBF-4AFA-9BF3-8876A227D4EB}" srcOrd="0" destOrd="0" presId="urn:microsoft.com/office/officeart/2005/8/layout/orgChart1"/>
    <dgm:cxn modelId="{EC477169-1706-4CD5-B40D-153EAE95B7A3}" type="presParOf" srcId="{22806154-DFBF-4AFA-9BF3-8876A227D4EB}" destId="{5DE29278-9D93-45E6-8880-23709D2D631F}" srcOrd="0" destOrd="0" presId="urn:microsoft.com/office/officeart/2005/8/layout/orgChart1"/>
    <dgm:cxn modelId="{F0F19454-771C-4905-B336-71D6B2CAE74E}" type="presParOf" srcId="{22806154-DFBF-4AFA-9BF3-8876A227D4EB}" destId="{8499AF18-54D2-44CA-94D7-E078CFC6DEF2}" srcOrd="1" destOrd="0" presId="urn:microsoft.com/office/officeart/2005/8/layout/orgChart1"/>
    <dgm:cxn modelId="{209372C5-AA84-40F6-A2FD-B30A199DA75C}" type="presParOf" srcId="{22DCA95C-64FC-4003-AA65-379722DC29C4}" destId="{48976119-EC26-4A7D-A431-B3AE7AC3489B}" srcOrd="1" destOrd="0" presId="urn:microsoft.com/office/officeart/2005/8/layout/orgChart1"/>
    <dgm:cxn modelId="{7B374913-AD07-4000-BE34-02C9B3BC2E13}" type="presParOf" srcId="{22DCA95C-64FC-4003-AA65-379722DC29C4}" destId="{5AE644B7-1579-46D7-98D1-006CECC4E19E}" srcOrd="2" destOrd="0" presId="urn:microsoft.com/office/officeart/2005/8/layout/orgChart1"/>
    <dgm:cxn modelId="{BA6789A5-A073-4E55-B46C-D526F27C90DA}" type="presParOf" srcId="{D7FB21EB-7557-4F07-B5B2-FC307CEA4072}" destId="{016A09CA-0D03-481D-BE22-19B252C38554}" srcOrd="2" destOrd="0" presId="urn:microsoft.com/office/officeart/2005/8/layout/orgChart1"/>
    <dgm:cxn modelId="{594AC41A-5C7D-4309-A6B9-DE5DFE9CDE9C}" type="presParOf" srcId="{FD8EF2D6-4B8D-4970-8B6D-DE0B0528CCB7}" destId="{388E73EE-943E-4B6B-B97A-2A24C86E57D0}" srcOrd="2" destOrd="0" presId="urn:microsoft.com/office/officeart/2005/8/layout/orgChart1"/>
  </dgm:cxnLst>
  <dgm:bg/>
  <dgm:whole/>
  <dgm:extLst>
    <a:ext uri="http://schemas.microsoft.com/office/drawing/2008/diagram">
      <dsp:dataModelExt xmlns:dsp="http://schemas.microsoft.com/office/drawing/2008/diagram" xmlns=""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5</xdr:col>
      <xdr:colOff>695325</xdr:colOff>
      <xdr:row>1</xdr:row>
      <xdr:rowOff>0</xdr:rowOff>
    </xdr:from>
    <xdr:to>
      <xdr:col>5</xdr:col>
      <xdr:colOff>2628900</xdr:colOff>
      <xdr:row>6</xdr:row>
      <xdr:rowOff>0</xdr:rowOff>
    </xdr:to>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2714625" y="161925"/>
          <a:ext cx="1933575" cy="809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228598</xdr:colOff>
      <xdr:row>9</xdr:row>
      <xdr:rowOff>66673</xdr:rowOff>
    </xdr:from>
    <xdr:to>
      <xdr:col>25</xdr:col>
      <xdr:colOff>114300</xdr:colOff>
      <xdr:row>37</xdr:row>
      <xdr:rowOff>127633</xdr:rowOff>
    </xdr:to>
    <xdr:graphicFrame macro="">
      <xdr:nvGraphicFramePr>
        <xdr:cNvPr id="2" name="Diagram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45</xdr:col>
      <xdr:colOff>0</xdr:colOff>
      <xdr:row>36</xdr:row>
      <xdr:rowOff>0</xdr:rowOff>
    </xdr:from>
    <xdr:to>
      <xdr:col>52</xdr:col>
      <xdr:colOff>179294</xdr:colOff>
      <xdr:row>50</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0</xdr:colOff>
      <xdr:row>52</xdr:row>
      <xdr:rowOff>0</xdr:rowOff>
    </xdr:from>
    <xdr:to>
      <xdr:col>52</xdr:col>
      <xdr:colOff>179294</xdr:colOff>
      <xdr:row>67</xdr:row>
      <xdr:rowOff>76200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27</xdr:row>
      <xdr:rowOff>0</xdr:rowOff>
    </xdr:from>
    <xdr:to>
      <xdr:col>7</xdr:col>
      <xdr:colOff>0</xdr:colOff>
      <xdr:row>55</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27</xdr:row>
      <xdr:rowOff>0</xdr:rowOff>
    </xdr:from>
    <xdr:to>
      <xdr:col>11</xdr:col>
      <xdr:colOff>818029</xdr:colOff>
      <xdr:row>55</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27</xdr:row>
      <xdr:rowOff>0</xdr:rowOff>
    </xdr:from>
    <xdr:to>
      <xdr:col>16</xdr:col>
      <xdr:colOff>851647</xdr:colOff>
      <xdr:row>55</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11206</xdr:colOff>
      <xdr:row>27</xdr:row>
      <xdr:rowOff>1120</xdr:rowOff>
    </xdr:from>
    <xdr:to>
      <xdr:col>23</xdr:col>
      <xdr:colOff>728383</xdr:colOff>
      <xdr:row>44</xdr:row>
      <xdr:rowOff>77320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46</xdr:row>
      <xdr:rowOff>0</xdr:rowOff>
    </xdr:from>
    <xdr:to>
      <xdr:col>23</xdr:col>
      <xdr:colOff>717177</xdr:colOff>
      <xdr:row>63</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0</xdr:colOff>
      <xdr:row>27</xdr:row>
      <xdr:rowOff>0</xdr:rowOff>
    </xdr:from>
    <xdr:to>
      <xdr:col>29</xdr:col>
      <xdr:colOff>1714500</xdr:colOff>
      <xdr:row>50</xdr:row>
      <xdr:rowOff>112059</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0</xdr:colOff>
      <xdr:row>27</xdr:row>
      <xdr:rowOff>0</xdr:rowOff>
    </xdr:from>
    <xdr:to>
      <xdr:col>34</xdr:col>
      <xdr:colOff>1355912</xdr:colOff>
      <xdr:row>50</xdr:row>
      <xdr:rowOff>112059</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20</xdr:row>
      <xdr:rowOff>0</xdr:rowOff>
    </xdr:from>
    <xdr:to>
      <xdr:col>12</xdr:col>
      <xdr:colOff>476250</xdr:colOff>
      <xdr:row>34</xdr:row>
      <xdr:rowOff>76200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19</xdr:row>
      <xdr:rowOff>190499</xdr:rowOff>
    </xdr:from>
    <xdr:to>
      <xdr:col>6</xdr:col>
      <xdr:colOff>381000</xdr:colOff>
      <xdr:row>34</xdr:row>
      <xdr:rowOff>141514</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20</xdr:row>
      <xdr:rowOff>0</xdr:rowOff>
    </xdr:from>
    <xdr:to>
      <xdr:col>19</xdr:col>
      <xdr:colOff>57150</xdr:colOff>
      <xdr:row>39</xdr:row>
      <xdr:rowOff>130628</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82</xdr:row>
      <xdr:rowOff>0</xdr:rowOff>
    </xdr:from>
    <xdr:to>
      <xdr:col>9</xdr:col>
      <xdr:colOff>666750</xdr:colOff>
      <xdr:row>101</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707572</xdr:colOff>
      <xdr:row>53</xdr:row>
      <xdr:rowOff>76199</xdr:rowOff>
    </xdr:from>
    <xdr:to>
      <xdr:col>21</xdr:col>
      <xdr:colOff>18302</xdr:colOff>
      <xdr:row>76</xdr:row>
      <xdr:rowOff>141513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82</xdr:row>
      <xdr:rowOff>0</xdr:rowOff>
    </xdr:from>
    <xdr:to>
      <xdr:col>15</xdr:col>
      <xdr:colOff>521073</xdr:colOff>
      <xdr:row>101</xdr:row>
      <xdr:rowOff>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102</xdr:row>
      <xdr:rowOff>0</xdr:rowOff>
    </xdr:from>
    <xdr:to>
      <xdr:col>15</xdr:col>
      <xdr:colOff>521073</xdr:colOff>
      <xdr:row>120</xdr:row>
      <xdr:rowOff>0</xdr:rowOff>
    </xdr:to>
    <xdr:graphicFrame macro="">
      <xdr:nvGraphicFramePr>
        <xdr:cNvPr id="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0</xdr:colOff>
      <xdr:row>102</xdr:row>
      <xdr:rowOff>0</xdr:rowOff>
    </xdr:from>
    <xdr:to>
      <xdr:col>9</xdr:col>
      <xdr:colOff>666750</xdr:colOff>
      <xdr:row>120</xdr:row>
      <xdr:rowOff>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2699658</xdr:colOff>
      <xdr:row>122</xdr:row>
      <xdr:rowOff>141514</xdr:rowOff>
    </xdr:from>
    <xdr:to>
      <xdr:col>9</xdr:col>
      <xdr:colOff>584947</xdr:colOff>
      <xdr:row>141</xdr:row>
      <xdr:rowOff>43543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685800</xdr:colOff>
      <xdr:row>123</xdr:row>
      <xdr:rowOff>87086</xdr:rowOff>
    </xdr:from>
    <xdr:to>
      <xdr:col>16</xdr:col>
      <xdr:colOff>515470</xdr:colOff>
      <xdr:row>141</xdr:row>
      <xdr:rowOff>76200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28575</xdr:colOff>
      <xdr:row>153</xdr:row>
      <xdr:rowOff>176212</xdr:rowOff>
    </xdr:from>
    <xdr:to>
      <xdr:col>16</xdr:col>
      <xdr:colOff>523875</xdr:colOff>
      <xdr:row>166</xdr:row>
      <xdr:rowOff>157162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0</xdr:colOff>
      <xdr:row>20</xdr:row>
      <xdr:rowOff>0</xdr:rowOff>
    </xdr:from>
    <xdr:to>
      <xdr:col>25</xdr:col>
      <xdr:colOff>557893</xdr:colOff>
      <xdr:row>34</xdr:row>
      <xdr:rowOff>76200</xdr:rowOff>
    </xdr:to>
    <xdr:graphicFrame macro="">
      <xdr:nvGraphicFramePr>
        <xdr:cNvPr id="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mir50531.NA\Local%20Settings\Temporary%20Internet%20Files\Content.Outlook\IKH28ZW1\Validation%20Model%20Results%2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pat65791\Local%20Settings\Temporary%20Internet%20Files\Content.Outlook\PQT8T9TM\TBLTemplatev11-Social-29Aug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pat65791\Local%20Settings\Temporary%20Internet%20Files\Content.Outlook\N83IQG9B\WERF_TBL_Model_10-2-2013acnb.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ome"/>
      <sheetName val="Projects"/>
      <sheetName val="Proj 20-Yr"/>
      <sheetName val="Proj 40-Yr"/>
      <sheetName val="Scoring Matrix"/>
      <sheetName val="Scorecard_Cht"/>
      <sheetName val="Tornado"/>
      <sheetName val="TornadoP0"/>
      <sheetName val="Project"/>
      <sheetName val="ProjectP0"/>
    </sheetNames>
    <sheetDataSet>
      <sheetData sheetId="0"/>
      <sheetData sheetId="1">
        <row r="8">
          <cell r="B8">
            <v>0</v>
          </cell>
          <cell r="C8">
            <v>0</v>
          </cell>
          <cell r="D8">
            <v>0</v>
          </cell>
          <cell r="E8">
            <v>0</v>
          </cell>
          <cell r="F8">
            <v>0</v>
          </cell>
          <cell r="G8">
            <v>0</v>
          </cell>
        </row>
        <row r="9">
          <cell r="B9" t="str">
            <v>Project Number</v>
          </cell>
          <cell r="C9" t="str">
            <v>Project Description</v>
          </cell>
          <cell r="D9" t="str">
            <v>Department</v>
          </cell>
          <cell r="E9" t="str">
            <v>Regulatory</v>
          </cell>
          <cell r="F9" t="str">
            <v>Safety</v>
          </cell>
          <cell r="G9" t="str">
            <v>Criticality</v>
          </cell>
        </row>
        <row r="10">
          <cell r="B10">
            <v>0</v>
          </cell>
          <cell r="C10">
            <v>0</v>
          </cell>
          <cell r="D10">
            <v>0</v>
          </cell>
          <cell r="E10">
            <v>0</v>
          </cell>
          <cell r="F10">
            <v>0</v>
          </cell>
          <cell r="G10">
            <v>0</v>
          </cell>
        </row>
        <row r="11">
          <cell r="B11">
            <v>0</v>
          </cell>
          <cell r="C11">
            <v>0</v>
          </cell>
          <cell r="D11">
            <v>0</v>
          </cell>
          <cell r="E11">
            <v>0</v>
          </cell>
          <cell r="F11">
            <v>0</v>
          </cell>
          <cell r="G11">
            <v>0</v>
          </cell>
        </row>
        <row r="12">
          <cell r="B12" t="str">
            <v>H-1</v>
          </cell>
          <cell r="C12" t="str">
            <v>Roof Replacement</v>
          </cell>
          <cell r="D12" t="str">
            <v>Powerhouse</v>
          </cell>
          <cell r="E12">
            <v>6</v>
          </cell>
          <cell r="F12">
            <v>7</v>
          </cell>
          <cell r="G12">
            <v>7</v>
          </cell>
        </row>
        <row r="13">
          <cell r="B13" t="str">
            <v>H-2</v>
          </cell>
          <cell r="C13" t="str">
            <v>Oil Spill Containment / Prevention</v>
          </cell>
          <cell r="D13" t="str">
            <v>Powerhouse</v>
          </cell>
          <cell r="E13">
            <v>8</v>
          </cell>
          <cell r="F13">
            <v>7</v>
          </cell>
          <cell r="G13">
            <v>9</v>
          </cell>
        </row>
        <row r="14">
          <cell r="B14" t="str">
            <v>H-3</v>
          </cell>
          <cell r="C14" t="str">
            <v>Modify Hatch in Floor</v>
          </cell>
          <cell r="D14" t="str">
            <v>Powerhouse</v>
          </cell>
          <cell r="E14">
            <v>9</v>
          </cell>
          <cell r="F14">
            <v>4</v>
          </cell>
          <cell r="G14">
            <v>10</v>
          </cell>
        </row>
        <row r="15">
          <cell r="B15" t="str">
            <v>H-4</v>
          </cell>
          <cell r="C15" t="str">
            <v>Upgrade Mechanical Governors</v>
          </cell>
          <cell r="D15" t="str">
            <v>Powerhouse</v>
          </cell>
          <cell r="E15">
            <v>9</v>
          </cell>
          <cell r="F15">
            <v>0</v>
          </cell>
          <cell r="G15">
            <v>9</v>
          </cell>
        </row>
        <row r="16">
          <cell r="B16" t="str">
            <v>H-5</v>
          </cell>
          <cell r="C16" t="str">
            <v>Replace TSOV</v>
          </cell>
          <cell r="D16" t="str">
            <v>Powerhouse</v>
          </cell>
          <cell r="E16">
            <v>0</v>
          </cell>
          <cell r="F16">
            <v>10</v>
          </cell>
          <cell r="G16">
            <v>9</v>
          </cell>
        </row>
        <row r="17">
          <cell r="B17" t="str">
            <v>H-6</v>
          </cell>
          <cell r="C17" t="str">
            <v>Replace 480V Switchgear Breakers</v>
          </cell>
          <cell r="D17" t="str">
            <v>Powerhouse</v>
          </cell>
          <cell r="E17">
            <v>2</v>
          </cell>
          <cell r="F17">
            <v>8</v>
          </cell>
          <cell r="G17">
            <v>7</v>
          </cell>
        </row>
        <row r="18">
          <cell r="B18" t="str">
            <v>H-7</v>
          </cell>
          <cell r="C18" t="str">
            <v>Replace 480V Motor Control Centers</v>
          </cell>
          <cell r="D18" t="str">
            <v>Powerhouse</v>
          </cell>
          <cell r="E18">
            <v>0</v>
          </cell>
          <cell r="F18">
            <v>4</v>
          </cell>
          <cell r="G18">
            <v>7</v>
          </cell>
        </row>
        <row r="19">
          <cell r="B19" t="str">
            <v>H-8</v>
          </cell>
          <cell r="C19" t="str">
            <v>Replace Inverter</v>
          </cell>
          <cell r="D19" t="str">
            <v>Powerhouse</v>
          </cell>
          <cell r="E19">
            <v>0</v>
          </cell>
          <cell r="F19">
            <v>0</v>
          </cell>
          <cell r="G19">
            <v>9</v>
          </cell>
        </row>
        <row r="20">
          <cell r="B20" t="str">
            <v>H-9</v>
          </cell>
          <cell r="C20" t="str">
            <v>Improve Powerhouse Electrical Protection System</v>
          </cell>
          <cell r="D20" t="str">
            <v>Powerhouse</v>
          </cell>
          <cell r="E20">
            <v>9</v>
          </cell>
          <cell r="F20">
            <v>0</v>
          </cell>
          <cell r="G20">
            <v>9</v>
          </cell>
        </row>
        <row r="21">
          <cell r="B21" t="str">
            <v>H-10</v>
          </cell>
          <cell r="C21" t="str">
            <v>Add Step-up Transformer Fire Protection</v>
          </cell>
          <cell r="D21" t="str">
            <v>Powerhouse</v>
          </cell>
          <cell r="E21">
            <v>6</v>
          </cell>
          <cell r="F21">
            <v>9</v>
          </cell>
          <cell r="G21">
            <v>10</v>
          </cell>
        </row>
        <row r="22">
          <cell r="B22" t="str">
            <v>H-11</v>
          </cell>
          <cell r="C22" t="str">
            <v>Upgrade Control System</v>
          </cell>
          <cell r="D22" t="str">
            <v>Powerhouse</v>
          </cell>
          <cell r="E22">
            <v>0</v>
          </cell>
          <cell r="F22">
            <v>3</v>
          </cell>
          <cell r="G22">
            <v>8</v>
          </cell>
        </row>
        <row r="23">
          <cell r="B23" t="str">
            <v>K-1</v>
          </cell>
          <cell r="C23" t="str">
            <v>Replace Roof</v>
          </cell>
          <cell r="D23" t="str">
            <v>Powerhouse</v>
          </cell>
          <cell r="E23">
            <v>6</v>
          </cell>
          <cell r="F23">
            <v>7</v>
          </cell>
          <cell r="G23">
            <v>7</v>
          </cell>
        </row>
        <row r="24">
          <cell r="B24" t="str">
            <v>K-2</v>
          </cell>
          <cell r="C24" t="str">
            <v>Oil Spill Containment / Prevention</v>
          </cell>
          <cell r="D24" t="str">
            <v>Powerhouse</v>
          </cell>
          <cell r="E24">
            <v>8</v>
          </cell>
          <cell r="F24">
            <v>7</v>
          </cell>
          <cell r="G24">
            <v>9</v>
          </cell>
        </row>
        <row r="25">
          <cell r="B25" t="str">
            <v>K-3</v>
          </cell>
          <cell r="C25" t="str">
            <v>Upgrade Mechanical Governors</v>
          </cell>
          <cell r="D25" t="str">
            <v>Powerhouse</v>
          </cell>
          <cell r="E25">
            <v>9</v>
          </cell>
          <cell r="F25">
            <v>0</v>
          </cell>
          <cell r="G25">
            <v>7</v>
          </cell>
        </row>
        <row r="26">
          <cell r="B26" t="str">
            <v>K-4</v>
          </cell>
          <cell r="C26" t="str">
            <v>Replace 1 TSOV, modify second TSOV</v>
          </cell>
          <cell r="D26" t="str">
            <v>Powerhouse</v>
          </cell>
          <cell r="E26">
            <v>0</v>
          </cell>
          <cell r="F26">
            <v>10</v>
          </cell>
          <cell r="G26">
            <v>9</v>
          </cell>
        </row>
        <row r="27">
          <cell r="B27" t="str">
            <v>K-5</v>
          </cell>
          <cell r="C27" t="str">
            <v>Modify Bypass System</v>
          </cell>
          <cell r="D27" t="str">
            <v>Powerhouse</v>
          </cell>
          <cell r="E27">
            <v>0</v>
          </cell>
          <cell r="F27">
            <v>10</v>
          </cell>
          <cell r="G27">
            <v>9</v>
          </cell>
        </row>
        <row r="28">
          <cell r="B28" t="str">
            <v>K-6</v>
          </cell>
          <cell r="C28" t="str">
            <v>Add PDA to Generator Unit 3</v>
          </cell>
          <cell r="D28" t="str">
            <v>Powerhouse</v>
          </cell>
          <cell r="E28">
            <v>2</v>
          </cell>
          <cell r="F28">
            <v>3</v>
          </cell>
          <cell r="G28">
            <v>3</v>
          </cell>
        </row>
        <row r="29">
          <cell r="B29" t="str">
            <v>K-7</v>
          </cell>
          <cell r="C29" t="str">
            <v>Upgrade Excitation System</v>
          </cell>
          <cell r="D29" t="str">
            <v>Powerhouse</v>
          </cell>
          <cell r="E29">
            <v>8</v>
          </cell>
          <cell r="F29">
            <v>2</v>
          </cell>
          <cell r="G29">
            <v>10</v>
          </cell>
        </row>
        <row r="30">
          <cell r="B30" t="str">
            <v>K-8</v>
          </cell>
          <cell r="C30" t="str">
            <v>Upgrade Vibration Monitoring System</v>
          </cell>
          <cell r="D30" t="str">
            <v>Powerhouse</v>
          </cell>
          <cell r="E30">
            <v>0</v>
          </cell>
          <cell r="F30">
            <v>3</v>
          </cell>
          <cell r="G30">
            <v>3</v>
          </cell>
        </row>
        <row r="31">
          <cell r="B31" t="str">
            <v>K-9</v>
          </cell>
          <cell r="C31" t="str">
            <v>Replace 480V Switchgear Breakers</v>
          </cell>
          <cell r="D31" t="str">
            <v>Powerhouse</v>
          </cell>
          <cell r="E31">
            <v>2</v>
          </cell>
          <cell r="F31">
            <v>8</v>
          </cell>
          <cell r="G31">
            <v>7</v>
          </cell>
        </row>
        <row r="32">
          <cell r="B32" t="str">
            <v>K-10</v>
          </cell>
          <cell r="C32" t="str">
            <v>Replace 480V Motor Control Centers</v>
          </cell>
          <cell r="D32" t="str">
            <v>Powerhouse</v>
          </cell>
          <cell r="E32">
            <v>0</v>
          </cell>
          <cell r="F32">
            <v>4</v>
          </cell>
          <cell r="G32">
            <v>7</v>
          </cell>
        </row>
        <row r="33">
          <cell r="B33" t="str">
            <v>K-11</v>
          </cell>
          <cell r="C33" t="str">
            <v>Upgrade Electrical Protection</v>
          </cell>
          <cell r="D33" t="str">
            <v>Powerhouse</v>
          </cell>
          <cell r="E33">
            <v>3</v>
          </cell>
          <cell r="F33">
            <v>7</v>
          </cell>
          <cell r="G33">
            <v>9</v>
          </cell>
        </row>
        <row r="34">
          <cell r="B34" t="str">
            <v>K-12</v>
          </cell>
          <cell r="C34" t="str">
            <v>Replace Unit 1 Step-up Transformers &amp; Buy Spare</v>
          </cell>
          <cell r="D34" t="str">
            <v>Powerhouse</v>
          </cell>
          <cell r="E34">
            <v>2</v>
          </cell>
          <cell r="F34">
            <v>4</v>
          </cell>
          <cell r="G34">
            <v>10</v>
          </cell>
        </row>
        <row r="35">
          <cell r="B35" t="str">
            <v>K-13</v>
          </cell>
          <cell r="C35" t="str">
            <v>Upgrade Control System</v>
          </cell>
          <cell r="D35" t="str">
            <v>Powerhouse</v>
          </cell>
          <cell r="E35">
            <v>0</v>
          </cell>
          <cell r="F35">
            <v>3</v>
          </cell>
          <cell r="G35">
            <v>8</v>
          </cell>
        </row>
        <row r="36">
          <cell r="B36" t="str">
            <v>K-14</v>
          </cell>
          <cell r="C36" t="str">
            <v>Add Step-up Transformer Fire Protection</v>
          </cell>
          <cell r="D36" t="str">
            <v>Powerhouse</v>
          </cell>
          <cell r="E36">
            <v>6</v>
          </cell>
          <cell r="F36">
            <v>9</v>
          </cell>
          <cell r="G36">
            <v>10</v>
          </cell>
        </row>
        <row r="37">
          <cell r="B37" t="str">
            <v>K-15</v>
          </cell>
          <cell r="C37" t="str">
            <v>Replace Inverter</v>
          </cell>
          <cell r="D37" t="str">
            <v>Powerhouse</v>
          </cell>
          <cell r="E37">
            <v>0</v>
          </cell>
          <cell r="F37">
            <v>0</v>
          </cell>
          <cell r="G37">
            <v>9</v>
          </cell>
        </row>
        <row r="38">
          <cell r="B38" t="str">
            <v>K-16</v>
          </cell>
          <cell r="C38" t="str">
            <v>Repair Leaking Transformer Deck</v>
          </cell>
          <cell r="D38" t="str">
            <v>Powerhouse</v>
          </cell>
          <cell r="E38">
            <v>8</v>
          </cell>
          <cell r="F38">
            <v>7</v>
          </cell>
          <cell r="G38">
            <v>9</v>
          </cell>
        </row>
        <row r="39">
          <cell r="B39" t="str">
            <v>K-17</v>
          </cell>
          <cell r="C39" t="str">
            <v>Rewind Unit 3 Generator</v>
          </cell>
          <cell r="D39" t="str">
            <v>Powerhouse</v>
          </cell>
          <cell r="E39">
            <v>0</v>
          </cell>
          <cell r="F39">
            <v>3</v>
          </cell>
          <cell r="G39">
            <v>10</v>
          </cell>
        </row>
        <row r="40">
          <cell r="B40" t="str">
            <v>M-1</v>
          </cell>
          <cell r="C40" t="str">
            <v>Oil Spill Containment / Prevention</v>
          </cell>
          <cell r="D40" t="str">
            <v>Powerhouse</v>
          </cell>
          <cell r="E40">
            <v>8</v>
          </cell>
          <cell r="F40">
            <v>7</v>
          </cell>
          <cell r="G40">
            <v>9</v>
          </cell>
        </row>
        <row r="41">
          <cell r="B41" t="str">
            <v>M-2</v>
          </cell>
          <cell r="C41" t="str">
            <v>Rewind Generators</v>
          </cell>
          <cell r="D41" t="str">
            <v>Powerhouse</v>
          </cell>
          <cell r="E41">
            <v>0</v>
          </cell>
          <cell r="F41">
            <v>3</v>
          </cell>
          <cell r="G41">
            <v>10</v>
          </cell>
        </row>
        <row r="42">
          <cell r="B42" t="str">
            <v>M-3</v>
          </cell>
          <cell r="C42" t="str">
            <v>Address Unit 1 EMF Issues</v>
          </cell>
          <cell r="D42" t="str">
            <v>Powerhouse</v>
          </cell>
          <cell r="E42">
            <v>8</v>
          </cell>
          <cell r="F42">
            <v>8</v>
          </cell>
          <cell r="G42">
            <v>8</v>
          </cell>
        </row>
        <row r="43">
          <cell r="B43" t="str">
            <v>M-4</v>
          </cell>
          <cell r="C43" t="str">
            <v>Replace Inverter</v>
          </cell>
          <cell r="D43" t="str">
            <v>Powerhouse</v>
          </cell>
          <cell r="E43">
            <v>0</v>
          </cell>
          <cell r="F43">
            <v>0</v>
          </cell>
          <cell r="G43">
            <v>9</v>
          </cell>
        </row>
        <row r="44">
          <cell r="B44" t="str">
            <v>M-5</v>
          </cell>
          <cell r="C44" t="str">
            <v>Replace Breaker in 480V Switchgear</v>
          </cell>
          <cell r="D44" t="str">
            <v>Powerhouse</v>
          </cell>
          <cell r="E44">
            <v>2</v>
          </cell>
          <cell r="F44">
            <v>8</v>
          </cell>
          <cell r="G44">
            <v>7</v>
          </cell>
        </row>
        <row r="45">
          <cell r="B45" t="str">
            <v>M-6</v>
          </cell>
          <cell r="C45" t="str">
            <v>Replace 480V Motor Control Centers</v>
          </cell>
          <cell r="D45" t="str">
            <v>Powerhouse</v>
          </cell>
          <cell r="E45">
            <v>0</v>
          </cell>
          <cell r="F45">
            <v>4</v>
          </cell>
          <cell r="G45">
            <v>7</v>
          </cell>
        </row>
        <row r="46">
          <cell r="B46" t="str">
            <v>M-7</v>
          </cell>
          <cell r="C46" t="str">
            <v>Relays Upgrade Electrical Protective Relaying</v>
          </cell>
          <cell r="D46" t="str">
            <v>Powerhouse</v>
          </cell>
          <cell r="E46">
            <v>3</v>
          </cell>
          <cell r="F46">
            <v>7</v>
          </cell>
          <cell r="G46">
            <v>9</v>
          </cell>
        </row>
        <row r="47">
          <cell r="B47" t="str">
            <v>M-8</v>
          </cell>
          <cell r="C47" t="str">
            <v>Replace Unit 1 Step-up Transformer</v>
          </cell>
          <cell r="D47" t="str">
            <v>Powerhouse</v>
          </cell>
          <cell r="E47">
            <v>2</v>
          </cell>
          <cell r="F47">
            <v>4</v>
          </cell>
          <cell r="G47">
            <v>10</v>
          </cell>
        </row>
        <row r="48">
          <cell r="B48" t="str">
            <v>M-9</v>
          </cell>
          <cell r="C48" t="str">
            <v>Replace Cooling Water Piping/tubing</v>
          </cell>
          <cell r="D48" t="str">
            <v>Powerhouse</v>
          </cell>
          <cell r="E48">
            <v>0</v>
          </cell>
          <cell r="F48">
            <v>7</v>
          </cell>
          <cell r="G48">
            <v>8</v>
          </cell>
        </row>
        <row r="49">
          <cell r="B49" t="str">
            <v>M-10</v>
          </cell>
          <cell r="C49" t="str">
            <v>Replace TSOV Control Water Piping/tubing</v>
          </cell>
          <cell r="D49" t="str">
            <v>Powerhouse</v>
          </cell>
          <cell r="E49">
            <v>0</v>
          </cell>
          <cell r="F49">
            <v>7</v>
          </cell>
          <cell r="G49">
            <v>8</v>
          </cell>
        </row>
        <row r="50">
          <cell r="B50" t="str">
            <v>M-11</v>
          </cell>
          <cell r="C50" t="str">
            <v>Replace Station Air Compressor</v>
          </cell>
          <cell r="D50" t="str">
            <v>Powerhouse</v>
          </cell>
          <cell r="E50">
            <v>0</v>
          </cell>
          <cell r="F50">
            <v>0</v>
          </cell>
          <cell r="G50">
            <v>6</v>
          </cell>
        </row>
        <row r="51">
          <cell r="B51" t="str">
            <v>M-12</v>
          </cell>
          <cell r="C51" t="str">
            <v>SCADA/Control System Upgrades - Remove Unit Annunciator RTU</v>
          </cell>
          <cell r="D51" t="str">
            <v>Powerhouse</v>
          </cell>
          <cell r="E51">
            <v>8</v>
          </cell>
          <cell r="F51">
            <v>3</v>
          </cell>
          <cell r="G51">
            <v>8</v>
          </cell>
        </row>
        <row r="52">
          <cell r="B52" t="str">
            <v>M-13</v>
          </cell>
          <cell r="C52" t="str">
            <v>SCADA/Control System Upgrades - Upgrade Vibration Monitoring System</v>
          </cell>
          <cell r="D52" t="str">
            <v>Powerhouse</v>
          </cell>
          <cell r="E52">
            <v>8</v>
          </cell>
          <cell r="F52">
            <v>3</v>
          </cell>
          <cell r="G52">
            <v>8</v>
          </cell>
        </row>
        <row r="53">
          <cell r="B53" t="str">
            <v>M-14</v>
          </cell>
          <cell r="C53" t="str">
            <v>Add Step-up Transformer Fire Protection</v>
          </cell>
          <cell r="D53" t="str">
            <v>Powerhouse</v>
          </cell>
          <cell r="E53">
            <v>6</v>
          </cell>
          <cell r="F53">
            <v>9</v>
          </cell>
          <cell r="G53">
            <v>10</v>
          </cell>
        </row>
        <row r="54">
          <cell r="B54" t="str">
            <v>LM-1</v>
          </cell>
          <cell r="C54" t="str">
            <v>Replace Roof</v>
          </cell>
          <cell r="D54" t="str">
            <v>Powerhouse</v>
          </cell>
          <cell r="E54">
            <v>6</v>
          </cell>
          <cell r="F54">
            <v>7</v>
          </cell>
          <cell r="G54">
            <v>7</v>
          </cell>
        </row>
        <row r="55">
          <cell r="B55" t="str">
            <v>LM-2</v>
          </cell>
          <cell r="C55" t="str">
            <v>Oil Spill Containment / Prevention</v>
          </cell>
          <cell r="D55" t="str">
            <v>Powerhouse</v>
          </cell>
          <cell r="E55">
            <v>8</v>
          </cell>
          <cell r="F55">
            <v>7</v>
          </cell>
          <cell r="G55">
            <v>9</v>
          </cell>
        </row>
        <row r="56">
          <cell r="B56" t="str">
            <v>LM-3</v>
          </cell>
          <cell r="C56" t="str">
            <v>Upgrade Excitation System</v>
          </cell>
          <cell r="D56" t="str">
            <v>Powerhouse</v>
          </cell>
          <cell r="E56">
            <v>8</v>
          </cell>
          <cell r="F56">
            <v>2</v>
          </cell>
          <cell r="G56">
            <v>10</v>
          </cell>
        </row>
        <row r="57">
          <cell r="B57" t="str">
            <v>LM-4</v>
          </cell>
          <cell r="C57" t="str">
            <v>Upgrade Electrical Protective Relaying</v>
          </cell>
          <cell r="D57" t="str">
            <v>Powerhouse</v>
          </cell>
          <cell r="E57">
            <v>3</v>
          </cell>
          <cell r="F57">
            <v>7</v>
          </cell>
          <cell r="G57">
            <v>9</v>
          </cell>
        </row>
        <row r="58">
          <cell r="B58" t="str">
            <v>LM-5</v>
          </cell>
          <cell r="C58" t="str">
            <v>Replace Step-up Transformer</v>
          </cell>
          <cell r="D58" t="str">
            <v>Powerhouse</v>
          </cell>
          <cell r="E58">
            <v>2</v>
          </cell>
          <cell r="F58">
            <v>4</v>
          </cell>
          <cell r="G58">
            <v>10</v>
          </cell>
        </row>
        <row r="59">
          <cell r="B59" t="str">
            <v>LM-6</v>
          </cell>
          <cell r="C59" t="str">
            <v>Upgrade Unit Control System</v>
          </cell>
          <cell r="D59" t="str">
            <v>Powerhouse</v>
          </cell>
          <cell r="E59">
            <v>0</v>
          </cell>
          <cell r="F59">
            <v>3</v>
          </cell>
          <cell r="G59">
            <v>8</v>
          </cell>
        </row>
        <row r="60">
          <cell r="B60" t="str">
            <v>IS-1</v>
          </cell>
          <cell r="C60" t="str">
            <v>Add Surge Arresters to Transmission Lines</v>
          </cell>
          <cell r="D60" t="str">
            <v>Transmission</v>
          </cell>
          <cell r="E60">
            <v>0</v>
          </cell>
          <cell r="F60">
            <v>1</v>
          </cell>
          <cell r="G60">
            <v>6</v>
          </cell>
        </row>
        <row r="61">
          <cell r="B61" t="str">
            <v>IS-2</v>
          </cell>
          <cell r="C61" t="str">
            <v>Fault Study for Switchyard System Conditions</v>
          </cell>
          <cell r="D61" t="str">
            <v>Transmission</v>
          </cell>
          <cell r="E61">
            <v>9</v>
          </cell>
          <cell r="F61">
            <v>3</v>
          </cell>
          <cell r="G61">
            <v>3</v>
          </cell>
        </row>
        <row r="62">
          <cell r="B62" t="str">
            <v>IS-3</v>
          </cell>
          <cell r="C62" t="str">
            <v>Grounding Study and Analysis</v>
          </cell>
          <cell r="D62" t="str">
            <v>Transmission</v>
          </cell>
          <cell r="E62">
            <v>7</v>
          </cell>
          <cell r="F62">
            <v>10</v>
          </cell>
          <cell r="G62">
            <v>9</v>
          </cell>
        </row>
        <row r="63">
          <cell r="B63" t="str">
            <v>IS-4</v>
          </cell>
          <cell r="C63" t="str">
            <v>Fence Replacement</v>
          </cell>
          <cell r="D63" t="str">
            <v>Transmission</v>
          </cell>
          <cell r="E63">
            <v>10</v>
          </cell>
          <cell r="F63">
            <v>9</v>
          </cell>
          <cell r="G63">
            <v>0</v>
          </cell>
        </row>
        <row r="64">
          <cell r="B64" t="str">
            <v>IS-5</v>
          </cell>
          <cell r="C64" t="str">
            <v>Replace Circuit Breakers</v>
          </cell>
          <cell r="D64" t="str">
            <v>Transmission</v>
          </cell>
          <cell r="E64">
            <v>0</v>
          </cell>
          <cell r="F64">
            <v>1</v>
          </cell>
          <cell r="G64">
            <v>10</v>
          </cell>
        </row>
        <row r="65">
          <cell r="B65" t="str">
            <v>IS-6</v>
          </cell>
          <cell r="C65" t="str">
            <v>Replace Electrical Equipment</v>
          </cell>
          <cell r="D65" t="str">
            <v>Transmission</v>
          </cell>
          <cell r="E65">
            <v>1</v>
          </cell>
          <cell r="F65">
            <v>5</v>
          </cell>
          <cell r="G65">
            <v>8</v>
          </cell>
        </row>
        <row r="66">
          <cell r="B66" t="str">
            <v>MS-1</v>
          </cell>
          <cell r="C66" t="str">
            <v>Replace 115kV Disconnect Switches 501 and 502</v>
          </cell>
          <cell r="D66" t="str">
            <v>Transmission</v>
          </cell>
          <cell r="E66">
            <v>0</v>
          </cell>
          <cell r="F66">
            <v>4</v>
          </cell>
          <cell r="G66">
            <v>7</v>
          </cell>
        </row>
        <row r="67">
          <cell r="B67" t="str">
            <v>MS-2</v>
          </cell>
          <cell r="C67" t="str">
            <v>115kV: Replace Bus Configuration</v>
          </cell>
          <cell r="D67" t="str">
            <v>Transmission</v>
          </cell>
          <cell r="E67">
            <v>0</v>
          </cell>
          <cell r="F67">
            <v>3</v>
          </cell>
          <cell r="G67">
            <v>5</v>
          </cell>
        </row>
        <row r="68">
          <cell r="B68" t="str">
            <v>MS-3</v>
          </cell>
          <cell r="C68" t="str">
            <v>Replace 230kV Disconnect Switches 503 and 504</v>
          </cell>
          <cell r="D68" t="str">
            <v>Transmission</v>
          </cell>
          <cell r="E68">
            <v>0</v>
          </cell>
          <cell r="F68">
            <v>4</v>
          </cell>
          <cell r="G68">
            <v>9</v>
          </cell>
        </row>
        <row r="69">
          <cell r="B69" t="str">
            <v>MS-4</v>
          </cell>
          <cell r="C69" t="str">
            <v>230 kV: Consider Changing Bus Configuration</v>
          </cell>
          <cell r="D69" t="str">
            <v>Transmission</v>
          </cell>
          <cell r="E69">
            <v>0</v>
          </cell>
          <cell r="F69">
            <v>3</v>
          </cell>
          <cell r="G69">
            <v>5</v>
          </cell>
        </row>
        <row r="70">
          <cell r="B70" t="str">
            <v>MS-5</v>
          </cell>
          <cell r="C70" t="str">
            <v>Prioritize Replacement of 1967 115kV Circuit Breakers</v>
          </cell>
          <cell r="D70" t="str">
            <v>Transmission</v>
          </cell>
          <cell r="E70">
            <v>0</v>
          </cell>
          <cell r="F70">
            <v>1</v>
          </cell>
          <cell r="G70">
            <v>10</v>
          </cell>
        </row>
        <row r="71">
          <cell r="B71" t="str">
            <v>MS-6</v>
          </cell>
          <cell r="C71" t="str">
            <v>System wide 230kV Circuit Breaker Spare</v>
          </cell>
          <cell r="D71" t="str">
            <v>Transmission</v>
          </cell>
          <cell r="E71">
            <v>0</v>
          </cell>
          <cell r="F71">
            <v>1</v>
          </cell>
          <cell r="G71">
            <v>10</v>
          </cell>
        </row>
        <row r="72">
          <cell r="B72" t="str">
            <v>MS-7</v>
          </cell>
          <cell r="C72" t="str">
            <v>Add Surge Arresters to T-lines 3, 4, 5, and 6</v>
          </cell>
          <cell r="D72" t="str">
            <v>Transmission</v>
          </cell>
          <cell r="E72">
            <v>0</v>
          </cell>
          <cell r="F72">
            <v>1</v>
          </cell>
          <cell r="G72">
            <v>6</v>
          </cell>
        </row>
        <row r="73">
          <cell r="B73" t="str">
            <v>MS-8</v>
          </cell>
          <cell r="C73" t="str">
            <v>Perform Fault Study to Identify Switchyard System</v>
          </cell>
          <cell r="D73" t="str">
            <v>Transmission</v>
          </cell>
          <cell r="E73">
            <v>9</v>
          </cell>
          <cell r="F73">
            <v>3</v>
          </cell>
          <cell r="G73">
            <v>3</v>
          </cell>
        </row>
        <row r="74">
          <cell r="B74" t="str">
            <v>MS-9</v>
          </cell>
          <cell r="C74" t="str">
            <v>Grounding Study</v>
          </cell>
          <cell r="D74" t="str">
            <v>Transmission</v>
          </cell>
          <cell r="E74">
            <v>7</v>
          </cell>
          <cell r="F74">
            <v>10</v>
          </cell>
          <cell r="G74">
            <v>9</v>
          </cell>
        </row>
        <row r="75">
          <cell r="B75" t="str">
            <v>MS-10</v>
          </cell>
          <cell r="C75" t="str">
            <v>Improve Switchyard Grading</v>
          </cell>
          <cell r="D75" t="str">
            <v>Transmission</v>
          </cell>
          <cell r="E75">
            <v>0</v>
          </cell>
          <cell r="F75">
            <v>9</v>
          </cell>
          <cell r="G75">
            <v>8</v>
          </cell>
        </row>
        <row r="76">
          <cell r="B76" t="str">
            <v>MS-11</v>
          </cell>
          <cell r="C76" t="str">
            <v>Replace Fencing</v>
          </cell>
          <cell r="D76" t="str">
            <v>Transmission</v>
          </cell>
          <cell r="E76">
            <v>10</v>
          </cell>
          <cell r="F76">
            <v>9</v>
          </cell>
          <cell r="G76">
            <v>0</v>
          </cell>
        </row>
        <row r="77">
          <cell r="B77" t="str">
            <v>WS-1</v>
          </cell>
          <cell r="C77" t="str">
            <v>Consider changing 115kV Bus Configuration for Lines 7 and 8</v>
          </cell>
          <cell r="D77" t="str">
            <v>Transmission</v>
          </cell>
          <cell r="E77">
            <v>0</v>
          </cell>
          <cell r="F77">
            <v>3</v>
          </cell>
          <cell r="G77">
            <v>5</v>
          </cell>
        </row>
        <row r="78">
          <cell r="B78" t="str">
            <v>WS-2</v>
          </cell>
          <cell r="C78" t="str">
            <v>Add Surge Arresters to T-Lines 5, 6, 7, and 8</v>
          </cell>
          <cell r="D78" t="str">
            <v>Transmission</v>
          </cell>
          <cell r="E78">
            <v>0</v>
          </cell>
          <cell r="F78">
            <v>1</v>
          </cell>
          <cell r="G78">
            <v>6</v>
          </cell>
        </row>
        <row r="79">
          <cell r="B79" t="str">
            <v>WS-3</v>
          </cell>
          <cell r="C79" t="str">
            <v>Perform Fault Study to Identify Switchyard System</v>
          </cell>
          <cell r="D79" t="str">
            <v>Transmission</v>
          </cell>
          <cell r="E79">
            <v>9</v>
          </cell>
          <cell r="F79">
            <v>3</v>
          </cell>
          <cell r="G79">
            <v>3</v>
          </cell>
        </row>
        <row r="80">
          <cell r="B80" t="str">
            <v>WS-4</v>
          </cell>
          <cell r="C80" t="str">
            <v>Perform Grounding Study</v>
          </cell>
          <cell r="D80" t="str">
            <v>Transmission</v>
          </cell>
          <cell r="E80">
            <v>7</v>
          </cell>
          <cell r="F80">
            <v>10</v>
          </cell>
          <cell r="G80">
            <v>9</v>
          </cell>
        </row>
        <row r="81">
          <cell r="B81" t="str">
            <v>WS-5</v>
          </cell>
          <cell r="C81" t="str">
            <v>Improve Switchyard Grading</v>
          </cell>
          <cell r="D81" t="str">
            <v>Transmission</v>
          </cell>
          <cell r="E81">
            <v>0</v>
          </cell>
          <cell r="F81">
            <v>6</v>
          </cell>
          <cell r="G81">
            <v>8</v>
          </cell>
        </row>
        <row r="82">
          <cell r="B82" t="str">
            <v>WS-6</v>
          </cell>
          <cell r="C82" t="str">
            <v>Replace Fencing</v>
          </cell>
          <cell r="D82" t="str">
            <v>Transmission</v>
          </cell>
          <cell r="E82">
            <v>10</v>
          </cell>
          <cell r="F82">
            <v>9</v>
          </cell>
          <cell r="G82">
            <v>0</v>
          </cell>
        </row>
        <row r="83">
          <cell r="B83" t="str">
            <v>WS-7</v>
          </cell>
          <cell r="C83" t="str">
            <v>Replace 230kV Circuit Breakers</v>
          </cell>
          <cell r="D83" t="str">
            <v>Transmission</v>
          </cell>
          <cell r="E83">
            <v>0</v>
          </cell>
          <cell r="F83">
            <v>1</v>
          </cell>
          <cell r="G83">
            <v>10</v>
          </cell>
        </row>
        <row r="84">
          <cell r="B84" t="str">
            <v>WS-8</v>
          </cell>
          <cell r="C84" t="str">
            <v>Replace 115kV Circuit Breakers</v>
          </cell>
          <cell r="D84" t="str">
            <v>Transmission</v>
          </cell>
          <cell r="E84">
            <v>0</v>
          </cell>
          <cell r="F84">
            <v>1</v>
          </cell>
          <cell r="G84">
            <v>10</v>
          </cell>
        </row>
        <row r="85">
          <cell r="B85" t="str">
            <v>WS-9</v>
          </cell>
          <cell r="C85" t="str">
            <v>Replace 230kV Electrical Equipment</v>
          </cell>
          <cell r="D85" t="str">
            <v>Transmission</v>
          </cell>
          <cell r="E85">
            <v>1</v>
          </cell>
          <cell r="F85">
            <v>5</v>
          </cell>
          <cell r="G85">
            <v>8</v>
          </cell>
        </row>
        <row r="86">
          <cell r="B86" t="str">
            <v>WS-10</v>
          </cell>
          <cell r="C86" t="str">
            <v>Replace 115kV Electrical Equipment</v>
          </cell>
          <cell r="D86" t="str">
            <v>Transmission</v>
          </cell>
          <cell r="E86">
            <v>1</v>
          </cell>
          <cell r="F86">
            <v>5</v>
          </cell>
          <cell r="G86">
            <v>8</v>
          </cell>
        </row>
        <row r="87">
          <cell r="B87" t="str">
            <v>WS-11</v>
          </cell>
          <cell r="C87" t="str">
            <v>Add Oil Containment to Transformer Bank 1</v>
          </cell>
          <cell r="D87" t="str">
            <v>Transmission</v>
          </cell>
          <cell r="E87">
            <v>9</v>
          </cell>
          <cell r="F87">
            <v>4</v>
          </cell>
          <cell r="G87">
            <v>3</v>
          </cell>
        </row>
        <row r="88">
          <cell r="B88" t="str">
            <v>WS-12</v>
          </cell>
          <cell r="C88" t="str">
            <v>Replace Transformer Bank 1, 2, 3</v>
          </cell>
          <cell r="D88" t="str">
            <v>Transmission</v>
          </cell>
          <cell r="E88">
            <v>0</v>
          </cell>
          <cell r="F88">
            <v>2</v>
          </cell>
          <cell r="G88">
            <v>5</v>
          </cell>
        </row>
        <row r="89">
          <cell r="B89" t="str">
            <v>34-1</v>
          </cell>
          <cell r="C89" t="str">
            <v>Repair Lines 3 &amp; 4</v>
          </cell>
          <cell r="D89" t="str">
            <v>Transmission</v>
          </cell>
          <cell r="E89">
            <v>3</v>
          </cell>
          <cell r="F89">
            <v>10</v>
          </cell>
          <cell r="G89">
            <v>10</v>
          </cell>
        </row>
        <row r="90">
          <cell r="B90" t="str">
            <v>34-2</v>
          </cell>
          <cell r="C90" t="str">
            <v>Replace Lines 3 &amp; 4</v>
          </cell>
          <cell r="D90" t="str">
            <v>Transmission</v>
          </cell>
          <cell r="E90">
            <v>3</v>
          </cell>
          <cell r="F90">
            <v>2</v>
          </cell>
          <cell r="G90">
            <v>6</v>
          </cell>
        </row>
        <row r="91">
          <cell r="B91" t="str">
            <v>56-1</v>
          </cell>
          <cell r="C91" t="str">
            <v>Replace Insulators and Hardware</v>
          </cell>
          <cell r="D91" t="str">
            <v>Transmission</v>
          </cell>
          <cell r="E91">
            <v>3</v>
          </cell>
          <cell r="F91">
            <v>2</v>
          </cell>
          <cell r="G91">
            <v>6</v>
          </cell>
        </row>
        <row r="92">
          <cell r="B92" t="str">
            <v>56-2</v>
          </cell>
          <cell r="C92" t="str">
            <v>Ground Conductive Transmission Line Structures</v>
          </cell>
          <cell r="D92" t="str">
            <v>Transmission</v>
          </cell>
          <cell r="E92">
            <v>6</v>
          </cell>
          <cell r="F92">
            <v>6</v>
          </cell>
          <cell r="G92">
            <v>2</v>
          </cell>
        </row>
        <row r="93">
          <cell r="B93" t="str">
            <v>78-1</v>
          </cell>
          <cell r="C93" t="str">
            <v>Replace Insulators and Hardware</v>
          </cell>
          <cell r="D93" t="str">
            <v>Transmission</v>
          </cell>
          <cell r="E93">
            <v>3</v>
          </cell>
          <cell r="F93">
            <v>2</v>
          </cell>
          <cell r="G93">
            <v>6</v>
          </cell>
        </row>
        <row r="94">
          <cell r="B94" t="str">
            <v>78-2</v>
          </cell>
          <cell r="C94" t="str">
            <v>Ground Conductive Transmission Line structures</v>
          </cell>
          <cell r="D94" t="str">
            <v>Transmission</v>
          </cell>
          <cell r="E94">
            <v>6</v>
          </cell>
          <cell r="F94">
            <v>6</v>
          </cell>
          <cell r="G94">
            <v>2</v>
          </cell>
        </row>
        <row r="95">
          <cell r="B95">
            <v>0</v>
          </cell>
          <cell r="C95">
            <v>0</v>
          </cell>
          <cell r="D95">
            <v>0</v>
          </cell>
          <cell r="E95">
            <v>0</v>
          </cell>
          <cell r="F95">
            <v>0</v>
          </cell>
          <cell r="G95">
            <v>0</v>
          </cell>
          <cell r="H95">
            <v>0</v>
          </cell>
        </row>
        <row r="96">
          <cell r="B96">
            <v>0</v>
          </cell>
          <cell r="C96">
            <v>0</v>
          </cell>
          <cell r="D96">
            <v>0</v>
          </cell>
          <cell r="E96">
            <v>0</v>
          </cell>
          <cell r="F96">
            <v>0</v>
          </cell>
          <cell r="G96">
            <v>0</v>
          </cell>
          <cell r="H96">
            <v>0</v>
          </cell>
        </row>
        <row r="97">
          <cell r="B97">
            <v>0</v>
          </cell>
          <cell r="C97">
            <v>0</v>
          </cell>
          <cell r="D97">
            <v>0</v>
          </cell>
          <cell r="E97">
            <v>0</v>
          </cell>
          <cell r="F97">
            <v>0</v>
          </cell>
          <cell r="G97">
            <v>0</v>
          </cell>
          <cell r="H97">
            <v>0</v>
          </cell>
        </row>
        <row r="98">
          <cell r="B98">
            <v>0</v>
          </cell>
          <cell r="C98">
            <v>0</v>
          </cell>
          <cell r="D98">
            <v>0</v>
          </cell>
          <cell r="E98">
            <v>0</v>
          </cell>
          <cell r="F98">
            <v>0</v>
          </cell>
          <cell r="G98">
            <v>0</v>
          </cell>
          <cell r="H98">
            <v>0</v>
          </cell>
        </row>
        <row r="99">
          <cell r="B99">
            <v>0</v>
          </cell>
          <cell r="C99">
            <v>0</v>
          </cell>
          <cell r="D99">
            <v>0</v>
          </cell>
          <cell r="E99">
            <v>0</v>
          </cell>
          <cell r="F99">
            <v>0</v>
          </cell>
          <cell r="G99">
            <v>0</v>
          </cell>
          <cell r="H99">
            <v>0</v>
          </cell>
        </row>
        <row r="100">
          <cell r="B100">
            <v>0</v>
          </cell>
          <cell r="C100">
            <v>0</v>
          </cell>
          <cell r="D100">
            <v>0</v>
          </cell>
          <cell r="E100">
            <v>0</v>
          </cell>
          <cell r="F100">
            <v>0</v>
          </cell>
          <cell r="G100">
            <v>0</v>
          </cell>
          <cell r="H100">
            <v>0</v>
          </cell>
        </row>
      </sheetData>
      <sheetData sheetId="2"/>
      <sheetData sheetId="3"/>
      <sheetData sheetId="4"/>
      <sheetData sheetId="5"/>
      <sheetData sheetId="6"/>
      <sheetData sheetId="7"/>
      <sheetData sheetId="8">
        <row r="5">
          <cell r="B5" t="str">
            <v>Statistics</v>
          </cell>
          <cell r="C5" t="str">
            <v>H-1-20 Yr NPV</v>
          </cell>
          <cell r="D5" t="str">
            <v>H-1-40 Yr NPV</v>
          </cell>
          <cell r="E5" t="str">
            <v>H-1-Capital Cost</v>
          </cell>
          <cell r="F5" t="str">
            <v>H-1-Install Year</v>
          </cell>
          <cell r="G5" t="str">
            <v>H-10-20 Yr NPV</v>
          </cell>
          <cell r="H5" t="str">
            <v>H-10-40 Yr NPV</v>
          </cell>
          <cell r="I5" t="str">
            <v>H-10-Capital Cost</v>
          </cell>
          <cell r="J5" t="str">
            <v>H-10-Install Year</v>
          </cell>
          <cell r="K5" t="str">
            <v>H-11-20 Yr NPV</v>
          </cell>
          <cell r="L5" t="str">
            <v>H-11-40 Yr NPV</v>
          </cell>
          <cell r="M5" t="str">
            <v>H-11-Capital Cost</v>
          </cell>
          <cell r="N5" t="str">
            <v>H-11-Install Year</v>
          </cell>
          <cell r="O5" t="str">
            <v>H-2-20 Yr NPV</v>
          </cell>
          <cell r="P5" t="str">
            <v>H-2-40 Yr NPV</v>
          </cell>
          <cell r="Q5" t="str">
            <v>H-2-Capital Cost</v>
          </cell>
          <cell r="R5" t="str">
            <v>H-2-Install Year</v>
          </cell>
          <cell r="S5" t="str">
            <v>H-3-20 Yr NPV</v>
          </cell>
          <cell r="T5" t="str">
            <v>H-3-40 Yr NPV</v>
          </cell>
          <cell r="U5" t="str">
            <v>H-3-Capital Cost</v>
          </cell>
          <cell r="V5" t="str">
            <v>H-3-Install Year</v>
          </cell>
          <cell r="W5" t="str">
            <v>H-4-20 Yr NPV</v>
          </cell>
          <cell r="X5" t="str">
            <v>H-4-40 Yr NPV</v>
          </cell>
          <cell r="Y5" t="str">
            <v>H-4-Capital Cost</v>
          </cell>
          <cell r="Z5" t="str">
            <v>H-4-Install Year</v>
          </cell>
          <cell r="AA5" t="str">
            <v>H-5-20 Yr NPV</v>
          </cell>
          <cell r="AB5" t="str">
            <v>H-5-40 Yr NPV</v>
          </cell>
          <cell r="AC5" t="str">
            <v>H-5-Capital Cost</v>
          </cell>
          <cell r="AD5" t="str">
            <v>H-5-Install Year</v>
          </cell>
          <cell r="AE5" t="str">
            <v>H-6-20 Yr NPV</v>
          </cell>
          <cell r="AF5" t="str">
            <v>H-6-40 Yr NPV</v>
          </cell>
          <cell r="AG5" t="str">
            <v>H-6-Capital Cost</v>
          </cell>
          <cell r="AH5" t="str">
            <v>H-6-Install Year</v>
          </cell>
          <cell r="AI5" t="str">
            <v>H-7-20 Yr NPV</v>
          </cell>
          <cell r="AJ5" t="str">
            <v>H-7-40 Yr NPV</v>
          </cell>
          <cell r="AK5" t="str">
            <v>H-7-Capital Cost</v>
          </cell>
          <cell r="AL5" t="str">
            <v>H-7-Install Year</v>
          </cell>
          <cell r="AM5" t="str">
            <v>H-8-20 Yr NPV</v>
          </cell>
          <cell r="AN5" t="str">
            <v>H-8-40 Yr NPV</v>
          </cell>
          <cell r="AO5" t="str">
            <v>H-8-Capital Cost</v>
          </cell>
          <cell r="AP5" t="str">
            <v>H-8-Install Year</v>
          </cell>
          <cell r="AQ5" t="str">
            <v>H-9-20 Yr NPV</v>
          </cell>
          <cell r="AR5" t="str">
            <v>H-9-40 Yr NPV</v>
          </cell>
          <cell r="AS5" t="str">
            <v>H-9-Capital Cost</v>
          </cell>
          <cell r="AT5" t="str">
            <v>H-9-Install Year</v>
          </cell>
          <cell r="AU5" t="str">
            <v>K-1-20 Yr NPV</v>
          </cell>
          <cell r="AV5" t="str">
            <v>K-1-40 Yr NPV</v>
          </cell>
          <cell r="AW5" t="str">
            <v>K-1-Capital Cost</v>
          </cell>
          <cell r="AX5" t="str">
            <v>K-1-Install Year</v>
          </cell>
          <cell r="AY5" t="str">
            <v>K-10-20 Yr NPV</v>
          </cell>
          <cell r="AZ5" t="str">
            <v>K-10-40 Yr NPV</v>
          </cell>
          <cell r="BA5" t="str">
            <v>K-10-Capital Cost</v>
          </cell>
          <cell r="BB5" t="str">
            <v>K-10-Install Year</v>
          </cell>
          <cell r="BC5" t="str">
            <v>K-11-20 Yr NPV</v>
          </cell>
          <cell r="BD5" t="str">
            <v>K-11-40 Yr NPV</v>
          </cell>
          <cell r="BE5" t="str">
            <v>K-11-Capital Cost</v>
          </cell>
          <cell r="BF5" t="str">
            <v>K-11-Install Year</v>
          </cell>
          <cell r="BG5" t="str">
            <v>K-12-20 Yr NPV</v>
          </cell>
          <cell r="BH5" t="str">
            <v>K-12-40 Yr NPV</v>
          </cell>
          <cell r="BI5" t="str">
            <v>K-12-Capital Cost</v>
          </cell>
          <cell r="BJ5" t="str">
            <v>K-12-Install Year</v>
          </cell>
          <cell r="BK5" t="str">
            <v>K-13-20 Yr NPV</v>
          </cell>
          <cell r="BL5" t="str">
            <v>K-13-40 Yr NPV</v>
          </cell>
          <cell r="BM5" t="str">
            <v>K-13-Capital Cost</v>
          </cell>
          <cell r="BN5" t="str">
            <v>K-13-Install Year</v>
          </cell>
          <cell r="BO5" t="str">
            <v>K-14-20 Yr NPV</v>
          </cell>
          <cell r="BP5" t="str">
            <v>K-14-40 Yr NPV</v>
          </cell>
          <cell r="BQ5" t="str">
            <v>K-14-Capital Cost</v>
          </cell>
          <cell r="BR5" t="str">
            <v>K-14-Install Year</v>
          </cell>
          <cell r="BS5" t="str">
            <v>K-15-20 Yr NPV</v>
          </cell>
          <cell r="BT5" t="str">
            <v>K-15-40 Yr NPV</v>
          </cell>
          <cell r="BU5" t="str">
            <v>K-15-Capital Cost</v>
          </cell>
          <cell r="BV5" t="str">
            <v>K-15-Install Year</v>
          </cell>
          <cell r="BW5" t="str">
            <v>K-16-20 Yr NPV</v>
          </cell>
          <cell r="BX5" t="str">
            <v>K-16-40 Yr NPV</v>
          </cell>
          <cell r="BY5" t="str">
            <v>K-16-Capital Cost</v>
          </cell>
          <cell r="BZ5" t="str">
            <v>K-16-Install Year</v>
          </cell>
          <cell r="CA5" t="str">
            <v>K-17-20 Yr NPV</v>
          </cell>
          <cell r="CB5" t="str">
            <v>K-17-40 Yr NPV</v>
          </cell>
          <cell r="CC5" t="str">
            <v>K-17-Capital Cost</v>
          </cell>
          <cell r="CD5" t="str">
            <v>K-17-Install Year</v>
          </cell>
          <cell r="CE5" t="str">
            <v>K-2-20 Yr NPV</v>
          </cell>
          <cell r="CF5" t="str">
            <v>K-2-40 Yr NPV</v>
          </cell>
          <cell r="CG5" t="str">
            <v>K-2-Capital Cost</v>
          </cell>
          <cell r="CH5" t="str">
            <v>K-2-Install Year</v>
          </cell>
          <cell r="CI5" t="str">
            <v>K-3-20 Yr NPV</v>
          </cell>
          <cell r="CJ5" t="str">
            <v>K-3-40 Yr NPV</v>
          </cell>
          <cell r="CK5" t="str">
            <v>K-3-Capital Cost</v>
          </cell>
          <cell r="CL5" t="str">
            <v>K-3-Install Year</v>
          </cell>
          <cell r="CM5" t="str">
            <v>K-4-20 Yr NPV</v>
          </cell>
          <cell r="CN5" t="str">
            <v>K-4-40 Yr NPV</v>
          </cell>
          <cell r="CO5" t="str">
            <v>K-4-Capital Cost</v>
          </cell>
          <cell r="CP5" t="str">
            <v>K-4-Install Year</v>
          </cell>
          <cell r="CQ5" t="str">
            <v>K-5-20 Yr NPV</v>
          </cell>
          <cell r="CR5" t="str">
            <v>K-5-40 Yr NPV</v>
          </cell>
          <cell r="CS5" t="str">
            <v>K-5-Capital Cost</v>
          </cell>
          <cell r="CT5" t="str">
            <v>K-5-Install Year</v>
          </cell>
          <cell r="CU5" t="str">
            <v>K-6-20 Yr NPV</v>
          </cell>
          <cell r="CV5" t="str">
            <v>K-6-40 Yr NPV</v>
          </cell>
          <cell r="CW5" t="str">
            <v>K-6-Capital Cost</v>
          </cell>
          <cell r="CX5" t="str">
            <v>K-6-Install Year</v>
          </cell>
          <cell r="CY5" t="str">
            <v>K-7-20 Yr NPV</v>
          </cell>
          <cell r="CZ5" t="str">
            <v>K-7-40 Yr NPV</v>
          </cell>
          <cell r="DA5" t="str">
            <v>K-7-Capital Cost</v>
          </cell>
          <cell r="DB5" t="str">
            <v>K-7-Install Year</v>
          </cell>
          <cell r="DC5" t="str">
            <v>K-8-20 Yr NPV</v>
          </cell>
          <cell r="DD5" t="str">
            <v>K-8-40 Yr NPV</v>
          </cell>
          <cell r="DE5" t="str">
            <v>K-8-Capital Cost</v>
          </cell>
          <cell r="DF5" t="str">
            <v>K-8-Install Year</v>
          </cell>
          <cell r="DG5" t="str">
            <v>K-9-20 Yr NPV</v>
          </cell>
          <cell r="DH5" t="str">
            <v>K-9-40 Yr NPV</v>
          </cell>
          <cell r="DI5" t="str">
            <v>K-9-Capital Cost</v>
          </cell>
          <cell r="DJ5" t="str">
            <v>K-9-Install Year</v>
          </cell>
          <cell r="DK5" t="str">
            <v>LM-1-20 Yr NPV</v>
          </cell>
          <cell r="DL5" t="str">
            <v>LM-1-40 Yr NPV</v>
          </cell>
          <cell r="DM5" t="str">
            <v>LM-1-Capital Cost</v>
          </cell>
          <cell r="DN5" t="str">
            <v>LM-1-Install Year</v>
          </cell>
          <cell r="DO5" t="str">
            <v>LM-2-20 Yr NPV</v>
          </cell>
          <cell r="DP5" t="str">
            <v>LM-2-40 Yr NPV</v>
          </cell>
          <cell r="DQ5" t="str">
            <v>LM-2-Capital Cost</v>
          </cell>
          <cell r="DR5" t="str">
            <v>LM-2-Install Year</v>
          </cell>
          <cell r="DS5" t="str">
            <v>LM-3-20 Yr NPV</v>
          </cell>
          <cell r="DT5" t="str">
            <v>LM-3-40 Yr NPV</v>
          </cell>
          <cell r="DU5" t="str">
            <v>LM-3-Capital Cost</v>
          </cell>
          <cell r="DV5" t="str">
            <v>LM-3-Install Year</v>
          </cell>
          <cell r="DW5" t="str">
            <v>LM-4-20 Yr NPV</v>
          </cell>
          <cell r="DX5" t="str">
            <v>LM-4-40 Yr NPV</v>
          </cell>
          <cell r="DY5" t="str">
            <v>LM-4-Capital Cost</v>
          </cell>
          <cell r="DZ5" t="str">
            <v>LM-4-Install Year</v>
          </cell>
          <cell r="EA5" t="str">
            <v>LM-5-20 Yr NPV</v>
          </cell>
          <cell r="EB5" t="str">
            <v>LM-5-40 Yr NPV</v>
          </cell>
          <cell r="EC5" t="str">
            <v>LM-5-Capital Cost</v>
          </cell>
          <cell r="ED5" t="str">
            <v>LM-5-Install Year</v>
          </cell>
          <cell r="EE5" t="str">
            <v>LM-6-20 Yr NPV</v>
          </cell>
          <cell r="EF5" t="str">
            <v>LM-6-40 Yr NPV</v>
          </cell>
          <cell r="EG5" t="str">
            <v>LM-6-Capital Cost</v>
          </cell>
          <cell r="EH5" t="str">
            <v>LM-6-Install Year</v>
          </cell>
          <cell r="EI5" t="str">
            <v>M-1-20 Yr NPV</v>
          </cell>
          <cell r="EJ5" t="str">
            <v>M-1-40 Yr NPV</v>
          </cell>
          <cell r="EK5" t="str">
            <v>M-1-Capital Cost</v>
          </cell>
          <cell r="EL5" t="str">
            <v>M-1-Install Year</v>
          </cell>
          <cell r="EM5" t="str">
            <v>M-10-20 Yr NPV</v>
          </cell>
          <cell r="EN5" t="str">
            <v>M-10-40 Yr NPV</v>
          </cell>
          <cell r="EO5" t="str">
            <v>M-10-Capital Cost</v>
          </cell>
          <cell r="EP5" t="str">
            <v>M-10-Install Year</v>
          </cell>
          <cell r="EQ5" t="str">
            <v>M-11-20 Yr NPV</v>
          </cell>
          <cell r="ER5" t="str">
            <v>M-11-40 Yr NPV</v>
          </cell>
          <cell r="ES5" t="str">
            <v>M-11-Capital Cost</v>
          </cell>
          <cell r="ET5" t="str">
            <v>M-11-Install Year</v>
          </cell>
          <cell r="EU5" t="str">
            <v>M-12-20 Yr NPV</v>
          </cell>
          <cell r="EV5" t="str">
            <v>M-12-40 Yr NPV</v>
          </cell>
          <cell r="EW5" t="str">
            <v>M-12-Capital Cost</v>
          </cell>
          <cell r="EX5" t="str">
            <v>M-12-Install Year</v>
          </cell>
          <cell r="EY5" t="str">
            <v>M-13-20 Yr NPV</v>
          </cell>
          <cell r="EZ5" t="str">
            <v>M-13-40 Yr NPV</v>
          </cell>
          <cell r="FA5" t="str">
            <v>M-13-Capital Cost</v>
          </cell>
          <cell r="FB5" t="str">
            <v>M-13-Install Year</v>
          </cell>
          <cell r="FC5" t="str">
            <v>M-14-20 Yr NPV</v>
          </cell>
          <cell r="FD5" t="str">
            <v>M-14-40 Yr NPV</v>
          </cell>
          <cell r="FE5" t="str">
            <v>M-14-Capital Cost</v>
          </cell>
          <cell r="FF5" t="str">
            <v>M-14-Install Year</v>
          </cell>
          <cell r="FG5" t="str">
            <v>M-2-20 Yr NPV</v>
          </cell>
          <cell r="FH5" t="str">
            <v>M-2-40 Yr NPV</v>
          </cell>
          <cell r="FI5" t="str">
            <v>M-2-Capital Cost</v>
          </cell>
          <cell r="FJ5" t="str">
            <v>M-2-Install Year</v>
          </cell>
          <cell r="FK5" t="str">
            <v>M-3-20 Yr NPV</v>
          </cell>
          <cell r="FL5" t="str">
            <v>M-3-40 Yr NPV</v>
          </cell>
          <cell r="FM5" t="str">
            <v>M-3-Capital Cost</v>
          </cell>
          <cell r="FN5" t="str">
            <v>M-3-Install Year</v>
          </cell>
          <cell r="FO5" t="str">
            <v>M-4-20 Yr NPV</v>
          </cell>
          <cell r="FP5" t="str">
            <v>M-4-40 Yr NPV</v>
          </cell>
          <cell r="FQ5" t="str">
            <v>M-4-Capital Cost</v>
          </cell>
          <cell r="FR5" t="str">
            <v>M-4-Install Year</v>
          </cell>
          <cell r="FS5" t="str">
            <v>M-5-20 Yr NPV</v>
          </cell>
          <cell r="FT5" t="str">
            <v>M-5-40 Yr NPV</v>
          </cell>
          <cell r="FU5" t="str">
            <v>M-5-Capital Cost</v>
          </cell>
          <cell r="FV5" t="str">
            <v>M-5-Install Year</v>
          </cell>
          <cell r="FW5" t="str">
            <v>M-6-20 Yr NPV</v>
          </cell>
          <cell r="FX5" t="str">
            <v>M-6-40 Yr NPV</v>
          </cell>
          <cell r="FY5" t="str">
            <v>M-6-Capital Cost</v>
          </cell>
          <cell r="FZ5" t="str">
            <v>M-6-Install Year</v>
          </cell>
          <cell r="GA5" t="str">
            <v>M-7-20 Yr NPV</v>
          </cell>
          <cell r="GB5" t="str">
            <v>M-7-40 Yr NPV</v>
          </cell>
          <cell r="GC5" t="str">
            <v>M-7-Capital Cost</v>
          </cell>
          <cell r="GD5" t="str">
            <v>M-7-Install Year</v>
          </cell>
          <cell r="GE5" t="str">
            <v>M-8-20 Yr NPV</v>
          </cell>
          <cell r="GF5" t="str">
            <v>M-8-40 Yr NPV</v>
          </cell>
          <cell r="GG5" t="str">
            <v>M-8-Capital Cost</v>
          </cell>
          <cell r="GH5" t="str">
            <v>M-8-Install Year</v>
          </cell>
          <cell r="GI5" t="str">
            <v>M-9-20 Yr NPV</v>
          </cell>
          <cell r="GJ5" t="str">
            <v>M-9-40 Yr NPV</v>
          </cell>
          <cell r="GK5" t="str">
            <v>M-9-Capital Cost</v>
          </cell>
          <cell r="GL5" t="str">
            <v>M-9-Install Year</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row>
        <row r="6">
          <cell r="B6" t="str">
            <v>Trials</v>
          </cell>
          <cell r="C6">
            <v>1000</v>
          </cell>
          <cell r="D6">
            <v>1000</v>
          </cell>
          <cell r="E6">
            <v>1000</v>
          </cell>
          <cell r="F6">
            <v>1000</v>
          </cell>
          <cell r="G6">
            <v>1000</v>
          </cell>
          <cell r="H6">
            <v>1000</v>
          </cell>
          <cell r="I6">
            <v>1000</v>
          </cell>
          <cell r="J6">
            <v>1000</v>
          </cell>
          <cell r="K6">
            <v>1000</v>
          </cell>
          <cell r="L6">
            <v>1000</v>
          </cell>
          <cell r="M6">
            <v>1000</v>
          </cell>
          <cell r="N6">
            <v>1000</v>
          </cell>
          <cell r="O6">
            <v>1000</v>
          </cell>
          <cell r="P6">
            <v>1000</v>
          </cell>
          <cell r="Q6">
            <v>1000</v>
          </cell>
          <cell r="R6">
            <v>1000</v>
          </cell>
          <cell r="S6">
            <v>1000</v>
          </cell>
          <cell r="T6">
            <v>1000</v>
          </cell>
          <cell r="U6">
            <v>1000</v>
          </cell>
          <cell r="V6">
            <v>1000</v>
          </cell>
          <cell r="W6">
            <v>1000</v>
          </cell>
          <cell r="X6">
            <v>1000</v>
          </cell>
          <cell r="Y6">
            <v>1000</v>
          </cell>
          <cell r="Z6">
            <v>1000</v>
          </cell>
          <cell r="AA6">
            <v>1000</v>
          </cell>
          <cell r="AB6">
            <v>1000</v>
          </cell>
          <cell r="AC6">
            <v>1000</v>
          </cell>
          <cell r="AD6">
            <v>1000</v>
          </cell>
          <cell r="AE6">
            <v>1000</v>
          </cell>
          <cell r="AF6">
            <v>1000</v>
          </cell>
          <cell r="AG6">
            <v>1000</v>
          </cell>
          <cell r="AH6">
            <v>1000</v>
          </cell>
          <cell r="AI6">
            <v>1000</v>
          </cell>
          <cell r="AJ6">
            <v>1000</v>
          </cell>
          <cell r="AK6">
            <v>1000</v>
          </cell>
          <cell r="AL6">
            <v>1000</v>
          </cell>
          <cell r="AM6">
            <v>1000</v>
          </cell>
          <cell r="AN6">
            <v>1000</v>
          </cell>
          <cell r="AO6">
            <v>1000</v>
          </cell>
          <cell r="AP6">
            <v>1000</v>
          </cell>
          <cell r="AQ6">
            <v>1000</v>
          </cell>
          <cell r="AR6">
            <v>1000</v>
          </cell>
          <cell r="AS6">
            <v>1000</v>
          </cell>
          <cell r="AT6">
            <v>1000</v>
          </cell>
          <cell r="AU6">
            <v>1000</v>
          </cell>
          <cell r="AV6">
            <v>1000</v>
          </cell>
          <cell r="AW6">
            <v>1000</v>
          </cell>
          <cell r="AX6">
            <v>1000</v>
          </cell>
          <cell r="AY6">
            <v>1000</v>
          </cell>
          <cell r="AZ6">
            <v>1000</v>
          </cell>
          <cell r="BA6">
            <v>1000</v>
          </cell>
          <cell r="BB6">
            <v>1000</v>
          </cell>
          <cell r="BC6">
            <v>1000</v>
          </cell>
          <cell r="BD6">
            <v>1000</v>
          </cell>
          <cell r="BE6">
            <v>1000</v>
          </cell>
          <cell r="BF6">
            <v>1000</v>
          </cell>
          <cell r="BG6">
            <v>1000</v>
          </cell>
          <cell r="BH6">
            <v>1000</v>
          </cell>
          <cell r="BI6">
            <v>1000</v>
          </cell>
          <cell r="BJ6">
            <v>1000</v>
          </cell>
          <cell r="BK6">
            <v>1000</v>
          </cell>
          <cell r="BL6">
            <v>1000</v>
          </cell>
          <cell r="BM6">
            <v>1000</v>
          </cell>
          <cell r="BN6">
            <v>1000</v>
          </cell>
          <cell r="BO6">
            <v>1000</v>
          </cell>
          <cell r="BP6">
            <v>1000</v>
          </cell>
          <cell r="BQ6">
            <v>1000</v>
          </cell>
          <cell r="BR6">
            <v>1000</v>
          </cell>
          <cell r="BS6">
            <v>1000</v>
          </cell>
          <cell r="BT6">
            <v>1000</v>
          </cell>
          <cell r="BU6">
            <v>1000</v>
          </cell>
          <cell r="BV6">
            <v>1000</v>
          </cell>
          <cell r="BW6">
            <v>1000</v>
          </cell>
          <cell r="BX6">
            <v>1000</v>
          </cell>
          <cell r="BY6">
            <v>1000</v>
          </cell>
          <cell r="BZ6">
            <v>1000</v>
          </cell>
          <cell r="CA6">
            <v>1000</v>
          </cell>
          <cell r="CB6">
            <v>1000</v>
          </cell>
          <cell r="CC6">
            <v>1000</v>
          </cell>
          <cell r="CD6">
            <v>1000</v>
          </cell>
          <cell r="CE6">
            <v>1000</v>
          </cell>
          <cell r="CF6">
            <v>1000</v>
          </cell>
          <cell r="CG6">
            <v>1000</v>
          </cell>
          <cell r="CH6">
            <v>1000</v>
          </cell>
          <cell r="CI6">
            <v>1000</v>
          </cell>
          <cell r="CJ6">
            <v>1000</v>
          </cell>
          <cell r="CK6">
            <v>1000</v>
          </cell>
          <cell r="CL6">
            <v>1000</v>
          </cell>
          <cell r="CM6">
            <v>1000</v>
          </cell>
          <cell r="CN6">
            <v>1000</v>
          </cell>
          <cell r="CO6">
            <v>1000</v>
          </cell>
          <cell r="CP6">
            <v>1000</v>
          </cell>
          <cell r="CQ6">
            <v>1000</v>
          </cell>
          <cell r="CR6">
            <v>1000</v>
          </cell>
          <cell r="CS6">
            <v>1000</v>
          </cell>
          <cell r="CT6">
            <v>1000</v>
          </cell>
          <cell r="CU6">
            <v>1000</v>
          </cell>
          <cell r="CV6">
            <v>1000</v>
          </cell>
          <cell r="CW6">
            <v>1000</v>
          </cell>
          <cell r="CX6">
            <v>1000</v>
          </cell>
          <cell r="CY6">
            <v>1000</v>
          </cell>
          <cell r="CZ6">
            <v>1000</v>
          </cell>
          <cell r="DA6">
            <v>1000</v>
          </cell>
          <cell r="DB6">
            <v>1000</v>
          </cell>
          <cell r="DC6">
            <v>1000</v>
          </cell>
          <cell r="DD6">
            <v>1000</v>
          </cell>
          <cell r="DE6">
            <v>1000</v>
          </cell>
          <cell r="DF6">
            <v>1000</v>
          </cell>
          <cell r="DG6">
            <v>1000</v>
          </cell>
          <cell r="DH6">
            <v>1000</v>
          </cell>
          <cell r="DI6">
            <v>1000</v>
          </cell>
          <cell r="DJ6">
            <v>1000</v>
          </cell>
          <cell r="DK6">
            <v>1000</v>
          </cell>
          <cell r="DL6">
            <v>1000</v>
          </cell>
          <cell r="DM6">
            <v>1000</v>
          </cell>
          <cell r="DN6">
            <v>1000</v>
          </cell>
          <cell r="DO6">
            <v>1000</v>
          </cell>
          <cell r="DP6">
            <v>1000</v>
          </cell>
          <cell r="DQ6">
            <v>1000</v>
          </cell>
          <cell r="DR6">
            <v>1000</v>
          </cell>
          <cell r="DS6">
            <v>1000</v>
          </cell>
          <cell r="DT6">
            <v>1000</v>
          </cell>
          <cell r="DU6">
            <v>1000</v>
          </cell>
          <cell r="DV6">
            <v>1000</v>
          </cell>
          <cell r="DW6">
            <v>1000</v>
          </cell>
          <cell r="DX6">
            <v>1000</v>
          </cell>
          <cell r="DY6">
            <v>1000</v>
          </cell>
          <cell r="DZ6">
            <v>1000</v>
          </cell>
          <cell r="EA6">
            <v>1000</v>
          </cell>
          <cell r="EB6">
            <v>1000</v>
          </cell>
          <cell r="EC6">
            <v>1000</v>
          </cell>
          <cell r="ED6">
            <v>1000</v>
          </cell>
          <cell r="EE6">
            <v>1000</v>
          </cell>
          <cell r="EF6">
            <v>1000</v>
          </cell>
          <cell r="EG6">
            <v>1000</v>
          </cell>
          <cell r="EH6">
            <v>1000</v>
          </cell>
          <cell r="EI6">
            <v>1000</v>
          </cell>
          <cell r="EJ6">
            <v>1000</v>
          </cell>
          <cell r="EK6">
            <v>1000</v>
          </cell>
          <cell r="EL6">
            <v>1000</v>
          </cell>
          <cell r="EM6">
            <v>1000</v>
          </cell>
          <cell r="EN6">
            <v>1000</v>
          </cell>
          <cell r="EO6">
            <v>1000</v>
          </cell>
          <cell r="EP6">
            <v>1000</v>
          </cell>
          <cell r="EQ6">
            <v>1000</v>
          </cell>
          <cell r="ER6">
            <v>1000</v>
          </cell>
          <cell r="ES6">
            <v>1000</v>
          </cell>
          <cell r="ET6">
            <v>1000</v>
          </cell>
          <cell r="EU6">
            <v>1000</v>
          </cell>
          <cell r="EV6">
            <v>1000</v>
          </cell>
          <cell r="EW6">
            <v>1000</v>
          </cell>
          <cell r="EX6">
            <v>1000</v>
          </cell>
          <cell r="EY6">
            <v>1000</v>
          </cell>
          <cell r="EZ6">
            <v>1000</v>
          </cell>
          <cell r="FA6">
            <v>1000</v>
          </cell>
          <cell r="FB6">
            <v>1000</v>
          </cell>
          <cell r="FC6">
            <v>1000</v>
          </cell>
          <cell r="FD6">
            <v>1000</v>
          </cell>
          <cell r="FE6">
            <v>1000</v>
          </cell>
          <cell r="FF6">
            <v>1000</v>
          </cell>
          <cell r="FG6">
            <v>1000</v>
          </cell>
          <cell r="FH6">
            <v>1000</v>
          </cell>
          <cell r="FI6">
            <v>1000</v>
          </cell>
          <cell r="FJ6">
            <v>1000</v>
          </cell>
          <cell r="FK6">
            <v>1000</v>
          </cell>
          <cell r="FL6">
            <v>1000</v>
          </cell>
          <cell r="FM6">
            <v>1000</v>
          </cell>
          <cell r="FN6">
            <v>1000</v>
          </cell>
          <cell r="FO6">
            <v>1000</v>
          </cell>
          <cell r="FP6">
            <v>1000</v>
          </cell>
          <cell r="FQ6">
            <v>1000</v>
          </cell>
          <cell r="FR6">
            <v>1000</v>
          </cell>
          <cell r="FS6">
            <v>1000</v>
          </cell>
          <cell r="FT6">
            <v>1000</v>
          </cell>
          <cell r="FU6">
            <v>1000</v>
          </cell>
          <cell r="FV6">
            <v>1000</v>
          </cell>
          <cell r="FW6">
            <v>1000</v>
          </cell>
          <cell r="FX6">
            <v>1000</v>
          </cell>
          <cell r="FY6">
            <v>1000</v>
          </cell>
          <cell r="FZ6">
            <v>1000</v>
          </cell>
          <cell r="GA6">
            <v>1000</v>
          </cell>
          <cell r="GB6">
            <v>1000</v>
          </cell>
          <cell r="GC6">
            <v>1000</v>
          </cell>
          <cell r="GD6">
            <v>1000</v>
          </cell>
          <cell r="GE6">
            <v>1000</v>
          </cell>
          <cell r="GF6">
            <v>1000</v>
          </cell>
          <cell r="GG6">
            <v>1000</v>
          </cell>
          <cell r="GH6">
            <v>1000</v>
          </cell>
          <cell r="GI6">
            <v>1000</v>
          </cell>
          <cell r="GJ6">
            <v>1000</v>
          </cell>
          <cell r="GK6">
            <v>1000</v>
          </cell>
          <cell r="GL6">
            <v>1000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row>
        <row r="7">
          <cell r="B7" t="str">
            <v>Mean</v>
          </cell>
          <cell r="C7">
            <v>287.79430306577132</v>
          </cell>
          <cell r="D7">
            <v>403.54195475722503</v>
          </cell>
          <cell r="E7">
            <v>216.96453979115452</v>
          </cell>
          <cell r="F7">
            <v>2012</v>
          </cell>
          <cell r="G7">
            <v>1238.2365278398202</v>
          </cell>
          <cell r="H7">
            <v>1950.5379870909301</v>
          </cell>
          <cell r="I7">
            <v>1270.8112425839824</v>
          </cell>
          <cell r="J7">
            <v>2010.9870000000001</v>
          </cell>
          <cell r="K7">
            <v>569.96613274544814</v>
          </cell>
          <cell r="L7">
            <v>900.95487450679298</v>
          </cell>
          <cell r="M7">
            <v>602.41113685218193</v>
          </cell>
          <cell r="N7">
            <v>2011.4</v>
          </cell>
          <cell r="O7">
            <v>1361.1042092238397</v>
          </cell>
          <cell r="P7">
            <v>2201.6912755975291</v>
          </cell>
          <cell r="Q7">
            <v>1429.1594196860449</v>
          </cell>
          <cell r="R7">
            <v>2010</v>
          </cell>
          <cell r="S7">
            <v>429.07165660625134</v>
          </cell>
          <cell r="T7">
            <v>638.44303504774496</v>
          </cell>
          <cell r="U7">
            <v>371.52151312742296</v>
          </cell>
          <cell r="V7">
            <v>2010.875</v>
          </cell>
          <cell r="W7">
            <v>817.67580437172228</v>
          </cell>
          <cell r="X7">
            <v>774.33058905534187</v>
          </cell>
          <cell r="Y7">
            <v>3245.0327416696655</v>
          </cell>
          <cell r="Z7">
            <v>2011</v>
          </cell>
          <cell r="AA7">
            <v>4737.9829886652433</v>
          </cell>
          <cell r="AB7">
            <v>7418.750600409825</v>
          </cell>
          <cell r="AC7">
            <v>4851.1590903277111</v>
          </cell>
          <cell r="AD7">
            <v>2011.85</v>
          </cell>
          <cell r="AE7">
            <v>676.20483293535688</v>
          </cell>
          <cell r="AF7">
            <v>1036.420845945149</v>
          </cell>
          <cell r="AG7">
            <v>638.36849868654372</v>
          </cell>
          <cell r="AH7">
            <v>2010.85</v>
          </cell>
          <cell r="AI7">
            <v>772.88355130183572</v>
          </cell>
          <cell r="AJ7">
            <v>1172.1071788439551</v>
          </cell>
          <cell r="AK7">
            <v>632.97237399802668</v>
          </cell>
          <cell r="AL7">
            <v>2012.7</v>
          </cell>
          <cell r="AM7">
            <v>90.950846798403944</v>
          </cell>
          <cell r="AN7">
            <v>136.76670129511334</v>
          </cell>
          <cell r="AO7">
            <v>81.394407588410573</v>
          </cell>
          <cell r="AP7">
            <v>2010.9</v>
          </cell>
          <cell r="AQ7">
            <v>1595.5370052926796</v>
          </cell>
          <cell r="AR7">
            <v>2416.8698787678645</v>
          </cell>
          <cell r="AS7">
            <v>943.38328408435757</v>
          </cell>
          <cell r="AT7">
            <v>2010.8</v>
          </cell>
          <cell r="AU7">
            <v>367.51698081412559</v>
          </cell>
          <cell r="AV7">
            <v>532.35167847937589</v>
          </cell>
          <cell r="AW7">
            <v>308.97632736305627</v>
          </cell>
          <cell r="AX7">
            <v>2012</v>
          </cell>
          <cell r="AY7">
            <v>923.2228333198334</v>
          </cell>
          <cell r="AZ7">
            <v>1447.1223636971595</v>
          </cell>
          <cell r="BA7">
            <v>874.81200583375437</v>
          </cell>
          <cell r="BB7">
            <v>2012.7</v>
          </cell>
          <cell r="BC7">
            <v>679.92629946437239</v>
          </cell>
          <cell r="BD7">
            <v>1066.132271943457</v>
          </cell>
          <cell r="BE7">
            <v>749.10436558710273</v>
          </cell>
          <cell r="BF7">
            <v>2012.7</v>
          </cell>
          <cell r="BG7">
            <v>4945.638922836144</v>
          </cell>
          <cell r="BH7">
            <v>7450.9196384296483</v>
          </cell>
          <cell r="BI7">
            <v>4364.6106396833475</v>
          </cell>
          <cell r="BJ7">
            <v>2010.5</v>
          </cell>
          <cell r="BK7">
            <v>135.74759075196474</v>
          </cell>
          <cell r="BL7">
            <v>188.09138852983406</v>
          </cell>
          <cell r="BM7">
            <v>93.444232467339276</v>
          </cell>
          <cell r="BN7">
            <v>2011</v>
          </cell>
          <cell r="BO7">
            <v>1716.2757381032454</v>
          </cell>
          <cell r="BP7">
            <v>2776.2086793164831</v>
          </cell>
          <cell r="BQ7">
            <v>1802.0895250094795</v>
          </cell>
          <cell r="BR7">
            <v>2010</v>
          </cell>
          <cell r="BS7">
            <v>103.61065394566842</v>
          </cell>
          <cell r="BT7">
            <v>159.15743409665399</v>
          </cell>
          <cell r="BU7">
            <v>81.404412888002867</v>
          </cell>
          <cell r="BV7">
            <v>2010.9</v>
          </cell>
          <cell r="BW7">
            <v>104.76975136743107</v>
          </cell>
          <cell r="BX7">
            <v>147.39945839924391</v>
          </cell>
          <cell r="BY7">
            <v>75.992884600615426</v>
          </cell>
          <cell r="BZ7">
            <v>2010.97</v>
          </cell>
          <cell r="CA7">
            <v>7517.838502409566</v>
          </cell>
          <cell r="CB7">
            <v>11725.997901786928</v>
          </cell>
          <cell r="CC7">
            <v>2974.1783103788348</v>
          </cell>
          <cell r="CD7">
            <v>2015.6</v>
          </cell>
          <cell r="CE7">
            <v>1237.0017021353599</v>
          </cell>
          <cell r="CF7">
            <v>2000.9458769092887</v>
          </cell>
          <cell r="CG7">
            <v>1298.8517872401253</v>
          </cell>
          <cell r="CH7">
            <v>2010</v>
          </cell>
          <cell r="CI7">
            <v>1221.7652343880159</v>
          </cell>
          <cell r="CJ7">
            <v>1853.7585063542667</v>
          </cell>
          <cell r="CK7">
            <v>3447.2229493560221</v>
          </cell>
          <cell r="CL7">
            <v>2010</v>
          </cell>
          <cell r="CM7">
            <v>4064.7270788870705</v>
          </cell>
          <cell r="CN7">
            <v>6381.6592755022975</v>
          </cell>
          <cell r="CO7">
            <v>4173.938797314162</v>
          </cell>
          <cell r="CP7">
            <v>2011.85</v>
          </cell>
          <cell r="CQ7">
            <v>1520.4022946387686</v>
          </cell>
          <cell r="CR7">
            <v>2434.2883692255969</v>
          </cell>
          <cell r="CS7">
            <v>1627.4917981018568</v>
          </cell>
          <cell r="CT7">
            <v>2010.95</v>
          </cell>
          <cell r="CU7">
            <v>312.62552878177178</v>
          </cell>
          <cell r="CV7">
            <v>380.56135056739174</v>
          </cell>
          <cell r="CW7">
            <v>126.61062087486583</v>
          </cell>
          <cell r="CX7">
            <v>2011.88</v>
          </cell>
          <cell r="CY7">
            <v>1127.4794700900052</v>
          </cell>
          <cell r="CZ7">
            <v>1842.0422189709936</v>
          </cell>
          <cell r="DA7">
            <v>1091.7941598690586</v>
          </cell>
          <cell r="DB7">
            <v>2010</v>
          </cell>
          <cell r="DC7">
            <v>394.85613523974558</v>
          </cell>
          <cell r="DD7">
            <v>627.56649736518784</v>
          </cell>
          <cell r="DE7">
            <v>458.01699368978979</v>
          </cell>
          <cell r="DF7">
            <v>2013</v>
          </cell>
          <cell r="DG7">
            <v>636.31721467049192</v>
          </cell>
          <cell r="DH7">
            <v>1029.2922838370723</v>
          </cell>
          <cell r="DI7">
            <v>668.1330754038828</v>
          </cell>
          <cell r="DJ7">
            <v>2010</v>
          </cell>
          <cell r="DK7">
            <v>156.26043064164949</v>
          </cell>
          <cell r="DL7">
            <v>239.89089986069231</v>
          </cell>
          <cell r="DM7">
            <v>156.76211137996577</v>
          </cell>
          <cell r="DN7">
            <v>2012</v>
          </cell>
          <cell r="DO7">
            <v>124.09698818438218</v>
          </cell>
          <cell r="DP7">
            <v>200.73647143388004</v>
          </cell>
          <cell r="DQ7">
            <v>130.30183759344453</v>
          </cell>
          <cell r="DR7">
            <v>2010</v>
          </cell>
          <cell r="DS7">
            <v>509.97960946571169</v>
          </cell>
          <cell r="DT7">
            <v>786.87313511482648</v>
          </cell>
          <cell r="DU7">
            <v>396.69584733315884</v>
          </cell>
          <cell r="DV7">
            <v>2012.7</v>
          </cell>
          <cell r="DW7">
            <v>848.1891215993611</v>
          </cell>
          <cell r="DX7">
            <v>1375.7685314743994</v>
          </cell>
          <cell r="DY7">
            <v>436.62245818865784</v>
          </cell>
          <cell r="DZ7">
            <v>2011.4</v>
          </cell>
          <cell r="EA7">
            <v>511.25897461822422</v>
          </cell>
          <cell r="EB7">
            <v>745.4948588925065</v>
          </cell>
          <cell r="EC7">
            <v>408.09098011933185</v>
          </cell>
          <cell r="ED7">
            <v>2010.5</v>
          </cell>
          <cell r="EE7">
            <v>523.2177833526622</v>
          </cell>
          <cell r="EF7">
            <v>825.27707064319441</v>
          </cell>
          <cell r="EG7">
            <v>549.903579464872</v>
          </cell>
          <cell r="EH7">
            <v>2011.4</v>
          </cell>
          <cell r="EI7">
            <v>1236.8225517888347</v>
          </cell>
          <cell r="EJ7">
            <v>2000.6560873743679</v>
          </cell>
          <cell r="EK7">
            <v>1298.663679376079</v>
          </cell>
          <cell r="EL7">
            <v>2010</v>
          </cell>
          <cell r="EM7">
            <v>220.40384681247173</v>
          </cell>
          <cell r="EN7">
            <v>318.96949718908633</v>
          </cell>
          <cell r="EO7">
            <v>77.962235227430057</v>
          </cell>
          <cell r="EP7">
            <v>2012.28</v>
          </cell>
          <cell r="EQ7">
            <v>142.50141931913512</v>
          </cell>
          <cell r="ER7">
            <v>214.76688833605576</v>
          </cell>
          <cell r="ES7">
            <v>140.25978220482682</v>
          </cell>
          <cell r="ET7">
            <v>2012.7</v>
          </cell>
          <cell r="EU7">
            <v>413.6037364386728</v>
          </cell>
          <cell r="EV7">
            <v>643.10567421718247</v>
          </cell>
          <cell r="EW7">
            <v>267.91327930341248</v>
          </cell>
          <cell r="EX7">
            <v>2010</v>
          </cell>
          <cell r="EY7">
            <v>493.14178729666281</v>
          </cell>
          <cell r="EZ7">
            <v>772.0354961000611</v>
          </cell>
          <cell r="FA7">
            <v>351.88786023888406</v>
          </cell>
          <cell r="FB7">
            <v>2010</v>
          </cell>
          <cell r="FC7">
            <v>393.70636358870729</v>
          </cell>
          <cell r="FD7">
            <v>636.8504777123901</v>
          </cell>
          <cell r="FE7">
            <v>413.39168176868117</v>
          </cell>
          <cell r="FF7">
            <v>2010</v>
          </cell>
          <cell r="FG7">
            <v>16307.995480120209</v>
          </cell>
          <cell r="FH7">
            <v>27104.874324830384</v>
          </cell>
          <cell r="FI7">
            <v>13793.909385366811</v>
          </cell>
          <cell r="FJ7">
            <v>2010</v>
          </cell>
          <cell r="FK7">
            <v>913.34840930407393</v>
          </cell>
          <cell r="FL7">
            <v>1259.0457773365019</v>
          </cell>
          <cell r="FM7">
            <v>676.43891794457284</v>
          </cell>
          <cell r="FN7">
            <v>2012.88</v>
          </cell>
          <cell r="FO7">
            <v>103.34228982743004</v>
          </cell>
          <cell r="FP7">
            <v>158.88201280920561</v>
          </cell>
          <cell r="FQ7">
            <v>81.396614042123019</v>
          </cell>
          <cell r="FR7">
            <v>2010.9</v>
          </cell>
          <cell r="FS7">
            <v>763.11078446119961</v>
          </cell>
          <cell r="FT7">
            <v>1195.3163330484292</v>
          </cell>
          <cell r="FU7">
            <v>765.98212211264467</v>
          </cell>
          <cell r="FV7">
            <v>2010.85</v>
          </cell>
          <cell r="FW7">
            <v>788.21956252337952</v>
          </cell>
          <cell r="FX7">
            <v>1218.4886581273734</v>
          </cell>
          <cell r="FY7">
            <v>693.1520453598514</v>
          </cell>
          <cell r="FZ7">
            <v>2012.7</v>
          </cell>
          <cell r="GA7">
            <v>984.50420523446417</v>
          </cell>
          <cell r="GB7">
            <v>1568.809736372019</v>
          </cell>
          <cell r="GC7">
            <v>1133.2282793540626</v>
          </cell>
          <cell r="GD7">
            <v>2012.7</v>
          </cell>
          <cell r="GE7">
            <v>3331.5311359352531</v>
          </cell>
          <cell r="GF7">
            <v>4563.5951458163599</v>
          </cell>
          <cell r="GG7">
            <v>2146.3651329728223</v>
          </cell>
          <cell r="GH7">
            <v>2010.5</v>
          </cell>
          <cell r="GI7">
            <v>320.93427170274498</v>
          </cell>
          <cell r="GJ7">
            <v>481.67653915244398</v>
          </cell>
          <cell r="GK7">
            <v>196.06912662201901</v>
          </cell>
          <cell r="GL7">
            <v>2012.28</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row>
        <row r="8">
          <cell r="B8" t="str">
            <v>Median</v>
          </cell>
          <cell r="C8">
            <v>200.10263995877557</v>
          </cell>
          <cell r="D8">
            <v>317.23955784873812</v>
          </cell>
          <cell r="E8">
            <v>216.28101034473733</v>
          </cell>
          <cell r="F8">
            <v>2012</v>
          </cell>
          <cell r="G8">
            <v>1155.0589932510557</v>
          </cell>
          <cell r="H8">
            <v>1868.3972112066103</v>
          </cell>
          <cell r="I8">
            <v>1271.1155764715595</v>
          </cell>
          <cell r="J8">
            <v>2011</v>
          </cell>
          <cell r="K8">
            <v>562.85696817442749</v>
          </cell>
          <cell r="L8">
            <v>894.48724799903857</v>
          </cell>
          <cell r="M8">
            <v>602.64634126085934</v>
          </cell>
          <cell r="N8">
            <v>2012</v>
          </cell>
          <cell r="O8">
            <v>1272.3236063503155</v>
          </cell>
          <cell r="P8">
            <v>2058.0817878557382</v>
          </cell>
          <cell r="Q8">
            <v>1335.9397887589016</v>
          </cell>
          <cell r="R8">
            <v>2010</v>
          </cell>
          <cell r="S8">
            <v>344.02252021838638</v>
          </cell>
          <cell r="T8">
            <v>556.4830207847408</v>
          </cell>
          <cell r="U8">
            <v>371.84977106206725</v>
          </cell>
          <cell r="V8">
            <v>2011</v>
          </cell>
          <cell r="W8">
            <v>808.93526694612581</v>
          </cell>
          <cell r="X8">
            <v>768.37220662547725</v>
          </cell>
          <cell r="Y8">
            <v>3213.5572489795736</v>
          </cell>
          <cell r="Z8">
            <v>2011</v>
          </cell>
          <cell r="AA8">
            <v>4365.665977366496</v>
          </cell>
          <cell r="AB8">
            <v>7052.3833502696289</v>
          </cell>
          <cell r="AC8">
            <v>4835.6899715810359</v>
          </cell>
          <cell r="AD8">
            <v>2012</v>
          </cell>
          <cell r="AE8">
            <v>585.98412646687825</v>
          </cell>
          <cell r="AF8">
            <v>947.87462283341824</v>
          </cell>
          <cell r="AG8">
            <v>636.62237007431531</v>
          </cell>
          <cell r="AH8">
            <v>2011</v>
          </cell>
          <cell r="AI8">
            <v>666.35314398985975</v>
          </cell>
          <cell r="AJ8">
            <v>1068.150105657254</v>
          </cell>
          <cell r="AK8">
            <v>635.78247421946742</v>
          </cell>
          <cell r="AL8">
            <v>2013</v>
          </cell>
          <cell r="AM8">
            <v>89.433723560108064</v>
          </cell>
          <cell r="AN8">
            <v>135.70866838045907</v>
          </cell>
          <cell r="AO8">
            <v>81.395973445310091</v>
          </cell>
          <cell r="AP8">
            <v>2011</v>
          </cell>
          <cell r="AQ8">
            <v>1299.3419099792313</v>
          </cell>
          <cell r="AR8">
            <v>2128.9232525450207</v>
          </cell>
          <cell r="AS8">
            <v>933.73776200223995</v>
          </cell>
          <cell r="AT8">
            <v>2011</v>
          </cell>
          <cell r="AU8">
            <v>280.377298928892</v>
          </cell>
          <cell r="AV8">
            <v>447.00651569828131</v>
          </cell>
          <cell r="AW8">
            <v>307.98232634652248</v>
          </cell>
          <cell r="AX8">
            <v>2012</v>
          </cell>
          <cell r="AY8">
            <v>868.34212823435632</v>
          </cell>
          <cell r="AZ8">
            <v>1395.6632808865838</v>
          </cell>
          <cell r="BA8">
            <v>877.37824563718573</v>
          </cell>
          <cell r="BB8">
            <v>2013</v>
          </cell>
          <cell r="BC8">
            <v>629.95058924858154</v>
          </cell>
          <cell r="BD8">
            <v>1018.9937750486984</v>
          </cell>
          <cell r="BE8">
            <v>750.81645982988141</v>
          </cell>
          <cell r="BF8">
            <v>2013</v>
          </cell>
          <cell r="BG8">
            <v>4340.6377507015259</v>
          </cell>
          <cell r="BH8">
            <v>6988.5129086181905</v>
          </cell>
          <cell r="BI8">
            <v>4354.2119594925443</v>
          </cell>
          <cell r="BJ8">
            <v>2010.5</v>
          </cell>
          <cell r="BK8">
            <v>93.678398014129698</v>
          </cell>
          <cell r="BL8">
            <v>151.53205066293555</v>
          </cell>
          <cell r="BM8">
            <v>93.428056351873508</v>
          </cell>
          <cell r="BN8">
            <v>2011</v>
          </cell>
          <cell r="BO8">
            <v>1716.1980775230613</v>
          </cell>
          <cell r="BP8">
            <v>2776.0830572993077</v>
          </cell>
          <cell r="BQ8">
            <v>1802.0079812199274</v>
          </cell>
          <cell r="BR8">
            <v>2010</v>
          </cell>
          <cell r="BS8">
            <v>102.38572817906933</v>
          </cell>
          <cell r="BT8">
            <v>158.19350683686889</v>
          </cell>
          <cell r="BU8">
            <v>81.397545184065592</v>
          </cell>
          <cell r="BV8">
            <v>2011</v>
          </cell>
          <cell r="BW8">
            <v>69.244816085172602</v>
          </cell>
          <cell r="BX8">
            <v>112.00884261659559</v>
          </cell>
          <cell r="BY8">
            <v>76.041279248205399</v>
          </cell>
          <cell r="BZ8">
            <v>2011</v>
          </cell>
          <cell r="CA8">
            <v>5725.7317626824542</v>
          </cell>
          <cell r="CB8">
            <v>10064.120720387546</v>
          </cell>
          <cell r="CC8">
            <v>3010.8674773763923</v>
          </cell>
          <cell r="CD8">
            <v>2017</v>
          </cell>
          <cell r="CE8">
            <v>1154.7191191247039</v>
          </cell>
          <cell r="CF8">
            <v>1867.8474381735784</v>
          </cell>
          <cell r="CG8">
            <v>1212.4550726468653</v>
          </cell>
          <cell r="CH8">
            <v>2010</v>
          </cell>
          <cell r="CI8">
            <v>1199.7118145824056</v>
          </cell>
          <cell r="CJ8">
            <v>1818.9147646453691</v>
          </cell>
          <cell r="CK8">
            <v>3413.5467644578302</v>
          </cell>
          <cell r="CL8">
            <v>2010</v>
          </cell>
          <cell r="CM8">
            <v>3774.7340694131235</v>
          </cell>
          <cell r="CN8">
            <v>6093.590182030679</v>
          </cell>
          <cell r="CO8">
            <v>4163.4043510020183</v>
          </cell>
          <cell r="CP8">
            <v>2012</v>
          </cell>
          <cell r="CQ8">
            <v>1499.4613225870735</v>
          </cell>
          <cell r="CR8">
            <v>2425.4946017945476</v>
          </cell>
          <cell r="CS8">
            <v>1627.6727438311136</v>
          </cell>
          <cell r="CT8">
            <v>2011</v>
          </cell>
          <cell r="CU8">
            <v>109.91636090702991</v>
          </cell>
          <cell r="CV8">
            <v>177.79821048370198</v>
          </cell>
          <cell r="CW8">
            <v>122.95310002057823</v>
          </cell>
          <cell r="CX8">
            <v>2012</v>
          </cell>
          <cell r="CY8">
            <v>1127.285705359654</v>
          </cell>
          <cell r="CZ8">
            <v>1842.0384943477634</v>
          </cell>
          <cell r="DA8">
            <v>1091.6821407777149</v>
          </cell>
          <cell r="DB8">
            <v>2010</v>
          </cell>
          <cell r="DC8">
            <v>403.96373548211432</v>
          </cell>
          <cell r="DD8">
            <v>642.30257329425683</v>
          </cell>
          <cell r="DE8">
            <v>468.93992825301302</v>
          </cell>
          <cell r="DF8">
            <v>2013</v>
          </cell>
          <cell r="DG8">
            <v>634.09495434911469</v>
          </cell>
          <cell r="DH8">
            <v>1025.6976059213071</v>
          </cell>
          <cell r="DI8">
            <v>665.79970195564852</v>
          </cell>
          <cell r="DJ8">
            <v>2010</v>
          </cell>
          <cell r="DK8">
            <v>147.50610845267585</v>
          </cell>
          <cell r="DL8">
            <v>232.03335348764472</v>
          </cell>
          <cell r="DM8">
            <v>156.27227260988485</v>
          </cell>
          <cell r="DN8">
            <v>2012</v>
          </cell>
          <cell r="DO8">
            <v>124.58706834570111</v>
          </cell>
          <cell r="DP8">
            <v>201.52921390787733</v>
          </cell>
          <cell r="DQ8">
            <v>130.81642134713488</v>
          </cell>
          <cell r="DR8">
            <v>2010</v>
          </cell>
          <cell r="DS8">
            <v>507.87279796557277</v>
          </cell>
          <cell r="DT8">
            <v>786.53474935355416</v>
          </cell>
          <cell r="DU8">
            <v>396.92953316965298</v>
          </cell>
          <cell r="DV8">
            <v>2013</v>
          </cell>
          <cell r="DW8">
            <v>856.99275500086776</v>
          </cell>
          <cell r="DX8">
            <v>1377.9365505770311</v>
          </cell>
          <cell r="DY8">
            <v>432.73684521019402</v>
          </cell>
          <cell r="DZ8">
            <v>2012</v>
          </cell>
          <cell r="EA8">
            <v>415.18213154357227</v>
          </cell>
          <cell r="EB8">
            <v>655.78763375895608</v>
          </cell>
          <cell r="EC8">
            <v>406.81174746824212</v>
          </cell>
          <cell r="ED8">
            <v>2010.5</v>
          </cell>
          <cell r="EE8">
            <v>521.9498575897976</v>
          </cell>
          <cell r="EF8">
            <v>826.82170796448531</v>
          </cell>
          <cell r="EG8">
            <v>548.39237684323609</v>
          </cell>
          <cell r="EH8">
            <v>2012</v>
          </cell>
          <cell r="EI8">
            <v>1155.6573795819752</v>
          </cell>
          <cell r="EJ8">
            <v>1869.3651467911104</v>
          </cell>
          <cell r="EK8">
            <v>1213.4402482174019</v>
          </cell>
          <cell r="EL8">
            <v>2010</v>
          </cell>
          <cell r="EM8">
            <v>229.67116911392895</v>
          </cell>
          <cell r="EN8">
            <v>326.10700568364905</v>
          </cell>
          <cell r="EO8">
            <v>77.768644659986791</v>
          </cell>
          <cell r="EP8">
            <v>2013</v>
          </cell>
          <cell r="EQ8">
            <v>148.06237307418033</v>
          </cell>
          <cell r="ER8">
            <v>223.50946071764201</v>
          </cell>
          <cell r="ES8">
            <v>146.33848242006968</v>
          </cell>
          <cell r="ET8">
            <v>2013</v>
          </cell>
          <cell r="EU8">
            <v>346.27676397594638</v>
          </cell>
          <cell r="EV8">
            <v>578.38936516560273</v>
          </cell>
          <cell r="EW8">
            <v>267.87914294567884</v>
          </cell>
          <cell r="EX8">
            <v>2010</v>
          </cell>
          <cell r="EY8">
            <v>428.61274542911252</v>
          </cell>
          <cell r="EZ8">
            <v>711.5054927671913</v>
          </cell>
          <cell r="FA8">
            <v>351.93603511620853</v>
          </cell>
          <cell r="FB8">
            <v>2010</v>
          </cell>
          <cell r="FC8">
            <v>393.71067446523989</v>
          </cell>
          <cell r="FD8">
            <v>636.85745115055738</v>
          </cell>
          <cell r="FE8">
            <v>413.39620948612844</v>
          </cell>
          <cell r="FF8">
            <v>2010</v>
          </cell>
          <cell r="FG8">
            <v>16298.328140399773</v>
          </cell>
          <cell r="FH8">
            <v>27096.630517087597</v>
          </cell>
          <cell r="FI8">
            <v>13779.948973545221</v>
          </cell>
          <cell r="FJ8">
            <v>2010</v>
          </cell>
          <cell r="FK8">
            <v>558.18978086139828</v>
          </cell>
          <cell r="FL8">
            <v>902.91512007614801</v>
          </cell>
          <cell r="FM8">
            <v>669.48185653418591</v>
          </cell>
          <cell r="FN8">
            <v>2013</v>
          </cell>
          <cell r="FO8">
            <v>102.4044292859775</v>
          </cell>
          <cell r="FP8">
            <v>158.12817997015961</v>
          </cell>
          <cell r="FQ8">
            <v>81.494976530015549</v>
          </cell>
          <cell r="FR8">
            <v>2011</v>
          </cell>
          <cell r="FS8">
            <v>705.34910634146649</v>
          </cell>
          <cell r="FT8">
            <v>1140.9567048149881</v>
          </cell>
          <cell r="FU8">
            <v>762.95575248255341</v>
          </cell>
          <cell r="FV8">
            <v>2011</v>
          </cell>
          <cell r="FW8">
            <v>715.12414000262743</v>
          </cell>
          <cell r="FX8">
            <v>1147.2114439675579</v>
          </cell>
          <cell r="FY8">
            <v>694.88637350578551</v>
          </cell>
          <cell r="FZ8">
            <v>2013</v>
          </cell>
          <cell r="GA8">
            <v>951.11999116372021</v>
          </cell>
          <cell r="GB8">
            <v>1538.5101098233838</v>
          </cell>
          <cell r="GC8">
            <v>1133.6070369742342</v>
          </cell>
          <cell r="GD8">
            <v>2013</v>
          </cell>
          <cell r="GE8">
            <v>2459.5773821153507</v>
          </cell>
          <cell r="GF8">
            <v>3900.5676236995259</v>
          </cell>
          <cell r="GG8">
            <v>2141.2699811459433</v>
          </cell>
          <cell r="GH8">
            <v>2010.5</v>
          </cell>
          <cell r="GI8">
            <v>325.48412499145672</v>
          </cell>
          <cell r="GJ8">
            <v>481.88666200066302</v>
          </cell>
          <cell r="GK8">
            <v>195.8706954672702</v>
          </cell>
          <cell r="GL8">
            <v>2013</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row>
        <row r="9">
          <cell r="B9" t="str">
            <v>Mode</v>
          </cell>
          <cell r="C9" t="str">
            <v>---</v>
          </cell>
          <cell r="D9" t="str">
            <v>---</v>
          </cell>
          <cell r="E9" t="str">
            <v>---</v>
          </cell>
          <cell r="F9">
            <v>2012</v>
          </cell>
          <cell r="G9" t="str">
            <v>---</v>
          </cell>
          <cell r="H9" t="str">
            <v>---</v>
          </cell>
          <cell r="I9" t="str">
            <v>---</v>
          </cell>
          <cell r="J9">
            <v>2011</v>
          </cell>
          <cell r="K9" t="str">
            <v>---</v>
          </cell>
          <cell r="L9" t="str">
            <v>---</v>
          </cell>
          <cell r="M9" t="str">
            <v>---</v>
          </cell>
          <cell r="N9">
            <v>2012</v>
          </cell>
          <cell r="O9" t="str">
            <v>---</v>
          </cell>
          <cell r="P9" t="str">
            <v>---</v>
          </cell>
          <cell r="Q9" t="str">
            <v>---</v>
          </cell>
          <cell r="R9">
            <v>2010</v>
          </cell>
          <cell r="S9" t="str">
            <v>---</v>
          </cell>
          <cell r="T9" t="str">
            <v>---</v>
          </cell>
          <cell r="U9" t="str">
            <v>---</v>
          </cell>
          <cell r="V9">
            <v>2011</v>
          </cell>
          <cell r="W9" t="str">
            <v>---</v>
          </cell>
          <cell r="X9" t="str">
            <v>---</v>
          </cell>
          <cell r="Y9" t="str">
            <v>---</v>
          </cell>
          <cell r="Z9">
            <v>2011</v>
          </cell>
          <cell r="AA9" t="str">
            <v>---</v>
          </cell>
          <cell r="AB9" t="str">
            <v>---</v>
          </cell>
          <cell r="AC9" t="str">
            <v>---</v>
          </cell>
          <cell r="AD9">
            <v>2012</v>
          </cell>
          <cell r="AE9" t="str">
            <v>---</v>
          </cell>
          <cell r="AF9" t="str">
            <v>---</v>
          </cell>
          <cell r="AG9" t="str">
            <v>---</v>
          </cell>
          <cell r="AH9">
            <v>2011</v>
          </cell>
          <cell r="AI9" t="str">
            <v>---</v>
          </cell>
          <cell r="AJ9" t="str">
            <v>---</v>
          </cell>
          <cell r="AK9" t="str">
            <v>---</v>
          </cell>
          <cell r="AL9">
            <v>2013</v>
          </cell>
          <cell r="AM9" t="str">
            <v>---</v>
          </cell>
          <cell r="AN9" t="str">
            <v>---</v>
          </cell>
          <cell r="AO9" t="str">
            <v>---</v>
          </cell>
          <cell r="AP9">
            <v>2011</v>
          </cell>
          <cell r="AQ9" t="str">
            <v>---</v>
          </cell>
          <cell r="AR9" t="str">
            <v>---</v>
          </cell>
          <cell r="AS9" t="str">
            <v>---</v>
          </cell>
          <cell r="AT9">
            <v>2011</v>
          </cell>
          <cell r="AU9" t="str">
            <v>---</v>
          </cell>
          <cell r="AV9" t="str">
            <v>---</v>
          </cell>
          <cell r="AW9" t="str">
            <v>---</v>
          </cell>
          <cell r="AX9">
            <v>2012</v>
          </cell>
          <cell r="AY9" t="str">
            <v>---</v>
          </cell>
          <cell r="AZ9" t="str">
            <v>---</v>
          </cell>
          <cell r="BA9" t="str">
            <v>---</v>
          </cell>
          <cell r="BB9">
            <v>2013</v>
          </cell>
          <cell r="BC9" t="str">
            <v>---</v>
          </cell>
          <cell r="BD9" t="str">
            <v>---</v>
          </cell>
          <cell r="BE9" t="str">
            <v>---</v>
          </cell>
          <cell r="BF9">
            <v>2013</v>
          </cell>
          <cell r="BG9" t="str">
            <v>---</v>
          </cell>
          <cell r="BH9" t="str">
            <v>---</v>
          </cell>
          <cell r="BI9" t="str">
            <v>---</v>
          </cell>
          <cell r="BJ9">
            <v>2010</v>
          </cell>
          <cell r="BK9" t="str">
            <v>---</v>
          </cell>
          <cell r="BL9" t="str">
            <v>---</v>
          </cell>
          <cell r="BM9" t="str">
            <v>---</v>
          </cell>
          <cell r="BN9">
            <v>2011</v>
          </cell>
          <cell r="BO9" t="str">
            <v>---</v>
          </cell>
          <cell r="BP9" t="str">
            <v>---</v>
          </cell>
          <cell r="BQ9" t="str">
            <v>---</v>
          </cell>
          <cell r="BR9">
            <v>2010</v>
          </cell>
          <cell r="BS9" t="str">
            <v>---</v>
          </cell>
          <cell r="BT9" t="str">
            <v>---</v>
          </cell>
          <cell r="BU9" t="str">
            <v>---</v>
          </cell>
          <cell r="BV9">
            <v>2011</v>
          </cell>
          <cell r="BW9" t="str">
            <v>---</v>
          </cell>
          <cell r="BX9" t="str">
            <v>---</v>
          </cell>
          <cell r="BY9" t="str">
            <v>---</v>
          </cell>
          <cell r="BZ9">
            <v>2011</v>
          </cell>
          <cell r="CA9" t="str">
            <v>---</v>
          </cell>
          <cell r="CB9" t="str">
            <v>---</v>
          </cell>
          <cell r="CC9" t="str">
            <v>---</v>
          </cell>
          <cell r="CD9">
            <v>2017</v>
          </cell>
          <cell r="CE9" t="str">
            <v>---</v>
          </cell>
          <cell r="CF9" t="str">
            <v>---</v>
          </cell>
          <cell r="CG9" t="str">
            <v>---</v>
          </cell>
          <cell r="CH9">
            <v>2010</v>
          </cell>
          <cell r="CI9" t="str">
            <v>---</v>
          </cell>
          <cell r="CJ9" t="str">
            <v>---</v>
          </cell>
          <cell r="CK9" t="str">
            <v>---</v>
          </cell>
          <cell r="CL9">
            <v>2010</v>
          </cell>
          <cell r="CM9" t="str">
            <v>---</v>
          </cell>
          <cell r="CN9" t="str">
            <v>---</v>
          </cell>
          <cell r="CO9" t="str">
            <v>---</v>
          </cell>
          <cell r="CP9">
            <v>2012</v>
          </cell>
          <cell r="CQ9" t="str">
            <v>---</v>
          </cell>
          <cell r="CR9" t="str">
            <v>---</v>
          </cell>
          <cell r="CS9" t="str">
            <v>---</v>
          </cell>
          <cell r="CT9">
            <v>2011</v>
          </cell>
          <cell r="CU9" t="str">
            <v>---</v>
          </cell>
          <cell r="CV9" t="str">
            <v>---</v>
          </cell>
          <cell r="CW9" t="str">
            <v>---</v>
          </cell>
          <cell r="CX9">
            <v>2012</v>
          </cell>
          <cell r="CY9" t="str">
            <v>---</v>
          </cell>
          <cell r="CZ9" t="str">
            <v>---</v>
          </cell>
          <cell r="DA9" t="str">
            <v>---</v>
          </cell>
          <cell r="DB9">
            <v>2010</v>
          </cell>
          <cell r="DC9" t="str">
            <v>---</v>
          </cell>
          <cell r="DD9" t="str">
            <v>---</v>
          </cell>
          <cell r="DE9" t="str">
            <v>---</v>
          </cell>
          <cell r="DF9">
            <v>2013</v>
          </cell>
          <cell r="DG9" t="str">
            <v>---</v>
          </cell>
          <cell r="DH9" t="str">
            <v>---</v>
          </cell>
          <cell r="DI9" t="str">
            <v>---</v>
          </cell>
          <cell r="DJ9">
            <v>2010</v>
          </cell>
          <cell r="DK9" t="str">
            <v>---</v>
          </cell>
          <cell r="DL9" t="str">
            <v>---</v>
          </cell>
          <cell r="DM9" t="str">
            <v>---</v>
          </cell>
          <cell r="DN9">
            <v>2012</v>
          </cell>
          <cell r="DO9" t="str">
            <v>---</v>
          </cell>
          <cell r="DP9" t="str">
            <v>---</v>
          </cell>
          <cell r="DQ9" t="str">
            <v>---</v>
          </cell>
          <cell r="DR9">
            <v>2010</v>
          </cell>
          <cell r="DS9" t="str">
            <v>---</v>
          </cell>
          <cell r="DT9" t="str">
            <v>---</v>
          </cell>
          <cell r="DU9" t="str">
            <v>---</v>
          </cell>
          <cell r="DV9">
            <v>2013</v>
          </cell>
          <cell r="DW9" t="str">
            <v>---</v>
          </cell>
          <cell r="DX9" t="str">
            <v>---</v>
          </cell>
          <cell r="DY9" t="str">
            <v>---</v>
          </cell>
          <cell r="DZ9">
            <v>2012</v>
          </cell>
          <cell r="EA9" t="str">
            <v>---</v>
          </cell>
          <cell r="EB9" t="str">
            <v>---</v>
          </cell>
          <cell r="EC9" t="str">
            <v>---</v>
          </cell>
          <cell r="ED9">
            <v>2010</v>
          </cell>
          <cell r="EE9" t="str">
            <v>---</v>
          </cell>
          <cell r="EF9" t="str">
            <v>---</v>
          </cell>
          <cell r="EG9" t="str">
            <v>---</v>
          </cell>
          <cell r="EH9">
            <v>2012</v>
          </cell>
          <cell r="EI9" t="str">
            <v>---</v>
          </cell>
          <cell r="EJ9" t="str">
            <v>---</v>
          </cell>
          <cell r="EK9" t="str">
            <v>---</v>
          </cell>
          <cell r="EL9">
            <v>2010</v>
          </cell>
          <cell r="EM9" t="str">
            <v>---</v>
          </cell>
          <cell r="EN9" t="str">
            <v>---</v>
          </cell>
          <cell r="EO9" t="str">
            <v>---</v>
          </cell>
          <cell r="EP9">
            <v>2013</v>
          </cell>
          <cell r="EQ9" t="str">
            <v>---</v>
          </cell>
          <cell r="ER9" t="str">
            <v>---</v>
          </cell>
          <cell r="ES9" t="str">
            <v>---</v>
          </cell>
          <cell r="ET9">
            <v>2013</v>
          </cell>
          <cell r="EU9" t="str">
            <v>---</v>
          </cell>
          <cell r="EV9" t="str">
            <v>---</v>
          </cell>
          <cell r="EW9" t="str">
            <v>---</v>
          </cell>
          <cell r="EX9">
            <v>2010</v>
          </cell>
          <cell r="EY9" t="str">
            <v>---</v>
          </cell>
          <cell r="EZ9" t="str">
            <v>---</v>
          </cell>
          <cell r="FA9" t="str">
            <v>---</v>
          </cell>
          <cell r="FB9">
            <v>2010</v>
          </cell>
          <cell r="FC9" t="str">
            <v>---</v>
          </cell>
          <cell r="FD9" t="str">
            <v>---</v>
          </cell>
          <cell r="FE9" t="str">
            <v>---</v>
          </cell>
          <cell r="FF9">
            <v>2010</v>
          </cell>
          <cell r="FG9" t="str">
            <v>---</v>
          </cell>
          <cell r="FH9" t="str">
            <v>---</v>
          </cell>
          <cell r="FI9" t="str">
            <v>---</v>
          </cell>
          <cell r="FJ9">
            <v>2010</v>
          </cell>
          <cell r="FK9" t="str">
            <v>---</v>
          </cell>
          <cell r="FL9" t="str">
            <v>---</v>
          </cell>
          <cell r="FM9" t="str">
            <v>---</v>
          </cell>
          <cell r="FN9">
            <v>2013</v>
          </cell>
          <cell r="FO9" t="str">
            <v>---</v>
          </cell>
          <cell r="FP9" t="str">
            <v>---</v>
          </cell>
          <cell r="FQ9" t="str">
            <v>---</v>
          </cell>
          <cell r="FR9">
            <v>2011</v>
          </cell>
          <cell r="FS9" t="str">
            <v>---</v>
          </cell>
          <cell r="FT9" t="str">
            <v>---</v>
          </cell>
          <cell r="FU9" t="str">
            <v>---</v>
          </cell>
          <cell r="FV9">
            <v>2011</v>
          </cell>
          <cell r="FW9" t="str">
            <v>---</v>
          </cell>
          <cell r="FX9" t="str">
            <v>---</v>
          </cell>
          <cell r="FY9" t="str">
            <v>---</v>
          </cell>
          <cell r="FZ9">
            <v>2013</v>
          </cell>
          <cell r="GA9" t="str">
            <v>---</v>
          </cell>
          <cell r="GB9" t="str">
            <v>---</v>
          </cell>
          <cell r="GC9" t="str">
            <v>---</v>
          </cell>
          <cell r="GD9">
            <v>2013</v>
          </cell>
          <cell r="GE9" t="str">
            <v>---</v>
          </cell>
          <cell r="GF9" t="str">
            <v>---</v>
          </cell>
          <cell r="GG9" t="str">
            <v>---</v>
          </cell>
          <cell r="GH9">
            <v>2010</v>
          </cell>
          <cell r="GI9" t="str">
            <v>---</v>
          </cell>
          <cell r="GJ9" t="str">
            <v>---</v>
          </cell>
          <cell r="GK9" t="str">
            <v>---</v>
          </cell>
          <cell r="GL9">
            <v>2013</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row>
        <row r="10">
          <cell r="B10" t="str">
            <v>Standard Deviation</v>
          </cell>
          <cell r="C10">
            <v>154.04723885986752</v>
          </cell>
          <cell r="D10">
            <v>154.07220651496155</v>
          </cell>
          <cell r="E10">
            <v>4.5961444964023936</v>
          </cell>
          <cell r="F10">
            <v>0</v>
          </cell>
          <cell r="G10">
            <v>831.81969763938719</v>
          </cell>
          <cell r="H10">
            <v>840.98112392255643</v>
          </cell>
          <cell r="I10">
            <v>104.03095560639602</v>
          </cell>
          <cell r="J10">
            <v>0.1133306835938255</v>
          </cell>
          <cell r="K10">
            <v>77.303397105841441</v>
          </cell>
          <cell r="L10">
            <v>108.36833942812864</v>
          </cell>
          <cell r="M10">
            <v>62.113706107416235</v>
          </cell>
          <cell r="N10">
            <v>0.80040030025022413</v>
          </cell>
          <cell r="O10">
            <v>532.47002072647319</v>
          </cell>
          <cell r="P10">
            <v>861.31141995721498</v>
          </cell>
          <cell r="Q10">
            <v>559.09352178498284</v>
          </cell>
          <cell r="R10">
            <v>0</v>
          </cell>
          <cell r="S10">
            <v>244.44648101607552</v>
          </cell>
          <cell r="T10">
            <v>249.03149761348328</v>
          </cell>
          <cell r="U10">
            <v>38.194345706766924</v>
          </cell>
          <cell r="V10">
            <v>0.33088439746304826</v>
          </cell>
          <cell r="W10">
            <v>224.05957624939575</v>
          </cell>
          <cell r="X10">
            <v>383.22789405104999</v>
          </cell>
          <cell r="Y10">
            <v>199.71643601398486</v>
          </cell>
          <cell r="Z10">
            <v>0</v>
          </cell>
          <cell r="AA10">
            <v>1227.517108662249</v>
          </cell>
          <cell r="AB10">
            <v>1279.7992664986471</v>
          </cell>
          <cell r="AC10">
            <v>253.40462304353289</v>
          </cell>
          <cell r="AD10">
            <v>0.47720826452160292</v>
          </cell>
          <cell r="AE10">
            <v>231.51389406456744</v>
          </cell>
          <cell r="AF10">
            <v>237.71927353613927</v>
          </cell>
          <cell r="AG10">
            <v>32.747660586060682</v>
          </cell>
          <cell r="AH10">
            <v>0.35725009115132955</v>
          </cell>
          <cell r="AI10">
            <v>294.81931088478768</v>
          </cell>
          <cell r="AJ10">
            <v>301.15508837508423</v>
          </cell>
          <cell r="AK10">
            <v>35.156114120574976</v>
          </cell>
          <cell r="AL10">
            <v>0.78141577320307654</v>
          </cell>
          <cell r="AM10">
            <v>11.175310853698598</v>
          </cell>
          <cell r="AN10">
            <v>14.871260088481067</v>
          </cell>
          <cell r="AO10">
            <v>8.3394227742263052</v>
          </cell>
          <cell r="AP10">
            <v>0.30015011259382435</v>
          </cell>
          <cell r="AQ10">
            <v>672.05225632880581</v>
          </cell>
          <cell r="AR10">
            <v>681.19202880114665</v>
          </cell>
          <cell r="AS10">
            <v>58.707334054816705</v>
          </cell>
          <cell r="AT10">
            <v>0.40020015012511212</v>
          </cell>
          <cell r="AU10">
            <v>154.2762169023577</v>
          </cell>
          <cell r="AV10">
            <v>154.39783152758309</v>
          </cell>
          <cell r="AW10">
            <v>6.5466928757500922</v>
          </cell>
          <cell r="AX10">
            <v>0</v>
          </cell>
          <cell r="AY10">
            <v>165.24381656087533</v>
          </cell>
          <cell r="AZ10">
            <v>179.31789558047032</v>
          </cell>
          <cell r="BA10">
            <v>48.857694705778997</v>
          </cell>
          <cell r="BB10">
            <v>0.78141577320307654</v>
          </cell>
          <cell r="BC10">
            <v>149.48661131836437</v>
          </cell>
          <cell r="BD10">
            <v>163.01474342521595</v>
          </cell>
          <cell r="BE10">
            <v>48.23831983172245</v>
          </cell>
          <cell r="BF10">
            <v>0.78141577320307654</v>
          </cell>
          <cell r="BG10">
            <v>1029.0041015133118</v>
          </cell>
          <cell r="BH10">
            <v>1067.1988079641469</v>
          </cell>
          <cell r="BI10">
            <v>143.63894237263628</v>
          </cell>
          <cell r="BJ10">
            <v>0.50025018765638685</v>
          </cell>
          <cell r="BK10">
            <v>68.821567466033798</v>
          </cell>
          <cell r="BL10">
            <v>69.621475653292023</v>
          </cell>
          <cell r="BM10">
            <v>9.5457565278899317</v>
          </cell>
          <cell r="BN10">
            <v>0</v>
          </cell>
          <cell r="BO10">
            <v>139.91218297252092</v>
          </cell>
          <cell r="BP10">
            <v>226.31877155382185</v>
          </cell>
          <cell r="BQ10">
            <v>146.90779208074983</v>
          </cell>
          <cell r="BR10">
            <v>0</v>
          </cell>
          <cell r="BS10">
            <v>11.831158490765503</v>
          </cell>
          <cell r="BT10">
            <v>16.674920086671268</v>
          </cell>
          <cell r="BU10">
            <v>8.3150724502270936</v>
          </cell>
          <cell r="BV10">
            <v>0.30015011259382435</v>
          </cell>
          <cell r="BW10">
            <v>210.60790293653798</v>
          </cell>
          <cell r="BX10">
            <v>210.80939395676879</v>
          </cell>
          <cell r="BY10">
            <v>6.2341863549372141</v>
          </cell>
          <cell r="BZ10">
            <v>0.17067257872642774</v>
          </cell>
          <cell r="CA10">
            <v>2789.5565983375227</v>
          </cell>
          <cell r="CB10">
            <v>2884.4617436008216</v>
          </cell>
          <cell r="CC10">
            <v>179.7762493017525</v>
          </cell>
          <cell r="CD10">
            <v>2.2461177718555252</v>
          </cell>
          <cell r="CE10">
            <v>484.65149572707509</v>
          </cell>
          <cell r="CF10">
            <v>783.96125925735521</v>
          </cell>
          <cell r="CG10">
            <v>508.88407049735105</v>
          </cell>
          <cell r="CH10">
            <v>0</v>
          </cell>
          <cell r="CI10">
            <v>239.32477276568244</v>
          </cell>
          <cell r="CJ10">
            <v>391.50986390587786</v>
          </cell>
          <cell r="CK10">
            <v>211.97111293731459</v>
          </cell>
          <cell r="CL10">
            <v>0</v>
          </cell>
          <cell r="CM10">
            <v>957.98493427102255</v>
          </cell>
          <cell r="CN10">
            <v>1008.4265179089349</v>
          </cell>
          <cell r="CO10">
            <v>216.72153286494648</v>
          </cell>
          <cell r="CP10">
            <v>0.47720826452160292</v>
          </cell>
          <cell r="CQ10">
            <v>355.45442111212537</v>
          </cell>
          <cell r="CR10">
            <v>525.72825392047127</v>
          </cell>
          <cell r="CS10">
            <v>333.00797315173708</v>
          </cell>
          <cell r="CT10">
            <v>0.21805400144814982</v>
          </cell>
          <cell r="CU10">
            <v>704.24353388689872</v>
          </cell>
          <cell r="CV10">
            <v>705.56248971424566</v>
          </cell>
          <cell r="CW10">
            <v>31.098637076160859</v>
          </cell>
          <cell r="CX10">
            <v>0.43102875285272885</v>
          </cell>
          <cell r="CY10">
            <v>105.92954158236296</v>
          </cell>
          <cell r="CZ10">
            <v>171.33449791795439</v>
          </cell>
          <cell r="DA10">
            <v>111.32600926832352</v>
          </cell>
          <cell r="DB10">
            <v>0</v>
          </cell>
          <cell r="DC10">
            <v>57.62312874201821</v>
          </cell>
          <cell r="DD10">
            <v>92.811881177848974</v>
          </cell>
          <cell r="DE10">
            <v>69.496718291478459</v>
          </cell>
          <cell r="DF10">
            <v>0</v>
          </cell>
          <cell r="DG10">
            <v>32.13608090450861</v>
          </cell>
          <cell r="DH10">
            <v>51.982595077803367</v>
          </cell>
          <cell r="DI10">
            <v>33.742884963303318</v>
          </cell>
          <cell r="DJ10">
            <v>0</v>
          </cell>
          <cell r="DK10">
            <v>18.657135696349801</v>
          </cell>
          <cell r="DL10">
            <v>19.029710679721479</v>
          </cell>
          <cell r="DM10">
            <v>3.3242420926745013</v>
          </cell>
          <cell r="DN10">
            <v>0</v>
          </cell>
          <cell r="DO10">
            <v>14.208498514469291</v>
          </cell>
          <cell r="DP10">
            <v>22.983344707532257</v>
          </cell>
          <cell r="DQ10">
            <v>14.918923447199315</v>
          </cell>
          <cell r="DR10">
            <v>0</v>
          </cell>
          <cell r="DS10">
            <v>40.961902745819458</v>
          </cell>
          <cell r="DT10">
            <v>60.00361166698346</v>
          </cell>
          <cell r="DU10">
            <v>41.594029166216941</v>
          </cell>
          <cell r="DV10">
            <v>0.78141577320307654</v>
          </cell>
          <cell r="DW10">
            <v>58.790547676682884</v>
          </cell>
          <cell r="DX10">
            <v>74.834666835093145</v>
          </cell>
          <cell r="DY10">
            <v>27.625852953515821</v>
          </cell>
          <cell r="DZ10">
            <v>0.80040030025022413</v>
          </cell>
          <cell r="EA10">
            <v>149.12511689812916</v>
          </cell>
          <cell r="EB10">
            <v>152.20910635174238</v>
          </cell>
          <cell r="EC10">
            <v>13.64272739448597</v>
          </cell>
          <cell r="ED10">
            <v>0.50025018765638685</v>
          </cell>
          <cell r="EE10">
            <v>70.600095841637042</v>
          </cell>
          <cell r="EF10">
            <v>97.646901914100255</v>
          </cell>
          <cell r="EG10">
            <v>57.456155277960924</v>
          </cell>
          <cell r="EH10">
            <v>0.80040030025022413</v>
          </cell>
          <cell r="EI10">
            <v>484.98601964838076</v>
          </cell>
          <cell r="EJ10">
            <v>784.50237756601848</v>
          </cell>
          <cell r="EK10">
            <v>509.23532063610986</v>
          </cell>
          <cell r="EL10">
            <v>0</v>
          </cell>
          <cell r="EM10">
            <v>28.862864557916762</v>
          </cell>
          <cell r="EN10">
            <v>29.139132494880403</v>
          </cell>
          <cell r="EO10">
            <v>8.2295092813544546</v>
          </cell>
          <cell r="EP10">
            <v>1.0783147790709053</v>
          </cell>
          <cell r="EQ10">
            <v>31.27424374129237</v>
          </cell>
          <cell r="ER10">
            <v>49.677780603974831</v>
          </cell>
          <cell r="ES10">
            <v>36.718530809360864</v>
          </cell>
          <cell r="ET10">
            <v>0.78141577320307654</v>
          </cell>
          <cell r="EU10">
            <v>195.62333041640565</v>
          </cell>
          <cell r="EV10">
            <v>198.64831928387045</v>
          </cell>
          <cell r="EW10">
            <v>27.387908361102209</v>
          </cell>
          <cell r="EX10">
            <v>0</v>
          </cell>
          <cell r="EY10">
            <v>195.70952899756233</v>
          </cell>
          <cell r="EZ10">
            <v>200.68486437434041</v>
          </cell>
          <cell r="FA10">
            <v>35.950287202355511</v>
          </cell>
          <cell r="FB10">
            <v>0</v>
          </cell>
          <cell r="FC10">
            <v>32.14889340756352</v>
          </cell>
          <cell r="FD10">
            <v>52.003320297291864</v>
          </cell>
          <cell r="FE10">
            <v>33.756338127542776</v>
          </cell>
          <cell r="FF10">
            <v>0</v>
          </cell>
          <cell r="FG10">
            <v>400.47707133851225</v>
          </cell>
          <cell r="FH10">
            <v>692.08352279683174</v>
          </cell>
          <cell r="FI10">
            <v>295.55850496746905</v>
          </cell>
          <cell r="FJ10">
            <v>0</v>
          </cell>
          <cell r="FK10">
            <v>1448.9814772613247</v>
          </cell>
          <cell r="FL10">
            <v>1456.7665707541053</v>
          </cell>
          <cell r="FM10">
            <v>86.759561056701443</v>
          </cell>
          <cell r="FN10">
            <v>0.51562182446620564</v>
          </cell>
          <cell r="FO10">
            <v>10.900842271210298</v>
          </cell>
          <cell r="FP10">
            <v>15.897583147223628</v>
          </cell>
          <cell r="FQ10">
            <v>8.3226075849409256</v>
          </cell>
          <cell r="FR10">
            <v>0.30015011259382435</v>
          </cell>
          <cell r="FS10">
            <v>160.7918010883879</v>
          </cell>
          <cell r="FT10">
            <v>169.43569597365945</v>
          </cell>
          <cell r="FU10">
            <v>39.618969965488191</v>
          </cell>
          <cell r="FV10">
            <v>0.35725009115132955</v>
          </cell>
          <cell r="FW10">
            <v>199.2365227690284</v>
          </cell>
          <cell r="FX10">
            <v>209.45818512202644</v>
          </cell>
          <cell r="FY10">
            <v>38.224654145706339</v>
          </cell>
          <cell r="FZ10">
            <v>0.78141577320307654</v>
          </cell>
          <cell r="GA10">
            <v>124.83917208175619</v>
          </cell>
          <cell r="GB10">
            <v>154.01220640145337</v>
          </cell>
          <cell r="GC10">
            <v>72.012443864471678</v>
          </cell>
          <cell r="GD10">
            <v>0.78141577320307654</v>
          </cell>
          <cell r="GE10">
            <v>1504.9012626920994</v>
          </cell>
          <cell r="GF10">
            <v>1541.922578391031</v>
          </cell>
          <cell r="GG10">
            <v>219.76837621715066</v>
          </cell>
          <cell r="GH10">
            <v>0.50025018765638685</v>
          </cell>
          <cell r="GI10">
            <v>30.045934942870357</v>
          </cell>
          <cell r="GJ10">
            <v>35.149566692837602</v>
          </cell>
          <cell r="GK10">
            <v>20.483824894547599</v>
          </cell>
          <cell r="GL10">
            <v>1.0783147790709053</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row>
        <row r="11">
          <cell r="B11" t="str">
            <v>Variance</v>
          </cell>
          <cell r="C11">
            <v>23730.55180034908</v>
          </cell>
          <cell r="D11">
            <v>23738.244820388962</v>
          </cell>
          <cell r="E11">
            <v>21.124544231810017</v>
          </cell>
          <cell r="F11">
            <v>0</v>
          </cell>
          <cell r="G11">
            <v>691924.00938088156</v>
          </cell>
          <cell r="H11">
            <v>707249.25079404621</v>
          </cell>
          <cell r="I11">
            <v>10822.439724379939</v>
          </cell>
          <cell r="J11">
            <v>1.2843843843843791E-2</v>
          </cell>
          <cell r="K11">
            <v>5975.8152041034155</v>
          </cell>
          <cell r="L11">
            <v>11743.696990410101</v>
          </cell>
          <cell r="M11">
            <v>3858.1124863984769</v>
          </cell>
          <cell r="N11">
            <v>0.64064064064064896</v>
          </cell>
          <cell r="O11">
            <v>283524.32297245075</v>
          </cell>
          <cell r="P11">
            <v>741857.36214871402</v>
          </cell>
          <cell r="Q11">
            <v>312585.56610193505</v>
          </cell>
          <cell r="R11">
            <v>0</v>
          </cell>
          <cell r="S11">
            <v>59754.082081142573</v>
          </cell>
          <cell r="T11">
            <v>62016.686803614335</v>
          </cell>
          <cell r="U11">
            <v>1458.808043968025</v>
          </cell>
          <cell r="V11">
            <v>0.10948448448448449</v>
          </cell>
          <cell r="W11">
            <v>50202.693709058789</v>
          </cell>
          <cell r="X11">
            <v>146863.61877880277</v>
          </cell>
          <cell r="Y11">
            <v>39886.654814128109</v>
          </cell>
          <cell r="Z11">
            <v>0</v>
          </cell>
          <cell r="AA11">
            <v>1506798.2520585279</v>
          </cell>
          <cell r="AB11">
            <v>1637886.1625304753</v>
          </cell>
          <cell r="AC11">
            <v>64213.902979835002</v>
          </cell>
          <cell r="AD11">
            <v>0.22772772772772015</v>
          </cell>
          <cell r="AE11">
            <v>53598.68314493975</v>
          </cell>
          <cell r="AF11">
            <v>56510.453010549805</v>
          </cell>
          <cell r="AG11">
            <v>1072.4092738598324</v>
          </cell>
          <cell r="AH11">
            <v>0.12762762762763327</v>
          </cell>
          <cell r="AI11">
            <v>86918.426070581103</v>
          </cell>
          <cell r="AJ11">
            <v>90694.387254204805</v>
          </cell>
          <cell r="AK11">
            <v>1235.9523600588911</v>
          </cell>
          <cell r="AL11">
            <v>0.61061061061056199</v>
          </cell>
          <cell r="AM11">
            <v>124.8875726767937</v>
          </cell>
          <cell r="AN11">
            <v>221.15437661924994</v>
          </cell>
          <cell r="AO11">
            <v>69.545972207284379</v>
          </cell>
          <cell r="AP11">
            <v>9.0090090090085423E-2</v>
          </cell>
          <cell r="AQ11">
            <v>451654.23523663898</v>
          </cell>
          <cell r="AR11">
            <v>464022.58010222227</v>
          </cell>
          <cell r="AS11">
            <v>3446.5510718238415</v>
          </cell>
          <cell r="AT11">
            <v>0.1601601601601623</v>
          </cell>
          <cell r="AU11">
            <v>23801.151101703319</v>
          </cell>
          <cell r="AV11">
            <v>23838.690380419928</v>
          </cell>
          <cell r="AW11">
            <v>42.859187609397011</v>
          </cell>
          <cell r="AX11">
            <v>0</v>
          </cell>
          <cell r="AY11">
            <v>27305.51891160422</v>
          </cell>
          <cell r="AZ11">
            <v>32154.907675408456</v>
          </cell>
          <cell r="BA11">
            <v>2387.0743319631051</v>
          </cell>
          <cell r="BB11">
            <v>0.61061061061056199</v>
          </cell>
          <cell r="BC11">
            <v>22346.246963447746</v>
          </cell>
          <cell r="BD11">
            <v>26573.80657398899</v>
          </cell>
          <cell r="BE11">
            <v>2326.9355001875474</v>
          </cell>
          <cell r="BF11">
            <v>0.61061061061056199</v>
          </cell>
          <cell r="BG11">
            <v>1058849.440931218</v>
          </cell>
          <cell r="BH11">
            <v>1138913.295720096</v>
          </cell>
          <cell r="BI11">
            <v>20632.145765929527</v>
          </cell>
          <cell r="BJ11">
            <v>0.25025025025025027</v>
          </cell>
          <cell r="BK11">
            <v>4736.4081484818416</v>
          </cell>
          <cell r="BL11">
            <v>4847.1498721419348</v>
          </cell>
          <cell r="BM11">
            <v>91.121467689753246</v>
          </cell>
          <cell r="BN11">
            <v>0</v>
          </cell>
          <cell r="BO11">
            <v>19575.41894413617</v>
          </cell>
          <cell r="BP11">
            <v>51220.186357630999</v>
          </cell>
          <cell r="BQ11">
            <v>21581.899374040822</v>
          </cell>
          <cell r="BR11">
            <v>0</v>
          </cell>
          <cell r="BS11">
            <v>139.97631123361265</v>
          </cell>
          <cell r="BT11">
            <v>278.05295989687289</v>
          </cell>
          <cell r="BU11">
            <v>69.140429852525614</v>
          </cell>
          <cell r="BV11">
            <v>9.0090090090085423E-2</v>
          </cell>
          <cell r="BW11">
            <v>44355.688779326199</v>
          </cell>
          <cell r="BX11">
            <v>44440.600580420141</v>
          </cell>
          <cell r="BY11">
            <v>38.865079508085344</v>
          </cell>
          <cell r="BZ11">
            <v>2.9129129129128673E-2</v>
          </cell>
          <cell r="CA11">
            <v>7781626.015328411</v>
          </cell>
          <cell r="CB11">
            <v>8320119.5502966922</v>
          </cell>
          <cell r="CC11">
            <v>32319.49981300587</v>
          </cell>
          <cell r="CD11">
            <v>5.0450450450452289</v>
          </cell>
          <cell r="CE11">
            <v>234887.07231049109</v>
          </cell>
          <cell r="CF11">
            <v>614595.25601637817</v>
          </cell>
          <cell r="CG11">
            <v>258962.99720595297</v>
          </cell>
          <cell r="CH11">
            <v>0</v>
          </cell>
          <cell r="CI11">
            <v>57276.34685934554</v>
          </cell>
          <cell r="CJ11">
            <v>153279.97353559901</v>
          </cell>
          <cell r="CK11">
            <v>44931.752719883778</v>
          </cell>
          <cell r="CL11">
            <v>0</v>
          </cell>
          <cell r="CM11">
            <v>917735.13429025549</v>
          </cell>
          <cell r="CN11">
            <v>1016924.0420219394</v>
          </cell>
          <cell r="CO11">
            <v>46968.22280733208</v>
          </cell>
          <cell r="CP11">
            <v>0.22772772772772015</v>
          </cell>
          <cell r="CQ11">
            <v>126347.84548815616</v>
          </cell>
          <cell r="CR11">
            <v>276390.19697026757</v>
          </cell>
          <cell r="CS11">
            <v>110894.31018262803</v>
          </cell>
          <cell r="CT11">
            <v>4.7547547547549723E-2</v>
          </cell>
          <cell r="CU11">
            <v>495958.95502150746</v>
          </cell>
          <cell r="CV11">
            <v>497818.42689176503</v>
          </cell>
          <cell r="CW11">
            <v>967.12522799476676</v>
          </cell>
          <cell r="CX11">
            <v>0.18578578578577881</v>
          </cell>
          <cell r="CY11">
            <v>11221.067779849562</v>
          </cell>
          <cell r="CZ11">
            <v>29355.510176797521</v>
          </cell>
          <cell r="DA11">
            <v>12393.480339610855</v>
          </cell>
          <cell r="DB11">
            <v>0</v>
          </cell>
          <cell r="DC11">
            <v>3320.4249660192054</v>
          </cell>
          <cell r="DD11">
            <v>8614.0452877711577</v>
          </cell>
          <cell r="DE11">
            <v>4829.7938532851158</v>
          </cell>
          <cell r="DF11">
            <v>0</v>
          </cell>
          <cell r="DG11">
            <v>1032.7276959011231</v>
          </cell>
          <cell r="DH11">
            <v>2702.1901910228671</v>
          </cell>
          <cell r="DI11">
            <v>1138.5822856467212</v>
          </cell>
          <cell r="DJ11">
            <v>0</v>
          </cell>
          <cell r="DK11">
            <v>348.08871239201</v>
          </cell>
          <cell r="DL11">
            <v>362.12988855390574</v>
          </cell>
          <cell r="DM11">
            <v>11.050585490708947</v>
          </cell>
          <cell r="DN11">
            <v>0</v>
          </cell>
          <cell r="DO11">
            <v>201.88143003567603</v>
          </cell>
          <cell r="DP11">
            <v>528.23413394525107</v>
          </cell>
          <cell r="DQ11">
            <v>222.57427682339349</v>
          </cell>
          <cell r="DR11">
            <v>0</v>
          </cell>
          <cell r="DS11">
            <v>1677.8774765579715</v>
          </cell>
          <cell r="DT11">
            <v>3600.4334130821535</v>
          </cell>
          <cell r="DU11">
            <v>1730.0632622801058</v>
          </cell>
          <cell r="DV11">
            <v>0.61061061061056199</v>
          </cell>
          <cell r="DW11">
            <v>3456.328496124323</v>
          </cell>
          <cell r="DX11">
            <v>5600.2273603193898</v>
          </cell>
          <cell r="DY11">
            <v>763.1877514092788</v>
          </cell>
          <cell r="DZ11">
            <v>0.64064064064064896</v>
          </cell>
          <cell r="EA11">
            <v>22238.300489880687</v>
          </cell>
          <cell r="EB11">
            <v>23167.612056396021</v>
          </cell>
          <cell r="EC11">
            <v>186.12401076025793</v>
          </cell>
          <cell r="ED11">
            <v>0.25025025025025027</v>
          </cell>
          <cell r="EE11">
            <v>4984.3735328483353</v>
          </cell>
          <cell r="EF11">
            <v>9534.9174534219146</v>
          </cell>
          <cell r="EG11">
            <v>3301.2097793251569</v>
          </cell>
          <cell r="EH11">
            <v>0.64064064064064896</v>
          </cell>
          <cell r="EI11">
            <v>235211.43925437957</v>
          </cell>
          <cell r="EJ11">
            <v>615443.98040673579</v>
          </cell>
          <cell r="EK11">
            <v>259320.61178336164</v>
          </cell>
          <cell r="EL11">
            <v>0</v>
          </cell>
          <cell r="EM11">
            <v>833.06495048864747</v>
          </cell>
          <cell r="EN11">
            <v>849.08904255419498</v>
          </cell>
          <cell r="EO11">
            <v>67.724823011899105</v>
          </cell>
          <cell r="EP11">
            <v>1.1627627627627355</v>
          </cell>
          <cell r="EQ11">
            <v>978.07832158976498</v>
          </cell>
          <cell r="ER11">
            <v>2467.8818857366582</v>
          </cell>
          <cell r="ES11">
            <v>1348.2505047979828</v>
          </cell>
          <cell r="ET11">
            <v>0.61061061061056199</v>
          </cell>
          <cell r="EU11">
            <v>38268.487403206222</v>
          </cell>
          <cell r="EV11">
            <v>39461.154754306539</v>
          </cell>
          <cell r="EW11">
            <v>750.09752439613237</v>
          </cell>
          <cell r="EX11">
            <v>0</v>
          </cell>
          <cell r="EY11">
            <v>38302.21974044769</v>
          </cell>
          <cell r="EZ11">
            <v>40274.414788947404</v>
          </cell>
          <cell r="FA11">
            <v>1292.4231499318466</v>
          </cell>
          <cell r="FB11">
            <v>0</v>
          </cell>
          <cell r="FC11">
            <v>1033.5513473308811</v>
          </cell>
          <cell r="FD11">
            <v>2704.3453219427279</v>
          </cell>
          <cell r="FE11">
            <v>1139.490363780998</v>
          </cell>
          <cell r="FF11">
            <v>0</v>
          </cell>
          <cell r="FG11">
            <v>160381.88466787184</v>
          </cell>
          <cell r="FH11">
            <v>478979.60252687271</v>
          </cell>
          <cell r="FI11">
            <v>87354.82985860543</v>
          </cell>
          <cell r="FJ11">
            <v>0</v>
          </cell>
          <cell r="FK11">
            <v>2099547.3214464108</v>
          </cell>
          <cell r="FL11">
            <v>2122168.8416666756</v>
          </cell>
          <cell r="FM11">
            <v>7527.2214347515055</v>
          </cell>
          <cell r="FN11">
            <v>0.26586586586585853</v>
          </cell>
          <cell r="FO11">
            <v>118.82836222180529</v>
          </cell>
          <cell r="FP11">
            <v>252.73314992288869</v>
          </cell>
          <cell r="FQ11">
            <v>69.265797012916224</v>
          </cell>
          <cell r="FR11">
            <v>9.0090090090085423E-2</v>
          </cell>
          <cell r="FS11">
            <v>25854.003297247702</v>
          </cell>
          <cell r="FT11">
            <v>28708.455070078355</v>
          </cell>
          <cell r="FU11">
            <v>1569.6627811262551</v>
          </cell>
          <cell r="FV11">
            <v>0.12762762762763327</v>
          </cell>
          <cell r="FW11">
            <v>39695.192005093566</v>
          </cell>
          <cell r="FX11">
            <v>43872.731314613091</v>
          </cell>
          <cell r="FY11">
            <v>1461.1241845588647</v>
          </cell>
          <cell r="FZ11">
            <v>0.61061061061056199</v>
          </cell>
          <cell r="GA11">
            <v>15584.818886058334</v>
          </cell>
          <cell r="GB11">
            <v>23719.759720643877</v>
          </cell>
          <cell r="GC11">
            <v>5185.7920713336844</v>
          </cell>
          <cell r="GD11">
            <v>0.61061061061056199</v>
          </cell>
          <cell r="GE11">
            <v>2264727.8104522754</v>
          </cell>
          <cell r="GF11">
            <v>2377525.2377520455</v>
          </cell>
          <cell r="GG11">
            <v>48298.139185123073</v>
          </cell>
          <cell r="GH11">
            <v>0.25025025025025027</v>
          </cell>
          <cell r="GI11">
            <v>902.75820659119802</v>
          </cell>
          <cell r="GJ11">
            <v>1235.4920386942383</v>
          </cell>
          <cell r="GK11">
            <v>419.58708231048797</v>
          </cell>
          <cell r="GL11">
            <v>1.1627627627627355</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row>
        <row r="12">
          <cell r="B12" t="str">
            <v>Skewness</v>
          </cell>
          <cell r="C12">
            <v>1.4459389166841807</v>
          </cell>
          <cell r="D12">
            <v>1.4436918632508542</v>
          </cell>
          <cell r="E12">
            <v>0.47272091315790638</v>
          </cell>
          <cell r="F12" t="str">
            <v>---</v>
          </cell>
          <cell r="G12">
            <v>10.905449201670052</v>
          </cell>
          <cell r="H12">
            <v>10.569699466078459</v>
          </cell>
          <cell r="I12">
            <v>-3.2321933589085942E-3</v>
          </cell>
          <cell r="J12">
            <v>-8.5857242641150435</v>
          </cell>
          <cell r="K12">
            <v>0.20856545850858846</v>
          </cell>
          <cell r="L12">
            <v>0.13851713132062687</v>
          </cell>
          <cell r="M12">
            <v>7.5412369058482122E-3</v>
          </cell>
          <cell r="N12">
            <v>-0.84248469145932037</v>
          </cell>
          <cell r="O12">
            <v>0.5340989188645564</v>
          </cell>
          <cell r="P12">
            <v>0.53409891895001893</v>
          </cell>
          <cell r="Q12">
            <v>0.53409891941338838</v>
          </cell>
          <cell r="R12" t="str">
            <v>---</v>
          </cell>
          <cell r="S12">
            <v>2.2790844388492055</v>
          </cell>
          <cell r="T12">
            <v>2.1688797138222702</v>
          </cell>
          <cell r="U12">
            <v>2.6849549441541144E-4</v>
          </cell>
          <cell r="V12">
            <v>-2.2643860083601921</v>
          </cell>
          <cell r="W12">
            <v>0.14499557915886413</v>
          </cell>
          <cell r="X12">
            <v>8.6105603041075562E-2</v>
          </cell>
          <cell r="Y12">
            <v>0.50883015305010115</v>
          </cell>
          <cell r="Z12" t="str">
            <v>---</v>
          </cell>
          <cell r="AA12">
            <v>2.8532407510124833</v>
          </cell>
          <cell r="AB12">
            <v>2.6717658343067385</v>
          </cell>
          <cell r="AC12">
            <v>0.14345730615670457</v>
          </cell>
          <cell r="AD12">
            <v>-3.1677440202960563</v>
          </cell>
          <cell r="AE12">
            <v>2.014659591600791</v>
          </cell>
          <cell r="AF12">
            <v>1.945706832133643</v>
          </cell>
          <cell r="AG12">
            <v>0.18628265292604357</v>
          </cell>
          <cell r="AH12">
            <v>-1.9574522647333767</v>
          </cell>
          <cell r="AI12">
            <v>2.3690831033741913</v>
          </cell>
          <cell r="AJ12">
            <v>2.3000569414492973</v>
          </cell>
          <cell r="AK12">
            <v>-0.27360967604994979</v>
          </cell>
          <cell r="AL12">
            <v>-2.5652807230338333</v>
          </cell>
          <cell r="AM12">
            <v>1.5430579439531746</v>
          </cell>
          <cell r="AN12">
            <v>0.7479426636112273</v>
          </cell>
          <cell r="AO12">
            <v>-1.3890340213910736E-2</v>
          </cell>
          <cell r="AP12">
            <v>-2.6626676668346754</v>
          </cell>
          <cell r="AQ12">
            <v>1.9203042514652511</v>
          </cell>
          <cell r="AR12">
            <v>1.8754513703667943</v>
          </cell>
          <cell r="AS12">
            <v>0.51859504333397766</v>
          </cell>
          <cell r="AT12">
            <v>-1.4977505625934697</v>
          </cell>
          <cell r="AU12">
            <v>1.4401565971210952</v>
          </cell>
          <cell r="AV12">
            <v>1.4357129734971308</v>
          </cell>
          <cell r="AW12">
            <v>0.47278628843615089</v>
          </cell>
          <cell r="AX12" t="str">
            <v>---</v>
          </cell>
          <cell r="AY12">
            <v>1.966374902056123</v>
          </cell>
          <cell r="AZ12">
            <v>1.738793877400304</v>
          </cell>
          <cell r="BA12">
            <v>-0.21163130050447806</v>
          </cell>
          <cell r="BB12">
            <v>-2.5652807230338333</v>
          </cell>
          <cell r="BC12">
            <v>1.9889642277412638</v>
          </cell>
          <cell r="BD12">
            <v>1.7324561282299333</v>
          </cell>
          <cell r="BE12">
            <v>-3.3890533361450502E-2</v>
          </cell>
          <cell r="BF12">
            <v>-2.5652807230338333</v>
          </cell>
          <cell r="BG12">
            <v>0.38255082059568413</v>
          </cell>
          <cell r="BH12">
            <v>0.34897434660309684</v>
          </cell>
          <cell r="BI12">
            <v>0.25004473202706956</v>
          </cell>
          <cell r="BJ12">
            <v>5.551115123125783E-18</v>
          </cell>
          <cell r="BK12">
            <v>0.8450113414163366</v>
          </cell>
          <cell r="BL12">
            <v>0.80664037758294038</v>
          </cell>
          <cell r="BM12">
            <v>3.2090063068923149E-3</v>
          </cell>
          <cell r="BN12" t="str">
            <v>---</v>
          </cell>
          <cell r="BO12">
            <v>6.4448700467829778E-3</v>
          </cell>
          <cell r="BP12">
            <v>6.4448701563537261E-3</v>
          </cell>
          <cell r="BQ12">
            <v>6.4448707699264855E-3</v>
          </cell>
          <cell r="BR12" t="str">
            <v>---</v>
          </cell>
          <cell r="BS12">
            <v>0.99093777466960742</v>
          </cell>
          <cell r="BT12">
            <v>0.42092006696152645</v>
          </cell>
          <cell r="BU12">
            <v>1.1094871667522918E-2</v>
          </cell>
          <cell r="BV12">
            <v>-2.6626676668346754</v>
          </cell>
          <cell r="BW12">
            <v>6.0770863622247147</v>
          </cell>
          <cell r="BX12">
            <v>6.066560290946347</v>
          </cell>
          <cell r="BY12">
            <v>-8.3214148259290657E-3</v>
          </cell>
          <cell r="BZ12">
            <v>-5.5021140889027089</v>
          </cell>
          <cell r="CA12">
            <v>0.87446747809265057</v>
          </cell>
          <cell r="CB12">
            <v>0.84651566345434548</v>
          </cell>
          <cell r="CC12">
            <v>-0.72114258224774086</v>
          </cell>
          <cell r="CD12">
            <v>-1.3491278320178837</v>
          </cell>
          <cell r="CE12">
            <v>0.54123789808953982</v>
          </cell>
          <cell r="CF12">
            <v>0.54123789811479861</v>
          </cell>
          <cell r="CG12">
            <v>0.54123789823808321</v>
          </cell>
          <cell r="CH12" t="str">
            <v>---</v>
          </cell>
          <cell r="CI12">
            <v>0.27032754107557028</v>
          </cell>
          <cell r="CJ12">
            <v>0.25824041284132138</v>
          </cell>
          <cell r="CK12">
            <v>0.49807906142739211</v>
          </cell>
          <cell r="CL12" t="str">
            <v>---</v>
          </cell>
          <cell r="CM12">
            <v>2.8234208912855774</v>
          </cell>
          <cell r="CN12">
            <v>2.6082978205937861</v>
          </cell>
          <cell r="CO12">
            <v>0.12984536229670732</v>
          </cell>
          <cell r="CP12">
            <v>-3.1677440202960563</v>
          </cell>
          <cell r="CQ12">
            <v>0.58110521970325979</v>
          </cell>
          <cell r="CR12">
            <v>0.18285410408530034</v>
          </cell>
          <cell r="CS12">
            <v>1.6452457247403541E-3</v>
          </cell>
          <cell r="CT12">
            <v>-4.1232905336701142</v>
          </cell>
          <cell r="CU12">
            <v>3.3281069040153568</v>
          </cell>
          <cell r="CV12">
            <v>3.317063377429494</v>
          </cell>
          <cell r="CW12">
            <v>0.37602065381532707</v>
          </cell>
          <cell r="CX12">
            <v>-3.6396051826619074</v>
          </cell>
          <cell r="CY12">
            <v>-2.6666593199312593E-4</v>
          </cell>
          <cell r="CZ12">
            <v>-3.4860848428555261E-4</v>
          </cell>
          <cell r="DA12">
            <v>4.0969906546693479E-4</v>
          </cell>
          <cell r="DB12" t="str">
            <v>---</v>
          </cell>
          <cell r="DC12">
            <v>-0.49901069122537822</v>
          </cell>
          <cell r="DD12">
            <v>-0.50696538314207895</v>
          </cell>
          <cell r="DE12">
            <v>-0.51227667128697552</v>
          </cell>
          <cell r="DF12" t="str">
            <v>---</v>
          </cell>
          <cell r="DG12">
            <v>0.18710992865966025</v>
          </cell>
          <cell r="DH12">
            <v>0.18710993056231262</v>
          </cell>
          <cell r="DI12">
            <v>0.18710994222299199</v>
          </cell>
          <cell r="DJ12" t="str">
            <v>---</v>
          </cell>
          <cell r="DK12">
            <v>1.4187533173553848</v>
          </cell>
          <cell r="DL12">
            <v>1.3458012769471526</v>
          </cell>
          <cell r="DM12">
            <v>0.47851845934647352</v>
          </cell>
          <cell r="DN12" t="str">
            <v>---</v>
          </cell>
          <cell r="DO12">
            <v>-7.9369665325010885E-2</v>
          </cell>
          <cell r="DP12">
            <v>-7.9369663873621182E-2</v>
          </cell>
          <cell r="DQ12">
            <v>-7.9369657692175674E-2</v>
          </cell>
          <cell r="DR12" t="str">
            <v>---</v>
          </cell>
          <cell r="DS12">
            <v>0.45148159606991778</v>
          </cell>
          <cell r="DT12">
            <v>0.15213462271083858</v>
          </cell>
          <cell r="DU12">
            <v>1.3648193769542799E-2</v>
          </cell>
          <cell r="DV12">
            <v>-2.5652807230338333</v>
          </cell>
          <cell r="DW12">
            <v>-0.46300359157761933</v>
          </cell>
          <cell r="DX12">
            <v>-0.1753721690178737</v>
          </cell>
          <cell r="DY12">
            <v>0.42325546926635516</v>
          </cell>
          <cell r="DZ12">
            <v>-0.84248469145932037</v>
          </cell>
          <cell r="EA12">
            <v>0.39779669104083165</v>
          </cell>
          <cell r="EB12">
            <v>0.38123432117771766</v>
          </cell>
          <cell r="EC12">
            <v>0.28574442523422389</v>
          </cell>
          <cell r="ED12">
            <v>5.551115123125783E-18</v>
          </cell>
          <cell r="EE12">
            <v>0.10746965689912567</v>
          </cell>
          <cell r="EF12">
            <v>3.1354893810691974E-2</v>
          </cell>
          <cell r="EG12">
            <v>5.7967962465269009E-2</v>
          </cell>
          <cell r="EH12">
            <v>-0.84248469145932037</v>
          </cell>
          <cell r="EI12">
            <v>0.5444283380507573</v>
          </cell>
          <cell r="EJ12">
            <v>0.54442833806859148</v>
          </cell>
          <cell r="EK12">
            <v>0.54442833815898062</v>
          </cell>
          <cell r="EL12" t="str">
            <v>---</v>
          </cell>
          <cell r="EM12">
            <v>-1.0410952621805443</v>
          </cell>
          <cell r="EN12">
            <v>-0.90096234790272378</v>
          </cell>
          <cell r="EO12">
            <v>3.3410206538903785E-4</v>
          </cell>
          <cell r="EP12">
            <v>-1.1466487230454738</v>
          </cell>
          <cell r="EQ12">
            <v>-0.56433481903188776</v>
          </cell>
          <cell r="ER12">
            <v>-0.56063031166772603</v>
          </cell>
          <cell r="ES12">
            <v>-0.54072222073906473</v>
          </cell>
          <cell r="ET12">
            <v>-2.5652807230338333</v>
          </cell>
          <cell r="EU12">
            <v>2.283382224437787</v>
          </cell>
          <cell r="EV12">
            <v>2.1933971989385901</v>
          </cell>
          <cell r="EW12">
            <v>-2.7546426086843051E-3</v>
          </cell>
          <cell r="EX12" t="str">
            <v>---</v>
          </cell>
          <cell r="EY12">
            <v>2.2438255759529127</v>
          </cell>
          <cell r="EZ12">
            <v>2.0939269255094897</v>
          </cell>
          <cell r="FA12">
            <v>-2.1566337023475944E-3</v>
          </cell>
          <cell r="FB12" t="str">
            <v>---</v>
          </cell>
          <cell r="FC12">
            <v>2.5358521526919019E-4</v>
          </cell>
          <cell r="FD12">
            <v>2.5358660008553533E-4</v>
          </cell>
          <cell r="FE12">
            <v>2.5359425855096698E-4</v>
          </cell>
          <cell r="FF12" t="str">
            <v>---</v>
          </cell>
          <cell r="FG12">
            <v>4.5926014983442578E-2</v>
          </cell>
          <cell r="FH12">
            <v>3.3342345197594742E-2</v>
          </cell>
          <cell r="FI12">
            <v>0.23148651154771704</v>
          </cell>
          <cell r="FJ12" t="str">
            <v>---</v>
          </cell>
          <cell r="FK12">
            <v>3.9919277976025529</v>
          </cell>
          <cell r="FL12">
            <v>3.9708124313408839</v>
          </cell>
          <cell r="FM12">
            <v>0.2064139524662951</v>
          </cell>
          <cell r="FN12">
            <v>-4.5420750265435865</v>
          </cell>
          <cell r="FO12">
            <v>0.57600812610325436</v>
          </cell>
          <cell r="FP12">
            <v>0.20149965847817297</v>
          </cell>
          <cell r="FQ12">
            <v>1.268598302171462E-4</v>
          </cell>
          <cell r="FR12">
            <v>-2.6626676668346754</v>
          </cell>
          <cell r="FS12">
            <v>1.8981722263613292</v>
          </cell>
          <cell r="FT12">
            <v>1.7023657366803842</v>
          </cell>
          <cell r="FU12">
            <v>0.18849363740219663</v>
          </cell>
          <cell r="FV12">
            <v>-1.9574522647333767</v>
          </cell>
          <cell r="FW12">
            <v>1.9707816502293121</v>
          </cell>
          <cell r="FX12">
            <v>1.876815214864791</v>
          </cell>
          <cell r="FY12">
            <v>-0.18576021270341536</v>
          </cell>
          <cell r="FZ12">
            <v>-2.5652807230338333</v>
          </cell>
          <cell r="GA12">
            <v>1.4346417834884506</v>
          </cell>
          <cell r="GB12">
            <v>1.0668663799898559</v>
          </cell>
          <cell r="GC12">
            <v>-4.1459461041405792E-2</v>
          </cell>
          <cell r="GD12">
            <v>-2.5652807230338333</v>
          </cell>
          <cell r="GE12">
            <v>0.40044152740700112</v>
          </cell>
          <cell r="GF12">
            <v>0.3753416259018536</v>
          </cell>
          <cell r="GG12">
            <v>6.6328127086544772E-3</v>
          </cell>
          <cell r="GH12">
            <v>5.551115123125783E-18</v>
          </cell>
          <cell r="GI12">
            <v>-0.58156440520768293</v>
          </cell>
          <cell r="GJ12">
            <v>-0.24395921698901873</v>
          </cell>
          <cell r="GK12">
            <v>2.1014100604316754E-2</v>
          </cell>
          <cell r="GL12">
            <v>-1.1466487230454738</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row>
        <row r="13">
          <cell r="B13" t="str">
            <v>Kurtosis</v>
          </cell>
          <cell r="C13">
            <v>3.6156360280136153</v>
          </cell>
          <cell r="D13">
            <v>3.615300136920176</v>
          </cell>
          <cell r="E13">
            <v>2.3888893127600288</v>
          </cell>
          <cell r="F13" t="str">
            <v>---</v>
          </cell>
          <cell r="G13">
            <v>132.15736577114512</v>
          </cell>
          <cell r="H13">
            <v>126.78445689181103</v>
          </cell>
          <cell r="I13">
            <v>2.398061488707822</v>
          </cell>
          <cell r="J13">
            <v>74.786450588994398</v>
          </cell>
          <cell r="K13">
            <v>2.4304233114051494</v>
          </cell>
          <cell r="L13">
            <v>2.539170731248602</v>
          </cell>
          <cell r="M13">
            <v>2.4489995331257965</v>
          </cell>
          <cell r="N13">
            <v>2.0739708281253377</v>
          </cell>
          <cell r="O13">
            <v>2.3538900071347273</v>
          </cell>
          <cell r="P13">
            <v>2.3538900072389657</v>
          </cell>
          <cell r="Q13">
            <v>2.3538900078412794</v>
          </cell>
          <cell r="R13" t="str">
            <v>---</v>
          </cell>
          <cell r="S13">
            <v>6.5456875324338357</v>
          </cell>
          <cell r="T13">
            <v>6.2915026558820228</v>
          </cell>
          <cell r="U13">
            <v>2.4377945284889151</v>
          </cell>
          <cell r="V13">
            <v>6.1305775714284598</v>
          </cell>
          <cell r="W13">
            <v>2.5832185870486954</v>
          </cell>
          <cell r="X13">
            <v>2.6004230590982633</v>
          </cell>
          <cell r="Y13">
            <v>2.4078568867477674</v>
          </cell>
          <cell r="Z13" t="str">
            <v>---</v>
          </cell>
          <cell r="AA13">
            <v>10.048099732664783</v>
          </cell>
          <cell r="AB13">
            <v>9.4586857826541042</v>
          </cell>
          <cell r="AC13">
            <v>2.4979039213829872</v>
          </cell>
          <cell r="AD13">
            <v>11.805480492336848</v>
          </cell>
          <cell r="AE13">
            <v>5.3523831231761818</v>
          </cell>
          <cell r="AF13">
            <v>5.255396259083569</v>
          </cell>
          <cell r="AG13">
            <v>2.4677816533388697</v>
          </cell>
          <cell r="AH13">
            <v>4.8334558235316853</v>
          </cell>
          <cell r="AI13">
            <v>7.322898995353575</v>
          </cell>
          <cell r="AJ13">
            <v>7.0763288182020245</v>
          </cell>
          <cell r="AK13">
            <v>2.5342660260840009</v>
          </cell>
          <cell r="AL13">
            <v>8.2975428478929771</v>
          </cell>
          <cell r="AM13">
            <v>7.1194708553598964</v>
          </cell>
          <cell r="AN13">
            <v>4.4134690752365957</v>
          </cell>
          <cell r="AO13">
            <v>2.3986394344097173</v>
          </cell>
          <cell r="AP13">
            <v>8.0948970000042273</v>
          </cell>
          <cell r="AQ13">
            <v>5.2994469196382532</v>
          </cell>
          <cell r="AR13">
            <v>5.2048837685945841</v>
          </cell>
          <cell r="AS13">
            <v>2.4739672139194369</v>
          </cell>
          <cell r="AT13">
            <v>3.2435032499992014</v>
          </cell>
          <cell r="AU13">
            <v>3.6031474939370547</v>
          </cell>
          <cell r="AV13">
            <v>3.6056189299918953</v>
          </cell>
          <cell r="AW13">
            <v>2.3882530503499622</v>
          </cell>
          <cell r="AX13" t="str">
            <v>---</v>
          </cell>
          <cell r="AY13">
            <v>5.5860811309878615</v>
          </cell>
          <cell r="AZ13">
            <v>5.0777497514346344</v>
          </cell>
          <cell r="BA13">
            <v>2.5328317812978969</v>
          </cell>
          <cell r="BB13">
            <v>8.2975428478929771</v>
          </cell>
          <cell r="BC13">
            <v>5.8663476461781103</v>
          </cell>
          <cell r="BD13">
            <v>5.3410687364710556</v>
          </cell>
          <cell r="BE13">
            <v>2.4922865031706802</v>
          </cell>
          <cell r="BF13">
            <v>8.2975428478929771</v>
          </cell>
          <cell r="BG13">
            <v>1.5256473772211185</v>
          </cell>
          <cell r="BH13">
            <v>1.5517956682398493</v>
          </cell>
          <cell r="BI13">
            <v>2.6174818075053357</v>
          </cell>
          <cell r="BJ13">
            <v>0.99800100000001735</v>
          </cell>
          <cell r="BK13">
            <v>2.1867875851935441</v>
          </cell>
          <cell r="BL13">
            <v>2.2135537659154525</v>
          </cell>
          <cell r="BM13">
            <v>2.4036211237977509</v>
          </cell>
          <cell r="BN13" t="str">
            <v>---</v>
          </cell>
          <cell r="BO13">
            <v>2.3827431404402479</v>
          </cell>
          <cell r="BP13">
            <v>2.382743140295192</v>
          </cell>
          <cell r="BQ13">
            <v>2.3827431397497083</v>
          </cell>
          <cell r="BR13" t="str">
            <v>---</v>
          </cell>
          <cell r="BS13">
            <v>4.8326939009681134</v>
          </cell>
          <cell r="BT13">
            <v>3.2559448363254324</v>
          </cell>
          <cell r="BU13">
            <v>2.4082654148183709</v>
          </cell>
          <cell r="BV13">
            <v>8.0948970000042273</v>
          </cell>
          <cell r="BW13">
            <v>40.184536285515811</v>
          </cell>
          <cell r="BX13">
            <v>40.095603593514838</v>
          </cell>
          <cell r="BY13">
            <v>2.407509427884948</v>
          </cell>
          <cell r="BZ13">
            <v>31.301564010312259</v>
          </cell>
          <cell r="CA13">
            <v>2.1223702789851919</v>
          </cell>
          <cell r="CB13">
            <v>2.1440970865141935</v>
          </cell>
          <cell r="CC13">
            <v>2.9172147449452903</v>
          </cell>
          <cell r="CD13">
            <v>3.3425112857144961</v>
          </cell>
          <cell r="CE13">
            <v>2.3730819735259665</v>
          </cell>
          <cell r="CF13">
            <v>2.3730819735470945</v>
          </cell>
          <cell r="CG13">
            <v>2.373081974107814</v>
          </cell>
          <cell r="CH13" t="str">
            <v>---</v>
          </cell>
          <cell r="CI13">
            <v>2.7453021746320667</v>
          </cell>
          <cell r="CJ13">
            <v>2.7552752425769262</v>
          </cell>
          <cell r="CK13">
            <v>2.3731229026018812</v>
          </cell>
          <cell r="CL13" t="str">
            <v>---</v>
          </cell>
          <cell r="CM13">
            <v>10.055833981834363</v>
          </cell>
          <cell r="CN13">
            <v>9.2913498596400359</v>
          </cell>
          <cell r="CO13">
            <v>2.5186322873998326</v>
          </cell>
          <cell r="CP13">
            <v>11.805480492336848</v>
          </cell>
          <cell r="CQ13">
            <v>3.8198428081563036</v>
          </cell>
          <cell r="CR13">
            <v>2.7937069763594913</v>
          </cell>
          <cell r="CS13">
            <v>2.3983312186773587</v>
          </cell>
          <cell r="CT13">
            <v>18.016544368421393</v>
          </cell>
          <cell r="CU13">
            <v>12.710848326432805</v>
          </cell>
          <cell r="CV13">
            <v>12.67154048987395</v>
          </cell>
          <cell r="CW13">
            <v>2.3882632780010664</v>
          </cell>
          <cell r="CX13">
            <v>15.177091307377797</v>
          </cell>
          <cell r="CY13">
            <v>2.3767692287810442</v>
          </cell>
          <cell r="CZ13">
            <v>2.3765297612692051</v>
          </cell>
          <cell r="DA13">
            <v>2.3792152249406939</v>
          </cell>
          <cell r="DB13" t="str">
            <v>---</v>
          </cell>
          <cell r="DC13">
            <v>2.4382269708909061</v>
          </cell>
          <cell r="DD13">
            <v>2.4304945096450856</v>
          </cell>
          <cell r="DE13">
            <v>2.4237968375048471</v>
          </cell>
          <cell r="DF13" t="str">
            <v>---</v>
          </cell>
          <cell r="DG13">
            <v>2.3818287748789837</v>
          </cell>
          <cell r="DH13">
            <v>2.3818287756779668</v>
          </cell>
          <cell r="DI13">
            <v>2.3818287807059715</v>
          </cell>
          <cell r="DJ13" t="str">
            <v>---</v>
          </cell>
          <cell r="DK13">
            <v>3.7499828139158207</v>
          </cell>
          <cell r="DL13">
            <v>3.6762954701234682</v>
          </cell>
          <cell r="DM13">
            <v>2.3990884795032019</v>
          </cell>
          <cell r="DN13" t="str">
            <v>---</v>
          </cell>
          <cell r="DO13">
            <v>2.4087843570604757</v>
          </cell>
          <cell r="DP13">
            <v>2.408784357532642</v>
          </cell>
          <cell r="DQ13">
            <v>2.4087843647062068</v>
          </cell>
          <cell r="DR13" t="str">
            <v>---</v>
          </cell>
          <cell r="DS13">
            <v>3.3373155079408696</v>
          </cell>
          <cell r="DT13">
            <v>2.6757710087542277</v>
          </cell>
          <cell r="DU13">
            <v>2.4156708288714022</v>
          </cell>
          <cell r="DV13">
            <v>8.2975428478929771</v>
          </cell>
          <cell r="DW13">
            <v>2.8651192755926789</v>
          </cell>
          <cell r="DX13">
            <v>3.0443753333445112</v>
          </cell>
          <cell r="DY13">
            <v>2.5205681418242296</v>
          </cell>
          <cell r="DZ13">
            <v>2.0739708281253377</v>
          </cell>
          <cell r="EA13">
            <v>1.5171268602229639</v>
          </cell>
          <cell r="EB13">
            <v>1.5289609154088775</v>
          </cell>
          <cell r="EC13">
            <v>2.5179775715259529</v>
          </cell>
          <cell r="ED13">
            <v>0.99800100000001735</v>
          </cell>
          <cell r="EE13">
            <v>2.4033085763181412</v>
          </cell>
          <cell r="EF13">
            <v>2.5556019467776592</v>
          </cell>
          <cell r="EG13">
            <v>2.4246886212026397</v>
          </cell>
          <cell r="EH13">
            <v>2.0739708281253377</v>
          </cell>
          <cell r="EI13">
            <v>2.3837101023500598</v>
          </cell>
          <cell r="EJ13">
            <v>2.3837101023209395</v>
          </cell>
          <cell r="EK13">
            <v>2.3837101015678943</v>
          </cell>
          <cell r="EL13" t="str">
            <v>---</v>
          </cell>
          <cell r="EM13">
            <v>3.0482150260196375</v>
          </cell>
          <cell r="EN13">
            <v>3.0100425353770253</v>
          </cell>
          <cell r="EO13">
            <v>2.4277965266529753</v>
          </cell>
          <cell r="EP13">
            <v>2.7645034416707301</v>
          </cell>
          <cell r="EQ13">
            <v>2.4482700607553287</v>
          </cell>
          <cell r="ER13">
            <v>2.4080408654408441</v>
          </cell>
          <cell r="ES13">
            <v>2.3720474256371968</v>
          </cell>
          <cell r="ET13">
            <v>8.2975428478929771</v>
          </cell>
          <cell r="EU13">
            <v>6.3935347443602053</v>
          </cell>
          <cell r="EV13">
            <v>6.2228781253011549</v>
          </cell>
          <cell r="EW13">
            <v>2.4048386820100296</v>
          </cell>
          <cell r="EX13" t="str">
            <v>---</v>
          </cell>
          <cell r="EY13">
            <v>6.340793155985561</v>
          </cell>
          <cell r="EZ13">
            <v>6.0621234810966307</v>
          </cell>
          <cell r="FA13">
            <v>2.3943977928975371</v>
          </cell>
          <cell r="FB13" t="str">
            <v>---</v>
          </cell>
          <cell r="FC13">
            <v>2.3933274113399601</v>
          </cell>
          <cell r="FD13">
            <v>2.3933274137405793</v>
          </cell>
          <cell r="FE13">
            <v>2.3933274242552613</v>
          </cell>
          <cell r="FF13" t="str">
            <v>---</v>
          </cell>
          <cell r="FG13">
            <v>2.8664110428276004</v>
          </cell>
          <cell r="FH13">
            <v>2.8514741912421351</v>
          </cell>
          <cell r="FI13">
            <v>2.8846879577897031</v>
          </cell>
          <cell r="FJ13" t="str">
            <v>---</v>
          </cell>
          <cell r="FK13">
            <v>17.668044170845928</v>
          </cell>
          <cell r="FL13">
            <v>17.56923509081631</v>
          </cell>
          <cell r="FM13">
            <v>2.4337864061271604</v>
          </cell>
          <cell r="FN13">
            <v>23.172919721010455</v>
          </cell>
          <cell r="FO13">
            <v>3.4557492376731012</v>
          </cell>
          <cell r="FP13">
            <v>2.7159884688178599</v>
          </cell>
          <cell r="FQ13">
            <v>2.3962686182947639</v>
          </cell>
          <cell r="FR13">
            <v>8.0948970000042273</v>
          </cell>
          <cell r="FS13">
            <v>5.0939613140991922</v>
          </cell>
          <cell r="FT13">
            <v>4.7805496858934511</v>
          </cell>
          <cell r="FU13">
            <v>2.4046621511988988</v>
          </cell>
          <cell r="FV13">
            <v>4.8334558235316853</v>
          </cell>
          <cell r="FW13">
            <v>5.2257418796530217</v>
          </cell>
          <cell r="FX13">
            <v>5.0936987539067546</v>
          </cell>
          <cell r="FY13">
            <v>2.5422603057974071</v>
          </cell>
          <cell r="FZ13">
            <v>8.2975428478929771</v>
          </cell>
          <cell r="GA13">
            <v>4.4149133183343912</v>
          </cell>
          <cell r="GB13">
            <v>3.9436414863699434</v>
          </cell>
          <cell r="GC13">
            <v>2.6166856089719146</v>
          </cell>
          <cell r="GD13">
            <v>8.2975428478929771</v>
          </cell>
          <cell r="GE13">
            <v>1.5719255925500024</v>
          </cell>
          <cell r="GF13">
            <v>1.6327335979955329</v>
          </cell>
          <cell r="GG13">
            <v>2.4162584780614922</v>
          </cell>
          <cell r="GH13">
            <v>0.99800100000001735</v>
          </cell>
          <cell r="GI13">
            <v>2.8803078799630919</v>
          </cell>
          <cell r="GJ13">
            <v>2.7465098595309478</v>
          </cell>
          <cell r="GK13">
            <v>2.4022044591122507</v>
          </cell>
          <cell r="GL13">
            <v>2.7645034416707301</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row>
        <row r="14">
          <cell r="B14" t="str">
            <v>Coeff. of Variability</v>
          </cell>
          <cell r="C14">
            <v>0.53526854846971106</v>
          </cell>
          <cell r="D14">
            <v>0.38179972292509951</v>
          </cell>
          <cell r="E14">
            <v>2.1183851060761105E-2</v>
          </cell>
          <cell r="F14">
            <v>0</v>
          </cell>
          <cell r="G14">
            <v>0.67177770881185994</v>
          </cell>
          <cell r="H14">
            <v>0.43115341997353862</v>
          </cell>
          <cell r="I14">
            <v>8.1861847078773434E-2</v>
          </cell>
          <cell r="J14">
            <v>5.6355751476178361E-5</v>
          </cell>
          <cell r="K14">
            <v>0.13562805343096729</v>
          </cell>
          <cell r="L14">
            <v>0.12028165060703222</v>
          </cell>
          <cell r="M14">
            <v>0.10310849568947714</v>
          </cell>
          <cell r="N14">
            <v>3.9793193807806707E-4</v>
          </cell>
          <cell r="O14">
            <v>0.39120444791667391</v>
          </cell>
          <cell r="P14">
            <v>0.39120444791854797</v>
          </cell>
          <cell r="Q14">
            <v>0.39120444793192033</v>
          </cell>
          <cell r="R14">
            <v>0</v>
          </cell>
          <cell r="S14">
            <v>0.56971015738846187</v>
          </cell>
          <cell r="T14">
            <v>0.39006063805654934</v>
          </cell>
          <cell r="U14">
            <v>0.10280520604379424</v>
          </cell>
          <cell r="V14">
            <v>1.6454747185332168E-4</v>
          </cell>
          <cell r="W14">
            <v>0.27402006400514256</v>
          </cell>
          <cell r="X14">
            <v>0.49491509113513849</v>
          </cell>
          <cell r="Y14">
            <v>6.1545276092106499E-2</v>
          </cell>
          <cell r="Z14">
            <v>0</v>
          </cell>
          <cell r="AA14">
            <v>0.25908010045600816</v>
          </cell>
          <cell r="AB14">
            <v>0.17250873299716377</v>
          </cell>
          <cell r="AC14">
            <v>5.2235892149728409E-2</v>
          </cell>
          <cell r="AD14">
            <v>2.3719872978681457E-4</v>
          </cell>
          <cell r="AE14">
            <v>0.3423724333048348</v>
          </cell>
          <cell r="AF14">
            <v>0.22936558490325867</v>
          </cell>
          <cell r="AG14">
            <v>5.1298992123577004E-2</v>
          </cell>
          <cell r="AH14">
            <v>1.7766123338455356E-4</v>
          </cell>
          <cell r="AI14">
            <v>0.38145372661663918</v>
          </cell>
          <cell r="AJ14">
            <v>0.25693476996882858</v>
          </cell>
          <cell r="AK14">
            <v>5.5541308854475502E-2</v>
          </cell>
          <cell r="AL14">
            <v>3.88242546431697E-4</v>
          </cell>
          <cell r="AM14">
            <v>0.1228719824727867</v>
          </cell>
          <cell r="AN14">
            <v>0.10873450882164705</v>
          </cell>
          <cell r="AO14">
            <v>0.10245695031526617</v>
          </cell>
          <cell r="AP14">
            <v>1.492615806821942E-4</v>
          </cell>
          <cell r="AQ14">
            <v>0.42120756466286219</v>
          </cell>
          <cell r="AR14">
            <v>0.28184886360056033</v>
          </cell>
          <cell r="AS14">
            <v>6.2230627832035111E-2</v>
          </cell>
          <cell r="AT14">
            <v>1.9902533823608123E-4</v>
          </cell>
          <cell r="AU14">
            <v>0.41977983319465728</v>
          </cell>
          <cell r="AV14">
            <v>0.29002976372425338</v>
          </cell>
          <cell r="AW14">
            <v>2.1188331583919487E-2</v>
          </cell>
          <cell r="AX14">
            <v>0</v>
          </cell>
          <cell r="AY14">
            <v>0.17898584241755824</v>
          </cell>
          <cell r="AZ14">
            <v>0.12391342990674444</v>
          </cell>
          <cell r="BA14">
            <v>5.5849364640594229E-2</v>
          </cell>
          <cell r="BB14">
            <v>3.88242546431697E-4</v>
          </cell>
          <cell r="BC14">
            <v>0.2198570807396712</v>
          </cell>
          <cell r="BD14">
            <v>0.15290292557044136</v>
          </cell>
          <cell r="BE14">
            <v>6.4394658538555125E-2</v>
          </cell>
          <cell r="BF14">
            <v>3.88242546431697E-4</v>
          </cell>
          <cell r="BG14">
            <v>0.20806292524954798</v>
          </cell>
          <cell r="BH14">
            <v>0.14323048157167739</v>
          </cell>
          <cell r="BI14">
            <v>3.2909909779044413E-2</v>
          </cell>
          <cell r="BJ14">
            <v>2.4881879515363682E-4</v>
          </cell>
          <cell r="BK14">
            <v>0.50698187043174259</v>
          </cell>
          <cell r="BL14">
            <v>0.37014706626108523</v>
          </cell>
          <cell r="BM14">
            <v>0.10215458221272644</v>
          </cell>
          <cell r="BN14">
            <v>0</v>
          </cell>
          <cell r="BO14">
            <v>8.1520806864720866E-2</v>
          </cell>
          <cell r="BP14">
            <v>8.152080686151543E-2</v>
          </cell>
          <cell r="BQ14">
            <v>8.1520806842255544E-2</v>
          </cell>
          <cell r="BR14">
            <v>0</v>
          </cell>
          <cell r="BS14">
            <v>0.114188628680691</v>
          </cell>
          <cell r="BT14">
            <v>0.10476997308554768</v>
          </cell>
          <cell r="BU14">
            <v>0.10214522966546132</v>
          </cell>
          <cell r="BV14">
            <v>1.492615806821942E-4</v>
          </cell>
          <cell r="BW14">
            <v>2.0101976017670302</v>
          </cell>
          <cell r="BX14">
            <v>1.4301911027771466</v>
          </cell>
          <cell r="BY14">
            <v>8.2036448381994004E-2</v>
          </cell>
          <cell r="BZ14">
            <v>8.487077317236346E-5</v>
          </cell>
          <cell r="CA14">
            <v>0.3710583297903291</v>
          </cell>
          <cell r="CB14">
            <v>0.24598859455375283</v>
          </cell>
          <cell r="CC14">
            <v>6.0445686351217311E-2</v>
          </cell>
          <cell r="CD14">
            <v>1.1143668246951404E-3</v>
          </cell>
          <cell r="CE14">
            <v>0.39179533455002613</v>
          </cell>
          <cell r="CF14">
            <v>0.39179533454861926</v>
          </cell>
          <cell r="CG14">
            <v>0.39179533453825172</v>
          </cell>
          <cell r="CH14">
            <v>0</v>
          </cell>
          <cell r="CI14">
            <v>0.19588441873250764</v>
          </cell>
          <cell r="CJ14">
            <v>0.2111978785607026</v>
          </cell>
          <cell r="CK14">
            <v>6.1490398518295145E-2</v>
          </cell>
          <cell r="CL14">
            <v>0</v>
          </cell>
          <cell r="CM14">
            <v>0.23568247404529816</v>
          </cell>
          <cell r="CN14">
            <v>0.15801948590079845</v>
          </cell>
          <cell r="CO14">
            <v>5.1922546876921633E-2</v>
          </cell>
          <cell r="CP14">
            <v>2.3719872978681457E-4</v>
          </cell>
          <cell r="CQ14">
            <v>0.23378971629122514</v>
          </cell>
          <cell r="CR14">
            <v>0.21596794388321278</v>
          </cell>
          <cell r="CS14">
            <v>0.20461422511629501</v>
          </cell>
          <cell r="CT14">
            <v>1.0843332825189578E-4</v>
          </cell>
          <cell r="CU14">
            <v>2.2526744269131518</v>
          </cell>
          <cell r="CV14">
            <v>1.8540045873347326</v>
          </cell>
          <cell r="CW14">
            <v>0.24562423642876566</v>
          </cell>
          <cell r="CX14">
            <v>2.1424178025166951E-4</v>
          </cell>
          <cell r="CY14">
            <v>9.3952523653407852E-2</v>
          </cell>
          <cell r="CZ14">
            <v>9.3013339299935105E-2</v>
          </cell>
          <cell r="DA14">
            <v>0.10196611537258553</v>
          </cell>
          <cell r="DB14">
            <v>0</v>
          </cell>
          <cell r="DC14">
            <v>0.14593449005681791</v>
          </cell>
          <cell r="DD14">
            <v>0.14789170799830112</v>
          </cell>
          <cell r="DE14">
            <v>0.15173392963351023</v>
          </cell>
          <cell r="DF14">
            <v>0</v>
          </cell>
          <cell r="DG14">
            <v>5.0503239836360292E-2</v>
          </cell>
          <cell r="DH14">
            <v>5.0503239841669448E-2</v>
          </cell>
          <cell r="DI14">
            <v>5.0503239856679642E-2</v>
          </cell>
          <cell r="DJ14">
            <v>0</v>
          </cell>
          <cell r="DK14">
            <v>0.11939769793119301</v>
          </cell>
          <cell r="DL14">
            <v>7.9326521726219165E-2</v>
          </cell>
          <cell r="DM14">
            <v>2.1205647610965644E-2</v>
          </cell>
          <cell r="DN14">
            <v>0</v>
          </cell>
          <cell r="DO14">
            <v>0.11449511162477555</v>
          </cell>
          <cell r="DP14">
            <v>0.11449511164244346</v>
          </cell>
          <cell r="DQ14">
            <v>0.11449511167868506</v>
          </cell>
          <cell r="DR14">
            <v>0</v>
          </cell>
          <cell r="DS14">
            <v>8.0320667700290713E-2</v>
          </cell>
          <cell r="DT14">
            <v>7.6255763463353318E-2</v>
          </cell>
          <cell r="DU14">
            <v>0.10485118371124476</v>
          </cell>
          <cell r="DV14">
            <v>3.88242546431697E-4</v>
          </cell>
          <cell r="DW14">
            <v>6.9313017792336618E-2</v>
          </cell>
          <cell r="DX14">
            <v>5.4394809245195824E-2</v>
          </cell>
          <cell r="DY14">
            <v>6.3271717785939249E-2</v>
          </cell>
          <cell r="DZ14">
            <v>3.9793193807806707E-4</v>
          </cell>
          <cell r="EA14">
            <v>0.29168214995049496</v>
          </cell>
          <cell r="EB14">
            <v>0.20417190613207103</v>
          </cell>
          <cell r="EC14">
            <v>3.3430602633012459E-2</v>
          </cell>
          <cell r="ED14">
            <v>2.4881879515363682E-4</v>
          </cell>
          <cell r="EE14">
            <v>0.13493443473814568</v>
          </cell>
          <cell r="EF14">
            <v>0.11832014409172595</v>
          </cell>
          <cell r="EG14">
            <v>0.10448405397519556</v>
          </cell>
          <cell r="EH14">
            <v>3.9793193807806707E-4</v>
          </cell>
          <cell r="EI14">
            <v>0.39212255545222574</v>
          </cell>
          <cell r="EJ14">
            <v>0.39212255545409003</v>
          </cell>
          <cell r="EK14">
            <v>0.39212255545697816</v>
          </cell>
          <cell r="EL14">
            <v>0</v>
          </cell>
          <cell r="EM14">
            <v>0.13095445009394244</v>
          </cell>
          <cell r="EN14">
            <v>9.1353978206908659E-2</v>
          </cell>
          <cell r="EO14">
            <v>0.10555763642932345</v>
          </cell>
          <cell r="EP14">
            <v>5.3586716514148391E-4</v>
          </cell>
          <cell r="EQ14">
            <v>0.21946619121914143</v>
          </cell>
          <cell r="ER14">
            <v>0.23131024055366345</v>
          </cell>
          <cell r="ES14">
            <v>0.26178944692598599</v>
          </cell>
          <cell r="ET14">
            <v>3.88242546431697E-4</v>
          </cell>
          <cell r="EU14">
            <v>0.47297283167898013</v>
          </cell>
          <cell r="EV14">
            <v>0.30888907880602084</v>
          </cell>
          <cell r="EW14">
            <v>0.10222676693112077</v>
          </cell>
          <cell r="EX14">
            <v>0</v>
          </cell>
          <cell r="EY14">
            <v>0.39686259416468384</v>
          </cell>
          <cell r="EZ14">
            <v>0.25994253552861291</v>
          </cell>
          <cell r="FA14">
            <v>0.10216404503966164</v>
          </cell>
          <cell r="FB14">
            <v>0</v>
          </cell>
          <cell r="FC14">
            <v>8.1657032704577928E-2</v>
          </cell>
          <cell r="FD14">
            <v>8.1657032721544467E-2</v>
          </cell>
          <cell r="FE14">
            <v>8.1657032824457229E-2</v>
          </cell>
          <cell r="FF14">
            <v>0</v>
          </cell>
          <cell r="FG14">
            <v>2.4557099726125273E-2</v>
          </cell>
          <cell r="FH14">
            <v>2.5533544797247926E-2</v>
          </cell>
          <cell r="FI14">
            <v>2.1426739636336206E-2</v>
          </cell>
          <cell r="FJ14">
            <v>0</v>
          </cell>
          <cell r="FK14">
            <v>1.586449883199968</v>
          </cell>
          <cell r="FL14">
            <v>1.1570401942301729</v>
          </cell>
          <cell r="FM14">
            <v>0.1282592688787467</v>
          </cell>
          <cell r="FN14">
            <v>2.5616123388687133E-4</v>
          </cell>
          <cell r="FO14">
            <v>0.10548287917186153</v>
          </cell>
          <cell r="FP14">
            <v>0.10005904926641591</v>
          </cell>
          <cell r="FQ14">
            <v>0.10224758956968343</v>
          </cell>
          <cell r="FR14">
            <v>1.492615806821942E-4</v>
          </cell>
          <cell r="FS14">
            <v>0.21070571188679532</v>
          </cell>
          <cell r="FT14">
            <v>0.14174967018274201</v>
          </cell>
          <cell r="FU14">
            <v>5.1723100085176471E-2</v>
          </cell>
          <cell r="FV14">
            <v>1.7766123338455356E-4</v>
          </cell>
          <cell r="FW14">
            <v>0.25276779750454209</v>
          </cell>
          <cell r="FX14">
            <v>0.17189998751726662</v>
          </cell>
          <cell r="FY14">
            <v>5.5146131936842112E-2</v>
          </cell>
          <cell r="FZ14">
            <v>3.88242546431697E-4</v>
          </cell>
          <cell r="GA14">
            <v>0.12680410242841489</v>
          </cell>
          <cell r="GB14">
            <v>9.8171373386308311E-2</v>
          </cell>
          <cell r="GC14">
            <v>6.3546282047884123E-2</v>
          </cell>
          <cell r="GD14">
            <v>3.88242546431697E-4</v>
          </cell>
          <cell r="GE14">
            <v>0.45171460247200479</v>
          </cell>
          <cell r="GF14">
            <v>0.33787453293366226</v>
          </cell>
          <cell r="GG14">
            <v>0.10239095522054095</v>
          </cell>
          <cell r="GH14">
            <v>2.4881879515363682E-4</v>
          </cell>
          <cell r="GI14">
            <v>9.3620213208950878E-2</v>
          </cell>
          <cell r="GJ14">
            <v>7.2973383247368934E-2</v>
          </cell>
          <cell r="GK14">
            <v>0.10447246462231764</v>
          </cell>
          <cell r="GL14">
            <v>5.3586716514148391E-4</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row>
        <row r="15">
          <cell r="B15" t="str">
            <v>Minimum</v>
          </cell>
          <cell r="C15">
            <v>187.84885362357312</v>
          </cell>
          <cell r="D15">
            <v>299.38120156600104</v>
          </cell>
          <cell r="E15">
            <v>208.60576971816994</v>
          </cell>
          <cell r="F15">
            <v>2012</v>
          </cell>
          <cell r="G15">
            <v>928.37269246250435</v>
          </cell>
          <cell r="H15">
            <v>1501.7145960220034</v>
          </cell>
          <cell r="I15">
            <v>1023.5308945308659</v>
          </cell>
          <cell r="J15">
            <v>2010</v>
          </cell>
          <cell r="K15">
            <v>397.71721468578397</v>
          </cell>
          <cell r="L15">
            <v>643.33833922818087</v>
          </cell>
          <cell r="M15">
            <v>439.40521612862017</v>
          </cell>
          <cell r="N15">
            <v>2010</v>
          </cell>
          <cell r="O15">
            <v>514.68814586210783</v>
          </cell>
          <cell r="P15">
            <v>832.54786270507702</v>
          </cell>
          <cell r="Q15">
            <v>540.4225524651348</v>
          </cell>
          <cell r="R15">
            <v>2010</v>
          </cell>
          <cell r="S15">
            <v>255.09843955583349</v>
          </cell>
          <cell r="T15">
            <v>412.64144530760035</v>
          </cell>
          <cell r="U15">
            <v>281.24602746936637</v>
          </cell>
          <cell r="V15">
            <v>2010</v>
          </cell>
          <cell r="W15">
            <v>241.26001760806088</v>
          </cell>
          <cell r="X15">
            <v>-238.45878508304179</v>
          </cell>
          <cell r="Y15">
            <v>2908.3779004263397</v>
          </cell>
          <cell r="Z15">
            <v>2011</v>
          </cell>
          <cell r="AA15">
            <v>3856.4688345058148</v>
          </cell>
          <cell r="AB15">
            <v>6232.7978037928096</v>
          </cell>
          <cell r="AC15">
            <v>4188.5621581190308</v>
          </cell>
          <cell r="AD15">
            <v>2010</v>
          </cell>
          <cell r="AE15">
            <v>515.17070959982652</v>
          </cell>
          <cell r="AF15">
            <v>833.32844673127829</v>
          </cell>
          <cell r="AG15">
            <v>562.1906608879051</v>
          </cell>
          <cell r="AH15">
            <v>2010</v>
          </cell>
          <cell r="AI15">
            <v>584.18907459541276</v>
          </cell>
          <cell r="AJ15">
            <v>940.21171725975455</v>
          </cell>
          <cell r="AK15">
            <v>528.63330188752616</v>
          </cell>
          <cell r="AL15">
            <v>2010</v>
          </cell>
          <cell r="AM15">
            <v>69.932836871938221</v>
          </cell>
          <cell r="AN15">
            <v>104.40818462465549</v>
          </cell>
          <cell r="AO15">
            <v>61.54516993470456</v>
          </cell>
          <cell r="AP15">
            <v>2010</v>
          </cell>
          <cell r="AQ15">
            <v>1141.9509726754982</v>
          </cell>
          <cell r="AR15">
            <v>1863.4619660146477</v>
          </cell>
          <cell r="AS15">
            <v>829.33188486224208</v>
          </cell>
          <cell r="AT15">
            <v>2010</v>
          </cell>
          <cell r="AU15">
            <v>263.66348153646476</v>
          </cell>
          <cell r="AV15">
            <v>422.81940273988386</v>
          </cell>
          <cell r="AW15">
            <v>297.19342726790819</v>
          </cell>
          <cell r="AX15">
            <v>2012</v>
          </cell>
          <cell r="AY15">
            <v>761.02869826307403</v>
          </cell>
          <cell r="AZ15">
            <v>1226.5502544013846</v>
          </cell>
          <cell r="BA15">
            <v>721.28161009751943</v>
          </cell>
          <cell r="BB15">
            <v>2010</v>
          </cell>
          <cell r="BC15">
            <v>529.86758195733637</v>
          </cell>
          <cell r="BD15">
            <v>857.10177418050966</v>
          </cell>
          <cell r="BE15">
            <v>616.13594946607702</v>
          </cell>
          <cell r="BF15">
            <v>2010</v>
          </cell>
          <cell r="BG15">
            <v>3772.9633808608228</v>
          </cell>
          <cell r="BH15">
            <v>6103.059928566634</v>
          </cell>
          <cell r="BI15">
            <v>4038.3487973397987</v>
          </cell>
          <cell r="BJ15">
            <v>2010</v>
          </cell>
          <cell r="BK15">
            <v>63.900791734876492</v>
          </cell>
          <cell r="BL15">
            <v>103.36447064538869</v>
          </cell>
          <cell r="BM15">
            <v>70.450624891855767</v>
          </cell>
          <cell r="BN15">
            <v>2011</v>
          </cell>
          <cell r="BO15">
            <v>1376.99712865729</v>
          </cell>
          <cell r="BP15">
            <v>2227.3993017535618</v>
          </cell>
          <cell r="BQ15">
            <v>1445.8469867409372</v>
          </cell>
          <cell r="BR15">
            <v>2010</v>
          </cell>
          <cell r="BS15">
            <v>80.54168860731528</v>
          </cell>
          <cell r="BT15">
            <v>122.9297626545353</v>
          </cell>
          <cell r="BU15">
            <v>61.943060765074414</v>
          </cell>
          <cell r="BV15">
            <v>2010</v>
          </cell>
          <cell r="BW15">
            <v>55.663028473814435</v>
          </cell>
          <cell r="BX15">
            <v>90.039251373933524</v>
          </cell>
          <cell r="BY15">
            <v>61.368488225957918</v>
          </cell>
          <cell r="BZ15">
            <v>2010</v>
          </cell>
          <cell r="CA15">
            <v>4998.1194351469476</v>
          </cell>
          <cell r="CB15">
            <v>8595.4645770791576</v>
          </cell>
          <cell r="CC15">
            <v>2450.8692264744259</v>
          </cell>
          <cell r="CD15">
            <v>2010</v>
          </cell>
          <cell r="CE15">
            <v>496.75048512442305</v>
          </cell>
          <cell r="CF15">
            <v>803.53230932212421</v>
          </cell>
          <cell r="CG15">
            <v>521.58800688424697</v>
          </cell>
          <cell r="CH15">
            <v>2010</v>
          </cell>
          <cell r="CI15">
            <v>601.01953403967559</v>
          </cell>
          <cell r="CJ15">
            <v>829.13188569806482</v>
          </cell>
          <cell r="CK15">
            <v>3079.469183449231</v>
          </cell>
          <cell r="CL15">
            <v>2010</v>
          </cell>
          <cell r="CM15">
            <v>3344.7000626001982</v>
          </cell>
          <cell r="CN15">
            <v>5404.8555491271563</v>
          </cell>
          <cell r="CO15">
            <v>3564.6916799547639</v>
          </cell>
          <cell r="CP15">
            <v>2010</v>
          </cell>
          <cell r="CQ15">
            <v>765.45454568973844</v>
          </cell>
          <cell r="CR15">
            <v>1238.1818993968552</v>
          </cell>
          <cell r="CS15">
            <v>843.9136363823784</v>
          </cell>
          <cell r="CT15">
            <v>2010</v>
          </cell>
          <cell r="CU15">
            <v>55.320286440115758</v>
          </cell>
          <cell r="CV15">
            <v>89.484839401303205</v>
          </cell>
          <cell r="CW15">
            <v>64.040144861120211</v>
          </cell>
          <cell r="CX15">
            <v>2010</v>
          </cell>
          <cell r="CY15">
            <v>884.32635046937003</v>
          </cell>
          <cell r="CZ15">
            <v>1448.7046476380881</v>
          </cell>
          <cell r="DA15">
            <v>836.57719525122468</v>
          </cell>
          <cell r="DB15">
            <v>2010</v>
          </cell>
          <cell r="DC15">
            <v>236.18842371467838</v>
          </cell>
          <cell r="DD15">
            <v>373.20043038024733</v>
          </cell>
          <cell r="DE15">
            <v>269.66494429187918</v>
          </cell>
          <cell r="DF15">
            <v>2013</v>
          </cell>
          <cell r="DG15">
            <v>567.7996220064166</v>
          </cell>
          <cell r="DH15">
            <v>918.4597803718201</v>
          </cell>
          <cell r="DI15">
            <v>596.18960009391026</v>
          </cell>
          <cell r="DJ15">
            <v>2010</v>
          </cell>
          <cell r="DK15">
            <v>137.50644931074763</v>
          </cell>
          <cell r="DL15">
            <v>218.10524951698514</v>
          </cell>
          <cell r="DM15">
            <v>150.9175053925189</v>
          </cell>
          <cell r="DN15">
            <v>2012</v>
          </cell>
          <cell r="DO15">
            <v>90.6931422923235</v>
          </cell>
          <cell r="DP15">
            <v>146.70316830896573</v>
          </cell>
          <cell r="DQ15">
            <v>95.227798630549472</v>
          </cell>
          <cell r="DR15">
            <v>2010</v>
          </cell>
          <cell r="DS15">
            <v>414.40458400764726</v>
          </cell>
          <cell r="DT15">
            <v>639.82978864416464</v>
          </cell>
          <cell r="DU15">
            <v>289.43834083408314</v>
          </cell>
          <cell r="DV15">
            <v>2010</v>
          </cell>
          <cell r="DW15">
            <v>668.40058262071295</v>
          </cell>
          <cell r="DX15">
            <v>1136.0535896368951</v>
          </cell>
          <cell r="DY15">
            <v>379.80801823041458</v>
          </cell>
          <cell r="DZ15">
            <v>2010</v>
          </cell>
          <cell r="EA15">
            <v>351.44833122989979</v>
          </cell>
          <cell r="EB15">
            <v>568.49484374895269</v>
          </cell>
          <cell r="EC15">
            <v>376.97664715777182</v>
          </cell>
          <cell r="ED15">
            <v>2010</v>
          </cell>
          <cell r="EE15">
            <v>372.1893610169775</v>
          </cell>
          <cell r="EF15">
            <v>602.04506327652189</v>
          </cell>
          <cell r="EG15">
            <v>408.70753573874663</v>
          </cell>
          <cell r="EH15">
            <v>2010</v>
          </cell>
          <cell r="EI15">
            <v>466.71933601551416</v>
          </cell>
          <cell r="EJ15">
            <v>754.95460532158256</v>
          </cell>
          <cell r="EK15">
            <v>490.05530438250378</v>
          </cell>
          <cell r="EL15">
            <v>2010</v>
          </cell>
          <cell r="EM15">
            <v>143.12627086270754</v>
          </cell>
          <cell r="EN15">
            <v>235.44461452136386</v>
          </cell>
          <cell r="EO15">
            <v>57.523823589338562</v>
          </cell>
          <cell r="EP15">
            <v>2010</v>
          </cell>
          <cell r="EQ15">
            <v>42.797382029568332</v>
          </cell>
          <cell r="ER15">
            <v>67.760268995563081</v>
          </cell>
          <cell r="ES15">
            <v>39.775699617570311</v>
          </cell>
          <cell r="ET15">
            <v>2010</v>
          </cell>
          <cell r="EU15">
            <v>278.40421508962982</v>
          </cell>
          <cell r="EV15">
            <v>467.87627830729463</v>
          </cell>
          <cell r="EW15">
            <v>202.07115522050057</v>
          </cell>
          <cell r="EX15">
            <v>2010</v>
          </cell>
          <cell r="EY15">
            <v>342.02570001674718</v>
          </cell>
          <cell r="EZ15">
            <v>571.0930373039123</v>
          </cell>
          <cell r="FA15">
            <v>269.17033430927489</v>
          </cell>
          <cell r="FB15">
            <v>2010</v>
          </cell>
          <cell r="FC15">
            <v>317.50131485167998</v>
          </cell>
          <cell r="FD15">
            <v>513.58292103465942</v>
          </cell>
          <cell r="FE15">
            <v>333.37638340184594</v>
          </cell>
          <cell r="FF15">
            <v>2010</v>
          </cell>
          <cell r="FG15">
            <v>15172.290359876422</v>
          </cell>
          <cell r="FH15">
            <v>25159.673948240285</v>
          </cell>
          <cell r="FI15">
            <v>13024.274956081043</v>
          </cell>
          <cell r="FJ15">
            <v>2010</v>
          </cell>
          <cell r="FK15">
            <v>401.29329575649314</v>
          </cell>
          <cell r="FL15">
            <v>649.12292718322192</v>
          </cell>
          <cell r="FM15">
            <v>476.12906517910864</v>
          </cell>
          <cell r="FN15">
            <v>2010</v>
          </cell>
          <cell r="FO15">
            <v>80.904336393965536</v>
          </cell>
          <cell r="FP15">
            <v>123.74305502648964</v>
          </cell>
          <cell r="FQ15">
            <v>60.933746453660184</v>
          </cell>
          <cell r="FR15">
            <v>2010</v>
          </cell>
          <cell r="FS15">
            <v>619.55655873418948</v>
          </cell>
          <cell r="FT15">
            <v>1002.1806269958045</v>
          </cell>
          <cell r="FU15">
            <v>677.75011475408519</v>
          </cell>
          <cell r="FV15">
            <v>2010</v>
          </cell>
          <cell r="FW15">
            <v>627.63994543474803</v>
          </cell>
          <cell r="FX15">
            <v>1009.9772713526999</v>
          </cell>
          <cell r="FY15">
            <v>575.65949972604676</v>
          </cell>
          <cell r="FZ15">
            <v>2010</v>
          </cell>
          <cell r="GA15">
            <v>803.38976698990928</v>
          </cell>
          <cell r="GB15">
            <v>1299.5450525178505</v>
          </cell>
          <cell r="GC15">
            <v>907.99930646608004</v>
          </cell>
          <cell r="GD15">
            <v>2010</v>
          </cell>
          <cell r="GE15">
            <v>1495.2082085852992</v>
          </cell>
          <cell r="GF15">
            <v>2418.6148615485481</v>
          </cell>
          <cell r="GG15">
            <v>1623.937490893572</v>
          </cell>
          <cell r="GH15">
            <v>2010</v>
          </cell>
          <cell r="GI15">
            <v>231.75400721991846</v>
          </cell>
          <cell r="GJ15">
            <v>375.40631322828369</v>
          </cell>
          <cell r="GK15">
            <v>147.14949852873332</v>
          </cell>
          <cell r="GL15">
            <v>2010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row>
        <row r="16">
          <cell r="B16" t="str">
            <v>Maximum</v>
          </cell>
          <cell r="C16">
            <v>718.28840164066435</v>
          </cell>
          <cell r="D16">
            <v>836.0177542660723</v>
          </cell>
          <cell r="E16">
            <v>229.40414082653595</v>
          </cell>
          <cell r="F16">
            <v>2012</v>
          </cell>
          <cell r="G16">
            <v>12957.472813987581</v>
          </cell>
          <cell r="H16">
            <v>13632.612250847529</v>
          </cell>
          <cell r="I16">
            <v>1509.9044010427847</v>
          </cell>
          <cell r="J16">
            <v>2011</v>
          </cell>
          <cell r="K16">
            <v>775.57034447558226</v>
          </cell>
          <cell r="L16">
            <v>1192.4300673342436</v>
          </cell>
          <cell r="M16">
            <v>752.8217302995987</v>
          </cell>
          <cell r="N16">
            <v>2012</v>
          </cell>
          <cell r="O16">
            <v>2749.0303992728363</v>
          </cell>
          <cell r="P16">
            <v>4446.7691783249511</v>
          </cell>
          <cell r="Q16">
            <v>2886.4819180090799</v>
          </cell>
          <cell r="R16">
            <v>2010</v>
          </cell>
          <cell r="S16">
            <v>1341.5770398114487</v>
          </cell>
          <cell r="T16">
            <v>1574.5096969393078</v>
          </cell>
          <cell r="U16">
            <v>463.30781605309028</v>
          </cell>
          <cell r="V16">
            <v>2011</v>
          </cell>
          <cell r="W16">
            <v>1459.5661740196037</v>
          </cell>
          <cell r="X16">
            <v>1858.6456850688739</v>
          </cell>
          <cell r="Y16">
            <v>3792.9015241680218</v>
          </cell>
          <cell r="Z16">
            <v>2011</v>
          </cell>
          <cell r="AA16">
            <v>10715.623004826466</v>
          </cell>
          <cell r="AB16">
            <v>13655.611378382373</v>
          </cell>
          <cell r="AC16">
            <v>5491.8982988542175</v>
          </cell>
          <cell r="AD16">
            <v>2012</v>
          </cell>
          <cell r="AE16">
            <v>1413.9766474916607</v>
          </cell>
          <cell r="AF16">
            <v>1817.0770369031586</v>
          </cell>
          <cell r="AG16">
            <v>723.03886030296724</v>
          </cell>
          <cell r="AH16">
            <v>2011</v>
          </cell>
          <cell r="AI16">
            <v>2004.6584597425167</v>
          </cell>
          <cell r="AJ16">
            <v>2411.4174607492864</v>
          </cell>
          <cell r="AK16">
            <v>708.30717377953977</v>
          </cell>
          <cell r="AL16">
            <v>2013</v>
          </cell>
          <cell r="AM16">
            <v>149.65683828541867</v>
          </cell>
          <cell r="AN16">
            <v>206.69278664467856</v>
          </cell>
          <cell r="AO16">
            <v>101.17187934653407</v>
          </cell>
          <cell r="AP16">
            <v>2011</v>
          </cell>
          <cell r="AQ16">
            <v>4153.2656147810803</v>
          </cell>
          <cell r="AR16">
            <v>5056.7498542852163</v>
          </cell>
          <cell r="AS16">
            <v>1107.2754056682049</v>
          </cell>
          <cell r="AT16">
            <v>2011</v>
          </cell>
          <cell r="AU16">
            <v>795.56666634011265</v>
          </cell>
          <cell r="AV16">
            <v>963.41323158251384</v>
          </cell>
          <cell r="AW16">
            <v>326.3394091332147</v>
          </cell>
          <cell r="AX16">
            <v>2012</v>
          </cell>
          <cell r="AY16">
            <v>1537.1486935284277</v>
          </cell>
          <cell r="AZ16">
            <v>2096.8847211892316</v>
          </cell>
          <cell r="BA16">
            <v>980.31635360140842</v>
          </cell>
          <cell r="BB16">
            <v>2013</v>
          </cell>
          <cell r="BC16">
            <v>1241.4190445711267</v>
          </cell>
          <cell r="BD16">
            <v>1695.7443863141061</v>
          </cell>
          <cell r="BE16">
            <v>862.06995809841032</v>
          </cell>
          <cell r="BF16">
            <v>2013</v>
          </cell>
          <cell r="BG16">
            <v>7103.3451137300808</v>
          </cell>
          <cell r="BH16">
            <v>9774.3571379528858</v>
          </cell>
          <cell r="BI16">
            <v>4767.8706393038283</v>
          </cell>
          <cell r="BJ16">
            <v>2011</v>
          </cell>
          <cell r="BK16">
            <v>299.40618197441091</v>
          </cell>
          <cell r="BL16">
            <v>364.44125014925629</v>
          </cell>
          <cell r="BM16">
            <v>116.10070992981055</v>
          </cell>
          <cell r="BN16">
            <v>2011</v>
          </cell>
          <cell r="BO16">
            <v>2050.2445683508172</v>
          </cell>
          <cell r="BP16">
            <v>3316.4290782105481</v>
          </cell>
          <cell r="BQ16">
            <v>2152.7567937976687</v>
          </cell>
          <cell r="BR16">
            <v>2010</v>
          </cell>
          <cell r="BS16">
            <v>153.94392480538346</v>
          </cell>
          <cell r="BT16">
            <v>221.49000564753251</v>
          </cell>
          <cell r="BU16">
            <v>101.74614604172292</v>
          </cell>
          <cell r="BV16">
            <v>2011</v>
          </cell>
          <cell r="BW16">
            <v>1988.6860091454121</v>
          </cell>
          <cell r="BX16">
            <v>2031.0737623466778</v>
          </cell>
          <cell r="BY16">
            <v>90.956286123230228</v>
          </cell>
          <cell r="BZ16">
            <v>2011</v>
          </cell>
          <cell r="CA16">
            <v>15104.364960671272</v>
          </cell>
          <cell r="CB16">
            <v>20019.236004745992</v>
          </cell>
          <cell r="CC16">
            <v>3312.8030265449902</v>
          </cell>
          <cell r="CD16">
            <v>2017</v>
          </cell>
          <cell r="CE16">
            <v>2494.3501904996206</v>
          </cell>
          <cell r="CF16">
            <v>4034.8042535161003</v>
          </cell>
          <cell r="CG16">
            <v>2619.0676986269245</v>
          </cell>
          <cell r="CH16">
            <v>2010</v>
          </cell>
          <cell r="CI16">
            <v>1951.1488481504994</v>
          </cell>
          <cell r="CJ16">
            <v>3047.3776628421124</v>
          </cell>
          <cell r="CK16">
            <v>3987.2392969370576</v>
          </cell>
          <cell r="CL16">
            <v>2010</v>
          </cell>
          <cell r="CM16">
            <v>8593.1871840348322</v>
          </cell>
          <cell r="CN16">
            <v>11131.012586687273</v>
          </cell>
          <cell r="CO16">
            <v>4728.1080168565077</v>
          </cell>
          <cell r="CP16">
            <v>2012</v>
          </cell>
          <cell r="CQ16">
            <v>2982.5305049387152</v>
          </cell>
          <cell r="CR16">
            <v>4302.1886528735558</v>
          </cell>
          <cell r="CS16">
            <v>2434.2715124284246</v>
          </cell>
          <cell r="CT16">
            <v>2011</v>
          </cell>
          <cell r="CU16">
            <v>3890.5463630720506</v>
          </cell>
          <cell r="CV16">
            <v>3987.3356583239774</v>
          </cell>
          <cell r="CW16">
            <v>210.37502896367985</v>
          </cell>
          <cell r="CX16">
            <v>2012</v>
          </cell>
          <cell r="CY16">
            <v>1366.6529325130525</v>
          </cell>
          <cell r="CZ16">
            <v>2228.8662299370799</v>
          </cell>
          <cell r="DA16">
            <v>1343.2165082466604</v>
          </cell>
          <cell r="DB16">
            <v>2010</v>
          </cell>
          <cell r="DC16">
            <v>500.02944033131917</v>
          </cell>
          <cell r="DD16">
            <v>788.29628584211832</v>
          </cell>
          <cell r="DE16">
            <v>579.61113170713941</v>
          </cell>
          <cell r="DF16">
            <v>2013</v>
          </cell>
          <cell r="DG16">
            <v>713.69345942653604</v>
          </cell>
          <cell r="DH16">
            <v>1154.4543401861788</v>
          </cell>
          <cell r="DI16">
            <v>749.37812850847035</v>
          </cell>
          <cell r="DJ16">
            <v>2010</v>
          </cell>
          <cell r="DK16">
            <v>212.93923572549724</v>
          </cell>
          <cell r="DL16">
            <v>299.72387707877709</v>
          </cell>
          <cell r="DM16">
            <v>165.67953557749419</v>
          </cell>
          <cell r="DN16">
            <v>2012</v>
          </cell>
          <cell r="DO16">
            <v>157.02595082251739</v>
          </cell>
          <cell r="DP16">
            <v>254.00161431880991</v>
          </cell>
          <cell r="DQ16">
            <v>164.87724992311524</v>
          </cell>
          <cell r="DR16">
            <v>2010</v>
          </cell>
          <cell r="DS16">
            <v>678.49334091428966</v>
          </cell>
          <cell r="DT16">
            <v>1006.6007654728791</v>
          </cell>
          <cell r="DU16">
            <v>497.53969579462301</v>
          </cell>
          <cell r="DV16">
            <v>2013</v>
          </cell>
          <cell r="DW16">
            <v>999.6395193904882</v>
          </cell>
          <cell r="DX16">
            <v>1604.0760358699583</v>
          </cell>
          <cell r="DY16">
            <v>510.61545704143896</v>
          </cell>
          <cell r="DZ16">
            <v>2012</v>
          </cell>
          <cell r="EA16">
            <v>824.07013009536752</v>
          </cell>
          <cell r="EB16">
            <v>1078.8766226493667</v>
          </cell>
          <cell r="EC16">
            <v>445.60971616510415</v>
          </cell>
          <cell r="ED16">
            <v>2011</v>
          </cell>
          <cell r="EE16">
            <v>720.38696187749758</v>
          </cell>
          <cell r="EF16">
            <v>1107.2946131877131</v>
          </cell>
          <cell r="EG16">
            <v>692.73547840612264</v>
          </cell>
          <cell r="EH16">
            <v>2012</v>
          </cell>
          <cell r="EI16">
            <v>2533.5660591139253</v>
          </cell>
          <cell r="EJ16">
            <v>4098.2389522981875</v>
          </cell>
          <cell r="EK16">
            <v>2660.2443638900863</v>
          </cell>
          <cell r="EL16">
            <v>2010</v>
          </cell>
          <cell r="EM16">
            <v>266.58527494091862</v>
          </cell>
          <cell r="EN16">
            <v>374.09705420374354</v>
          </cell>
          <cell r="EO16">
            <v>98.605136969192969</v>
          </cell>
          <cell r="EP16">
            <v>2013</v>
          </cell>
          <cell r="EQ16">
            <v>190.89842636564231</v>
          </cell>
          <cell r="ER16">
            <v>289.85441709431427</v>
          </cell>
          <cell r="ES16">
            <v>196.26978948468565</v>
          </cell>
          <cell r="ET16">
            <v>2013</v>
          </cell>
          <cell r="EU16">
            <v>1019.4311183535442</v>
          </cell>
          <cell r="EV16">
            <v>1285.2402104731414</v>
          </cell>
          <cell r="EW16">
            <v>334.01812328989968</v>
          </cell>
          <cell r="EX16">
            <v>2010</v>
          </cell>
          <cell r="EY16">
            <v>1133.8099554351529</v>
          </cell>
          <cell r="EZ16">
            <v>1455.5446728293923</v>
          </cell>
          <cell r="FA16">
            <v>439.33873793098701</v>
          </cell>
          <cell r="FB16">
            <v>2010</v>
          </cell>
          <cell r="FC16">
            <v>469.77234929976618</v>
          </cell>
          <cell r="FD16">
            <v>759.89308994254736</v>
          </cell>
          <cell r="FE16">
            <v>493.26096799734165</v>
          </cell>
          <cell r="FF16">
            <v>2010</v>
          </cell>
          <cell r="FG16">
            <v>17771.695784632277</v>
          </cell>
          <cell r="FH16">
            <v>29590.239826023389</v>
          </cell>
          <cell r="FI16">
            <v>14757.329593609071</v>
          </cell>
          <cell r="FJ16">
            <v>2010</v>
          </cell>
          <cell r="FK16">
            <v>8837.4873655489992</v>
          </cell>
          <cell r="FL16">
            <v>9220.1515865773963</v>
          </cell>
          <cell r="FM16">
            <v>899.59099242246054</v>
          </cell>
          <cell r="FN16">
            <v>2013</v>
          </cell>
          <cell r="FO16">
            <v>144.23333624955634</v>
          </cell>
          <cell r="FP16">
            <v>210.44321163932528</v>
          </cell>
          <cell r="FQ16">
            <v>100.73599938075203</v>
          </cell>
          <cell r="FR16">
            <v>2011</v>
          </cell>
          <cell r="FS16">
            <v>1298.0231587810431</v>
          </cell>
          <cell r="FT16">
            <v>1787.5266895962263</v>
          </cell>
          <cell r="FU16">
            <v>866.44741777501088</v>
          </cell>
          <cell r="FV16">
            <v>2011</v>
          </cell>
          <cell r="FW16">
            <v>1446.5794487604762</v>
          </cell>
          <cell r="FX16">
            <v>1924.4149292799284</v>
          </cell>
          <cell r="FY16">
            <v>777.5312106152254</v>
          </cell>
          <cell r="FZ16">
            <v>2013</v>
          </cell>
          <cell r="GA16">
            <v>1405.523797669757</v>
          </cell>
          <cell r="GB16">
            <v>2104.4111878567132</v>
          </cell>
          <cell r="GC16">
            <v>1307.1619508412798</v>
          </cell>
          <cell r="GD16">
            <v>2013</v>
          </cell>
          <cell r="GE16">
            <v>6624.0414782575654</v>
          </cell>
          <cell r="GF16">
            <v>8096.7007785376709</v>
          </cell>
          <cell r="GG16">
            <v>2687.2844568053638</v>
          </cell>
          <cell r="GH16">
            <v>2011</v>
          </cell>
          <cell r="GI16">
            <v>383.10428539608682</v>
          </cell>
          <cell r="GJ16">
            <v>565.40664952805093</v>
          </cell>
          <cell r="GK16">
            <v>244.63896810237043</v>
          </cell>
          <cell r="GL16">
            <v>2013</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row>
        <row r="17">
          <cell r="B17" t="str">
            <v>Range Width</v>
          </cell>
          <cell r="C17">
            <v>530.43954801709128</v>
          </cell>
          <cell r="D17">
            <v>536.63655270007121</v>
          </cell>
          <cell r="E17">
            <v>20.798371108366013</v>
          </cell>
          <cell r="F17">
            <v>0</v>
          </cell>
          <cell r="G17">
            <v>12029.100121525076</v>
          </cell>
          <cell r="H17">
            <v>12130.897654825525</v>
          </cell>
          <cell r="I17">
            <v>486.37350651191878</v>
          </cell>
          <cell r="J17">
            <v>1</v>
          </cell>
          <cell r="K17">
            <v>377.85312978979829</v>
          </cell>
          <cell r="L17">
            <v>549.09172810606276</v>
          </cell>
          <cell r="M17">
            <v>313.41651417097853</v>
          </cell>
          <cell r="N17">
            <v>2</v>
          </cell>
          <cell r="O17">
            <v>2234.3422534107285</v>
          </cell>
          <cell r="P17">
            <v>3614.2213156198741</v>
          </cell>
          <cell r="Q17">
            <v>2346.0593655439452</v>
          </cell>
          <cell r="R17">
            <v>0</v>
          </cell>
          <cell r="S17">
            <v>1086.4786002556152</v>
          </cell>
          <cell r="T17">
            <v>1161.8682516317074</v>
          </cell>
          <cell r="U17">
            <v>182.06178858372391</v>
          </cell>
          <cell r="V17">
            <v>1</v>
          </cell>
          <cell r="W17">
            <v>1218.3061564115428</v>
          </cell>
          <cell r="X17">
            <v>2097.1044701519158</v>
          </cell>
          <cell r="Y17">
            <v>884.52362374168206</v>
          </cell>
          <cell r="Z17">
            <v>0</v>
          </cell>
          <cell r="AA17">
            <v>6859.1541703206512</v>
          </cell>
          <cell r="AB17">
            <v>7422.8135745895634</v>
          </cell>
          <cell r="AC17">
            <v>1303.3361407351867</v>
          </cell>
          <cell r="AD17">
            <v>2</v>
          </cell>
          <cell r="AE17">
            <v>898.80593789183422</v>
          </cell>
          <cell r="AF17">
            <v>983.74859017188032</v>
          </cell>
          <cell r="AG17">
            <v>160.84819941506214</v>
          </cell>
          <cell r="AH17">
            <v>1</v>
          </cell>
          <cell r="AI17">
            <v>1420.4693851471038</v>
          </cell>
          <cell r="AJ17">
            <v>1471.2057434895319</v>
          </cell>
          <cell r="AK17">
            <v>179.67387189201361</v>
          </cell>
          <cell r="AL17">
            <v>3</v>
          </cell>
          <cell r="AM17">
            <v>79.724001413480451</v>
          </cell>
          <cell r="AN17">
            <v>102.28460202002307</v>
          </cell>
          <cell r="AO17">
            <v>39.626709411829509</v>
          </cell>
          <cell r="AP17">
            <v>1</v>
          </cell>
          <cell r="AQ17">
            <v>3011.3146421055822</v>
          </cell>
          <cell r="AR17">
            <v>3193.2878882705686</v>
          </cell>
          <cell r="AS17">
            <v>277.94352080596286</v>
          </cell>
          <cell r="AT17">
            <v>1</v>
          </cell>
          <cell r="AU17">
            <v>531.90318480364795</v>
          </cell>
          <cell r="AV17">
            <v>540.59382884263005</v>
          </cell>
          <cell r="AW17">
            <v>29.14598186530651</v>
          </cell>
          <cell r="AX17">
            <v>0</v>
          </cell>
          <cell r="AY17">
            <v>776.11999526535362</v>
          </cell>
          <cell r="AZ17">
            <v>870.33446678784708</v>
          </cell>
          <cell r="BA17">
            <v>259.03474350388899</v>
          </cell>
          <cell r="BB17">
            <v>3</v>
          </cell>
          <cell r="BC17">
            <v>711.55146261379036</v>
          </cell>
          <cell r="BD17">
            <v>838.64261213359646</v>
          </cell>
          <cell r="BE17">
            <v>245.9340086323333</v>
          </cell>
          <cell r="BF17">
            <v>3</v>
          </cell>
          <cell r="BG17">
            <v>3330.381732869258</v>
          </cell>
          <cell r="BH17">
            <v>3671.2972093862518</v>
          </cell>
          <cell r="BI17">
            <v>729.52184196402959</v>
          </cell>
          <cell r="BJ17">
            <v>1</v>
          </cell>
          <cell r="BK17">
            <v>235.50539023953442</v>
          </cell>
          <cell r="BL17">
            <v>261.07677950386761</v>
          </cell>
          <cell r="BM17">
            <v>45.650085037954781</v>
          </cell>
          <cell r="BN17">
            <v>0</v>
          </cell>
          <cell r="BO17">
            <v>673.24743969352721</v>
          </cell>
          <cell r="BP17">
            <v>1089.0297764569864</v>
          </cell>
          <cell r="BQ17">
            <v>706.90980705673155</v>
          </cell>
          <cell r="BR17">
            <v>0</v>
          </cell>
          <cell r="BS17">
            <v>73.402236198068181</v>
          </cell>
          <cell r="BT17">
            <v>98.560242992997217</v>
          </cell>
          <cell r="BU17">
            <v>39.80308527664851</v>
          </cell>
          <cell r="BV17">
            <v>1</v>
          </cell>
          <cell r="BW17">
            <v>1933.0229806715977</v>
          </cell>
          <cell r="BX17">
            <v>1941.0345109727443</v>
          </cell>
          <cell r="BY17">
            <v>29.58779789727231</v>
          </cell>
          <cell r="BZ17">
            <v>1</v>
          </cell>
          <cell r="CA17">
            <v>10106.245525524324</v>
          </cell>
          <cell r="CB17">
            <v>11423.771427666834</v>
          </cell>
          <cell r="CC17">
            <v>861.9338000705643</v>
          </cell>
          <cell r="CD17">
            <v>7</v>
          </cell>
          <cell r="CE17">
            <v>1997.5997053751976</v>
          </cell>
          <cell r="CF17">
            <v>3231.2719441939762</v>
          </cell>
          <cell r="CG17">
            <v>2097.4796917426775</v>
          </cell>
          <cell r="CH17">
            <v>0</v>
          </cell>
          <cell r="CI17">
            <v>1350.1293141108238</v>
          </cell>
          <cell r="CJ17">
            <v>2218.2457771440477</v>
          </cell>
          <cell r="CK17">
            <v>907.77011348782662</v>
          </cell>
          <cell r="CL17">
            <v>0</v>
          </cell>
          <cell r="CM17">
            <v>5248.487121434634</v>
          </cell>
          <cell r="CN17">
            <v>5726.1570375601168</v>
          </cell>
          <cell r="CO17">
            <v>1163.4163369017438</v>
          </cell>
          <cell r="CP17">
            <v>2</v>
          </cell>
          <cell r="CQ17">
            <v>2217.0759592489767</v>
          </cell>
          <cell r="CR17">
            <v>3064.0067534767004</v>
          </cell>
          <cell r="CS17">
            <v>1590.3578760460462</v>
          </cell>
          <cell r="CT17">
            <v>1</v>
          </cell>
          <cell r="CU17">
            <v>3835.2260766319346</v>
          </cell>
          <cell r="CV17">
            <v>3897.8508189226741</v>
          </cell>
          <cell r="CW17">
            <v>146.33488410255964</v>
          </cell>
          <cell r="CX17">
            <v>2</v>
          </cell>
          <cell r="CY17">
            <v>482.32658204368249</v>
          </cell>
          <cell r="CZ17">
            <v>780.16158229899179</v>
          </cell>
          <cell r="DA17">
            <v>506.63931299543572</v>
          </cell>
          <cell r="DB17">
            <v>0</v>
          </cell>
          <cell r="DC17">
            <v>263.84101661664079</v>
          </cell>
          <cell r="DD17">
            <v>415.095855461871</v>
          </cell>
          <cell r="DE17">
            <v>309.94618741526023</v>
          </cell>
          <cell r="DF17">
            <v>0</v>
          </cell>
          <cell r="DG17">
            <v>145.89383742011944</v>
          </cell>
          <cell r="DH17">
            <v>235.99455981435869</v>
          </cell>
          <cell r="DI17">
            <v>153.1885284145601</v>
          </cell>
          <cell r="DJ17">
            <v>0</v>
          </cell>
          <cell r="DK17">
            <v>75.432786414749614</v>
          </cell>
          <cell r="DL17">
            <v>81.618627561791953</v>
          </cell>
          <cell r="DM17">
            <v>14.762030184975288</v>
          </cell>
          <cell r="DN17">
            <v>0</v>
          </cell>
          <cell r="DO17">
            <v>66.332808530193887</v>
          </cell>
          <cell r="DP17">
            <v>107.29844600984418</v>
          </cell>
          <cell r="DQ17">
            <v>69.649451292565772</v>
          </cell>
          <cell r="DR17">
            <v>0</v>
          </cell>
          <cell r="DS17">
            <v>264.0887569066424</v>
          </cell>
          <cell r="DT17">
            <v>366.77097682871442</v>
          </cell>
          <cell r="DU17">
            <v>208.10135496053988</v>
          </cell>
          <cell r="DV17">
            <v>3</v>
          </cell>
          <cell r="DW17">
            <v>331.23893676977525</v>
          </cell>
          <cell r="DX17">
            <v>468.02244623306319</v>
          </cell>
          <cell r="DY17">
            <v>130.80743881102438</v>
          </cell>
          <cell r="DZ17">
            <v>2</v>
          </cell>
          <cell r="EA17">
            <v>472.62179886546772</v>
          </cell>
          <cell r="EB17">
            <v>510.38177890041402</v>
          </cell>
          <cell r="EC17">
            <v>68.633069007332324</v>
          </cell>
          <cell r="ED17">
            <v>1</v>
          </cell>
          <cell r="EE17">
            <v>348.19760086052008</v>
          </cell>
          <cell r="EF17">
            <v>505.24954991119125</v>
          </cell>
          <cell r="EG17">
            <v>284.02794266737601</v>
          </cell>
          <cell r="EH17">
            <v>2</v>
          </cell>
          <cell r="EI17">
            <v>2066.8467230984111</v>
          </cell>
          <cell r="EJ17">
            <v>3343.2843469766049</v>
          </cell>
          <cell r="EK17">
            <v>2170.1890595075824</v>
          </cell>
          <cell r="EL17">
            <v>0</v>
          </cell>
          <cell r="EM17">
            <v>123.45900407821108</v>
          </cell>
          <cell r="EN17">
            <v>138.65243968237968</v>
          </cell>
          <cell r="EO17">
            <v>41.081313379854407</v>
          </cell>
          <cell r="EP17">
            <v>3</v>
          </cell>
          <cell r="EQ17">
            <v>148.10104433607398</v>
          </cell>
          <cell r="ER17">
            <v>222.09414809875119</v>
          </cell>
          <cell r="ES17">
            <v>156.49408986711535</v>
          </cell>
          <cell r="ET17">
            <v>3</v>
          </cell>
          <cell r="EU17">
            <v>741.02690326391439</v>
          </cell>
          <cell r="EV17">
            <v>817.36393216584679</v>
          </cell>
          <cell r="EW17">
            <v>131.94696806939911</v>
          </cell>
          <cell r="EX17">
            <v>0</v>
          </cell>
          <cell r="EY17">
            <v>791.78425541840579</v>
          </cell>
          <cell r="EZ17">
            <v>884.45163552548001</v>
          </cell>
          <cell r="FA17">
            <v>170.16840362171212</v>
          </cell>
          <cell r="FB17">
            <v>0</v>
          </cell>
          <cell r="FC17">
            <v>152.2710344480862</v>
          </cell>
          <cell r="FD17">
            <v>246.31016890788794</v>
          </cell>
          <cell r="FE17">
            <v>159.88458459549571</v>
          </cell>
          <cell r="FF17">
            <v>0</v>
          </cell>
          <cell r="FG17">
            <v>2599.4054247558543</v>
          </cell>
          <cell r="FH17">
            <v>4430.565877783105</v>
          </cell>
          <cell r="FI17">
            <v>1733.0546375280283</v>
          </cell>
          <cell r="FJ17">
            <v>0</v>
          </cell>
          <cell r="FK17">
            <v>8436.1940697925056</v>
          </cell>
          <cell r="FL17">
            <v>8571.0286593941746</v>
          </cell>
          <cell r="FM17">
            <v>423.46192724335191</v>
          </cell>
          <cell r="FN17">
            <v>3</v>
          </cell>
          <cell r="FO17">
            <v>63.328999855590808</v>
          </cell>
          <cell r="FP17">
            <v>86.700156612835642</v>
          </cell>
          <cell r="FQ17">
            <v>39.80225292709185</v>
          </cell>
          <cell r="FR17">
            <v>1</v>
          </cell>
          <cell r="FS17">
            <v>678.46660004685361</v>
          </cell>
          <cell r="FT17">
            <v>785.34606260042187</v>
          </cell>
          <cell r="FU17">
            <v>188.69730302092569</v>
          </cell>
          <cell r="FV17">
            <v>1</v>
          </cell>
          <cell r="FW17">
            <v>818.9395033257282</v>
          </cell>
          <cell r="FX17">
            <v>914.43765792722854</v>
          </cell>
          <cell r="FY17">
            <v>201.87171088917864</v>
          </cell>
          <cell r="FZ17">
            <v>3</v>
          </cell>
          <cell r="GA17">
            <v>602.13403067984768</v>
          </cell>
          <cell r="GB17">
            <v>804.8661353388627</v>
          </cell>
          <cell r="GC17">
            <v>399.16264437519976</v>
          </cell>
          <cell r="GD17">
            <v>3</v>
          </cell>
          <cell r="GE17">
            <v>5128.8332696722664</v>
          </cell>
          <cell r="GF17">
            <v>5678.0859169891228</v>
          </cell>
          <cell r="GG17">
            <v>1063.3469659117918</v>
          </cell>
          <cell r="GH17">
            <v>1</v>
          </cell>
          <cell r="GI17">
            <v>151.35027817616836</v>
          </cell>
          <cell r="GJ17">
            <v>190.00033629976724</v>
          </cell>
          <cell r="GK17">
            <v>97.489469573637109</v>
          </cell>
          <cell r="GL17">
            <v>3</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row>
        <row r="18">
          <cell r="B18" t="str">
            <v>Mean Std. Error</v>
          </cell>
          <cell r="C18">
            <v>4.8714014205718135</v>
          </cell>
          <cell r="D18">
            <v>4.8721909671511199</v>
          </cell>
          <cell r="E18">
            <v>0.14534285063879135</v>
          </cell>
          <cell r="F18">
            <v>0</v>
          </cell>
          <cell r="G18">
            <v>26.304448471330502</v>
          </cell>
          <cell r="H18">
            <v>26.594158208035957</v>
          </cell>
          <cell r="I18">
            <v>3.2897476688007457</v>
          </cell>
          <cell r="J18">
            <v>3.5838308894036545E-3</v>
          </cell>
          <cell r="K18">
            <v>2.4445480572292735</v>
          </cell>
          <cell r="L18">
            <v>3.4269077884311536</v>
          </cell>
          <cell r="M18">
            <v>1.964207852137466</v>
          </cell>
          <cell r="N18">
            <v>2.5310879886733469E-2</v>
          </cell>
          <cell r="O18">
            <v>16.838180512527202</v>
          </cell>
          <cell r="P18">
            <v>27.237058617786062</v>
          </cell>
          <cell r="Q18">
            <v>17.680089538855142</v>
          </cell>
          <cell r="R18">
            <v>0</v>
          </cell>
          <cell r="S18">
            <v>7.7300764602390943</v>
          </cell>
          <cell r="T18">
            <v>7.8750674158139322</v>
          </cell>
          <cell r="U18">
            <v>1.2078112617325709</v>
          </cell>
          <cell r="V18">
            <v>1.0463483381956722E-2</v>
          </cell>
          <cell r="W18">
            <v>7.0853859252025773</v>
          </cell>
          <cell r="X18">
            <v>12.118730081110099</v>
          </cell>
          <cell r="Y18">
            <v>6.3155882397547192</v>
          </cell>
          <cell r="Z18">
            <v>0</v>
          </cell>
          <cell r="AA18">
            <v>38.817499301971111</v>
          </cell>
          <cell r="AB18">
            <v>40.470806299485496</v>
          </cell>
          <cell r="AC18">
            <v>8.0133577843395347</v>
          </cell>
          <cell r="AD18">
            <v>1.5090650341443876E-2</v>
          </cell>
          <cell r="AE18">
            <v>7.3211121521897038</v>
          </cell>
          <cell r="AF18">
            <v>7.5173434809478943</v>
          </cell>
          <cell r="AG18">
            <v>1.0355719549407623</v>
          </cell>
          <cell r="AH18">
            <v>1.1297239823409667E-2</v>
          </cell>
          <cell r="AI18">
            <v>9.3230052059720041</v>
          </cell>
          <cell r="AJ18">
            <v>9.5233600821456292</v>
          </cell>
          <cell r="AK18">
            <v>1.1117339430182436</v>
          </cell>
          <cell r="AL18">
            <v>2.4710536429032898E-2</v>
          </cell>
          <cell r="AM18">
            <v>0.35339435858088297</v>
          </cell>
          <cell r="AN18">
            <v>0.47027053556357318</v>
          </cell>
          <cell r="AO18">
            <v>0.26371570337635253</v>
          </cell>
          <cell r="AP18">
            <v>9.4915799575247452E-3</v>
          </cell>
          <cell r="AQ18">
            <v>21.252158366543359</v>
          </cell>
          <cell r="AR18">
            <v>21.541183349626412</v>
          </cell>
          <cell r="AS18">
            <v>1.8564889096958919</v>
          </cell>
          <cell r="AT18">
            <v>1.2655439943366736E-2</v>
          </cell>
          <cell r="AU18">
            <v>4.8786423420561711</v>
          </cell>
          <cell r="AV18">
            <v>4.8824881341811706</v>
          </cell>
          <cell r="AW18">
            <v>0.20702460628968</v>
          </cell>
          <cell r="AX18">
            <v>0</v>
          </cell>
          <cell r="AY18">
            <v>5.2254682959141769</v>
          </cell>
          <cell r="AZ18">
            <v>5.6705297526252743</v>
          </cell>
          <cell r="BA18">
            <v>1.5450159649541182</v>
          </cell>
          <cell r="BB18">
            <v>2.4710536429032898E-2</v>
          </cell>
          <cell r="BC18">
            <v>4.7271817146633728</v>
          </cell>
          <cell r="BD18">
            <v>5.1549788141164061</v>
          </cell>
          <cell r="BE18">
            <v>1.5254296116791319</v>
          </cell>
          <cell r="BF18">
            <v>2.4710536429032898E-2</v>
          </cell>
          <cell r="BG18">
            <v>32.53996682437181</v>
          </cell>
          <cell r="BH18">
            <v>33.747789493833459</v>
          </cell>
          <cell r="BI18">
            <v>4.5422621859520094</v>
          </cell>
          <cell r="BJ18">
            <v>1.5819299929208316E-2</v>
          </cell>
          <cell r="BK18">
            <v>2.1763290533560964</v>
          </cell>
          <cell r="BL18">
            <v>2.201624371263621</v>
          </cell>
          <cell r="BM18">
            <v>0.30186332617552808</v>
          </cell>
          <cell r="BN18">
            <v>0</v>
          </cell>
          <cell r="BO18">
            <v>4.4244117059939363</v>
          </cell>
          <cell r="BP18">
            <v>7.1568279536140169</v>
          </cell>
          <cell r="BQ18">
            <v>4.6456322900161631</v>
          </cell>
          <cell r="BR18">
            <v>0</v>
          </cell>
          <cell r="BS18">
            <v>0.3741340818925919</v>
          </cell>
          <cell r="BT18">
            <v>0.52730727275173528</v>
          </cell>
          <cell r="BU18">
            <v>0.26294567852034689</v>
          </cell>
          <cell r="BV18">
            <v>9.4915799575247452E-3</v>
          </cell>
          <cell r="BW18">
            <v>6.6600066651112453</v>
          </cell>
          <cell r="BX18">
            <v>6.6663783706312492</v>
          </cell>
          <cell r="BY18">
            <v>0.1971422823954449</v>
          </cell>
          <cell r="BZ18">
            <v>5.3971408290991148E-3</v>
          </cell>
          <cell r="CA18">
            <v>88.213525126980443</v>
          </cell>
          <cell r="CB18">
            <v>91.214689333992098</v>
          </cell>
          <cell r="CC18">
            <v>5.6850241699579316</v>
          </cell>
          <cell r="CD18">
            <v>7.1028480520459042E-2</v>
          </cell>
          <cell r="CE18">
            <v>15.326025979049204</v>
          </cell>
          <cell r="CF18">
            <v>24.791031765870056</v>
          </cell>
          <cell r="CG18">
            <v>16.09232727749324</v>
          </cell>
          <cell r="CH18">
            <v>0</v>
          </cell>
          <cell r="CI18">
            <v>7.5681138244179138</v>
          </cell>
          <cell r="CJ18">
            <v>12.380628963651201</v>
          </cell>
          <cell r="CK18">
            <v>6.703115150426985</v>
          </cell>
          <cell r="CL18">
            <v>0</v>
          </cell>
          <cell r="CM18">
            <v>30.29414356423128</v>
          </cell>
          <cell r="CN18">
            <v>31.88924649504813</v>
          </cell>
          <cell r="CO18">
            <v>6.8533366185626745</v>
          </cell>
          <cell r="CP18">
            <v>1.5090650341443876E-2</v>
          </cell>
          <cell r="CQ18">
            <v>11.240455750909575</v>
          </cell>
          <cell r="CR18">
            <v>16.624987126920356</v>
          </cell>
          <cell r="CS18">
            <v>10.530636741556895</v>
          </cell>
          <cell r="CT18">
            <v>6.895472974898076E-3</v>
          </cell>
          <cell r="CU18">
            <v>22.27013594528573</v>
          </cell>
          <cell r="CV18">
            <v>22.311844990761411</v>
          </cell>
          <cell r="CW18">
            <v>0.98342525287627569</v>
          </cell>
          <cell r="CX18">
            <v>1.3630325960364221E-2</v>
          </cell>
          <cell r="CY18">
            <v>3.349786228977838</v>
          </cell>
          <cell r="CZ18">
            <v>5.4180725518211288</v>
          </cell>
          <cell r="DA18">
            <v>3.5204375210491738</v>
          </cell>
          <cell r="DB18">
            <v>0</v>
          </cell>
          <cell r="DC18">
            <v>1.8222033272989064</v>
          </cell>
          <cell r="DD18">
            <v>2.9349693844691389</v>
          </cell>
          <cell r="DE18">
            <v>2.197679197081575</v>
          </cell>
          <cell r="DF18">
            <v>0</v>
          </cell>
          <cell r="DG18">
            <v>1.0162321072969123</v>
          </cell>
          <cell r="DH18">
            <v>1.6438339913211635</v>
          </cell>
          <cell r="DI18">
            <v>1.0670437130908561</v>
          </cell>
          <cell r="DJ18">
            <v>0</v>
          </cell>
          <cell r="DK18">
            <v>0.58999043415296992</v>
          </cell>
          <cell r="DL18">
            <v>0.60177228961950857</v>
          </cell>
          <cell r="DM18">
            <v>0.10512176506655958</v>
          </cell>
          <cell r="DN18">
            <v>0</v>
          </cell>
          <cell r="DO18">
            <v>0.44931217436841842</v>
          </cell>
          <cell r="DP18">
            <v>0.72679717524578413</v>
          </cell>
          <cell r="DQ18">
            <v>0.47177778330840625</v>
          </cell>
          <cell r="DR18">
            <v>0</v>
          </cell>
          <cell r="DS18">
            <v>1.2953290997109468</v>
          </cell>
          <cell r="DT18">
            <v>1.8974808070392053</v>
          </cell>
          <cell r="DU18">
            <v>1.3153186922871984</v>
          </cell>
          <cell r="DV18">
            <v>2.4710536429032898E-2</v>
          </cell>
          <cell r="DW18">
            <v>1.859120355470383</v>
          </cell>
          <cell r="DX18">
            <v>2.3664799513875856</v>
          </cell>
          <cell r="DY18">
            <v>0.87360617637999727</v>
          </cell>
          <cell r="DZ18">
            <v>2.5310879886733469E-2</v>
          </cell>
          <cell r="EA18">
            <v>4.7157502573695194</v>
          </cell>
          <cell r="EB18">
            <v>4.813274566903079</v>
          </cell>
          <cell r="EC18">
            <v>0.43142092063350146</v>
          </cell>
          <cell r="ED18">
            <v>1.5819299929208316E-2</v>
          </cell>
          <cell r="EE18">
            <v>2.2325710588575531</v>
          </cell>
          <cell r="EF18">
            <v>3.0878661650761221</v>
          </cell>
          <cell r="EG18">
            <v>1.8169231627466136</v>
          </cell>
          <cell r="EH18">
            <v>2.5310879886733469E-2</v>
          </cell>
          <cell r="EI18">
            <v>15.336604554280571</v>
          </cell>
          <cell r="EJ18">
            <v>24.808143429259996</v>
          </cell>
          <cell r="EK18">
            <v>16.10343478216252</v>
          </cell>
          <cell r="EL18">
            <v>0</v>
          </cell>
          <cell r="EM18">
            <v>0.91272391799965857</v>
          </cell>
          <cell r="EN18">
            <v>0.92146027725246793</v>
          </cell>
          <cell r="EO18">
            <v>0.26023993354575525</v>
          </cell>
          <cell r="EP18">
            <v>3.4099307364853254E-2</v>
          </cell>
          <cell r="EQ18">
            <v>0.98897842321749618</v>
          </cell>
          <cell r="ER18">
            <v>1.5709493581069562</v>
          </cell>
          <cell r="ES18">
            <v>1.1611418969264622</v>
          </cell>
          <cell r="ET18">
            <v>2.4710536429032898E-2</v>
          </cell>
          <cell r="EU18">
            <v>6.1861528758353703</v>
          </cell>
          <cell r="EV18">
            <v>6.2818114230137896</v>
          </cell>
          <cell r="EW18">
            <v>0.86608170769052284</v>
          </cell>
          <cell r="EX18">
            <v>0</v>
          </cell>
          <cell r="EY18">
            <v>6.18887871431067</v>
          </cell>
          <cell r="EZ18">
            <v>6.3462126334489772</v>
          </cell>
          <cell r="FA18">
            <v>1.1368479009664603</v>
          </cell>
          <cell r="FB18">
            <v>0</v>
          </cell>
          <cell r="FC18">
            <v>1.016637274218726</v>
          </cell>
          <cell r="FD18">
            <v>1.644489380307069</v>
          </cell>
          <cell r="FE18">
            <v>1.0674691394981861</v>
          </cell>
          <cell r="FF18">
            <v>0</v>
          </cell>
          <cell r="FG18">
            <v>12.664196961034357</v>
          </cell>
          <cell r="FH18">
            <v>21.885602631110544</v>
          </cell>
          <cell r="FI18">
            <v>9.3463805753139226</v>
          </cell>
          <cell r="FJ18">
            <v>0</v>
          </cell>
          <cell r="FK18">
            <v>45.820817555412638</v>
          </cell>
          <cell r="FL18">
            <v>46.067003827758057</v>
          </cell>
          <cell r="FM18">
            <v>2.7435782173562147</v>
          </cell>
          <cell r="FN18">
            <v>1.6305393766047435E-2</v>
          </cell>
          <cell r="FO18">
            <v>0.34471489991267462</v>
          </cell>
          <cell r="FP18">
            <v>0.502725720371346</v>
          </cell>
          <cell r="FQ18">
            <v>0.26318396040206599</v>
          </cell>
          <cell r="FR18">
            <v>9.4915799575247452E-3</v>
          </cell>
          <cell r="FS18">
            <v>5.0846832052004673</v>
          </cell>
          <cell r="FT18">
            <v>5.3580271621258468</v>
          </cell>
          <cell r="FU18">
            <v>1.2528618364074529</v>
          </cell>
          <cell r="FV18">
            <v>1.1297239823409667E-2</v>
          </cell>
          <cell r="FW18">
            <v>6.3004120504212713</v>
          </cell>
          <cell r="FX18">
            <v>6.6236493955079698</v>
          </cell>
          <cell r="FY18">
            <v>1.2087696987262979</v>
          </cell>
          <cell r="FZ18">
            <v>2.4710536429032898E-2</v>
          </cell>
          <cell r="GA18">
            <v>3.9477612498805361</v>
          </cell>
          <cell r="GB18">
            <v>4.870293596965575</v>
          </cell>
          <cell r="GC18">
            <v>2.2772334248674828</v>
          </cell>
          <cell r="GD18">
            <v>2.4710536429032898E-2</v>
          </cell>
          <cell r="GE18">
            <v>47.589156437704119</v>
          </cell>
          <cell r="GF18">
            <v>48.759873233551843</v>
          </cell>
          <cell r="GG18">
            <v>6.9496862652297526</v>
          </cell>
          <cell r="GH18">
            <v>1.5819299929208316E-2</v>
          </cell>
          <cell r="GI18">
            <v>0.95013588848711417</v>
          </cell>
          <cell r="GJ18">
            <v>1.111526895173589</v>
          </cell>
          <cell r="GK18">
            <v>0.64775541858828778</v>
          </cell>
          <cell r="GL18">
            <v>3.4099307364853254E-2</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row>
        <row r="21">
          <cell r="B21" t="str">
            <v>Percentiles</v>
          </cell>
          <cell r="C21" t="str">
            <v>H-1-20 Yr NPV</v>
          </cell>
          <cell r="D21" t="str">
            <v>H-1-40 Yr NPV</v>
          </cell>
          <cell r="E21" t="str">
            <v>H-1-Capital Cost</v>
          </cell>
          <cell r="F21" t="str">
            <v>H-1-Install Year</v>
          </cell>
          <cell r="G21" t="str">
            <v>H-10-20 Yr NPV</v>
          </cell>
          <cell r="H21" t="str">
            <v>H-10-40 Yr NPV</v>
          </cell>
          <cell r="I21" t="str">
            <v>H-10-Capital Cost</v>
          </cell>
          <cell r="J21" t="str">
            <v>H-10-Install Year</v>
          </cell>
          <cell r="K21" t="str">
            <v>H-11-20 Yr NPV</v>
          </cell>
          <cell r="L21" t="str">
            <v>H-11-40 Yr NPV</v>
          </cell>
          <cell r="M21" t="str">
            <v>H-11-Capital Cost</v>
          </cell>
          <cell r="N21" t="str">
            <v>H-11-Install Year</v>
          </cell>
          <cell r="O21" t="str">
            <v>H-2-20 Yr NPV</v>
          </cell>
          <cell r="P21" t="str">
            <v>H-2-40 Yr NPV</v>
          </cell>
          <cell r="Q21" t="str">
            <v>H-2-Capital Cost</v>
          </cell>
          <cell r="R21" t="str">
            <v>H-2-Install Year</v>
          </cell>
          <cell r="S21" t="str">
            <v>H-3-20 Yr NPV</v>
          </cell>
          <cell r="T21" t="str">
            <v>H-3-40 Yr NPV</v>
          </cell>
          <cell r="U21" t="str">
            <v>H-3-Capital Cost</v>
          </cell>
          <cell r="V21" t="str">
            <v>H-3-Install Year</v>
          </cell>
          <cell r="W21" t="str">
            <v>H-4-20 Yr NPV</v>
          </cell>
          <cell r="X21" t="str">
            <v>H-4-40 Yr NPV</v>
          </cell>
          <cell r="Y21" t="str">
            <v>H-4-Capital Cost</v>
          </cell>
          <cell r="Z21" t="str">
            <v>H-4-Install Year</v>
          </cell>
          <cell r="AA21" t="str">
            <v>H-5-20 Yr NPV</v>
          </cell>
          <cell r="AB21" t="str">
            <v>H-5-40 Yr NPV</v>
          </cell>
          <cell r="AC21" t="str">
            <v>H-5-Capital Cost</v>
          </cell>
          <cell r="AD21" t="str">
            <v>H-5-Install Year</v>
          </cell>
          <cell r="AE21" t="str">
            <v>H-6-20 Yr NPV</v>
          </cell>
          <cell r="AF21" t="str">
            <v>H-6-40 Yr NPV</v>
          </cell>
          <cell r="AG21" t="str">
            <v>H-6-Capital Cost</v>
          </cell>
          <cell r="AH21" t="str">
            <v>H-6-Install Year</v>
          </cell>
          <cell r="AI21" t="str">
            <v>H-7-20 Yr NPV</v>
          </cell>
          <cell r="AJ21" t="str">
            <v>H-7-40 Yr NPV</v>
          </cell>
          <cell r="AK21" t="str">
            <v>H-7-Capital Cost</v>
          </cell>
          <cell r="AL21" t="str">
            <v>H-7-Install Year</v>
          </cell>
          <cell r="AM21" t="str">
            <v>H-8-20 Yr NPV</v>
          </cell>
          <cell r="AN21" t="str">
            <v>H-8-40 Yr NPV</v>
          </cell>
          <cell r="AO21" t="str">
            <v>H-8-Capital Cost</v>
          </cell>
          <cell r="AP21" t="str">
            <v>H-8-Install Year</v>
          </cell>
          <cell r="AQ21" t="str">
            <v>H-9-20 Yr NPV</v>
          </cell>
          <cell r="AR21" t="str">
            <v>H-9-40 Yr NPV</v>
          </cell>
          <cell r="AS21" t="str">
            <v>H-9-Capital Cost</v>
          </cell>
          <cell r="AT21" t="str">
            <v>H-9-Install Year</v>
          </cell>
          <cell r="AU21" t="str">
            <v>K-1-20 Yr NPV</v>
          </cell>
          <cell r="AV21" t="str">
            <v>K-1-40 Yr NPV</v>
          </cell>
          <cell r="AW21" t="str">
            <v>K-1-Capital Cost</v>
          </cell>
          <cell r="AX21" t="str">
            <v>K-1-Install Year</v>
          </cell>
          <cell r="AY21" t="str">
            <v>K-10-20 Yr NPV</v>
          </cell>
          <cell r="AZ21" t="str">
            <v>K-10-40 Yr NPV</v>
          </cell>
          <cell r="BA21" t="str">
            <v>K-10-Capital Cost</v>
          </cell>
          <cell r="BB21" t="str">
            <v>K-10-Install Year</v>
          </cell>
          <cell r="BC21" t="str">
            <v>K-11-20 Yr NPV</v>
          </cell>
          <cell r="BD21" t="str">
            <v>K-11-40 Yr NPV</v>
          </cell>
          <cell r="BE21" t="str">
            <v>K-11-Capital Cost</v>
          </cell>
          <cell r="BF21" t="str">
            <v>K-11-Install Year</v>
          </cell>
          <cell r="BG21" t="str">
            <v>K-12-20 Yr NPV</v>
          </cell>
          <cell r="BH21" t="str">
            <v>K-12-40 Yr NPV</v>
          </cell>
          <cell r="BI21" t="str">
            <v>K-12-Capital Cost</v>
          </cell>
          <cell r="BJ21" t="str">
            <v>K-12-Install Year</v>
          </cell>
          <cell r="BK21" t="str">
            <v>K-13-20 Yr NPV</v>
          </cell>
          <cell r="BL21" t="str">
            <v>K-13-40 Yr NPV</v>
          </cell>
          <cell r="BM21" t="str">
            <v>K-13-Capital Cost</v>
          </cell>
          <cell r="BN21" t="str">
            <v>K-13-Install Year</v>
          </cell>
          <cell r="BO21" t="str">
            <v>K-14-20 Yr NPV</v>
          </cell>
          <cell r="BP21" t="str">
            <v>K-14-40 Yr NPV</v>
          </cell>
          <cell r="BQ21" t="str">
            <v>K-14-Capital Cost</v>
          </cell>
          <cell r="BR21" t="str">
            <v>K-14-Install Year</v>
          </cell>
          <cell r="BS21" t="str">
            <v>K-15-20 Yr NPV</v>
          </cell>
          <cell r="BT21" t="str">
            <v>K-15-40 Yr NPV</v>
          </cell>
          <cell r="BU21" t="str">
            <v>K-15-Capital Cost</v>
          </cell>
          <cell r="BV21" t="str">
            <v>K-15-Install Year</v>
          </cell>
          <cell r="BW21" t="str">
            <v>K-16-20 Yr NPV</v>
          </cell>
          <cell r="BX21" t="str">
            <v>K-16-40 Yr NPV</v>
          </cell>
          <cell r="BY21" t="str">
            <v>K-16-Capital Cost</v>
          </cell>
          <cell r="BZ21" t="str">
            <v>K-16-Install Year</v>
          </cell>
          <cell r="CA21" t="str">
            <v>K-17-20 Yr NPV</v>
          </cell>
          <cell r="CB21" t="str">
            <v>K-17-40 Yr NPV</v>
          </cell>
          <cell r="CC21" t="str">
            <v>K-17-Capital Cost</v>
          </cell>
          <cell r="CD21" t="str">
            <v>K-17-Install Year</v>
          </cell>
          <cell r="CE21" t="str">
            <v>K-2-20 Yr NPV</v>
          </cell>
          <cell r="CF21" t="str">
            <v>K-2-40 Yr NPV</v>
          </cell>
          <cell r="CG21" t="str">
            <v>K-2-Capital Cost</v>
          </cell>
          <cell r="CH21" t="str">
            <v>K-2-Install Year</v>
          </cell>
          <cell r="CI21" t="str">
            <v>K-3-20 Yr NPV</v>
          </cell>
          <cell r="CJ21" t="str">
            <v>K-3-40 Yr NPV</v>
          </cell>
          <cell r="CK21" t="str">
            <v>K-3-Capital Cost</v>
          </cell>
          <cell r="CL21" t="str">
            <v>K-3-Install Year</v>
          </cell>
          <cell r="CM21" t="str">
            <v>K-4-20 Yr NPV</v>
          </cell>
          <cell r="CN21" t="str">
            <v>K-4-40 Yr NPV</v>
          </cell>
          <cell r="CO21" t="str">
            <v>K-4-Capital Cost</v>
          </cell>
          <cell r="CP21" t="str">
            <v>K-4-Install Year</v>
          </cell>
          <cell r="CQ21" t="str">
            <v>K-5-20 Yr NPV</v>
          </cell>
          <cell r="CR21" t="str">
            <v>K-5-40 Yr NPV</v>
          </cell>
          <cell r="CS21" t="str">
            <v>K-5-Capital Cost</v>
          </cell>
          <cell r="CT21" t="str">
            <v>K-5-Install Year</v>
          </cell>
          <cell r="CU21" t="str">
            <v>K-6-20 Yr NPV</v>
          </cell>
          <cell r="CV21" t="str">
            <v>K-6-40 Yr NPV</v>
          </cell>
          <cell r="CW21" t="str">
            <v>K-6-Capital Cost</v>
          </cell>
          <cell r="CX21" t="str">
            <v>K-6-Install Year</v>
          </cell>
          <cell r="CY21" t="str">
            <v>K-7-20 Yr NPV</v>
          </cell>
          <cell r="CZ21" t="str">
            <v>K-7-40 Yr NPV</v>
          </cell>
          <cell r="DA21" t="str">
            <v>K-7-Capital Cost</v>
          </cell>
          <cell r="DB21" t="str">
            <v>K-7-Install Year</v>
          </cell>
          <cell r="DC21" t="str">
            <v>K-8-20 Yr NPV</v>
          </cell>
          <cell r="DD21" t="str">
            <v>K-8-40 Yr NPV</v>
          </cell>
          <cell r="DE21" t="str">
            <v>K-8-Capital Cost</v>
          </cell>
          <cell r="DF21" t="str">
            <v>K-8-Install Year</v>
          </cell>
          <cell r="DG21" t="str">
            <v>K-9-20 Yr NPV</v>
          </cell>
          <cell r="DH21" t="str">
            <v>K-9-40 Yr NPV</v>
          </cell>
          <cell r="DI21" t="str">
            <v>K-9-Capital Cost</v>
          </cell>
          <cell r="DJ21" t="str">
            <v>K-9-Install Year</v>
          </cell>
          <cell r="DK21" t="str">
            <v>LM-1-20 Yr NPV</v>
          </cell>
          <cell r="DL21" t="str">
            <v>LM-1-40 Yr NPV</v>
          </cell>
          <cell r="DM21" t="str">
            <v>LM-1-Capital Cost</v>
          </cell>
          <cell r="DN21" t="str">
            <v>LM-1-Install Year</v>
          </cell>
          <cell r="DO21" t="str">
            <v>LM-2-20 Yr NPV</v>
          </cell>
          <cell r="DP21" t="str">
            <v>LM-2-40 Yr NPV</v>
          </cell>
          <cell r="DQ21" t="str">
            <v>LM-2-Capital Cost</v>
          </cell>
          <cell r="DR21" t="str">
            <v>LM-2-Install Year</v>
          </cell>
          <cell r="DS21" t="str">
            <v>LM-3-20 Yr NPV</v>
          </cell>
          <cell r="DT21" t="str">
            <v>LM-3-40 Yr NPV</v>
          </cell>
          <cell r="DU21" t="str">
            <v>LM-3-Capital Cost</v>
          </cell>
          <cell r="DV21" t="str">
            <v>LM-3-Install Year</v>
          </cell>
          <cell r="DW21" t="str">
            <v>LM-4-20 Yr NPV</v>
          </cell>
          <cell r="DX21" t="str">
            <v>LM-4-40 Yr NPV</v>
          </cell>
          <cell r="DY21" t="str">
            <v>LM-4-Capital Cost</v>
          </cell>
          <cell r="DZ21" t="str">
            <v>LM-4-Install Year</v>
          </cell>
          <cell r="EA21" t="str">
            <v>LM-5-20 Yr NPV</v>
          </cell>
          <cell r="EB21" t="str">
            <v>LM-5-40 Yr NPV</v>
          </cell>
          <cell r="EC21" t="str">
            <v>LM-5-Capital Cost</v>
          </cell>
          <cell r="ED21" t="str">
            <v>LM-5-Install Year</v>
          </cell>
          <cell r="EE21" t="str">
            <v>LM-6-20 Yr NPV</v>
          </cell>
          <cell r="EF21" t="str">
            <v>LM-6-40 Yr NPV</v>
          </cell>
          <cell r="EG21" t="str">
            <v>LM-6-Capital Cost</v>
          </cell>
          <cell r="EH21" t="str">
            <v>LM-6-Install Year</v>
          </cell>
          <cell r="EI21" t="str">
            <v>M-1-20 Yr NPV</v>
          </cell>
          <cell r="EJ21" t="str">
            <v>M-1-40 Yr NPV</v>
          </cell>
          <cell r="EK21" t="str">
            <v>M-1-Capital Cost</v>
          </cell>
          <cell r="EL21" t="str">
            <v>M-1-Install Year</v>
          </cell>
          <cell r="EM21" t="str">
            <v>M-10-20 Yr NPV</v>
          </cell>
          <cell r="EN21" t="str">
            <v>M-10-40 Yr NPV</v>
          </cell>
          <cell r="EO21" t="str">
            <v>M-10-Capital Cost</v>
          </cell>
          <cell r="EP21" t="str">
            <v>M-10-Install Year</v>
          </cell>
          <cell r="EQ21" t="str">
            <v>M-11-20 Yr NPV</v>
          </cell>
          <cell r="ER21" t="str">
            <v>M-11-40 Yr NPV</v>
          </cell>
          <cell r="ES21" t="str">
            <v>M-11-Capital Cost</v>
          </cell>
          <cell r="ET21" t="str">
            <v>M-11-Install Year</v>
          </cell>
          <cell r="EU21" t="str">
            <v>M-12-20 Yr NPV</v>
          </cell>
          <cell r="EV21" t="str">
            <v>M-12-40 Yr NPV</v>
          </cell>
          <cell r="EW21" t="str">
            <v>M-12-Capital Cost</v>
          </cell>
          <cell r="EX21" t="str">
            <v>M-12-Install Year</v>
          </cell>
          <cell r="EY21" t="str">
            <v>M-13-20 Yr NPV</v>
          </cell>
          <cell r="EZ21" t="str">
            <v>M-13-40 Yr NPV</v>
          </cell>
          <cell r="FA21" t="str">
            <v>M-13-Capital Cost</v>
          </cell>
          <cell r="FB21" t="str">
            <v>M-13-Install Year</v>
          </cell>
          <cell r="FC21" t="str">
            <v>M-14-20 Yr NPV</v>
          </cell>
          <cell r="FD21" t="str">
            <v>M-14-40 Yr NPV</v>
          </cell>
          <cell r="FE21" t="str">
            <v>M-14-Capital Cost</v>
          </cell>
          <cell r="FF21" t="str">
            <v>M-14-Install Year</v>
          </cell>
          <cell r="FG21" t="str">
            <v>M-2-20 Yr NPV</v>
          </cell>
          <cell r="FH21" t="str">
            <v>M-2-40 Yr NPV</v>
          </cell>
          <cell r="FI21" t="str">
            <v>M-2-Capital Cost</v>
          </cell>
          <cell r="FJ21" t="str">
            <v>M-2-Install Year</v>
          </cell>
          <cell r="FK21" t="str">
            <v>M-3-20 Yr NPV</v>
          </cell>
          <cell r="FL21" t="str">
            <v>M-3-40 Yr NPV</v>
          </cell>
          <cell r="FM21" t="str">
            <v>M-3-Capital Cost</v>
          </cell>
          <cell r="FN21" t="str">
            <v>M-3-Install Year</v>
          </cell>
          <cell r="FO21" t="str">
            <v>M-4-20 Yr NPV</v>
          </cell>
          <cell r="FP21" t="str">
            <v>M-4-40 Yr NPV</v>
          </cell>
          <cell r="FQ21" t="str">
            <v>M-4-Capital Cost</v>
          </cell>
          <cell r="FR21" t="str">
            <v>M-4-Install Year</v>
          </cell>
          <cell r="FS21" t="str">
            <v>M-5-20 Yr NPV</v>
          </cell>
          <cell r="FT21" t="str">
            <v>M-5-40 Yr NPV</v>
          </cell>
          <cell r="FU21" t="str">
            <v>M-5-Capital Cost</v>
          </cell>
          <cell r="FV21" t="str">
            <v>M-5-Install Year</v>
          </cell>
          <cell r="FW21" t="str">
            <v>M-6-20 Yr NPV</v>
          </cell>
          <cell r="FX21" t="str">
            <v>M-6-40 Yr NPV</v>
          </cell>
          <cell r="FY21" t="str">
            <v>M-6-Capital Cost</v>
          </cell>
          <cell r="FZ21" t="str">
            <v>M-6-Install Year</v>
          </cell>
          <cell r="GA21" t="str">
            <v>M-7-20 Yr NPV</v>
          </cell>
          <cell r="GB21" t="str">
            <v>M-7-40 Yr NPV</v>
          </cell>
          <cell r="GC21" t="str">
            <v>M-7-Capital Cost</v>
          </cell>
          <cell r="GD21" t="str">
            <v>M-7-Install Year</v>
          </cell>
          <cell r="GE21" t="str">
            <v>M-8-20 Yr NPV</v>
          </cell>
          <cell r="GF21" t="str">
            <v>M-8-40 Yr NPV</v>
          </cell>
          <cell r="GG21" t="str">
            <v>M-8-Capital Cost</v>
          </cell>
          <cell r="GH21" t="str">
            <v>M-8-Install Year</v>
          </cell>
          <cell r="GI21" t="str">
            <v>M-9-20 Yr NPV</v>
          </cell>
          <cell r="GJ21" t="str">
            <v>M-9-40 Yr NPV</v>
          </cell>
          <cell r="GK21" t="str">
            <v>M-9-Capital Cost</v>
          </cell>
          <cell r="GL21" t="str">
            <v>M-9-Install Year</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row>
        <row r="22">
          <cell r="B22" t="str">
            <v>0%</v>
          </cell>
          <cell r="C22">
            <v>187.84885362357312</v>
          </cell>
          <cell r="D22">
            <v>299.38120156600104</v>
          </cell>
          <cell r="E22">
            <v>208.60576971816994</v>
          </cell>
          <cell r="F22">
            <v>2012</v>
          </cell>
          <cell r="G22">
            <v>928.37269246250435</v>
          </cell>
          <cell r="H22">
            <v>1501.7145960220034</v>
          </cell>
          <cell r="I22">
            <v>1023.5308945308659</v>
          </cell>
          <cell r="J22">
            <v>2010</v>
          </cell>
          <cell r="K22">
            <v>397.71721468578397</v>
          </cell>
          <cell r="L22">
            <v>643.33833922818087</v>
          </cell>
          <cell r="M22">
            <v>439.40521612862017</v>
          </cell>
          <cell r="N22">
            <v>2010</v>
          </cell>
          <cell r="O22">
            <v>514.68814586210783</v>
          </cell>
          <cell r="P22">
            <v>832.54786270507702</v>
          </cell>
          <cell r="Q22">
            <v>540.4225524651348</v>
          </cell>
          <cell r="R22">
            <v>2010</v>
          </cell>
          <cell r="S22">
            <v>255.09843955583349</v>
          </cell>
          <cell r="T22">
            <v>412.64144530760029</v>
          </cell>
          <cell r="U22">
            <v>281.24602746936637</v>
          </cell>
          <cell r="V22">
            <v>2010</v>
          </cell>
          <cell r="W22">
            <v>241.26001760806088</v>
          </cell>
          <cell r="X22">
            <v>-238.45878508304179</v>
          </cell>
          <cell r="Y22">
            <v>2908.3779004263397</v>
          </cell>
          <cell r="Z22">
            <v>2011</v>
          </cell>
          <cell r="AA22">
            <v>3856.4688345058153</v>
          </cell>
          <cell r="AB22">
            <v>6232.7978037928096</v>
          </cell>
          <cell r="AC22">
            <v>4188.5621581190308</v>
          </cell>
          <cell r="AD22">
            <v>2010</v>
          </cell>
          <cell r="AE22">
            <v>515.17070959982652</v>
          </cell>
          <cell r="AF22">
            <v>833.32844673127829</v>
          </cell>
          <cell r="AG22">
            <v>562.1906608879051</v>
          </cell>
          <cell r="AH22">
            <v>2010</v>
          </cell>
          <cell r="AI22">
            <v>584.18907459541276</v>
          </cell>
          <cell r="AJ22">
            <v>940.21171725975455</v>
          </cell>
          <cell r="AK22">
            <v>528.63330188752616</v>
          </cell>
          <cell r="AL22">
            <v>2010</v>
          </cell>
          <cell r="AM22">
            <v>69.932836871938221</v>
          </cell>
          <cell r="AN22">
            <v>104.40818462465549</v>
          </cell>
          <cell r="AO22">
            <v>61.54516993470456</v>
          </cell>
          <cell r="AP22">
            <v>2010</v>
          </cell>
          <cell r="AQ22">
            <v>1141.9509726754982</v>
          </cell>
          <cell r="AR22">
            <v>1863.4619660146477</v>
          </cell>
          <cell r="AS22">
            <v>829.33188486224208</v>
          </cell>
          <cell r="AT22">
            <v>2010</v>
          </cell>
          <cell r="AU22">
            <v>263.66348153646476</v>
          </cell>
          <cell r="AV22">
            <v>422.81940273988386</v>
          </cell>
          <cell r="AW22">
            <v>297.19342726790813</v>
          </cell>
          <cell r="AX22">
            <v>2012</v>
          </cell>
          <cell r="AY22">
            <v>761.02869826307403</v>
          </cell>
          <cell r="AZ22">
            <v>1226.5502544013843</v>
          </cell>
          <cell r="BA22">
            <v>721.28161009751943</v>
          </cell>
          <cell r="BB22">
            <v>2010</v>
          </cell>
          <cell r="BC22">
            <v>529.86758195733637</v>
          </cell>
          <cell r="BD22">
            <v>857.10177418050966</v>
          </cell>
          <cell r="BE22">
            <v>616.13594946607702</v>
          </cell>
          <cell r="BF22">
            <v>2010</v>
          </cell>
          <cell r="BG22">
            <v>3772.9633808608223</v>
          </cell>
          <cell r="BH22">
            <v>6103.0599285666331</v>
          </cell>
          <cell r="BI22">
            <v>4038.3487973397987</v>
          </cell>
          <cell r="BJ22">
            <v>2010</v>
          </cell>
          <cell r="BK22">
            <v>63.900791734876499</v>
          </cell>
          <cell r="BL22">
            <v>103.36447064538869</v>
          </cell>
          <cell r="BM22">
            <v>70.450624891855767</v>
          </cell>
          <cell r="BN22">
            <v>2011</v>
          </cell>
          <cell r="BO22">
            <v>1376.99712865729</v>
          </cell>
          <cell r="BP22">
            <v>2227.3993017535618</v>
          </cell>
          <cell r="BQ22">
            <v>1445.8469867409372</v>
          </cell>
          <cell r="BR22">
            <v>2010</v>
          </cell>
          <cell r="BS22">
            <v>80.54168860731528</v>
          </cell>
          <cell r="BT22">
            <v>122.9297626545353</v>
          </cell>
          <cell r="BU22">
            <v>61.943060765074414</v>
          </cell>
          <cell r="BV22">
            <v>2010</v>
          </cell>
          <cell r="BW22">
            <v>55.663028473814435</v>
          </cell>
          <cell r="BX22">
            <v>90.039251373933524</v>
          </cell>
          <cell r="BY22">
            <v>61.368488225957918</v>
          </cell>
          <cell r="BZ22">
            <v>2010</v>
          </cell>
          <cell r="CA22">
            <v>4998.1194351469476</v>
          </cell>
          <cell r="CB22">
            <v>8595.4645770791576</v>
          </cell>
          <cell r="CC22">
            <v>2450.8692264744259</v>
          </cell>
          <cell r="CD22">
            <v>2010</v>
          </cell>
          <cell r="CE22">
            <v>496.75048512442305</v>
          </cell>
          <cell r="CF22">
            <v>803.53230932212421</v>
          </cell>
          <cell r="CG22">
            <v>521.58800688424697</v>
          </cell>
          <cell r="CH22">
            <v>2010</v>
          </cell>
          <cell r="CI22">
            <v>601.0195340396757</v>
          </cell>
          <cell r="CJ22">
            <v>829.13188569806482</v>
          </cell>
          <cell r="CK22">
            <v>3079.469183449231</v>
          </cell>
          <cell r="CL22">
            <v>2010</v>
          </cell>
          <cell r="CM22">
            <v>3344.7000626001982</v>
          </cell>
          <cell r="CN22">
            <v>5404.8555491271563</v>
          </cell>
          <cell r="CO22">
            <v>3564.6916799547639</v>
          </cell>
          <cell r="CP22">
            <v>2010</v>
          </cell>
          <cell r="CQ22">
            <v>765.45454568973855</v>
          </cell>
          <cell r="CR22">
            <v>1238.1818993968552</v>
          </cell>
          <cell r="CS22">
            <v>843.9136363823784</v>
          </cell>
          <cell r="CT22">
            <v>2010</v>
          </cell>
          <cell r="CU22">
            <v>55.320286440115758</v>
          </cell>
          <cell r="CV22">
            <v>89.484839401303205</v>
          </cell>
          <cell r="CW22">
            <v>64.040144861120211</v>
          </cell>
          <cell r="CX22">
            <v>2010</v>
          </cell>
          <cell r="CY22">
            <v>884.32635046937003</v>
          </cell>
          <cell r="CZ22">
            <v>1448.7046476380881</v>
          </cell>
          <cell r="DA22">
            <v>836.57719525122468</v>
          </cell>
          <cell r="DB22">
            <v>2010</v>
          </cell>
          <cell r="DC22">
            <v>236.18842371467838</v>
          </cell>
          <cell r="DD22">
            <v>373.20043038024727</v>
          </cell>
          <cell r="DE22">
            <v>269.66494429187918</v>
          </cell>
          <cell r="DF22">
            <v>2013</v>
          </cell>
          <cell r="DG22">
            <v>567.7996220064166</v>
          </cell>
          <cell r="DH22">
            <v>918.45978037182022</v>
          </cell>
          <cell r="DI22">
            <v>596.18960009391026</v>
          </cell>
          <cell r="DJ22">
            <v>2010</v>
          </cell>
          <cell r="DK22">
            <v>137.50644931074763</v>
          </cell>
          <cell r="DL22">
            <v>218.10524951698514</v>
          </cell>
          <cell r="DM22">
            <v>150.9175053925189</v>
          </cell>
          <cell r="DN22">
            <v>2012</v>
          </cell>
          <cell r="DO22">
            <v>90.6931422923235</v>
          </cell>
          <cell r="DP22">
            <v>146.70316830896573</v>
          </cell>
          <cell r="DQ22">
            <v>95.227798630549472</v>
          </cell>
          <cell r="DR22">
            <v>2010</v>
          </cell>
          <cell r="DS22">
            <v>414.40458400764726</v>
          </cell>
          <cell r="DT22">
            <v>639.82978864416464</v>
          </cell>
          <cell r="DU22">
            <v>289.43834083408314</v>
          </cell>
          <cell r="DV22">
            <v>2010</v>
          </cell>
          <cell r="DW22">
            <v>668.40058262071295</v>
          </cell>
          <cell r="DX22">
            <v>1136.0535896368951</v>
          </cell>
          <cell r="DY22">
            <v>379.80801823041458</v>
          </cell>
          <cell r="DZ22">
            <v>2010</v>
          </cell>
          <cell r="EA22">
            <v>351.44833122989979</v>
          </cell>
          <cell r="EB22">
            <v>568.49484374895269</v>
          </cell>
          <cell r="EC22">
            <v>376.97664715777182</v>
          </cell>
          <cell r="ED22">
            <v>2010</v>
          </cell>
          <cell r="EE22">
            <v>372.1893610169775</v>
          </cell>
          <cell r="EF22">
            <v>602.04506327652189</v>
          </cell>
          <cell r="EG22">
            <v>408.70753573874663</v>
          </cell>
          <cell r="EH22">
            <v>2010</v>
          </cell>
          <cell r="EI22">
            <v>466.71933601551416</v>
          </cell>
          <cell r="EJ22">
            <v>754.95460532158256</v>
          </cell>
          <cell r="EK22">
            <v>490.05530438250383</v>
          </cell>
          <cell r="EL22">
            <v>2010</v>
          </cell>
          <cell r="EM22">
            <v>143.12627086270754</v>
          </cell>
          <cell r="EN22">
            <v>235.44461452136386</v>
          </cell>
          <cell r="EO22">
            <v>57.523823589338562</v>
          </cell>
          <cell r="EP22">
            <v>2010</v>
          </cell>
          <cell r="EQ22">
            <v>42.797382029568332</v>
          </cell>
          <cell r="ER22">
            <v>67.760268995563081</v>
          </cell>
          <cell r="ES22">
            <v>39.775699617570311</v>
          </cell>
          <cell r="ET22">
            <v>2010</v>
          </cell>
          <cell r="EU22">
            <v>278.40421508962982</v>
          </cell>
          <cell r="EV22">
            <v>467.87627830729468</v>
          </cell>
          <cell r="EW22">
            <v>202.07115522050057</v>
          </cell>
          <cell r="EX22">
            <v>2010</v>
          </cell>
          <cell r="EY22">
            <v>342.02570001674718</v>
          </cell>
          <cell r="EZ22">
            <v>571.0930373039123</v>
          </cell>
          <cell r="FA22">
            <v>269.17033430927489</v>
          </cell>
          <cell r="FB22">
            <v>2010</v>
          </cell>
          <cell r="FC22">
            <v>317.50131485167998</v>
          </cell>
          <cell r="FD22">
            <v>513.58292103465942</v>
          </cell>
          <cell r="FE22">
            <v>333.37638340184594</v>
          </cell>
          <cell r="FF22">
            <v>2010</v>
          </cell>
          <cell r="FG22">
            <v>15172.290359876422</v>
          </cell>
          <cell r="FH22">
            <v>25159.673948240285</v>
          </cell>
          <cell r="FI22">
            <v>13024.274956081044</v>
          </cell>
          <cell r="FJ22">
            <v>2010</v>
          </cell>
          <cell r="FK22">
            <v>401.29329575649314</v>
          </cell>
          <cell r="FL22">
            <v>649.12292718322192</v>
          </cell>
          <cell r="FM22">
            <v>476.12906517910864</v>
          </cell>
          <cell r="FN22">
            <v>2010</v>
          </cell>
          <cell r="FO22">
            <v>80.904336393965536</v>
          </cell>
          <cell r="FP22">
            <v>123.74305502648964</v>
          </cell>
          <cell r="FQ22">
            <v>60.933746453660184</v>
          </cell>
          <cell r="FR22">
            <v>2010</v>
          </cell>
          <cell r="FS22">
            <v>619.55655873418948</v>
          </cell>
          <cell r="FT22">
            <v>1002.1806269958045</v>
          </cell>
          <cell r="FU22">
            <v>677.7501147540853</v>
          </cell>
          <cell r="FV22">
            <v>2010</v>
          </cell>
          <cell r="FW22">
            <v>627.63994543474803</v>
          </cell>
          <cell r="FX22">
            <v>1009.9772713526999</v>
          </cell>
          <cell r="FY22">
            <v>575.65949972604676</v>
          </cell>
          <cell r="FZ22">
            <v>2010</v>
          </cell>
          <cell r="GA22">
            <v>803.38976698990928</v>
          </cell>
          <cell r="GB22">
            <v>1299.5450525178505</v>
          </cell>
          <cell r="GC22">
            <v>907.99930646608004</v>
          </cell>
          <cell r="GD22">
            <v>2010</v>
          </cell>
          <cell r="GE22">
            <v>1495.2082085852992</v>
          </cell>
          <cell r="GF22">
            <v>2418.6148615485481</v>
          </cell>
          <cell r="GG22">
            <v>1623.9374908935722</v>
          </cell>
          <cell r="GH22">
            <v>2010</v>
          </cell>
          <cell r="GI22">
            <v>231.75400721991846</v>
          </cell>
          <cell r="GJ22">
            <v>375.40631322828369</v>
          </cell>
          <cell r="GK22">
            <v>147.14949852873332</v>
          </cell>
          <cell r="GL22">
            <v>2010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row>
        <row r="23">
          <cell r="B23" t="str">
            <v>5%</v>
          </cell>
          <cell r="C23">
            <v>191.43857209376927</v>
          </cell>
          <cell r="D23">
            <v>304.19922544213313</v>
          </cell>
          <cell r="E23">
            <v>210.57691291213953</v>
          </cell>
          <cell r="F23">
            <v>2012</v>
          </cell>
          <cell r="G23">
            <v>995.42961922223651</v>
          </cell>
          <cell r="H23">
            <v>1610.1843591141135</v>
          </cell>
          <cell r="I23">
            <v>1097.0516440347549</v>
          </cell>
          <cell r="J23">
            <v>2011</v>
          </cell>
          <cell r="K23">
            <v>448.47932347049721</v>
          </cell>
          <cell r="L23">
            <v>725.44997416835679</v>
          </cell>
          <cell r="M23">
            <v>496.87470115778615</v>
          </cell>
          <cell r="N23">
            <v>2010</v>
          </cell>
          <cell r="O23">
            <v>660.62418193302847</v>
          </cell>
          <cell r="P23">
            <v>1068.6106827712197</v>
          </cell>
          <cell r="Q23">
            <v>693.65539250645179</v>
          </cell>
          <cell r="R23">
            <v>2010</v>
          </cell>
          <cell r="S23">
            <v>282.58748605652596</v>
          </cell>
          <cell r="T23">
            <v>457.10710330563006</v>
          </cell>
          <cell r="U23">
            <v>307.43586021759501</v>
          </cell>
          <cell r="V23">
            <v>2010</v>
          </cell>
          <cell r="W23">
            <v>449.55402371149808</v>
          </cell>
          <cell r="X23">
            <v>129.8061479382921</v>
          </cell>
          <cell r="Y23">
            <v>2972.5300223723798</v>
          </cell>
          <cell r="Z23">
            <v>2011</v>
          </cell>
          <cell r="AA23">
            <v>4026.3301668466233</v>
          </cell>
          <cell r="AB23">
            <v>6501.5770494421122</v>
          </cell>
          <cell r="AC23">
            <v>4453.1051152900154</v>
          </cell>
          <cell r="AD23">
            <v>2010</v>
          </cell>
          <cell r="AE23">
            <v>536.46727065676964</v>
          </cell>
          <cell r="AF23">
            <v>867.77728043280638</v>
          </cell>
          <cell r="AG23">
            <v>586.58564854052122</v>
          </cell>
          <cell r="AH23">
            <v>2010</v>
          </cell>
          <cell r="AI23">
            <v>608.99860856537441</v>
          </cell>
          <cell r="AJ23">
            <v>978.34804600306916</v>
          </cell>
          <cell r="AK23">
            <v>571.7426210593618</v>
          </cell>
          <cell r="AL23">
            <v>2010</v>
          </cell>
          <cell r="AM23">
            <v>76.334679213421381</v>
          </cell>
          <cell r="AN23">
            <v>114.44552158637396</v>
          </cell>
          <cell r="AO23">
            <v>67.226592895644245</v>
          </cell>
          <cell r="AP23">
            <v>2010</v>
          </cell>
          <cell r="AQ23">
            <v>1202.3356968672492</v>
          </cell>
          <cell r="AR23">
            <v>1963.5880091645224</v>
          </cell>
          <cell r="AS23">
            <v>863.694883896948</v>
          </cell>
          <cell r="AT23">
            <v>2010</v>
          </cell>
          <cell r="AU23">
            <v>269.18984641900829</v>
          </cell>
          <cell r="AV23">
            <v>429.74751566873647</v>
          </cell>
          <cell r="AW23">
            <v>299.867009845143</v>
          </cell>
          <cell r="AX23">
            <v>2012</v>
          </cell>
          <cell r="AY23">
            <v>792.20513936487578</v>
          </cell>
          <cell r="AZ23">
            <v>1273.8845019967423</v>
          </cell>
          <cell r="BA23">
            <v>789.95544147238991</v>
          </cell>
          <cell r="BB23">
            <v>2010</v>
          </cell>
          <cell r="BC23">
            <v>559.26940745072841</v>
          </cell>
          <cell r="BD23">
            <v>904.66149971201025</v>
          </cell>
          <cell r="BE23">
            <v>668.72675817915535</v>
          </cell>
          <cell r="BF23">
            <v>2010</v>
          </cell>
          <cell r="BG23">
            <v>3853.0839020526396</v>
          </cell>
          <cell r="BH23">
            <v>6232.6610654658853</v>
          </cell>
          <cell r="BI23">
            <v>4141.8813571971868</v>
          </cell>
          <cell r="BJ23">
            <v>2010</v>
          </cell>
          <cell r="BK23">
            <v>71.949941100269925</v>
          </cell>
          <cell r="BL23">
            <v>116.38459158857025</v>
          </cell>
          <cell r="BM23">
            <v>77.34708243781678</v>
          </cell>
          <cell r="BN23">
            <v>2011</v>
          </cell>
          <cell r="BO23">
            <v>1481.041139724503</v>
          </cell>
          <cell r="BP23">
            <v>2395.6985324192819</v>
          </cell>
          <cell r="BQ23">
            <v>1555.0931973691456</v>
          </cell>
          <cell r="BR23">
            <v>2010</v>
          </cell>
          <cell r="BS23">
            <v>86.890763858183433</v>
          </cell>
          <cell r="BT23">
            <v>133.49146721304865</v>
          </cell>
          <cell r="BU23">
            <v>67.291679759604605</v>
          </cell>
          <cell r="BV23">
            <v>2010</v>
          </cell>
          <cell r="BW23">
            <v>59.571132622432806</v>
          </cell>
          <cell r="BX23">
            <v>96.360911925002199</v>
          </cell>
          <cell r="BY23">
            <v>65.511073215443105</v>
          </cell>
          <cell r="BZ23">
            <v>2011</v>
          </cell>
          <cell r="CA23">
            <v>5244.5881139992061</v>
          </cell>
          <cell r="CB23">
            <v>9052.2213744341298</v>
          </cell>
          <cell r="CC23">
            <v>2609.4403769402593</v>
          </cell>
          <cell r="CD23">
            <v>2010</v>
          </cell>
          <cell r="CE23">
            <v>598.30494414261739</v>
          </cell>
          <cell r="CF23">
            <v>967.80449728559609</v>
          </cell>
          <cell r="CG23">
            <v>628.220189385607</v>
          </cell>
          <cell r="CH23">
            <v>2010</v>
          </cell>
          <cell r="CI23">
            <v>845.24939566395358</v>
          </cell>
          <cell r="CJ23">
            <v>1233.4811564635049</v>
          </cell>
          <cell r="CK23">
            <v>3158.1288804613159</v>
          </cell>
          <cell r="CL23">
            <v>2010</v>
          </cell>
          <cell r="CM23">
            <v>3482.466406516417</v>
          </cell>
          <cell r="CN23">
            <v>5619.7443142404618</v>
          </cell>
          <cell r="CO23">
            <v>3826.2939970152979</v>
          </cell>
          <cell r="CP23">
            <v>2010</v>
          </cell>
          <cell r="CQ23">
            <v>975.42702416308452</v>
          </cell>
          <cell r="CR23">
            <v>1577.8286143085113</v>
          </cell>
          <cell r="CS23">
            <v>1068.1508305595885</v>
          </cell>
          <cell r="CT23">
            <v>2010</v>
          </cell>
          <cell r="CU23">
            <v>71.18125694284781</v>
          </cell>
          <cell r="CV23">
            <v>115.14118518827993</v>
          </cell>
          <cell r="CW23">
            <v>80.938435734636371</v>
          </cell>
          <cell r="CX23">
            <v>2011</v>
          </cell>
          <cell r="CY23">
            <v>948.92288920333419</v>
          </cell>
          <cell r="CZ23">
            <v>1552.891648530207</v>
          </cell>
          <cell r="DA23">
            <v>905.15033225589207</v>
          </cell>
          <cell r="DB23">
            <v>2010</v>
          </cell>
          <cell r="DC23">
            <v>288.95048056700404</v>
          </cell>
          <cell r="DD23">
            <v>456.3290140449638</v>
          </cell>
          <cell r="DE23">
            <v>328.66585633069889</v>
          </cell>
          <cell r="DF23">
            <v>2013</v>
          </cell>
          <cell r="DG23">
            <v>584.70748144948436</v>
          </cell>
          <cell r="DH23">
            <v>945.80955011179412</v>
          </cell>
          <cell r="DI23">
            <v>613.942852750626</v>
          </cell>
          <cell r="DJ23">
            <v>2010</v>
          </cell>
          <cell r="DK23">
            <v>140.97491011208751</v>
          </cell>
          <cell r="DL23">
            <v>222.62206543501065</v>
          </cell>
          <cell r="DM23">
            <v>152.1441668476744</v>
          </cell>
          <cell r="DN23">
            <v>2012</v>
          </cell>
          <cell r="DO23">
            <v>99.642364692240633</v>
          </cell>
          <cell r="DP23">
            <v>161.17922704830593</v>
          </cell>
          <cell r="DQ23">
            <v>104.62448095148729</v>
          </cell>
          <cell r="DR23">
            <v>2010</v>
          </cell>
          <cell r="DS23">
            <v>445.63674245163043</v>
          </cell>
          <cell r="DT23">
            <v>688.66775890281588</v>
          </cell>
          <cell r="DU23">
            <v>327.23023454359804</v>
          </cell>
          <cell r="DV23">
            <v>2010</v>
          </cell>
          <cell r="DW23">
            <v>738.64211765954906</v>
          </cell>
          <cell r="DX23">
            <v>1243.9249883238724</v>
          </cell>
          <cell r="DY23">
            <v>396.56779786220801</v>
          </cell>
          <cell r="DZ23">
            <v>2010</v>
          </cell>
          <cell r="EA23">
            <v>360.32540832323701</v>
          </cell>
          <cell r="EB23">
            <v>582.85420191359219</v>
          </cell>
          <cell r="EC23">
            <v>387.02857285257471</v>
          </cell>
          <cell r="ED23">
            <v>2010</v>
          </cell>
          <cell r="EE23">
            <v>408.38241066038847</v>
          </cell>
          <cell r="EF23">
            <v>660.5901184069985</v>
          </cell>
          <cell r="EG23">
            <v>456.15221895558255</v>
          </cell>
          <cell r="EH23">
            <v>2010</v>
          </cell>
          <cell r="EI23">
            <v>599.37359645315178</v>
          </cell>
          <cell r="EJ23">
            <v>969.53312606122677</v>
          </cell>
          <cell r="EK23">
            <v>629.34227724867708</v>
          </cell>
          <cell r="EL23">
            <v>2010</v>
          </cell>
          <cell r="EM23">
            <v>157.66899568098469</v>
          </cell>
          <cell r="EN23">
            <v>257.62310522362753</v>
          </cell>
          <cell r="EO23">
            <v>64.004686388957182</v>
          </cell>
          <cell r="EP23">
            <v>2010</v>
          </cell>
          <cell r="EQ23">
            <v>83.885554216401474</v>
          </cell>
          <cell r="ER23">
            <v>121.81979944873156</v>
          </cell>
          <cell r="ES23">
            <v>72.33201515983454</v>
          </cell>
          <cell r="ET23">
            <v>2010</v>
          </cell>
          <cell r="EU23">
            <v>299.67676052084386</v>
          </cell>
          <cell r="EV23">
            <v>502.80380665508977</v>
          </cell>
          <cell r="EW23">
            <v>221.9119994613219</v>
          </cell>
          <cell r="EX23">
            <v>2010</v>
          </cell>
          <cell r="EY23">
            <v>366.76684904008863</v>
          </cell>
          <cell r="EZ23">
            <v>611.23878812937289</v>
          </cell>
          <cell r="FA23">
            <v>291.42953264431287</v>
          </cell>
          <cell r="FB23">
            <v>2010</v>
          </cell>
          <cell r="FC23">
            <v>339.67862885646372</v>
          </cell>
          <cell r="FD23">
            <v>549.45644079831993</v>
          </cell>
          <cell r="FE23">
            <v>356.66256257745084</v>
          </cell>
          <cell r="FF23">
            <v>2010</v>
          </cell>
          <cell r="FG23">
            <v>15646.009118274025</v>
          </cell>
          <cell r="FH23">
            <v>25939.162582304445</v>
          </cell>
          <cell r="FI23">
            <v>13324.657580118674</v>
          </cell>
          <cell r="FJ23">
            <v>2010</v>
          </cell>
          <cell r="FK23">
            <v>448.6485197524816</v>
          </cell>
          <cell r="FL23">
            <v>725.72366252267375</v>
          </cell>
          <cell r="FM23">
            <v>537.89889977472581</v>
          </cell>
          <cell r="FN23">
            <v>2012</v>
          </cell>
          <cell r="FO23">
            <v>86.796337655592978</v>
          </cell>
          <cell r="FP23">
            <v>133.07846261687106</v>
          </cell>
          <cell r="FQ23">
            <v>67.378411471877513</v>
          </cell>
          <cell r="FR23">
            <v>2010</v>
          </cell>
          <cell r="FS23">
            <v>643.43478828287209</v>
          </cell>
          <cell r="FT23">
            <v>1040.8055096226735</v>
          </cell>
          <cell r="FU23">
            <v>703.70485868608091</v>
          </cell>
          <cell r="FV23">
            <v>2010</v>
          </cell>
          <cell r="FW23">
            <v>655.39483763581347</v>
          </cell>
          <cell r="FX23">
            <v>1052.1560176659486</v>
          </cell>
          <cell r="FY23">
            <v>629.31849195433381</v>
          </cell>
          <cell r="FZ23">
            <v>2010</v>
          </cell>
          <cell r="GA23">
            <v>846.38753553542722</v>
          </cell>
          <cell r="GB23">
            <v>1369.097267188914</v>
          </cell>
          <cell r="GC23">
            <v>1013.7299478265597</v>
          </cell>
          <cell r="GD23">
            <v>2010</v>
          </cell>
          <cell r="GE23">
            <v>1696.48199477504</v>
          </cell>
          <cell r="GF23">
            <v>2744.190768975121</v>
          </cell>
          <cell r="GG23">
            <v>1776.077035636564</v>
          </cell>
          <cell r="GH23">
            <v>2010</v>
          </cell>
          <cell r="GI23">
            <v>263.31514502895175</v>
          </cell>
          <cell r="GJ23">
            <v>421.88573263668087</v>
          </cell>
          <cell r="GK23">
            <v>161.84115873088257</v>
          </cell>
          <cell r="GL23">
            <v>2010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row>
        <row r="24">
          <cell r="B24" t="str">
            <v>10%</v>
          </cell>
          <cell r="C24">
            <v>192.73814010242009</v>
          </cell>
          <cell r="D24">
            <v>305.94789053573146</v>
          </cell>
          <cell r="E24">
            <v>211.45957087443929</v>
          </cell>
          <cell r="F24">
            <v>2012</v>
          </cell>
          <cell r="G24">
            <v>1025.6812849640492</v>
          </cell>
          <cell r="H24">
            <v>1659.1187661110889</v>
          </cell>
          <cell r="I24">
            <v>1130.2422771367237</v>
          </cell>
          <cell r="J24">
            <v>2011</v>
          </cell>
          <cell r="K24">
            <v>471.13583957755941</v>
          </cell>
          <cell r="L24">
            <v>762.09864038243586</v>
          </cell>
          <cell r="M24">
            <v>518.39917323718566</v>
          </cell>
          <cell r="N24">
            <v>2010</v>
          </cell>
          <cell r="O24">
            <v>727.33127116308481</v>
          </cell>
          <cell r="P24">
            <v>1176.5145554856658</v>
          </cell>
          <cell r="Q24">
            <v>763.69783335040472</v>
          </cell>
          <cell r="R24">
            <v>2010</v>
          </cell>
          <cell r="S24">
            <v>294.41749646953326</v>
          </cell>
          <cell r="T24">
            <v>476.24305994439385</v>
          </cell>
          <cell r="U24">
            <v>319.62809373059122</v>
          </cell>
          <cell r="V24">
            <v>2010</v>
          </cell>
          <cell r="W24">
            <v>526.43916659797128</v>
          </cell>
          <cell r="X24">
            <v>275.97464550303022</v>
          </cell>
          <cell r="Y24">
            <v>3007.2627359483563</v>
          </cell>
          <cell r="Z24">
            <v>2011</v>
          </cell>
          <cell r="AA24">
            <v>4082.994652936241</v>
          </cell>
          <cell r="AB24">
            <v>6590.8878511738612</v>
          </cell>
          <cell r="AC24">
            <v>4531.7126595872114</v>
          </cell>
          <cell r="AD24">
            <v>2011</v>
          </cell>
          <cell r="AE24">
            <v>545.38412685348135</v>
          </cell>
          <cell r="AF24">
            <v>882.2009847921679</v>
          </cell>
          <cell r="AG24">
            <v>595.84904014838548</v>
          </cell>
          <cell r="AH24">
            <v>2010</v>
          </cell>
          <cell r="AI24">
            <v>621.99019133799334</v>
          </cell>
          <cell r="AJ24">
            <v>997.13631365300353</v>
          </cell>
          <cell r="AK24">
            <v>583.4094975625635</v>
          </cell>
          <cell r="AL24">
            <v>2011</v>
          </cell>
          <cell r="AM24">
            <v>78.70981543639904</v>
          </cell>
          <cell r="AN24">
            <v>118.46682894860214</v>
          </cell>
          <cell r="AO24">
            <v>70.071340496087274</v>
          </cell>
          <cell r="AP24">
            <v>2010</v>
          </cell>
          <cell r="AQ24">
            <v>1216.8262767506224</v>
          </cell>
          <cell r="AR24">
            <v>1993.7666255598028</v>
          </cell>
          <cell r="AS24">
            <v>873.79602578122456</v>
          </cell>
          <cell r="AT24">
            <v>2010</v>
          </cell>
          <cell r="AU24">
            <v>270.78935038706243</v>
          </cell>
          <cell r="AV24">
            <v>431.92355492864993</v>
          </cell>
          <cell r="AW24">
            <v>301.11662277251855</v>
          </cell>
          <cell r="AX24">
            <v>2012</v>
          </cell>
          <cell r="AY24">
            <v>808.2045756766089</v>
          </cell>
          <cell r="AZ24">
            <v>1299.4492650123495</v>
          </cell>
          <cell r="BA24">
            <v>808.09973069077921</v>
          </cell>
          <cell r="BB24">
            <v>2011</v>
          </cell>
          <cell r="BC24">
            <v>572.28113747033854</v>
          </cell>
          <cell r="BD24">
            <v>925.70897870019917</v>
          </cell>
          <cell r="BE24">
            <v>685.12335432546229</v>
          </cell>
          <cell r="BF24">
            <v>2011</v>
          </cell>
          <cell r="BG24">
            <v>3899.81557113394</v>
          </cell>
          <cell r="BH24">
            <v>6308.2531526777648</v>
          </cell>
          <cell r="BI24">
            <v>4182.3743042355864</v>
          </cell>
          <cell r="BJ24">
            <v>2010</v>
          </cell>
          <cell r="BK24">
            <v>75.562383094437223</v>
          </cell>
          <cell r="BL24">
            <v>122.22799628426334</v>
          </cell>
          <cell r="BM24">
            <v>80.455557253858913</v>
          </cell>
          <cell r="BN24">
            <v>2011</v>
          </cell>
          <cell r="BO24">
            <v>1526.1756416757739</v>
          </cell>
          <cell r="BP24">
            <v>2468.7070773936598</v>
          </cell>
          <cell r="BQ24">
            <v>1602.484420814581</v>
          </cell>
          <cell r="BR24">
            <v>2010</v>
          </cell>
          <cell r="BS24">
            <v>89.81935678769625</v>
          </cell>
          <cell r="BT24">
            <v>137.99705532674088</v>
          </cell>
          <cell r="BU24">
            <v>70.127475218676679</v>
          </cell>
          <cell r="BV24">
            <v>2010</v>
          </cell>
          <cell r="BW24">
            <v>61.378397041238131</v>
          </cell>
          <cell r="BX24">
            <v>99.284301986375468</v>
          </cell>
          <cell r="BY24">
            <v>67.640849119531367</v>
          </cell>
          <cell r="BZ24">
            <v>2011</v>
          </cell>
          <cell r="CA24">
            <v>5322.8207446629913</v>
          </cell>
          <cell r="CB24">
            <v>9227.777575380469</v>
          </cell>
          <cell r="CC24">
            <v>2688.2509761795372</v>
          </cell>
          <cell r="CD24">
            <v>2011</v>
          </cell>
          <cell r="CE24">
            <v>659.59917079538081</v>
          </cell>
          <cell r="CF24">
            <v>1066.952647725285</v>
          </cell>
          <cell r="CG24">
            <v>692.57912765332298</v>
          </cell>
          <cell r="CH24">
            <v>2010</v>
          </cell>
          <cell r="CI24">
            <v>925.76456221805188</v>
          </cell>
          <cell r="CJ24">
            <v>1368.3882328965678</v>
          </cell>
          <cell r="CK24">
            <v>3193.1768034311476</v>
          </cell>
          <cell r="CL24">
            <v>2010</v>
          </cell>
          <cell r="CM24">
            <v>3536.9970099057859</v>
          </cell>
          <cell r="CN24">
            <v>5707.8350302346107</v>
          </cell>
          <cell r="CO24">
            <v>3896.5355614218888</v>
          </cell>
          <cell r="CP24">
            <v>2011</v>
          </cell>
          <cell r="CQ24">
            <v>1077.4868197904818</v>
          </cell>
          <cell r="CR24">
            <v>1742.9182239867182</v>
          </cell>
          <cell r="CS24">
            <v>1177.9721268771546</v>
          </cell>
          <cell r="CT24">
            <v>2011</v>
          </cell>
          <cell r="CU24">
            <v>76.883061262580995</v>
          </cell>
          <cell r="CV24">
            <v>124.36429484755506</v>
          </cell>
          <cell r="CW24">
            <v>88.024580131561223</v>
          </cell>
          <cell r="CX24">
            <v>2012</v>
          </cell>
          <cell r="CY24">
            <v>983.22575152197555</v>
          </cell>
          <cell r="CZ24">
            <v>1608.928947433451</v>
          </cell>
          <cell r="DA24">
            <v>940.79620844347289</v>
          </cell>
          <cell r="DB24">
            <v>2010</v>
          </cell>
          <cell r="DC24">
            <v>307.83224120757461</v>
          </cell>
          <cell r="DD24">
            <v>487.11958412819695</v>
          </cell>
          <cell r="DE24">
            <v>355.38881075377543</v>
          </cell>
          <cell r="DF24">
            <v>2013</v>
          </cell>
          <cell r="DG24">
            <v>594.4605230087318</v>
          </cell>
          <cell r="DH24">
            <v>961.58584901876884</v>
          </cell>
          <cell r="DI24">
            <v>624.18354804097237</v>
          </cell>
          <cell r="DJ24">
            <v>2010</v>
          </cell>
          <cell r="DK24">
            <v>141.96933267258331</v>
          </cell>
          <cell r="DL24">
            <v>224.12603309461454</v>
          </cell>
          <cell r="DM24">
            <v>152.77841715199892</v>
          </cell>
          <cell r="DN24">
            <v>2012</v>
          </cell>
          <cell r="DO24">
            <v>104.52893571985632</v>
          </cell>
          <cell r="DP24">
            <v>169.08363374475289</v>
          </cell>
          <cell r="DQ24">
            <v>109.75538166823556</v>
          </cell>
          <cell r="DR24">
            <v>2010</v>
          </cell>
          <cell r="DS24">
            <v>458.79788415918517</v>
          </cell>
          <cell r="DT24">
            <v>708.03422520624179</v>
          </cell>
          <cell r="DU24">
            <v>340.92553381203686</v>
          </cell>
          <cell r="DV24">
            <v>2011</v>
          </cell>
          <cell r="DW24">
            <v>762.66326879531698</v>
          </cell>
          <cell r="DX24">
            <v>1278.3702543216957</v>
          </cell>
          <cell r="DY24">
            <v>403.33339388858343</v>
          </cell>
          <cell r="DZ24">
            <v>2010</v>
          </cell>
          <cell r="EA24">
            <v>364.75924189172611</v>
          </cell>
          <cell r="EB24">
            <v>590.02627109421132</v>
          </cell>
          <cell r="EC24">
            <v>390.97672018539697</v>
          </cell>
          <cell r="ED24">
            <v>2010</v>
          </cell>
          <cell r="EE24">
            <v>428.18728835161045</v>
          </cell>
          <cell r="EF24">
            <v>692.62603941416035</v>
          </cell>
          <cell r="EG24">
            <v>473.52587726907672</v>
          </cell>
          <cell r="EH24">
            <v>2010</v>
          </cell>
          <cell r="EI24">
            <v>660.75691677125212</v>
          </cell>
          <cell r="EJ24">
            <v>1068.8253905314421</v>
          </cell>
          <cell r="EK24">
            <v>693.79476164596701</v>
          </cell>
          <cell r="EL24">
            <v>2010</v>
          </cell>
          <cell r="EM24">
            <v>166.32625004506207</v>
          </cell>
          <cell r="EN24">
            <v>270.28811229119998</v>
          </cell>
          <cell r="EO24">
            <v>66.611764267772898</v>
          </cell>
          <cell r="EP24">
            <v>2010</v>
          </cell>
          <cell r="EQ24">
            <v>95.671280820712155</v>
          </cell>
          <cell r="ER24">
            <v>140.88798163528222</v>
          </cell>
          <cell r="ES24">
            <v>84.901771456956482</v>
          </cell>
          <cell r="ET24">
            <v>2011</v>
          </cell>
          <cell r="EU24">
            <v>309.6743763676136</v>
          </cell>
          <cell r="EV24">
            <v>519.04377065227322</v>
          </cell>
          <cell r="EW24">
            <v>230.86963751888146</v>
          </cell>
          <cell r="EX24">
            <v>2010</v>
          </cell>
          <cell r="EY24">
            <v>378.40409870128161</v>
          </cell>
          <cell r="EZ24">
            <v>630.41547533236951</v>
          </cell>
          <cell r="FA24">
            <v>303.13360580928787</v>
          </cell>
          <cell r="FB24">
            <v>2010</v>
          </cell>
          <cell r="FC24">
            <v>349.98170197040258</v>
          </cell>
          <cell r="FD24">
            <v>566.12245707465809</v>
          </cell>
          <cell r="FE24">
            <v>367.48078545369418</v>
          </cell>
          <cell r="FF24">
            <v>2010</v>
          </cell>
          <cell r="FG24">
            <v>15785.732503965757</v>
          </cell>
          <cell r="FH24">
            <v>26200.046092785651</v>
          </cell>
          <cell r="FI24">
            <v>13418.362194986756</v>
          </cell>
          <cell r="FJ24">
            <v>2010</v>
          </cell>
          <cell r="FK24">
            <v>468.78607843716281</v>
          </cell>
          <cell r="FL24">
            <v>758.29772029285198</v>
          </cell>
          <cell r="FM24">
            <v>566.23478834025912</v>
          </cell>
          <cell r="FN24">
            <v>2013</v>
          </cell>
          <cell r="FO24">
            <v>90.113360829371388</v>
          </cell>
          <cell r="FP24">
            <v>138.21437300412705</v>
          </cell>
          <cell r="FQ24">
            <v>70.126168645564618</v>
          </cell>
          <cell r="FR24">
            <v>2010</v>
          </cell>
          <cell r="FS24">
            <v>654.52428643587689</v>
          </cell>
          <cell r="FT24">
            <v>1058.7436296881128</v>
          </cell>
          <cell r="FU24">
            <v>715.12052880266083</v>
          </cell>
          <cell r="FV24">
            <v>2010</v>
          </cell>
          <cell r="FW24">
            <v>665.66470956455828</v>
          </cell>
          <cell r="FX24">
            <v>1068.2574621408664</v>
          </cell>
          <cell r="FY24">
            <v>642.16758263173529</v>
          </cell>
          <cell r="FZ24">
            <v>2011</v>
          </cell>
          <cell r="GA24">
            <v>866.73559752830033</v>
          </cell>
          <cell r="GB24">
            <v>1402.0118300220149</v>
          </cell>
          <cell r="GC24">
            <v>1039.1617609549451</v>
          </cell>
          <cell r="GD24">
            <v>2011</v>
          </cell>
          <cell r="GE24">
            <v>1782.6124721118445</v>
          </cell>
          <cell r="GF24">
            <v>2883.5134748669821</v>
          </cell>
          <cell r="GG24">
            <v>1855.9017543353598</v>
          </cell>
          <cell r="GH24">
            <v>2010</v>
          </cell>
          <cell r="GI24">
            <v>274.87287942750362</v>
          </cell>
          <cell r="GJ24">
            <v>435.21855803195353</v>
          </cell>
          <cell r="GK24">
            <v>167.97524675829641</v>
          </cell>
          <cell r="GL24">
            <v>2010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row>
        <row r="25">
          <cell r="B25" t="str">
            <v>15%</v>
          </cell>
          <cell r="C25">
            <v>193.84653612477342</v>
          </cell>
          <cell r="D25">
            <v>307.62211794453941</v>
          </cell>
          <cell r="E25">
            <v>212.1395471920392</v>
          </cell>
          <cell r="F25">
            <v>2012</v>
          </cell>
          <cell r="G25">
            <v>1049.5013459857148</v>
          </cell>
          <cell r="H25">
            <v>1697.6495568466137</v>
          </cell>
          <cell r="I25">
            <v>1154.8480773547856</v>
          </cell>
          <cell r="J25">
            <v>2011</v>
          </cell>
          <cell r="K25">
            <v>488.89525428485678</v>
          </cell>
          <cell r="L25">
            <v>788.71764883236199</v>
          </cell>
          <cell r="M25">
            <v>534.2805853279184</v>
          </cell>
          <cell r="N25">
            <v>2010</v>
          </cell>
          <cell r="O25">
            <v>787.68606248516767</v>
          </cell>
          <cell r="P25">
            <v>1274.143095751677</v>
          </cell>
          <cell r="Q25">
            <v>827.07036244387086</v>
          </cell>
          <cell r="R25">
            <v>2010</v>
          </cell>
          <cell r="S25">
            <v>303.99705631630962</v>
          </cell>
          <cell r="T25">
            <v>491.73873817686098</v>
          </cell>
          <cell r="U25">
            <v>329.25883050948914</v>
          </cell>
          <cell r="V25">
            <v>2011</v>
          </cell>
          <cell r="W25">
            <v>581.81651433016316</v>
          </cell>
          <cell r="X25">
            <v>364.81032159727283</v>
          </cell>
          <cell r="Y25">
            <v>3033.5408261097414</v>
          </cell>
          <cell r="Z25">
            <v>2011</v>
          </cell>
          <cell r="AA25">
            <v>4136.5616217239431</v>
          </cell>
          <cell r="AB25">
            <v>6674.7530444254789</v>
          </cell>
          <cell r="AC25">
            <v>4580.5039723086184</v>
          </cell>
          <cell r="AD25">
            <v>2012</v>
          </cell>
          <cell r="AE25">
            <v>552.52266909954869</v>
          </cell>
          <cell r="AF25">
            <v>893.7481291204906</v>
          </cell>
          <cell r="AG25">
            <v>602.80927651341028</v>
          </cell>
          <cell r="AH25">
            <v>2010</v>
          </cell>
          <cell r="AI25">
            <v>630.86152114219101</v>
          </cell>
          <cell r="AJ25">
            <v>1011.6064092181957</v>
          </cell>
          <cell r="AK25">
            <v>592.60906077427649</v>
          </cell>
          <cell r="AL25">
            <v>2012</v>
          </cell>
          <cell r="AM25">
            <v>80.911464836990433</v>
          </cell>
          <cell r="AN25">
            <v>121.90623298774989</v>
          </cell>
          <cell r="AO25">
            <v>72.181802604321277</v>
          </cell>
          <cell r="AP25">
            <v>2011</v>
          </cell>
          <cell r="AQ25">
            <v>1230.0438455427734</v>
          </cell>
          <cell r="AR25">
            <v>2013.5010866506743</v>
          </cell>
          <cell r="AS25">
            <v>882.26399646497509</v>
          </cell>
          <cell r="AT25">
            <v>2010</v>
          </cell>
          <cell r="AU25">
            <v>271.86946434848329</v>
          </cell>
          <cell r="AV25">
            <v>433.51472476763081</v>
          </cell>
          <cell r="AW25">
            <v>302.10290605163107</v>
          </cell>
          <cell r="AX25">
            <v>2012</v>
          </cell>
          <cell r="AY25">
            <v>817.66959683179834</v>
          </cell>
          <cell r="AZ25">
            <v>1315.5821425106608</v>
          </cell>
          <cell r="BA25">
            <v>821.20993531727265</v>
          </cell>
          <cell r="BB25">
            <v>2012</v>
          </cell>
          <cell r="BC25">
            <v>582.97701293248372</v>
          </cell>
          <cell r="BD25">
            <v>943.01038398321123</v>
          </cell>
          <cell r="BE25">
            <v>696.05568747731024</v>
          </cell>
          <cell r="BF25">
            <v>2012</v>
          </cell>
          <cell r="BG25">
            <v>3933.1236468589968</v>
          </cell>
          <cell r="BH25">
            <v>6362.1315406114927</v>
          </cell>
          <cell r="BI25">
            <v>4212.1976731624345</v>
          </cell>
          <cell r="BJ25">
            <v>2010</v>
          </cell>
          <cell r="BK25">
            <v>78.379900223081421</v>
          </cell>
          <cell r="BL25">
            <v>126.78554680473748</v>
          </cell>
          <cell r="BM25">
            <v>82.853416153617843</v>
          </cell>
          <cell r="BN25">
            <v>2011</v>
          </cell>
          <cell r="BO25">
            <v>1560.3606692461701</v>
          </cell>
          <cell r="BP25">
            <v>2524.0040027481359</v>
          </cell>
          <cell r="BQ25">
            <v>1638.3787025514673</v>
          </cell>
          <cell r="BR25">
            <v>2010</v>
          </cell>
          <cell r="BS25">
            <v>92.074071910248534</v>
          </cell>
          <cell r="BT25">
            <v>141.57710309573577</v>
          </cell>
          <cell r="BU25">
            <v>72.214881066572502</v>
          </cell>
          <cell r="BV25">
            <v>2011</v>
          </cell>
          <cell r="BW25">
            <v>62.822087389648047</v>
          </cell>
          <cell r="BX25">
            <v>101.61958236442334</v>
          </cell>
          <cell r="BY25">
            <v>69.075193180299536</v>
          </cell>
          <cell r="BZ25">
            <v>2011</v>
          </cell>
          <cell r="CA25">
            <v>5394.2765855232528</v>
          </cell>
          <cell r="CB25">
            <v>9379.1421691632931</v>
          </cell>
          <cell r="CC25">
            <v>2755.4347335042635</v>
          </cell>
          <cell r="CD25">
            <v>2012</v>
          </cell>
          <cell r="CE25">
            <v>712.63541901332871</v>
          </cell>
          <cell r="CF25">
            <v>1152.7428794328803</v>
          </cell>
          <cell r="CG25">
            <v>748.26719399709953</v>
          </cell>
          <cell r="CH25">
            <v>2010</v>
          </cell>
          <cell r="CI25">
            <v>972.13683780125609</v>
          </cell>
          <cell r="CJ25">
            <v>1447.9231529342633</v>
          </cell>
          <cell r="CK25">
            <v>3222.2203199785217</v>
          </cell>
          <cell r="CL25">
            <v>2010</v>
          </cell>
          <cell r="CM25">
            <v>3576.134784474169</v>
          </cell>
          <cell r="CN25">
            <v>5771.9208012073177</v>
          </cell>
          <cell r="CO25">
            <v>3943.5243647228999</v>
          </cell>
          <cell r="CP25">
            <v>2012</v>
          </cell>
          <cell r="CQ25">
            <v>1153.1714981176606</v>
          </cell>
          <cell r="CR25">
            <v>1865.3440414164947</v>
          </cell>
          <cell r="CS25">
            <v>1253.6656832661104</v>
          </cell>
          <cell r="CT25">
            <v>2011</v>
          </cell>
          <cell r="CU25">
            <v>82.170041121489433</v>
          </cell>
          <cell r="CV25">
            <v>132.916394300289</v>
          </cell>
          <cell r="CW25">
            <v>93.720987165540706</v>
          </cell>
          <cell r="CX25">
            <v>2012</v>
          </cell>
          <cell r="CY25">
            <v>1009.4261119480939</v>
          </cell>
          <cell r="CZ25">
            <v>1650.880526281373</v>
          </cell>
          <cell r="DA25">
            <v>967.87748854667177</v>
          </cell>
          <cell r="DB25">
            <v>2010</v>
          </cell>
          <cell r="DC25">
            <v>327.37094354030251</v>
          </cell>
          <cell r="DD25">
            <v>519.59537433182822</v>
          </cell>
          <cell r="DE25">
            <v>376.14260431400004</v>
          </cell>
          <cell r="DF25">
            <v>2013</v>
          </cell>
          <cell r="DG25">
            <v>601.62219817916014</v>
          </cell>
          <cell r="DH25">
            <v>973.17041270711047</v>
          </cell>
          <cell r="DI25">
            <v>631.7033085165956</v>
          </cell>
          <cell r="DJ25">
            <v>2010</v>
          </cell>
          <cell r="DK25">
            <v>142.79023542587552</v>
          </cell>
          <cell r="DL25">
            <v>225.11944561535967</v>
          </cell>
          <cell r="DM25">
            <v>153.27256698431293</v>
          </cell>
          <cell r="DN25">
            <v>2012</v>
          </cell>
          <cell r="DO25">
            <v>108.07869448162734</v>
          </cell>
          <cell r="DP25">
            <v>174.82564353014601</v>
          </cell>
          <cell r="DQ25">
            <v>113.48263105150492</v>
          </cell>
          <cell r="DR25">
            <v>2010</v>
          </cell>
          <cell r="DS25">
            <v>466.8806028928513</v>
          </cell>
          <cell r="DT25">
            <v>721.08460560679839</v>
          </cell>
          <cell r="DU25">
            <v>350.72941336914681</v>
          </cell>
          <cell r="DV25">
            <v>2012</v>
          </cell>
          <cell r="DW25">
            <v>780.60888025927329</v>
          </cell>
          <cell r="DX25">
            <v>1301.2027633841967</v>
          </cell>
          <cell r="DY25">
            <v>408.21983991492993</v>
          </cell>
          <cell r="DZ25">
            <v>2010</v>
          </cell>
          <cell r="EA25">
            <v>368.10950277608293</v>
          </cell>
          <cell r="EB25">
            <v>595.44557694455773</v>
          </cell>
          <cell r="EC25">
            <v>393.12502320849427</v>
          </cell>
          <cell r="ED25">
            <v>2010</v>
          </cell>
          <cell r="EE25">
            <v>444.8158040302784</v>
          </cell>
          <cell r="EF25">
            <v>719.09319014803623</v>
          </cell>
          <cell r="EG25">
            <v>487.02678036153958</v>
          </cell>
          <cell r="EH25">
            <v>2010</v>
          </cell>
          <cell r="EI25">
            <v>715.51811706629144</v>
          </cell>
          <cell r="EJ25">
            <v>1157.4058652956467</v>
          </cell>
          <cell r="EK25">
            <v>751.29402235347777</v>
          </cell>
          <cell r="EL25">
            <v>2010</v>
          </cell>
          <cell r="EM25">
            <v>184.58900744096997</v>
          </cell>
          <cell r="EN25">
            <v>283.50519805863416</v>
          </cell>
          <cell r="EO25">
            <v>69.140495872789529</v>
          </cell>
          <cell r="EP25">
            <v>2011</v>
          </cell>
          <cell r="EQ25">
            <v>105.27285348194951</v>
          </cell>
          <cell r="ER25">
            <v>154.6686117814877</v>
          </cell>
          <cell r="ES25">
            <v>96.498167579576432</v>
          </cell>
          <cell r="ET25">
            <v>2012</v>
          </cell>
          <cell r="EU25">
            <v>315.52082936428542</v>
          </cell>
          <cell r="EV25">
            <v>528.56106764326466</v>
          </cell>
          <cell r="EW25">
            <v>237.47892284102969</v>
          </cell>
          <cell r="EX25">
            <v>2010</v>
          </cell>
          <cell r="EY25">
            <v>387.07153989914588</v>
          </cell>
          <cell r="EZ25">
            <v>644.52714855192767</v>
          </cell>
          <cell r="FA25">
            <v>311.65334276278043</v>
          </cell>
          <cell r="FB25">
            <v>2010</v>
          </cell>
          <cell r="FC25">
            <v>358.0714288263195</v>
          </cell>
          <cell r="FD25">
            <v>579.20821538140206</v>
          </cell>
          <cell r="FE25">
            <v>375.97499680288104</v>
          </cell>
          <cell r="FF25">
            <v>2010</v>
          </cell>
          <cell r="FG25">
            <v>15891.840820633</v>
          </cell>
          <cell r="FH25">
            <v>26385.407903665699</v>
          </cell>
          <cell r="FI25">
            <v>13479.815874566959</v>
          </cell>
          <cell r="FJ25">
            <v>2010</v>
          </cell>
          <cell r="FK25">
            <v>484.63842960350843</v>
          </cell>
          <cell r="FL25">
            <v>783.94012413334542</v>
          </cell>
          <cell r="FM25">
            <v>584.01271198748748</v>
          </cell>
          <cell r="FN25">
            <v>2013</v>
          </cell>
          <cell r="FO25">
            <v>91.815231730770549</v>
          </cell>
          <cell r="FP25">
            <v>141.43266836360689</v>
          </cell>
          <cell r="FQ25">
            <v>72.084753469487083</v>
          </cell>
          <cell r="FR25">
            <v>2011</v>
          </cell>
          <cell r="FS25">
            <v>662.22609453238817</v>
          </cell>
          <cell r="FT25">
            <v>1071.2018997787522</v>
          </cell>
          <cell r="FU25">
            <v>723.47120375281861</v>
          </cell>
          <cell r="FV25">
            <v>2010</v>
          </cell>
          <cell r="FW25">
            <v>675.89312739561501</v>
          </cell>
          <cell r="FX25">
            <v>1084.5610306795622</v>
          </cell>
          <cell r="FY25">
            <v>650.17149813089418</v>
          </cell>
          <cell r="FZ25">
            <v>2012</v>
          </cell>
          <cell r="GA25">
            <v>881.77936138228688</v>
          </cell>
          <cell r="GB25">
            <v>1426.346281456601</v>
          </cell>
          <cell r="GC25">
            <v>1056.8128796002356</v>
          </cell>
          <cell r="GD25">
            <v>2012</v>
          </cell>
          <cell r="GE25">
            <v>1851.296873551863</v>
          </cell>
          <cell r="GF25">
            <v>2994.6158040594187</v>
          </cell>
          <cell r="GG25">
            <v>1901.7840761480641</v>
          </cell>
          <cell r="GH25">
            <v>2010</v>
          </cell>
          <cell r="GI25">
            <v>287.42394970877348</v>
          </cell>
          <cell r="GJ25">
            <v>444.16734497866196</v>
          </cell>
          <cell r="GK25">
            <v>173.54532935704367</v>
          </cell>
          <cell r="GL25">
            <v>2011</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row>
        <row r="26">
          <cell r="B26" t="str">
            <v>20%</v>
          </cell>
          <cell r="C26">
            <v>194.54917933714052</v>
          </cell>
          <cell r="D26">
            <v>308.67451998117042</v>
          </cell>
          <cell r="E26">
            <v>212.70828494396278</v>
          </cell>
          <cell r="F26">
            <v>2012</v>
          </cell>
          <cell r="G26">
            <v>1068.6539647589088</v>
          </cell>
          <cell r="H26">
            <v>1728.6303977255484</v>
          </cell>
          <cell r="I26">
            <v>1177.4762985803711</v>
          </cell>
          <cell r="J26">
            <v>2011</v>
          </cell>
          <cell r="K26">
            <v>501.23535111587563</v>
          </cell>
          <cell r="L26">
            <v>808.18897314997935</v>
          </cell>
          <cell r="M26">
            <v>546.79036698110019</v>
          </cell>
          <cell r="N26">
            <v>2010</v>
          </cell>
          <cell r="O26">
            <v>848.57652940570392</v>
          </cell>
          <cell r="P26">
            <v>1372.63813266586</v>
          </cell>
          <cell r="Q26">
            <v>891.00535136148426</v>
          </cell>
          <cell r="R26">
            <v>2010</v>
          </cell>
          <cell r="S26">
            <v>311.12221479805612</v>
          </cell>
          <cell r="T26">
            <v>503.2642334510989</v>
          </cell>
          <cell r="U26">
            <v>337.78411684319798</v>
          </cell>
          <cell r="V26">
            <v>2011</v>
          </cell>
          <cell r="W26">
            <v>626.88494615071056</v>
          </cell>
          <cell r="X26">
            <v>447.65225557880729</v>
          </cell>
          <cell r="Y26">
            <v>3057.4237402862932</v>
          </cell>
          <cell r="Z26">
            <v>2011</v>
          </cell>
          <cell r="AA26">
            <v>4174.9816818294375</v>
          </cell>
          <cell r="AB26">
            <v>6735.9358319864186</v>
          </cell>
          <cell r="AC26">
            <v>4625.7894683217073</v>
          </cell>
          <cell r="AD26">
            <v>2012</v>
          </cell>
          <cell r="AE26">
            <v>558.70268477063928</v>
          </cell>
          <cell r="AF26">
            <v>903.74478216916475</v>
          </cell>
          <cell r="AG26">
            <v>608.99081814554688</v>
          </cell>
          <cell r="AH26">
            <v>2011</v>
          </cell>
          <cell r="AI26">
            <v>636.15442236045908</v>
          </cell>
          <cell r="AJ26">
            <v>1021.2099413136123</v>
          </cell>
          <cell r="AK26">
            <v>601.38765267286738</v>
          </cell>
          <cell r="AL26">
            <v>2013</v>
          </cell>
          <cell r="AM26">
            <v>82.499296889582197</v>
          </cell>
          <cell r="AN26">
            <v>124.50380012263301</v>
          </cell>
          <cell r="AO26">
            <v>74.0552965716019</v>
          </cell>
          <cell r="AP26">
            <v>2011</v>
          </cell>
          <cell r="AQ26">
            <v>1240.9110500613399</v>
          </cell>
          <cell r="AR26">
            <v>2028.5295367396618</v>
          </cell>
          <cell r="AS26">
            <v>888.41848822823567</v>
          </cell>
          <cell r="AT26">
            <v>2010</v>
          </cell>
          <cell r="AU26">
            <v>272.88087407820194</v>
          </cell>
          <cell r="AV26">
            <v>435.29942047457388</v>
          </cell>
          <cell r="AW26">
            <v>302.90224734783828</v>
          </cell>
          <cell r="AX26">
            <v>2012</v>
          </cell>
          <cell r="AY26">
            <v>826.81641528308421</v>
          </cell>
          <cell r="AZ26">
            <v>1329.7224008080195</v>
          </cell>
          <cell r="BA26">
            <v>830.54563287026519</v>
          </cell>
          <cell r="BB26">
            <v>2013</v>
          </cell>
          <cell r="BC26">
            <v>591.05129602873205</v>
          </cell>
          <cell r="BD26">
            <v>956.07116102003681</v>
          </cell>
          <cell r="BE26">
            <v>705.80201577088985</v>
          </cell>
          <cell r="BF26">
            <v>2013</v>
          </cell>
          <cell r="BG26">
            <v>3957.2792583159667</v>
          </cell>
          <cell r="BH26">
            <v>6401.2051089856677</v>
          </cell>
          <cell r="BI26">
            <v>4235.5860362662124</v>
          </cell>
          <cell r="BJ26">
            <v>2010</v>
          </cell>
          <cell r="BK26">
            <v>80.910615844353529</v>
          </cell>
          <cell r="BL26">
            <v>130.8791755933606</v>
          </cell>
          <cell r="BM26">
            <v>84.850588719827257</v>
          </cell>
          <cell r="BN26">
            <v>2011</v>
          </cell>
          <cell r="BO26">
            <v>1589.8291222943112</v>
          </cell>
          <cell r="BP26">
            <v>2571.6715039978585</v>
          </cell>
          <cell r="BQ26">
            <v>1669.320580395213</v>
          </cell>
          <cell r="BR26">
            <v>2010</v>
          </cell>
          <cell r="BS26">
            <v>93.894131090310836</v>
          </cell>
          <cell r="BT26">
            <v>144.68529691200246</v>
          </cell>
          <cell r="BU26">
            <v>73.793497363493685</v>
          </cell>
          <cell r="BV26">
            <v>2011</v>
          </cell>
          <cell r="BW26">
            <v>64.059923419294762</v>
          </cell>
          <cell r="BX26">
            <v>103.62187814691569</v>
          </cell>
          <cell r="BY26">
            <v>70.345276010586701</v>
          </cell>
          <cell r="BZ26">
            <v>2011</v>
          </cell>
          <cell r="CA26">
            <v>5439.3714207100875</v>
          </cell>
          <cell r="CB26">
            <v>9487.6074608651325</v>
          </cell>
          <cell r="CC26">
            <v>2821.672352715309</v>
          </cell>
          <cell r="CD26">
            <v>2013</v>
          </cell>
          <cell r="CE26">
            <v>771.55145022690988</v>
          </cell>
          <cell r="CF26">
            <v>1248.0441132577714</v>
          </cell>
          <cell r="CG26">
            <v>810.12902140362496</v>
          </cell>
          <cell r="CH26">
            <v>2010</v>
          </cell>
          <cell r="CI26">
            <v>1006.788262235088</v>
          </cell>
          <cell r="CJ26">
            <v>1505.6397709560056</v>
          </cell>
          <cell r="CK26">
            <v>3247.9303665804136</v>
          </cell>
          <cell r="CL26">
            <v>2010</v>
          </cell>
          <cell r="CM26">
            <v>3612.562500063169</v>
          </cell>
          <cell r="CN26">
            <v>5831.6800782624641</v>
          </cell>
          <cell r="CO26">
            <v>3980.8000141815505</v>
          </cell>
          <cell r="CP26">
            <v>2012</v>
          </cell>
          <cell r="CQ26">
            <v>1215.637942970744</v>
          </cell>
          <cell r="CR26">
            <v>1966.3883452647251</v>
          </cell>
          <cell r="CS26">
            <v>1328.6778893351282</v>
          </cell>
          <cell r="CT26">
            <v>2011</v>
          </cell>
          <cell r="CU26">
            <v>86.756520405427125</v>
          </cell>
          <cell r="CV26">
            <v>140.33537874850634</v>
          </cell>
          <cell r="CW26">
            <v>98.628712096297122</v>
          </cell>
          <cell r="CX26">
            <v>2012</v>
          </cell>
          <cell r="CY26">
            <v>1031.7801787577835</v>
          </cell>
          <cell r="CZ26">
            <v>1686.9551275935191</v>
          </cell>
          <cell r="DA26">
            <v>991.28024228401432</v>
          </cell>
          <cell r="DB26">
            <v>2010</v>
          </cell>
          <cell r="DC26">
            <v>341.26113103225049</v>
          </cell>
          <cell r="DD26">
            <v>540.27314780590189</v>
          </cell>
          <cell r="DE26">
            <v>393.58438557523692</v>
          </cell>
          <cell r="DF26">
            <v>2013</v>
          </cell>
          <cell r="DG26">
            <v>607.39825759172254</v>
          </cell>
          <cell r="DH26">
            <v>982.51363466072291</v>
          </cell>
          <cell r="DI26">
            <v>637.76816765917579</v>
          </cell>
          <cell r="DJ26">
            <v>2010</v>
          </cell>
          <cell r="DK26">
            <v>143.45372850148806</v>
          </cell>
          <cell r="DL26">
            <v>225.92160102327412</v>
          </cell>
          <cell r="DM26">
            <v>153.68267426054572</v>
          </cell>
          <cell r="DN26">
            <v>2012</v>
          </cell>
          <cell r="DO26">
            <v>111.20498794528888</v>
          </cell>
          <cell r="DP26">
            <v>179.88266422866846</v>
          </cell>
          <cell r="DQ26">
            <v>116.76523638275042</v>
          </cell>
          <cell r="DR26">
            <v>2010</v>
          </cell>
          <cell r="DS26">
            <v>474.98184760743891</v>
          </cell>
          <cell r="DT26">
            <v>733.85884827660209</v>
          </cell>
          <cell r="DU26">
            <v>359.40666757637257</v>
          </cell>
          <cell r="DV26">
            <v>2013</v>
          </cell>
          <cell r="DW26">
            <v>796.57799491392655</v>
          </cell>
          <cell r="DX26">
            <v>1316.7183795422284</v>
          </cell>
          <cell r="DY26">
            <v>411.65179132443592</v>
          </cell>
          <cell r="DZ26">
            <v>2010</v>
          </cell>
          <cell r="EA26">
            <v>370.38135270495508</v>
          </cell>
          <cell r="EB26">
            <v>599.12046968406628</v>
          </cell>
          <cell r="EC26">
            <v>395.70901916534933</v>
          </cell>
          <cell r="ED26">
            <v>2010</v>
          </cell>
          <cell r="EE26">
            <v>459.50670123090936</v>
          </cell>
          <cell r="EF26">
            <v>739.90506200405184</v>
          </cell>
          <cell r="EG26">
            <v>498.49881838537516</v>
          </cell>
          <cell r="EH26">
            <v>2010</v>
          </cell>
          <cell r="EI26">
            <v>771.83096836305629</v>
          </cell>
          <cell r="EJ26">
            <v>1248.4962547900604</v>
          </cell>
          <cell r="EK26">
            <v>810.42251352841947</v>
          </cell>
          <cell r="EL26">
            <v>2010</v>
          </cell>
          <cell r="EM26">
            <v>194.31321225625979</v>
          </cell>
          <cell r="EN26">
            <v>295.23191289959351</v>
          </cell>
          <cell r="EO26">
            <v>70.684447222073359</v>
          </cell>
          <cell r="EP26">
            <v>2011</v>
          </cell>
          <cell r="EQ26">
            <v>113.65879343663195</v>
          </cell>
          <cell r="ER26">
            <v>168.26246225768008</v>
          </cell>
          <cell r="ES26">
            <v>105.74352468294873</v>
          </cell>
          <cell r="ET26">
            <v>2013</v>
          </cell>
          <cell r="EU26">
            <v>321.81335875392193</v>
          </cell>
          <cell r="EV26">
            <v>538.79856605681539</v>
          </cell>
          <cell r="EW26">
            <v>243.24000619724634</v>
          </cell>
          <cell r="EX26">
            <v>2010</v>
          </cell>
          <cell r="EY26">
            <v>394.80547343774469</v>
          </cell>
          <cell r="EZ26">
            <v>656.86234521408687</v>
          </cell>
          <cell r="FA26">
            <v>319.34974345501604</v>
          </cell>
          <cell r="FB26">
            <v>2010</v>
          </cell>
          <cell r="FC26">
            <v>364.74586448684391</v>
          </cell>
          <cell r="FD26">
            <v>590.00463153318219</v>
          </cell>
          <cell r="FE26">
            <v>382.98315703533541</v>
          </cell>
          <cell r="FF26">
            <v>2010</v>
          </cell>
          <cell r="FG26">
            <v>15961.982712573397</v>
          </cell>
          <cell r="FH26">
            <v>26511.775050316475</v>
          </cell>
          <cell r="FI26">
            <v>13539.082701175637</v>
          </cell>
          <cell r="FJ26">
            <v>2010</v>
          </cell>
          <cell r="FK26">
            <v>498.1969412955894</v>
          </cell>
          <cell r="FL26">
            <v>805.87206414841523</v>
          </cell>
          <cell r="FM26">
            <v>599.27076100730233</v>
          </cell>
          <cell r="FN26">
            <v>2013</v>
          </cell>
          <cell r="FO26">
            <v>94.055556609728185</v>
          </cell>
          <cell r="FP26">
            <v>144.88714987838154</v>
          </cell>
          <cell r="FQ26">
            <v>73.853289261771124</v>
          </cell>
          <cell r="FR26">
            <v>2011</v>
          </cell>
          <cell r="FS26">
            <v>669.93308341511647</v>
          </cell>
          <cell r="FT26">
            <v>1083.6685507237457</v>
          </cell>
          <cell r="FU26">
            <v>729.92731235165263</v>
          </cell>
          <cell r="FV26">
            <v>2011</v>
          </cell>
          <cell r="FW26">
            <v>682.2595482785722</v>
          </cell>
          <cell r="FX26">
            <v>1095.7990902147383</v>
          </cell>
          <cell r="FY26">
            <v>658.84459264031318</v>
          </cell>
          <cell r="FZ26">
            <v>2013</v>
          </cell>
          <cell r="GA26">
            <v>894.41145064110037</v>
          </cell>
          <cell r="GB26">
            <v>1446.7796619709427</v>
          </cell>
          <cell r="GC26">
            <v>1070.0554679953998</v>
          </cell>
          <cell r="GD26">
            <v>2013</v>
          </cell>
          <cell r="GE26">
            <v>1904.8559865314664</v>
          </cell>
          <cell r="GF26">
            <v>3081.2518089832056</v>
          </cell>
          <cell r="GG26">
            <v>1947.9668932062721</v>
          </cell>
          <cell r="GH26">
            <v>2010</v>
          </cell>
          <cell r="GI26">
            <v>295.74117410010905</v>
          </cell>
          <cell r="GJ26">
            <v>451.31286260673636</v>
          </cell>
          <cell r="GK26">
            <v>177.9504288016133</v>
          </cell>
          <cell r="GL26">
            <v>2011</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row>
        <row r="27">
          <cell r="B27" t="str">
            <v>25%</v>
          </cell>
          <cell r="C27">
            <v>195.37021398947419</v>
          </cell>
          <cell r="D27">
            <v>309.87399647909848</v>
          </cell>
          <cell r="E27">
            <v>213.23970363349045</v>
          </cell>
          <cell r="F27">
            <v>2012</v>
          </cell>
          <cell r="G27">
            <v>1086.355854739857</v>
          </cell>
          <cell r="H27">
            <v>1757.2645728374368</v>
          </cell>
          <cell r="I27">
            <v>1196.2849876529015</v>
          </cell>
          <cell r="J27">
            <v>2011</v>
          </cell>
          <cell r="K27">
            <v>512.40045519608327</v>
          </cell>
          <cell r="L27">
            <v>821.80417447275136</v>
          </cell>
          <cell r="M27">
            <v>558.52005512610538</v>
          </cell>
          <cell r="N27">
            <v>2011</v>
          </cell>
          <cell r="O27">
            <v>913.83238211105152</v>
          </cell>
          <cell r="P27">
            <v>1478.194520218183</v>
          </cell>
          <cell r="Q27">
            <v>959.52400277994377</v>
          </cell>
          <cell r="R27">
            <v>2010</v>
          </cell>
          <cell r="S27">
            <v>318.12782065366702</v>
          </cell>
          <cell r="T27">
            <v>514.59634161581732</v>
          </cell>
          <cell r="U27">
            <v>344.08876484280125</v>
          </cell>
          <cell r="V27">
            <v>2011</v>
          </cell>
          <cell r="W27">
            <v>658.30417937338552</v>
          </cell>
          <cell r="X27">
            <v>506.74208066822803</v>
          </cell>
          <cell r="Y27">
            <v>3081.1629802944553</v>
          </cell>
          <cell r="Z27">
            <v>2011</v>
          </cell>
          <cell r="AA27">
            <v>4211.3864772618936</v>
          </cell>
          <cell r="AB27">
            <v>6797.9719479843607</v>
          </cell>
          <cell r="AC27">
            <v>4668.094029337075</v>
          </cell>
          <cell r="AD27">
            <v>2012</v>
          </cell>
          <cell r="AE27">
            <v>563.81731054216812</v>
          </cell>
          <cell r="AF27">
            <v>912.01808439931472</v>
          </cell>
          <cell r="AG27">
            <v>614.6699392840419</v>
          </cell>
          <cell r="AH27">
            <v>2011</v>
          </cell>
          <cell r="AI27">
            <v>642.16119270652462</v>
          </cell>
          <cell r="AJ27">
            <v>1029.9017466462378</v>
          </cell>
          <cell r="AK27">
            <v>609.14516992724089</v>
          </cell>
          <cell r="AL27">
            <v>2013</v>
          </cell>
          <cell r="AM27">
            <v>83.731246904502186</v>
          </cell>
          <cell r="AN27">
            <v>126.37277699222386</v>
          </cell>
          <cell r="AO27">
            <v>75.512286478222933</v>
          </cell>
          <cell r="AP27">
            <v>2011</v>
          </cell>
          <cell r="AQ27">
            <v>1248.2469321022129</v>
          </cell>
          <cell r="AR27">
            <v>2042.930227512373</v>
          </cell>
          <cell r="AS27">
            <v>895.25952410773505</v>
          </cell>
          <cell r="AT27">
            <v>2011</v>
          </cell>
          <cell r="AU27">
            <v>273.94159005829829</v>
          </cell>
          <cell r="AV27">
            <v>436.89831277598427</v>
          </cell>
          <cell r="AW27">
            <v>303.65205401288136</v>
          </cell>
          <cell r="AX27">
            <v>2012</v>
          </cell>
          <cell r="AY27">
            <v>836.2773089342536</v>
          </cell>
          <cell r="AZ27">
            <v>1343.2980914194518</v>
          </cell>
          <cell r="BA27">
            <v>839.56840767971721</v>
          </cell>
          <cell r="BB27">
            <v>2013</v>
          </cell>
          <cell r="BC27">
            <v>598.46015872909675</v>
          </cell>
          <cell r="BD27">
            <v>968.05556954740155</v>
          </cell>
          <cell r="BE27">
            <v>714.02050996799244</v>
          </cell>
          <cell r="BF27">
            <v>2013</v>
          </cell>
          <cell r="BG27">
            <v>3988.1160150803476</v>
          </cell>
          <cell r="BH27">
            <v>6451.0859462898134</v>
          </cell>
          <cell r="BI27">
            <v>4262.691798869736</v>
          </cell>
          <cell r="BJ27">
            <v>2010</v>
          </cell>
          <cell r="BK27">
            <v>83.149518485374415</v>
          </cell>
          <cell r="BL27">
            <v>134.50077418086934</v>
          </cell>
          <cell r="BM27">
            <v>86.578029847223277</v>
          </cell>
          <cell r="BN27">
            <v>2011</v>
          </cell>
          <cell r="BO27">
            <v>1615.6442563091073</v>
          </cell>
          <cell r="BP27">
            <v>2613.4294788447073</v>
          </cell>
          <cell r="BQ27">
            <v>1696.4264708347116</v>
          </cell>
          <cell r="BR27">
            <v>2010</v>
          </cell>
          <cell r="BS27">
            <v>95.545604906142245</v>
          </cell>
          <cell r="BT27">
            <v>147.43688841708234</v>
          </cell>
          <cell r="BU27">
            <v>75.434417714423759</v>
          </cell>
          <cell r="BV27">
            <v>2011</v>
          </cell>
          <cell r="BW27">
            <v>65.146151383268148</v>
          </cell>
          <cell r="BX27">
            <v>105.37893597944385</v>
          </cell>
          <cell r="BY27">
            <v>71.461716588604801</v>
          </cell>
          <cell r="BZ27">
            <v>2011</v>
          </cell>
          <cell r="CA27">
            <v>5491.1293009091742</v>
          </cell>
          <cell r="CB27">
            <v>9586.5542911974535</v>
          </cell>
          <cell r="CC27">
            <v>2887.4429732619415</v>
          </cell>
          <cell r="CD27">
            <v>2014</v>
          </cell>
          <cell r="CE27">
            <v>829.92736800855903</v>
          </cell>
          <cell r="CF27">
            <v>1342.4716739803591</v>
          </cell>
          <cell r="CG27">
            <v>871.42373872829432</v>
          </cell>
          <cell r="CH27">
            <v>2010</v>
          </cell>
          <cell r="CI27">
            <v>1052.4760035498273</v>
          </cell>
          <cell r="CJ27">
            <v>1575.7111682827351</v>
          </cell>
          <cell r="CK27">
            <v>3272.9633873126754</v>
          </cell>
          <cell r="CL27">
            <v>2010</v>
          </cell>
          <cell r="CM27">
            <v>3641.6759664084898</v>
          </cell>
          <cell r="CN27">
            <v>5880.5771064972023</v>
          </cell>
          <cell r="CO27">
            <v>4017.6629357958204</v>
          </cell>
          <cell r="CP27">
            <v>2012</v>
          </cell>
          <cell r="CQ27">
            <v>1270.0553119515739</v>
          </cell>
          <cell r="CR27">
            <v>2054.4126459955914</v>
          </cell>
          <cell r="CS27">
            <v>1389.141276356522</v>
          </cell>
          <cell r="CT27">
            <v>2011</v>
          </cell>
          <cell r="CU27">
            <v>90.890555008487041</v>
          </cell>
          <cell r="CV27">
            <v>147.02249933253631</v>
          </cell>
          <cell r="CW27">
            <v>102.42045828765157</v>
          </cell>
          <cell r="CX27">
            <v>2012</v>
          </cell>
          <cell r="CY27">
            <v>1050.9955831672705</v>
          </cell>
          <cell r="CZ27">
            <v>1717.7189204362035</v>
          </cell>
          <cell r="DA27">
            <v>1011.6442479776402</v>
          </cell>
          <cell r="DB27">
            <v>2010</v>
          </cell>
          <cell r="DC27">
            <v>354.69895803625224</v>
          </cell>
          <cell r="DD27">
            <v>562.56569394840324</v>
          </cell>
          <cell r="DE27">
            <v>408.91833107568391</v>
          </cell>
          <cell r="DF27">
            <v>2013</v>
          </cell>
          <cell r="DG27">
            <v>612.77041800655093</v>
          </cell>
          <cell r="DH27">
            <v>991.20351965799466</v>
          </cell>
          <cell r="DI27">
            <v>643.40893761287441</v>
          </cell>
          <cell r="DJ27">
            <v>2010</v>
          </cell>
          <cell r="DK27">
            <v>144.10106461990574</v>
          </cell>
          <cell r="DL27">
            <v>226.65043222404057</v>
          </cell>
          <cell r="DM27">
            <v>154.07484719078215</v>
          </cell>
          <cell r="DN27">
            <v>2012</v>
          </cell>
          <cell r="DO27">
            <v>113.91698933975218</v>
          </cell>
          <cell r="DP27">
            <v>184.26953629085554</v>
          </cell>
          <cell r="DQ27">
            <v>119.61283818151129</v>
          </cell>
          <cell r="DR27">
            <v>2010</v>
          </cell>
          <cell r="DS27">
            <v>481.21303283502783</v>
          </cell>
          <cell r="DT27">
            <v>743.09963068045568</v>
          </cell>
          <cell r="DU27">
            <v>366.69867585003504</v>
          </cell>
          <cell r="DV27">
            <v>2013</v>
          </cell>
          <cell r="DW27">
            <v>811.49503785850959</v>
          </cell>
          <cell r="DX27">
            <v>1328.2168172838838</v>
          </cell>
          <cell r="DY27">
            <v>415.13497640721141</v>
          </cell>
          <cell r="DZ27">
            <v>2011</v>
          </cell>
          <cell r="EA27">
            <v>373.62885905494142</v>
          </cell>
          <cell r="EB27">
            <v>604.37356258913644</v>
          </cell>
          <cell r="EC27">
            <v>398.02940767242984</v>
          </cell>
          <cell r="ED27">
            <v>2010</v>
          </cell>
          <cell r="EE27">
            <v>471.50368102874688</v>
          </cell>
          <cell r="EF27">
            <v>756.484428059008</v>
          </cell>
          <cell r="EG27">
            <v>508.08808861053177</v>
          </cell>
          <cell r="EH27">
            <v>2011</v>
          </cell>
          <cell r="EI27">
            <v>828.28933875540201</v>
          </cell>
          <cell r="EJ27">
            <v>1339.8220347719532</v>
          </cell>
          <cell r="EK27">
            <v>869.7038047924533</v>
          </cell>
          <cell r="EL27">
            <v>2010</v>
          </cell>
          <cell r="EM27">
            <v>209.7334500662264</v>
          </cell>
          <cell r="EN27">
            <v>304.8975141929742</v>
          </cell>
          <cell r="EO27">
            <v>72.283475020126971</v>
          </cell>
          <cell r="EP27">
            <v>2012</v>
          </cell>
          <cell r="EQ27">
            <v>119.78955923030117</v>
          </cell>
          <cell r="ER27">
            <v>179.73322587676034</v>
          </cell>
          <cell r="ES27">
            <v>113.79268204380838</v>
          </cell>
          <cell r="ET27">
            <v>2013</v>
          </cell>
          <cell r="EU27">
            <v>326.67865230724669</v>
          </cell>
          <cell r="EV27">
            <v>546.67290988005084</v>
          </cell>
          <cell r="EW27">
            <v>248.18357216514352</v>
          </cell>
          <cell r="EX27">
            <v>2010</v>
          </cell>
          <cell r="EY27">
            <v>401.56714272265918</v>
          </cell>
          <cell r="EZ27">
            <v>667.5918482771541</v>
          </cell>
          <cell r="FA27">
            <v>326.1075032549399</v>
          </cell>
          <cell r="FB27">
            <v>2010</v>
          </cell>
          <cell r="FC27">
            <v>370.51411539898709</v>
          </cell>
          <cell r="FD27">
            <v>599.33522339355784</v>
          </cell>
          <cell r="FE27">
            <v>389.03982096894242</v>
          </cell>
          <cell r="FF27">
            <v>2010</v>
          </cell>
          <cell r="FG27">
            <v>16027.854940099791</v>
          </cell>
          <cell r="FH27">
            <v>26632.712028458944</v>
          </cell>
          <cell r="FI27">
            <v>13581.324896618768</v>
          </cell>
          <cell r="FJ27">
            <v>2010</v>
          </cell>
          <cell r="FK27">
            <v>509.52070925722415</v>
          </cell>
          <cell r="FL27">
            <v>824.18913474171052</v>
          </cell>
          <cell r="FM27">
            <v>612.95056391801847</v>
          </cell>
          <cell r="FN27">
            <v>2013</v>
          </cell>
          <cell r="FO27">
            <v>95.77240937694971</v>
          </cell>
          <cell r="FP27">
            <v>147.81320937380389</v>
          </cell>
          <cell r="FQ27">
            <v>75.492398161349669</v>
          </cell>
          <cell r="FR27">
            <v>2011</v>
          </cell>
          <cell r="FS27">
            <v>676.23780442029806</v>
          </cell>
          <cell r="FT27">
            <v>1093.8669236673013</v>
          </cell>
          <cell r="FU27">
            <v>737.26304313335424</v>
          </cell>
          <cell r="FV27">
            <v>2011</v>
          </cell>
          <cell r="FW27">
            <v>688.86946851893356</v>
          </cell>
          <cell r="FX27">
            <v>1105.8729994753398</v>
          </cell>
          <cell r="FY27">
            <v>666.19656082262679</v>
          </cell>
          <cell r="FZ27">
            <v>2013</v>
          </cell>
          <cell r="GA27">
            <v>904.70230322880786</v>
          </cell>
          <cell r="GB27">
            <v>1463.425911521791</v>
          </cell>
          <cell r="GC27">
            <v>1083.0120524540982</v>
          </cell>
          <cell r="GD27">
            <v>2013</v>
          </cell>
          <cell r="GE27">
            <v>1966.2250681428366</v>
          </cell>
          <cell r="GF27">
            <v>3180.5210422339765</v>
          </cell>
          <cell r="GG27">
            <v>1986.4084491678318</v>
          </cell>
          <cell r="GH27">
            <v>2010</v>
          </cell>
          <cell r="GI27">
            <v>303.12293168180196</v>
          </cell>
          <cell r="GJ27">
            <v>458.57208830972399</v>
          </cell>
          <cell r="GK27">
            <v>181.3923596222786</v>
          </cell>
          <cell r="GL27">
            <v>2012</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row>
        <row r="28">
          <cell r="B28" t="str">
            <v>30%</v>
          </cell>
          <cell r="C28">
            <v>196.10851796752144</v>
          </cell>
          <cell r="D28">
            <v>310.92047396170909</v>
          </cell>
          <cell r="E28">
            <v>213.79983630223788</v>
          </cell>
          <cell r="F28">
            <v>2012</v>
          </cell>
          <cell r="G28">
            <v>1102.2513956974874</v>
          </cell>
          <cell r="H28">
            <v>1782.9768396929417</v>
          </cell>
          <cell r="I28">
            <v>1212.6664306459049</v>
          </cell>
          <cell r="J28">
            <v>2011</v>
          </cell>
          <cell r="K28">
            <v>524.60488437376057</v>
          </cell>
          <cell r="L28">
            <v>838.35390499664993</v>
          </cell>
          <cell r="M28">
            <v>569.16803712097931</v>
          </cell>
          <cell r="N28">
            <v>2011</v>
          </cell>
          <cell r="O28">
            <v>979.39425842617516</v>
          </cell>
          <cell r="P28">
            <v>1584.2459223038859</v>
          </cell>
          <cell r="Q28">
            <v>1028.3639686684021</v>
          </cell>
          <cell r="R28">
            <v>2010</v>
          </cell>
          <cell r="S28">
            <v>324.22255422948689</v>
          </cell>
          <cell r="T28">
            <v>524.45504442835738</v>
          </cell>
          <cell r="U28">
            <v>350.29409686398145</v>
          </cell>
          <cell r="V28">
            <v>2011</v>
          </cell>
          <cell r="W28">
            <v>690.70087674281308</v>
          </cell>
          <cell r="X28">
            <v>560.62002419833641</v>
          </cell>
          <cell r="Y28">
            <v>3104.9313256266078</v>
          </cell>
          <cell r="Z28">
            <v>2011</v>
          </cell>
          <cell r="AA28">
            <v>4242.4360774835013</v>
          </cell>
          <cell r="AB28">
            <v>6849.065850777014</v>
          </cell>
          <cell r="AC28">
            <v>4704.6827187570098</v>
          </cell>
          <cell r="AD28">
            <v>2012</v>
          </cell>
          <cell r="AE28">
            <v>568.29609270416211</v>
          </cell>
          <cell r="AF28">
            <v>919.26286077103748</v>
          </cell>
          <cell r="AG28">
            <v>619.52360807871935</v>
          </cell>
          <cell r="AH28">
            <v>2011</v>
          </cell>
          <cell r="AI28">
            <v>645.80733410252208</v>
          </cell>
          <cell r="AJ28">
            <v>1037.000962590502</v>
          </cell>
          <cell r="AK28">
            <v>615.30353379605617</v>
          </cell>
          <cell r="AL28">
            <v>2013</v>
          </cell>
          <cell r="AM28">
            <v>85.20635293984769</v>
          </cell>
          <cell r="AN28">
            <v>128.5726522891276</v>
          </cell>
          <cell r="AO28">
            <v>76.833494223951362</v>
          </cell>
          <cell r="AP28">
            <v>2011</v>
          </cell>
          <cell r="AQ28">
            <v>1257.827920016811</v>
          </cell>
          <cell r="AR28">
            <v>2059.8615811051945</v>
          </cell>
          <cell r="AS28">
            <v>901.55607041961969</v>
          </cell>
          <cell r="AT28">
            <v>2011</v>
          </cell>
          <cell r="AU28">
            <v>275.23779890895008</v>
          </cell>
          <cell r="AV28">
            <v>438.71269859572868</v>
          </cell>
          <cell r="AW28">
            <v>304.47535153192706</v>
          </cell>
          <cell r="AX28">
            <v>2012</v>
          </cell>
          <cell r="AY28">
            <v>843.81075361591172</v>
          </cell>
          <cell r="AZ28">
            <v>1356.0335227409612</v>
          </cell>
          <cell r="BA28">
            <v>848.10884891333217</v>
          </cell>
          <cell r="BB28">
            <v>2013</v>
          </cell>
          <cell r="BC28">
            <v>605.71855993945826</v>
          </cell>
          <cell r="BD28">
            <v>979.796593991745</v>
          </cell>
          <cell r="BE28">
            <v>722.30036648076066</v>
          </cell>
          <cell r="BF28">
            <v>2013</v>
          </cell>
          <cell r="BG28">
            <v>4026.5977508892415</v>
          </cell>
          <cell r="BH28">
            <v>6513.3331293839992</v>
          </cell>
          <cell r="BI28">
            <v>4281.9568301563004</v>
          </cell>
          <cell r="BJ28">
            <v>2010</v>
          </cell>
          <cell r="BK28">
            <v>84.950070717565552</v>
          </cell>
          <cell r="BL28">
            <v>137.41330660349684</v>
          </cell>
          <cell r="BM28">
            <v>88.155911501951664</v>
          </cell>
          <cell r="BN28">
            <v>2011</v>
          </cell>
          <cell r="BO28">
            <v>1638.0740954762355</v>
          </cell>
          <cell r="BP28">
            <v>2649.7114775280756</v>
          </cell>
          <cell r="BQ28">
            <v>1719.977801357257</v>
          </cell>
          <cell r="BR28">
            <v>2010</v>
          </cell>
          <cell r="BS28">
            <v>97.136711715102237</v>
          </cell>
          <cell r="BT28">
            <v>149.93630826855011</v>
          </cell>
          <cell r="BU28">
            <v>76.738133525549728</v>
          </cell>
          <cell r="BV28">
            <v>2011</v>
          </cell>
          <cell r="BW28">
            <v>66.130565358329918</v>
          </cell>
          <cell r="BX28">
            <v>106.97130147131818</v>
          </cell>
          <cell r="BY28">
            <v>72.541235480086399</v>
          </cell>
          <cell r="BZ28">
            <v>2011</v>
          </cell>
          <cell r="CA28">
            <v>5546.78921342591</v>
          </cell>
          <cell r="CB28">
            <v>9668.091265998064</v>
          </cell>
          <cell r="CC28">
            <v>2922.4203529907536</v>
          </cell>
          <cell r="CD28">
            <v>2015</v>
          </cell>
          <cell r="CE28">
            <v>889.11275565374206</v>
          </cell>
          <cell r="CF28">
            <v>1438.2086127049786</v>
          </cell>
          <cell r="CG28">
            <v>933.56839261972539</v>
          </cell>
          <cell r="CH28">
            <v>2010</v>
          </cell>
          <cell r="CI28">
            <v>1081.9602381144591</v>
          </cell>
          <cell r="CJ28">
            <v>1624.7375244504512</v>
          </cell>
          <cell r="CK28">
            <v>3299.035304377549</v>
          </cell>
          <cell r="CL28">
            <v>2010</v>
          </cell>
          <cell r="CM28">
            <v>3669.9986325779187</v>
          </cell>
          <cell r="CN28">
            <v>5925.7511900735944</v>
          </cell>
          <cell r="CO28">
            <v>4050.3062888365316</v>
          </cell>
          <cell r="CP28">
            <v>2012</v>
          </cell>
          <cell r="CQ28">
            <v>1321.2861255101316</v>
          </cell>
          <cell r="CR28">
            <v>2137.2824477957815</v>
          </cell>
          <cell r="CS28">
            <v>1439.4109551968547</v>
          </cell>
          <cell r="CT28">
            <v>2011</v>
          </cell>
          <cell r="CU28">
            <v>94.270285470423531</v>
          </cell>
          <cell r="CV28">
            <v>152.48947435242812</v>
          </cell>
          <cell r="CW28">
            <v>106.42595037520125</v>
          </cell>
          <cell r="CX28">
            <v>2012</v>
          </cell>
          <cell r="CY28">
            <v>1068.593993506259</v>
          </cell>
          <cell r="CZ28">
            <v>1746.8975891145765</v>
          </cell>
          <cell r="DA28">
            <v>1030.1462655583987</v>
          </cell>
          <cell r="DB28">
            <v>2010</v>
          </cell>
          <cell r="DC28">
            <v>364.73542785512626</v>
          </cell>
          <cell r="DD28">
            <v>579.545878526862</v>
          </cell>
          <cell r="DE28">
            <v>422.70087641051333</v>
          </cell>
          <cell r="DF28">
            <v>2013</v>
          </cell>
          <cell r="DG28">
            <v>617.46018647755761</v>
          </cell>
          <cell r="DH28">
            <v>998.78958266640154</v>
          </cell>
          <cell r="DI28">
            <v>648.33319446624091</v>
          </cell>
          <cell r="DJ28">
            <v>2010</v>
          </cell>
          <cell r="DK28">
            <v>144.61982227081592</v>
          </cell>
          <cell r="DL28">
            <v>227.48654813744724</v>
          </cell>
          <cell r="DM28">
            <v>154.47508885918995</v>
          </cell>
          <cell r="DN28">
            <v>2012</v>
          </cell>
          <cell r="DO28">
            <v>116.40851040610623</v>
          </cell>
          <cell r="DP28">
            <v>188.29976487781718</v>
          </cell>
          <cell r="DQ28">
            <v>122.22893794637021</v>
          </cell>
          <cell r="DR28">
            <v>2010</v>
          </cell>
          <cell r="DS28">
            <v>486.57003252028869</v>
          </cell>
          <cell r="DT28">
            <v>752.54404451951223</v>
          </cell>
          <cell r="DU28">
            <v>372.69783990947644</v>
          </cell>
          <cell r="DV28">
            <v>2013</v>
          </cell>
          <cell r="DW28">
            <v>824.80430406794687</v>
          </cell>
          <cell r="DX28">
            <v>1339.0100759462032</v>
          </cell>
          <cell r="DY28">
            <v>418.1626081443863</v>
          </cell>
          <cell r="DZ28">
            <v>2011</v>
          </cell>
          <cell r="EA28">
            <v>377.22908534833175</v>
          </cell>
          <cell r="EB28">
            <v>610.19720676307145</v>
          </cell>
          <cell r="EC28">
            <v>399.93698051399127</v>
          </cell>
          <cell r="ED28">
            <v>2010</v>
          </cell>
          <cell r="EE28">
            <v>482.5911472737946</v>
          </cell>
          <cell r="EF28">
            <v>773.3191576001243</v>
          </cell>
          <cell r="EG28">
            <v>517.94331797562404</v>
          </cell>
          <cell r="EH28">
            <v>2011</v>
          </cell>
          <cell r="EI28">
            <v>889.3136875658688</v>
          </cell>
          <cell r="EJ28">
            <v>1438.5336357184779</v>
          </cell>
          <cell r="EK28">
            <v>933.77937029828786</v>
          </cell>
          <cell r="EL28">
            <v>2010</v>
          </cell>
          <cell r="EM28">
            <v>216.78851658212801</v>
          </cell>
          <cell r="EN28">
            <v>311.26110842822243</v>
          </cell>
          <cell r="EO28">
            <v>73.370667573872453</v>
          </cell>
          <cell r="EP28">
            <v>2012</v>
          </cell>
          <cell r="EQ28">
            <v>126.35986147119229</v>
          </cell>
          <cell r="ER28">
            <v>188.68069065763984</v>
          </cell>
          <cell r="ES28">
            <v>120.93276964900018</v>
          </cell>
          <cell r="ET28">
            <v>2013</v>
          </cell>
          <cell r="EU28">
            <v>330.52532641429354</v>
          </cell>
          <cell r="EV28">
            <v>553.03329337320611</v>
          </cell>
          <cell r="EW28">
            <v>252.59559163300619</v>
          </cell>
          <cell r="EX28">
            <v>2010</v>
          </cell>
          <cell r="EY28">
            <v>407.4577382425756</v>
          </cell>
          <cell r="EZ28">
            <v>677.24389233972227</v>
          </cell>
          <cell r="FA28">
            <v>332.01425415959392</v>
          </cell>
          <cell r="FB28">
            <v>2010</v>
          </cell>
          <cell r="FC28">
            <v>375.84063255325464</v>
          </cell>
          <cell r="FD28">
            <v>607.95127661316099</v>
          </cell>
          <cell r="FE28">
            <v>394.63266386781407</v>
          </cell>
          <cell r="FF28">
            <v>2010</v>
          </cell>
          <cell r="FG28">
            <v>16096.716183568346</v>
          </cell>
          <cell r="FH28">
            <v>26731.614594585553</v>
          </cell>
          <cell r="FI28">
            <v>13627.976000429178</v>
          </cell>
          <cell r="FJ28">
            <v>2010</v>
          </cell>
          <cell r="FK28">
            <v>519.87357103723423</v>
          </cell>
          <cell r="FL28">
            <v>840.93568872858032</v>
          </cell>
          <cell r="FM28">
            <v>625.12746917018876</v>
          </cell>
          <cell r="FN28">
            <v>2013</v>
          </cell>
          <cell r="FO28">
            <v>97.350455787338063</v>
          </cell>
          <cell r="FP28">
            <v>149.99683809568523</v>
          </cell>
          <cell r="FQ28">
            <v>76.840068546580639</v>
          </cell>
          <cell r="FR28">
            <v>2011</v>
          </cell>
          <cell r="FS28">
            <v>682.23736272973315</v>
          </cell>
          <cell r="FT28">
            <v>1103.5716731752659</v>
          </cell>
          <cell r="FU28">
            <v>742.60495289162452</v>
          </cell>
          <cell r="FV28">
            <v>2011</v>
          </cell>
          <cell r="FW28">
            <v>694.86301642715671</v>
          </cell>
          <cell r="FX28">
            <v>1115.4184306330308</v>
          </cell>
          <cell r="FY28">
            <v>672.87573434267711</v>
          </cell>
          <cell r="FZ28">
            <v>2013</v>
          </cell>
          <cell r="GA28">
            <v>915.18216074892678</v>
          </cell>
          <cell r="GB28">
            <v>1480.3778909232585</v>
          </cell>
          <cell r="GC28">
            <v>1093.1879512528303</v>
          </cell>
          <cell r="GD28">
            <v>2013</v>
          </cell>
          <cell r="GE28">
            <v>2026.3164937434212</v>
          </cell>
          <cell r="GF28">
            <v>3277.7235683403819</v>
          </cell>
          <cell r="GG28">
            <v>2025.1248305076861</v>
          </cell>
          <cell r="GH28">
            <v>2010</v>
          </cell>
          <cell r="GI28">
            <v>308.66495909929307</v>
          </cell>
          <cell r="GJ28">
            <v>464.09250034957643</v>
          </cell>
          <cell r="GK28">
            <v>184.71396618911422</v>
          </cell>
          <cell r="GL28">
            <v>2012</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row>
        <row r="29">
          <cell r="B29" t="str">
            <v>35%</v>
          </cell>
          <cell r="C29">
            <v>196.88128277467288</v>
          </cell>
          <cell r="D29">
            <v>312.20842520124933</v>
          </cell>
          <cell r="E29">
            <v>214.37625926300458</v>
          </cell>
          <cell r="F29">
            <v>2012</v>
          </cell>
          <cell r="G29">
            <v>1116.9885902774577</v>
          </cell>
          <cell r="H29">
            <v>1806.8153911860095</v>
          </cell>
          <cell r="I29">
            <v>1229.1836751908086</v>
          </cell>
          <cell r="J29">
            <v>2011</v>
          </cell>
          <cell r="K29">
            <v>533.57609039730687</v>
          </cell>
          <cell r="L29">
            <v>851.87350682111992</v>
          </cell>
          <cell r="M29">
            <v>578.24723275137569</v>
          </cell>
          <cell r="N29">
            <v>2011</v>
          </cell>
          <cell r="O29">
            <v>1048.5999524405877</v>
          </cell>
          <cell r="P29">
            <v>1696.1914823547179</v>
          </cell>
          <cell r="Q29">
            <v>1101.0299479040539</v>
          </cell>
          <cell r="R29">
            <v>2010</v>
          </cell>
          <cell r="S29">
            <v>329.72754297051517</v>
          </cell>
          <cell r="T29">
            <v>533.35978897693622</v>
          </cell>
          <cell r="U29">
            <v>356.37327199183369</v>
          </cell>
          <cell r="V29">
            <v>2011</v>
          </cell>
          <cell r="W29">
            <v>722.71280532673586</v>
          </cell>
          <cell r="X29">
            <v>615.4549683734781</v>
          </cell>
          <cell r="Y29">
            <v>3130.9406535204489</v>
          </cell>
          <cell r="Z29">
            <v>2011</v>
          </cell>
          <cell r="AA29">
            <v>4274.4085532129166</v>
          </cell>
          <cell r="AB29">
            <v>6900.1661769210687</v>
          </cell>
          <cell r="AC29">
            <v>4741.35946457723</v>
          </cell>
          <cell r="AD29">
            <v>2012</v>
          </cell>
          <cell r="AE29">
            <v>572.41456478496366</v>
          </cell>
          <cell r="AF29">
            <v>925.92480759950195</v>
          </cell>
          <cell r="AG29">
            <v>624.29897213756487</v>
          </cell>
          <cell r="AH29">
            <v>2011</v>
          </cell>
          <cell r="AI29">
            <v>652.17470961721767</v>
          </cell>
          <cell r="AJ29">
            <v>1047.4917220286136</v>
          </cell>
          <cell r="AK29">
            <v>620.91067351964807</v>
          </cell>
          <cell r="AL29">
            <v>2013</v>
          </cell>
          <cell r="AM29">
            <v>86.306220499454838</v>
          </cell>
          <cell r="AN29">
            <v>130.44407333497176</v>
          </cell>
          <cell r="AO29">
            <v>78.024977595869345</v>
          </cell>
          <cell r="AP29">
            <v>2011</v>
          </cell>
          <cell r="AQ29">
            <v>1267.9192830898701</v>
          </cell>
          <cell r="AR29">
            <v>2077.0133616236781</v>
          </cell>
          <cell r="AS29">
            <v>910.11357295974653</v>
          </cell>
          <cell r="AT29">
            <v>2011</v>
          </cell>
          <cell r="AU29">
            <v>276.11246555533978</v>
          </cell>
          <cell r="AV29">
            <v>440.47855352113805</v>
          </cell>
          <cell r="AW29">
            <v>305.29841219791626</v>
          </cell>
          <cell r="AX29">
            <v>2012</v>
          </cell>
          <cell r="AY29">
            <v>850.52627447442092</v>
          </cell>
          <cell r="AZ29">
            <v>1367.1075600764004</v>
          </cell>
          <cell r="BA29">
            <v>856.91502103799985</v>
          </cell>
          <cell r="BB29">
            <v>2013</v>
          </cell>
          <cell r="BC29">
            <v>612.65219398159218</v>
          </cell>
          <cell r="BD29">
            <v>991.0122835174825</v>
          </cell>
          <cell r="BE29">
            <v>729.78779314170959</v>
          </cell>
          <cell r="BF29">
            <v>2013</v>
          </cell>
          <cell r="BG29">
            <v>4066.0161638928766</v>
          </cell>
          <cell r="BH29">
            <v>6577.0954593479819</v>
          </cell>
          <cell r="BI29">
            <v>4301.5732664165171</v>
          </cell>
          <cell r="BJ29">
            <v>2010</v>
          </cell>
          <cell r="BK29">
            <v>86.841863730453085</v>
          </cell>
          <cell r="BL29">
            <v>140.47342747204598</v>
          </cell>
          <cell r="BM29">
            <v>89.62015333992214</v>
          </cell>
          <cell r="BN29">
            <v>2011</v>
          </cell>
          <cell r="BO29">
            <v>1659.9353452254554</v>
          </cell>
          <cell r="BP29">
            <v>2685.0737384979866</v>
          </cell>
          <cell r="BQ29">
            <v>1742.9321115895054</v>
          </cell>
          <cell r="BR29">
            <v>2010</v>
          </cell>
          <cell r="BS29">
            <v>98.712070350243749</v>
          </cell>
          <cell r="BT29">
            <v>152.40743323320643</v>
          </cell>
          <cell r="BU29">
            <v>78.008022572226025</v>
          </cell>
          <cell r="BV29">
            <v>2011</v>
          </cell>
          <cell r="BW29">
            <v>66.953287600153317</v>
          </cell>
          <cell r="BX29">
            <v>108.3021181760039</v>
          </cell>
          <cell r="BY29">
            <v>73.523998596959316</v>
          </cell>
          <cell r="BZ29">
            <v>2011</v>
          </cell>
          <cell r="CA29">
            <v>5589.7779200102923</v>
          </cell>
          <cell r="CB29">
            <v>9761.0540588811109</v>
          </cell>
          <cell r="CC29">
            <v>2953.0290047284439</v>
          </cell>
          <cell r="CD29">
            <v>2016</v>
          </cell>
          <cell r="CE29">
            <v>950.78838782499156</v>
          </cell>
          <cell r="CF29">
            <v>1537.973716660651</v>
          </cell>
          <cell r="CG29">
            <v>998.32780992058531</v>
          </cell>
          <cell r="CH29">
            <v>2010</v>
          </cell>
          <cell r="CI29">
            <v>1112.3413894682972</v>
          </cell>
          <cell r="CJ29">
            <v>1675.422469195996</v>
          </cell>
          <cell r="CK29">
            <v>3325.6202467574417</v>
          </cell>
          <cell r="CL29">
            <v>2010</v>
          </cell>
          <cell r="CM29">
            <v>3697.2307145377167</v>
          </cell>
          <cell r="CN29">
            <v>5966.5632421347809</v>
          </cell>
          <cell r="CO29">
            <v>4078.3741620189539</v>
          </cell>
          <cell r="CP29">
            <v>2012</v>
          </cell>
          <cell r="CQ29">
            <v>1372.4205976163405</v>
          </cell>
          <cell r="CR29">
            <v>2219.9964087092631</v>
          </cell>
          <cell r="CS29">
            <v>1493.0529588327699</v>
          </cell>
          <cell r="CT29">
            <v>2011</v>
          </cell>
          <cell r="CU29">
            <v>97.996552188227525</v>
          </cell>
          <cell r="CV29">
            <v>158.51699833955391</v>
          </cell>
          <cell r="CW29">
            <v>110.19776573243291</v>
          </cell>
          <cell r="CX29">
            <v>2012</v>
          </cell>
          <cell r="CY29">
            <v>1084.1847251524619</v>
          </cell>
          <cell r="CZ29">
            <v>1771.998053776904</v>
          </cell>
          <cell r="DA29">
            <v>1047.1386533615901</v>
          </cell>
          <cell r="DB29">
            <v>2010</v>
          </cell>
          <cell r="DC29">
            <v>376.48169973105274</v>
          </cell>
          <cell r="DD29">
            <v>598.41917232148603</v>
          </cell>
          <cell r="DE29">
            <v>435.43299872953503</v>
          </cell>
          <cell r="DF29">
            <v>2013</v>
          </cell>
          <cell r="DG29">
            <v>621.31313255481439</v>
          </cell>
          <cell r="DH29">
            <v>1005.0220206803311</v>
          </cell>
          <cell r="DI29">
            <v>652.37878713194516</v>
          </cell>
          <cell r="DJ29">
            <v>2010</v>
          </cell>
          <cell r="DK29">
            <v>145.17267075226971</v>
          </cell>
          <cell r="DL29">
            <v>228.38910668764146</v>
          </cell>
          <cell r="DM29">
            <v>154.89099576783423</v>
          </cell>
          <cell r="DN29">
            <v>2012</v>
          </cell>
          <cell r="DO29">
            <v>118.63833607093217</v>
          </cell>
          <cell r="DP29">
            <v>191.90668022487563</v>
          </cell>
          <cell r="DQ29">
            <v>124.5702549880619</v>
          </cell>
          <cell r="DR29">
            <v>2010</v>
          </cell>
          <cell r="DS29">
            <v>492.49895834045088</v>
          </cell>
          <cell r="DT29">
            <v>762.31897132416384</v>
          </cell>
          <cell r="DU29">
            <v>379.14153690080673</v>
          </cell>
          <cell r="DV29">
            <v>2013</v>
          </cell>
          <cell r="DW29">
            <v>833.7906227374441</v>
          </cell>
          <cell r="DX29">
            <v>1349.9110481244413</v>
          </cell>
          <cell r="DY29">
            <v>422.36263325908442</v>
          </cell>
          <cell r="DZ29">
            <v>2011</v>
          </cell>
          <cell r="EA29">
            <v>381.41178225093472</v>
          </cell>
          <cell r="EB29">
            <v>616.96304207515971</v>
          </cell>
          <cell r="EC29">
            <v>401.82462287603249</v>
          </cell>
          <cell r="ED29">
            <v>2010</v>
          </cell>
          <cell r="EE29">
            <v>490.83973638357281</v>
          </cell>
          <cell r="EF29">
            <v>785.75358731303265</v>
          </cell>
          <cell r="EG29">
            <v>526.11650313849839</v>
          </cell>
          <cell r="EH29">
            <v>2011</v>
          </cell>
          <cell r="EI29">
            <v>951.59396068732076</v>
          </cell>
          <cell r="EJ29">
            <v>1539.2767916486171</v>
          </cell>
          <cell r="EK29">
            <v>999.17365740423884</v>
          </cell>
          <cell r="EL29">
            <v>2010</v>
          </cell>
          <cell r="EM29">
            <v>220.87175362272134</v>
          </cell>
          <cell r="EN29">
            <v>316.70593564045873</v>
          </cell>
          <cell r="EO29">
            <v>74.721393806778977</v>
          </cell>
          <cell r="EP29">
            <v>2012</v>
          </cell>
          <cell r="EQ29">
            <v>132.97943857872565</v>
          </cell>
          <cell r="ER29">
            <v>198.38845256572381</v>
          </cell>
          <cell r="ES29">
            <v>128.50792697750006</v>
          </cell>
          <cell r="ET29">
            <v>2013</v>
          </cell>
          <cell r="EU29">
            <v>335.40933843745574</v>
          </cell>
          <cell r="EV29">
            <v>560.75049417748357</v>
          </cell>
          <cell r="EW29">
            <v>256.962708416319</v>
          </cell>
          <cell r="EX29">
            <v>2010</v>
          </cell>
          <cell r="EY29">
            <v>412.416692130596</v>
          </cell>
          <cell r="EZ29">
            <v>685.16791033758648</v>
          </cell>
          <cell r="FA29">
            <v>337.32638115616612</v>
          </cell>
          <cell r="FB29">
            <v>2010</v>
          </cell>
          <cell r="FC29">
            <v>380.76499473519607</v>
          </cell>
          <cell r="FD29">
            <v>615.91681292986937</v>
          </cell>
          <cell r="FE29">
            <v>399.80324297776701</v>
          </cell>
          <cell r="FF29">
            <v>2010</v>
          </cell>
          <cell r="FG29">
            <v>16146.407534830823</v>
          </cell>
          <cell r="FH29">
            <v>26838.153092534641</v>
          </cell>
          <cell r="FI29">
            <v>13668.570072675358</v>
          </cell>
          <cell r="FJ29">
            <v>2010</v>
          </cell>
          <cell r="FK29">
            <v>529.34317051743801</v>
          </cell>
          <cell r="FL29">
            <v>856.25349827013952</v>
          </cell>
          <cell r="FM29">
            <v>637.49745549182649</v>
          </cell>
          <cell r="FN29">
            <v>2013</v>
          </cell>
          <cell r="FO29">
            <v>98.617445570492478</v>
          </cell>
          <cell r="FP29">
            <v>152.09079381437681</v>
          </cell>
          <cell r="FQ29">
            <v>77.980167143823451</v>
          </cell>
          <cell r="FR29">
            <v>2011</v>
          </cell>
          <cell r="FS29">
            <v>687.41701898717213</v>
          </cell>
          <cell r="FT29">
            <v>1111.9501677134722</v>
          </cell>
          <cell r="FU29">
            <v>747.43814881792264</v>
          </cell>
          <cell r="FV29">
            <v>2011</v>
          </cell>
          <cell r="FW29">
            <v>699.60927556501622</v>
          </cell>
          <cell r="FX29">
            <v>1123.2106547448921</v>
          </cell>
          <cell r="FY29">
            <v>678.306617270218</v>
          </cell>
          <cell r="FZ29">
            <v>2013</v>
          </cell>
          <cell r="GA29">
            <v>924.95505010166869</v>
          </cell>
          <cell r="GB29">
            <v>1496.1862947775169</v>
          </cell>
          <cell r="GC29">
            <v>1103.560746596768</v>
          </cell>
          <cell r="GD29">
            <v>2013</v>
          </cell>
          <cell r="GE29">
            <v>2079.8752080463332</v>
          </cell>
          <cell r="GF29">
            <v>3364.3589288097028</v>
          </cell>
          <cell r="GG29">
            <v>2062.4208313070671</v>
          </cell>
          <cell r="GH29">
            <v>2010</v>
          </cell>
          <cell r="GI29">
            <v>314.08391264834012</v>
          </cell>
          <cell r="GJ29">
            <v>469.55237571018824</v>
          </cell>
          <cell r="GK29">
            <v>187.57687073886416</v>
          </cell>
          <cell r="GL29">
            <v>2012</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row>
        <row r="30">
          <cell r="B30" t="str">
            <v>40%</v>
          </cell>
          <cell r="C30">
            <v>197.83568982268096</v>
          </cell>
          <cell r="D30">
            <v>313.70317091233363</v>
          </cell>
          <cell r="E30">
            <v>214.98181441902929</v>
          </cell>
          <cell r="F30">
            <v>2012</v>
          </cell>
          <cell r="G30">
            <v>1130.1862021420566</v>
          </cell>
          <cell r="H30">
            <v>1828.1635480330103</v>
          </cell>
          <cell r="I30">
            <v>1244.2017134292093</v>
          </cell>
          <cell r="J30">
            <v>2011</v>
          </cell>
          <cell r="K30">
            <v>542.07132384241254</v>
          </cell>
          <cell r="L30">
            <v>865.93296831879582</v>
          </cell>
          <cell r="M30">
            <v>585.73478963309151</v>
          </cell>
          <cell r="N30">
            <v>2011</v>
          </cell>
          <cell r="O30">
            <v>1119.7385949167533</v>
          </cell>
          <cell r="P30">
            <v>1811.2637362817347</v>
          </cell>
          <cell r="Q30">
            <v>1175.7255254295344</v>
          </cell>
          <cell r="R30">
            <v>2010</v>
          </cell>
          <cell r="S30">
            <v>334.54588339749949</v>
          </cell>
          <cell r="T30">
            <v>541.15382778827495</v>
          </cell>
          <cell r="U30">
            <v>362.23152018293462</v>
          </cell>
          <cell r="V30">
            <v>2011</v>
          </cell>
          <cell r="W30">
            <v>754.41616781651453</v>
          </cell>
          <cell r="X30">
            <v>667.57275415619108</v>
          </cell>
          <cell r="Y30">
            <v>3157.1298680647292</v>
          </cell>
          <cell r="Z30">
            <v>2011</v>
          </cell>
          <cell r="AA30">
            <v>4303.8721703143119</v>
          </cell>
          <cell r="AB30">
            <v>6950.3508254221833</v>
          </cell>
          <cell r="AC30">
            <v>4773.0358079722791</v>
          </cell>
          <cell r="AD30">
            <v>2012</v>
          </cell>
          <cell r="AE30">
            <v>576.81548218737328</v>
          </cell>
          <cell r="AF30">
            <v>933.04363221865151</v>
          </cell>
          <cell r="AG30">
            <v>628.32438659975639</v>
          </cell>
          <cell r="AH30">
            <v>2011</v>
          </cell>
          <cell r="AI30">
            <v>656.90688762903847</v>
          </cell>
          <cell r="AJ30">
            <v>1054.0922336632964</v>
          </cell>
          <cell r="AK30">
            <v>625.85618633809452</v>
          </cell>
          <cell r="AL30">
            <v>2013</v>
          </cell>
          <cell r="AM30">
            <v>87.368308075696291</v>
          </cell>
          <cell r="AN30">
            <v>132.32883121451931</v>
          </cell>
          <cell r="AO30">
            <v>79.391925847630304</v>
          </cell>
          <cell r="AP30">
            <v>2011</v>
          </cell>
          <cell r="AQ30">
            <v>1275.8170202355338</v>
          </cell>
          <cell r="AR30">
            <v>2091.4516105477783</v>
          </cell>
          <cell r="AS30">
            <v>917.45861150653059</v>
          </cell>
          <cell r="AT30">
            <v>2011</v>
          </cell>
          <cell r="AU30">
            <v>277.50922379027395</v>
          </cell>
          <cell r="AV30">
            <v>442.33852722537017</v>
          </cell>
          <cell r="AW30">
            <v>306.1254920643886</v>
          </cell>
          <cell r="AX30">
            <v>2012</v>
          </cell>
          <cell r="AY30">
            <v>856.53089458596946</v>
          </cell>
          <cell r="AZ30">
            <v>1376.1899424729563</v>
          </cell>
          <cell r="BA30">
            <v>863.7640736250022</v>
          </cell>
          <cell r="BB30">
            <v>2013</v>
          </cell>
          <cell r="BC30">
            <v>618.76416611452782</v>
          </cell>
          <cell r="BD30">
            <v>1000.8988708751243</v>
          </cell>
          <cell r="BE30">
            <v>736.53719768986889</v>
          </cell>
          <cell r="BF30">
            <v>2013</v>
          </cell>
          <cell r="BG30">
            <v>4113.8611802822488</v>
          </cell>
          <cell r="BH30">
            <v>6654.4884725129323</v>
          </cell>
          <cell r="BI30">
            <v>4318.8909458528487</v>
          </cell>
          <cell r="BJ30">
            <v>2010</v>
          </cell>
          <cell r="BK30">
            <v>88.663842136638394</v>
          </cell>
          <cell r="BL30">
            <v>143.42061898850864</v>
          </cell>
          <cell r="BM30">
            <v>90.958448501496434</v>
          </cell>
          <cell r="BN30">
            <v>2011</v>
          </cell>
          <cell r="BO30">
            <v>1679.6265985416856</v>
          </cell>
          <cell r="BP30">
            <v>2716.9258634734197</v>
          </cell>
          <cell r="BQ30">
            <v>1763.6079300209415</v>
          </cell>
          <cell r="BR30">
            <v>2010</v>
          </cell>
          <cell r="BS30">
            <v>99.782183435426205</v>
          </cell>
          <cell r="BT30">
            <v>154.15678383699415</v>
          </cell>
          <cell r="BU30">
            <v>79.261309500226957</v>
          </cell>
          <cell r="BV30">
            <v>2011</v>
          </cell>
          <cell r="BW30">
            <v>67.797503883238264</v>
          </cell>
          <cell r="BX30">
            <v>109.66770370686633</v>
          </cell>
          <cell r="BY30">
            <v>74.408462253959371</v>
          </cell>
          <cell r="BZ30">
            <v>2011</v>
          </cell>
          <cell r="CA30">
            <v>5631.3481595720368</v>
          </cell>
          <cell r="CB30">
            <v>9852.7467697350985</v>
          </cell>
          <cell r="CC30">
            <v>2971.7973207259338</v>
          </cell>
          <cell r="CD30">
            <v>2017</v>
          </cell>
          <cell r="CE30">
            <v>1017.5011494449883</v>
          </cell>
          <cell r="CF30">
            <v>1645.8867647615161</v>
          </cell>
          <cell r="CG30">
            <v>1068.3762076415817</v>
          </cell>
          <cell r="CH30">
            <v>2010</v>
          </cell>
          <cell r="CI30">
            <v>1139.995984492439</v>
          </cell>
          <cell r="CJ30">
            <v>1718.7379381826893</v>
          </cell>
          <cell r="CK30">
            <v>3353.5487654524482</v>
          </cell>
          <cell r="CL30">
            <v>2010</v>
          </cell>
          <cell r="CM30">
            <v>3724.0558097501912</v>
          </cell>
          <cell r="CN30">
            <v>6010.8406261768196</v>
          </cell>
          <cell r="CO30">
            <v>4108.8126062514384</v>
          </cell>
          <cell r="CP30">
            <v>2012</v>
          </cell>
          <cell r="CQ30">
            <v>1415.3630985013344</v>
          </cell>
          <cell r="CR30">
            <v>2289.4592237227898</v>
          </cell>
          <cell r="CS30">
            <v>1540.58206464561</v>
          </cell>
          <cell r="CT30">
            <v>2011</v>
          </cell>
          <cell r="CU30">
            <v>101.49300240143901</v>
          </cell>
          <cell r="CV30">
            <v>164.17277678937404</v>
          </cell>
          <cell r="CW30">
            <v>114.61191933756777</v>
          </cell>
          <cell r="CX30">
            <v>2012</v>
          </cell>
          <cell r="CY30">
            <v>1100.3372310156583</v>
          </cell>
          <cell r="CZ30">
            <v>1798.2090168258792</v>
          </cell>
          <cell r="DA30">
            <v>1062.5837047704074</v>
          </cell>
          <cell r="DB30">
            <v>2010</v>
          </cell>
          <cell r="DC30">
            <v>386.15141665820784</v>
          </cell>
          <cell r="DD30">
            <v>614.49199959006592</v>
          </cell>
          <cell r="DE30">
            <v>447.23764015976735</v>
          </cell>
          <cell r="DF30">
            <v>2013</v>
          </cell>
          <cell r="DG30">
            <v>625.88203246948672</v>
          </cell>
          <cell r="DH30">
            <v>1012.4125700471164</v>
          </cell>
          <cell r="DI30">
            <v>657.1761342908726</v>
          </cell>
          <cell r="DJ30">
            <v>2010</v>
          </cell>
          <cell r="DK30">
            <v>145.89366268642729</v>
          </cell>
          <cell r="DL30">
            <v>229.56305592978819</v>
          </cell>
          <cell r="DM30">
            <v>155.32765057358944</v>
          </cell>
          <cell r="DN30">
            <v>2012</v>
          </cell>
          <cell r="DO30">
            <v>120.74664484080259</v>
          </cell>
          <cell r="DP30">
            <v>195.31703194311015</v>
          </cell>
          <cell r="DQ30">
            <v>126.78397680714011</v>
          </cell>
          <cell r="DR30">
            <v>2010</v>
          </cell>
          <cell r="DS30">
            <v>497.40205982995599</v>
          </cell>
          <cell r="DT30">
            <v>769.81716452066973</v>
          </cell>
          <cell r="DU30">
            <v>385.68322531475735</v>
          </cell>
          <cell r="DV30">
            <v>2013</v>
          </cell>
          <cell r="DW30">
            <v>842.46600094728296</v>
          </cell>
          <cell r="DX30">
            <v>1359.3326150198914</v>
          </cell>
          <cell r="DY30">
            <v>426.02400085786411</v>
          </cell>
          <cell r="DZ30">
            <v>2011</v>
          </cell>
          <cell r="EA30">
            <v>385.9232791162849</v>
          </cell>
          <cell r="EB30">
            <v>624.26073697363336</v>
          </cell>
          <cell r="EC30">
            <v>403.79657271234953</v>
          </cell>
          <cell r="ED30">
            <v>2010</v>
          </cell>
          <cell r="EE30">
            <v>502.46314812153014</v>
          </cell>
          <cell r="EF30">
            <v>799.86782539094133</v>
          </cell>
          <cell r="EG30">
            <v>532.99554509823827</v>
          </cell>
          <cell r="EH30">
            <v>2011</v>
          </cell>
          <cell r="EI30">
            <v>1017.0072735497565</v>
          </cell>
          <cell r="EJ30">
            <v>1645.0878824456925</v>
          </cell>
          <cell r="EK30">
            <v>1067.8576379323704</v>
          </cell>
          <cell r="EL30">
            <v>2010</v>
          </cell>
          <cell r="EM30">
            <v>224.59004788557201</v>
          </cell>
          <cell r="EN30">
            <v>320.30729537939322</v>
          </cell>
          <cell r="EO30">
            <v>75.633575572821243</v>
          </cell>
          <cell r="EP30">
            <v>2013</v>
          </cell>
          <cell r="EQ30">
            <v>138.4547917694243</v>
          </cell>
          <cell r="ER30">
            <v>207.70013451058554</v>
          </cell>
          <cell r="ES30">
            <v>134.76950997274432</v>
          </cell>
          <cell r="ET30">
            <v>2013</v>
          </cell>
          <cell r="EU30">
            <v>338.82533235046287</v>
          </cell>
          <cell r="EV30">
            <v>566.16735874487915</v>
          </cell>
          <cell r="EW30">
            <v>260.82128090703446</v>
          </cell>
          <cell r="EX30">
            <v>2010</v>
          </cell>
          <cell r="EY30">
            <v>417.9258169492133</v>
          </cell>
          <cell r="EZ30">
            <v>694.06613816570859</v>
          </cell>
          <cell r="FA30">
            <v>342.57609664878879</v>
          </cell>
          <cell r="FB30">
            <v>2010</v>
          </cell>
          <cell r="FC30">
            <v>385.39330378054183</v>
          </cell>
          <cell r="FD30">
            <v>623.40346023853942</v>
          </cell>
          <cell r="FE30">
            <v>404.66296696014967</v>
          </cell>
          <cell r="FF30">
            <v>2010</v>
          </cell>
          <cell r="FG30">
            <v>16198.4993467452</v>
          </cell>
          <cell r="FH30">
            <v>26918.565561697746</v>
          </cell>
          <cell r="FI30">
            <v>13709.264350886786</v>
          </cell>
          <cell r="FJ30">
            <v>2010</v>
          </cell>
          <cell r="FK30">
            <v>538.16153791746024</v>
          </cell>
          <cell r="FL30">
            <v>870.5178891199339</v>
          </cell>
          <cell r="FM30">
            <v>647.56980724324944</v>
          </cell>
          <cell r="FN30">
            <v>2013</v>
          </cell>
          <cell r="FO30">
            <v>100.03969573146783</v>
          </cell>
          <cell r="FP30">
            <v>154.48373195764145</v>
          </cell>
          <cell r="FQ30">
            <v>79.183070494553917</v>
          </cell>
          <cell r="FR30">
            <v>2011</v>
          </cell>
          <cell r="FS30">
            <v>693.05862571640102</v>
          </cell>
          <cell r="FT30">
            <v>1121.0759020620812</v>
          </cell>
          <cell r="FU30">
            <v>752.67599445964959</v>
          </cell>
          <cell r="FV30">
            <v>2011</v>
          </cell>
          <cell r="FW30">
            <v>705.61835416744589</v>
          </cell>
          <cell r="FX30">
            <v>1132.9056763618396</v>
          </cell>
          <cell r="FY30">
            <v>684.16649995421346</v>
          </cell>
          <cell r="FZ30">
            <v>2013</v>
          </cell>
          <cell r="GA30">
            <v>933.46904120966713</v>
          </cell>
          <cell r="GB30">
            <v>1509.9583339449168</v>
          </cell>
          <cell r="GC30">
            <v>1114.0279111852578</v>
          </cell>
          <cell r="GD30">
            <v>2013</v>
          </cell>
          <cell r="GE30">
            <v>2145.1449583146277</v>
          </cell>
          <cell r="GF30">
            <v>3469.937795191277</v>
          </cell>
          <cell r="GG30">
            <v>2087.1886284289249</v>
          </cell>
          <cell r="GH30">
            <v>2010</v>
          </cell>
          <cell r="GI30">
            <v>318.64803584127452</v>
          </cell>
          <cell r="GJ30">
            <v>474.53378266876268</v>
          </cell>
          <cell r="GK30">
            <v>190.84628729960156</v>
          </cell>
          <cell r="GL30">
            <v>2013</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row>
        <row r="31">
          <cell r="B31" t="str">
            <v>45%</v>
          </cell>
          <cell r="C31">
            <v>198.94767555529251</v>
          </cell>
          <cell r="D31">
            <v>315.40428927796256</v>
          </cell>
          <cell r="E31">
            <v>215.58948332404748</v>
          </cell>
          <cell r="F31">
            <v>2012</v>
          </cell>
          <cell r="G31">
            <v>1143.4003220381167</v>
          </cell>
          <cell r="H31">
            <v>1849.5384090939986</v>
          </cell>
          <cell r="I31">
            <v>1258.0674611595921</v>
          </cell>
          <cell r="J31">
            <v>2011</v>
          </cell>
          <cell r="K31">
            <v>552.65454439476446</v>
          </cell>
          <cell r="L31">
            <v>879.22578164017216</v>
          </cell>
          <cell r="M31">
            <v>592.99591936670504</v>
          </cell>
          <cell r="N31">
            <v>2012</v>
          </cell>
          <cell r="O31">
            <v>1194.1675268863291</v>
          </cell>
          <cell r="P31">
            <v>1931.6582871626956</v>
          </cell>
          <cell r="Q31">
            <v>1253.8759026644568</v>
          </cell>
          <cell r="R31">
            <v>2010</v>
          </cell>
          <cell r="S31">
            <v>339.2099011722035</v>
          </cell>
          <cell r="T31">
            <v>548.6982370790048</v>
          </cell>
          <cell r="U31">
            <v>367.14883543347753</v>
          </cell>
          <cell r="V31">
            <v>2011</v>
          </cell>
          <cell r="W31">
            <v>775.35158614277157</v>
          </cell>
          <cell r="X31">
            <v>713.98408488465736</v>
          </cell>
          <cell r="Y31">
            <v>3184.6302037243431</v>
          </cell>
          <cell r="Z31">
            <v>2011</v>
          </cell>
          <cell r="AA31">
            <v>4337.3365165042105</v>
          </cell>
          <cell r="AB31">
            <v>7002.3251644405291</v>
          </cell>
          <cell r="AC31">
            <v>4804.3980465441145</v>
          </cell>
          <cell r="AD31">
            <v>2012</v>
          </cell>
          <cell r="AE31">
            <v>580.81007957495547</v>
          </cell>
          <cell r="AF31">
            <v>939.50520186580513</v>
          </cell>
          <cell r="AG31">
            <v>632.422234708774</v>
          </cell>
          <cell r="AH31">
            <v>2011</v>
          </cell>
          <cell r="AI31">
            <v>661.91256795651304</v>
          </cell>
          <cell r="AJ31">
            <v>1060.4414581301355</v>
          </cell>
          <cell r="AK31">
            <v>631.19285443795843</v>
          </cell>
          <cell r="AL31">
            <v>2013</v>
          </cell>
          <cell r="AM31">
            <v>88.322428348590975</v>
          </cell>
          <cell r="AN31">
            <v>133.89288470537292</v>
          </cell>
          <cell r="AO31">
            <v>80.308917783755803</v>
          </cell>
          <cell r="AP31">
            <v>2011</v>
          </cell>
          <cell r="AQ31">
            <v>1287.5376615688153</v>
          </cell>
          <cell r="AR31">
            <v>2108.794947289844</v>
          </cell>
          <cell r="AS31">
            <v>925.97692614650043</v>
          </cell>
          <cell r="AT31">
            <v>2011</v>
          </cell>
          <cell r="AU31">
            <v>278.78055075289149</v>
          </cell>
          <cell r="AV31">
            <v>444.453682034152</v>
          </cell>
          <cell r="AW31">
            <v>307.04677745863336</v>
          </cell>
          <cell r="AX31">
            <v>2012</v>
          </cell>
          <cell r="AY31">
            <v>861.97727190633543</v>
          </cell>
          <cell r="AZ31">
            <v>1384.7866210280633</v>
          </cell>
          <cell r="BA31">
            <v>870.95577795210147</v>
          </cell>
          <cell r="BB31">
            <v>2013</v>
          </cell>
          <cell r="BC31">
            <v>623.95160401859221</v>
          </cell>
          <cell r="BD31">
            <v>1009.2899529926904</v>
          </cell>
          <cell r="BE31">
            <v>744.34957682457741</v>
          </cell>
          <cell r="BF31">
            <v>2013</v>
          </cell>
          <cell r="BG31">
            <v>4174.7993677691447</v>
          </cell>
          <cell r="BH31">
            <v>6753.0607009621262</v>
          </cell>
          <cell r="BI31">
            <v>4336.7094695922569</v>
          </cell>
          <cell r="BJ31">
            <v>2010</v>
          </cell>
          <cell r="BK31">
            <v>90.904319175857978</v>
          </cell>
          <cell r="BL31">
            <v>147.04476356493086</v>
          </cell>
          <cell r="BM31">
            <v>92.223997999883878</v>
          </cell>
          <cell r="BN31">
            <v>2011</v>
          </cell>
          <cell r="BO31">
            <v>1697.9139971155735</v>
          </cell>
          <cell r="BP31">
            <v>2746.5071443821398</v>
          </cell>
          <cell r="BQ31">
            <v>1782.8096989524583</v>
          </cell>
          <cell r="BR31">
            <v>2010</v>
          </cell>
          <cell r="BS31">
            <v>101.16851977956624</v>
          </cell>
          <cell r="BT31">
            <v>156.35142460709409</v>
          </cell>
          <cell r="BU31">
            <v>80.287882638304694</v>
          </cell>
          <cell r="BV31">
            <v>2011</v>
          </cell>
          <cell r="BW31">
            <v>68.502233044005408</v>
          </cell>
          <cell r="BX31">
            <v>110.80765779598536</v>
          </cell>
          <cell r="BY31">
            <v>75.210845779203666</v>
          </cell>
          <cell r="BZ31">
            <v>2011</v>
          </cell>
          <cell r="CA31">
            <v>5678.3157899008575</v>
          </cell>
          <cell r="CB31">
            <v>9964.8051621519826</v>
          </cell>
          <cell r="CC31">
            <v>2994.9799518641839</v>
          </cell>
          <cell r="CD31">
            <v>2017</v>
          </cell>
          <cell r="CE31">
            <v>1083.8072996464457</v>
          </cell>
          <cell r="CF31">
            <v>1753.1420892487472</v>
          </cell>
          <cell r="CG31">
            <v>1137.9976671026129</v>
          </cell>
          <cell r="CH31">
            <v>2010</v>
          </cell>
          <cell r="CI31">
            <v>1166.7583599177121</v>
          </cell>
          <cell r="CJ31">
            <v>1768.3243727108745</v>
          </cell>
          <cell r="CK31">
            <v>3382.6091724043908</v>
          </cell>
          <cell r="CL31">
            <v>2010</v>
          </cell>
          <cell r="CM31">
            <v>3751.9289089429963</v>
          </cell>
          <cell r="CN31">
            <v>6050.6145352665017</v>
          </cell>
          <cell r="CO31">
            <v>4136.5177667865892</v>
          </cell>
          <cell r="CP31">
            <v>2012</v>
          </cell>
          <cell r="CQ31">
            <v>1457.9091991513728</v>
          </cell>
          <cell r="CR31">
            <v>2358.2808303517654</v>
          </cell>
          <cell r="CS31">
            <v>1583.3099520768849</v>
          </cell>
          <cell r="CT31">
            <v>2011</v>
          </cell>
          <cell r="CU31">
            <v>105.69074267685245</v>
          </cell>
          <cell r="CV31">
            <v>170.9629462641409</v>
          </cell>
          <cell r="CW31">
            <v>118.38682411002743</v>
          </cell>
          <cell r="CX31">
            <v>2012</v>
          </cell>
          <cell r="CY31">
            <v>1114.4149716153313</v>
          </cell>
          <cell r="CZ31">
            <v>1820.6965056521365</v>
          </cell>
          <cell r="DA31">
            <v>1077.688220940483</v>
          </cell>
          <cell r="DB31">
            <v>2010</v>
          </cell>
          <cell r="DC31">
            <v>394.55015849352196</v>
          </cell>
          <cell r="DD31">
            <v>626.81334795245118</v>
          </cell>
          <cell r="DE31">
            <v>458.43333293268142</v>
          </cell>
          <cell r="DF31">
            <v>2013</v>
          </cell>
          <cell r="DG31">
            <v>629.8984395031506</v>
          </cell>
          <cell r="DH31">
            <v>1018.9094181618379</v>
          </cell>
          <cell r="DI31">
            <v>661.39335871366006</v>
          </cell>
          <cell r="DJ31">
            <v>2010</v>
          </cell>
          <cell r="DK31">
            <v>146.59343586424856</v>
          </cell>
          <cell r="DL31">
            <v>230.63494761142599</v>
          </cell>
          <cell r="DM31">
            <v>155.76363926972914</v>
          </cell>
          <cell r="DN31">
            <v>2012</v>
          </cell>
          <cell r="DO31">
            <v>122.70688827064906</v>
          </cell>
          <cell r="DP31">
            <v>198.48787692744838</v>
          </cell>
          <cell r="DQ31">
            <v>128.8422309792881</v>
          </cell>
          <cell r="DR31">
            <v>2010</v>
          </cell>
          <cell r="DS31">
            <v>503.32320003855574</v>
          </cell>
          <cell r="DT31">
            <v>778.62625004682923</v>
          </cell>
          <cell r="DU31">
            <v>391.55992901053412</v>
          </cell>
          <cell r="DV31">
            <v>2013</v>
          </cell>
          <cell r="DW31">
            <v>850.48182593462298</v>
          </cell>
          <cell r="DX31">
            <v>1368.6028732041166</v>
          </cell>
          <cell r="DY31">
            <v>429.20883972554054</v>
          </cell>
          <cell r="DZ31">
            <v>2012</v>
          </cell>
          <cell r="EA31">
            <v>391.59669845075439</v>
          </cell>
          <cell r="EB31">
            <v>633.43793111063428</v>
          </cell>
          <cell r="EC31">
            <v>405.40858650919512</v>
          </cell>
          <cell r="ED31">
            <v>2010</v>
          </cell>
          <cell r="EE31">
            <v>511.90501391875796</v>
          </cell>
          <cell r="EF31">
            <v>812.99139257250465</v>
          </cell>
          <cell r="EG31">
            <v>540.73169970193555</v>
          </cell>
          <cell r="EH31">
            <v>2012</v>
          </cell>
          <cell r="EI31">
            <v>1083.0576070594554</v>
          </cell>
          <cell r="EJ31">
            <v>1751.9294031785105</v>
          </cell>
          <cell r="EK31">
            <v>1137.2104875496793</v>
          </cell>
          <cell r="EL31">
            <v>2010</v>
          </cell>
          <cell r="EM31">
            <v>227.87726720485358</v>
          </cell>
          <cell r="EN31">
            <v>323.07802342853239</v>
          </cell>
          <cell r="EO31">
            <v>76.659736521652121</v>
          </cell>
          <cell r="EP31">
            <v>2013</v>
          </cell>
          <cell r="EQ31">
            <v>143.33751142948771</v>
          </cell>
          <cell r="ER31">
            <v>216.30363849696417</v>
          </cell>
          <cell r="ES31">
            <v>141.12815004683441</v>
          </cell>
          <cell r="ET31">
            <v>2013</v>
          </cell>
          <cell r="EU31">
            <v>341.87399267776868</v>
          </cell>
          <cell r="EV31">
            <v>571.58940271323149</v>
          </cell>
          <cell r="EW31">
            <v>264.41908047199234</v>
          </cell>
          <cell r="EX31">
            <v>2010</v>
          </cell>
          <cell r="EY31">
            <v>423.05210626299748</v>
          </cell>
          <cell r="EZ31">
            <v>702.13237471876732</v>
          </cell>
          <cell r="FA31">
            <v>347.35941954845111</v>
          </cell>
          <cell r="FB31">
            <v>2010</v>
          </cell>
          <cell r="FC31">
            <v>389.49681214072069</v>
          </cell>
          <cell r="FD31">
            <v>630.04120286921716</v>
          </cell>
          <cell r="FE31">
            <v>408.97165310240962</v>
          </cell>
          <cell r="FF31">
            <v>2010</v>
          </cell>
          <cell r="FG31">
            <v>16254.085807449626</v>
          </cell>
          <cell r="FH31">
            <v>27003.050597104819</v>
          </cell>
          <cell r="FI31">
            <v>13742.456011885903</v>
          </cell>
          <cell r="FJ31">
            <v>2010</v>
          </cell>
          <cell r="FK31">
            <v>548.1293695289794</v>
          </cell>
          <cell r="FL31">
            <v>886.64162756678104</v>
          </cell>
          <cell r="FM31">
            <v>658.96302569065324</v>
          </cell>
          <cell r="FN31">
            <v>2013</v>
          </cell>
          <cell r="FO31">
            <v>101.15075038885576</v>
          </cell>
          <cell r="FP31">
            <v>156.26929148804325</v>
          </cell>
          <cell r="FQ31">
            <v>80.350885695973588</v>
          </cell>
          <cell r="FR31">
            <v>2011</v>
          </cell>
          <cell r="FS31">
            <v>699.0790794683254</v>
          </cell>
          <cell r="FT31">
            <v>1130.8144519519512</v>
          </cell>
          <cell r="FU31">
            <v>757.72172780227061</v>
          </cell>
          <cell r="FV31">
            <v>2011</v>
          </cell>
          <cell r="FW31">
            <v>710.42302033497526</v>
          </cell>
          <cell r="FX31">
            <v>1139.8497239291255</v>
          </cell>
          <cell r="FY31">
            <v>689.3161551397651</v>
          </cell>
          <cell r="FZ31">
            <v>2013</v>
          </cell>
          <cell r="GA31">
            <v>941.96998426587277</v>
          </cell>
          <cell r="GB31">
            <v>1523.7092665365269</v>
          </cell>
          <cell r="GC31">
            <v>1124.0896943293812</v>
          </cell>
          <cell r="GD31">
            <v>2013</v>
          </cell>
          <cell r="GE31">
            <v>2234.4672037892274</v>
          </cell>
          <cell r="GF31">
            <v>3613.9070958173629</v>
          </cell>
          <cell r="GG31">
            <v>2113.4098465980646</v>
          </cell>
          <cell r="GH31">
            <v>2010</v>
          </cell>
          <cell r="GI31">
            <v>322.64024797153672</v>
          </cell>
          <cell r="GJ31">
            <v>478.13186245403375</v>
          </cell>
          <cell r="GK31">
            <v>193.33564309835342</v>
          </cell>
          <cell r="GL31">
            <v>2013</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row>
        <row r="32">
          <cell r="B32" t="str">
            <v>50%</v>
          </cell>
          <cell r="C32">
            <v>200.08810483791922</v>
          </cell>
          <cell r="D32">
            <v>317.2345519862568</v>
          </cell>
          <cell r="E32">
            <v>216.27048747639148</v>
          </cell>
          <cell r="F32">
            <v>2012</v>
          </cell>
          <cell r="G32">
            <v>1154.908525533699</v>
          </cell>
          <cell r="H32">
            <v>1868.1538181766816</v>
          </cell>
          <cell r="I32">
            <v>1270.9119673340344</v>
          </cell>
          <cell r="J32">
            <v>2011</v>
          </cell>
          <cell r="K32">
            <v>562.67196947224863</v>
          </cell>
          <cell r="L32">
            <v>894.47297836492703</v>
          </cell>
          <cell r="M32">
            <v>602.55572577768623</v>
          </cell>
          <cell r="N32">
            <v>2012</v>
          </cell>
          <cell r="O32">
            <v>1271.1455993188461</v>
          </cell>
          <cell r="P32">
            <v>2056.1762703183053</v>
          </cell>
          <cell r="Q32">
            <v>1334.7028810673426</v>
          </cell>
          <cell r="R32">
            <v>2010</v>
          </cell>
          <cell r="S32">
            <v>343.99749629054548</v>
          </cell>
          <cell r="T32">
            <v>556.44254225965813</v>
          </cell>
          <cell r="U32">
            <v>371.83609915377554</v>
          </cell>
          <cell r="V32">
            <v>2011</v>
          </cell>
          <cell r="W32">
            <v>808.54500533336386</v>
          </cell>
          <cell r="X32">
            <v>768.19165217553586</v>
          </cell>
          <cell r="Y32">
            <v>3213.3294483479426</v>
          </cell>
          <cell r="Z32">
            <v>2011</v>
          </cell>
          <cell r="AA32">
            <v>4365.5523297352129</v>
          </cell>
          <cell r="AB32">
            <v>7051.8353976937087</v>
          </cell>
          <cell r="AC32">
            <v>4835.5949530272765</v>
          </cell>
          <cell r="AD32">
            <v>2012</v>
          </cell>
          <cell r="AE32">
            <v>585.93461879259416</v>
          </cell>
          <cell r="AF32">
            <v>947.7945406233938</v>
          </cell>
          <cell r="AG32">
            <v>636.5774677949646</v>
          </cell>
          <cell r="AH32">
            <v>2011</v>
          </cell>
          <cell r="AI32">
            <v>666.3448588364522</v>
          </cell>
          <cell r="AJ32">
            <v>1068.1203976898832</v>
          </cell>
          <cell r="AK32">
            <v>635.76865126358007</v>
          </cell>
          <cell r="AL32">
            <v>2013</v>
          </cell>
          <cell r="AM32">
            <v>89.423728935049965</v>
          </cell>
          <cell r="AN32">
            <v>135.67229232235002</v>
          </cell>
          <cell r="AO32">
            <v>81.388286812972069</v>
          </cell>
          <cell r="AP32">
            <v>2011</v>
          </cell>
          <cell r="AQ32">
            <v>1299.1907550649396</v>
          </cell>
          <cell r="AR32">
            <v>2128.6886853296028</v>
          </cell>
          <cell r="AS32">
            <v>933.63715214683259</v>
          </cell>
          <cell r="AT32">
            <v>2011</v>
          </cell>
          <cell r="AU32">
            <v>280.36686313564235</v>
          </cell>
          <cell r="AV32">
            <v>446.98716005519941</v>
          </cell>
          <cell r="AW32">
            <v>307.97309860879085</v>
          </cell>
          <cell r="AX32">
            <v>2012</v>
          </cell>
          <cell r="AY32">
            <v>868.31716643552284</v>
          </cell>
          <cell r="AZ32">
            <v>1395.3780319769564</v>
          </cell>
          <cell r="BA32">
            <v>877.33648409886257</v>
          </cell>
          <cell r="BB32">
            <v>2013</v>
          </cell>
          <cell r="BC32">
            <v>629.94570688023339</v>
          </cell>
          <cell r="BD32">
            <v>1018.9858773387842</v>
          </cell>
          <cell r="BE32">
            <v>750.71806370455022</v>
          </cell>
          <cell r="BF32">
            <v>2013</v>
          </cell>
          <cell r="BG32">
            <v>4324.5992194260671</v>
          </cell>
          <cell r="BH32">
            <v>6985.9367656357954</v>
          </cell>
          <cell r="BI32">
            <v>4354.1260811461643</v>
          </cell>
          <cell r="BJ32">
            <v>2010</v>
          </cell>
          <cell r="BK32">
            <v>93.652307279625376</v>
          </cell>
          <cell r="BL32">
            <v>151.4898471469464</v>
          </cell>
          <cell r="BM32">
            <v>93.40108701846809</v>
          </cell>
          <cell r="BN32">
            <v>2011</v>
          </cell>
          <cell r="BO32">
            <v>1715.9155456515443</v>
          </cell>
          <cell r="BP32">
            <v>2775.6260405651324</v>
          </cell>
          <cell r="BQ32">
            <v>1801.7113242583362</v>
          </cell>
          <cell r="BR32">
            <v>2010</v>
          </cell>
          <cell r="BS32">
            <v>102.36167371243445</v>
          </cell>
          <cell r="BT32">
            <v>158.18137127219634</v>
          </cell>
          <cell r="BU32">
            <v>81.386995650853123</v>
          </cell>
          <cell r="BV32">
            <v>2011</v>
          </cell>
          <cell r="BW32">
            <v>69.23729272964529</v>
          </cell>
          <cell r="BX32">
            <v>111.99667272584429</v>
          </cell>
          <cell r="BY32">
            <v>76.039285284783958</v>
          </cell>
          <cell r="BZ32">
            <v>2011</v>
          </cell>
          <cell r="CA32">
            <v>5725.6528029461715</v>
          </cell>
          <cell r="CB32">
            <v>10061.869277801445</v>
          </cell>
          <cell r="CC32">
            <v>3010.7651185413483</v>
          </cell>
          <cell r="CD32">
            <v>2017</v>
          </cell>
          <cell r="CE32">
            <v>1153.3028247235432</v>
          </cell>
          <cell r="CF32">
            <v>1865.5564721723561</v>
          </cell>
          <cell r="CG32">
            <v>1210.9679621941821</v>
          </cell>
          <cell r="CH32">
            <v>2010</v>
          </cell>
          <cell r="CI32">
            <v>1199.0151949699693</v>
          </cell>
          <cell r="CJ32">
            <v>1818.5881975114871</v>
          </cell>
          <cell r="CK32">
            <v>3412.7566595983794</v>
          </cell>
          <cell r="CL32">
            <v>2010</v>
          </cell>
          <cell r="CM32">
            <v>3774.3177519627993</v>
          </cell>
          <cell r="CN32">
            <v>6093.298081183485</v>
          </cell>
          <cell r="CO32">
            <v>4163.2884061056438</v>
          </cell>
          <cell r="CP32">
            <v>2012</v>
          </cell>
          <cell r="CQ32">
            <v>1499.3441602279167</v>
          </cell>
          <cell r="CR32">
            <v>2425.3050830005091</v>
          </cell>
          <cell r="CS32">
            <v>1627.488553020082</v>
          </cell>
          <cell r="CT32">
            <v>2011</v>
          </cell>
          <cell r="CU32">
            <v>109.90123089803402</v>
          </cell>
          <cell r="CV32">
            <v>177.77373637680162</v>
          </cell>
          <cell r="CW32">
            <v>122.87425232533846</v>
          </cell>
          <cell r="CX32">
            <v>2012</v>
          </cell>
          <cell r="CY32">
            <v>1127.2572111985507</v>
          </cell>
          <cell r="CZ32">
            <v>1841.7261291597952</v>
          </cell>
          <cell r="DA32">
            <v>1091.1181470089748</v>
          </cell>
          <cell r="DB32">
            <v>2010</v>
          </cell>
          <cell r="DC32">
            <v>403.93526908505606</v>
          </cell>
          <cell r="DD32">
            <v>642.27108960722092</v>
          </cell>
          <cell r="DE32">
            <v>468.81111450642328</v>
          </cell>
          <cell r="DF32">
            <v>2013</v>
          </cell>
          <cell r="DG32">
            <v>634.02056461724828</v>
          </cell>
          <cell r="DH32">
            <v>1025.5772748419117</v>
          </cell>
          <cell r="DI32">
            <v>665.72159294465564</v>
          </cell>
          <cell r="DJ32">
            <v>2010</v>
          </cell>
          <cell r="DK32">
            <v>147.50608410452327</v>
          </cell>
          <cell r="DL32">
            <v>232.01952460602709</v>
          </cell>
          <cell r="DM32">
            <v>156.25408771669422</v>
          </cell>
          <cell r="DN32">
            <v>2012</v>
          </cell>
          <cell r="DO32">
            <v>124.57319339552703</v>
          </cell>
          <cell r="DP32">
            <v>201.50677004291586</v>
          </cell>
          <cell r="DQ32">
            <v>130.80185254286292</v>
          </cell>
          <cell r="DR32">
            <v>2010</v>
          </cell>
          <cell r="DS32">
            <v>507.80932381341563</v>
          </cell>
          <cell r="DT32">
            <v>786.41124827363717</v>
          </cell>
          <cell r="DU32">
            <v>396.91479024564524</v>
          </cell>
          <cell r="DV32">
            <v>2013</v>
          </cell>
          <cell r="DW32">
            <v>856.98099518763968</v>
          </cell>
          <cell r="DX32">
            <v>1377.7694577244222</v>
          </cell>
          <cell r="DY32">
            <v>432.67743994648839</v>
          </cell>
          <cell r="DZ32">
            <v>2012</v>
          </cell>
          <cell r="EA32">
            <v>404.18114642670332</v>
          </cell>
          <cell r="EB32">
            <v>653.79424908518513</v>
          </cell>
          <cell r="EC32">
            <v>406.80455992998827</v>
          </cell>
          <cell r="ED32">
            <v>2010</v>
          </cell>
          <cell r="EE32">
            <v>521.94515416664581</v>
          </cell>
          <cell r="EF32">
            <v>826.60153178938742</v>
          </cell>
          <cell r="EG32">
            <v>548.39064945226403</v>
          </cell>
          <cell r="EH32">
            <v>2012</v>
          </cell>
          <cell r="EI32">
            <v>1155.2664313931177</v>
          </cell>
          <cell r="EJ32">
            <v>1868.7327583262686</v>
          </cell>
          <cell r="EK32">
            <v>1213.029752151265</v>
          </cell>
          <cell r="EL32">
            <v>2010</v>
          </cell>
          <cell r="EM32">
            <v>229.65974959027321</v>
          </cell>
          <cell r="EN32">
            <v>326.04737537646292</v>
          </cell>
          <cell r="EO32">
            <v>77.76149466429483</v>
          </cell>
          <cell r="EP32">
            <v>2013</v>
          </cell>
          <cell r="EQ32">
            <v>148.01953791028004</v>
          </cell>
          <cell r="ER32">
            <v>223.46669794352937</v>
          </cell>
          <cell r="ES32">
            <v>146.32783233987945</v>
          </cell>
          <cell r="ET32">
            <v>2013</v>
          </cell>
          <cell r="EU32">
            <v>346.23492620800579</v>
          </cell>
          <cell r="EV32">
            <v>578.30633647172112</v>
          </cell>
          <cell r="EW32">
            <v>267.8177763577599</v>
          </cell>
          <cell r="EX32">
            <v>2010</v>
          </cell>
          <cell r="EY32">
            <v>428.61172478123018</v>
          </cell>
          <cell r="EZ32">
            <v>711.37843157296197</v>
          </cell>
          <cell r="FA32">
            <v>351.90984601204445</v>
          </cell>
          <cell r="FB32">
            <v>2010</v>
          </cell>
          <cell r="FC32">
            <v>393.66976940066621</v>
          </cell>
          <cell r="FD32">
            <v>636.79128400188551</v>
          </cell>
          <cell r="FE32">
            <v>413.35325899483826</v>
          </cell>
          <cell r="FF32">
            <v>2010</v>
          </cell>
          <cell r="FG32">
            <v>16296.888124862935</v>
          </cell>
          <cell r="FH32">
            <v>27096.578246309531</v>
          </cell>
          <cell r="FI32">
            <v>13779.925738823593</v>
          </cell>
          <cell r="FJ32">
            <v>2010</v>
          </cell>
          <cell r="FK32">
            <v>558.11059175715241</v>
          </cell>
          <cell r="FL32">
            <v>902.78702567472578</v>
          </cell>
          <cell r="FM32">
            <v>669.33571704725057</v>
          </cell>
          <cell r="FN32">
            <v>2013</v>
          </cell>
          <cell r="FO32">
            <v>102.40133637984546</v>
          </cell>
          <cell r="FP32">
            <v>158.12581902512395</v>
          </cell>
          <cell r="FQ32">
            <v>81.473845017099762</v>
          </cell>
          <cell r="FR32">
            <v>2011</v>
          </cell>
          <cell r="FS32">
            <v>705.28102357534669</v>
          </cell>
          <cell r="FT32">
            <v>1140.846575963237</v>
          </cell>
          <cell r="FU32">
            <v>762.92708880749137</v>
          </cell>
          <cell r="FV32">
            <v>2011</v>
          </cell>
          <cell r="FW32">
            <v>715.04472549514196</v>
          </cell>
          <cell r="FX32">
            <v>1147.1587542900256</v>
          </cell>
          <cell r="FY32">
            <v>694.88472806328559</v>
          </cell>
          <cell r="FZ32">
            <v>2013</v>
          </cell>
          <cell r="GA32">
            <v>950.96841117291387</v>
          </cell>
          <cell r="GB32">
            <v>1538.2649176266511</v>
          </cell>
          <cell r="GC32">
            <v>1133.4709115817948</v>
          </cell>
          <cell r="GD32">
            <v>2013</v>
          </cell>
          <cell r="GE32">
            <v>2437.4462190142303</v>
          </cell>
          <cell r="GF32">
            <v>3897.6972482531132</v>
          </cell>
          <cell r="GG32">
            <v>2140.9985648635015</v>
          </cell>
          <cell r="GH32">
            <v>2010</v>
          </cell>
          <cell r="GI32">
            <v>325.47800924370665</v>
          </cell>
          <cell r="GJ32">
            <v>481.77593190825564</v>
          </cell>
          <cell r="GK32">
            <v>195.83933156721687</v>
          </cell>
          <cell r="GL32">
            <v>2013</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row>
        <row r="33">
          <cell r="B33" t="str">
            <v>55%</v>
          </cell>
          <cell r="C33">
            <v>201.63181606493586</v>
          </cell>
          <cell r="D33">
            <v>319.30700332640646</v>
          </cell>
          <cell r="E33">
            <v>216.95836944286205</v>
          </cell>
          <cell r="F33">
            <v>2012</v>
          </cell>
          <cell r="G33">
            <v>1166.4981312146786</v>
          </cell>
          <cell r="H33">
            <v>1886.9009000012784</v>
          </cell>
          <cell r="I33">
            <v>1283.7987053298666</v>
          </cell>
          <cell r="J33">
            <v>2011</v>
          </cell>
          <cell r="K33">
            <v>574.82742316172948</v>
          </cell>
          <cell r="L33">
            <v>909.19897455513546</v>
          </cell>
          <cell r="M33">
            <v>611.11752118713423</v>
          </cell>
          <cell r="N33">
            <v>2012</v>
          </cell>
          <cell r="O33">
            <v>1350.5540016894097</v>
          </cell>
          <cell r="P33">
            <v>2184.6254987291886</v>
          </cell>
          <cell r="Q33">
            <v>1418.0816991768386</v>
          </cell>
          <cell r="R33">
            <v>2010</v>
          </cell>
          <cell r="S33">
            <v>349.24272183007957</v>
          </cell>
          <cell r="T33">
            <v>564.92710043964712</v>
          </cell>
          <cell r="U33">
            <v>376.50713684650708</v>
          </cell>
          <cell r="V33">
            <v>2011</v>
          </cell>
          <cell r="W33">
            <v>836.44250218984166</v>
          </cell>
          <cell r="X33">
            <v>814.59272292647984</v>
          </cell>
          <cell r="Y33">
            <v>3243.1036422399411</v>
          </cell>
          <cell r="Z33">
            <v>2011</v>
          </cell>
          <cell r="AA33">
            <v>4406.5202352572196</v>
          </cell>
          <cell r="AB33">
            <v>7111.2536282378451</v>
          </cell>
          <cell r="AC33">
            <v>4868.6342826351984</v>
          </cell>
          <cell r="AD33">
            <v>2012</v>
          </cell>
          <cell r="AE33">
            <v>591.13674039222724</v>
          </cell>
          <cell r="AF33">
            <v>956.20937410500039</v>
          </cell>
          <cell r="AG33">
            <v>640.57977956591287</v>
          </cell>
          <cell r="AH33">
            <v>2011</v>
          </cell>
          <cell r="AI33">
            <v>669.75887675989668</v>
          </cell>
          <cell r="AJ33">
            <v>1074.1272314932669</v>
          </cell>
          <cell r="AK33">
            <v>640.48159567117932</v>
          </cell>
          <cell r="AL33">
            <v>2013</v>
          </cell>
          <cell r="AM33">
            <v>90.453077086079318</v>
          </cell>
          <cell r="AN33">
            <v>137.06843316870928</v>
          </cell>
          <cell r="AO33">
            <v>82.517878568657778</v>
          </cell>
          <cell r="AP33">
            <v>2011</v>
          </cell>
          <cell r="AQ33">
            <v>1312.9006663126593</v>
          </cell>
          <cell r="AR33">
            <v>2151.9508273527354</v>
          </cell>
          <cell r="AS33">
            <v>943.20088656174596</v>
          </cell>
          <cell r="AT33">
            <v>2011</v>
          </cell>
          <cell r="AU33">
            <v>281.82245648592095</v>
          </cell>
          <cell r="AV33">
            <v>449.72849540946385</v>
          </cell>
          <cell r="AW33">
            <v>308.95218916764054</v>
          </cell>
          <cell r="AX33">
            <v>2012</v>
          </cell>
          <cell r="AY33">
            <v>874.45948284011718</v>
          </cell>
          <cell r="AZ33">
            <v>1405.0646503866378</v>
          </cell>
          <cell r="BA33">
            <v>883.41072578907438</v>
          </cell>
          <cell r="BB33">
            <v>2013</v>
          </cell>
          <cell r="BC33">
            <v>636.18289014259028</v>
          </cell>
          <cell r="BD33">
            <v>1029.0750037762145</v>
          </cell>
          <cell r="BE33">
            <v>756.27724789027332</v>
          </cell>
          <cell r="BF33">
            <v>2013</v>
          </cell>
          <cell r="BG33">
            <v>5029.331745989959</v>
          </cell>
          <cell r="BH33">
            <v>7537.8052833951651</v>
          </cell>
          <cell r="BI33">
            <v>4370.6925184665442</v>
          </cell>
          <cell r="BJ33">
            <v>2011</v>
          </cell>
          <cell r="BK33">
            <v>97.112652773786905</v>
          </cell>
          <cell r="BL33">
            <v>157.08722275861692</v>
          </cell>
          <cell r="BM33">
            <v>94.576827264553202</v>
          </cell>
          <cell r="BN33">
            <v>2011</v>
          </cell>
          <cell r="BO33">
            <v>1733.7748754363024</v>
          </cell>
          <cell r="BP33">
            <v>2804.5148869746818</v>
          </cell>
          <cell r="BQ33">
            <v>1820.463620815121</v>
          </cell>
          <cell r="BR33">
            <v>2010</v>
          </cell>
          <cell r="BS33">
            <v>103.73834168109966</v>
          </cell>
          <cell r="BT33">
            <v>160.5256520320255</v>
          </cell>
          <cell r="BU33">
            <v>82.491761071913118</v>
          </cell>
          <cell r="BV33">
            <v>2011</v>
          </cell>
          <cell r="BW33">
            <v>69.981720705105772</v>
          </cell>
          <cell r="BX33">
            <v>113.20084293581824</v>
          </cell>
          <cell r="BY33">
            <v>76.752057332756252</v>
          </cell>
          <cell r="BZ33">
            <v>2011</v>
          </cell>
          <cell r="CA33">
            <v>5799.7135620129739</v>
          </cell>
          <cell r="CB33">
            <v>10198.358820961355</v>
          </cell>
          <cell r="CC33">
            <v>3025.670590227282</v>
          </cell>
          <cell r="CD33">
            <v>2017</v>
          </cell>
          <cell r="CE33">
            <v>1228.9273809694682</v>
          </cell>
          <cell r="CF33">
            <v>1987.8850382755004</v>
          </cell>
          <cell r="CG33">
            <v>1290.3737498489706</v>
          </cell>
          <cell r="CH33">
            <v>2010</v>
          </cell>
          <cell r="CI33">
            <v>1238.0673041612956</v>
          </cell>
          <cell r="CJ33">
            <v>1883.5774884146151</v>
          </cell>
          <cell r="CK33">
            <v>3445.9349201759251</v>
          </cell>
          <cell r="CL33">
            <v>2010</v>
          </cell>
          <cell r="CM33">
            <v>3801.9489032393776</v>
          </cell>
          <cell r="CN33">
            <v>6138.9132455676363</v>
          </cell>
          <cell r="CO33">
            <v>4191.3223932394503</v>
          </cell>
          <cell r="CP33">
            <v>2012</v>
          </cell>
          <cell r="CQ33">
            <v>1541.2757514279037</v>
          </cell>
          <cell r="CR33">
            <v>2490.5206123403132</v>
          </cell>
          <cell r="CS33">
            <v>1665.2858945405235</v>
          </cell>
          <cell r="CT33">
            <v>2011</v>
          </cell>
          <cell r="CU33">
            <v>113.88178926123032</v>
          </cell>
          <cell r="CV33">
            <v>184.21259754818433</v>
          </cell>
          <cell r="CW33">
            <v>127.22441140479251</v>
          </cell>
          <cell r="CX33">
            <v>2012</v>
          </cell>
          <cell r="CY33">
            <v>1140.8282276466243</v>
          </cell>
          <cell r="CZ33">
            <v>1863.4341804326136</v>
          </cell>
          <cell r="DA33">
            <v>1105.7968842967207</v>
          </cell>
          <cell r="DB33">
            <v>2010</v>
          </cell>
          <cell r="DC33">
            <v>412.48933115413911</v>
          </cell>
          <cell r="DD33">
            <v>655.35979928322411</v>
          </cell>
          <cell r="DE33">
            <v>478.92353551451612</v>
          </cell>
          <cell r="DF33">
            <v>2013</v>
          </cell>
          <cell r="DG33">
            <v>638.36887553724773</v>
          </cell>
          <cell r="DH33">
            <v>1032.6110039534519</v>
          </cell>
          <cell r="DI33">
            <v>670.28731943561013</v>
          </cell>
          <cell r="DJ33">
            <v>2010</v>
          </cell>
          <cell r="DK33">
            <v>148.35828542929892</v>
          </cell>
          <cell r="DL33">
            <v>233.23798092910693</v>
          </cell>
          <cell r="DM33">
            <v>156.7589221023087</v>
          </cell>
          <cell r="DN33">
            <v>2012</v>
          </cell>
          <cell r="DO33">
            <v>126.29795877730834</v>
          </cell>
          <cell r="DP33">
            <v>204.2967117117405</v>
          </cell>
          <cell r="DQ33">
            <v>132.61285749070854</v>
          </cell>
          <cell r="DR33">
            <v>2010</v>
          </cell>
          <cell r="DS33">
            <v>512.15699440999572</v>
          </cell>
          <cell r="DT33">
            <v>793.33435488183352</v>
          </cell>
          <cell r="DU33">
            <v>401.89002606190195</v>
          </cell>
          <cell r="DV33">
            <v>2013</v>
          </cell>
          <cell r="DW33">
            <v>862.1774076138588</v>
          </cell>
          <cell r="DX33">
            <v>1387.1914856420385</v>
          </cell>
          <cell r="DY33">
            <v>436.59396220578969</v>
          </cell>
          <cell r="DZ33">
            <v>2012</v>
          </cell>
          <cell r="EA33">
            <v>524.12530387045194</v>
          </cell>
          <cell r="EB33">
            <v>755.57680256453284</v>
          </cell>
          <cell r="EC33">
            <v>408.6454118322834</v>
          </cell>
          <cell r="ED33">
            <v>2011</v>
          </cell>
          <cell r="EE33">
            <v>531.78268355258615</v>
          </cell>
          <cell r="EF33">
            <v>838.54141526526894</v>
          </cell>
          <cell r="EG33">
            <v>556.51271402483542</v>
          </cell>
          <cell r="EH33">
            <v>2012</v>
          </cell>
          <cell r="EI33">
            <v>1227.5220120396136</v>
          </cell>
          <cell r="EJ33">
            <v>1985.6117446386115</v>
          </cell>
          <cell r="EK33">
            <v>1288.8981104584093</v>
          </cell>
          <cell r="EL33">
            <v>2010</v>
          </cell>
          <cell r="EM33">
            <v>231.15996530745403</v>
          </cell>
          <cell r="EN33">
            <v>328.94625664926116</v>
          </cell>
          <cell r="EO33">
            <v>78.810069231890353</v>
          </cell>
          <cell r="EP33">
            <v>2013</v>
          </cell>
          <cell r="EQ33">
            <v>151.74757156918756</v>
          </cell>
          <cell r="ER33">
            <v>229.95154130586519</v>
          </cell>
          <cell r="ES33">
            <v>151.31859736960331</v>
          </cell>
          <cell r="ET33">
            <v>2013</v>
          </cell>
          <cell r="EU33">
            <v>350.08933918149592</v>
          </cell>
          <cell r="EV33">
            <v>584.41647633526486</v>
          </cell>
          <cell r="EW33">
            <v>271.17695587240007</v>
          </cell>
          <cell r="EX33">
            <v>2010</v>
          </cell>
          <cell r="EY33">
            <v>433.62095786093948</v>
          </cell>
          <cell r="EZ33">
            <v>719.69715065142782</v>
          </cell>
          <cell r="FA33">
            <v>356.42468406724691</v>
          </cell>
          <cell r="FB33">
            <v>2010</v>
          </cell>
          <cell r="FC33">
            <v>397.69117657278736</v>
          </cell>
          <cell r="FD33">
            <v>643.296220147589</v>
          </cell>
          <cell r="FE33">
            <v>417.57573305594872</v>
          </cell>
          <cell r="FF33">
            <v>2010</v>
          </cell>
          <cell r="FG33">
            <v>16352.760357543171</v>
          </cell>
          <cell r="FH33">
            <v>27189.415279899462</v>
          </cell>
          <cell r="FI33">
            <v>13816.722409314956</v>
          </cell>
          <cell r="FJ33">
            <v>2010</v>
          </cell>
          <cell r="FK33">
            <v>568.35927089250356</v>
          </cell>
          <cell r="FL33">
            <v>919.36505594892935</v>
          </cell>
          <cell r="FM33">
            <v>681.24392320189838</v>
          </cell>
          <cell r="FN33">
            <v>2013</v>
          </cell>
          <cell r="FO33">
            <v>103.62287197749625</v>
          </cell>
          <cell r="FP33">
            <v>160.34343892831561</v>
          </cell>
          <cell r="FQ33">
            <v>82.527592630836367</v>
          </cell>
          <cell r="FR33">
            <v>2011</v>
          </cell>
          <cell r="FS33">
            <v>711.46386134151362</v>
          </cell>
          <cell r="FT33">
            <v>1150.8477942197303</v>
          </cell>
          <cell r="FU33">
            <v>769.12454371591286</v>
          </cell>
          <cell r="FV33">
            <v>2011</v>
          </cell>
          <cell r="FW33">
            <v>721.06717055078559</v>
          </cell>
          <cell r="FX33">
            <v>1157.8441228755048</v>
          </cell>
          <cell r="FY33">
            <v>699.91323741981023</v>
          </cell>
          <cell r="FZ33">
            <v>2013</v>
          </cell>
          <cell r="GA33">
            <v>959.55264642343434</v>
          </cell>
          <cell r="GB33">
            <v>1552.1505813988988</v>
          </cell>
          <cell r="GC33">
            <v>1143.1776352998247</v>
          </cell>
          <cell r="GD33">
            <v>2013</v>
          </cell>
          <cell r="GE33">
            <v>3423.5046815390097</v>
          </cell>
          <cell r="GF33">
            <v>4640.2650892271031</v>
          </cell>
          <cell r="GG33">
            <v>2172.6095881808701</v>
          </cell>
          <cell r="GH33">
            <v>2011</v>
          </cell>
          <cell r="GI33">
            <v>328.53380809891542</v>
          </cell>
          <cell r="GJ33">
            <v>487.7633622598006</v>
          </cell>
          <cell r="GK33">
            <v>198.46050645358224</v>
          </cell>
          <cell r="GL33">
            <v>2013</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row>
        <row r="34">
          <cell r="B34" t="str">
            <v>60%</v>
          </cell>
          <cell r="C34">
            <v>202.85092885349471</v>
          </cell>
          <cell r="D34">
            <v>321.51234759984067</v>
          </cell>
          <cell r="E34">
            <v>217.67974624582658</v>
          </cell>
          <cell r="F34">
            <v>2012</v>
          </cell>
          <cell r="G34">
            <v>1179.113126795279</v>
          </cell>
          <cell r="H34">
            <v>1907.3066312371318</v>
          </cell>
          <cell r="I34">
            <v>1297.2164862818588</v>
          </cell>
          <cell r="J34">
            <v>2011</v>
          </cell>
          <cell r="K34">
            <v>587.27055749823114</v>
          </cell>
          <cell r="L34">
            <v>928.89025115866104</v>
          </cell>
          <cell r="M34">
            <v>619.15829834758188</v>
          </cell>
          <cell r="N34">
            <v>2012</v>
          </cell>
          <cell r="O34">
            <v>1439.835632344681</v>
          </cell>
          <cell r="P34">
            <v>2329.0454392095767</v>
          </cell>
          <cell r="Q34">
            <v>1511.8274164037311</v>
          </cell>
          <cell r="R34">
            <v>2010</v>
          </cell>
          <cell r="S34">
            <v>354.94852342654497</v>
          </cell>
          <cell r="T34">
            <v>574.15667511284892</v>
          </cell>
          <cell r="U34">
            <v>381.33210902281007</v>
          </cell>
          <cell r="V34">
            <v>2011</v>
          </cell>
          <cell r="W34">
            <v>868.42678624151733</v>
          </cell>
          <cell r="X34">
            <v>861.86484974673294</v>
          </cell>
          <cell r="Y34">
            <v>3275.7862617237201</v>
          </cell>
          <cell r="Z34">
            <v>2011</v>
          </cell>
          <cell r="AA34">
            <v>4438.1910240732941</v>
          </cell>
          <cell r="AB34">
            <v>7164.1217855033947</v>
          </cell>
          <cell r="AC34">
            <v>4905.4309172123185</v>
          </cell>
          <cell r="AD34">
            <v>2012</v>
          </cell>
          <cell r="AE34">
            <v>596.5312909930517</v>
          </cell>
          <cell r="AF34">
            <v>964.93547676785192</v>
          </cell>
          <cell r="AG34">
            <v>645.02443539410137</v>
          </cell>
          <cell r="AH34">
            <v>2011</v>
          </cell>
          <cell r="AI34">
            <v>673.98855069577223</v>
          </cell>
          <cell r="AJ34">
            <v>1080.9276638117224</v>
          </cell>
          <cell r="AK34">
            <v>644.81661309846982</v>
          </cell>
          <cell r="AL34">
            <v>2013</v>
          </cell>
          <cell r="AM34">
            <v>91.650242194447856</v>
          </cell>
          <cell r="AN34">
            <v>139.13779072107033</v>
          </cell>
          <cell r="AO34">
            <v>83.489458912561659</v>
          </cell>
          <cell r="AP34">
            <v>2011</v>
          </cell>
          <cell r="AQ34">
            <v>1327.7997073598619</v>
          </cell>
          <cell r="AR34">
            <v>2173.0778339634921</v>
          </cell>
          <cell r="AS34">
            <v>951.98718026741903</v>
          </cell>
          <cell r="AT34">
            <v>2011</v>
          </cell>
          <cell r="AU34">
            <v>284.10596323336949</v>
          </cell>
          <cell r="AV34">
            <v>452.86022702757055</v>
          </cell>
          <cell r="AW34">
            <v>310.00189379979463</v>
          </cell>
          <cell r="AX34">
            <v>2012</v>
          </cell>
          <cell r="AY34">
            <v>880.68648511399374</v>
          </cell>
          <cell r="AZ34">
            <v>1415.9133173860887</v>
          </cell>
          <cell r="BA34">
            <v>890.61235447730235</v>
          </cell>
          <cell r="BB34">
            <v>2013</v>
          </cell>
          <cell r="BC34">
            <v>642.94012526908534</v>
          </cell>
          <cell r="BD34">
            <v>1040.0053540743402</v>
          </cell>
          <cell r="BE34">
            <v>762.45013610783531</v>
          </cell>
          <cell r="BF34">
            <v>2013</v>
          </cell>
          <cell r="BG34">
            <v>5358.5590574104717</v>
          </cell>
          <cell r="BH34">
            <v>7882.5654804439109</v>
          </cell>
          <cell r="BI34">
            <v>4392.629450564561</v>
          </cell>
          <cell r="BJ34">
            <v>2011</v>
          </cell>
          <cell r="BK34">
            <v>105.08642647369558</v>
          </cell>
          <cell r="BL34">
            <v>169.98541849261389</v>
          </cell>
          <cell r="BM34">
            <v>95.901643020040012</v>
          </cell>
          <cell r="BN34">
            <v>2011</v>
          </cell>
          <cell r="BO34">
            <v>1751.8569356716682</v>
          </cell>
          <cell r="BP34">
            <v>2833.7640171768353</v>
          </cell>
          <cell r="BQ34">
            <v>1839.4497838105606</v>
          </cell>
          <cell r="BR34">
            <v>2010</v>
          </cell>
          <cell r="BS34">
            <v>104.7420765640433</v>
          </cell>
          <cell r="BT34">
            <v>162.22676400215738</v>
          </cell>
          <cell r="BU34">
            <v>83.668553195431741</v>
          </cell>
          <cell r="BV34">
            <v>2011</v>
          </cell>
          <cell r="BW34">
            <v>70.744505960735481</v>
          </cell>
          <cell r="BX34">
            <v>114.43470717527667</v>
          </cell>
          <cell r="BY34">
            <v>77.59830056262561</v>
          </cell>
          <cell r="BZ34">
            <v>2011</v>
          </cell>
          <cell r="CA34">
            <v>5888.2476956049522</v>
          </cell>
          <cell r="CB34">
            <v>10401.836816857367</v>
          </cell>
          <cell r="CC34">
            <v>3042.6493818626727</v>
          </cell>
          <cell r="CD34">
            <v>2017</v>
          </cell>
          <cell r="CE34">
            <v>1307.2749075679542</v>
          </cell>
          <cell r="CF34">
            <v>2114.6182193972941</v>
          </cell>
          <cell r="CG34">
            <v>1372.6386531103942</v>
          </cell>
          <cell r="CH34">
            <v>2010</v>
          </cell>
          <cell r="CI34">
            <v>1272.2422893819644</v>
          </cell>
          <cell r="CJ34">
            <v>1937.8303589536654</v>
          </cell>
          <cell r="CK34">
            <v>3478.851176195772</v>
          </cell>
          <cell r="CL34">
            <v>2010</v>
          </cell>
          <cell r="CM34">
            <v>3837.0809543781647</v>
          </cell>
          <cell r="CN34">
            <v>6195.9645382125545</v>
          </cell>
          <cell r="CO34">
            <v>4222.4623642578363</v>
          </cell>
          <cell r="CP34">
            <v>2012</v>
          </cell>
          <cell r="CQ34">
            <v>1583.2653511167584</v>
          </cell>
          <cell r="CR34">
            <v>2556.0403405607703</v>
          </cell>
          <cell r="CS34">
            <v>1713.7043893022096</v>
          </cell>
          <cell r="CT34">
            <v>2011</v>
          </cell>
          <cell r="CU34">
            <v>119.03292964132149</v>
          </cell>
          <cell r="CV34">
            <v>192.54496578534369</v>
          </cell>
          <cell r="CW34">
            <v>131.76906409360944</v>
          </cell>
          <cell r="CX34">
            <v>2012</v>
          </cell>
          <cell r="CY34">
            <v>1155.7089012763017</v>
          </cell>
          <cell r="CZ34">
            <v>1887.5830912655238</v>
          </cell>
          <cell r="DA34">
            <v>1120.5333572689167</v>
          </cell>
          <cell r="DB34">
            <v>2010</v>
          </cell>
          <cell r="DC34">
            <v>420.15437587574991</v>
          </cell>
          <cell r="DD34">
            <v>669.0399338257771</v>
          </cell>
          <cell r="DE34">
            <v>488.37283495028157</v>
          </cell>
          <cell r="DF34">
            <v>2013</v>
          </cell>
          <cell r="DG34">
            <v>642.96195375999537</v>
          </cell>
          <cell r="DH34">
            <v>1040.0406621018203</v>
          </cell>
          <cell r="DI34">
            <v>675.11004819189213</v>
          </cell>
          <cell r="DJ34">
            <v>2010</v>
          </cell>
          <cell r="DK34">
            <v>149.3963180463042</v>
          </cell>
          <cell r="DL34">
            <v>234.97069211827699</v>
          </cell>
          <cell r="DM34">
            <v>157.26723862071805</v>
          </cell>
          <cell r="DN34">
            <v>2012</v>
          </cell>
          <cell r="DO34">
            <v>128.12786796915015</v>
          </cell>
          <cell r="DP34">
            <v>207.25673055094836</v>
          </cell>
          <cell r="DQ34">
            <v>134.53425915803089</v>
          </cell>
          <cell r="DR34">
            <v>2010</v>
          </cell>
          <cell r="DS34">
            <v>518.3615282474492</v>
          </cell>
          <cell r="DT34">
            <v>801.86727482299568</v>
          </cell>
          <cell r="DU34">
            <v>407.75984525595936</v>
          </cell>
          <cell r="DV34">
            <v>2013</v>
          </cell>
          <cell r="DW34">
            <v>868.75588902572656</v>
          </cell>
          <cell r="DX34">
            <v>1394.9246478367793</v>
          </cell>
          <cell r="DY34">
            <v>441.18287572211779</v>
          </cell>
          <cell r="DZ34">
            <v>2012</v>
          </cell>
          <cell r="EA34">
            <v>571.20955615863807</v>
          </cell>
          <cell r="EB34">
            <v>807.3772406176721</v>
          </cell>
          <cell r="EC34">
            <v>410.50170160620655</v>
          </cell>
          <cell r="ED34">
            <v>2011</v>
          </cell>
          <cell r="EE34">
            <v>541.40825154563595</v>
          </cell>
          <cell r="EF34">
            <v>852.10284684667522</v>
          </cell>
          <cell r="EG34">
            <v>563.78792820838032</v>
          </cell>
          <cell r="EH34">
            <v>2012</v>
          </cell>
          <cell r="EI34">
            <v>1307.3513814565131</v>
          </cell>
          <cell r="EJ34">
            <v>2114.7419213599114</v>
          </cell>
          <cell r="EK34">
            <v>1372.7189478692353</v>
          </cell>
          <cell r="EL34">
            <v>2010</v>
          </cell>
          <cell r="EM34">
            <v>233.77683775577447</v>
          </cell>
          <cell r="EN34">
            <v>332.79472042149291</v>
          </cell>
          <cell r="EO34">
            <v>80.069907290247471</v>
          </cell>
          <cell r="EP34">
            <v>2013</v>
          </cell>
          <cell r="EQ34">
            <v>156.71784859667778</v>
          </cell>
          <cell r="ER34">
            <v>237.2176381239064</v>
          </cell>
          <cell r="ES34">
            <v>156.38835081967838</v>
          </cell>
          <cell r="ET34">
            <v>2013</v>
          </cell>
          <cell r="EU34">
            <v>354.06518888211122</v>
          </cell>
          <cell r="EV34">
            <v>590.91901171285838</v>
          </cell>
          <cell r="EW34">
            <v>274.92994685011433</v>
          </cell>
          <cell r="EX34">
            <v>2010</v>
          </cell>
          <cell r="EY34">
            <v>439.00170607494942</v>
          </cell>
          <cell r="EZ34">
            <v>728.03723054785507</v>
          </cell>
          <cell r="FA34">
            <v>361.05380280424419</v>
          </cell>
          <cell r="FB34">
            <v>2010</v>
          </cell>
          <cell r="FC34">
            <v>401.96768961726445</v>
          </cell>
          <cell r="FD34">
            <v>650.21381128944313</v>
          </cell>
          <cell r="FE34">
            <v>422.06607432950005</v>
          </cell>
          <cell r="FF34">
            <v>2010</v>
          </cell>
          <cell r="FG34">
            <v>16406.85232466317</v>
          </cell>
          <cell r="FH34">
            <v>27278.574303774218</v>
          </cell>
          <cell r="FI34">
            <v>13866.090042901402</v>
          </cell>
          <cell r="FJ34">
            <v>2010</v>
          </cell>
          <cell r="FK34">
            <v>580.19099293215004</v>
          </cell>
          <cell r="FL34">
            <v>938.50378114550631</v>
          </cell>
          <cell r="FM34">
            <v>693.39840700275636</v>
          </cell>
          <cell r="FN34">
            <v>2013</v>
          </cell>
          <cell r="FO34">
            <v>104.97390913818928</v>
          </cell>
          <cell r="FP34">
            <v>162.38577786913697</v>
          </cell>
          <cell r="FQ34">
            <v>83.462818075014994</v>
          </cell>
          <cell r="FR34">
            <v>2011</v>
          </cell>
          <cell r="FS34">
            <v>717.57801642170932</v>
          </cell>
          <cell r="FT34">
            <v>1160.7379129055842</v>
          </cell>
          <cell r="FU34">
            <v>774.82400762793475</v>
          </cell>
          <cell r="FV34">
            <v>2011</v>
          </cell>
          <cell r="FW34">
            <v>726.93537838964835</v>
          </cell>
          <cell r="FX34">
            <v>1165.404967871151</v>
          </cell>
          <cell r="FY34">
            <v>705.40966735117195</v>
          </cell>
          <cell r="FZ34">
            <v>2013</v>
          </cell>
          <cell r="GA34">
            <v>970.27303868224294</v>
          </cell>
          <cell r="GB34">
            <v>1569.4916447388496</v>
          </cell>
          <cell r="GC34">
            <v>1152.6582008388441</v>
          </cell>
          <cell r="GD34">
            <v>2013</v>
          </cell>
          <cell r="GE34">
            <v>3890.5944767702467</v>
          </cell>
          <cell r="GF34">
            <v>5136.1755334836243</v>
          </cell>
          <cell r="GG34">
            <v>2201.5242628259534</v>
          </cell>
          <cell r="GH34">
            <v>2011</v>
          </cell>
          <cell r="GI34">
            <v>331.45665982439607</v>
          </cell>
          <cell r="GJ34">
            <v>492.02303832634044</v>
          </cell>
          <cell r="GK34">
            <v>201.52137606713876</v>
          </cell>
          <cell r="GL34">
            <v>2013</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row>
        <row r="35">
          <cell r="B35" t="str">
            <v>65%</v>
          </cell>
          <cell r="C35">
            <v>204.63609238890413</v>
          </cell>
          <cell r="D35">
            <v>324.36232761222539</v>
          </cell>
          <cell r="E35">
            <v>218.43755910447854</v>
          </cell>
          <cell r="F35">
            <v>2012</v>
          </cell>
          <cell r="G35">
            <v>1193.1226341192253</v>
          </cell>
          <cell r="H35">
            <v>1929.9680926500846</v>
          </cell>
          <cell r="I35">
            <v>1312.4890855071296</v>
          </cell>
          <cell r="J35">
            <v>2011</v>
          </cell>
          <cell r="K35">
            <v>601.48740071031318</v>
          </cell>
          <cell r="L35">
            <v>946.97544037116529</v>
          </cell>
          <cell r="M35">
            <v>626.47337222945589</v>
          </cell>
          <cell r="N35">
            <v>2012</v>
          </cell>
          <cell r="O35">
            <v>1528.1554020488361</v>
          </cell>
          <cell r="P35">
            <v>2471.909494221894</v>
          </cell>
          <cell r="Q35">
            <v>1604.5631752579422</v>
          </cell>
          <cell r="R35">
            <v>2010</v>
          </cell>
          <cell r="S35">
            <v>361.67625985024137</v>
          </cell>
          <cell r="T35">
            <v>585.03930866903852</v>
          </cell>
          <cell r="U35">
            <v>386.47445498831388</v>
          </cell>
          <cell r="V35">
            <v>2011</v>
          </cell>
          <cell r="W35">
            <v>894.28099651895684</v>
          </cell>
          <cell r="X35">
            <v>909.94252473569486</v>
          </cell>
          <cell r="Y35">
            <v>3309.2606610774546</v>
          </cell>
          <cell r="Z35">
            <v>2011</v>
          </cell>
          <cell r="AA35">
            <v>4480.4704209657148</v>
          </cell>
          <cell r="AB35">
            <v>7232.2927306585707</v>
          </cell>
          <cell r="AC35">
            <v>4942.0790997834793</v>
          </cell>
          <cell r="AD35">
            <v>2012</v>
          </cell>
          <cell r="AE35">
            <v>603.40931156771342</v>
          </cell>
          <cell r="AF35">
            <v>976.06120672583404</v>
          </cell>
          <cell r="AG35">
            <v>649.8407450704733</v>
          </cell>
          <cell r="AH35">
            <v>2011</v>
          </cell>
          <cell r="AI35">
            <v>678.84715358182541</v>
          </cell>
          <cell r="AJ35">
            <v>1088.4253577740758</v>
          </cell>
          <cell r="AK35">
            <v>649.24857976903627</v>
          </cell>
          <cell r="AL35">
            <v>2013</v>
          </cell>
          <cell r="AM35">
            <v>92.769032979328131</v>
          </cell>
          <cell r="AN35">
            <v>141.01018149049037</v>
          </cell>
          <cell r="AO35">
            <v>84.679231270390076</v>
          </cell>
          <cell r="AP35">
            <v>2011</v>
          </cell>
          <cell r="AQ35">
            <v>1340.8547067265613</v>
          </cell>
          <cell r="AR35">
            <v>2197.6221263739085</v>
          </cell>
          <cell r="AS35">
            <v>962.56005563493989</v>
          </cell>
          <cell r="AT35">
            <v>2011</v>
          </cell>
          <cell r="AU35">
            <v>286.65749948989844</v>
          </cell>
          <cell r="AV35">
            <v>457.06466127354861</v>
          </cell>
          <cell r="AW35">
            <v>311.10665705901636</v>
          </cell>
          <cell r="AX35">
            <v>2012</v>
          </cell>
          <cell r="AY35">
            <v>887.7160507306379</v>
          </cell>
          <cell r="AZ35">
            <v>1427.0274973209396</v>
          </cell>
          <cell r="BA35">
            <v>896.6076885368916</v>
          </cell>
          <cell r="BB35">
            <v>2013</v>
          </cell>
          <cell r="BC35">
            <v>649.91228555906105</v>
          </cell>
          <cell r="BD35">
            <v>1051.2833621278148</v>
          </cell>
          <cell r="BE35">
            <v>767.98845161334134</v>
          </cell>
          <cell r="BF35">
            <v>2013</v>
          </cell>
          <cell r="BG35">
            <v>5589.2147304147202</v>
          </cell>
          <cell r="BH35">
            <v>8123.2624466211655</v>
          </cell>
          <cell r="BI35">
            <v>4413.7233492089617</v>
          </cell>
          <cell r="BJ35">
            <v>2011</v>
          </cell>
          <cell r="BK35">
            <v>162.47375559128028</v>
          </cell>
          <cell r="BL35">
            <v>211.83507457508708</v>
          </cell>
          <cell r="BM35">
            <v>97.227170033132225</v>
          </cell>
          <cell r="BN35">
            <v>2011</v>
          </cell>
          <cell r="BO35">
            <v>1771.8651190600001</v>
          </cell>
          <cell r="BP35">
            <v>2866.1288008421911</v>
          </cell>
          <cell r="BQ35">
            <v>1860.4583772243022</v>
          </cell>
          <cell r="BR35">
            <v>2010</v>
          </cell>
          <cell r="BS35">
            <v>106.23133006751179</v>
          </cell>
          <cell r="BT35">
            <v>164.61627297006513</v>
          </cell>
          <cell r="BU35">
            <v>84.714501565947273</v>
          </cell>
          <cell r="BV35">
            <v>2011</v>
          </cell>
          <cell r="BW35">
            <v>71.612612374438214</v>
          </cell>
          <cell r="BX35">
            <v>115.83893632703224</v>
          </cell>
          <cell r="BY35">
            <v>78.537354670319573</v>
          </cell>
          <cell r="BZ35">
            <v>2011</v>
          </cell>
          <cell r="CA35">
            <v>6250.4416858503528</v>
          </cell>
          <cell r="CB35">
            <v>10942.194079928115</v>
          </cell>
          <cell r="CC35">
            <v>3058.3373009218599</v>
          </cell>
          <cell r="CD35">
            <v>2017</v>
          </cell>
          <cell r="CE35">
            <v>1391.2662754908145</v>
          </cell>
          <cell r="CF35">
            <v>2250.4807496759604</v>
          </cell>
          <cell r="CG35">
            <v>1460.829591225169</v>
          </cell>
          <cell r="CH35">
            <v>2010</v>
          </cell>
          <cell r="CI35">
            <v>1305.2328768140981</v>
          </cell>
          <cell r="CJ35">
            <v>1991.6230403951204</v>
          </cell>
          <cell r="CK35">
            <v>3515.457826862737</v>
          </cell>
          <cell r="CL35">
            <v>2010</v>
          </cell>
          <cell r="CM35">
            <v>3868.4956873076562</v>
          </cell>
          <cell r="CN35">
            <v>6243.9996072435824</v>
          </cell>
          <cell r="CO35">
            <v>4253.8455175755353</v>
          </cell>
          <cell r="CP35">
            <v>2012</v>
          </cell>
          <cell r="CQ35">
            <v>1630.1288566151568</v>
          </cell>
          <cell r="CR35">
            <v>2625.3675128165992</v>
          </cell>
          <cell r="CS35">
            <v>1760.6402241511571</v>
          </cell>
          <cell r="CT35">
            <v>2011</v>
          </cell>
          <cell r="CU35">
            <v>124.28014554191772</v>
          </cell>
          <cell r="CV35">
            <v>201.03274249213666</v>
          </cell>
          <cell r="CW35">
            <v>137.10601068474367</v>
          </cell>
          <cell r="CX35">
            <v>2012</v>
          </cell>
          <cell r="CY35">
            <v>1169.367008442576</v>
          </cell>
          <cell r="CZ35">
            <v>1909.3636258830022</v>
          </cell>
          <cell r="DA35">
            <v>1136.1511501130501</v>
          </cell>
          <cell r="DB35">
            <v>2010</v>
          </cell>
          <cell r="DC35">
            <v>426.87336276884179</v>
          </cell>
          <cell r="DD35">
            <v>678.6800861824712</v>
          </cell>
          <cell r="DE35">
            <v>497.49013588848914</v>
          </cell>
          <cell r="DF35">
            <v>2013</v>
          </cell>
          <cell r="DG35">
            <v>648.05610794289157</v>
          </cell>
          <cell r="DH35">
            <v>1048.2808509527292</v>
          </cell>
          <cell r="DI35">
            <v>680.45891240437311</v>
          </cell>
          <cell r="DJ35">
            <v>2010</v>
          </cell>
          <cell r="DK35">
            <v>150.56840017861168</v>
          </cell>
          <cell r="DL35">
            <v>236.841513868513</v>
          </cell>
          <cell r="DM35">
            <v>157.82428172309218</v>
          </cell>
          <cell r="DN35">
            <v>2012</v>
          </cell>
          <cell r="DO35">
            <v>130.05277539263636</v>
          </cell>
          <cell r="DP35">
            <v>210.37041807424396</v>
          </cell>
          <cell r="DQ35">
            <v>136.55541611295814</v>
          </cell>
          <cell r="DR35">
            <v>2010</v>
          </cell>
          <cell r="DS35">
            <v>522.73575104639201</v>
          </cell>
          <cell r="DT35">
            <v>808.62363561158907</v>
          </cell>
          <cell r="DU35">
            <v>413.77743062531101</v>
          </cell>
          <cell r="DV35">
            <v>2013</v>
          </cell>
          <cell r="DW35">
            <v>874.31508541920243</v>
          </cell>
          <cell r="DX35">
            <v>1403.0288135185726</v>
          </cell>
          <cell r="DY35">
            <v>445.40348689894404</v>
          </cell>
          <cell r="DZ35">
            <v>2012</v>
          </cell>
          <cell r="EA35">
            <v>604.14711267989048</v>
          </cell>
          <cell r="EB35">
            <v>841.51292771108581</v>
          </cell>
          <cell r="EC35">
            <v>412.55306395894843</v>
          </cell>
          <cell r="ED35">
            <v>2011</v>
          </cell>
          <cell r="EE35">
            <v>551.47985685019876</v>
          </cell>
          <cell r="EF35">
            <v>864.55722837852727</v>
          </cell>
          <cell r="EG35">
            <v>572.78215539269456</v>
          </cell>
          <cell r="EH35">
            <v>2012</v>
          </cell>
          <cell r="EI35">
            <v>1389.7257386056353</v>
          </cell>
          <cell r="EJ35">
            <v>2247.9888114485216</v>
          </cell>
          <cell r="EK35">
            <v>1459.2120226908073</v>
          </cell>
          <cell r="EL35">
            <v>2010</v>
          </cell>
          <cell r="EM35">
            <v>236.22548452205285</v>
          </cell>
          <cell r="EN35">
            <v>335.17456532423921</v>
          </cell>
          <cell r="EO35">
            <v>81.197172386761835</v>
          </cell>
          <cell r="EP35">
            <v>2013</v>
          </cell>
          <cell r="EQ35">
            <v>160.64889996007813</v>
          </cell>
          <cell r="ER35">
            <v>244.45968138324045</v>
          </cell>
          <cell r="ES35">
            <v>161.67035287622747</v>
          </cell>
          <cell r="ET35">
            <v>2013</v>
          </cell>
          <cell r="EU35">
            <v>358.60427928813795</v>
          </cell>
          <cell r="EV35">
            <v>598.36834564651713</v>
          </cell>
          <cell r="EW35">
            <v>278.84944683280963</v>
          </cell>
          <cell r="EX35">
            <v>2010</v>
          </cell>
          <cell r="EY35">
            <v>445.54225923692138</v>
          </cell>
          <cell r="EZ35">
            <v>739.19159080540283</v>
          </cell>
          <cell r="FA35">
            <v>366.28194811959094</v>
          </cell>
          <cell r="FB35">
            <v>2010</v>
          </cell>
          <cell r="FC35">
            <v>406.40637043444985</v>
          </cell>
          <cell r="FD35">
            <v>657.39372082043553</v>
          </cell>
          <cell r="FE35">
            <v>426.72669024471702</v>
          </cell>
          <cell r="FF35">
            <v>2010</v>
          </cell>
          <cell r="FG35">
            <v>16466.016978777818</v>
          </cell>
          <cell r="FH35">
            <v>27368.541217797741</v>
          </cell>
          <cell r="FI35">
            <v>13905.956661375836</v>
          </cell>
          <cell r="FJ35">
            <v>2010</v>
          </cell>
          <cell r="FK35">
            <v>592.52204452566696</v>
          </cell>
          <cell r="FL35">
            <v>958.45021068247115</v>
          </cell>
          <cell r="FM35">
            <v>707.23236814340601</v>
          </cell>
          <cell r="FN35">
            <v>2013</v>
          </cell>
          <cell r="FO35">
            <v>106.6794187449632</v>
          </cell>
          <cell r="FP35">
            <v>164.86594548497618</v>
          </cell>
          <cell r="FQ35">
            <v>84.575211943208231</v>
          </cell>
          <cell r="FR35">
            <v>2011</v>
          </cell>
          <cell r="FS35">
            <v>725.10965270065606</v>
          </cell>
          <cell r="FT35">
            <v>1172.9209163142775</v>
          </cell>
          <cell r="FU35">
            <v>780.94279381032732</v>
          </cell>
          <cell r="FV35">
            <v>2011</v>
          </cell>
          <cell r="FW35">
            <v>731.2029087236217</v>
          </cell>
          <cell r="FX35">
            <v>1173.2965503347448</v>
          </cell>
          <cell r="FY35">
            <v>710.16948915969567</v>
          </cell>
          <cell r="FZ35">
            <v>2013</v>
          </cell>
          <cell r="GA35">
            <v>982.82506364098128</v>
          </cell>
          <cell r="GB35">
            <v>1589.7955156781816</v>
          </cell>
          <cell r="GC35">
            <v>1160.881409963157</v>
          </cell>
          <cell r="GD35">
            <v>2013</v>
          </cell>
          <cell r="GE35">
            <v>4203.5049167135785</v>
          </cell>
          <cell r="GF35">
            <v>5476.8311900986628</v>
          </cell>
          <cell r="GG35">
            <v>2235.1223548806115</v>
          </cell>
          <cell r="GH35">
            <v>2011</v>
          </cell>
          <cell r="GI35">
            <v>335.73626568078828</v>
          </cell>
          <cell r="GJ35">
            <v>496.24384905695933</v>
          </cell>
          <cell r="GK35">
            <v>204.47958302346908</v>
          </cell>
          <cell r="GL35">
            <v>2013</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row>
        <row r="36">
          <cell r="B36" t="str">
            <v>70%</v>
          </cell>
          <cell r="C36">
            <v>209.96165266706683</v>
          </cell>
          <cell r="D36">
            <v>331.79679023302288</v>
          </cell>
          <cell r="E36">
            <v>219.28681895006028</v>
          </cell>
          <cell r="F36">
            <v>2012</v>
          </cell>
          <cell r="G36">
            <v>1208.7388488529305</v>
          </cell>
          <cell r="H36">
            <v>1955.2285272073634</v>
          </cell>
          <cell r="I36">
            <v>1328.3781839333428</v>
          </cell>
          <cell r="J36">
            <v>2011</v>
          </cell>
          <cell r="K36">
            <v>613.43106781401616</v>
          </cell>
          <cell r="L36">
            <v>962.07085622002967</v>
          </cell>
          <cell r="M36">
            <v>635.63767262208523</v>
          </cell>
          <cell r="N36">
            <v>2012</v>
          </cell>
          <cell r="O36">
            <v>1630.1270867184464</v>
          </cell>
          <cell r="P36">
            <v>2636.8565757036799</v>
          </cell>
          <cell r="Q36">
            <v>1711.6334394015787</v>
          </cell>
          <cell r="R36">
            <v>2010</v>
          </cell>
          <cell r="S36">
            <v>369.42904607376244</v>
          </cell>
          <cell r="T36">
            <v>597.58004012391928</v>
          </cell>
          <cell r="U36">
            <v>391.69988551325622</v>
          </cell>
          <cell r="V36">
            <v>2011</v>
          </cell>
          <cell r="W36">
            <v>928.98713450992477</v>
          </cell>
          <cell r="X36">
            <v>972.44923937351973</v>
          </cell>
          <cell r="Y36">
            <v>3346.2225420109294</v>
          </cell>
          <cell r="Z36">
            <v>2011</v>
          </cell>
          <cell r="AA36">
            <v>4523.644473312952</v>
          </cell>
          <cell r="AB36">
            <v>7302.7538065903263</v>
          </cell>
          <cell r="AC36">
            <v>4983.9221866783982</v>
          </cell>
          <cell r="AD36">
            <v>2012</v>
          </cell>
          <cell r="AE36">
            <v>610.53990977509352</v>
          </cell>
          <cell r="AF36">
            <v>987.59550037920417</v>
          </cell>
          <cell r="AG36">
            <v>655.30197761893294</v>
          </cell>
          <cell r="AH36">
            <v>2011</v>
          </cell>
          <cell r="AI36">
            <v>682.75913096964223</v>
          </cell>
          <cell r="AJ36">
            <v>1095.4275921408832</v>
          </cell>
          <cell r="AK36">
            <v>653.54076015626219</v>
          </cell>
          <cell r="AL36">
            <v>2013</v>
          </cell>
          <cell r="AM36">
            <v>94.375482534010473</v>
          </cell>
          <cell r="AN36">
            <v>143.47868594655361</v>
          </cell>
          <cell r="AO36">
            <v>86.008886056929697</v>
          </cell>
          <cell r="AP36">
            <v>2011</v>
          </cell>
          <cell r="AQ36">
            <v>1361.5543524842983</v>
          </cell>
          <cell r="AR36">
            <v>2230.9786997023998</v>
          </cell>
          <cell r="AS36">
            <v>973.92685097413641</v>
          </cell>
          <cell r="AT36">
            <v>2011</v>
          </cell>
          <cell r="AU36">
            <v>294.63558968961655</v>
          </cell>
          <cell r="AV36">
            <v>467.51755039069639</v>
          </cell>
          <cell r="AW36">
            <v>312.23853530902977</v>
          </cell>
          <cell r="AX36">
            <v>2012</v>
          </cell>
          <cell r="AY36">
            <v>894.31857662697416</v>
          </cell>
          <cell r="AZ36">
            <v>1437.1483662535163</v>
          </cell>
          <cell r="BA36">
            <v>903.99143897412853</v>
          </cell>
          <cell r="BB36">
            <v>2013</v>
          </cell>
          <cell r="BC36">
            <v>658.70565848224737</v>
          </cell>
          <cell r="BD36">
            <v>1065.5073221250136</v>
          </cell>
          <cell r="BE36">
            <v>774.95918643466723</v>
          </cell>
          <cell r="BF36">
            <v>2013</v>
          </cell>
          <cell r="BG36">
            <v>5777.404980739032</v>
          </cell>
          <cell r="BH36">
            <v>8290.9931577936368</v>
          </cell>
          <cell r="BI36">
            <v>4438.5671732282763</v>
          </cell>
          <cell r="BJ36">
            <v>2011</v>
          </cell>
          <cell r="BK36">
            <v>169.95829172345725</v>
          </cell>
          <cell r="BL36">
            <v>221.88765998246944</v>
          </cell>
          <cell r="BM36">
            <v>98.692381804647809</v>
          </cell>
          <cell r="BN36">
            <v>2011</v>
          </cell>
          <cell r="BO36">
            <v>1793.0456231545052</v>
          </cell>
          <cell r="BP36">
            <v>2900.3899031165024</v>
          </cell>
          <cell r="BQ36">
            <v>1882.6979049663621</v>
          </cell>
          <cell r="BR36">
            <v>2010</v>
          </cell>
          <cell r="BS36">
            <v>108.0974254055145</v>
          </cell>
          <cell r="BT36">
            <v>167.01128889968535</v>
          </cell>
          <cell r="BU36">
            <v>85.935065524461308</v>
          </cell>
          <cell r="BV36">
            <v>2011</v>
          </cell>
          <cell r="BW36">
            <v>72.480834882231775</v>
          </cell>
          <cell r="BX36">
            <v>117.2433533313194</v>
          </cell>
          <cell r="BY36">
            <v>79.358344826551019</v>
          </cell>
          <cell r="BZ36">
            <v>2011</v>
          </cell>
          <cell r="CA36">
            <v>9620.1297737757122</v>
          </cell>
          <cell r="CB36">
            <v>13922.58481645659</v>
          </cell>
          <cell r="CC36">
            <v>3078.9919842920549</v>
          </cell>
          <cell r="CD36">
            <v>2017</v>
          </cell>
          <cell r="CE36">
            <v>1480.0259795579495</v>
          </cell>
          <cell r="CF36">
            <v>2394.056432324533</v>
          </cell>
          <cell r="CG36">
            <v>1554.0272817673347</v>
          </cell>
          <cell r="CH36">
            <v>2010</v>
          </cell>
          <cell r="CI36">
            <v>1346.4813693696162</v>
          </cell>
          <cell r="CJ36">
            <v>2056.3955212024071</v>
          </cell>
          <cell r="CK36">
            <v>3554.7672304159714</v>
          </cell>
          <cell r="CL36">
            <v>2010</v>
          </cell>
          <cell r="CM36">
            <v>3913.8839503845229</v>
          </cell>
          <cell r="CN36">
            <v>6309.2788303485841</v>
          </cell>
          <cell r="CO36">
            <v>4285.4661696748053</v>
          </cell>
          <cell r="CP36">
            <v>2012</v>
          </cell>
          <cell r="CQ36">
            <v>1682.551927803069</v>
          </cell>
          <cell r="CR36">
            <v>2710.6495213742401</v>
          </cell>
          <cell r="CS36">
            <v>1806.4258040876998</v>
          </cell>
          <cell r="CT36">
            <v>2011</v>
          </cell>
          <cell r="CU36">
            <v>129.95377963803938</v>
          </cell>
          <cell r="CV36">
            <v>210.21028426993195</v>
          </cell>
          <cell r="CW36">
            <v>142.48295825472465</v>
          </cell>
          <cell r="CX36">
            <v>2012</v>
          </cell>
          <cell r="CY36">
            <v>1186.5410065537851</v>
          </cell>
          <cell r="CZ36">
            <v>1937.447315634716</v>
          </cell>
          <cell r="DA36">
            <v>1152.5019355731781</v>
          </cell>
          <cell r="DB36">
            <v>2010</v>
          </cell>
          <cell r="DC36">
            <v>433.621458229751</v>
          </cell>
          <cell r="DD36">
            <v>690.63485132390895</v>
          </cell>
          <cell r="DE36">
            <v>506.42017070138019</v>
          </cell>
          <cell r="DF36">
            <v>2013</v>
          </cell>
          <cell r="DG36">
            <v>653.37330670628592</v>
          </cell>
          <cell r="DH36">
            <v>1056.8818309274679</v>
          </cell>
          <cell r="DI36">
            <v>686.04197124407608</v>
          </cell>
          <cell r="DJ36">
            <v>2010</v>
          </cell>
          <cell r="DK36">
            <v>155.08882029032708</v>
          </cell>
          <cell r="DL36">
            <v>239.99984626418822</v>
          </cell>
          <cell r="DM36">
            <v>158.44209132249358</v>
          </cell>
          <cell r="DN36">
            <v>2012</v>
          </cell>
          <cell r="DO36">
            <v>132.05995634778461</v>
          </cell>
          <cell r="DP36">
            <v>213.61718765717558</v>
          </cell>
          <cell r="DQ36">
            <v>138.66295299263055</v>
          </cell>
          <cell r="DR36">
            <v>2010</v>
          </cell>
          <cell r="DS36">
            <v>527.8423799736122</v>
          </cell>
          <cell r="DT36">
            <v>815.89244030378825</v>
          </cell>
          <cell r="DU36">
            <v>419.38769596591425</v>
          </cell>
          <cell r="DV36">
            <v>2013</v>
          </cell>
          <cell r="DW36">
            <v>881.24662618461616</v>
          </cell>
          <cell r="DX36">
            <v>1413.7362008865671</v>
          </cell>
          <cell r="DY36">
            <v>449.97322776481877</v>
          </cell>
          <cell r="DZ36">
            <v>2012</v>
          </cell>
          <cell r="EA36">
            <v>629.36795109239142</v>
          </cell>
          <cell r="EB36">
            <v>867.79172538987189</v>
          </cell>
          <cell r="EC36">
            <v>415.08553013970845</v>
          </cell>
          <cell r="ED36">
            <v>2011</v>
          </cell>
          <cell r="EE36">
            <v>561.63836860202173</v>
          </cell>
          <cell r="EF36">
            <v>878.92140054990773</v>
          </cell>
          <cell r="EG36">
            <v>581.28982220891589</v>
          </cell>
          <cell r="EH36">
            <v>2012</v>
          </cell>
          <cell r="EI36">
            <v>1479.0206392530488</v>
          </cell>
          <cell r="EJ36">
            <v>2392.4302165920603</v>
          </cell>
          <cell r="EK36">
            <v>1552.9716726411823</v>
          </cell>
          <cell r="EL36">
            <v>2010</v>
          </cell>
          <cell r="EM36">
            <v>238.60353908841498</v>
          </cell>
          <cell r="EN36">
            <v>337.36121134053957</v>
          </cell>
          <cell r="EO36">
            <v>82.670211984348342</v>
          </cell>
          <cell r="EP36">
            <v>2013</v>
          </cell>
          <cell r="EQ36">
            <v>165.14635825636475</v>
          </cell>
          <cell r="ER36">
            <v>250.12762642990722</v>
          </cell>
          <cell r="ES36">
            <v>166.38016156148626</v>
          </cell>
          <cell r="ET36">
            <v>2013</v>
          </cell>
          <cell r="EU36">
            <v>364.78908284188708</v>
          </cell>
          <cell r="EV36">
            <v>608.11479945465703</v>
          </cell>
          <cell r="EW36">
            <v>282.96221346336603</v>
          </cell>
          <cell r="EX36">
            <v>2010</v>
          </cell>
          <cell r="EY36">
            <v>452.0733365678135</v>
          </cell>
          <cell r="EZ36">
            <v>749.28349919864183</v>
          </cell>
          <cell r="FA36">
            <v>371.71149508762329</v>
          </cell>
          <cell r="FB36">
            <v>2010</v>
          </cell>
          <cell r="FC36">
            <v>411.43165127687354</v>
          </cell>
          <cell r="FD36">
            <v>665.52250058358891</v>
          </cell>
          <cell r="FE36">
            <v>432.00323324684297</v>
          </cell>
          <cell r="FF36">
            <v>2010</v>
          </cell>
          <cell r="FG36">
            <v>16522.280537756942</v>
          </cell>
          <cell r="FH36">
            <v>27476.661998254072</v>
          </cell>
          <cell r="FI36">
            <v>13944.75050932042</v>
          </cell>
          <cell r="FJ36">
            <v>2010</v>
          </cell>
          <cell r="FK36">
            <v>607.38874250965955</v>
          </cell>
          <cell r="FL36">
            <v>982.49824430894455</v>
          </cell>
          <cell r="FM36">
            <v>721.52993463328005</v>
          </cell>
          <cell r="FN36">
            <v>2013</v>
          </cell>
          <cell r="FO36">
            <v>108.17659610700008</v>
          </cell>
          <cell r="FP36">
            <v>167.1893361852803</v>
          </cell>
          <cell r="FQ36">
            <v>86.098834924824772</v>
          </cell>
          <cell r="FR36">
            <v>2011</v>
          </cell>
          <cell r="FS36">
            <v>733.3628402274079</v>
          </cell>
          <cell r="FT36">
            <v>1186.271084912014</v>
          </cell>
          <cell r="FU36">
            <v>787.90525810047814</v>
          </cell>
          <cell r="FV36">
            <v>2011</v>
          </cell>
          <cell r="FW36">
            <v>736.15735875451708</v>
          </cell>
          <cell r="FX36">
            <v>1181.4903618386718</v>
          </cell>
          <cell r="FY36">
            <v>715.73235343500005</v>
          </cell>
          <cell r="FZ36">
            <v>2013</v>
          </cell>
          <cell r="GA36">
            <v>995.66823855594998</v>
          </cell>
          <cell r="GB36">
            <v>1610.5703440047694</v>
          </cell>
          <cell r="GC36">
            <v>1171.697461654732</v>
          </cell>
          <cell r="GD36">
            <v>2013</v>
          </cell>
          <cell r="GE36">
            <v>4526.5095316112829</v>
          </cell>
          <cell r="GF36">
            <v>5748.6264191408281</v>
          </cell>
          <cell r="GG36">
            <v>2269.720059728782</v>
          </cell>
          <cell r="GH36">
            <v>2011</v>
          </cell>
          <cell r="GI36">
            <v>338.52423602150998</v>
          </cell>
          <cell r="GJ36">
            <v>501.43733654442127</v>
          </cell>
          <cell r="GK36">
            <v>207.08572107197153</v>
          </cell>
          <cell r="GL36">
            <v>2013</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row>
        <row r="37">
          <cell r="B37" t="str">
            <v>75%</v>
          </cell>
          <cell r="C37">
            <v>347.87136475527927</v>
          </cell>
          <cell r="D37">
            <v>462.76149891437541</v>
          </cell>
          <cell r="E37">
            <v>220.20874038986557</v>
          </cell>
          <cell r="F37">
            <v>2012</v>
          </cell>
          <cell r="G37">
            <v>1223.8819748541182</v>
          </cell>
          <cell r="H37">
            <v>1979.7237040606994</v>
          </cell>
          <cell r="I37">
            <v>1344.3124235455714</v>
          </cell>
          <cell r="J37">
            <v>2011</v>
          </cell>
          <cell r="K37">
            <v>625.43069429313277</v>
          </cell>
          <cell r="L37">
            <v>977.17963478742581</v>
          </cell>
          <cell r="M37">
            <v>645.27116643222621</v>
          </cell>
          <cell r="N37">
            <v>2012</v>
          </cell>
          <cell r="O37">
            <v>1736.5471496285415</v>
          </cell>
          <cell r="P37">
            <v>2808.9992549823933</v>
          </cell>
          <cell r="Q37">
            <v>1823.3745086507442</v>
          </cell>
          <cell r="R37">
            <v>2010</v>
          </cell>
          <cell r="S37">
            <v>378.53634106244425</v>
          </cell>
          <cell r="T37">
            <v>612.31179303068029</v>
          </cell>
          <cell r="U37">
            <v>398.31091628924668</v>
          </cell>
          <cell r="V37">
            <v>2011</v>
          </cell>
          <cell r="W37">
            <v>972.94096683460225</v>
          </cell>
          <cell r="X37">
            <v>1046.395843873252</v>
          </cell>
          <cell r="Y37">
            <v>3385.0605791931075</v>
          </cell>
          <cell r="Z37">
            <v>2011</v>
          </cell>
          <cell r="AA37">
            <v>4570.1370896253566</v>
          </cell>
          <cell r="AB37">
            <v>7379.9502967894459</v>
          </cell>
          <cell r="AC37">
            <v>5031.3356643636271</v>
          </cell>
          <cell r="AD37">
            <v>2012</v>
          </cell>
          <cell r="AE37">
            <v>619.39151514779815</v>
          </cell>
          <cell r="AF37">
            <v>1001.9136567623353</v>
          </cell>
          <cell r="AG37">
            <v>661.4790354056629</v>
          </cell>
          <cell r="AH37">
            <v>2011</v>
          </cell>
          <cell r="AI37">
            <v>689.83740510496114</v>
          </cell>
          <cell r="AJ37">
            <v>1106.9367484759127</v>
          </cell>
          <cell r="AK37">
            <v>658.10677855612687</v>
          </cell>
          <cell r="AL37">
            <v>2013</v>
          </cell>
          <cell r="AM37">
            <v>95.761175630526964</v>
          </cell>
          <cell r="AN37">
            <v>145.50768357537007</v>
          </cell>
          <cell r="AO37">
            <v>87.41046363008401</v>
          </cell>
          <cell r="AP37">
            <v>2011</v>
          </cell>
          <cell r="AQ37">
            <v>1385.8412654465767</v>
          </cell>
          <cell r="AR37">
            <v>2269.6666367619796</v>
          </cell>
          <cell r="AS37">
            <v>984.76587855201933</v>
          </cell>
          <cell r="AT37">
            <v>2011</v>
          </cell>
          <cell r="AU37">
            <v>428.82109520024346</v>
          </cell>
          <cell r="AV37">
            <v>594.19329486208244</v>
          </cell>
          <cell r="AW37">
            <v>313.58142977111305</v>
          </cell>
          <cell r="AX37">
            <v>2012</v>
          </cell>
          <cell r="AY37">
            <v>903.37757626242558</v>
          </cell>
          <cell r="AZ37">
            <v>1452.5718550369622</v>
          </cell>
          <cell r="BA37">
            <v>910.92640398239803</v>
          </cell>
          <cell r="BB37">
            <v>2013</v>
          </cell>
          <cell r="BC37">
            <v>669.19684544513791</v>
          </cell>
          <cell r="BD37">
            <v>1082.4776282029379</v>
          </cell>
          <cell r="BE37">
            <v>782.78166476826527</v>
          </cell>
          <cell r="BF37">
            <v>2013</v>
          </cell>
          <cell r="BG37">
            <v>5959.9465173141562</v>
          </cell>
          <cell r="BH37">
            <v>8478.0574579262575</v>
          </cell>
          <cell r="BI37">
            <v>4463.2322568537893</v>
          </cell>
          <cell r="BJ37">
            <v>2011</v>
          </cell>
          <cell r="BK37">
            <v>178.96493596378187</v>
          </cell>
          <cell r="BL37">
            <v>234.62630536985469</v>
          </cell>
          <cell r="BM37">
            <v>100.27509643388366</v>
          </cell>
          <cell r="BN37">
            <v>2011</v>
          </cell>
          <cell r="BO37">
            <v>1816.6376793430816</v>
          </cell>
          <cell r="BP37">
            <v>2938.5518779740405</v>
          </cell>
          <cell r="BQ37">
            <v>1907.469565077685</v>
          </cell>
          <cell r="BR37">
            <v>2010</v>
          </cell>
          <cell r="BS37">
            <v>109.87558672376905</v>
          </cell>
          <cell r="BT37">
            <v>169.62046057535849</v>
          </cell>
          <cell r="BU37">
            <v>87.253978822900692</v>
          </cell>
          <cell r="BV37">
            <v>2011</v>
          </cell>
          <cell r="BW37">
            <v>73.455772183968804</v>
          </cell>
          <cell r="BX37">
            <v>118.8203897167681</v>
          </cell>
          <cell r="BY37">
            <v>80.383129392108813</v>
          </cell>
          <cell r="BZ37">
            <v>2011</v>
          </cell>
          <cell r="CA37">
            <v>10191.980573526778</v>
          </cell>
          <cell r="CB37">
            <v>14461.381607798685</v>
          </cell>
          <cell r="CC37">
            <v>3098.7185126159834</v>
          </cell>
          <cell r="CD37">
            <v>2017</v>
          </cell>
          <cell r="CE37">
            <v>1579.873161671391</v>
          </cell>
          <cell r="CF37">
            <v>2555.5669676549232</v>
          </cell>
          <cell r="CG37">
            <v>1658.8668209550926</v>
          </cell>
          <cell r="CH37">
            <v>2010</v>
          </cell>
          <cell r="CI37">
            <v>1390.7188289033561</v>
          </cell>
          <cell r="CJ37">
            <v>2131.1803159772594</v>
          </cell>
          <cell r="CK37">
            <v>3597.0770383783633</v>
          </cell>
          <cell r="CL37">
            <v>2010</v>
          </cell>
          <cell r="CM37">
            <v>3951.2020769336214</v>
          </cell>
          <cell r="CN37">
            <v>6377.9623718744187</v>
          </cell>
          <cell r="CO37">
            <v>4323.6320422170757</v>
          </cell>
          <cell r="CP37">
            <v>2012</v>
          </cell>
          <cell r="CQ37">
            <v>1737.9065668039198</v>
          </cell>
          <cell r="CR37">
            <v>2794.0381244745313</v>
          </cell>
          <cell r="CS37">
            <v>1867.1792747256643</v>
          </cell>
          <cell r="CT37">
            <v>2011</v>
          </cell>
          <cell r="CU37">
            <v>136.27154415971097</v>
          </cell>
          <cell r="CV37">
            <v>220.42975704677681</v>
          </cell>
          <cell r="CW37">
            <v>148.92420349030448</v>
          </cell>
          <cell r="CX37">
            <v>2012</v>
          </cell>
          <cell r="CY37">
            <v>1202.312938097793</v>
          </cell>
          <cell r="CZ37">
            <v>1963.4882618688782</v>
          </cell>
          <cell r="DA37">
            <v>1171.3689854268291</v>
          </cell>
          <cell r="DB37">
            <v>2010</v>
          </cell>
          <cell r="DC37">
            <v>440.98119679336384</v>
          </cell>
          <cell r="DD37">
            <v>702.1186573981422</v>
          </cell>
          <cell r="DE37">
            <v>514.52530022800033</v>
          </cell>
          <cell r="DF37">
            <v>2013</v>
          </cell>
          <cell r="DG37">
            <v>658.99993879618</v>
          </cell>
          <cell r="DH37">
            <v>1065.9833428848247</v>
          </cell>
          <cell r="DI37">
            <v>691.94993222018184</v>
          </cell>
          <cell r="DJ37">
            <v>2010</v>
          </cell>
          <cell r="DK37">
            <v>163.3844246040419</v>
          </cell>
          <cell r="DL37">
            <v>247.11835752915573</v>
          </cell>
          <cell r="DM37">
            <v>159.10392998432962</v>
          </cell>
          <cell r="DN37">
            <v>2012</v>
          </cell>
          <cell r="DO37">
            <v>134.26183954492996</v>
          </cell>
          <cell r="DP37">
            <v>217.1789038698706</v>
          </cell>
          <cell r="DQ37">
            <v>140.97492996938783</v>
          </cell>
          <cell r="DR37">
            <v>2010</v>
          </cell>
          <cell r="DS37">
            <v>534.71965002211414</v>
          </cell>
          <cell r="DT37">
            <v>826.87741449834596</v>
          </cell>
          <cell r="DU37">
            <v>425.44336137846943</v>
          </cell>
          <cell r="DV37">
            <v>2013</v>
          </cell>
          <cell r="DW37">
            <v>888.43441282666663</v>
          </cell>
          <cell r="DX37">
            <v>1426.4484377253598</v>
          </cell>
          <cell r="DY37">
            <v>455.97816004228281</v>
          </cell>
          <cell r="DZ37">
            <v>2012</v>
          </cell>
          <cell r="EA37">
            <v>658.46557566087642</v>
          </cell>
          <cell r="EB37">
            <v>894.84095602983973</v>
          </cell>
          <cell r="EC37">
            <v>417.56952207839515</v>
          </cell>
          <cell r="ED37">
            <v>2011</v>
          </cell>
          <cell r="EE37">
            <v>572.77014936776834</v>
          </cell>
          <cell r="EF37">
            <v>893.22299772847509</v>
          </cell>
          <cell r="EG37">
            <v>591.82842660045469</v>
          </cell>
          <cell r="EH37">
            <v>2012</v>
          </cell>
          <cell r="EI37">
            <v>1580.1733625404167</v>
          </cell>
          <cell r="EJ37">
            <v>2556.0525658431243</v>
          </cell>
          <cell r="EK37">
            <v>1659.1820315527273</v>
          </cell>
          <cell r="EL37">
            <v>2010</v>
          </cell>
          <cell r="EM37">
            <v>241.33252966515477</v>
          </cell>
          <cell r="EN37">
            <v>340.16794406581278</v>
          </cell>
          <cell r="EO37">
            <v>83.83022387101586</v>
          </cell>
          <cell r="EP37">
            <v>2013</v>
          </cell>
          <cell r="EQ37">
            <v>168.43398315840147</v>
          </cell>
          <cell r="ER37">
            <v>256.00609458302768</v>
          </cell>
          <cell r="ES37">
            <v>170.83412134412413</v>
          </cell>
          <cell r="ET37">
            <v>2013</v>
          </cell>
          <cell r="EU37">
            <v>370.27144355293944</v>
          </cell>
          <cell r="EV37">
            <v>616.96780059824709</v>
          </cell>
          <cell r="EW37">
            <v>287.41505924062659</v>
          </cell>
          <cell r="EX37">
            <v>2010</v>
          </cell>
          <cell r="EY37">
            <v>460.27867300231503</v>
          </cell>
          <cell r="EZ37">
            <v>762.73183933195594</v>
          </cell>
          <cell r="FA37">
            <v>377.14664651727315</v>
          </cell>
          <cell r="FB37">
            <v>2010</v>
          </cell>
          <cell r="FC37">
            <v>416.65263707229133</v>
          </cell>
          <cell r="FD37">
            <v>673.96784905899653</v>
          </cell>
          <cell r="FE37">
            <v>437.48526973068851</v>
          </cell>
          <cell r="FF37">
            <v>2010</v>
          </cell>
          <cell r="FG37">
            <v>16592.448451109347</v>
          </cell>
          <cell r="FH37">
            <v>27594.752054031174</v>
          </cell>
          <cell r="FI37">
            <v>13992.750596347612</v>
          </cell>
          <cell r="FJ37">
            <v>2010</v>
          </cell>
          <cell r="FK37">
            <v>622.11077713728298</v>
          </cell>
          <cell r="FL37">
            <v>1006.3122731839167</v>
          </cell>
          <cell r="FM37">
            <v>738.48524682363359</v>
          </cell>
          <cell r="FN37">
            <v>2013</v>
          </cell>
          <cell r="FO37">
            <v>109.92840497385177</v>
          </cell>
          <cell r="FP37">
            <v>170.03003236893272</v>
          </cell>
          <cell r="FQ37">
            <v>87.472598355153679</v>
          </cell>
          <cell r="FR37">
            <v>2011</v>
          </cell>
          <cell r="FS37">
            <v>744.66331848413017</v>
          </cell>
          <cell r="FT37">
            <v>1204.5504826810068</v>
          </cell>
          <cell r="FU37">
            <v>794.07437893428732</v>
          </cell>
          <cell r="FV37">
            <v>2011</v>
          </cell>
          <cell r="FW37">
            <v>743.0877111621827</v>
          </cell>
          <cell r="FX37">
            <v>1193.2013175521683</v>
          </cell>
          <cell r="FY37">
            <v>721.24197406848646</v>
          </cell>
          <cell r="FZ37">
            <v>2013</v>
          </cell>
          <cell r="GA37">
            <v>1010.5019233489671</v>
          </cell>
          <cell r="GB37">
            <v>1634.1156618578923</v>
          </cell>
          <cell r="GC37">
            <v>1184.2713527286046</v>
          </cell>
          <cell r="GD37">
            <v>2013</v>
          </cell>
          <cell r="GE37">
            <v>4816.6335282012169</v>
          </cell>
          <cell r="GF37">
            <v>6059.555110480891</v>
          </cell>
          <cell r="GG37">
            <v>2304.1600346256682</v>
          </cell>
          <cell r="GH37">
            <v>2011</v>
          </cell>
          <cell r="GI37">
            <v>342.17773286158081</v>
          </cell>
          <cell r="GJ37">
            <v>505.83560642188172</v>
          </cell>
          <cell r="GK37">
            <v>210.69716809218983</v>
          </cell>
          <cell r="GL37">
            <v>2013</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row>
        <row r="38">
          <cell r="B38" t="str">
            <v>80%</v>
          </cell>
          <cell r="C38">
            <v>375.35763620961882</v>
          </cell>
          <cell r="D38">
            <v>497.13286877590878</v>
          </cell>
          <cell r="E38">
            <v>221.21626131375353</v>
          </cell>
          <cell r="F38">
            <v>2012</v>
          </cell>
          <cell r="G38">
            <v>1241.7039690076581</v>
          </cell>
          <cell r="H38">
            <v>2008.5521573692856</v>
          </cell>
          <cell r="I38">
            <v>1363.2342828733026</v>
          </cell>
          <cell r="J38">
            <v>2011</v>
          </cell>
          <cell r="K38">
            <v>638.0641358091932</v>
          </cell>
          <cell r="L38">
            <v>995.10880778482544</v>
          </cell>
          <cell r="M38">
            <v>655.33075083124811</v>
          </cell>
          <cell r="N38">
            <v>2012</v>
          </cell>
          <cell r="O38">
            <v>1857.6703360665856</v>
          </cell>
          <cell r="P38">
            <v>3004.9253715626264</v>
          </cell>
          <cell r="Q38">
            <v>1950.5538519541676</v>
          </cell>
          <cell r="R38">
            <v>2010</v>
          </cell>
          <cell r="S38">
            <v>388.6759844510587</v>
          </cell>
          <cell r="T38">
            <v>628.71345013459745</v>
          </cell>
          <cell r="U38">
            <v>405.35942242229362</v>
          </cell>
          <cell r="V38">
            <v>2011</v>
          </cell>
          <cell r="W38">
            <v>1017.6925261535331</v>
          </cell>
          <cell r="X38">
            <v>1105.0394193210391</v>
          </cell>
          <cell r="Y38">
            <v>3429.6410607442599</v>
          </cell>
          <cell r="Z38">
            <v>2011</v>
          </cell>
          <cell r="AA38">
            <v>4633.8628586671202</v>
          </cell>
          <cell r="AB38">
            <v>7481.9098334773307</v>
          </cell>
          <cell r="AC38">
            <v>5080.7953325142134</v>
          </cell>
          <cell r="AD38">
            <v>2012</v>
          </cell>
          <cell r="AE38">
            <v>631.34332391782766</v>
          </cell>
          <cell r="AF38">
            <v>1021.2466315229306</v>
          </cell>
          <cell r="AG38">
            <v>668.00724284183207</v>
          </cell>
          <cell r="AH38">
            <v>2011</v>
          </cell>
          <cell r="AI38">
            <v>699.96472733445489</v>
          </cell>
          <cell r="AJ38">
            <v>1120.8335095527382</v>
          </cell>
          <cell r="AK38">
            <v>663.59272504726664</v>
          </cell>
          <cell r="AL38">
            <v>2013</v>
          </cell>
          <cell r="AM38">
            <v>97.68924207935649</v>
          </cell>
          <cell r="AN38">
            <v>148.12847227159779</v>
          </cell>
          <cell r="AO38">
            <v>88.951306920715822</v>
          </cell>
          <cell r="AP38">
            <v>2011</v>
          </cell>
          <cell r="AQ38">
            <v>1476.0584125402186</v>
          </cell>
          <cell r="AR38">
            <v>2380.3910268829331</v>
          </cell>
          <cell r="AS38">
            <v>996.89789362528734</v>
          </cell>
          <cell r="AT38">
            <v>2011</v>
          </cell>
          <cell r="AU38">
            <v>454.3176596771425</v>
          </cell>
          <cell r="AV38">
            <v>625.64057709085546</v>
          </cell>
          <cell r="AW38">
            <v>315.01202366160516</v>
          </cell>
          <cell r="AX38">
            <v>2012</v>
          </cell>
          <cell r="AY38">
            <v>914.8459094178354</v>
          </cell>
          <cell r="AZ38">
            <v>1470.7804372018979</v>
          </cell>
          <cell r="BA38">
            <v>918.8490731247972</v>
          </cell>
          <cell r="BB38">
            <v>2013</v>
          </cell>
          <cell r="BC38">
            <v>682.66018417306952</v>
          </cell>
          <cell r="BD38">
            <v>1104.255619439838</v>
          </cell>
          <cell r="BE38">
            <v>791.20175944820221</v>
          </cell>
          <cell r="BF38">
            <v>2013</v>
          </cell>
          <cell r="BG38">
            <v>6100.3324772931392</v>
          </cell>
          <cell r="BH38">
            <v>8632.965544770057</v>
          </cell>
          <cell r="BI38">
            <v>4492.5253936584586</v>
          </cell>
          <cell r="BJ38">
            <v>2011</v>
          </cell>
          <cell r="BK38">
            <v>198.53801430166868</v>
          </cell>
          <cell r="BL38">
            <v>261.10403206889606</v>
          </cell>
          <cell r="BM38">
            <v>101.99351822211675</v>
          </cell>
          <cell r="BN38">
            <v>2011</v>
          </cell>
          <cell r="BO38">
            <v>1842.3432967479164</v>
          </cell>
          <cell r="BP38">
            <v>2980.1327013144719</v>
          </cell>
          <cell r="BQ38">
            <v>1934.4604635017274</v>
          </cell>
          <cell r="BR38">
            <v>2010</v>
          </cell>
          <cell r="BS38">
            <v>111.77899886904531</v>
          </cell>
          <cell r="BT38">
            <v>172.90203991440785</v>
          </cell>
          <cell r="BU38">
            <v>88.761016589150799</v>
          </cell>
          <cell r="BV38">
            <v>2011</v>
          </cell>
          <cell r="BW38">
            <v>74.629839460249642</v>
          </cell>
          <cell r="BX38">
            <v>120.71953499199221</v>
          </cell>
          <cell r="BY38">
            <v>81.543136719748134</v>
          </cell>
          <cell r="BZ38">
            <v>2011</v>
          </cell>
          <cell r="CA38">
            <v>10852.678240991314</v>
          </cell>
          <cell r="CB38">
            <v>15129.176710930931</v>
          </cell>
          <cell r="CC38">
            <v>3120.5669962594447</v>
          </cell>
          <cell r="CD38">
            <v>2017</v>
          </cell>
          <cell r="CE38">
            <v>1687.0529847851251</v>
          </cell>
          <cell r="CF38">
            <v>2728.9386172426725</v>
          </cell>
          <cell r="CG38">
            <v>1771.4056346164009</v>
          </cell>
          <cell r="CH38">
            <v>2010</v>
          </cell>
          <cell r="CI38">
            <v>1434.7235294969053</v>
          </cell>
          <cell r="CJ38">
            <v>2201.5419361867002</v>
          </cell>
          <cell r="CK38">
            <v>3643.8262529595404</v>
          </cell>
          <cell r="CL38">
            <v>2010</v>
          </cell>
          <cell r="CM38">
            <v>3999.5207054582484</v>
          </cell>
          <cell r="CN38">
            <v>6457.30747224476</v>
          </cell>
          <cell r="CO38">
            <v>4367.4609078637823</v>
          </cell>
          <cell r="CP38">
            <v>2012</v>
          </cell>
          <cell r="CQ38">
            <v>1802.7841281001158</v>
          </cell>
          <cell r="CR38">
            <v>2890.3430936134</v>
          </cell>
          <cell r="CS38">
            <v>1927.0130818615121</v>
          </cell>
          <cell r="CT38">
            <v>2011</v>
          </cell>
          <cell r="CU38">
            <v>143.68247262012153</v>
          </cell>
          <cell r="CV38">
            <v>232.41750662197578</v>
          </cell>
          <cell r="CW38">
            <v>155.28451829313855</v>
          </cell>
          <cell r="CX38">
            <v>2012</v>
          </cell>
          <cell r="CY38">
            <v>1223.2292710162517</v>
          </cell>
          <cell r="CZ38">
            <v>1996.7209558557315</v>
          </cell>
          <cell r="DA38">
            <v>1192.1060692210954</v>
          </cell>
          <cell r="DB38">
            <v>2010</v>
          </cell>
          <cell r="DC38">
            <v>448.09422228534743</v>
          </cell>
          <cell r="DD38">
            <v>714.23107094863099</v>
          </cell>
          <cell r="DE38">
            <v>522.96978809694463</v>
          </cell>
          <cell r="DF38">
            <v>2013</v>
          </cell>
          <cell r="DG38">
            <v>665.38919027907366</v>
          </cell>
          <cell r="DH38">
            <v>1076.3184514831396</v>
          </cell>
          <cell r="DI38">
            <v>698.6586492956958</v>
          </cell>
          <cell r="DJ38">
            <v>2010</v>
          </cell>
          <cell r="DK38">
            <v>170.80309808811396</v>
          </cell>
          <cell r="DL38">
            <v>256.06470255037158</v>
          </cell>
          <cell r="DM38">
            <v>159.82711949033839</v>
          </cell>
          <cell r="DN38">
            <v>2012</v>
          </cell>
          <cell r="DO38">
            <v>136.67884689371508</v>
          </cell>
          <cell r="DP38">
            <v>221.08860028787575</v>
          </cell>
          <cell r="DQ38">
            <v>143.51278831625339</v>
          </cell>
          <cell r="DR38">
            <v>2010</v>
          </cell>
          <cell r="DS38">
            <v>543.56263761159278</v>
          </cell>
          <cell r="DT38">
            <v>839.15187864350753</v>
          </cell>
          <cell r="DU38">
            <v>433.88841380732731</v>
          </cell>
          <cell r="DV38">
            <v>2013</v>
          </cell>
          <cell r="DW38">
            <v>897.03947700178139</v>
          </cell>
          <cell r="DX38">
            <v>1439.9238993907784</v>
          </cell>
          <cell r="DY38">
            <v>462.10319292373481</v>
          </cell>
          <cell r="DZ38">
            <v>2012</v>
          </cell>
          <cell r="EA38">
            <v>681.80940444631153</v>
          </cell>
          <cell r="EB38">
            <v>915.73343056673025</v>
          </cell>
          <cell r="EC38">
            <v>420.50646238942136</v>
          </cell>
          <cell r="ED38">
            <v>2011</v>
          </cell>
          <cell r="EE38">
            <v>586.57919142533979</v>
          </cell>
          <cell r="EF38">
            <v>909.32651299966403</v>
          </cell>
          <cell r="EG38">
            <v>601.89530631368325</v>
          </cell>
          <cell r="EH38">
            <v>2012</v>
          </cell>
          <cell r="EI38">
            <v>1685.812462575748</v>
          </cell>
          <cell r="EJ38">
            <v>2726.9319769194631</v>
          </cell>
          <cell r="EK38">
            <v>1770.1030876938532</v>
          </cell>
          <cell r="EL38">
            <v>2010</v>
          </cell>
          <cell r="EM38">
            <v>243.74682500479628</v>
          </cell>
          <cell r="EN38">
            <v>343.51298435289931</v>
          </cell>
          <cell r="EO38">
            <v>85.566446067976955</v>
          </cell>
          <cell r="EP38">
            <v>2013</v>
          </cell>
          <cell r="EQ38">
            <v>172.12645572391258</v>
          </cell>
          <cell r="ER38">
            <v>263.16159350938301</v>
          </cell>
          <cell r="ES38">
            <v>175.89988348378824</v>
          </cell>
          <cell r="ET38">
            <v>2013</v>
          </cell>
          <cell r="EU38">
            <v>378.11108805129749</v>
          </cell>
          <cell r="EV38">
            <v>629.64322215868037</v>
          </cell>
          <cell r="EW38">
            <v>292.41695864054543</v>
          </cell>
          <cell r="EX38">
            <v>2010</v>
          </cell>
          <cell r="EY38">
            <v>469.6960191946431</v>
          </cell>
          <cell r="EZ38">
            <v>778.05168234054474</v>
          </cell>
          <cell r="FA38">
            <v>384.17971359026023</v>
          </cell>
          <cell r="FB38">
            <v>2010</v>
          </cell>
          <cell r="FC38">
            <v>422.49123160688691</v>
          </cell>
          <cell r="FD38">
            <v>683.41222611201135</v>
          </cell>
          <cell r="FE38">
            <v>443.61578958584448</v>
          </cell>
          <cell r="FF38">
            <v>2010</v>
          </cell>
          <cell r="FG38">
            <v>16657.287022565968</v>
          </cell>
          <cell r="FH38">
            <v>27705.161101634363</v>
          </cell>
          <cell r="FI38">
            <v>14039.874508999263</v>
          </cell>
          <cell r="FJ38">
            <v>2010</v>
          </cell>
          <cell r="FK38">
            <v>639.06526490036902</v>
          </cell>
          <cell r="FL38">
            <v>1033.7374677259741</v>
          </cell>
          <cell r="FM38">
            <v>755.47907999515439</v>
          </cell>
          <cell r="FN38">
            <v>2013</v>
          </cell>
          <cell r="FO38">
            <v>111.56406972715605</v>
          </cell>
          <cell r="FP38">
            <v>172.63424537722923</v>
          </cell>
          <cell r="FQ38">
            <v>88.892982016582764</v>
          </cell>
          <cell r="FR38">
            <v>2011</v>
          </cell>
          <cell r="FS38">
            <v>757.51665824742236</v>
          </cell>
          <cell r="FT38">
            <v>1225.3417527185732</v>
          </cell>
          <cell r="FU38">
            <v>801.03934580030216</v>
          </cell>
          <cell r="FV38">
            <v>2011</v>
          </cell>
          <cell r="FW38">
            <v>753.98415000253635</v>
          </cell>
          <cell r="FX38">
            <v>1211.4874277269769</v>
          </cell>
          <cell r="FY38">
            <v>727.3686555704877</v>
          </cell>
          <cell r="FZ38">
            <v>2013</v>
          </cell>
          <cell r="GA38">
            <v>1031.9488145556995</v>
          </cell>
          <cell r="GB38">
            <v>1665.371676551475</v>
          </cell>
          <cell r="GC38">
            <v>1196.9696148148128</v>
          </cell>
          <cell r="GD38">
            <v>2013</v>
          </cell>
          <cell r="GE38">
            <v>5045.6111269522753</v>
          </cell>
          <cell r="GF38">
            <v>6311.2817556779637</v>
          </cell>
          <cell r="GG38">
            <v>2347.0476418319718</v>
          </cell>
          <cell r="GH38">
            <v>2011</v>
          </cell>
          <cell r="GI38">
            <v>346.88276056097669</v>
          </cell>
          <cell r="GJ38">
            <v>512.27496221343119</v>
          </cell>
          <cell r="GK38">
            <v>214.56275483807966</v>
          </cell>
          <cell r="GL38">
            <v>2013</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row>
        <row r="39">
          <cell r="B39" t="str">
            <v>85%</v>
          </cell>
          <cell r="C39">
            <v>499.32282854001903</v>
          </cell>
          <cell r="D39">
            <v>613.61582912033782</v>
          </cell>
          <cell r="E39">
            <v>222.34700504438865</v>
          </cell>
          <cell r="F39">
            <v>2012</v>
          </cell>
          <cell r="G39">
            <v>1262.6559948363142</v>
          </cell>
          <cell r="H39">
            <v>2042.4436782436485</v>
          </cell>
          <cell r="I39">
            <v>1384.8567463892184</v>
          </cell>
          <cell r="J39">
            <v>2011</v>
          </cell>
          <cell r="K39">
            <v>654.0706892428866</v>
          </cell>
          <cell r="L39">
            <v>1017.8952364894478</v>
          </cell>
          <cell r="M39">
            <v>669.06032309575176</v>
          </cell>
          <cell r="N39">
            <v>2012</v>
          </cell>
          <cell r="O39">
            <v>1992.3592019546056</v>
          </cell>
          <cell r="P39">
            <v>3222.7950233131719</v>
          </cell>
          <cell r="Q39">
            <v>2091.9771583316005</v>
          </cell>
          <cell r="R39">
            <v>2010</v>
          </cell>
          <cell r="S39">
            <v>403.19657909582963</v>
          </cell>
          <cell r="T39">
            <v>652.20163535519362</v>
          </cell>
          <cell r="U39">
            <v>412.57840473294232</v>
          </cell>
          <cell r="V39">
            <v>2011</v>
          </cell>
          <cell r="W39">
            <v>1054.9218085823254</v>
          </cell>
          <cell r="X39">
            <v>1178.0591812720807</v>
          </cell>
          <cell r="Y39">
            <v>3480.063832218379</v>
          </cell>
          <cell r="Z39">
            <v>2011</v>
          </cell>
          <cell r="AA39">
            <v>4711.6342183349343</v>
          </cell>
          <cell r="AB39">
            <v>7608.3661325291469</v>
          </cell>
          <cell r="AC39">
            <v>5133.4521122451042</v>
          </cell>
          <cell r="AD39">
            <v>2012</v>
          </cell>
          <cell r="AE39">
            <v>655.81756225540869</v>
          </cell>
          <cell r="AF39">
            <v>1060.8356034673818</v>
          </cell>
          <cell r="AG39">
            <v>675.21892706230574</v>
          </cell>
          <cell r="AH39">
            <v>2011</v>
          </cell>
          <cell r="AI39">
            <v>725.7503612146877</v>
          </cell>
          <cell r="AJ39">
            <v>1158.0109179084293</v>
          </cell>
          <cell r="AK39">
            <v>669.59520885430538</v>
          </cell>
          <cell r="AL39">
            <v>2013</v>
          </cell>
          <cell r="AM39">
            <v>99.633473515944345</v>
          </cell>
          <cell r="AN39">
            <v>151.10014311482115</v>
          </cell>
          <cell r="AO39">
            <v>90.539154781883056</v>
          </cell>
          <cell r="AP39">
            <v>2011</v>
          </cell>
          <cell r="AQ39">
            <v>2438.2857033579485</v>
          </cell>
          <cell r="AR39">
            <v>3277.3305289540931</v>
          </cell>
          <cell r="AS39">
            <v>1011.071714250052</v>
          </cell>
          <cell r="AT39">
            <v>2011</v>
          </cell>
          <cell r="AU39">
            <v>578.70293591562586</v>
          </cell>
          <cell r="AV39">
            <v>741.65730662137207</v>
          </cell>
          <cell r="AW39">
            <v>316.64996068432856</v>
          </cell>
          <cell r="AX39">
            <v>2012</v>
          </cell>
          <cell r="AY39">
            <v>945.67745456958266</v>
          </cell>
          <cell r="AZ39">
            <v>1517.0274152416387</v>
          </cell>
          <cell r="BA39">
            <v>927.22875392270828</v>
          </cell>
          <cell r="BB39">
            <v>2013</v>
          </cell>
          <cell r="BC39">
            <v>709.22708603464616</v>
          </cell>
          <cell r="BD39">
            <v>1143.3626014925321</v>
          </cell>
          <cell r="BE39">
            <v>802.06794104057099</v>
          </cell>
          <cell r="BF39">
            <v>2013</v>
          </cell>
          <cell r="BG39">
            <v>6260.3578000990892</v>
          </cell>
          <cell r="BH39">
            <v>8788.7948579809981</v>
          </cell>
          <cell r="BI39">
            <v>4523.2139169375723</v>
          </cell>
          <cell r="BJ39">
            <v>2011</v>
          </cell>
          <cell r="BK39">
            <v>244.32062043947798</v>
          </cell>
          <cell r="BL39">
            <v>292.76447339065822</v>
          </cell>
          <cell r="BM39">
            <v>103.98725858325233</v>
          </cell>
          <cell r="BN39">
            <v>2011</v>
          </cell>
          <cell r="BO39">
            <v>1868.8268978668409</v>
          </cell>
          <cell r="BP39">
            <v>3022.9719726322874</v>
          </cell>
          <cell r="BQ39">
            <v>1962.268241780369</v>
          </cell>
          <cell r="BR39">
            <v>2010</v>
          </cell>
          <cell r="BS39">
            <v>114.30814757666241</v>
          </cell>
          <cell r="BT39">
            <v>176.31141165542337</v>
          </cell>
          <cell r="BU39">
            <v>90.576291438840656</v>
          </cell>
          <cell r="BV39">
            <v>2011</v>
          </cell>
          <cell r="BW39">
            <v>75.922214414917249</v>
          </cell>
          <cell r="BX39">
            <v>122.81005104729233</v>
          </cell>
          <cell r="BY39">
            <v>82.81157275023179</v>
          </cell>
          <cell r="BZ39">
            <v>2011</v>
          </cell>
          <cell r="CA39">
            <v>11322.193587228876</v>
          </cell>
          <cell r="CB39">
            <v>15616.861244922153</v>
          </cell>
          <cell r="CC39">
            <v>3145.4236090244244</v>
          </cell>
          <cell r="CD39">
            <v>2017</v>
          </cell>
          <cell r="CE39">
            <v>1810.8791013442026</v>
          </cell>
          <cell r="CF39">
            <v>2929.2369328423274</v>
          </cell>
          <cell r="CG39">
            <v>1901.4230574730043</v>
          </cell>
          <cell r="CH39">
            <v>2010</v>
          </cell>
          <cell r="CI39">
            <v>1480.3418628716411</v>
          </cell>
          <cell r="CJ39">
            <v>2270.0178597700074</v>
          </cell>
          <cell r="CK39">
            <v>3694.4313292494662</v>
          </cell>
          <cell r="CL39">
            <v>2010</v>
          </cell>
          <cell r="CM39">
            <v>4064.9311417818953</v>
          </cell>
          <cell r="CN39">
            <v>6562.8371053285655</v>
          </cell>
          <cell r="CO39">
            <v>4412.8927532039233</v>
          </cell>
          <cell r="CP39">
            <v>2012</v>
          </cell>
          <cell r="CQ39">
            <v>1870.7649204343945</v>
          </cell>
          <cell r="CR39">
            <v>3001.5959293282958</v>
          </cell>
          <cell r="CS39">
            <v>1995.8109715273083</v>
          </cell>
          <cell r="CT39">
            <v>2011</v>
          </cell>
          <cell r="CU39">
            <v>153.14618133248516</v>
          </cell>
          <cell r="CV39">
            <v>247.72578660720532</v>
          </cell>
          <cell r="CW39">
            <v>162.76844096129449</v>
          </cell>
          <cell r="CX39">
            <v>2012</v>
          </cell>
          <cell r="CY39">
            <v>1244.6010905878511</v>
          </cell>
          <cell r="CZ39">
            <v>2031.5333574246529</v>
          </cell>
          <cell r="DA39">
            <v>1214.7828196932169</v>
          </cell>
          <cell r="DB39">
            <v>2010</v>
          </cell>
          <cell r="DC39">
            <v>456.66354816952526</v>
          </cell>
          <cell r="DD39">
            <v>725.59226054228657</v>
          </cell>
          <cell r="DE39">
            <v>531.15304786185948</v>
          </cell>
          <cell r="DF39">
            <v>2013</v>
          </cell>
          <cell r="DG39">
            <v>672.78212312388678</v>
          </cell>
          <cell r="DH39">
            <v>1088.2770924202885</v>
          </cell>
          <cell r="DI39">
            <v>706.42123063706026</v>
          </cell>
          <cell r="DJ39">
            <v>2010</v>
          </cell>
          <cell r="DK39">
            <v>180.95963425720362</v>
          </cell>
          <cell r="DL39">
            <v>264.40569142412363</v>
          </cell>
          <cell r="DM39">
            <v>160.6440766218293</v>
          </cell>
          <cell r="DN39">
            <v>2012</v>
          </cell>
          <cell r="DO39">
            <v>139.56144275725484</v>
          </cell>
          <cell r="DP39">
            <v>225.75142163957776</v>
          </cell>
          <cell r="DQ39">
            <v>146.53951272529909</v>
          </cell>
          <cell r="DR39">
            <v>2010</v>
          </cell>
          <cell r="DS39">
            <v>552.09455347436926</v>
          </cell>
          <cell r="DT39">
            <v>850.89138371926674</v>
          </cell>
          <cell r="DU39">
            <v>442.49738460265718</v>
          </cell>
          <cell r="DV39">
            <v>2013</v>
          </cell>
          <cell r="DW39">
            <v>905.83389021384119</v>
          </cell>
          <cell r="DX39">
            <v>1453.9422595995327</v>
          </cell>
          <cell r="DY39">
            <v>468.5275971872012</v>
          </cell>
          <cell r="DZ39">
            <v>2012</v>
          </cell>
          <cell r="EA39">
            <v>700.27703994251931</v>
          </cell>
          <cell r="EB39">
            <v>938.58563719203369</v>
          </cell>
          <cell r="EC39">
            <v>423.4677840859481</v>
          </cell>
          <cell r="ED39">
            <v>2011</v>
          </cell>
          <cell r="EE39">
            <v>601.03233379616677</v>
          </cell>
          <cell r="EF39">
            <v>929.04548878825779</v>
          </cell>
          <cell r="EG39">
            <v>614.8371939434935</v>
          </cell>
          <cell r="EH39">
            <v>2012</v>
          </cell>
          <cell r="EI39">
            <v>1808.8964716691582</v>
          </cell>
          <cell r="EJ39">
            <v>2926.029876042955</v>
          </cell>
          <cell r="EK39">
            <v>1899.3412968657078</v>
          </cell>
          <cell r="EL39">
            <v>2010</v>
          </cell>
          <cell r="EM39">
            <v>245.68946865058248</v>
          </cell>
          <cell r="EN39">
            <v>346.00145969910005</v>
          </cell>
          <cell r="EO39">
            <v>87.168992951408597</v>
          </cell>
          <cell r="EP39">
            <v>2013</v>
          </cell>
          <cell r="EQ39">
            <v>176.40191509129403</v>
          </cell>
          <cell r="ER39">
            <v>268.64879438871117</v>
          </cell>
          <cell r="ES39">
            <v>179.48698060876836</v>
          </cell>
          <cell r="ET39">
            <v>2013</v>
          </cell>
          <cell r="EU39">
            <v>390.16354541877951</v>
          </cell>
          <cell r="EV39">
            <v>649.3668348057563</v>
          </cell>
          <cell r="EW39">
            <v>298.18371280079293</v>
          </cell>
          <cell r="EX39">
            <v>2010</v>
          </cell>
          <cell r="EY39">
            <v>483.02613444418955</v>
          </cell>
          <cell r="EZ39">
            <v>799.18109095437751</v>
          </cell>
          <cell r="FA39">
            <v>391.68343443156328</v>
          </cell>
          <cell r="FB39">
            <v>2010</v>
          </cell>
          <cell r="FC39">
            <v>429.0656884288764</v>
          </cell>
          <cell r="FD39">
            <v>694.04691845492266</v>
          </cell>
          <cell r="FE39">
            <v>450.51897002146495</v>
          </cell>
          <cell r="FF39">
            <v>2010</v>
          </cell>
          <cell r="FG39">
            <v>16736.656780593752</v>
          </cell>
          <cell r="FH39">
            <v>27847.686339618744</v>
          </cell>
          <cell r="FI39">
            <v>14104.697971232625</v>
          </cell>
          <cell r="FJ39">
            <v>2010</v>
          </cell>
          <cell r="FK39">
            <v>659.02412462757832</v>
          </cell>
          <cell r="FL39">
            <v>1066.0224662562084</v>
          </cell>
          <cell r="FM39">
            <v>774.7625333500705</v>
          </cell>
          <cell r="FN39">
            <v>2013</v>
          </cell>
          <cell r="FO39">
            <v>114.42222619422566</v>
          </cell>
          <cell r="FP39">
            <v>176.09839548812388</v>
          </cell>
          <cell r="FQ39">
            <v>90.506902036648739</v>
          </cell>
          <cell r="FR39">
            <v>2011</v>
          </cell>
          <cell r="FS39">
            <v>785.89335234476209</v>
          </cell>
          <cell r="FT39">
            <v>1271.2432488222664</v>
          </cell>
          <cell r="FU39">
            <v>809.99714820600752</v>
          </cell>
          <cell r="FV39">
            <v>2011</v>
          </cell>
          <cell r="FW39">
            <v>776.62713374666419</v>
          </cell>
          <cell r="FX39">
            <v>1241.5212268977762</v>
          </cell>
          <cell r="FY39">
            <v>733.94353886107012</v>
          </cell>
          <cell r="FZ39">
            <v>2013</v>
          </cell>
          <cell r="GA39">
            <v>1075.4053748167644</v>
          </cell>
          <cell r="GB39">
            <v>1702.7639715738126</v>
          </cell>
          <cell r="GC39">
            <v>1211.6141589941135</v>
          </cell>
          <cell r="GD39">
            <v>2013</v>
          </cell>
          <cell r="GE39">
            <v>5246.0469364235614</v>
          </cell>
          <cell r="GF39">
            <v>6516.6937236631511</v>
          </cell>
          <cell r="GG39">
            <v>2389.0120392669623</v>
          </cell>
          <cell r="GH39">
            <v>2011</v>
          </cell>
          <cell r="GI39">
            <v>351.32357510604311</v>
          </cell>
          <cell r="GJ39">
            <v>519.96592499743838</v>
          </cell>
          <cell r="GK39">
            <v>218.40746606774832</v>
          </cell>
          <cell r="GL39">
            <v>2013</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row>
        <row r="40">
          <cell r="B40" t="str">
            <v>90%</v>
          </cell>
          <cell r="C40">
            <v>546.09344023422557</v>
          </cell>
          <cell r="D40">
            <v>659.83999193147883</v>
          </cell>
          <cell r="E40">
            <v>223.70944332369439</v>
          </cell>
          <cell r="F40">
            <v>2012</v>
          </cell>
          <cell r="G40">
            <v>1287.8089191063723</v>
          </cell>
          <cell r="H40">
            <v>2083.1304776248871</v>
          </cell>
          <cell r="I40">
            <v>1410.9715477887071</v>
          </cell>
          <cell r="J40">
            <v>2011</v>
          </cell>
          <cell r="K40">
            <v>677.84519727595728</v>
          </cell>
          <cell r="L40">
            <v>1045.1351582416687</v>
          </cell>
          <cell r="M40">
            <v>687.557851804758</v>
          </cell>
          <cell r="N40">
            <v>2012</v>
          </cell>
          <cell r="O40">
            <v>2152.3921676018153</v>
          </cell>
          <cell r="P40">
            <v>3481.6607175159975</v>
          </cell>
          <cell r="Q40">
            <v>2260.0117782341217</v>
          </cell>
          <cell r="R40">
            <v>2010</v>
          </cell>
          <cell r="S40">
            <v>982.3303653243629</v>
          </cell>
          <cell r="T40">
            <v>1178.0103153712596</v>
          </cell>
          <cell r="U40">
            <v>423.41542526349093</v>
          </cell>
          <cell r="V40">
            <v>2011</v>
          </cell>
          <cell r="W40">
            <v>1117.4204535300012</v>
          </cell>
          <cell r="X40">
            <v>1277.6829734995088</v>
          </cell>
          <cell r="Y40">
            <v>3537.1128154396474</v>
          </cell>
          <cell r="Z40">
            <v>2011</v>
          </cell>
          <cell r="AA40">
            <v>4889.5736593468982</v>
          </cell>
          <cell r="AB40">
            <v>7893.9179143967358</v>
          </cell>
          <cell r="AC40">
            <v>5202.6466386688426</v>
          </cell>
          <cell r="AD40">
            <v>2012</v>
          </cell>
          <cell r="AE40">
            <v>1182.084712935206</v>
          </cell>
          <cell r="AF40">
            <v>1529.7710483539827</v>
          </cell>
          <cell r="AG40">
            <v>683.85280085722104</v>
          </cell>
          <cell r="AH40">
            <v>2011</v>
          </cell>
          <cell r="AI40">
            <v>1292.7438712135627</v>
          </cell>
          <cell r="AJ40">
            <v>1701.2363600217225</v>
          </cell>
          <cell r="AK40">
            <v>677.94586869501325</v>
          </cell>
          <cell r="AL40">
            <v>2013</v>
          </cell>
          <cell r="AM40">
            <v>102.23334741861105</v>
          </cell>
          <cell r="AN40">
            <v>155.03568181970931</v>
          </cell>
          <cell r="AO40">
            <v>92.619650687380798</v>
          </cell>
          <cell r="AP40">
            <v>2011</v>
          </cell>
          <cell r="AQ40">
            <v>2858.3465360811369</v>
          </cell>
          <cell r="AR40">
            <v>3667.3716863204741</v>
          </cell>
          <cell r="AS40">
            <v>1028.8350871342363</v>
          </cell>
          <cell r="AT40">
            <v>2011</v>
          </cell>
          <cell r="AU40">
            <v>633.88120852724353</v>
          </cell>
          <cell r="AV40">
            <v>803.59313512774702</v>
          </cell>
          <cell r="AW40">
            <v>318.55585011561743</v>
          </cell>
          <cell r="AX40">
            <v>2012</v>
          </cell>
          <cell r="AY40">
            <v>1242.7981867169874</v>
          </cell>
          <cell r="AZ40">
            <v>1801.5367969173033</v>
          </cell>
          <cell r="BA40">
            <v>938.1145003971493</v>
          </cell>
          <cell r="BB40">
            <v>2013</v>
          </cell>
          <cell r="BC40">
            <v>951.88987834406771</v>
          </cell>
          <cell r="BD40">
            <v>1355.8629665466447</v>
          </cell>
          <cell r="BE40">
            <v>813.62173067595302</v>
          </cell>
          <cell r="BF40">
            <v>2013</v>
          </cell>
          <cell r="BG40">
            <v>6410.7790906174432</v>
          </cell>
          <cell r="BH40">
            <v>8954.1303242582035</v>
          </cell>
          <cell r="BI40">
            <v>4559.87041295994</v>
          </cell>
          <cell r="BJ40">
            <v>2011</v>
          </cell>
          <cell r="BK40">
            <v>254.00945608338765</v>
          </cell>
          <cell r="BL40">
            <v>305.8162871907175</v>
          </cell>
          <cell r="BM40">
            <v>106.32537073971278</v>
          </cell>
          <cell r="BN40">
            <v>2011</v>
          </cell>
          <cell r="BO40">
            <v>1904.6163994601991</v>
          </cell>
          <cell r="BP40">
            <v>3080.8642586626156</v>
          </cell>
          <cell r="BQ40">
            <v>1999.8472207941982</v>
          </cell>
          <cell r="BR40">
            <v>2010</v>
          </cell>
          <cell r="BS40">
            <v>116.96387643863217</v>
          </cell>
          <cell r="BT40">
            <v>180.51909050275336</v>
          </cell>
          <cell r="BU40">
            <v>92.751917066027659</v>
          </cell>
          <cell r="BV40">
            <v>2011</v>
          </cell>
          <cell r="BW40">
            <v>77.424172516553824</v>
          </cell>
          <cell r="BX40">
            <v>125.23958413558236</v>
          </cell>
          <cell r="BY40">
            <v>84.39404607733016</v>
          </cell>
          <cell r="BZ40">
            <v>2011</v>
          </cell>
          <cell r="CA40">
            <v>11917.698737926221</v>
          </cell>
          <cell r="CB40">
            <v>16314.256068123676</v>
          </cell>
          <cell r="CC40">
            <v>3181.095559234645</v>
          </cell>
          <cell r="CD40">
            <v>2017</v>
          </cell>
          <cell r="CE40">
            <v>1955.3051125773609</v>
          </cell>
          <cell r="CF40">
            <v>3162.8571711087616</v>
          </cell>
          <cell r="CG40">
            <v>2053.0703704376883</v>
          </cell>
          <cell r="CH40">
            <v>2010</v>
          </cell>
          <cell r="CI40">
            <v>1534.0570889860855</v>
          </cell>
          <cell r="CJ40">
            <v>2359.5394631311874</v>
          </cell>
          <cell r="CK40">
            <v>3759.6385900545047</v>
          </cell>
          <cell r="CL40">
            <v>2010</v>
          </cell>
          <cell r="CM40">
            <v>4222.7376435698243</v>
          </cell>
          <cell r="CN40">
            <v>6816.6884613886723</v>
          </cell>
          <cell r="CO40">
            <v>4470.97577661984</v>
          </cell>
          <cell r="CP40">
            <v>2012</v>
          </cell>
          <cell r="CQ40">
            <v>1968.7026497166237</v>
          </cell>
          <cell r="CR40">
            <v>3135.2621789307896</v>
          </cell>
          <cell r="CS40">
            <v>2077.5337739426673</v>
          </cell>
          <cell r="CT40">
            <v>2011</v>
          </cell>
          <cell r="CU40">
            <v>166.77495329051618</v>
          </cell>
          <cell r="CV40">
            <v>269.77137935086103</v>
          </cell>
          <cell r="CW40">
            <v>171.38635548797853</v>
          </cell>
          <cell r="CX40">
            <v>2012</v>
          </cell>
          <cell r="CY40">
            <v>1271.6407348325063</v>
          </cell>
          <cell r="CZ40">
            <v>2074.8235173015196</v>
          </cell>
          <cell r="DA40">
            <v>1242.2329403391316</v>
          </cell>
          <cell r="DB40">
            <v>2010</v>
          </cell>
          <cell r="DC40">
            <v>463.09603243767458</v>
          </cell>
          <cell r="DD40">
            <v>736.68196766206631</v>
          </cell>
          <cell r="DE40">
            <v>540.37000484123814</v>
          </cell>
          <cell r="DF40">
            <v>2013</v>
          </cell>
          <cell r="DG40">
            <v>681.40606257181014</v>
          </cell>
          <cell r="DH40">
            <v>1102.2269809363072</v>
          </cell>
          <cell r="DI40">
            <v>715.47636591754156</v>
          </cell>
          <cell r="DJ40">
            <v>2010</v>
          </cell>
          <cell r="DK40">
            <v>187.91893634583536</v>
          </cell>
          <cell r="DL40">
            <v>271.43845122964456</v>
          </cell>
          <cell r="DM40">
            <v>161.63203441485607</v>
          </cell>
          <cell r="DN40">
            <v>2012</v>
          </cell>
          <cell r="DO40">
            <v>142.79483258628605</v>
          </cell>
          <cell r="DP40">
            <v>230.98168040355228</v>
          </cell>
          <cell r="DQ40">
            <v>149.93457483968143</v>
          </cell>
          <cell r="DR40">
            <v>2010</v>
          </cell>
          <cell r="DS40">
            <v>564.08042254735756</v>
          </cell>
          <cell r="DT40">
            <v>869.35124529500843</v>
          </cell>
          <cell r="DU40">
            <v>453.58509720255944</v>
          </cell>
          <cell r="DV40">
            <v>2013</v>
          </cell>
          <cell r="DW40">
            <v>919.35654881621679</v>
          </cell>
          <cell r="DX40">
            <v>1467.2554304790538</v>
          </cell>
          <cell r="DY40">
            <v>475.60597898863909</v>
          </cell>
          <cell r="DZ40">
            <v>2012</v>
          </cell>
          <cell r="EA40">
            <v>720.46083324349274</v>
          </cell>
          <cell r="EB40">
            <v>958.26798016783414</v>
          </cell>
          <cell r="EC40">
            <v>426.893370941287</v>
          </cell>
          <cell r="ED40">
            <v>2011</v>
          </cell>
          <cell r="EE40">
            <v>618.8704984999797</v>
          </cell>
          <cell r="EF40">
            <v>952.28430088670223</v>
          </cell>
          <cell r="EG40">
            <v>627.20521532352586</v>
          </cell>
          <cell r="EH40">
            <v>2012</v>
          </cell>
          <cell r="EI40">
            <v>1953.3528383288738</v>
          </cell>
          <cell r="EJ40">
            <v>3159.6992156595225</v>
          </cell>
          <cell r="EK40">
            <v>2051.0204813029522</v>
          </cell>
          <cell r="EL40">
            <v>2010</v>
          </cell>
          <cell r="EM40">
            <v>248.4180233026629</v>
          </cell>
          <cell r="EN40">
            <v>349.58650613287955</v>
          </cell>
          <cell r="EO40">
            <v>89.230041183514132</v>
          </cell>
          <cell r="EP40">
            <v>2013</v>
          </cell>
          <cell r="EQ40">
            <v>179.51795405139308</v>
          </cell>
          <cell r="ER40">
            <v>273.79642695195042</v>
          </cell>
          <cell r="ES40">
            <v>184.17445562651139</v>
          </cell>
          <cell r="ET40">
            <v>2013</v>
          </cell>
          <cell r="EU40">
            <v>899.74812101717191</v>
          </cell>
          <cell r="EV40">
            <v>1115.5881151094427</v>
          </cell>
          <cell r="EW40">
            <v>304.79032901263582</v>
          </cell>
          <cell r="EX40">
            <v>2010</v>
          </cell>
          <cell r="EY40">
            <v>972.68343336514499</v>
          </cell>
          <cell r="EZ40">
            <v>1225.4926056493971</v>
          </cell>
          <cell r="FA40">
            <v>400.54142711926028</v>
          </cell>
          <cell r="FB40">
            <v>2010</v>
          </cell>
          <cell r="FC40">
            <v>437.18189525995871</v>
          </cell>
          <cell r="FD40">
            <v>707.17551115283698</v>
          </cell>
          <cell r="FE40">
            <v>459.04099074309045</v>
          </cell>
          <cell r="FF40">
            <v>2010</v>
          </cell>
          <cell r="FG40">
            <v>16824.899293132581</v>
          </cell>
          <cell r="FH40">
            <v>27987.321139864216</v>
          </cell>
          <cell r="FI40">
            <v>14182.072578685216</v>
          </cell>
          <cell r="FJ40">
            <v>2010</v>
          </cell>
          <cell r="FK40">
            <v>687.79603537153992</v>
          </cell>
          <cell r="FL40">
            <v>1112.5632556943333</v>
          </cell>
          <cell r="FM40">
            <v>799.0400980922426</v>
          </cell>
          <cell r="FN40">
            <v>2013</v>
          </cell>
          <cell r="FO40">
            <v>117.60312735423348</v>
          </cell>
          <cell r="FP40">
            <v>179.99111603360339</v>
          </cell>
          <cell r="FQ40">
            <v>92.559209083419319</v>
          </cell>
          <cell r="FR40">
            <v>2011</v>
          </cell>
          <cell r="FS40">
            <v>1104.8322307911424</v>
          </cell>
          <cell r="FT40">
            <v>1529.8009905589329</v>
          </cell>
          <cell r="FU40">
            <v>821.38645844323855</v>
          </cell>
          <cell r="FV40">
            <v>2011</v>
          </cell>
          <cell r="FW40">
            <v>1215.5189094204227</v>
          </cell>
          <cell r="FX40">
            <v>1659.3997125155354</v>
          </cell>
          <cell r="FY40">
            <v>742.41937639062201</v>
          </cell>
          <cell r="FZ40">
            <v>2013</v>
          </cell>
          <cell r="GA40">
            <v>1214.6194078906374</v>
          </cell>
          <cell r="GB40">
            <v>1808.0973684689488</v>
          </cell>
          <cell r="GC40">
            <v>1228.688932689065</v>
          </cell>
          <cell r="GD40">
            <v>2013</v>
          </cell>
          <cell r="GE40">
            <v>5450.1399459072773</v>
          </cell>
          <cell r="GF40">
            <v>6754.0601578742217</v>
          </cell>
          <cell r="GG40">
            <v>2438.7297588777533</v>
          </cell>
          <cell r="GH40">
            <v>2011</v>
          </cell>
          <cell r="GI40">
            <v>356.23304358747242</v>
          </cell>
          <cell r="GJ40">
            <v>527.70717652795395</v>
          </cell>
          <cell r="GK40">
            <v>223.80882097116668</v>
          </cell>
          <cell r="GL40">
            <v>2013</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row>
        <row r="41">
          <cell r="B41" t="str">
            <v>95%</v>
          </cell>
          <cell r="C41">
            <v>648.59871740166818</v>
          </cell>
          <cell r="D41">
            <v>763.02139659619604</v>
          </cell>
          <cell r="E41">
            <v>225.45793204564899</v>
          </cell>
          <cell r="F41">
            <v>2012</v>
          </cell>
          <cell r="G41">
            <v>1321.0683248514324</v>
          </cell>
          <cell r="H41">
            <v>2136.9301381654295</v>
          </cell>
          <cell r="I41">
            <v>1444.6656942443058</v>
          </cell>
          <cell r="J41">
            <v>2011</v>
          </cell>
          <cell r="K41">
            <v>705.49417401850212</v>
          </cell>
          <cell r="L41">
            <v>1086.0065213827777</v>
          </cell>
          <cell r="M41">
            <v>708.60356791265349</v>
          </cell>
          <cell r="N41">
            <v>2012</v>
          </cell>
          <cell r="O41">
            <v>2357.0747134169474</v>
          </cell>
          <cell r="P41">
            <v>3812.7505577548677</v>
          </cell>
          <cell r="Q41">
            <v>2474.9284500625222</v>
          </cell>
          <cell r="R41">
            <v>2010</v>
          </cell>
          <cell r="S41">
            <v>1079.7115568690429</v>
          </cell>
          <cell r="T41">
            <v>1299.1813834018117</v>
          </cell>
          <cell r="U41">
            <v>435.60763937963725</v>
          </cell>
          <cell r="V41">
            <v>2011</v>
          </cell>
          <cell r="W41">
            <v>1224.8121178812123</v>
          </cell>
          <cell r="X41">
            <v>1451.6824948055928</v>
          </cell>
          <cell r="Y41">
            <v>3613.7277409507374</v>
          </cell>
          <cell r="Z41">
            <v>2011</v>
          </cell>
          <cell r="AA41">
            <v>8368.4003929072205</v>
          </cell>
          <cell r="AB41">
            <v>11101.467512439564</v>
          </cell>
          <cell r="AC41">
            <v>5295.1857660065325</v>
          </cell>
          <cell r="AD41">
            <v>2012</v>
          </cell>
          <cell r="AE41">
            <v>1265.6538921151855</v>
          </cell>
          <cell r="AF41">
            <v>1629.0067165596727</v>
          </cell>
          <cell r="AG41">
            <v>696.05601602485717</v>
          </cell>
          <cell r="AH41">
            <v>2011</v>
          </cell>
          <cell r="AI41">
            <v>1554.643000797899</v>
          </cell>
          <cell r="AJ41">
            <v>1968.3729700158401</v>
          </cell>
          <cell r="AK41">
            <v>687.3884518756156</v>
          </cell>
          <cell r="AL41">
            <v>2013</v>
          </cell>
          <cell r="AM41">
            <v>112.02581220461738</v>
          </cell>
          <cell r="AN41">
            <v>160.67264176944127</v>
          </cell>
          <cell r="AO41">
            <v>95.448525102042638</v>
          </cell>
          <cell r="AP41">
            <v>2011</v>
          </cell>
          <cell r="AQ41">
            <v>3242.6188419192667</v>
          </cell>
          <cell r="AR41">
            <v>4074.5838637214065</v>
          </cell>
          <cell r="AS41">
            <v>1051.8464621124335</v>
          </cell>
          <cell r="AT41">
            <v>2011</v>
          </cell>
          <cell r="AU41">
            <v>727.42215296080064</v>
          </cell>
          <cell r="AV41">
            <v>891.93021995063941</v>
          </cell>
          <cell r="AW41">
            <v>321.08464842740324</v>
          </cell>
          <cell r="AX41">
            <v>2012</v>
          </cell>
          <cell r="AY41">
            <v>1334.4726348713036</v>
          </cell>
          <cell r="AZ41">
            <v>1885.3194393980198</v>
          </cell>
          <cell r="BA41">
            <v>951.77733546811771</v>
          </cell>
          <cell r="BB41">
            <v>2013</v>
          </cell>
          <cell r="BC41">
            <v>1054.2552156660363</v>
          </cell>
          <cell r="BD41">
            <v>1472.0348226660578</v>
          </cell>
          <cell r="BE41">
            <v>829.84132695712958</v>
          </cell>
          <cell r="BF41">
            <v>2013</v>
          </cell>
          <cell r="BG41">
            <v>6600.7452839948382</v>
          </cell>
          <cell r="BH41">
            <v>9164.071438097264</v>
          </cell>
          <cell r="BI41">
            <v>4617.8983952481594</v>
          </cell>
          <cell r="BJ41">
            <v>2011</v>
          </cell>
          <cell r="BK41">
            <v>265.50391872251379</v>
          </cell>
          <cell r="BL41">
            <v>319.78223648584532</v>
          </cell>
          <cell r="BM41">
            <v>109.29937835018984</v>
          </cell>
          <cell r="BN41">
            <v>2011</v>
          </cell>
          <cell r="BO41">
            <v>1948.5322272908552</v>
          </cell>
          <cell r="BP41">
            <v>3151.9015047740245</v>
          </cell>
          <cell r="BQ41">
            <v>2045.9588386123332</v>
          </cell>
          <cell r="BR41">
            <v>2010</v>
          </cell>
          <cell r="BS41">
            <v>124.89052520328264</v>
          </cell>
          <cell r="BT41">
            <v>186.86315097523325</v>
          </cell>
          <cell r="BU41">
            <v>94.976084103798854</v>
          </cell>
          <cell r="BV41">
            <v>2011</v>
          </cell>
          <cell r="BW41">
            <v>79.991933748442406</v>
          </cell>
          <cell r="BX41">
            <v>129.39313555478898</v>
          </cell>
          <cell r="BY41">
            <v>86.251230971250592</v>
          </cell>
          <cell r="BZ41">
            <v>2011</v>
          </cell>
          <cell r="CA41">
            <v>12657.706792165134</v>
          </cell>
          <cell r="CB41">
            <v>16949.353317518071</v>
          </cell>
          <cell r="CC41">
            <v>3221.4760732258414</v>
          </cell>
          <cell r="CD41">
            <v>2017</v>
          </cell>
          <cell r="CE41">
            <v>2141.4046920678879</v>
          </cell>
          <cell r="CF41">
            <v>3463.8876259781596</v>
          </cell>
          <cell r="CG41">
            <v>2248.4749269333001</v>
          </cell>
          <cell r="CH41">
            <v>2010</v>
          </cell>
          <cell r="CI41">
            <v>1645.4666626592193</v>
          </cell>
          <cell r="CJ41">
            <v>2546.0319596132649</v>
          </cell>
          <cell r="CK41">
            <v>3841.5723186157898</v>
          </cell>
          <cell r="CL41">
            <v>2010</v>
          </cell>
          <cell r="CM41">
            <v>6729.4333395918447</v>
          </cell>
          <cell r="CN41">
            <v>9114.6500064050306</v>
          </cell>
          <cell r="CO41">
            <v>4546.7699769752153</v>
          </cell>
          <cell r="CP41">
            <v>2012</v>
          </cell>
          <cell r="CQ41">
            <v>2093.5384696022629</v>
          </cell>
          <cell r="CR41">
            <v>3290.7553457892373</v>
          </cell>
          <cell r="CS41">
            <v>2184.5600886530424</v>
          </cell>
          <cell r="CT41">
            <v>2011</v>
          </cell>
          <cell r="CU41">
            <v>2425.8275455399039</v>
          </cell>
          <cell r="CV41">
            <v>2498.2458407996428</v>
          </cell>
          <cell r="CW41">
            <v>182.98324606853663</v>
          </cell>
          <cell r="CX41">
            <v>2012</v>
          </cell>
          <cell r="CY41">
            <v>1304.812814222824</v>
          </cell>
          <cell r="CZ41">
            <v>2128.902831322835</v>
          </cell>
          <cell r="DA41">
            <v>1277.9426364014391</v>
          </cell>
          <cell r="DB41">
            <v>2010</v>
          </cell>
          <cell r="DC41">
            <v>472.99299626404456</v>
          </cell>
          <cell r="DD41">
            <v>752.76485993311746</v>
          </cell>
          <cell r="DE41">
            <v>551.89173388630718</v>
          </cell>
          <cell r="DF41">
            <v>2013</v>
          </cell>
          <cell r="DG41">
            <v>692.4238423214772</v>
          </cell>
          <cell r="DH41">
            <v>1120.0490908776537</v>
          </cell>
          <cell r="DI41">
            <v>727.04503270346663</v>
          </cell>
          <cell r="DJ41">
            <v>2010</v>
          </cell>
          <cell r="DK41">
            <v>200.43132310772896</v>
          </cell>
          <cell r="DL41">
            <v>284.86775799321964</v>
          </cell>
          <cell r="DM41">
            <v>162.8739035801822</v>
          </cell>
          <cell r="DN41">
            <v>2012</v>
          </cell>
          <cell r="DO41">
            <v>147.1802461851652</v>
          </cell>
          <cell r="DP41">
            <v>238.07542531655787</v>
          </cell>
          <cell r="DQ41">
            <v>154.53925782663558</v>
          </cell>
          <cell r="DR41">
            <v>2010</v>
          </cell>
          <cell r="DS41">
            <v>579.7296817931292</v>
          </cell>
          <cell r="DT41">
            <v>887.5412382296339</v>
          </cell>
          <cell r="DU41">
            <v>467.16996214530116</v>
          </cell>
          <cell r="DV41">
            <v>2013</v>
          </cell>
          <cell r="DW41">
            <v>935.28732032222126</v>
          </cell>
          <cell r="DX41">
            <v>1496.5667968316798</v>
          </cell>
          <cell r="DY41">
            <v>486.3513688347204</v>
          </cell>
          <cell r="DZ41">
            <v>2012</v>
          </cell>
          <cell r="EA41">
            <v>752.70908109442257</v>
          </cell>
          <cell r="EB41">
            <v>991.21481463202792</v>
          </cell>
          <cell r="EC41">
            <v>432.30632765404886</v>
          </cell>
          <cell r="ED41">
            <v>2011</v>
          </cell>
          <cell r="EE41">
            <v>644.79773672118165</v>
          </cell>
          <cell r="EF41">
            <v>986.59900322326894</v>
          </cell>
          <cell r="EG41">
            <v>645.97596672585371</v>
          </cell>
          <cell r="EH41">
            <v>2012</v>
          </cell>
          <cell r="EI41">
            <v>2145.4757477681092</v>
          </cell>
          <cell r="EJ41">
            <v>3470.4728734233599</v>
          </cell>
          <cell r="EK41">
            <v>2252.749536945335</v>
          </cell>
          <cell r="EL41">
            <v>2010</v>
          </cell>
          <cell r="EM41">
            <v>252.30411385302347</v>
          </cell>
          <cell r="EN41">
            <v>353.95373038710329</v>
          </cell>
          <cell r="EO41">
            <v>91.393647689227961</v>
          </cell>
          <cell r="EP41">
            <v>2013</v>
          </cell>
          <cell r="EQ41">
            <v>183.74415020861065</v>
          </cell>
          <cell r="ER41">
            <v>279.58603893136268</v>
          </cell>
          <cell r="ES41">
            <v>188.7493440866204</v>
          </cell>
          <cell r="ET41">
            <v>2013</v>
          </cell>
          <cell r="EU41">
            <v>950.10519393381662</v>
          </cell>
          <cell r="EV41">
            <v>1181.0996659342334</v>
          </cell>
          <cell r="EW41">
            <v>313.58791363540729</v>
          </cell>
          <cell r="EX41">
            <v>2010</v>
          </cell>
          <cell r="EY41">
            <v>1020.3466591747406</v>
          </cell>
          <cell r="EZ41">
            <v>1306.3187430677929</v>
          </cell>
          <cell r="FA41">
            <v>411.43708000455166</v>
          </cell>
          <cell r="FB41">
            <v>2010</v>
          </cell>
          <cell r="FC41">
            <v>447.55126534266799</v>
          </cell>
          <cell r="FD41">
            <v>723.94876889852367</v>
          </cell>
          <cell r="FE41">
            <v>469.9288299715094</v>
          </cell>
          <cell r="FF41">
            <v>2010</v>
          </cell>
          <cell r="FG41">
            <v>16962.488197977756</v>
          </cell>
          <cell r="FH41">
            <v>28208.665474545418</v>
          </cell>
          <cell r="FI41">
            <v>14287.188590202568</v>
          </cell>
          <cell r="FJ41">
            <v>2010</v>
          </cell>
          <cell r="FK41">
            <v>4716.9508030704637</v>
          </cell>
          <cell r="FL41">
            <v>5044.3624673035465</v>
          </cell>
          <cell r="FM41">
            <v>827.35094501613526</v>
          </cell>
          <cell r="FN41">
            <v>2013</v>
          </cell>
          <cell r="FO41">
            <v>121.72825754138231</v>
          </cell>
          <cell r="FP41">
            <v>185.21605562512889</v>
          </cell>
          <cell r="FQ41">
            <v>95.110584306178254</v>
          </cell>
          <cell r="FR41">
            <v>2011</v>
          </cell>
          <cell r="FS41">
            <v>1167.7085432142014</v>
          </cell>
          <cell r="FT41">
            <v>1614.2356261575751</v>
          </cell>
          <cell r="FU41">
            <v>836.14970787796949</v>
          </cell>
          <cell r="FV41">
            <v>2011</v>
          </cell>
          <cell r="FW41">
            <v>1290.067175896058</v>
          </cell>
          <cell r="FX41">
            <v>1737.9498310146103</v>
          </cell>
          <cell r="FY41">
            <v>754.83369749710494</v>
          </cell>
          <cell r="FZ41">
            <v>2013</v>
          </cell>
          <cell r="GA41">
            <v>1277.4827980542905</v>
          </cell>
          <cell r="GB41">
            <v>1895.9554753227462</v>
          </cell>
          <cell r="GC41">
            <v>1254.3943085452784</v>
          </cell>
          <cell r="GD41">
            <v>2013</v>
          </cell>
          <cell r="GE41">
            <v>5733.7297596404414</v>
          </cell>
          <cell r="GF41">
            <v>7039.4632123164965</v>
          </cell>
          <cell r="GG41">
            <v>2508.5518496966865</v>
          </cell>
          <cell r="GH41">
            <v>2011</v>
          </cell>
          <cell r="GI41">
            <v>364.37473633962389</v>
          </cell>
          <cell r="GJ41">
            <v>537.73404345281153</v>
          </cell>
          <cell r="GK41">
            <v>230.75529903022391</v>
          </cell>
          <cell r="GL41">
            <v>2013</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row>
        <row r="42">
          <cell r="B42" t="str">
            <v>100%</v>
          </cell>
          <cell r="C42">
            <v>718.28840164066435</v>
          </cell>
          <cell r="D42">
            <v>836.0177542660723</v>
          </cell>
          <cell r="E42">
            <v>229.40414082653592</v>
          </cell>
          <cell r="F42">
            <v>2012</v>
          </cell>
          <cell r="G42">
            <v>12957.472813987581</v>
          </cell>
          <cell r="H42">
            <v>13632.612250847529</v>
          </cell>
          <cell r="I42">
            <v>1509.9044010427847</v>
          </cell>
          <cell r="J42">
            <v>2011</v>
          </cell>
          <cell r="K42">
            <v>775.57034447558226</v>
          </cell>
          <cell r="L42">
            <v>1192.4300673342436</v>
          </cell>
          <cell r="M42">
            <v>752.8217302995987</v>
          </cell>
          <cell r="N42">
            <v>2012</v>
          </cell>
          <cell r="O42">
            <v>2749.0303992728359</v>
          </cell>
          <cell r="P42">
            <v>4446.7691783249511</v>
          </cell>
          <cell r="Q42">
            <v>2886.4819180090799</v>
          </cell>
          <cell r="R42">
            <v>2010</v>
          </cell>
          <cell r="S42">
            <v>1341.5770398114487</v>
          </cell>
          <cell r="T42">
            <v>1574.5096969393078</v>
          </cell>
          <cell r="U42">
            <v>463.30781605309028</v>
          </cell>
          <cell r="V42">
            <v>2011</v>
          </cell>
          <cell r="W42">
            <v>1459.5661740196037</v>
          </cell>
          <cell r="X42">
            <v>1858.6456850688739</v>
          </cell>
          <cell r="Y42">
            <v>3792.9015241680213</v>
          </cell>
          <cell r="Z42">
            <v>2011</v>
          </cell>
          <cell r="AA42">
            <v>10715.623004826466</v>
          </cell>
          <cell r="AB42">
            <v>13655.611378382373</v>
          </cell>
          <cell r="AC42">
            <v>5491.8982988542175</v>
          </cell>
          <cell r="AD42">
            <v>2012</v>
          </cell>
          <cell r="AE42">
            <v>1413.9766474916607</v>
          </cell>
          <cell r="AF42">
            <v>1817.0770369031586</v>
          </cell>
          <cell r="AG42">
            <v>723.03886030296735</v>
          </cell>
          <cell r="AH42">
            <v>2011</v>
          </cell>
          <cell r="AI42">
            <v>2004.6584597425167</v>
          </cell>
          <cell r="AJ42">
            <v>2411.4174607492864</v>
          </cell>
          <cell r="AK42">
            <v>708.30717377953977</v>
          </cell>
          <cell r="AL42">
            <v>2013</v>
          </cell>
          <cell r="AM42">
            <v>149.6568382854187</v>
          </cell>
          <cell r="AN42">
            <v>206.69278664467856</v>
          </cell>
          <cell r="AO42">
            <v>101.17187934653407</v>
          </cell>
          <cell r="AP42">
            <v>2011</v>
          </cell>
          <cell r="AQ42">
            <v>4153.2656147810803</v>
          </cell>
          <cell r="AR42">
            <v>5056.7498542852163</v>
          </cell>
          <cell r="AS42">
            <v>1107.2754056682049</v>
          </cell>
          <cell r="AT42">
            <v>2011</v>
          </cell>
          <cell r="AU42">
            <v>795.56666634011265</v>
          </cell>
          <cell r="AV42">
            <v>963.41323158251384</v>
          </cell>
          <cell r="AW42">
            <v>326.3394091332147</v>
          </cell>
          <cell r="AX42">
            <v>2012</v>
          </cell>
          <cell r="AY42">
            <v>1537.1486935284279</v>
          </cell>
          <cell r="AZ42">
            <v>2096.8847211892316</v>
          </cell>
          <cell r="BA42">
            <v>980.31635360140842</v>
          </cell>
          <cell r="BB42">
            <v>2013</v>
          </cell>
          <cell r="BC42">
            <v>1241.4190445711267</v>
          </cell>
          <cell r="BD42">
            <v>1695.7443863141061</v>
          </cell>
          <cell r="BE42">
            <v>862.06995809841032</v>
          </cell>
          <cell r="BF42">
            <v>2013</v>
          </cell>
          <cell r="BG42">
            <v>7103.3451137300808</v>
          </cell>
          <cell r="BH42">
            <v>9774.3571379528839</v>
          </cell>
          <cell r="BI42">
            <v>4767.8706393038283</v>
          </cell>
          <cell r="BJ42">
            <v>2011</v>
          </cell>
          <cell r="BK42">
            <v>299.40618197441097</v>
          </cell>
          <cell r="BL42">
            <v>364.44125014925635</v>
          </cell>
          <cell r="BM42">
            <v>116.10070992981055</v>
          </cell>
          <cell r="BN42">
            <v>2011</v>
          </cell>
          <cell r="BO42">
            <v>2050.2445683508172</v>
          </cell>
          <cell r="BP42">
            <v>3316.4290782105481</v>
          </cell>
          <cell r="BQ42">
            <v>2152.7567937976687</v>
          </cell>
          <cell r="BR42">
            <v>2010</v>
          </cell>
          <cell r="BS42">
            <v>153.94392480538346</v>
          </cell>
          <cell r="BT42">
            <v>221.49000564753251</v>
          </cell>
          <cell r="BU42">
            <v>101.74614604172292</v>
          </cell>
          <cell r="BV42">
            <v>2011</v>
          </cell>
          <cell r="BW42">
            <v>1988.6860091454121</v>
          </cell>
          <cell r="BX42">
            <v>2031.0737623466778</v>
          </cell>
          <cell r="BY42">
            <v>90.956286123230228</v>
          </cell>
          <cell r="BZ42">
            <v>2011</v>
          </cell>
          <cell r="CA42">
            <v>15104.364960671272</v>
          </cell>
          <cell r="CB42">
            <v>20019.236004745992</v>
          </cell>
          <cell r="CC42">
            <v>3312.8030265449902</v>
          </cell>
          <cell r="CD42">
            <v>2017</v>
          </cell>
          <cell r="CE42">
            <v>2494.3501904996206</v>
          </cell>
          <cell r="CF42">
            <v>4034.8042535161003</v>
          </cell>
          <cell r="CG42">
            <v>2619.0676986269245</v>
          </cell>
          <cell r="CH42">
            <v>2010</v>
          </cell>
          <cell r="CI42">
            <v>1951.1488481504994</v>
          </cell>
          <cell r="CJ42">
            <v>3047.3776628421124</v>
          </cell>
          <cell r="CK42">
            <v>3987.2392969370576</v>
          </cell>
          <cell r="CL42">
            <v>2010</v>
          </cell>
          <cell r="CM42">
            <v>8593.1871840348322</v>
          </cell>
          <cell r="CN42">
            <v>11131.012586687273</v>
          </cell>
          <cell r="CO42">
            <v>4728.1080168565077</v>
          </cell>
          <cell r="CP42">
            <v>2012</v>
          </cell>
          <cell r="CQ42">
            <v>2982.5305049387152</v>
          </cell>
          <cell r="CR42">
            <v>4302.1886528735558</v>
          </cell>
          <cell r="CS42">
            <v>2434.2715124284246</v>
          </cell>
          <cell r="CT42">
            <v>2011</v>
          </cell>
          <cell r="CU42">
            <v>3890.5463630720506</v>
          </cell>
          <cell r="CV42">
            <v>3987.3356583239774</v>
          </cell>
          <cell r="CW42">
            <v>210.37502896367985</v>
          </cell>
          <cell r="CX42">
            <v>2012</v>
          </cell>
          <cell r="CY42">
            <v>1366.6529325130525</v>
          </cell>
          <cell r="CZ42">
            <v>2228.8662299370799</v>
          </cell>
          <cell r="DA42">
            <v>1343.2165082466604</v>
          </cell>
          <cell r="DB42">
            <v>2010</v>
          </cell>
          <cell r="DC42">
            <v>500.02944033131917</v>
          </cell>
          <cell r="DD42">
            <v>788.29628584211832</v>
          </cell>
          <cell r="DE42">
            <v>579.61113170713941</v>
          </cell>
          <cell r="DF42">
            <v>2013</v>
          </cell>
          <cell r="DG42">
            <v>713.69345942653604</v>
          </cell>
          <cell r="DH42">
            <v>1154.4543401861788</v>
          </cell>
          <cell r="DI42">
            <v>749.37812850847035</v>
          </cell>
          <cell r="DJ42">
            <v>2010</v>
          </cell>
          <cell r="DK42">
            <v>212.93923572549724</v>
          </cell>
          <cell r="DL42">
            <v>299.72387707877709</v>
          </cell>
          <cell r="DM42">
            <v>165.67953557749422</v>
          </cell>
          <cell r="DN42">
            <v>2012</v>
          </cell>
          <cell r="DO42">
            <v>157.02595082251739</v>
          </cell>
          <cell r="DP42">
            <v>254.00161431880991</v>
          </cell>
          <cell r="DQ42">
            <v>164.87724992311524</v>
          </cell>
          <cell r="DR42">
            <v>2010</v>
          </cell>
          <cell r="DS42">
            <v>678.49334091428966</v>
          </cell>
          <cell r="DT42">
            <v>1006.6007654728791</v>
          </cell>
          <cell r="DU42">
            <v>497.53969579462301</v>
          </cell>
          <cell r="DV42">
            <v>2013</v>
          </cell>
          <cell r="DW42">
            <v>999.6395193904882</v>
          </cell>
          <cell r="DX42">
            <v>1604.0760358699583</v>
          </cell>
          <cell r="DY42">
            <v>510.61545704143896</v>
          </cell>
          <cell r="DZ42">
            <v>2012</v>
          </cell>
          <cell r="EA42">
            <v>824.07013009536752</v>
          </cell>
          <cell r="EB42">
            <v>1078.8766226493667</v>
          </cell>
          <cell r="EC42">
            <v>445.60971616510415</v>
          </cell>
          <cell r="ED42">
            <v>2011</v>
          </cell>
          <cell r="EE42">
            <v>720.38696187749758</v>
          </cell>
          <cell r="EF42">
            <v>1107.2946131877131</v>
          </cell>
          <cell r="EG42">
            <v>692.73547840612264</v>
          </cell>
          <cell r="EH42">
            <v>2012</v>
          </cell>
          <cell r="EI42">
            <v>2533.5660591139249</v>
          </cell>
          <cell r="EJ42">
            <v>4098.2389522981875</v>
          </cell>
          <cell r="EK42">
            <v>2660.2443638900863</v>
          </cell>
          <cell r="EL42">
            <v>2010</v>
          </cell>
          <cell r="EM42">
            <v>266.58527494091862</v>
          </cell>
          <cell r="EN42">
            <v>374.09705420374354</v>
          </cell>
          <cell r="EO42">
            <v>98.605136969192969</v>
          </cell>
          <cell r="EP42">
            <v>2013</v>
          </cell>
          <cell r="EQ42">
            <v>190.89842636564231</v>
          </cell>
          <cell r="ER42">
            <v>289.85441709431421</v>
          </cell>
          <cell r="ES42">
            <v>196.26978948468565</v>
          </cell>
          <cell r="ET42">
            <v>2013</v>
          </cell>
          <cell r="EU42">
            <v>1019.4311183535442</v>
          </cell>
          <cell r="EV42">
            <v>1285.2402104731414</v>
          </cell>
          <cell r="EW42">
            <v>334.01812328989962</v>
          </cell>
          <cell r="EX42">
            <v>2010</v>
          </cell>
          <cell r="EY42">
            <v>1133.8099554351529</v>
          </cell>
          <cell r="EZ42">
            <v>1455.5446728293923</v>
          </cell>
          <cell r="FA42">
            <v>439.33873793098701</v>
          </cell>
          <cell r="FB42">
            <v>2010</v>
          </cell>
          <cell r="FC42">
            <v>469.77234929976623</v>
          </cell>
          <cell r="FD42">
            <v>759.89308994254736</v>
          </cell>
          <cell r="FE42">
            <v>493.26096799734165</v>
          </cell>
          <cell r="FF42">
            <v>2010</v>
          </cell>
          <cell r="FG42">
            <v>17771.695784632277</v>
          </cell>
          <cell r="FH42">
            <v>29590.239826023389</v>
          </cell>
          <cell r="FI42">
            <v>14757.329593609071</v>
          </cell>
          <cell r="FJ42">
            <v>2010</v>
          </cell>
          <cell r="FK42">
            <v>8837.4873655489992</v>
          </cell>
          <cell r="FL42">
            <v>9220.1515865773963</v>
          </cell>
          <cell r="FM42">
            <v>899.59099242246054</v>
          </cell>
          <cell r="FN42">
            <v>2013</v>
          </cell>
          <cell r="FO42">
            <v>144.23333624955634</v>
          </cell>
          <cell r="FP42">
            <v>210.44321163932528</v>
          </cell>
          <cell r="FQ42">
            <v>100.73599938075203</v>
          </cell>
          <cell r="FR42">
            <v>2011</v>
          </cell>
          <cell r="FS42">
            <v>1298.0231587810431</v>
          </cell>
          <cell r="FT42">
            <v>1787.5266895962263</v>
          </cell>
          <cell r="FU42">
            <v>866.44741777501076</v>
          </cell>
          <cell r="FV42">
            <v>2011</v>
          </cell>
          <cell r="FW42">
            <v>1446.5794487604762</v>
          </cell>
          <cell r="FX42">
            <v>1924.4149292799284</v>
          </cell>
          <cell r="FY42">
            <v>777.53121061522529</v>
          </cell>
          <cell r="FZ42">
            <v>2013</v>
          </cell>
          <cell r="GA42">
            <v>1405.523797669757</v>
          </cell>
          <cell r="GB42">
            <v>2104.4111878567132</v>
          </cell>
          <cell r="GC42">
            <v>1307.1619508412798</v>
          </cell>
          <cell r="GD42">
            <v>2013</v>
          </cell>
          <cell r="GE42">
            <v>6624.0414782575654</v>
          </cell>
          <cell r="GF42">
            <v>8096.7007785376709</v>
          </cell>
          <cell r="GG42">
            <v>2687.2844568053638</v>
          </cell>
          <cell r="GH42">
            <v>2011</v>
          </cell>
          <cell r="GI42">
            <v>383.10428539608682</v>
          </cell>
          <cell r="GJ42">
            <v>565.40664952805093</v>
          </cell>
          <cell r="GK42">
            <v>244.63896810237043</v>
          </cell>
          <cell r="GL42">
            <v>2013</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row>
        <row r="43">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row>
        <row r="45">
          <cell r="B45" t="str">
            <v>Statistics</v>
          </cell>
          <cell r="C45" t="str">
            <v>IS-1-20 Yr NPV</v>
          </cell>
          <cell r="D45" t="str">
            <v>IS-1-40 Yr NPV</v>
          </cell>
          <cell r="E45" t="str">
            <v>IS-1-Capital Cost</v>
          </cell>
          <cell r="F45" t="str">
            <v>IS-1-Install Year</v>
          </cell>
          <cell r="G45" t="str">
            <v>IS-2-20 Yr NPV</v>
          </cell>
          <cell r="H45" t="str">
            <v>IS-2-40 Yr NPV</v>
          </cell>
          <cell r="I45" t="str">
            <v>IS-2-Capital Cost</v>
          </cell>
          <cell r="J45" t="str">
            <v>IS-2-Install Year</v>
          </cell>
          <cell r="K45" t="str">
            <v>IS-3-20 Yr NPV</v>
          </cell>
          <cell r="L45" t="str">
            <v>IS-3-40 Yr NPV</v>
          </cell>
          <cell r="M45" t="str">
            <v>IS-3-Capital Cost</v>
          </cell>
          <cell r="N45" t="str">
            <v>IS-3-Install Year</v>
          </cell>
          <cell r="O45" t="str">
            <v>IS-4-20 Yr NPV</v>
          </cell>
          <cell r="P45" t="str">
            <v>IS-4-40 Yr NPV</v>
          </cell>
          <cell r="Q45" t="str">
            <v>IS-4-Capital Cost</v>
          </cell>
          <cell r="R45" t="str">
            <v>IS-4-Install Year</v>
          </cell>
          <cell r="S45" t="str">
            <v>IS-5-20 Yr NPV</v>
          </cell>
          <cell r="T45" t="str">
            <v>IS-5-40 Yr NPV</v>
          </cell>
          <cell r="U45" t="str">
            <v>IS-5-Capital Cost</v>
          </cell>
          <cell r="V45" t="str">
            <v>IS-5-Install Year</v>
          </cell>
          <cell r="W45" t="str">
            <v>IS-6-20 Yr NPV</v>
          </cell>
          <cell r="X45" t="str">
            <v>IS-6-40 Yr NPV</v>
          </cell>
          <cell r="Y45" t="str">
            <v>IS-6-Capital Cost</v>
          </cell>
          <cell r="Z45" t="str">
            <v>IS-6-Install Year</v>
          </cell>
          <cell r="AA45" t="str">
            <v>MS-1-20 Yr NPV</v>
          </cell>
          <cell r="AB45" t="str">
            <v>MS-1-40 Yr NPV</v>
          </cell>
          <cell r="AC45" t="str">
            <v>MS-1-Capital Cost</v>
          </cell>
          <cell r="AD45" t="str">
            <v>MS-1-Install Year</v>
          </cell>
          <cell r="AE45" t="str">
            <v>MS-10-20 Yr NPV</v>
          </cell>
          <cell r="AF45" t="str">
            <v>MS-10-40 Yr NPV</v>
          </cell>
          <cell r="AG45" t="str">
            <v>MS-10-Capital Cost</v>
          </cell>
          <cell r="AH45" t="str">
            <v>MS-10-Install Year</v>
          </cell>
          <cell r="AI45" t="str">
            <v>MS-11-20 Yr NPV</v>
          </cell>
          <cell r="AJ45" t="str">
            <v>MS-11-40 Yr NPV</v>
          </cell>
          <cell r="AK45" t="str">
            <v>MS-11-Capital Cost</v>
          </cell>
          <cell r="AL45" t="str">
            <v>MS-11-Install Year</v>
          </cell>
          <cell r="AM45" t="str">
            <v>MS-2-20 Yr NPV</v>
          </cell>
          <cell r="AN45" t="str">
            <v>MS-2-40 Yr NPV</v>
          </cell>
          <cell r="AO45" t="str">
            <v>MS-2-Capital Cost</v>
          </cell>
          <cell r="AP45" t="str">
            <v>MS-2-Install Year</v>
          </cell>
          <cell r="AQ45" t="str">
            <v>MS-3-20 Yr NPV</v>
          </cell>
          <cell r="AR45" t="str">
            <v>MS-3-40 Yr NPV</v>
          </cell>
          <cell r="AS45" t="str">
            <v>MS-3-Capital Cost</v>
          </cell>
          <cell r="AT45" t="str">
            <v>MS-3-Install Year</v>
          </cell>
          <cell r="AU45" t="str">
            <v>MS-4-20 Yr NPV</v>
          </cell>
          <cell r="AV45" t="str">
            <v>MS-4-40 Yr NPV</v>
          </cell>
          <cell r="AW45" t="str">
            <v>MS-4-Capital Cost</v>
          </cell>
          <cell r="AX45" t="str">
            <v>MS-4-Install Year</v>
          </cell>
          <cell r="AY45" t="str">
            <v>MS-5-20 Yr NPV</v>
          </cell>
          <cell r="AZ45" t="str">
            <v>MS-5-40 Yr NPV</v>
          </cell>
          <cell r="BA45" t="str">
            <v>MS-5-Capital Cost</v>
          </cell>
          <cell r="BB45" t="str">
            <v>MS-5-Install Year</v>
          </cell>
          <cell r="BC45" t="str">
            <v>MS-6-20 Yr NPV</v>
          </cell>
          <cell r="BD45" t="str">
            <v>MS-6-40 Yr NPV</v>
          </cell>
          <cell r="BE45" t="str">
            <v>MS-6-Capital Cost</v>
          </cell>
          <cell r="BF45" t="str">
            <v>MS-6-Install Year</v>
          </cell>
          <cell r="BG45" t="str">
            <v>MS-7-20 Yr NPV</v>
          </cell>
          <cell r="BH45" t="str">
            <v>MS-7-40 Yr NPV</v>
          </cell>
          <cell r="BI45" t="str">
            <v>MS-7-Capital Cost</v>
          </cell>
          <cell r="BJ45" t="str">
            <v>MS-7-Install Year</v>
          </cell>
          <cell r="BK45" t="str">
            <v>MS-8-20 Yr NPV</v>
          </cell>
          <cell r="BL45" t="str">
            <v>MS-8-40 Yr NPV</v>
          </cell>
          <cell r="BM45" t="str">
            <v>MS-8-Capital Cost</v>
          </cell>
          <cell r="BN45" t="str">
            <v>MS-8-Install Year</v>
          </cell>
          <cell r="BO45" t="str">
            <v>MS-9-20 Yr NPV</v>
          </cell>
          <cell r="BP45" t="str">
            <v>MS-9-40 Yr NPV</v>
          </cell>
          <cell r="BQ45" t="str">
            <v>MS-9-Capital Cost</v>
          </cell>
          <cell r="BR45" t="str">
            <v>MS-9-Install Year</v>
          </cell>
          <cell r="BS45" t="str">
            <v>34-1-20 Yr NPV</v>
          </cell>
          <cell r="BT45" t="str">
            <v>34-1-40 Yr NPV</v>
          </cell>
          <cell r="BU45" t="str">
            <v>34-1-Capital Cost</v>
          </cell>
          <cell r="BV45" t="str">
            <v>34-1-Install Year</v>
          </cell>
          <cell r="BW45" t="str">
            <v>34-2-20 Yr NPV</v>
          </cell>
          <cell r="BX45" t="str">
            <v>34-2-40 Yr NPV</v>
          </cell>
          <cell r="BY45" t="str">
            <v>34-2-Capital Cost</v>
          </cell>
          <cell r="BZ45" t="str">
            <v>34-2-Install Year</v>
          </cell>
          <cell r="CA45" t="str">
            <v>56-1-20 Yr NPV</v>
          </cell>
          <cell r="CB45" t="str">
            <v>56-1-40 Yr NPV</v>
          </cell>
          <cell r="CC45" t="str">
            <v>56-1-Capital Cost</v>
          </cell>
          <cell r="CD45" t="str">
            <v>56-1-Install Year</v>
          </cell>
          <cell r="CE45" t="str">
            <v>56-2-20 Yr NPV</v>
          </cell>
          <cell r="CF45" t="str">
            <v>56-2-40 Yr NPV</v>
          </cell>
          <cell r="CG45" t="str">
            <v>56-2-Capital Cost</v>
          </cell>
          <cell r="CH45" t="str">
            <v>56-2-Install Year</v>
          </cell>
          <cell r="CI45" t="str">
            <v>78-1-20 Yr NPV</v>
          </cell>
          <cell r="CJ45" t="str">
            <v>78-1-40 Yr NPV</v>
          </cell>
          <cell r="CK45" t="str">
            <v>78-1-Capital Cost</v>
          </cell>
          <cell r="CL45" t="str">
            <v>78-1-Install Year</v>
          </cell>
          <cell r="CM45" t="str">
            <v>78-2-20 Yr NPV</v>
          </cell>
          <cell r="CN45" t="str">
            <v>78-2-40 Yr NPV</v>
          </cell>
          <cell r="CO45" t="str">
            <v>78-2-Capital Cost</v>
          </cell>
          <cell r="CP45" t="str">
            <v>78-2-Install Year</v>
          </cell>
          <cell r="CQ45" t="str">
            <v>WS-1-20 Yr NPV</v>
          </cell>
          <cell r="CR45" t="str">
            <v>WS-1-40 Yr NPV</v>
          </cell>
          <cell r="CS45" t="str">
            <v>WS-1-Capital Cost</v>
          </cell>
          <cell r="CT45" t="str">
            <v>WS-1-Install Year</v>
          </cell>
          <cell r="CU45" t="str">
            <v>WS-10-20 Yr NPV</v>
          </cell>
          <cell r="CV45" t="str">
            <v>WS-10-40 Yr NPV</v>
          </cell>
          <cell r="CW45" t="str">
            <v>WS-10-Capital Cost</v>
          </cell>
          <cell r="CX45" t="str">
            <v>WS-10-Install Year</v>
          </cell>
          <cell r="CY45" t="str">
            <v>WS-11-20 Yr NPV</v>
          </cell>
          <cell r="CZ45" t="str">
            <v>WS-11-40 Yr NPV</v>
          </cell>
          <cell r="DA45" t="str">
            <v>WS-11-Capital Cost</v>
          </cell>
          <cell r="DB45" t="str">
            <v>WS-11-Install Year</v>
          </cell>
          <cell r="DC45" t="str">
            <v>WS-12-20 Yr NPV</v>
          </cell>
          <cell r="DD45" t="str">
            <v>WS-12-40 Yr NPV</v>
          </cell>
          <cell r="DE45" t="str">
            <v>WS-12-Capital Cost</v>
          </cell>
          <cell r="DF45" t="str">
            <v>WS-12-Install Year</v>
          </cell>
          <cell r="DG45" t="str">
            <v>WS-2-20 Yr NPV</v>
          </cell>
          <cell r="DH45" t="str">
            <v>WS-2-40 Yr NPV</v>
          </cell>
          <cell r="DI45" t="str">
            <v>WS-2-Capital Cost</v>
          </cell>
          <cell r="DJ45" t="str">
            <v>WS-2-Install Year</v>
          </cell>
          <cell r="DK45" t="str">
            <v>WS-3-20 Yr NPV</v>
          </cell>
          <cell r="DL45" t="str">
            <v>WS-3-40 Yr NPV</v>
          </cell>
          <cell r="DM45" t="str">
            <v>WS-3-Capital Cost</v>
          </cell>
          <cell r="DN45" t="str">
            <v>WS-3-Install Year</v>
          </cell>
          <cell r="DO45" t="str">
            <v>WS-4-20 Yr NPV</v>
          </cell>
          <cell r="DP45" t="str">
            <v>WS-4-40 Yr NPV</v>
          </cell>
          <cell r="DQ45" t="str">
            <v>WS-4-Capital Cost</v>
          </cell>
          <cell r="DR45" t="str">
            <v>WS-4-Install Year</v>
          </cell>
          <cell r="DS45" t="str">
            <v>WS-5-20 Yr NPV</v>
          </cell>
          <cell r="DT45" t="str">
            <v>WS-5-40 Yr NPV</v>
          </cell>
          <cell r="DU45" t="str">
            <v>WS-5-Capital Cost</v>
          </cell>
          <cell r="DV45" t="str">
            <v>WS-5-Install Year</v>
          </cell>
          <cell r="DW45" t="str">
            <v>WS-6-20 Yr NPV</v>
          </cell>
          <cell r="DX45" t="str">
            <v>WS-6-40 Yr NPV</v>
          </cell>
          <cell r="DY45" t="str">
            <v>WS-6-Capital Cost</v>
          </cell>
          <cell r="DZ45" t="str">
            <v>WS-6-Install Year</v>
          </cell>
          <cell r="EA45" t="str">
            <v>WS-7-20 Yr NPV</v>
          </cell>
          <cell r="EB45" t="str">
            <v>WS-7-40 Yr NPV</v>
          </cell>
          <cell r="EC45" t="str">
            <v>WS-7-Capital Cost</v>
          </cell>
          <cell r="ED45" t="str">
            <v>WS-7-Install Year</v>
          </cell>
          <cell r="EE45" t="str">
            <v>WS-8-20 Yr NPV</v>
          </cell>
          <cell r="EF45" t="str">
            <v>WS-8-40 Yr NPV</v>
          </cell>
          <cell r="EG45" t="str">
            <v>WS-8-Capital Cost</v>
          </cell>
          <cell r="EH45" t="str">
            <v>WS-8-Install Year</v>
          </cell>
          <cell r="EI45" t="str">
            <v>WS-9-20 Yr NPV</v>
          </cell>
          <cell r="EJ45" t="str">
            <v>WS-9-40 Yr NPV</v>
          </cell>
          <cell r="EK45" t="str">
            <v>WS-9-Capital Cost</v>
          </cell>
          <cell r="EL45" t="str">
            <v>WS-9-Install Year</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row>
        <row r="46">
          <cell r="B46" t="str">
            <v>Trials</v>
          </cell>
          <cell r="C46">
            <v>1000</v>
          </cell>
          <cell r="D46">
            <v>1000</v>
          </cell>
          <cell r="E46">
            <v>1000</v>
          </cell>
          <cell r="F46">
            <v>1000</v>
          </cell>
          <cell r="G46">
            <v>1000</v>
          </cell>
          <cell r="H46">
            <v>1000</v>
          </cell>
          <cell r="I46">
            <v>1000</v>
          </cell>
          <cell r="J46">
            <v>1000</v>
          </cell>
          <cell r="K46">
            <v>1000</v>
          </cell>
          <cell r="L46">
            <v>1000</v>
          </cell>
          <cell r="M46">
            <v>1000</v>
          </cell>
          <cell r="N46">
            <v>1000</v>
          </cell>
          <cell r="O46">
            <v>1000</v>
          </cell>
          <cell r="P46">
            <v>1000</v>
          </cell>
          <cell r="Q46">
            <v>1000</v>
          </cell>
          <cell r="R46">
            <v>1000</v>
          </cell>
          <cell r="S46">
            <v>1000</v>
          </cell>
          <cell r="T46">
            <v>1000</v>
          </cell>
          <cell r="U46">
            <v>1000</v>
          </cell>
          <cell r="V46">
            <v>1000</v>
          </cell>
          <cell r="W46">
            <v>1000</v>
          </cell>
          <cell r="X46">
            <v>1000</v>
          </cell>
          <cell r="Y46">
            <v>1000</v>
          </cell>
          <cell r="Z46">
            <v>1000</v>
          </cell>
          <cell r="AA46">
            <v>1000</v>
          </cell>
          <cell r="AB46">
            <v>1000</v>
          </cell>
          <cell r="AC46">
            <v>1000</v>
          </cell>
          <cell r="AD46">
            <v>1000</v>
          </cell>
          <cell r="AE46">
            <v>1000</v>
          </cell>
          <cell r="AF46">
            <v>1000</v>
          </cell>
          <cell r="AG46">
            <v>1000</v>
          </cell>
          <cell r="AH46">
            <v>1000</v>
          </cell>
          <cell r="AI46">
            <v>1000</v>
          </cell>
          <cell r="AJ46">
            <v>1000</v>
          </cell>
          <cell r="AK46">
            <v>1000</v>
          </cell>
          <cell r="AL46">
            <v>1000</v>
          </cell>
          <cell r="AM46">
            <v>1000</v>
          </cell>
          <cell r="AN46">
            <v>1000</v>
          </cell>
          <cell r="AO46">
            <v>1000</v>
          </cell>
          <cell r="AP46">
            <v>1000</v>
          </cell>
          <cell r="AQ46">
            <v>1000</v>
          </cell>
          <cell r="AR46">
            <v>1000</v>
          </cell>
          <cell r="AS46">
            <v>1000</v>
          </cell>
          <cell r="AT46">
            <v>1000</v>
          </cell>
          <cell r="AU46">
            <v>1000</v>
          </cell>
          <cell r="AV46">
            <v>1000</v>
          </cell>
          <cell r="AW46">
            <v>1000</v>
          </cell>
          <cell r="AX46">
            <v>1000</v>
          </cell>
          <cell r="AY46">
            <v>1000</v>
          </cell>
          <cell r="AZ46">
            <v>1000</v>
          </cell>
          <cell r="BA46">
            <v>1000</v>
          </cell>
          <cell r="BB46">
            <v>1000</v>
          </cell>
          <cell r="BC46">
            <v>1000</v>
          </cell>
          <cell r="BD46">
            <v>1000</v>
          </cell>
          <cell r="BE46">
            <v>1000</v>
          </cell>
          <cell r="BF46">
            <v>1000</v>
          </cell>
          <cell r="BG46">
            <v>1000</v>
          </cell>
          <cell r="BH46">
            <v>1000</v>
          </cell>
          <cell r="BI46">
            <v>1000</v>
          </cell>
          <cell r="BJ46">
            <v>1000</v>
          </cell>
          <cell r="BK46">
            <v>1000</v>
          </cell>
          <cell r="BL46">
            <v>1000</v>
          </cell>
          <cell r="BM46">
            <v>1000</v>
          </cell>
          <cell r="BN46">
            <v>1000</v>
          </cell>
          <cell r="BO46">
            <v>1000</v>
          </cell>
          <cell r="BP46">
            <v>1000</v>
          </cell>
          <cell r="BQ46">
            <v>1000</v>
          </cell>
          <cell r="BR46">
            <v>1000</v>
          </cell>
          <cell r="BS46">
            <v>1000</v>
          </cell>
          <cell r="BT46">
            <v>1000</v>
          </cell>
          <cell r="BU46">
            <v>1000</v>
          </cell>
          <cell r="BV46">
            <v>1000</v>
          </cell>
          <cell r="BW46">
            <v>1000</v>
          </cell>
          <cell r="BX46">
            <v>1000</v>
          </cell>
          <cell r="BY46">
            <v>1000</v>
          </cell>
          <cell r="BZ46">
            <v>1000</v>
          </cell>
          <cell r="CA46">
            <v>1000</v>
          </cell>
          <cell r="CB46">
            <v>1000</v>
          </cell>
          <cell r="CC46">
            <v>1000</v>
          </cell>
          <cell r="CD46">
            <v>1000</v>
          </cell>
          <cell r="CE46">
            <v>1000</v>
          </cell>
          <cell r="CF46">
            <v>1000</v>
          </cell>
          <cell r="CG46">
            <v>1000</v>
          </cell>
          <cell r="CH46">
            <v>1000</v>
          </cell>
          <cell r="CI46">
            <v>1000</v>
          </cell>
          <cell r="CJ46">
            <v>1000</v>
          </cell>
          <cell r="CK46">
            <v>1000</v>
          </cell>
          <cell r="CL46">
            <v>1000</v>
          </cell>
          <cell r="CM46">
            <v>1000</v>
          </cell>
          <cell r="CN46">
            <v>1000</v>
          </cell>
          <cell r="CO46">
            <v>1000</v>
          </cell>
          <cell r="CP46">
            <v>1000</v>
          </cell>
          <cell r="CQ46">
            <v>1000</v>
          </cell>
          <cell r="CR46">
            <v>1000</v>
          </cell>
          <cell r="CS46">
            <v>1000</v>
          </cell>
          <cell r="CT46">
            <v>1000</v>
          </cell>
          <cell r="CU46">
            <v>1000</v>
          </cell>
          <cell r="CV46">
            <v>1000</v>
          </cell>
          <cell r="CW46">
            <v>1000</v>
          </cell>
          <cell r="CX46">
            <v>1000</v>
          </cell>
          <cell r="CY46">
            <v>1000</v>
          </cell>
          <cell r="CZ46">
            <v>1000</v>
          </cell>
          <cell r="DA46">
            <v>1000</v>
          </cell>
          <cell r="DB46">
            <v>1000</v>
          </cell>
          <cell r="DC46">
            <v>1000</v>
          </cell>
          <cell r="DD46">
            <v>1000</v>
          </cell>
          <cell r="DE46">
            <v>1000</v>
          </cell>
          <cell r="DF46">
            <v>1000</v>
          </cell>
          <cell r="DG46">
            <v>1000</v>
          </cell>
          <cell r="DH46">
            <v>1000</v>
          </cell>
          <cell r="DI46">
            <v>1000</v>
          </cell>
          <cell r="DJ46">
            <v>1000</v>
          </cell>
          <cell r="DK46">
            <v>1000</v>
          </cell>
          <cell r="DL46">
            <v>1000</v>
          </cell>
          <cell r="DM46">
            <v>1000</v>
          </cell>
          <cell r="DN46">
            <v>1000</v>
          </cell>
          <cell r="DO46">
            <v>1000</v>
          </cell>
          <cell r="DP46">
            <v>1000</v>
          </cell>
          <cell r="DQ46">
            <v>1000</v>
          </cell>
          <cell r="DR46">
            <v>1000</v>
          </cell>
          <cell r="DS46">
            <v>1000</v>
          </cell>
          <cell r="DT46">
            <v>1000</v>
          </cell>
          <cell r="DU46">
            <v>1000</v>
          </cell>
          <cell r="DV46">
            <v>1000</v>
          </cell>
          <cell r="DW46">
            <v>1000</v>
          </cell>
          <cell r="DX46">
            <v>1000</v>
          </cell>
          <cell r="DY46">
            <v>1000</v>
          </cell>
          <cell r="DZ46">
            <v>1000</v>
          </cell>
          <cell r="EA46">
            <v>1000</v>
          </cell>
          <cell r="EB46">
            <v>1000</v>
          </cell>
          <cell r="EC46">
            <v>1000</v>
          </cell>
          <cell r="ED46">
            <v>1000</v>
          </cell>
          <cell r="EE46">
            <v>1000</v>
          </cell>
          <cell r="EF46">
            <v>1000</v>
          </cell>
          <cell r="EG46">
            <v>1000</v>
          </cell>
          <cell r="EH46">
            <v>1000</v>
          </cell>
          <cell r="EI46">
            <v>1000</v>
          </cell>
          <cell r="EJ46">
            <v>1000</v>
          </cell>
          <cell r="EK46">
            <v>1000</v>
          </cell>
          <cell r="EL46">
            <v>1000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row>
        <row r="47">
          <cell r="B47" t="str">
            <v>Mean</v>
          </cell>
          <cell r="C47">
            <v>357.62122369726904</v>
          </cell>
          <cell r="D47">
            <v>537.18119024185501</v>
          </cell>
          <cell r="E47">
            <v>331.66594720276737</v>
          </cell>
          <cell r="F47">
            <v>2011.7</v>
          </cell>
          <cell r="G47">
            <v>143.92606988365137</v>
          </cell>
          <cell r="H47">
            <v>229.84775407757996</v>
          </cell>
          <cell r="I47">
            <v>152.64375394212871</v>
          </cell>
          <cell r="J47">
            <v>2010.9</v>
          </cell>
          <cell r="K47">
            <v>198.28757606502785</v>
          </cell>
          <cell r="L47">
            <v>239.06488475007816</v>
          </cell>
          <cell r="M47">
            <v>74.191478038422218</v>
          </cell>
          <cell r="N47">
            <v>2010.8</v>
          </cell>
          <cell r="O47">
            <v>66.664604024453027</v>
          </cell>
          <cell r="P47">
            <v>84.962633531391205</v>
          </cell>
          <cell r="Q47">
            <v>32.523743133228777</v>
          </cell>
          <cell r="R47">
            <v>2010.91</v>
          </cell>
          <cell r="S47">
            <v>1841.7927485321818</v>
          </cell>
          <cell r="T47">
            <v>2798.2212955627906</v>
          </cell>
          <cell r="U47">
            <v>1713.6327380460261</v>
          </cell>
          <cell r="V47">
            <v>2011.7</v>
          </cell>
          <cell r="W47">
            <v>3047.4303316176447</v>
          </cell>
          <cell r="X47">
            <v>4867.2366396721181</v>
          </cell>
          <cell r="Y47">
            <v>3095.7677360439125</v>
          </cell>
          <cell r="Z47">
            <v>2011.7</v>
          </cell>
          <cell r="AA47">
            <v>133.61786550614312</v>
          </cell>
          <cell r="AB47">
            <v>209.02892248222841</v>
          </cell>
          <cell r="AC47">
            <v>90.857993466051909</v>
          </cell>
          <cell r="AD47">
            <v>2012.79</v>
          </cell>
          <cell r="AE47">
            <v>104.5549033589779</v>
          </cell>
          <cell r="AF47">
            <v>125.48858013533774</v>
          </cell>
          <cell r="AG47">
            <v>38.723685611047479</v>
          </cell>
          <cell r="AH47">
            <v>2011.73</v>
          </cell>
          <cell r="AI47">
            <v>70.157695492260345</v>
          </cell>
          <cell r="AJ47">
            <v>88.457394661281867</v>
          </cell>
          <cell r="AK47">
            <v>32.523127047757484</v>
          </cell>
          <cell r="AL47">
            <v>2010.91</v>
          </cell>
          <cell r="AM47">
            <v>3792.3336176215066</v>
          </cell>
          <cell r="AN47">
            <v>6050.798725261031</v>
          </cell>
          <cell r="AO47">
            <v>5956.8278527566044</v>
          </cell>
          <cell r="AP47">
            <v>2019</v>
          </cell>
          <cell r="AQ47">
            <v>154.05255915298818</v>
          </cell>
          <cell r="AR47">
            <v>237.81750069860041</v>
          </cell>
          <cell r="AS47">
            <v>107.1419711634839</v>
          </cell>
          <cell r="AT47">
            <v>2012.79</v>
          </cell>
          <cell r="AU47">
            <v>5306.4921648624277</v>
          </cell>
          <cell r="AV47">
            <v>8491.2196852567122</v>
          </cell>
          <cell r="AW47">
            <v>8819.8915313731286</v>
          </cell>
          <cell r="AX47">
            <v>2020</v>
          </cell>
          <cell r="AY47">
            <v>597.49252015487764</v>
          </cell>
          <cell r="AZ47">
            <v>920.55503333464674</v>
          </cell>
          <cell r="BA47">
            <v>562.55091729764729</v>
          </cell>
          <cell r="BB47">
            <v>2012.4</v>
          </cell>
          <cell r="BC47">
            <v>278.13694091823049</v>
          </cell>
          <cell r="BD47">
            <v>451.91927846319578</v>
          </cell>
          <cell r="BE47">
            <v>285.41220535776097</v>
          </cell>
          <cell r="BF47">
            <v>2013</v>
          </cell>
          <cell r="BG47">
            <v>142.34515171311378</v>
          </cell>
          <cell r="BH47">
            <v>190.22269342865641</v>
          </cell>
          <cell r="BI47">
            <v>88.439465793548578</v>
          </cell>
          <cell r="BJ47">
            <v>2011.7</v>
          </cell>
          <cell r="BK47">
            <v>143.97573063843552</v>
          </cell>
          <cell r="BL47">
            <v>229.90789701746485</v>
          </cell>
          <cell r="BM47">
            <v>152.66699065084455</v>
          </cell>
          <cell r="BN47">
            <v>2010.9</v>
          </cell>
          <cell r="BO47">
            <v>371.11783923144873</v>
          </cell>
          <cell r="BP47">
            <v>445.87128564261826</v>
          </cell>
          <cell r="BQ47">
            <v>138.26815407468402</v>
          </cell>
          <cell r="BR47">
            <v>2011.73</v>
          </cell>
          <cell r="BS47">
            <v>4446.8677460861609</v>
          </cell>
          <cell r="BT47">
            <v>4446.8677460857934</v>
          </cell>
          <cell r="BU47">
            <v>4770.1700500958759</v>
          </cell>
          <cell r="BV47">
            <v>2010</v>
          </cell>
          <cell r="BW47">
            <v>75622.880327839288</v>
          </cell>
          <cell r="BX47">
            <v>75694.802190918868</v>
          </cell>
          <cell r="BY47">
            <v>91579.999769745627</v>
          </cell>
          <cell r="BZ47">
            <v>2013.9</v>
          </cell>
          <cell r="CA47">
            <v>1251.0949892714018</v>
          </cell>
          <cell r="CB47">
            <v>2019.4154910526161</v>
          </cell>
          <cell r="CC47">
            <v>1504.8079984796702</v>
          </cell>
          <cell r="CD47">
            <v>2012.894</v>
          </cell>
          <cell r="CE47">
            <v>66.552942551354946</v>
          </cell>
          <cell r="CF47">
            <v>106.99375200695995</v>
          </cell>
          <cell r="CG47">
            <v>87.544877443640004</v>
          </cell>
          <cell r="CH47">
            <v>2013</v>
          </cell>
          <cell r="CI47">
            <v>837.82939685081647</v>
          </cell>
          <cell r="CJ47">
            <v>1350.1150811056389</v>
          </cell>
          <cell r="CK47">
            <v>1003.0988699163868</v>
          </cell>
          <cell r="CL47">
            <v>2012.8920000000001</v>
          </cell>
          <cell r="CM47">
            <v>66.410408651929373</v>
          </cell>
          <cell r="CN47">
            <v>106.8505306968095</v>
          </cell>
          <cell r="CO47">
            <v>87.543845220233962</v>
          </cell>
          <cell r="CP47">
            <v>2013</v>
          </cell>
          <cell r="CQ47">
            <v>4672.6955190346125</v>
          </cell>
          <cell r="CR47">
            <v>7367.3954432770852</v>
          </cell>
          <cell r="CS47">
            <v>7462.7926217314616</v>
          </cell>
          <cell r="CT47">
            <v>2020</v>
          </cell>
          <cell r="CU47">
            <v>1675.5199130983028</v>
          </cell>
          <cell r="CV47">
            <v>2695.7971045482996</v>
          </cell>
          <cell r="CW47">
            <v>1699.9674829492299</v>
          </cell>
          <cell r="CX47">
            <v>2012.7</v>
          </cell>
          <cell r="CY47">
            <v>133.97466138426691</v>
          </cell>
          <cell r="CZ47">
            <v>209.40306968193917</v>
          </cell>
          <cell r="DA47">
            <v>108.33065301401923</v>
          </cell>
          <cell r="DB47">
            <v>2010.88</v>
          </cell>
          <cell r="DC47">
            <v>6358.4968840084648</v>
          </cell>
          <cell r="DD47">
            <v>10282.205909715378</v>
          </cell>
          <cell r="DE47">
            <v>9723.5263466216293</v>
          </cell>
          <cell r="DF47">
            <v>2018.1</v>
          </cell>
          <cell r="DG47">
            <v>141.18251605700431</v>
          </cell>
          <cell r="DH47">
            <v>189.06601589994293</v>
          </cell>
          <cell r="DI47">
            <v>88.456177856979934</v>
          </cell>
          <cell r="DJ47">
            <v>2011.7</v>
          </cell>
          <cell r="DK47">
            <v>143.85279083397748</v>
          </cell>
          <cell r="DL47">
            <v>229.76522066407949</v>
          </cell>
          <cell r="DM47">
            <v>152.62876349814016</v>
          </cell>
          <cell r="DN47">
            <v>2010.9</v>
          </cell>
          <cell r="DO47">
            <v>157.97857776500524</v>
          </cell>
          <cell r="DP47">
            <v>216.46196663458267</v>
          </cell>
          <cell r="DQ47">
            <v>103.88769787993272</v>
          </cell>
          <cell r="DR47">
            <v>2010.9</v>
          </cell>
          <cell r="DS47">
            <v>108.83119364140795</v>
          </cell>
          <cell r="DT47">
            <v>129.76520319170731</v>
          </cell>
          <cell r="DU47">
            <v>38.721774388620261</v>
          </cell>
          <cell r="DV47">
            <v>2011.73</v>
          </cell>
          <cell r="DW47">
            <v>69.402598289703008</v>
          </cell>
          <cell r="DX47">
            <v>87.699621352843209</v>
          </cell>
          <cell r="DY47">
            <v>32.520468932046988</v>
          </cell>
          <cell r="DZ47">
            <v>2010.91</v>
          </cell>
          <cell r="EA47">
            <v>1399.8575150268503</v>
          </cell>
          <cell r="EB47">
            <v>2244.7454582245259</v>
          </cell>
          <cell r="EC47">
            <v>1590.2053248098653</v>
          </cell>
          <cell r="ED47">
            <v>2012.79</v>
          </cell>
          <cell r="EE47">
            <v>866.64965142966219</v>
          </cell>
          <cell r="EF47">
            <v>1332.7176385921091</v>
          </cell>
          <cell r="EG47">
            <v>851.84779745646995</v>
          </cell>
          <cell r="EH47">
            <v>2012.79</v>
          </cell>
          <cell r="EI47">
            <v>3209.6096888824895</v>
          </cell>
          <cell r="EJ47">
            <v>5106.2944414162303</v>
          </cell>
          <cell r="EK47">
            <v>3400.2012739027368</v>
          </cell>
          <cell r="EL47">
            <v>2012.7</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row>
        <row r="48">
          <cell r="B48" t="str">
            <v>Median</v>
          </cell>
          <cell r="C48">
            <v>315.45086927154557</v>
          </cell>
          <cell r="D48">
            <v>498.66653262435841</v>
          </cell>
          <cell r="E48">
            <v>331.93003810350024</v>
          </cell>
          <cell r="F48">
            <v>2012</v>
          </cell>
          <cell r="G48">
            <v>140.06319736512427</v>
          </cell>
          <cell r="H48">
            <v>226.22859348750569</v>
          </cell>
          <cell r="I48">
            <v>150.55275295979612</v>
          </cell>
          <cell r="J48">
            <v>2011</v>
          </cell>
          <cell r="K48">
            <v>69.315755672155817</v>
          </cell>
          <cell r="L48">
            <v>112.12359345614418</v>
          </cell>
          <cell r="M48">
            <v>74.165245286667854</v>
          </cell>
          <cell r="N48">
            <v>2011</v>
          </cell>
          <cell r="O48">
            <v>34.625714068835904</v>
          </cell>
          <cell r="P48">
            <v>53.142775054502451</v>
          </cell>
          <cell r="Q48">
            <v>32.533016495237248</v>
          </cell>
          <cell r="R48">
            <v>2011</v>
          </cell>
          <cell r="S48">
            <v>1608.5635892533749</v>
          </cell>
          <cell r="T48">
            <v>2586.9773450881567</v>
          </cell>
          <cell r="U48">
            <v>1712.886114460315</v>
          </cell>
          <cell r="V48">
            <v>2012</v>
          </cell>
          <cell r="W48">
            <v>2998.5086466443845</v>
          </cell>
          <cell r="X48">
            <v>4857.3830833472748</v>
          </cell>
          <cell r="Y48">
            <v>3133.3018588493369</v>
          </cell>
          <cell r="Z48">
            <v>2012</v>
          </cell>
          <cell r="AA48">
            <v>131.26231341559694</v>
          </cell>
          <cell r="AB48">
            <v>206.5016565805937</v>
          </cell>
          <cell r="AC48">
            <v>90.908361217060545</v>
          </cell>
          <cell r="AD48">
            <v>2013</v>
          </cell>
          <cell r="AE48">
            <v>34.265734370575011</v>
          </cell>
          <cell r="AF48">
            <v>55.427474112168319</v>
          </cell>
          <cell r="AG48">
            <v>38.74585760569002</v>
          </cell>
          <cell r="AH48">
            <v>2012</v>
          </cell>
          <cell r="AI48">
            <v>34.643512150449212</v>
          </cell>
          <cell r="AJ48">
            <v>53.004987124580545</v>
          </cell>
          <cell r="AK48">
            <v>32.522244663483704</v>
          </cell>
          <cell r="AL48">
            <v>2011</v>
          </cell>
          <cell r="AM48">
            <v>3794.4143962037256</v>
          </cell>
          <cell r="AN48">
            <v>6052.6438653851819</v>
          </cell>
          <cell r="AO48">
            <v>5957.1404551719388</v>
          </cell>
          <cell r="AP48">
            <v>2019</v>
          </cell>
          <cell r="AQ48">
            <v>146.71229380645624</v>
          </cell>
          <cell r="AR48">
            <v>230.41432033422603</v>
          </cell>
          <cell r="AS48">
            <v>107.34066879871696</v>
          </cell>
          <cell r="AT48">
            <v>2013</v>
          </cell>
          <cell r="AU48">
            <v>5309.4213471962166</v>
          </cell>
          <cell r="AV48">
            <v>8494.8602236403167</v>
          </cell>
          <cell r="AW48">
            <v>8821.415192576178</v>
          </cell>
          <cell r="AX48">
            <v>2020</v>
          </cell>
          <cell r="AY48">
            <v>538.04027801552343</v>
          </cell>
          <cell r="AZ48">
            <v>870.89307324863944</v>
          </cell>
          <cell r="BA48">
            <v>562.52160706057089</v>
          </cell>
          <cell r="BB48">
            <v>2013</v>
          </cell>
          <cell r="BC48">
            <v>277.94109984646252</v>
          </cell>
          <cell r="BD48">
            <v>451.61863339539923</v>
          </cell>
          <cell r="BE48">
            <v>285.37812952353073</v>
          </cell>
          <cell r="BF48">
            <v>2013</v>
          </cell>
          <cell r="BG48">
            <v>98.238569695504708</v>
          </cell>
          <cell r="BH48">
            <v>147.08127493154313</v>
          </cell>
          <cell r="BI48">
            <v>88.466979430619517</v>
          </cell>
          <cell r="BJ48">
            <v>2012</v>
          </cell>
          <cell r="BK48">
            <v>140.1079160556429</v>
          </cell>
          <cell r="BL48">
            <v>226.07679714756841</v>
          </cell>
          <cell r="BM48">
            <v>150.25730534192132</v>
          </cell>
          <cell r="BN48">
            <v>2011</v>
          </cell>
          <cell r="BO48">
            <v>133.59653031993133</v>
          </cell>
          <cell r="BP48">
            <v>215.54053364812881</v>
          </cell>
          <cell r="BQ48">
            <v>142.60349643579815</v>
          </cell>
          <cell r="BR48">
            <v>2012</v>
          </cell>
          <cell r="BS48">
            <v>4440.9500817303197</v>
          </cell>
          <cell r="BT48">
            <v>4440.9500819383684</v>
          </cell>
          <cell r="BU48">
            <v>4760.8952310137538</v>
          </cell>
          <cell r="BV48">
            <v>2010</v>
          </cell>
          <cell r="BW48">
            <v>71138.331429419777</v>
          </cell>
          <cell r="BX48">
            <v>71210.64586787697</v>
          </cell>
          <cell r="BY48">
            <v>91525.681638262933</v>
          </cell>
          <cell r="BZ48">
            <v>2014</v>
          </cell>
          <cell r="CA48">
            <v>1173.3175502920669</v>
          </cell>
          <cell r="CB48">
            <v>1893.5684014899225</v>
          </cell>
          <cell r="CC48">
            <v>1409.4145318162509</v>
          </cell>
          <cell r="CD48">
            <v>2013</v>
          </cell>
          <cell r="CE48">
            <v>65.865065264529591</v>
          </cell>
          <cell r="CF48">
            <v>106.54183446752384</v>
          </cell>
          <cell r="CG48">
            <v>87.854617659994517</v>
          </cell>
          <cell r="CH48">
            <v>2013</v>
          </cell>
          <cell r="CI48">
            <v>793.01790229964422</v>
          </cell>
          <cell r="CJ48">
            <v>1271.8964759993405</v>
          </cell>
          <cell r="CK48">
            <v>941.80029984325279</v>
          </cell>
          <cell r="CL48">
            <v>2013</v>
          </cell>
          <cell r="CM48">
            <v>65.535556357914302</v>
          </cell>
          <cell r="CN48">
            <v>106.00882846886626</v>
          </cell>
          <cell r="CO48">
            <v>87.699555344719471</v>
          </cell>
          <cell r="CP48">
            <v>2013</v>
          </cell>
          <cell r="CQ48">
            <v>4669.9508768206797</v>
          </cell>
          <cell r="CR48">
            <v>7364.5035474002016</v>
          </cell>
          <cell r="CS48">
            <v>7463.299929079104</v>
          </cell>
          <cell r="CT48">
            <v>2020</v>
          </cell>
          <cell r="CU48">
            <v>1642.7564704190272</v>
          </cell>
          <cell r="CV48">
            <v>2674.8006370695316</v>
          </cell>
          <cell r="CW48">
            <v>1697.5370755156932</v>
          </cell>
          <cell r="CX48">
            <v>2013</v>
          </cell>
          <cell r="CY48">
            <v>118.55197884275603</v>
          </cell>
          <cell r="CZ48">
            <v>194.73998356246096</v>
          </cell>
          <cell r="DA48">
            <v>108.4320904781836</v>
          </cell>
          <cell r="DB48">
            <v>2011</v>
          </cell>
          <cell r="DC48">
            <v>6311.8366082739776</v>
          </cell>
          <cell r="DD48">
            <v>10217.637394312573</v>
          </cell>
          <cell r="DE48">
            <v>9752.3421294574091</v>
          </cell>
          <cell r="DF48">
            <v>2019</v>
          </cell>
          <cell r="DG48">
            <v>98.088709827658704</v>
          </cell>
          <cell r="DH48">
            <v>146.88648650579233</v>
          </cell>
          <cell r="DI48">
            <v>88.386728136367253</v>
          </cell>
          <cell r="DJ48">
            <v>2012</v>
          </cell>
          <cell r="DK48">
            <v>140.16155415743353</v>
          </cell>
          <cell r="DL48">
            <v>225.94368040928964</v>
          </cell>
          <cell r="DM48">
            <v>150.18905576648075</v>
          </cell>
          <cell r="DN48">
            <v>2011</v>
          </cell>
          <cell r="DO48">
            <v>100.7327166753297</v>
          </cell>
          <cell r="DP48">
            <v>162.94295595974739</v>
          </cell>
          <cell r="DQ48">
            <v>107.69020536895216</v>
          </cell>
          <cell r="DR48">
            <v>2011</v>
          </cell>
          <cell r="DS48">
            <v>34.193586594838223</v>
          </cell>
          <cell r="DT48">
            <v>55.310769600377483</v>
          </cell>
          <cell r="DU48">
            <v>38.770514485539401</v>
          </cell>
          <cell r="DV48">
            <v>2012</v>
          </cell>
          <cell r="DW48">
            <v>34.744559016578535</v>
          </cell>
          <cell r="DX48">
            <v>53.216632870060202</v>
          </cell>
          <cell r="DY48">
            <v>32.55451918216626</v>
          </cell>
          <cell r="DZ48">
            <v>2011</v>
          </cell>
          <cell r="EA48">
            <v>1380.1597384578417</v>
          </cell>
          <cell r="EB48">
            <v>2230.1407630314643</v>
          </cell>
          <cell r="EC48">
            <v>1590.9495329040833</v>
          </cell>
          <cell r="ED48">
            <v>2013</v>
          </cell>
          <cell r="EE48">
            <v>759.32212268397859</v>
          </cell>
          <cell r="EF48">
            <v>1229.5210277033596</v>
          </cell>
          <cell r="EG48">
            <v>852.70601439705797</v>
          </cell>
          <cell r="EH48">
            <v>2013</v>
          </cell>
          <cell r="EI48">
            <v>3087.4535009255469</v>
          </cell>
          <cell r="EJ48">
            <v>5008.3331416223191</v>
          </cell>
          <cell r="EK48">
            <v>3405.3233706668389</v>
          </cell>
          <cell r="EL48">
            <v>2013</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row>
        <row r="49">
          <cell r="B49" t="str">
            <v>Mode</v>
          </cell>
          <cell r="C49" t="str">
            <v>---</v>
          </cell>
          <cell r="D49" t="str">
            <v>---</v>
          </cell>
          <cell r="E49" t="str">
            <v>---</v>
          </cell>
          <cell r="F49">
            <v>2012</v>
          </cell>
          <cell r="G49" t="str">
            <v>---</v>
          </cell>
          <cell r="H49" t="str">
            <v>---</v>
          </cell>
          <cell r="I49" t="str">
            <v>---</v>
          </cell>
          <cell r="J49">
            <v>2011</v>
          </cell>
          <cell r="K49" t="str">
            <v>---</v>
          </cell>
          <cell r="L49" t="str">
            <v>---</v>
          </cell>
          <cell r="M49" t="str">
            <v>---</v>
          </cell>
          <cell r="N49">
            <v>2011</v>
          </cell>
          <cell r="O49" t="str">
            <v>---</v>
          </cell>
          <cell r="P49" t="str">
            <v>---</v>
          </cell>
          <cell r="Q49" t="str">
            <v>---</v>
          </cell>
          <cell r="R49">
            <v>2011</v>
          </cell>
          <cell r="S49" t="str">
            <v>---</v>
          </cell>
          <cell r="T49" t="str">
            <v>---</v>
          </cell>
          <cell r="U49" t="str">
            <v>---</v>
          </cell>
          <cell r="V49">
            <v>2012</v>
          </cell>
          <cell r="W49" t="str">
            <v>---</v>
          </cell>
          <cell r="X49" t="str">
            <v>---</v>
          </cell>
          <cell r="Y49" t="str">
            <v>---</v>
          </cell>
          <cell r="Z49">
            <v>2012</v>
          </cell>
          <cell r="AA49" t="str">
            <v>---</v>
          </cell>
          <cell r="AB49" t="str">
            <v>---</v>
          </cell>
          <cell r="AC49" t="str">
            <v>---</v>
          </cell>
          <cell r="AD49">
            <v>2013</v>
          </cell>
          <cell r="AE49" t="str">
            <v>---</v>
          </cell>
          <cell r="AF49" t="str">
            <v>---</v>
          </cell>
          <cell r="AG49" t="str">
            <v>---</v>
          </cell>
          <cell r="AH49">
            <v>2012</v>
          </cell>
          <cell r="AI49" t="str">
            <v>---</v>
          </cell>
          <cell r="AJ49" t="str">
            <v>---</v>
          </cell>
          <cell r="AK49" t="str">
            <v>---</v>
          </cell>
          <cell r="AL49">
            <v>2011</v>
          </cell>
          <cell r="AM49" t="str">
            <v>---</v>
          </cell>
          <cell r="AN49" t="str">
            <v>---</v>
          </cell>
          <cell r="AO49" t="str">
            <v>---</v>
          </cell>
          <cell r="AP49">
            <v>2019</v>
          </cell>
          <cell r="AQ49" t="str">
            <v>---</v>
          </cell>
          <cell r="AR49" t="str">
            <v>---</v>
          </cell>
          <cell r="AS49" t="str">
            <v>---</v>
          </cell>
          <cell r="AT49">
            <v>2013</v>
          </cell>
          <cell r="AU49" t="str">
            <v>---</v>
          </cell>
          <cell r="AV49" t="str">
            <v>---</v>
          </cell>
          <cell r="AW49" t="str">
            <v>---</v>
          </cell>
          <cell r="AX49">
            <v>2020</v>
          </cell>
          <cell r="AY49" t="str">
            <v>---</v>
          </cell>
          <cell r="AZ49" t="str">
            <v>---</v>
          </cell>
          <cell r="BA49" t="str">
            <v>---</v>
          </cell>
          <cell r="BB49">
            <v>2013</v>
          </cell>
          <cell r="BC49" t="str">
            <v>---</v>
          </cell>
          <cell r="BD49" t="str">
            <v>---</v>
          </cell>
          <cell r="BE49" t="str">
            <v>---</v>
          </cell>
          <cell r="BF49">
            <v>2013</v>
          </cell>
          <cell r="BG49" t="str">
            <v>---</v>
          </cell>
          <cell r="BH49" t="str">
            <v>---</v>
          </cell>
          <cell r="BI49" t="str">
            <v>---</v>
          </cell>
          <cell r="BJ49">
            <v>2012</v>
          </cell>
          <cell r="BK49" t="str">
            <v>---</v>
          </cell>
          <cell r="BL49" t="str">
            <v>---</v>
          </cell>
          <cell r="BM49" t="str">
            <v>---</v>
          </cell>
          <cell r="BN49">
            <v>2011</v>
          </cell>
          <cell r="BO49" t="str">
            <v>---</v>
          </cell>
          <cell r="BP49" t="str">
            <v>---</v>
          </cell>
          <cell r="BQ49" t="str">
            <v>---</v>
          </cell>
          <cell r="BR49">
            <v>2012</v>
          </cell>
          <cell r="BS49" t="str">
            <v>---</v>
          </cell>
          <cell r="BT49" t="str">
            <v>---</v>
          </cell>
          <cell r="BU49" t="str">
            <v>---</v>
          </cell>
          <cell r="BV49">
            <v>2010</v>
          </cell>
          <cell r="BW49" t="str">
            <v>---</v>
          </cell>
          <cell r="BX49" t="str">
            <v>---</v>
          </cell>
          <cell r="BY49" t="str">
            <v>---</v>
          </cell>
          <cell r="BZ49">
            <v>2014</v>
          </cell>
          <cell r="CA49" t="str">
            <v>---</v>
          </cell>
          <cell r="CB49" t="str">
            <v>---</v>
          </cell>
          <cell r="CC49" t="str">
            <v>---</v>
          </cell>
          <cell r="CD49">
            <v>2013</v>
          </cell>
          <cell r="CE49" t="str">
            <v>---</v>
          </cell>
          <cell r="CF49" t="str">
            <v>---</v>
          </cell>
          <cell r="CG49" t="str">
            <v>---</v>
          </cell>
          <cell r="CH49">
            <v>2013</v>
          </cell>
          <cell r="CI49" t="str">
            <v>---</v>
          </cell>
          <cell r="CJ49" t="str">
            <v>---</v>
          </cell>
          <cell r="CK49" t="str">
            <v>---</v>
          </cell>
          <cell r="CL49">
            <v>2013</v>
          </cell>
          <cell r="CM49" t="str">
            <v>---</v>
          </cell>
          <cell r="CN49" t="str">
            <v>---</v>
          </cell>
          <cell r="CO49" t="str">
            <v>---</v>
          </cell>
          <cell r="CP49">
            <v>2013</v>
          </cell>
          <cell r="CQ49" t="str">
            <v>---</v>
          </cell>
          <cell r="CR49" t="str">
            <v>---</v>
          </cell>
          <cell r="CS49" t="str">
            <v>---</v>
          </cell>
          <cell r="CT49">
            <v>2020</v>
          </cell>
          <cell r="CU49" t="str">
            <v>---</v>
          </cell>
          <cell r="CV49" t="str">
            <v>---</v>
          </cell>
          <cell r="CW49" t="str">
            <v>---</v>
          </cell>
          <cell r="CX49">
            <v>2013</v>
          </cell>
          <cell r="CY49" t="str">
            <v>---</v>
          </cell>
          <cell r="CZ49" t="str">
            <v>---</v>
          </cell>
          <cell r="DA49" t="str">
            <v>---</v>
          </cell>
          <cell r="DB49">
            <v>2011</v>
          </cell>
          <cell r="DC49" t="str">
            <v>---</v>
          </cell>
          <cell r="DD49" t="str">
            <v>---</v>
          </cell>
          <cell r="DE49" t="str">
            <v>---</v>
          </cell>
          <cell r="DF49">
            <v>2019</v>
          </cell>
          <cell r="DG49" t="str">
            <v>---</v>
          </cell>
          <cell r="DH49" t="str">
            <v>---</v>
          </cell>
          <cell r="DI49" t="str">
            <v>---</v>
          </cell>
          <cell r="DJ49">
            <v>2012</v>
          </cell>
          <cell r="DK49" t="str">
            <v>---</v>
          </cell>
          <cell r="DL49" t="str">
            <v>---</v>
          </cell>
          <cell r="DM49" t="str">
            <v>---</v>
          </cell>
          <cell r="DN49">
            <v>2011</v>
          </cell>
          <cell r="DO49" t="str">
            <v>---</v>
          </cell>
          <cell r="DP49" t="str">
            <v>---</v>
          </cell>
          <cell r="DQ49" t="str">
            <v>---</v>
          </cell>
          <cell r="DR49">
            <v>2011</v>
          </cell>
          <cell r="DS49" t="str">
            <v>---</v>
          </cell>
          <cell r="DT49" t="str">
            <v>---</v>
          </cell>
          <cell r="DU49" t="str">
            <v>---</v>
          </cell>
          <cell r="DV49">
            <v>2012</v>
          </cell>
          <cell r="DW49" t="str">
            <v>---</v>
          </cell>
          <cell r="DX49" t="str">
            <v>---</v>
          </cell>
          <cell r="DY49" t="str">
            <v>---</v>
          </cell>
          <cell r="DZ49">
            <v>2011</v>
          </cell>
          <cell r="EA49" t="str">
            <v>---</v>
          </cell>
          <cell r="EB49" t="str">
            <v>---</v>
          </cell>
          <cell r="EC49" t="str">
            <v>---</v>
          </cell>
          <cell r="ED49">
            <v>2013</v>
          </cell>
          <cell r="EE49" t="str">
            <v>---</v>
          </cell>
          <cell r="EF49" t="str">
            <v>---</v>
          </cell>
          <cell r="EG49" t="str">
            <v>---</v>
          </cell>
          <cell r="EH49">
            <v>2013</v>
          </cell>
          <cell r="EI49" t="str">
            <v>---</v>
          </cell>
          <cell r="EJ49" t="str">
            <v>---</v>
          </cell>
          <cell r="EK49" t="str">
            <v>---</v>
          </cell>
          <cell r="EL49">
            <v>2013</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row>
        <row r="50">
          <cell r="B50" t="str">
            <v>Standard Deviation</v>
          </cell>
          <cell r="C50">
            <v>112.04425273819901</v>
          </cell>
          <cell r="D50">
            <v>118.49591292723197</v>
          </cell>
          <cell r="E50">
            <v>27.49379852976644</v>
          </cell>
          <cell r="F50">
            <v>0.64063282027259005</v>
          </cell>
          <cell r="G50">
            <v>25.216703674080417</v>
          </cell>
          <cell r="H50">
            <v>36.076341193160282</v>
          </cell>
          <cell r="I50">
            <v>22.049488030570881</v>
          </cell>
          <cell r="J50">
            <v>0.30015011259382435</v>
          </cell>
          <cell r="K50">
            <v>342.07812471875229</v>
          </cell>
          <cell r="L50">
            <v>342.55706924050889</v>
          </cell>
          <cell r="M50">
            <v>11.524849245934636</v>
          </cell>
          <cell r="N50">
            <v>0.40020015012511212</v>
          </cell>
          <cell r="O50">
            <v>118.67621784913922</v>
          </cell>
          <cell r="P50">
            <v>118.79002324694379</v>
          </cell>
          <cell r="Q50">
            <v>2.6714611155551862</v>
          </cell>
          <cell r="R50">
            <v>0.28632495871296554</v>
          </cell>
          <cell r="S50">
            <v>705.00332864496386</v>
          </cell>
          <cell r="T50">
            <v>742.73925391497357</v>
          </cell>
          <cell r="U50">
            <v>177.06919110152822</v>
          </cell>
          <cell r="V50">
            <v>0.64063282027259005</v>
          </cell>
          <cell r="W50">
            <v>416.80630207265415</v>
          </cell>
          <cell r="X50">
            <v>539.32695345482239</v>
          </cell>
          <cell r="Y50">
            <v>285.3244716418742</v>
          </cell>
          <cell r="Z50">
            <v>0.64063282027259005</v>
          </cell>
          <cell r="AA50">
            <v>10.167728768733467</v>
          </cell>
          <cell r="AB50">
            <v>11.467755484436847</v>
          </cell>
          <cell r="AC50">
            <v>3.9024323706369057</v>
          </cell>
          <cell r="AD50">
            <v>0.63742160796940794</v>
          </cell>
          <cell r="AE50">
            <v>179.03028372745371</v>
          </cell>
          <cell r="AF50">
            <v>179.34552099807254</v>
          </cell>
          <cell r="AG50">
            <v>2.4323550641648639</v>
          </cell>
          <cell r="AH50">
            <v>0.61439195752995568</v>
          </cell>
          <cell r="AI50">
            <v>133.40523665088162</v>
          </cell>
          <cell r="AJ50">
            <v>133.62489917298583</v>
          </cell>
          <cell r="AK50">
            <v>3.3233787879778731</v>
          </cell>
          <cell r="AL50">
            <v>0.28632495871296554</v>
          </cell>
          <cell r="AM50">
            <v>223.86199988221526</v>
          </cell>
          <cell r="AN50">
            <v>361.93683421458951</v>
          </cell>
          <cell r="AO50">
            <v>364.24868216917844</v>
          </cell>
          <cell r="AP50">
            <v>0</v>
          </cell>
          <cell r="AQ50">
            <v>26.583451511924476</v>
          </cell>
          <cell r="AR50">
            <v>27.48846729892561</v>
          </cell>
          <cell r="AS50">
            <v>4.7255652156966494</v>
          </cell>
          <cell r="AT50">
            <v>0.63742160796940794</v>
          </cell>
          <cell r="AU50">
            <v>316.33150631114569</v>
          </cell>
          <cell r="AV50">
            <v>511.46798757087396</v>
          </cell>
          <cell r="AW50">
            <v>540.47968212122043</v>
          </cell>
          <cell r="AX50">
            <v>0</v>
          </cell>
          <cell r="AY50">
            <v>169.58720844941098</v>
          </cell>
          <cell r="AZ50">
            <v>184.79611878588233</v>
          </cell>
          <cell r="BA50">
            <v>59.354758724801798</v>
          </cell>
          <cell r="BB50">
            <v>1.0203141874153518</v>
          </cell>
          <cell r="BC50">
            <v>24.01884670355178</v>
          </cell>
          <cell r="BD50">
            <v>38.871031183232333</v>
          </cell>
          <cell r="BE50">
            <v>29.181567887723425</v>
          </cell>
          <cell r="BF50">
            <v>0</v>
          </cell>
          <cell r="BG50">
            <v>103.65248172453751</v>
          </cell>
          <cell r="BH50">
            <v>104.43795923222179</v>
          </cell>
          <cell r="BI50">
            <v>7.3551257004006478</v>
          </cell>
          <cell r="BJ50">
            <v>0.64063282027259005</v>
          </cell>
          <cell r="BK50">
            <v>25.094158616721096</v>
          </cell>
          <cell r="BL50">
            <v>35.889576420871698</v>
          </cell>
          <cell r="BM50">
            <v>22.025631633037527</v>
          </cell>
          <cell r="BN50">
            <v>0.30015011259382435</v>
          </cell>
          <cell r="BO50">
            <v>676.57872504524551</v>
          </cell>
          <cell r="BP50">
            <v>678.71559276586572</v>
          </cell>
          <cell r="BQ50">
            <v>35.332928308752749</v>
          </cell>
          <cell r="BR50">
            <v>0.61439195752995568</v>
          </cell>
          <cell r="BS50">
            <v>331.60532215383176</v>
          </cell>
          <cell r="BT50">
            <v>331.60532218408201</v>
          </cell>
          <cell r="BU50">
            <v>354.77321781956971</v>
          </cell>
          <cell r="BV50">
            <v>0</v>
          </cell>
          <cell r="BW50">
            <v>23591.676247739484</v>
          </cell>
          <cell r="BX50">
            <v>23591.68305835253</v>
          </cell>
          <cell r="BY50">
            <v>4602.1619942219832</v>
          </cell>
          <cell r="BZ50">
            <v>0.53878594106592959</v>
          </cell>
          <cell r="CA50">
            <v>513.44795145179353</v>
          </cell>
          <cell r="CB50">
            <v>829.85195346714147</v>
          </cell>
          <cell r="CC50">
            <v>621.3818700567723</v>
          </cell>
          <cell r="CD50">
            <v>0.44154157104281455</v>
          </cell>
          <cell r="CE50">
            <v>11.043891393673483</v>
          </cell>
          <cell r="CF50">
            <v>12.505254635213275</v>
          </cell>
          <cell r="CG50">
            <v>6.5496229739507932</v>
          </cell>
          <cell r="CH50">
            <v>0</v>
          </cell>
          <cell r="CI50">
            <v>343.3937674029371</v>
          </cell>
          <cell r="CJ50">
            <v>553.98759529867721</v>
          </cell>
          <cell r="CK50">
            <v>414.05861758264007</v>
          </cell>
          <cell r="CL50">
            <v>0.4455721429067821</v>
          </cell>
          <cell r="CM50">
            <v>9.9915143799872226</v>
          </cell>
          <cell r="CN50">
            <v>11.932191836114889</v>
          </cell>
          <cell r="CO50">
            <v>6.8015177694997488</v>
          </cell>
          <cell r="CP50">
            <v>0</v>
          </cell>
          <cell r="CQ50">
            <v>268.28171106882655</v>
          </cell>
          <cell r="CR50">
            <v>433.40882589952957</v>
          </cell>
          <cell r="CS50">
            <v>457.62275564524458</v>
          </cell>
          <cell r="CT50">
            <v>0</v>
          </cell>
          <cell r="CU50">
            <v>215.76692000132311</v>
          </cell>
          <cell r="CV50">
            <v>292.6147333581464</v>
          </cell>
          <cell r="CW50">
            <v>176.89269070614054</v>
          </cell>
          <cell r="CX50">
            <v>0.78141577320307654</v>
          </cell>
          <cell r="CY50">
            <v>47.907415187822465</v>
          </cell>
          <cell r="CZ50">
            <v>50.329945400382279</v>
          </cell>
          <cell r="DA50">
            <v>11.030228432958195</v>
          </cell>
          <cell r="DB50">
            <v>0.32512413891575626</v>
          </cell>
          <cell r="DC50">
            <v>758.51999789376748</v>
          </cell>
          <cell r="DD50">
            <v>1205.2643290200122</v>
          </cell>
          <cell r="DE50">
            <v>1117.35069660507</v>
          </cell>
          <cell r="DF50">
            <v>2.2124409359109896</v>
          </cell>
          <cell r="DG50">
            <v>101.16646359944968</v>
          </cell>
          <cell r="DH50">
            <v>102.00501001450891</v>
          </cell>
          <cell r="DI50">
            <v>7.378581692541891</v>
          </cell>
          <cell r="DJ50">
            <v>0.64063282027259005</v>
          </cell>
          <cell r="DK50">
            <v>24.987675469020246</v>
          </cell>
          <cell r="DL50">
            <v>35.838833158311765</v>
          </cell>
          <cell r="DM50">
            <v>22.036459004188572</v>
          </cell>
          <cell r="DN50">
            <v>0.30015011259382435</v>
          </cell>
          <cell r="DO50">
            <v>241.69139866743103</v>
          </cell>
          <cell r="DP50">
            <v>244.59128152081777</v>
          </cell>
          <cell r="DQ50">
            <v>26.440548856705924</v>
          </cell>
          <cell r="DR50">
            <v>0.30015011259382435</v>
          </cell>
          <cell r="DS50">
            <v>190.28562872564606</v>
          </cell>
          <cell r="DT50">
            <v>190.60378611936946</v>
          </cell>
          <cell r="DU50">
            <v>2.40319447378711</v>
          </cell>
          <cell r="DV50">
            <v>0.61439195752995568</v>
          </cell>
          <cell r="DW50">
            <v>129.87015461089152</v>
          </cell>
          <cell r="DX50">
            <v>130.14139619459402</v>
          </cell>
          <cell r="DY50">
            <v>3.3238737857509495</v>
          </cell>
          <cell r="DZ50">
            <v>0.28632495871296554</v>
          </cell>
          <cell r="EA50">
            <v>184.25312870947386</v>
          </cell>
          <cell r="EB50">
            <v>254.15363118272924</v>
          </cell>
          <cell r="EC50">
            <v>165.50007094192534</v>
          </cell>
          <cell r="ED50">
            <v>0.63742160796940794</v>
          </cell>
          <cell r="EE50">
            <v>393.56828080068965</v>
          </cell>
          <cell r="EF50">
            <v>410.62252619391893</v>
          </cell>
          <cell r="EG50">
            <v>87.575827862283887</v>
          </cell>
          <cell r="EH50">
            <v>0.63742160796940794</v>
          </cell>
          <cell r="EI50">
            <v>540.12329788978445</v>
          </cell>
          <cell r="EJ50">
            <v>670.01889351316242</v>
          </cell>
          <cell r="EK50">
            <v>355.26092569900948</v>
          </cell>
          <cell r="EL50">
            <v>0.78141577320307654</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row>
        <row r="51">
          <cell r="B51" t="str">
            <v>Variance</v>
          </cell>
          <cell r="C51">
            <v>12553.914571661415</v>
          </cell>
          <cell r="D51">
            <v>14041.28138045814</v>
          </cell>
          <cell r="E51">
            <v>755.90895759538728</v>
          </cell>
          <cell r="F51">
            <v>0.41041041041041265</v>
          </cell>
          <cell r="G51">
            <v>635.88214418638074</v>
          </cell>
          <cell r="H51">
            <v>1301.5023938853133</v>
          </cell>
          <cell r="I51">
            <v>486.17992241028861</v>
          </cell>
          <cell r="J51">
            <v>9.0090090090085423E-2</v>
          </cell>
          <cell r="K51">
            <v>117017.44341109825</v>
          </cell>
          <cell r="L51">
            <v>117345.34568664682</v>
          </cell>
          <cell r="M51">
            <v>132.82215014152013</v>
          </cell>
          <cell r="N51">
            <v>0.1601601601601623</v>
          </cell>
          <cell r="O51">
            <v>14084.044682976351</v>
          </cell>
          <cell r="P51">
            <v>14111.069623009447</v>
          </cell>
          <cell r="Q51">
            <v>7.1367044919233606</v>
          </cell>
          <cell r="R51">
            <v>8.1981981981981408E-2</v>
          </cell>
          <cell r="S51">
            <v>497029.69340047892</v>
          </cell>
          <cell r="T51">
            <v>551661.59930617153</v>
          </cell>
          <cell r="U51">
            <v>31353.498437349517</v>
          </cell>
          <cell r="V51">
            <v>0.41041041041041265</v>
          </cell>
          <cell r="W51">
            <v>173727.49344748061</v>
          </cell>
          <cell r="X51">
            <v>290873.56272286014</v>
          </cell>
          <cell r="Y51">
            <v>81410.054117714666</v>
          </cell>
          <cell r="Z51">
            <v>0.41041041041041265</v>
          </cell>
          <cell r="AA51">
            <v>103.38270831453019</v>
          </cell>
          <cell r="AB51">
            <v>131.50941585083137</v>
          </cell>
          <cell r="AC51">
            <v>15.228978407394779</v>
          </cell>
          <cell r="AD51">
            <v>0.40630630630630554</v>
          </cell>
          <cell r="AE51">
            <v>32051.842491532578</v>
          </cell>
          <cell r="AF51">
            <v>32164.81590207008</v>
          </cell>
          <cell r="AG51">
            <v>5.9163511581684602</v>
          </cell>
          <cell r="AH51">
            <v>0.37747747747749089</v>
          </cell>
          <cell r="AI51">
            <v>17796.957165877728</v>
          </cell>
          <cell r="AJ51">
            <v>17855.613678990634</v>
          </cell>
          <cell r="AK51">
            <v>11.044846568381278</v>
          </cell>
          <cell r="AL51">
            <v>8.1981981981981408E-2</v>
          </cell>
          <cell r="AM51">
            <v>50114.194991264943</v>
          </cell>
          <cell r="AN51">
            <v>130998.27196127927</v>
          </cell>
          <cell r="AO51">
            <v>132677.10246198319</v>
          </cell>
          <cell r="AP51">
            <v>0</v>
          </cell>
          <cell r="AQ51">
            <v>706.67989428683973</v>
          </cell>
          <cell r="AR51">
            <v>755.61583444410257</v>
          </cell>
          <cell r="AS51">
            <v>22.330966607802122</v>
          </cell>
          <cell r="AT51">
            <v>0.40630630630630554</v>
          </cell>
          <cell r="AU51">
            <v>100065.62188507842</v>
          </cell>
          <cell r="AV51">
            <v>261599.50230979969</v>
          </cell>
          <cell r="AW51">
            <v>292118.28678585548</v>
          </cell>
          <cell r="AX51">
            <v>0</v>
          </cell>
          <cell r="AY51">
            <v>28759.821269663968</v>
          </cell>
          <cell r="AZ51">
            <v>34149.60551832593</v>
          </cell>
          <cell r="BA51">
            <v>3522.9873832794351</v>
          </cell>
          <cell r="BB51">
            <v>1.0410410410410498</v>
          </cell>
          <cell r="BC51">
            <v>576.90499696872018</v>
          </cell>
          <cell r="BD51">
            <v>1510.9570652478205</v>
          </cell>
          <cell r="BE51">
            <v>851.56390438581093</v>
          </cell>
          <cell r="BF51">
            <v>0</v>
          </cell>
          <cell r="BG51">
            <v>10743.836967655581</v>
          </cell>
          <cell r="BH51">
            <v>10907.287328591219</v>
          </cell>
          <cell r="BI51">
            <v>54.097874068694118</v>
          </cell>
          <cell r="BJ51">
            <v>0.41041041041041265</v>
          </cell>
          <cell r="BK51">
            <v>629.71679668115769</v>
          </cell>
          <cell r="BL51">
            <v>1288.0616956695899</v>
          </cell>
          <cell r="BM51">
            <v>485.12844883426328</v>
          </cell>
          <cell r="BN51">
            <v>9.0090090090085423E-2</v>
          </cell>
          <cell r="BO51">
            <v>457758.77118384989</v>
          </cell>
          <cell r="BP51">
            <v>460654.85586352053</v>
          </cell>
          <cell r="BQ51">
            <v>1248.4158228714614</v>
          </cell>
          <cell r="BR51">
            <v>0.37747747747749089</v>
          </cell>
          <cell r="BS51">
            <v>109962.08968074655</v>
          </cell>
          <cell r="BT51">
            <v>109962.08970080885</v>
          </cell>
          <cell r="BU51">
            <v>125864.03608205184</v>
          </cell>
          <cell r="BV51">
            <v>0</v>
          </cell>
          <cell r="BW51">
            <v>556567188.17815542</v>
          </cell>
          <cell r="BX51">
            <v>556567509.52575779</v>
          </cell>
          <cell r="BY51">
            <v>21179895.02106126</v>
          </cell>
          <cell r="BZ51">
            <v>0.29029029029029929</v>
          </cell>
          <cell r="CA51">
            <v>263628.79885004333</v>
          </cell>
          <cell r="CB51">
            <v>688654.26467323082</v>
          </cell>
          <cell r="CC51">
            <v>386115.42843525147</v>
          </cell>
          <cell r="CD51">
            <v>0.19495895895895685</v>
          </cell>
          <cell r="CE51">
            <v>121.96753711525523</v>
          </cell>
          <cell r="CF51">
            <v>156.38139349152311</v>
          </cell>
          <cell r="CG51">
            <v>42.897561100904028</v>
          </cell>
          <cell r="CH51">
            <v>0</v>
          </cell>
          <cell r="CI51">
            <v>117919.27949118246</v>
          </cell>
          <cell r="CJ51">
            <v>306902.25574481097</v>
          </cell>
          <cell r="CK51">
            <v>171444.53879444697</v>
          </cell>
          <cell r="CL51">
            <v>0.19853453453454184</v>
          </cell>
          <cell r="CM51">
            <v>99.830359605491466</v>
          </cell>
          <cell r="CN51">
            <v>142.37720201384681</v>
          </cell>
          <cell r="CO51">
            <v>46.260643968820837</v>
          </cell>
          <cell r="CP51">
            <v>0</v>
          </cell>
          <cell r="CQ51">
            <v>71975.076494017339</v>
          </cell>
          <cell r="CR51">
            <v>187843.21036760876</v>
          </cell>
          <cell r="CS51">
            <v>209418.58648434724</v>
          </cell>
          <cell r="CT51">
            <v>0</v>
          </cell>
          <cell r="CU51">
            <v>46555.363766857365</v>
          </cell>
          <cell r="CV51">
            <v>85623.382178259126</v>
          </cell>
          <cell r="CW51">
            <v>31291.024025258299</v>
          </cell>
          <cell r="CX51">
            <v>0.61061061061056199</v>
          </cell>
          <cell r="CY51">
            <v>2295.1204299784026</v>
          </cell>
          <cell r="CZ51">
            <v>2533.1034040054615</v>
          </cell>
          <cell r="DA51">
            <v>121.6659392832394</v>
          </cell>
          <cell r="DB51">
            <v>0.10570570570571197</v>
          </cell>
          <cell r="DC51">
            <v>575352.5872047611</v>
          </cell>
          <cell r="DD51">
            <v>1452662.1028080604</v>
          </cell>
          <cell r="DE51">
            <v>1248472.5792038352</v>
          </cell>
          <cell r="DF51">
            <v>4.8948948948946951</v>
          </cell>
          <cell r="DG51">
            <v>10234.653357218778</v>
          </cell>
          <cell r="DH51">
            <v>10405.022068060063</v>
          </cell>
          <cell r="DI51">
            <v>54.443467793514351</v>
          </cell>
          <cell r="DJ51">
            <v>0.41041041041041265</v>
          </cell>
          <cell r="DK51">
            <v>624.38392534507625</v>
          </cell>
          <cell r="DL51">
            <v>1284.4219621493066</v>
          </cell>
          <cell r="DM51">
            <v>485.60552544328351</v>
          </cell>
          <cell r="DN51">
            <v>9.0090090090085423E-2</v>
          </cell>
          <cell r="DO51">
            <v>58414.732189819086</v>
          </cell>
          <cell r="DP51">
            <v>59824.894995995935</v>
          </cell>
          <cell r="DQ51">
            <v>699.10262384385294</v>
          </cell>
          <cell r="DR51">
            <v>9.0090090090085423E-2</v>
          </cell>
          <cell r="DS51">
            <v>36208.620499514414</v>
          </cell>
          <cell r="DT51">
            <v>36329.803283038338</v>
          </cell>
          <cell r="DU51">
            <v>5.7753436788409047</v>
          </cell>
          <cell r="DV51">
            <v>0.37747747747749089</v>
          </cell>
          <cell r="DW51">
            <v>16866.257058656865</v>
          </cell>
          <cell r="DX51">
            <v>16936.783003478289</v>
          </cell>
          <cell r="DY51">
            <v>11.04813694360235</v>
          </cell>
          <cell r="DZ51">
            <v>8.1981981981981408E-2</v>
          </cell>
          <cell r="EA51">
            <v>33949.215439229942</v>
          </cell>
          <cell r="EB51">
            <v>64594.068243366768</v>
          </cell>
          <cell r="EC51">
            <v>27390.273481782322</v>
          </cell>
          <cell r="ED51">
            <v>0.40630630630630554</v>
          </cell>
          <cell r="EE51">
            <v>154895.99165241048</v>
          </cell>
          <cell r="EF51">
            <v>168610.85901787566</v>
          </cell>
          <cell r="EG51">
            <v>7669.5256257643796</v>
          </cell>
          <cell r="EH51">
            <v>0.40630630630630554</v>
          </cell>
          <cell r="EI51">
            <v>291733.17692333681</v>
          </cell>
          <cell r="EJ51">
            <v>448925.31766460242</v>
          </cell>
          <cell r="EK51">
            <v>126210.32532851714</v>
          </cell>
          <cell r="EL51">
            <v>0.61061061061056199</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row>
        <row r="52">
          <cell r="B52" t="str">
            <v>Skewness</v>
          </cell>
          <cell r="C52">
            <v>1.8881496911983413</v>
          </cell>
          <cell r="D52">
            <v>1.6978644904265732</v>
          </cell>
          <cell r="E52">
            <v>1.0156681067237066E-2</v>
          </cell>
          <cell r="F52">
            <v>-1.9169155646254299</v>
          </cell>
          <cell r="G52">
            <v>0.71285754616844765</v>
          </cell>
          <cell r="H52">
            <v>0.40988859943665895</v>
          </cell>
          <cell r="I52">
            <v>0.31555357601751755</v>
          </cell>
          <cell r="J52">
            <v>-2.6626676668346754</v>
          </cell>
          <cell r="K52">
            <v>2.9023689090203222</v>
          </cell>
          <cell r="L52">
            <v>2.8951034948957886</v>
          </cell>
          <cell r="M52">
            <v>1.1171270739411529E-2</v>
          </cell>
          <cell r="N52">
            <v>-1.4977505625934697</v>
          </cell>
          <cell r="O52">
            <v>4.1192837113326197</v>
          </cell>
          <cell r="P52">
            <v>4.1129634487143649</v>
          </cell>
          <cell r="Q52">
            <v>-6.3031002085162163E-3</v>
          </cell>
          <cell r="R52">
            <v>-2.8610149938815232</v>
          </cell>
          <cell r="S52">
            <v>2.5824235577222119</v>
          </cell>
          <cell r="T52">
            <v>2.3386023114433954</v>
          </cell>
          <cell r="U52">
            <v>4.1352026010150738E-3</v>
          </cell>
          <cell r="V52">
            <v>-1.9169155646254299</v>
          </cell>
          <cell r="W52">
            <v>0.81011150419363309</v>
          </cell>
          <cell r="X52">
            <v>0.35308729592641447</v>
          </cell>
          <cell r="Y52">
            <v>-0.39872633995681367</v>
          </cell>
          <cell r="Z52">
            <v>-1.9169155646254299</v>
          </cell>
          <cell r="AA52">
            <v>2.4087057344292626</v>
          </cell>
          <cell r="AB52">
            <v>1.9730971873950194</v>
          </cell>
          <cell r="AC52">
            <v>-6.8905164130896437E-2</v>
          </cell>
          <cell r="AD52">
            <v>-3.2627790962869754</v>
          </cell>
          <cell r="AE52">
            <v>2.748295470251934</v>
          </cell>
          <cell r="AF52">
            <v>2.7456381560283005</v>
          </cell>
          <cell r="AG52">
            <v>5.5529014464651298E-2</v>
          </cell>
          <cell r="AH52">
            <v>-2.0906684485783913</v>
          </cell>
          <cell r="AI52">
            <v>4.2800729266426325</v>
          </cell>
          <cell r="AJ52">
            <v>4.2705102801617194</v>
          </cell>
          <cell r="AK52">
            <v>2.2460269021177359E-3</v>
          </cell>
          <cell r="AL52">
            <v>-2.8610149938815232</v>
          </cell>
          <cell r="AM52">
            <v>-7.3872829466695581E-3</v>
          </cell>
          <cell r="AN52">
            <v>-6.1497179260903805E-3</v>
          </cell>
          <cell r="AO52">
            <v>-4.186284727977327E-3</v>
          </cell>
          <cell r="AP52" t="str">
            <v>---</v>
          </cell>
          <cell r="AQ52">
            <v>3.3773739869708219</v>
          </cell>
          <cell r="AR52">
            <v>3.1928300806131067</v>
          </cell>
          <cell r="AS52">
            <v>-0.17414469044624689</v>
          </cell>
          <cell r="AT52">
            <v>-3.2627790962869754</v>
          </cell>
          <cell r="AU52">
            <v>-5.5675705269328263E-3</v>
          </cell>
          <cell r="AV52">
            <v>-4.7397549454719773E-3</v>
          </cell>
          <cell r="AW52">
            <v>-3.3878568266563908E-3</v>
          </cell>
          <cell r="AX52" t="str">
            <v>---</v>
          </cell>
          <cell r="AY52">
            <v>1.7922521772736095</v>
          </cell>
          <cell r="AZ52">
            <v>1.4595029552889831</v>
          </cell>
          <cell r="BA52">
            <v>4.3584942934001489E-2</v>
          </cell>
          <cell r="BB52">
            <v>-1.4234755584177106</v>
          </cell>
          <cell r="BC52">
            <v>8.3289217417384972E-4</v>
          </cell>
          <cell r="BD52">
            <v>1.1257246813586193E-3</v>
          </cell>
          <cell r="BE52">
            <v>5.0325772529369317E-3</v>
          </cell>
          <cell r="BF52" t="str">
            <v>---</v>
          </cell>
          <cell r="BG52">
            <v>2.1249795291197837</v>
          </cell>
          <cell r="BH52">
            <v>2.0964018068871897</v>
          </cell>
          <cell r="BI52">
            <v>-4.6839363557977494E-3</v>
          </cell>
          <cell r="BJ52">
            <v>-1.9169155646254299</v>
          </cell>
          <cell r="BK52">
            <v>0.77279040680597877</v>
          </cell>
          <cell r="BL52">
            <v>0.46356538024439031</v>
          </cell>
          <cell r="BM52">
            <v>0.30635233986933508</v>
          </cell>
          <cell r="BN52">
            <v>-2.6626676668346754</v>
          </cell>
          <cell r="BO52">
            <v>2.9501262352151501</v>
          </cell>
          <cell r="BP52">
            <v>2.9307431038326945</v>
          </cell>
          <cell r="BQ52">
            <v>-0.42110456197195834</v>
          </cell>
          <cell r="BR52">
            <v>-2.0906684485783913</v>
          </cell>
          <cell r="BS52">
            <v>-2.2627353018174609E-3</v>
          </cell>
          <cell r="BT52">
            <v>-2.2627354755238934E-3</v>
          </cell>
          <cell r="BU52">
            <v>-3.8514295211110722E-3</v>
          </cell>
          <cell r="BV52" t="str">
            <v>---</v>
          </cell>
          <cell r="BW52">
            <v>4.7961482331202445</v>
          </cell>
          <cell r="BX52">
            <v>4.7961317989290864</v>
          </cell>
          <cell r="BY52">
            <v>6.976492742190854E-2</v>
          </cell>
          <cell r="BZ52">
            <v>-5.8310407142497658</v>
          </cell>
          <cell r="CA52">
            <v>0.45037673446667331</v>
          </cell>
          <cell r="CB52">
            <v>0.45173460378726771</v>
          </cell>
          <cell r="CC52">
            <v>0.45888588786566153</v>
          </cell>
          <cell r="CD52">
            <v>-4.6800929581755923</v>
          </cell>
          <cell r="CE52">
            <v>7.2999323540186545</v>
          </cell>
          <cell r="CF52">
            <v>4.6343104206602774</v>
          </cell>
          <cell r="CG52">
            <v>-9.1613511778266835E-2</v>
          </cell>
          <cell r="CH52" t="str">
            <v>---</v>
          </cell>
          <cell r="CI52">
            <v>0.43979322642642332</v>
          </cell>
          <cell r="CJ52">
            <v>0.44453873046053588</v>
          </cell>
          <cell r="CK52">
            <v>0.45602811220141948</v>
          </cell>
          <cell r="CL52">
            <v>-4.6175976890384698</v>
          </cell>
          <cell r="CM52">
            <v>5.8527670467972932</v>
          </cell>
          <cell r="CN52">
            <v>3.4301474540755135</v>
          </cell>
          <cell r="CO52">
            <v>2.0046946410207625E-3</v>
          </cell>
          <cell r="CP52" t="str">
            <v>---</v>
          </cell>
          <cell r="CQ52">
            <v>-3.2635777681108385E-3</v>
          </cell>
          <cell r="CR52">
            <v>-8.6767648416168617E-4</v>
          </cell>
          <cell r="CS52">
            <v>3.2823790404388708E-3</v>
          </cell>
          <cell r="CT52" t="str">
            <v>---</v>
          </cell>
          <cell r="CU52">
            <v>0.87406864223311298</v>
          </cell>
          <cell r="CV52">
            <v>0.4390139790716554</v>
          </cell>
          <cell r="CW52">
            <v>1.8803045208680372E-2</v>
          </cell>
          <cell r="CX52">
            <v>-2.5652807230338333</v>
          </cell>
          <cell r="CY52">
            <v>2.2213323335398543</v>
          </cell>
          <cell r="CZ52">
            <v>2.0292236564148758</v>
          </cell>
          <cell r="DA52">
            <v>-1.1504071138207181E-2</v>
          </cell>
          <cell r="DB52">
            <v>-2.3352310982881188</v>
          </cell>
          <cell r="DC52">
            <v>0.48058146747835395</v>
          </cell>
          <cell r="DD52">
            <v>0.4420109748954551</v>
          </cell>
          <cell r="DE52">
            <v>-0.10865137481866766</v>
          </cell>
          <cell r="DF52">
            <v>-2.4532612904701803</v>
          </cell>
          <cell r="DG52">
            <v>2.1457134303429939</v>
          </cell>
          <cell r="DH52">
            <v>2.1166116950261356</v>
          </cell>
          <cell r="DI52">
            <v>2.071469185816543E-3</v>
          </cell>
          <cell r="DJ52">
            <v>-1.9169155646254299</v>
          </cell>
          <cell r="DK52">
            <v>0.65557320235722849</v>
          </cell>
          <cell r="DL52">
            <v>0.36667545368392312</v>
          </cell>
          <cell r="DM52">
            <v>0.31355982237664243</v>
          </cell>
          <cell r="DN52">
            <v>-2.6626676668346754</v>
          </cell>
          <cell r="DO52">
            <v>4.3785702269898641</v>
          </cell>
          <cell r="DP52">
            <v>4.2890818929049255</v>
          </cell>
          <cell r="DQ52">
            <v>-0.4253710960197114</v>
          </cell>
          <cell r="DR52">
            <v>-2.6626676668346754</v>
          </cell>
          <cell r="DS52">
            <v>2.7250106813435679</v>
          </cell>
          <cell r="DT52">
            <v>2.7212053296199219</v>
          </cell>
          <cell r="DU52">
            <v>-6.7562400538763723E-3</v>
          </cell>
          <cell r="DV52">
            <v>-2.0906684485783913</v>
          </cell>
          <cell r="DW52">
            <v>4.1441752310044793</v>
          </cell>
          <cell r="DX52">
            <v>4.1406361829384908</v>
          </cell>
          <cell r="DY52">
            <v>-5.4462409316183734E-3</v>
          </cell>
          <cell r="DZ52">
            <v>-2.8610149938815232</v>
          </cell>
          <cell r="EA52">
            <v>1.2014348001327506</v>
          </cell>
          <cell r="EB52">
            <v>0.52917125925004427</v>
          </cell>
          <cell r="EC52">
            <v>-2.118458015808081E-2</v>
          </cell>
          <cell r="ED52">
            <v>-3.2627790962869754</v>
          </cell>
          <cell r="EE52">
            <v>3.4350667265454313</v>
          </cell>
          <cell r="EF52">
            <v>3.1703219813565506</v>
          </cell>
          <cell r="EG52">
            <v>1.3614553206444344E-2</v>
          </cell>
          <cell r="EH52">
            <v>-3.2627790962869754</v>
          </cell>
          <cell r="EI52">
            <v>1.3119937335198733</v>
          </cell>
          <cell r="EJ52">
            <v>0.75659796804715296</v>
          </cell>
          <cell r="EK52">
            <v>3.4895722724555225E-2</v>
          </cell>
          <cell r="EL52">
            <v>-2.5652807230338333</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row>
        <row r="53">
          <cell r="B53" t="str">
            <v>Kurtosis</v>
          </cell>
          <cell r="C53">
            <v>5.5182382801766012</v>
          </cell>
          <cell r="D53">
            <v>5.1494360728026844</v>
          </cell>
          <cell r="E53">
            <v>2.4080118024524304</v>
          </cell>
          <cell r="F53">
            <v>5.1396160957769927</v>
          </cell>
          <cell r="G53">
            <v>3.3424636380589661</v>
          </cell>
          <cell r="H53">
            <v>2.7137474891871824</v>
          </cell>
          <cell r="I53">
            <v>2.4103287652876566</v>
          </cell>
          <cell r="J53">
            <v>8.0948970000042273</v>
          </cell>
          <cell r="K53">
            <v>11.097584117128276</v>
          </cell>
          <cell r="L53">
            <v>11.07668856771023</v>
          </cell>
          <cell r="M53">
            <v>2.4395551593801081</v>
          </cell>
          <cell r="N53">
            <v>3.2435032499992014</v>
          </cell>
          <cell r="O53">
            <v>20.490648064216334</v>
          </cell>
          <cell r="P53">
            <v>20.441089512103797</v>
          </cell>
          <cell r="Q53">
            <v>2.3964816490677787</v>
          </cell>
          <cell r="R53">
            <v>9.1916013956083553</v>
          </cell>
          <cell r="S53">
            <v>9.5670844712915457</v>
          </cell>
          <cell r="T53">
            <v>8.8025450321517074</v>
          </cell>
          <cell r="U53">
            <v>2.4002761909919141</v>
          </cell>
          <cell r="V53">
            <v>5.1396160957769927</v>
          </cell>
          <cell r="W53">
            <v>3.4510489666691671</v>
          </cell>
          <cell r="X53">
            <v>3.0831685897432104</v>
          </cell>
          <cell r="Y53">
            <v>2.3894808624131647</v>
          </cell>
          <cell r="Z53">
            <v>5.1396160957769927</v>
          </cell>
          <cell r="AA53">
            <v>8.9571301302831507</v>
          </cell>
          <cell r="AB53">
            <v>7.3754436548123445</v>
          </cell>
          <cell r="AC53">
            <v>2.5287094216379318</v>
          </cell>
          <cell r="AD53">
            <v>13.028669995706872</v>
          </cell>
          <cell r="AE53">
            <v>10.124739297219376</v>
          </cell>
          <cell r="AF53">
            <v>10.111996307097808</v>
          </cell>
          <cell r="AG53">
            <v>2.3824179567248187</v>
          </cell>
          <cell r="AH53">
            <v>5.8677183959821821</v>
          </cell>
          <cell r="AI53">
            <v>22.090383600617894</v>
          </cell>
          <cell r="AJ53">
            <v>22.016535659505848</v>
          </cell>
          <cell r="AK53">
            <v>2.409940805745971</v>
          </cell>
          <cell r="AL53">
            <v>9.1916013956083553</v>
          </cell>
          <cell r="AM53">
            <v>2.3841783003865364</v>
          </cell>
          <cell r="AN53">
            <v>2.3822532836487165</v>
          </cell>
          <cell r="AO53">
            <v>2.3796749264026502</v>
          </cell>
          <cell r="AP53" t="str">
            <v>---</v>
          </cell>
          <cell r="AQ53">
            <v>14.749474313224134</v>
          </cell>
          <cell r="AR53">
            <v>13.721633377484588</v>
          </cell>
          <cell r="AS53">
            <v>2.6966957090271126</v>
          </cell>
          <cell r="AT53">
            <v>13.028669995706872</v>
          </cell>
          <cell r="AU53">
            <v>2.4087499342866643</v>
          </cell>
          <cell r="AV53">
            <v>2.4083695677066395</v>
          </cell>
          <cell r="AW53">
            <v>2.4080557907983842</v>
          </cell>
          <cell r="AX53" t="str">
            <v>---</v>
          </cell>
          <cell r="AY53">
            <v>5.8988058917776804</v>
          </cell>
          <cell r="AZ53">
            <v>5.1028164433822001</v>
          </cell>
          <cell r="BA53">
            <v>2.3992416695565608</v>
          </cell>
          <cell r="BB53">
            <v>3.501861497041967</v>
          </cell>
          <cell r="BC53">
            <v>2.4247020355596445</v>
          </cell>
          <cell r="BD53">
            <v>2.4235942660502907</v>
          </cell>
          <cell r="BE53">
            <v>2.4134456755949723</v>
          </cell>
          <cell r="BF53" t="str">
            <v>---</v>
          </cell>
          <cell r="BG53">
            <v>6.3728728737968519</v>
          </cell>
          <cell r="BH53">
            <v>6.2864481266473895</v>
          </cell>
          <cell r="BI53">
            <v>2.4603949926130468</v>
          </cell>
          <cell r="BJ53">
            <v>5.1396160957769927</v>
          </cell>
          <cell r="BK53">
            <v>3.6022180224562677</v>
          </cell>
          <cell r="BL53">
            <v>2.8827937052235746</v>
          </cell>
          <cell r="BM53">
            <v>2.3913375036108371</v>
          </cell>
          <cell r="BN53">
            <v>8.0948970000042273</v>
          </cell>
          <cell r="BO53">
            <v>11.214768971008265</v>
          </cell>
          <cell r="BP53">
            <v>11.138730524011299</v>
          </cell>
          <cell r="BQ53">
            <v>2.4207237355989277</v>
          </cell>
          <cell r="BR53">
            <v>5.8677183959821821</v>
          </cell>
          <cell r="BS53">
            <v>2.6426199409805986</v>
          </cell>
          <cell r="BT53">
            <v>2.6426199405950079</v>
          </cell>
          <cell r="BU53">
            <v>2.6459202369782573</v>
          </cell>
          <cell r="BV53" t="str">
            <v>---</v>
          </cell>
          <cell r="BW53">
            <v>25.693465272535025</v>
          </cell>
          <cell r="BX53">
            <v>25.69330282236329</v>
          </cell>
          <cell r="BY53">
            <v>2.993429565915191</v>
          </cell>
          <cell r="BZ53">
            <v>37.471911506540124</v>
          </cell>
          <cell r="CA53">
            <v>2.3910435599973447</v>
          </cell>
          <cell r="CB53">
            <v>2.3909147376411144</v>
          </cell>
          <cell r="CC53">
            <v>2.4077057356783049</v>
          </cell>
          <cell r="CD53">
            <v>25.834014695395155</v>
          </cell>
          <cell r="CE53">
            <v>71.99435426567706</v>
          </cell>
          <cell r="CF53">
            <v>40.421152232692428</v>
          </cell>
          <cell r="CG53">
            <v>2.8173542913885221</v>
          </cell>
          <cell r="CH53" t="str">
            <v>---</v>
          </cell>
          <cell r="CI53">
            <v>2.4057718899932778</v>
          </cell>
          <cell r="CJ53">
            <v>2.4019533957508545</v>
          </cell>
          <cell r="CK53">
            <v>2.396898700396116</v>
          </cell>
          <cell r="CL53">
            <v>25.155304044936337</v>
          </cell>
          <cell r="CM53">
            <v>49.176759773864859</v>
          </cell>
          <cell r="CN53">
            <v>25.3347573405741</v>
          </cell>
          <cell r="CO53">
            <v>3.0121003854842421</v>
          </cell>
          <cell r="CP53" t="str">
            <v>---</v>
          </cell>
          <cell r="CQ53">
            <v>2.4033998196021189</v>
          </cell>
          <cell r="CR53">
            <v>2.4041380878588727</v>
          </cell>
          <cell r="CS53">
            <v>2.4070287180129739</v>
          </cell>
          <cell r="CT53" t="str">
            <v>---</v>
          </cell>
          <cell r="CU53">
            <v>3.8668533314982225</v>
          </cell>
          <cell r="CV53">
            <v>3.1491723434547745</v>
          </cell>
          <cell r="CW53">
            <v>2.398294805611267</v>
          </cell>
          <cell r="CX53">
            <v>8.2975428478929771</v>
          </cell>
          <cell r="CY53">
            <v>6.3865388921108712</v>
          </cell>
          <cell r="CZ53">
            <v>6.0291043759363587</v>
          </cell>
          <cell r="DA53">
            <v>2.3864872123884093</v>
          </cell>
          <cell r="DB53">
            <v>6.4567640454569464</v>
          </cell>
          <cell r="DC53">
            <v>3.3915964266600298</v>
          </cell>
          <cell r="DD53">
            <v>3.3283622484802975</v>
          </cell>
          <cell r="DE53">
            <v>2.5027906654757759</v>
          </cell>
          <cell r="DF53">
            <v>7.7877183180782943</v>
          </cell>
          <cell r="DG53">
            <v>6.447769018869276</v>
          </cell>
          <cell r="DH53">
            <v>6.3548499436740205</v>
          </cell>
          <cell r="DI53">
            <v>2.4374217741970088</v>
          </cell>
          <cell r="DJ53">
            <v>5.1396160957769927</v>
          </cell>
          <cell r="DK53">
            <v>3.1393569961398295</v>
          </cell>
          <cell r="DL53">
            <v>2.5849504924865969</v>
          </cell>
          <cell r="DM53">
            <v>2.4013721528987486</v>
          </cell>
          <cell r="DN53">
            <v>8.0948970000042273</v>
          </cell>
          <cell r="DO53">
            <v>23.06883685672506</v>
          </cell>
          <cell r="DP53">
            <v>22.552490106391843</v>
          </cell>
          <cell r="DQ53">
            <v>2.3987252710792495</v>
          </cell>
          <cell r="DR53">
            <v>8.0948970000042273</v>
          </cell>
          <cell r="DS53">
            <v>9.7999075805652875</v>
          </cell>
          <cell r="DT53">
            <v>9.7804039275464678</v>
          </cell>
          <cell r="DU53">
            <v>2.4197259100458179</v>
          </cell>
          <cell r="DV53">
            <v>5.8677183959821821</v>
          </cell>
          <cell r="DW53">
            <v>20.502307257593699</v>
          </cell>
          <cell r="DX53">
            <v>20.480453543327627</v>
          </cell>
          <cell r="DY53">
            <v>2.3940420356917484</v>
          </cell>
          <cell r="DZ53">
            <v>9.1916013956083553</v>
          </cell>
          <cell r="EA53">
            <v>5.8098901846046136</v>
          </cell>
          <cell r="EB53">
            <v>3.6632212206151995</v>
          </cell>
          <cell r="EC53">
            <v>2.3901656812725824</v>
          </cell>
          <cell r="ED53">
            <v>13.028669995706872</v>
          </cell>
          <cell r="EE53">
            <v>15.290770148283835</v>
          </cell>
          <cell r="EF53">
            <v>14.045532636440127</v>
          </cell>
          <cell r="EG53">
            <v>2.3773962583208004</v>
          </cell>
          <cell r="EH53">
            <v>13.028669995706872</v>
          </cell>
          <cell r="EI53">
            <v>4.5533435264898934</v>
          </cell>
          <cell r="EJ53">
            <v>3.5098054283352744</v>
          </cell>
          <cell r="EK53">
            <v>2.3734591473890747</v>
          </cell>
          <cell r="EL53">
            <v>8.2975428478929771</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row>
        <row r="54">
          <cell r="B54" t="str">
            <v>Coeff. of Variability</v>
          </cell>
          <cell r="C54">
            <v>0.31330425968523029</v>
          </cell>
          <cell r="D54">
            <v>0.22058835096940302</v>
          </cell>
          <cell r="E54">
            <v>8.2896054785382672E-2</v>
          </cell>
          <cell r="F54">
            <v>3.1845345741044395E-4</v>
          </cell>
          <cell r="G54">
            <v>0.17520594909918258</v>
          </cell>
          <cell r="H54">
            <v>0.15695755365520569</v>
          </cell>
          <cell r="I54">
            <v>0.14445064053476062</v>
          </cell>
          <cell r="J54">
            <v>1.492615806821942E-4</v>
          </cell>
          <cell r="K54">
            <v>1.7251616642213061</v>
          </cell>
          <cell r="L54">
            <v>1.4329041657398698</v>
          </cell>
          <cell r="M54">
            <v>0.15533925931447484</v>
          </cell>
          <cell r="N54">
            <v>1.9902533823608123E-4</v>
          </cell>
          <cell r="O54">
            <v>1.7801983464209581</v>
          </cell>
          <cell r="P54">
            <v>1.398144317208039</v>
          </cell>
          <cell r="Q54">
            <v>8.2138796405196501E-2</v>
          </cell>
          <cell r="R54">
            <v>1.4238576500836216E-4</v>
          </cell>
          <cell r="S54">
            <v>0.38278103180003115</v>
          </cell>
          <cell r="T54">
            <v>0.26543263575784865</v>
          </cell>
          <cell r="U54">
            <v>0.10332972005625417</v>
          </cell>
          <cell r="V54">
            <v>3.1845345741044395E-4</v>
          </cell>
          <cell r="W54">
            <v>0.13677303718749953</v>
          </cell>
          <cell r="X54">
            <v>0.11080762933506233</v>
          </cell>
          <cell r="Y54">
            <v>9.216598142032803E-2</v>
          </cell>
          <cell r="Z54">
            <v>3.1845345741044395E-4</v>
          </cell>
          <cell r="AA54">
            <v>7.6095578463390448E-2</v>
          </cell>
          <cell r="AB54">
            <v>5.4862051376702824E-2</v>
          </cell>
          <cell r="AC54">
            <v>4.2950897568467726E-2</v>
          </cell>
          <cell r="AD54">
            <v>3.1668559957541919E-4</v>
          </cell>
          <cell r="AE54">
            <v>1.7123088250846801</v>
          </cell>
          <cell r="AF54">
            <v>1.429178024045302</v>
          </cell>
          <cell r="AG54">
            <v>6.2813108457603462E-2</v>
          </cell>
          <cell r="AH54">
            <v>3.0540477973185054E-4</v>
          </cell>
          <cell r="AI54">
            <v>1.9015053974456533</v>
          </cell>
          <cell r="AJ54">
            <v>1.5106131000653804</v>
          </cell>
          <cell r="AK54">
            <v>0.10218509379795397</v>
          </cell>
          <cell r="AL54">
            <v>1.4238576500836216E-4</v>
          </cell>
          <cell r="AM54">
            <v>5.9030144089121057E-2</v>
          </cell>
          <cell r="AN54">
            <v>5.9816373118406048E-2</v>
          </cell>
          <cell r="AO54">
            <v>6.1148096129824754E-2</v>
          </cell>
          <cell r="AP54">
            <v>0</v>
          </cell>
          <cell r="AQ54">
            <v>0.17256092114331376</v>
          </cell>
          <cell r="AR54">
            <v>0.11558639384476292</v>
          </cell>
          <cell r="AS54">
            <v>4.4105640062250553E-2</v>
          </cell>
          <cell r="AT54">
            <v>3.1668559957541919E-4</v>
          </cell>
          <cell r="AU54">
            <v>5.9612168732816113E-2</v>
          </cell>
          <cell r="AV54">
            <v>6.0234925785624747E-2</v>
          </cell>
          <cell r="AW54">
            <v>6.1279629142681265E-2</v>
          </cell>
          <cell r="AX54">
            <v>0</v>
          </cell>
          <cell r="AY54">
            <v>0.28383151709656856</v>
          </cell>
          <cell r="AZ54">
            <v>0.20074423808913544</v>
          </cell>
          <cell r="BA54">
            <v>0.10551002033722934</v>
          </cell>
          <cell r="BB54">
            <v>5.070136093298309E-4</v>
          </cell>
          <cell r="BC54">
            <v>8.6356190674481761E-2</v>
          </cell>
          <cell r="BD54">
            <v>8.6013217483037696E-2</v>
          </cell>
          <cell r="BE54">
            <v>0.10224358783516165</v>
          </cell>
          <cell r="BF54">
            <v>0</v>
          </cell>
          <cell r="BG54">
            <v>0.72817711370627847</v>
          </cell>
          <cell r="BH54">
            <v>0.54902996771724055</v>
          </cell>
          <cell r="BI54">
            <v>8.3165650475211086E-2</v>
          </cell>
          <cell r="BJ54">
            <v>3.1845345741044395E-4</v>
          </cell>
          <cell r="BK54">
            <v>0.17429436548399777</v>
          </cell>
          <cell r="BL54">
            <v>0.15610414816740881</v>
          </cell>
          <cell r="BM54">
            <v>0.14427239011615167</v>
          </cell>
          <cell r="BN54">
            <v>1.492615806821942E-4</v>
          </cell>
          <cell r="BO54">
            <v>1.8230832730821522</v>
          </cell>
          <cell r="BP54">
            <v>1.5222231496420706</v>
          </cell>
          <cell r="BQ54">
            <v>0.25553916261634663</v>
          </cell>
          <cell r="BR54">
            <v>3.0540477973185054E-4</v>
          </cell>
          <cell r="BS54">
            <v>7.4570538430266758E-2</v>
          </cell>
          <cell r="BT54">
            <v>7.4570538437075506E-2</v>
          </cell>
          <cell r="BU54">
            <v>7.4373285248486923E-2</v>
          </cell>
          <cell r="BV54">
            <v>0</v>
          </cell>
          <cell r="BW54">
            <v>0.31196479353160272</v>
          </cell>
          <cell r="BX54">
            <v>0.3116684683163467</v>
          </cell>
          <cell r="BY54">
            <v>5.0252915546985542E-2</v>
          </cell>
          <cell r="BZ54">
            <v>2.6753361193005093E-4</v>
          </cell>
          <cell r="CA54">
            <v>0.41039885528660719</v>
          </cell>
          <cell r="CB54">
            <v>0.4109367077473407</v>
          </cell>
          <cell r="CC54">
            <v>0.4129309989610393</v>
          </cell>
          <cell r="CD54">
            <v>2.1935659356270848E-4</v>
          </cell>
          <cell r="CE54">
            <v>0.16594144406389799</v>
          </cell>
          <cell r="CF54">
            <v>0.11687836346181978</v>
          </cell>
          <cell r="CG54">
            <v>7.4814462767022957E-2</v>
          </cell>
          <cell r="CH54">
            <v>0</v>
          </cell>
          <cell r="CI54">
            <v>0.40986120646239588</v>
          </cell>
          <cell r="CJ54">
            <v>0.41032620333742559</v>
          </cell>
          <cell r="CK54">
            <v>0.4127794677080574</v>
          </cell>
          <cell r="CL54">
            <v>2.2135919011391674E-4</v>
          </cell>
          <cell r="CM54">
            <v>0.15045102993349743</v>
          </cell>
          <cell r="CN54">
            <v>0.11167180694659085</v>
          </cell>
          <cell r="CO54">
            <v>7.7692700753424493E-2</v>
          </cell>
          <cell r="CP54">
            <v>0</v>
          </cell>
          <cell r="CQ54">
            <v>5.7414764128319237E-2</v>
          </cell>
          <cell r="CR54">
            <v>5.8827957483268384E-2</v>
          </cell>
          <cell r="CS54">
            <v>6.1320577810598506E-2</v>
          </cell>
          <cell r="CT54">
            <v>0</v>
          </cell>
          <cell r="CU54">
            <v>0.12877610007172982</v>
          </cell>
          <cell r="CV54">
            <v>0.10854479102468512</v>
          </cell>
          <cell r="CW54">
            <v>0.10405651430417596</v>
          </cell>
          <cell r="CX54">
            <v>3.88242546431697E-4</v>
          </cell>
          <cell r="CY54">
            <v>0.35758564114160463</v>
          </cell>
          <cell r="CZ54">
            <v>0.24034960651163365</v>
          </cell>
          <cell r="DA54">
            <v>0.10182001239788295</v>
          </cell>
          <cell r="DB54">
            <v>1.6168251656774956E-4</v>
          </cell>
          <cell r="DC54">
            <v>0.11929234404461772</v>
          </cell>
          <cell r="DD54">
            <v>0.11721845872403609</v>
          </cell>
          <cell r="DE54">
            <v>0.114912086086267</v>
          </cell>
          <cell r="DF54">
            <v>1.0962989623462609E-3</v>
          </cell>
          <cell r="DG54">
            <v>0.71656509902828469</v>
          </cell>
          <cell r="DH54">
            <v>0.53952059828928622</v>
          </cell>
          <cell r="DI54">
            <v>8.3415108716000885E-2</v>
          </cell>
          <cell r="DJ54">
            <v>3.1845345741044395E-4</v>
          </cell>
          <cell r="DK54">
            <v>0.17370309831429598</v>
          </cell>
          <cell r="DL54">
            <v>0.15598023519281329</v>
          </cell>
          <cell r="DM54">
            <v>0.14437946360259346</v>
          </cell>
          <cell r="DN54">
            <v>1.492615806821942E-4</v>
          </cell>
          <cell r="DO54">
            <v>1.5298998262090286</v>
          </cell>
          <cell r="DP54">
            <v>1.1299503803073232</v>
          </cell>
          <cell r="DQ54">
            <v>0.25451087468763001</v>
          </cell>
          <cell r="DR54">
            <v>1.492615806821942E-4</v>
          </cell>
          <cell r="DS54">
            <v>1.7484475025848327</v>
          </cell>
          <cell r="DT54">
            <v>1.4688358776565307</v>
          </cell>
          <cell r="DU54">
            <v>6.2063128865638251E-2</v>
          </cell>
          <cell r="DV54">
            <v>3.0540477973185054E-4</v>
          </cell>
          <cell r="DW54">
            <v>1.8712578175932622</v>
          </cell>
          <cell r="DX54">
            <v>1.4839447900350011</v>
          </cell>
          <cell r="DY54">
            <v>0.1022086671842382</v>
          </cell>
          <cell r="DZ54">
            <v>1.4238576500836216E-4</v>
          </cell>
          <cell r="EA54">
            <v>0.13162277355487836</v>
          </cell>
          <cell r="EB54">
            <v>0.11322158165039843</v>
          </cell>
          <cell r="EC54">
            <v>0.10407465524095988</v>
          </cell>
          <cell r="ED54">
            <v>3.1668559957541919E-4</v>
          </cell>
          <cell r="EE54">
            <v>0.45412616292113273</v>
          </cell>
          <cell r="EF54">
            <v>0.30810917054245868</v>
          </cell>
          <cell r="EG54">
            <v>0.10280689593114675</v>
          </cell>
          <cell r="EH54">
            <v>3.1668559957541919E-4</v>
          </cell>
          <cell r="EI54">
            <v>0.16828317155219041</v>
          </cell>
          <cell r="EJ54">
            <v>0.13121430837962661</v>
          </cell>
          <cell r="EK54">
            <v>0.10448232239241605</v>
          </cell>
          <cell r="EL54">
            <v>3.88242546431697E-4</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row>
        <row r="55">
          <cell r="B55" t="str">
            <v>Minimum</v>
          </cell>
          <cell r="C55">
            <v>251.84660008614244</v>
          </cell>
          <cell r="D55">
            <v>395.49908648961417</v>
          </cell>
          <cell r="E55">
            <v>264.91312079378588</v>
          </cell>
          <cell r="F55">
            <v>2010</v>
          </cell>
          <cell r="G55">
            <v>98.385636811966791</v>
          </cell>
          <cell r="H55">
            <v>159.1463731894795</v>
          </cell>
          <cell r="I55">
            <v>108.47016540766121</v>
          </cell>
          <cell r="J55">
            <v>2010</v>
          </cell>
          <cell r="K55">
            <v>41.299581439080193</v>
          </cell>
          <cell r="L55">
            <v>66.805265005777045</v>
          </cell>
          <cell r="M55">
            <v>46.023393179488302</v>
          </cell>
          <cell r="N55">
            <v>2010</v>
          </cell>
          <cell r="O55">
            <v>28.53686495538917</v>
          </cell>
          <cell r="P55">
            <v>43.255889620045131</v>
          </cell>
          <cell r="Q55">
            <v>26.041791749005593</v>
          </cell>
          <cell r="R55">
            <v>2010</v>
          </cell>
          <cell r="S55">
            <v>1219.8945680138104</v>
          </cell>
          <cell r="T55">
            <v>1959.1422210255027</v>
          </cell>
          <cell r="U55">
            <v>1289.882144305991</v>
          </cell>
          <cell r="V55">
            <v>2010</v>
          </cell>
          <cell r="W55">
            <v>2239.320106894229</v>
          </cell>
          <cell r="X55">
            <v>3648.410023821195</v>
          </cell>
          <cell r="Y55">
            <v>2344.7714510820215</v>
          </cell>
          <cell r="Z55">
            <v>2010</v>
          </cell>
          <cell r="AA55">
            <v>117.73288296551178</v>
          </cell>
          <cell r="AB55">
            <v>188.17296524395906</v>
          </cell>
          <cell r="AC55">
            <v>78.86597564096013</v>
          </cell>
          <cell r="AD55">
            <v>2010</v>
          </cell>
          <cell r="AE55">
            <v>28.842443759603821</v>
          </cell>
          <cell r="AF55">
            <v>46.654882342716583</v>
          </cell>
          <cell r="AG55">
            <v>33.131226015275409</v>
          </cell>
          <cell r="AH55">
            <v>2010</v>
          </cell>
          <cell r="AI55">
            <v>27.218316989750452</v>
          </cell>
          <cell r="AJ55">
            <v>41.119514851355447</v>
          </cell>
          <cell r="AK55">
            <v>24.687313658139846</v>
          </cell>
          <cell r="AL55">
            <v>2010</v>
          </cell>
          <cell r="AM55">
            <v>3263.218998130686</v>
          </cell>
          <cell r="AN55">
            <v>5195.6615672469916</v>
          </cell>
          <cell r="AO55">
            <v>5096.9252021364073</v>
          </cell>
          <cell r="AP55">
            <v>2019</v>
          </cell>
          <cell r="AQ55">
            <v>134.25560562084345</v>
          </cell>
          <cell r="AR55">
            <v>212.76690415676509</v>
          </cell>
          <cell r="AS55">
            <v>92.001976280634267</v>
          </cell>
          <cell r="AT55">
            <v>2010</v>
          </cell>
          <cell r="AU55">
            <v>4535.5727153607841</v>
          </cell>
          <cell r="AV55">
            <v>7243.5882735236082</v>
          </cell>
          <cell r="AW55">
            <v>7499.6693882183054</v>
          </cell>
          <cell r="AX55">
            <v>2020</v>
          </cell>
          <cell r="AY55">
            <v>401.11209236116173</v>
          </cell>
          <cell r="AZ55">
            <v>651.06624279808807</v>
          </cell>
          <cell r="BA55">
            <v>404.71019852377663</v>
          </cell>
          <cell r="BB55">
            <v>2010</v>
          </cell>
          <cell r="BC55">
            <v>221.36530659475585</v>
          </cell>
          <cell r="BD55">
            <v>359.79080262345184</v>
          </cell>
          <cell r="BE55">
            <v>217.09556319172611</v>
          </cell>
          <cell r="BF55">
            <v>2013</v>
          </cell>
          <cell r="BG55">
            <v>79.979479301672171</v>
          </cell>
          <cell r="BH55">
            <v>118.38184279623769</v>
          </cell>
          <cell r="BI55">
            <v>68.966123375957665</v>
          </cell>
          <cell r="BJ55">
            <v>2010</v>
          </cell>
          <cell r="BK55">
            <v>97.971997734099588</v>
          </cell>
          <cell r="BL55">
            <v>158.47727891408192</v>
          </cell>
          <cell r="BM55">
            <v>108.01412272982331</v>
          </cell>
          <cell r="BN55">
            <v>2010</v>
          </cell>
          <cell r="BO55">
            <v>38.654494615070824</v>
          </cell>
          <cell r="BP55">
            <v>62.526633143556765</v>
          </cell>
          <cell r="BQ55">
            <v>44.74740947345034</v>
          </cell>
          <cell r="BR55">
            <v>2010</v>
          </cell>
          <cell r="BS55">
            <v>3589.1433644716008</v>
          </cell>
          <cell r="BT55">
            <v>3589.1433643641876</v>
          </cell>
          <cell r="BU55">
            <v>3852.0620327725801</v>
          </cell>
          <cell r="BV55">
            <v>2010</v>
          </cell>
          <cell r="BW55">
            <v>59778.302361781374</v>
          </cell>
          <cell r="BX55">
            <v>59848.627298213825</v>
          </cell>
          <cell r="BY55">
            <v>77226.237509104569</v>
          </cell>
          <cell r="BZ55">
            <v>2010</v>
          </cell>
          <cell r="CA55">
            <v>290.37272280445063</v>
          </cell>
          <cell r="CB55">
            <v>469.70032592716331</v>
          </cell>
          <cell r="CC55">
            <v>352.94985996928472</v>
          </cell>
          <cell r="CD55">
            <v>2010</v>
          </cell>
          <cell r="CE55">
            <v>51.231169008415939</v>
          </cell>
          <cell r="CF55">
            <v>82.87037584185434</v>
          </cell>
          <cell r="CG55">
            <v>68.680083769309078</v>
          </cell>
          <cell r="CH55">
            <v>2013</v>
          </cell>
          <cell r="CI55">
            <v>200.74790968927854</v>
          </cell>
          <cell r="CJ55">
            <v>324.72526223416537</v>
          </cell>
          <cell r="CK55">
            <v>244.01033968134425</v>
          </cell>
          <cell r="CL55">
            <v>2010</v>
          </cell>
          <cell r="CM55">
            <v>49.617470912615175</v>
          </cell>
          <cell r="CN55">
            <v>80.260095228221246</v>
          </cell>
          <cell r="CO55">
            <v>66.509320822125858</v>
          </cell>
          <cell r="CP55">
            <v>2013</v>
          </cell>
          <cell r="CQ55">
            <v>4044.7958554737384</v>
          </cell>
          <cell r="CR55">
            <v>6347.9113465725623</v>
          </cell>
          <cell r="CS55">
            <v>6378.3255217751839</v>
          </cell>
          <cell r="CT55">
            <v>2020</v>
          </cell>
          <cell r="CU55">
            <v>1279.8613017271371</v>
          </cell>
          <cell r="CV55">
            <v>2086.6390215633896</v>
          </cell>
          <cell r="CW55">
            <v>1255.8844310254119</v>
          </cell>
          <cell r="CX55">
            <v>2010</v>
          </cell>
          <cell r="CY55">
            <v>93.048613984166678</v>
          </cell>
          <cell r="CZ55">
            <v>153.63973784753404</v>
          </cell>
          <cell r="DA55">
            <v>82.388446675128492</v>
          </cell>
          <cell r="DB55">
            <v>2010</v>
          </cell>
          <cell r="DC55">
            <v>4745.4176330745113</v>
          </cell>
          <cell r="DD55">
            <v>7698.3962093646132</v>
          </cell>
          <cell r="DE55">
            <v>6457.9638832936462</v>
          </cell>
          <cell r="DF55">
            <v>2010</v>
          </cell>
          <cell r="DG55">
            <v>81.571575074516815</v>
          </cell>
          <cell r="DH55">
            <v>120.09568974089275</v>
          </cell>
          <cell r="DI55">
            <v>68.82956224649044</v>
          </cell>
          <cell r="DJ55">
            <v>2010</v>
          </cell>
          <cell r="DK55">
            <v>97.223894244928502</v>
          </cell>
          <cell r="DL55">
            <v>157.26716438211278</v>
          </cell>
          <cell r="DM55">
            <v>107.1893422181185</v>
          </cell>
          <cell r="DN55">
            <v>2010</v>
          </cell>
          <cell r="DO55">
            <v>29.412057426282352</v>
          </cell>
          <cell r="DP55">
            <v>47.576276858615422</v>
          </cell>
          <cell r="DQ55">
            <v>31.432431890632614</v>
          </cell>
          <cell r="DR55">
            <v>2010</v>
          </cell>
          <cell r="DS55">
            <v>28.911866340812775</v>
          </cell>
          <cell r="DT55">
            <v>46.767178616315427</v>
          </cell>
          <cell r="DU55">
            <v>32.261923415446041</v>
          </cell>
          <cell r="DV55">
            <v>2010</v>
          </cell>
          <cell r="DW55">
            <v>27.192745954270318</v>
          </cell>
          <cell r="DX55">
            <v>40.980410407213753</v>
          </cell>
          <cell r="DY55">
            <v>24.445352803516176</v>
          </cell>
          <cell r="DZ55">
            <v>2010</v>
          </cell>
          <cell r="EA55">
            <v>1034.3915285567896</v>
          </cell>
          <cell r="EB55">
            <v>1674.926013234709</v>
          </cell>
          <cell r="EC55">
            <v>1157.1051892823145</v>
          </cell>
          <cell r="ED55">
            <v>2010</v>
          </cell>
          <cell r="EE55">
            <v>582.07416517251784</v>
          </cell>
          <cell r="EF55">
            <v>943.24811534687558</v>
          </cell>
          <cell r="EG55">
            <v>638.33662938743964</v>
          </cell>
          <cell r="EH55">
            <v>2010</v>
          </cell>
          <cell r="EI55">
            <v>2359.3873272131955</v>
          </cell>
          <cell r="EJ55">
            <v>3836.522434342186</v>
          </cell>
          <cell r="EK55">
            <v>2558.9105628723801</v>
          </cell>
          <cell r="EL55">
            <v>2010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row>
        <row r="56">
          <cell r="B56" t="str">
            <v>Maximum</v>
          </cell>
          <cell r="C56">
            <v>793.17851461165969</v>
          </cell>
          <cell r="D56">
            <v>1003.791402071344</v>
          </cell>
          <cell r="E56">
            <v>399.14101178428461</v>
          </cell>
          <cell r="F56">
            <v>2012</v>
          </cell>
          <cell r="G56">
            <v>231.99090721847412</v>
          </cell>
          <cell r="H56">
            <v>345.7009819860923</v>
          </cell>
          <cell r="I56">
            <v>209.69853089848922</v>
          </cell>
          <cell r="J56">
            <v>2011</v>
          </cell>
          <cell r="K56">
            <v>1965.5473464187917</v>
          </cell>
          <cell r="L56">
            <v>2010.4348150622268</v>
          </cell>
          <cell r="M56">
            <v>102.28853083331848</v>
          </cell>
          <cell r="N56">
            <v>2011</v>
          </cell>
          <cell r="O56">
            <v>934.99569108756793</v>
          </cell>
          <cell r="P56">
            <v>954.5627511397048</v>
          </cell>
          <cell r="Q56">
            <v>38.894766051245611</v>
          </cell>
          <cell r="R56">
            <v>2011</v>
          </cell>
          <cell r="S56">
            <v>5245.4565650860532</v>
          </cell>
          <cell r="T56">
            <v>6334.3105697921028</v>
          </cell>
          <cell r="U56">
            <v>2141.3931337757181</v>
          </cell>
          <cell r="V56">
            <v>2012</v>
          </cell>
          <cell r="W56">
            <v>4370.327445046586</v>
          </cell>
          <cell r="X56">
            <v>6520.7734741359891</v>
          </cell>
          <cell r="Y56">
            <v>3649.1956322881688</v>
          </cell>
          <cell r="Z56">
            <v>2012</v>
          </cell>
          <cell r="AA56">
            <v>179.14099008364843</v>
          </cell>
          <cell r="AB56">
            <v>259.98865403102849</v>
          </cell>
          <cell r="AC56">
            <v>100.28251941257442</v>
          </cell>
          <cell r="AD56">
            <v>2013</v>
          </cell>
          <cell r="AE56">
            <v>1060.9372892060926</v>
          </cell>
          <cell r="AF56">
            <v>1080.9009154058185</v>
          </cell>
          <cell r="AG56">
            <v>44.762908963182561</v>
          </cell>
          <cell r="AH56">
            <v>2012</v>
          </cell>
          <cell r="AI56">
            <v>1014.8570021359222</v>
          </cell>
          <cell r="AJ56">
            <v>1033.8934913968767</v>
          </cell>
          <cell r="AK56">
            <v>40.583954694165762</v>
          </cell>
          <cell r="AL56">
            <v>2011</v>
          </cell>
          <cell r="AM56">
            <v>4322.9306566347304</v>
          </cell>
          <cell r="AN56">
            <v>6904.5463484724733</v>
          </cell>
          <cell r="AO56">
            <v>6809.1555666475551</v>
          </cell>
          <cell r="AP56">
            <v>2019</v>
          </cell>
          <cell r="AQ56">
            <v>318.19265627384954</v>
          </cell>
          <cell r="AR56">
            <v>402.8916752528304</v>
          </cell>
          <cell r="AS56">
            <v>118.19611331274047</v>
          </cell>
          <cell r="AT56">
            <v>2013</v>
          </cell>
          <cell r="AU56">
            <v>6063.0258692655334</v>
          </cell>
          <cell r="AV56">
            <v>9712.9251967332439</v>
          </cell>
          <cell r="AW56">
            <v>10108.153985165643</v>
          </cell>
          <cell r="AX56">
            <v>2020</v>
          </cell>
          <cell r="AY56">
            <v>1334.7777757120025</v>
          </cell>
          <cell r="AZ56">
            <v>1674.2240135981656</v>
          </cell>
          <cell r="BA56">
            <v>704.95208425023122</v>
          </cell>
          <cell r="BB56">
            <v>2013</v>
          </cell>
          <cell r="BC56">
            <v>334.76318925445628</v>
          </cell>
          <cell r="BD56">
            <v>543.98101233238356</v>
          </cell>
          <cell r="BE56">
            <v>354.73869247967713</v>
          </cell>
          <cell r="BF56">
            <v>2013</v>
          </cell>
          <cell r="BG56">
            <v>543.11118903042382</v>
          </cell>
          <cell r="BH56">
            <v>594.56294501642856</v>
          </cell>
          <cell r="BI56">
            <v>105.966157605864</v>
          </cell>
          <cell r="BJ56">
            <v>2012</v>
          </cell>
          <cell r="BK56">
            <v>239.63519371864601</v>
          </cell>
          <cell r="BL56">
            <v>353.58844410315311</v>
          </cell>
          <cell r="BM56">
            <v>209.19313674405612</v>
          </cell>
          <cell r="BN56">
            <v>2011</v>
          </cell>
          <cell r="BO56">
            <v>3901.7164760682749</v>
          </cell>
          <cell r="BP56">
            <v>3992.4465485649507</v>
          </cell>
          <cell r="BQ56">
            <v>207.39676197580147</v>
          </cell>
          <cell r="BR56">
            <v>2012</v>
          </cell>
          <cell r="BS56">
            <v>5387.1373788631026</v>
          </cell>
          <cell r="BT56">
            <v>5387.1373780216536</v>
          </cell>
          <cell r="BU56">
            <v>5777.5761943092184</v>
          </cell>
          <cell r="BV56">
            <v>2010</v>
          </cell>
          <cell r="BW56">
            <v>226999.61281382039</v>
          </cell>
          <cell r="BX56">
            <v>227070.64775029954</v>
          </cell>
          <cell r="BY56">
            <v>108083.32661219389</v>
          </cell>
          <cell r="BZ56">
            <v>2014</v>
          </cell>
          <cell r="CA56">
            <v>2624.5003920577487</v>
          </cell>
          <cell r="CB56">
            <v>4245.3322654013728</v>
          </cell>
          <cell r="CC56">
            <v>3190.0966301543772</v>
          </cell>
          <cell r="CD56">
            <v>2013</v>
          </cell>
          <cell r="CE56">
            <v>190.00221844891678</v>
          </cell>
          <cell r="CF56">
            <v>230.95067061467645</v>
          </cell>
          <cell r="CG56">
            <v>105.62785505730442</v>
          </cell>
          <cell r="CH56">
            <v>2013</v>
          </cell>
          <cell r="CI56">
            <v>1830.6211633839557</v>
          </cell>
          <cell r="CJ56">
            <v>2864.4453305415591</v>
          </cell>
          <cell r="CK56">
            <v>2091.7980905245372</v>
          </cell>
          <cell r="CL56">
            <v>2013</v>
          </cell>
          <cell r="CM56">
            <v>162.68877865067569</v>
          </cell>
          <cell r="CN56">
            <v>203.24059152830631</v>
          </cell>
          <cell r="CO56">
            <v>110.87159699332665</v>
          </cell>
          <cell r="CP56">
            <v>2013</v>
          </cell>
          <cell r="CQ56">
            <v>5316.9005086903762</v>
          </cell>
          <cell r="CR56">
            <v>8412.7119534865869</v>
          </cell>
          <cell r="CS56">
            <v>8573.6443572136959</v>
          </cell>
          <cell r="CT56">
            <v>2020</v>
          </cell>
          <cell r="CU56">
            <v>2550.9335039804846</v>
          </cell>
          <cell r="CV56">
            <v>3820.8546578977089</v>
          </cell>
          <cell r="CW56">
            <v>2119.4304479303892</v>
          </cell>
          <cell r="CX56">
            <v>2013</v>
          </cell>
          <cell r="CY56">
            <v>301.5074833921289</v>
          </cell>
          <cell r="CZ56">
            <v>394.16831939751273</v>
          </cell>
          <cell r="DA56">
            <v>133.81154956963371</v>
          </cell>
          <cell r="DB56">
            <v>2011</v>
          </cell>
          <cell r="DC56">
            <v>9224.2566310229431</v>
          </cell>
          <cell r="DD56">
            <v>14879.734800934799</v>
          </cell>
          <cell r="DE56">
            <v>12300.86649944722</v>
          </cell>
          <cell r="DF56">
            <v>2019</v>
          </cell>
          <cell r="DG56">
            <v>537.9916032455543</v>
          </cell>
          <cell r="DH56">
            <v>589.41102716139437</v>
          </cell>
          <cell r="DI56">
            <v>106.58689797248718</v>
          </cell>
          <cell r="DJ56">
            <v>2012</v>
          </cell>
          <cell r="DK56">
            <v>236.3438014758932</v>
          </cell>
          <cell r="DL56">
            <v>354.09068342817693</v>
          </cell>
          <cell r="DM56">
            <v>208.71931457739041</v>
          </cell>
          <cell r="DN56">
            <v>2011</v>
          </cell>
          <cell r="DO56">
            <v>1784.1857912224955</v>
          </cell>
          <cell r="DP56">
            <v>1834.2001975167414</v>
          </cell>
          <cell r="DQ56">
            <v>154.91484151153713</v>
          </cell>
          <cell r="DR56">
            <v>2011</v>
          </cell>
          <cell r="DS56">
            <v>1071.0066803862835</v>
          </cell>
          <cell r="DT56">
            <v>1094.7725168281049</v>
          </cell>
          <cell r="DU56">
            <v>44.695811374627652</v>
          </cell>
          <cell r="DV56">
            <v>2012</v>
          </cell>
          <cell r="DW56">
            <v>979.17806738035006</v>
          </cell>
          <cell r="DX56">
            <v>996.77301495498648</v>
          </cell>
          <cell r="DY56">
            <v>40.197303891625538</v>
          </cell>
          <cell r="DZ56">
            <v>2011</v>
          </cell>
          <cell r="EA56">
            <v>2201.9289332145099</v>
          </cell>
          <cell r="EB56">
            <v>3214.2627699997443</v>
          </cell>
          <cell r="EC56">
            <v>1979.454273595662</v>
          </cell>
          <cell r="ED56">
            <v>2013</v>
          </cell>
          <cell r="EE56">
            <v>3392.9701298019208</v>
          </cell>
          <cell r="EF56">
            <v>3969.2357732156661</v>
          </cell>
          <cell r="EG56">
            <v>1058.2512656030594</v>
          </cell>
          <cell r="EH56">
            <v>2013</v>
          </cell>
          <cell r="EI56">
            <v>5218.1099852288953</v>
          </cell>
          <cell r="EJ56">
            <v>7451.3493532792754</v>
          </cell>
          <cell r="EK56">
            <v>4278.0171511296048</v>
          </cell>
          <cell r="EL56">
            <v>2013</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row>
        <row r="57">
          <cell r="B57" t="str">
            <v>Range Width</v>
          </cell>
          <cell r="C57">
            <v>541.33191452551728</v>
          </cell>
          <cell r="D57">
            <v>608.29231558172978</v>
          </cell>
          <cell r="E57">
            <v>134.22789099049874</v>
          </cell>
          <cell r="F57">
            <v>2</v>
          </cell>
          <cell r="G57">
            <v>133.60527040650732</v>
          </cell>
          <cell r="H57">
            <v>186.5546087966128</v>
          </cell>
          <cell r="I57">
            <v>101.22836549082801</v>
          </cell>
          <cell r="J57">
            <v>1</v>
          </cell>
          <cell r="K57">
            <v>1924.2477649797115</v>
          </cell>
          <cell r="L57">
            <v>1943.6295500564497</v>
          </cell>
          <cell r="M57">
            <v>56.265137653830173</v>
          </cell>
          <cell r="N57">
            <v>1</v>
          </cell>
          <cell r="O57">
            <v>906.45882613217873</v>
          </cell>
          <cell r="P57">
            <v>911.30686151965972</v>
          </cell>
          <cell r="Q57">
            <v>12.852974302240018</v>
          </cell>
          <cell r="R57">
            <v>1</v>
          </cell>
          <cell r="S57">
            <v>4025.5619970722428</v>
          </cell>
          <cell r="T57">
            <v>4375.1683487665996</v>
          </cell>
          <cell r="U57">
            <v>851.51098946972706</v>
          </cell>
          <cell r="V57">
            <v>2</v>
          </cell>
          <cell r="W57">
            <v>2131.0073381523571</v>
          </cell>
          <cell r="X57">
            <v>2872.3634503147941</v>
          </cell>
          <cell r="Y57">
            <v>1304.4241812061473</v>
          </cell>
          <cell r="Z57">
            <v>2</v>
          </cell>
          <cell r="AA57">
            <v>61.408107118136655</v>
          </cell>
          <cell r="AB57">
            <v>71.815688787069433</v>
          </cell>
          <cell r="AC57">
            <v>21.416543771614286</v>
          </cell>
          <cell r="AD57">
            <v>3</v>
          </cell>
          <cell r="AE57">
            <v>1032.0948454464888</v>
          </cell>
          <cell r="AF57">
            <v>1034.246033063102</v>
          </cell>
          <cell r="AG57">
            <v>11.631682947907152</v>
          </cell>
          <cell r="AH57">
            <v>2</v>
          </cell>
          <cell r="AI57">
            <v>987.63868514617184</v>
          </cell>
          <cell r="AJ57">
            <v>992.77397654552124</v>
          </cell>
          <cell r="AK57">
            <v>15.896641036025915</v>
          </cell>
          <cell r="AL57">
            <v>1</v>
          </cell>
          <cell r="AM57">
            <v>1059.7116585040444</v>
          </cell>
          <cell r="AN57">
            <v>1708.8847812254817</v>
          </cell>
          <cell r="AO57">
            <v>1712.2303645111479</v>
          </cell>
          <cell r="AP57">
            <v>0</v>
          </cell>
          <cell r="AQ57">
            <v>183.93705065300608</v>
          </cell>
          <cell r="AR57">
            <v>190.1247710960653</v>
          </cell>
          <cell r="AS57">
            <v>26.194137032106198</v>
          </cell>
          <cell r="AT57">
            <v>3</v>
          </cell>
          <cell r="AU57">
            <v>1527.4531539047493</v>
          </cell>
          <cell r="AV57">
            <v>2469.3369232096356</v>
          </cell>
          <cell r="AW57">
            <v>2608.4845969473381</v>
          </cell>
          <cell r="AX57">
            <v>0</v>
          </cell>
          <cell r="AY57">
            <v>933.66568335084071</v>
          </cell>
          <cell r="AZ57">
            <v>1023.1577708000775</v>
          </cell>
          <cell r="BA57">
            <v>300.2418857264546</v>
          </cell>
          <cell r="BB57">
            <v>3</v>
          </cell>
          <cell r="BC57">
            <v>113.39788265970043</v>
          </cell>
          <cell r="BD57">
            <v>184.19020970893172</v>
          </cell>
          <cell r="BE57">
            <v>137.64312928795101</v>
          </cell>
          <cell r="BF57">
            <v>0</v>
          </cell>
          <cell r="BG57">
            <v>463.13170972875162</v>
          </cell>
          <cell r="BH57">
            <v>476.18110222019084</v>
          </cell>
          <cell r="BI57">
            <v>37.000034229906333</v>
          </cell>
          <cell r="BJ57">
            <v>2</v>
          </cell>
          <cell r="BK57">
            <v>141.66319598454641</v>
          </cell>
          <cell r="BL57">
            <v>195.11116518907119</v>
          </cell>
          <cell r="BM57">
            <v>101.17901401423281</v>
          </cell>
          <cell r="BN57">
            <v>1</v>
          </cell>
          <cell r="BO57">
            <v>3863.0619814532042</v>
          </cell>
          <cell r="BP57">
            <v>3929.9199154213939</v>
          </cell>
          <cell r="BQ57">
            <v>162.64935250235112</v>
          </cell>
          <cell r="BR57">
            <v>2</v>
          </cell>
          <cell r="BS57">
            <v>1797.9940143915019</v>
          </cell>
          <cell r="BT57">
            <v>1797.994013657466</v>
          </cell>
          <cell r="BU57">
            <v>1925.5141615366383</v>
          </cell>
          <cell r="BV57">
            <v>0</v>
          </cell>
          <cell r="BW57">
            <v>167221.310452039</v>
          </cell>
          <cell r="BX57">
            <v>167222.02045208571</v>
          </cell>
          <cell r="BY57">
            <v>30857.089103089325</v>
          </cell>
          <cell r="BZ57">
            <v>4</v>
          </cell>
          <cell r="CA57">
            <v>2334.1276692532983</v>
          </cell>
          <cell r="CB57">
            <v>3775.6319394742095</v>
          </cell>
          <cell r="CC57">
            <v>2837.1467701850925</v>
          </cell>
          <cell r="CD57">
            <v>3</v>
          </cell>
          <cell r="CE57">
            <v>138.77104944050083</v>
          </cell>
          <cell r="CF57">
            <v>148.08029477282213</v>
          </cell>
          <cell r="CG57">
            <v>36.947771287995337</v>
          </cell>
          <cell r="CH57">
            <v>0</v>
          </cell>
          <cell r="CI57">
            <v>1629.8732536946773</v>
          </cell>
          <cell r="CJ57">
            <v>2539.7200683073938</v>
          </cell>
          <cell r="CK57">
            <v>1847.787750843193</v>
          </cell>
          <cell r="CL57">
            <v>3</v>
          </cell>
          <cell r="CM57">
            <v>113.07130773806051</v>
          </cell>
          <cell r="CN57">
            <v>122.98049630008506</v>
          </cell>
          <cell r="CO57">
            <v>44.36227617120079</v>
          </cell>
          <cell r="CP57">
            <v>0</v>
          </cell>
          <cell r="CQ57">
            <v>1272.1046532166379</v>
          </cell>
          <cell r="CR57">
            <v>2064.8006069140247</v>
          </cell>
          <cell r="CS57">
            <v>2195.318835438512</v>
          </cell>
          <cell r="CT57">
            <v>0</v>
          </cell>
          <cell r="CU57">
            <v>1271.0722022533475</v>
          </cell>
          <cell r="CV57">
            <v>1734.2156363343192</v>
          </cell>
          <cell r="CW57">
            <v>863.54601690497725</v>
          </cell>
          <cell r="CX57">
            <v>3</v>
          </cell>
          <cell r="CY57">
            <v>208.45886940796223</v>
          </cell>
          <cell r="CZ57">
            <v>240.5285815499787</v>
          </cell>
          <cell r="DA57">
            <v>51.42310289450522</v>
          </cell>
          <cell r="DB57">
            <v>1</v>
          </cell>
          <cell r="DC57">
            <v>4478.8389979484318</v>
          </cell>
          <cell r="DD57">
            <v>7181.3385915701856</v>
          </cell>
          <cell r="DE57">
            <v>5842.9026161535739</v>
          </cell>
          <cell r="DF57">
            <v>9</v>
          </cell>
          <cell r="DG57">
            <v>456.42002817103747</v>
          </cell>
          <cell r="DH57">
            <v>469.31533742050163</v>
          </cell>
          <cell r="DI57">
            <v>37.757335725996739</v>
          </cell>
          <cell r="DJ57">
            <v>2</v>
          </cell>
          <cell r="DK57">
            <v>139.11990723096471</v>
          </cell>
          <cell r="DL57">
            <v>196.82351904606415</v>
          </cell>
          <cell r="DM57">
            <v>101.52997235927191</v>
          </cell>
          <cell r="DN57">
            <v>1</v>
          </cell>
          <cell r="DO57">
            <v>1754.773733796213</v>
          </cell>
          <cell r="DP57">
            <v>1786.6239206581258</v>
          </cell>
          <cell r="DQ57">
            <v>123.48240962090452</v>
          </cell>
          <cell r="DR57">
            <v>1</v>
          </cell>
          <cell r="DS57">
            <v>1042.0948140454707</v>
          </cell>
          <cell r="DT57">
            <v>1048.0053382117894</v>
          </cell>
          <cell r="DU57">
            <v>12.433887959181611</v>
          </cell>
          <cell r="DV57">
            <v>2</v>
          </cell>
          <cell r="DW57">
            <v>951.98532142607974</v>
          </cell>
          <cell r="DX57">
            <v>955.79260454777273</v>
          </cell>
          <cell r="DY57">
            <v>15.751951088109362</v>
          </cell>
          <cell r="DZ57">
            <v>1</v>
          </cell>
          <cell r="EA57">
            <v>1167.5374046577203</v>
          </cell>
          <cell r="EB57">
            <v>1539.3367567650353</v>
          </cell>
          <cell r="EC57">
            <v>822.34908431334748</v>
          </cell>
          <cell r="ED57">
            <v>3</v>
          </cell>
          <cell r="EE57">
            <v>2810.8959646294029</v>
          </cell>
          <cell r="EF57">
            <v>3025.9876578687904</v>
          </cell>
          <cell r="EG57">
            <v>419.91463621561979</v>
          </cell>
          <cell r="EH57">
            <v>3</v>
          </cell>
          <cell r="EI57">
            <v>2858.7226580156998</v>
          </cell>
          <cell r="EJ57">
            <v>3614.8269189370894</v>
          </cell>
          <cell r="EK57">
            <v>1719.1065882572248</v>
          </cell>
          <cell r="EL57">
            <v>3</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row>
        <row r="58">
          <cell r="B58" t="str">
            <v>Mean Std. Error</v>
          </cell>
          <cell r="C58">
            <v>3.5431503738426651</v>
          </cell>
          <cell r="D58">
            <v>3.7471697827104311</v>
          </cell>
          <cell r="E58">
            <v>0.8694302488385065</v>
          </cell>
          <cell r="F58">
            <v>2.025858855918676E-2</v>
          </cell>
          <cell r="G58">
            <v>0.79742218691630395</v>
          </cell>
          <cell r="H58">
            <v>1.1408340781574302</v>
          </cell>
          <cell r="I58">
            <v>0.69726603417224375</v>
          </cell>
          <cell r="J58">
            <v>9.4915799575247452E-3</v>
          </cell>
          <cell r="K58">
            <v>10.81746011830403</v>
          </cell>
          <cell r="L58">
            <v>10.83260567392014</v>
          </cell>
          <cell r="M58">
            <v>0.3644477330722749</v>
          </cell>
          <cell r="N58">
            <v>1.2655439943366736E-2</v>
          </cell>
          <cell r="O58">
            <v>3.7528715249760882</v>
          </cell>
          <cell r="P58">
            <v>3.7564703676469278</v>
          </cell>
          <cell r="Q58">
            <v>8.4479018057286623E-2</v>
          </cell>
          <cell r="R58">
            <v>9.0543902048664457E-3</v>
          </cell>
          <cell r="S58">
            <v>22.294162765183152</v>
          </cell>
          <cell r="T58">
            <v>23.487477499854503</v>
          </cell>
          <cell r="U58">
            <v>5.5994194732444829</v>
          </cell>
          <cell r="V58">
            <v>2.025858855918676E-2</v>
          </cell>
          <cell r="W58">
            <v>13.180572576617475</v>
          </cell>
          <cell r="X58">
            <v>17.055015764368562</v>
          </cell>
          <cell r="Y58">
            <v>9.0227520257244507</v>
          </cell>
          <cell r="Z58">
            <v>2.025858855918676E-2</v>
          </cell>
          <cell r="AA58">
            <v>0.32153181540017184</v>
          </cell>
          <cell r="AB58">
            <v>0.36264226980708053</v>
          </cell>
          <cell r="AC58">
            <v>0.12340574705983016</v>
          </cell>
          <cell r="AD58">
            <v>2.0157041109902653E-2</v>
          </cell>
          <cell r="AE58">
            <v>5.6614346672493339</v>
          </cell>
          <cell r="AF58">
            <v>5.6714033450346379</v>
          </cell>
          <cell r="AG58">
            <v>7.6917820810059739E-2</v>
          </cell>
          <cell r="AH58">
            <v>1.9428779618840986E-2</v>
          </cell>
          <cell r="AI58">
            <v>4.2186439961055884</v>
          </cell>
          <cell r="AJ58">
            <v>4.2255903349698523</v>
          </cell>
          <cell r="AK58">
            <v>0.10509446497499893</v>
          </cell>
          <cell r="AL58">
            <v>9.0543902048664457E-3</v>
          </cell>
          <cell r="AM58">
            <v>7.0791380118814571</v>
          </cell>
          <cell r="AN58">
            <v>11.445447652288628</v>
          </cell>
          <cell r="AO58">
            <v>11.518554703693653</v>
          </cell>
          <cell r="AP58">
            <v>0</v>
          </cell>
          <cell r="AQ58">
            <v>0.84064254846328101</v>
          </cell>
          <cell r="AR58">
            <v>0.86926166051661491</v>
          </cell>
          <cell r="AS58">
            <v>0.14943549313266283</v>
          </cell>
          <cell r="AT58">
            <v>2.0157041109902653E-2</v>
          </cell>
          <cell r="AU58">
            <v>10.003280556151488</v>
          </cell>
          <cell r="AV58">
            <v>16.174037909866531</v>
          </cell>
          <cell r="AW58">
            <v>17.091468245468423</v>
          </cell>
          <cell r="AX58">
            <v>0</v>
          </cell>
          <cell r="AY58">
            <v>5.3628184072989056</v>
          </cell>
          <cell r="AZ58">
            <v>5.8437663812241789</v>
          </cell>
          <cell r="BA58">
            <v>1.8769622754012494</v>
          </cell>
          <cell r="BB58">
            <v>3.2265167612164199E-2</v>
          </cell>
          <cell r="BC58">
            <v>0.75954262353650714</v>
          </cell>
          <cell r="BD58">
            <v>1.2292099353844406</v>
          </cell>
          <cell r="BE58">
            <v>0.92280220220034748</v>
          </cell>
          <cell r="BF58">
            <v>0</v>
          </cell>
          <cell r="BG58">
            <v>3.2777792737851619</v>
          </cell>
          <cell r="BH58">
            <v>3.3026182535363091</v>
          </cell>
          <cell r="BI58">
            <v>0.23258949690107272</v>
          </cell>
          <cell r="BJ58">
            <v>2.025858855918676E-2</v>
          </cell>
          <cell r="BK58">
            <v>0.79354697194378965</v>
          </cell>
          <cell r="BL58">
            <v>1.1349280574862839</v>
          </cell>
          <cell r="BM58">
            <v>0.69651162864252547</v>
          </cell>
          <cell r="BN58">
            <v>9.4915799575247452E-3</v>
          </cell>
          <cell r="BO58">
            <v>21.395297875557844</v>
          </cell>
          <cell r="BP58">
            <v>21.462871566114366</v>
          </cell>
          <cell r="BQ58">
            <v>1.1173252985909974</v>
          </cell>
          <cell r="BR58">
            <v>1.9428779618840986E-2</v>
          </cell>
          <cell r="BS58">
            <v>10.486281022400007</v>
          </cell>
          <cell r="BT58">
            <v>10.486281023356604</v>
          </cell>
          <cell r="BU58">
            <v>11.218914211368757</v>
          </cell>
          <cell r="BV58">
            <v>0</v>
          </cell>
          <cell r="BW58">
            <v>746.03430764151551</v>
          </cell>
          <cell r="BX58">
            <v>746.03452301201037</v>
          </cell>
          <cell r="BY58">
            <v>145.53314062804137</v>
          </cell>
          <cell r="BZ58">
            <v>1.7037907450455862E-2</v>
          </cell>
          <cell r="CA58">
            <v>16.236649865352252</v>
          </cell>
          <cell r="CB58">
            <v>26.24222293696231</v>
          </cell>
          <cell r="CC58">
            <v>19.649820061141817</v>
          </cell>
          <cell r="CD58">
            <v>1.3962770461443419E-2</v>
          </cell>
          <cell r="CE58">
            <v>0.34923851035539488</v>
          </cell>
          <cell r="CF58">
            <v>0.39545087367652015</v>
          </cell>
          <cell r="CG58">
            <v>0.20711726413050177</v>
          </cell>
          <cell r="CH58">
            <v>0</v>
          </cell>
          <cell r="CI58">
            <v>10.859064392993647</v>
          </cell>
          <cell r="CJ58">
            <v>17.51862596623408</v>
          </cell>
          <cell r="CK58">
            <v>13.093683163817849</v>
          </cell>
          <cell r="CL58">
            <v>1.4090228335074697E-2</v>
          </cell>
          <cell r="CM58">
            <v>0.31595942715084707</v>
          </cell>
          <cell r="CN58">
            <v>0.37732903680189628</v>
          </cell>
          <cell r="CO58">
            <v>0.21508287697727321</v>
          </cell>
          <cell r="CP58">
            <v>0</v>
          </cell>
          <cell r="CQ58">
            <v>8.4838126154469808</v>
          </cell>
          <cell r="CR58">
            <v>13.705590478618889</v>
          </cell>
          <cell r="CS58">
            <v>14.4713021696165</v>
          </cell>
          <cell r="CT58">
            <v>0</v>
          </cell>
          <cell r="CU58">
            <v>6.8231491092352199</v>
          </cell>
          <cell r="CV58">
            <v>9.2532903433459346</v>
          </cell>
          <cell r="CW58">
            <v>5.5938380406710291</v>
          </cell>
          <cell r="CX58">
            <v>2.4710536429032898E-2</v>
          </cell>
          <cell r="CY58">
            <v>1.514965488048623</v>
          </cell>
          <cell r="CZ58">
            <v>1.5915726197712317</v>
          </cell>
          <cell r="DA58">
            <v>0.34880644960097767</v>
          </cell>
          <cell r="DB58">
            <v>1.0281328012747767E-2</v>
          </cell>
          <cell r="DC58">
            <v>23.98650844130427</v>
          </cell>
          <cell r="DD58">
            <v>38.113804622578158</v>
          </cell>
          <cell r="DE58">
            <v>35.333731464477893</v>
          </cell>
          <cell r="DF58">
            <v>6.9963525460733436E-2</v>
          </cell>
          <cell r="DG58">
            <v>3.1991644779877726</v>
          </cell>
          <cell r="DH58">
            <v>3.2256816439413334</v>
          </cell>
          <cell r="DI58">
            <v>0.23333124050052612</v>
          </cell>
          <cell r="DJ58">
            <v>2.025858855918676E-2</v>
          </cell>
          <cell r="DK58">
            <v>0.79017967915220155</v>
          </cell>
          <cell r="DL58">
            <v>1.1333234146303106</v>
          </cell>
          <cell r="DM58">
            <v>0.69685402018161857</v>
          </cell>
          <cell r="DN58">
            <v>9.4915799575247452E-3</v>
          </cell>
          <cell r="DO58">
            <v>7.642953106608668</v>
          </cell>
          <cell r="DP58">
            <v>7.73465545425237</v>
          </cell>
          <cell r="DQ58">
            <v>0.83612356972151725</v>
          </cell>
          <cell r="DR58">
            <v>9.4915799575247452E-3</v>
          </cell>
          <cell r="DS58">
            <v>6.0173599277020502</v>
          </cell>
          <cell r="DT58">
            <v>6.027420947887939</v>
          </cell>
          <cell r="DU58">
            <v>7.5995681974970822E-2</v>
          </cell>
          <cell r="DV58">
            <v>1.9428779618840986E-2</v>
          </cell>
          <cell r="DW58">
            <v>4.1068548864863565</v>
          </cell>
          <cell r="DX58">
            <v>4.115432298492868</v>
          </cell>
          <cell r="DY58">
            <v>0.10511011817899525</v>
          </cell>
          <cell r="DZ58">
            <v>9.0543902048664457E-3</v>
          </cell>
          <cell r="EA58">
            <v>5.8265955273409826</v>
          </cell>
          <cell r="EB58">
            <v>8.0370435013981822</v>
          </cell>
          <cell r="EC58">
            <v>5.2335717709593244</v>
          </cell>
          <cell r="ED58">
            <v>2.0157041109902653E-2</v>
          </cell>
          <cell r="EE58">
            <v>12.445721821268966</v>
          </cell>
          <cell r="EF58">
            <v>12.98502441344935</v>
          </cell>
          <cell r="EG58">
            <v>2.7693908401965186</v>
          </cell>
          <cell r="EH58">
            <v>2.0157041109902653E-2</v>
          </cell>
          <cell r="EI58">
            <v>17.080198386533361</v>
          </cell>
          <cell r="EJ58">
            <v>21.187857788474098</v>
          </cell>
          <cell r="EK58">
            <v>11.234336888687162</v>
          </cell>
          <cell r="EL58">
            <v>2.4710536429032898E-2</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row>
        <row r="61">
          <cell r="B61" t="str">
            <v>Percentiles</v>
          </cell>
          <cell r="C61" t="str">
            <v>IS-1-20 Yr NPV</v>
          </cell>
          <cell r="D61" t="str">
            <v>IS-1-40 Yr NPV</v>
          </cell>
          <cell r="E61" t="str">
            <v>IS-1-Capital Cost</v>
          </cell>
          <cell r="F61" t="str">
            <v>IS-1-Install Year</v>
          </cell>
          <cell r="G61" t="str">
            <v>IS-2-20 Yr NPV</v>
          </cell>
          <cell r="H61" t="str">
            <v>IS-2-40 Yr NPV</v>
          </cell>
          <cell r="I61" t="str">
            <v>IS-2-Capital Cost</v>
          </cell>
          <cell r="J61" t="str">
            <v>IS-2-Install Year</v>
          </cell>
          <cell r="K61" t="str">
            <v>IS-3-20 Yr NPV</v>
          </cell>
          <cell r="L61" t="str">
            <v>IS-3-40 Yr NPV</v>
          </cell>
          <cell r="M61" t="str">
            <v>IS-3-Capital Cost</v>
          </cell>
          <cell r="N61" t="str">
            <v>IS-3-Install Year</v>
          </cell>
          <cell r="O61" t="str">
            <v>IS-4-20 Yr NPV</v>
          </cell>
          <cell r="P61" t="str">
            <v>IS-4-40 Yr NPV</v>
          </cell>
          <cell r="Q61" t="str">
            <v>IS-4-Capital Cost</v>
          </cell>
          <cell r="R61" t="str">
            <v>IS-4-Install Year</v>
          </cell>
          <cell r="S61" t="str">
            <v>IS-5-20 Yr NPV</v>
          </cell>
          <cell r="T61" t="str">
            <v>IS-5-40 Yr NPV</v>
          </cell>
          <cell r="U61" t="str">
            <v>IS-5-Capital Cost</v>
          </cell>
          <cell r="V61" t="str">
            <v>IS-5-Install Year</v>
          </cell>
          <cell r="W61" t="str">
            <v>IS-6-20 Yr NPV</v>
          </cell>
          <cell r="X61" t="str">
            <v>IS-6-40 Yr NPV</v>
          </cell>
          <cell r="Y61" t="str">
            <v>IS-6-Capital Cost</v>
          </cell>
          <cell r="Z61" t="str">
            <v>IS-6-Install Year</v>
          </cell>
          <cell r="AA61" t="str">
            <v>MS-1-20 Yr NPV</v>
          </cell>
          <cell r="AB61" t="str">
            <v>MS-1-40 Yr NPV</v>
          </cell>
          <cell r="AC61" t="str">
            <v>MS-1-Capital Cost</v>
          </cell>
          <cell r="AD61" t="str">
            <v>MS-1-Install Year</v>
          </cell>
          <cell r="AE61" t="str">
            <v>MS-10-20 Yr NPV</v>
          </cell>
          <cell r="AF61" t="str">
            <v>MS-10-40 Yr NPV</v>
          </cell>
          <cell r="AG61" t="str">
            <v>MS-10-Capital Cost</v>
          </cell>
          <cell r="AH61" t="str">
            <v>MS-10-Install Year</v>
          </cell>
          <cell r="AI61" t="str">
            <v>MS-11-20 Yr NPV</v>
          </cell>
          <cell r="AJ61" t="str">
            <v>MS-11-40 Yr NPV</v>
          </cell>
          <cell r="AK61" t="str">
            <v>MS-11-Capital Cost</v>
          </cell>
          <cell r="AL61" t="str">
            <v>MS-11-Install Year</v>
          </cell>
          <cell r="AM61" t="str">
            <v>MS-2-20 Yr NPV</v>
          </cell>
          <cell r="AN61" t="str">
            <v>MS-2-40 Yr NPV</v>
          </cell>
          <cell r="AO61" t="str">
            <v>MS-2-Capital Cost</v>
          </cell>
          <cell r="AP61" t="str">
            <v>MS-2-Install Year</v>
          </cell>
          <cell r="AQ61" t="str">
            <v>MS-3-20 Yr NPV</v>
          </cell>
          <cell r="AR61" t="str">
            <v>MS-3-40 Yr NPV</v>
          </cell>
          <cell r="AS61" t="str">
            <v>MS-3-Capital Cost</v>
          </cell>
          <cell r="AT61" t="str">
            <v>MS-3-Install Year</v>
          </cell>
          <cell r="AU61" t="str">
            <v>MS-4-20 Yr NPV</v>
          </cell>
          <cell r="AV61" t="str">
            <v>MS-4-40 Yr NPV</v>
          </cell>
          <cell r="AW61" t="str">
            <v>MS-4-Capital Cost</v>
          </cell>
          <cell r="AX61" t="str">
            <v>MS-4-Install Year</v>
          </cell>
          <cell r="AY61" t="str">
            <v>MS-5-20 Yr NPV</v>
          </cell>
          <cell r="AZ61" t="str">
            <v>MS-5-40 Yr NPV</v>
          </cell>
          <cell r="BA61" t="str">
            <v>MS-5-Capital Cost</v>
          </cell>
          <cell r="BB61" t="str">
            <v>MS-5-Install Year</v>
          </cell>
          <cell r="BC61" t="str">
            <v>MS-6-20 Yr NPV</v>
          </cell>
          <cell r="BD61" t="str">
            <v>MS-6-40 Yr NPV</v>
          </cell>
          <cell r="BE61" t="str">
            <v>MS-6-Capital Cost</v>
          </cell>
          <cell r="BF61" t="str">
            <v>MS-6-Install Year</v>
          </cell>
          <cell r="BG61" t="str">
            <v>MS-7-20 Yr NPV</v>
          </cell>
          <cell r="BH61" t="str">
            <v>MS-7-40 Yr NPV</v>
          </cell>
          <cell r="BI61" t="str">
            <v>MS-7-Capital Cost</v>
          </cell>
          <cell r="BJ61" t="str">
            <v>MS-7-Install Year</v>
          </cell>
          <cell r="BK61" t="str">
            <v>MS-8-20 Yr NPV</v>
          </cell>
          <cell r="BL61" t="str">
            <v>MS-8-40 Yr NPV</v>
          </cell>
          <cell r="BM61" t="str">
            <v>MS-8-Capital Cost</v>
          </cell>
          <cell r="BN61" t="str">
            <v>MS-8-Install Year</v>
          </cell>
          <cell r="BO61" t="str">
            <v>MS-9-20 Yr NPV</v>
          </cell>
          <cell r="BP61" t="str">
            <v>MS-9-40 Yr NPV</v>
          </cell>
          <cell r="BQ61" t="str">
            <v>MS-9-Capital Cost</v>
          </cell>
          <cell r="BR61" t="str">
            <v>MS-9-Install Year</v>
          </cell>
          <cell r="BS61" t="str">
            <v>34-1-20 Yr NPV</v>
          </cell>
          <cell r="BT61" t="str">
            <v>34-1-40 Yr NPV</v>
          </cell>
          <cell r="BU61" t="str">
            <v>34-1-Capital Cost</v>
          </cell>
          <cell r="BV61" t="str">
            <v>34-1-Install Year</v>
          </cell>
          <cell r="BW61" t="str">
            <v>34-2-20 Yr NPV</v>
          </cell>
          <cell r="BX61" t="str">
            <v>34-2-40 Yr NPV</v>
          </cell>
          <cell r="BY61" t="str">
            <v>34-2-Capital Cost</v>
          </cell>
          <cell r="BZ61" t="str">
            <v>34-2-Install Year</v>
          </cell>
          <cell r="CA61" t="str">
            <v>56-1-20 Yr NPV</v>
          </cell>
          <cell r="CB61" t="str">
            <v>56-1-40 Yr NPV</v>
          </cell>
          <cell r="CC61" t="str">
            <v>56-1-Capital Cost</v>
          </cell>
          <cell r="CD61" t="str">
            <v>56-1-Install Year</v>
          </cell>
          <cell r="CE61" t="str">
            <v>56-2-20 Yr NPV</v>
          </cell>
          <cell r="CF61" t="str">
            <v>56-2-40 Yr NPV</v>
          </cell>
          <cell r="CG61" t="str">
            <v>56-2-Capital Cost</v>
          </cell>
          <cell r="CH61" t="str">
            <v>56-2-Install Year</v>
          </cell>
          <cell r="CI61" t="str">
            <v>78-1-20 Yr NPV</v>
          </cell>
          <cell r="CJ61" t="str">
            <v>78-1-40 Yr NPV</v>
          </cell>
          <cell r="CK61" t="str">
            <v>78-1-Capital Cost</v>
          </cell>
          <cell r="CL61" t="str">
            <v>78-1-Install Year</v>
          </cell>
          <cell r="CM61" t="str">
            <v>78-2-20 Yr NPV</v>
          </cell>
          <cell r="CN61" t="str">
            <v>78-2-40 Yr NPV</v>
          </cell>
          <cell r="CO61" t="str">
            <v>78-2-Capital Cost</v>
          </cell>
          <cell r="CP61" t="str">
            <v>78-2-Install Year</v>
          </cell>
          <cell r="CQ61" t="str">
            <v>WS-1-20 Yr NPV</v>
          </cell>
          <cell r="CR61" t="str">
            <v>WS-1-40 Yr NPV</v>
          </cell>
          <cell r="CS61" t="str">
            <v>WS-1-Capital Cost</v>
          </cell>
          <cell r="CT61" t="str">
            <v>WS-1-Install Year</v>
          </cell>
          <cell r="CU61" t="str">
            <v>WS-10-20 Yr NPV</v>
          </cell>
          <cell r="CV61" t="str">
            <v>WS-10-40 Yr NPV</v>
          </cell>
          <cell r="CW61" t="str">
            <v>WS-10-Capital Cost</v>
          </cell>
          <cell r="CX61" t="str">
            <v>WS-10-Install Year</v>
          </cell>
          <cell r="CY61" t="str">
            <v>WS-11-20 Yr NPV</v>
          </cell>
          <cell r="CZ61" t="str">
            <v>WS-11-40 Yr NPV</v>
          </cell>
          <cell r="DA61" t="str">
            <v>WS-11-Capital Cost</v>
          </cell>
          <cell r="DB61" t="str">
            <v>WS-11-Install Year</v>
          </cell>
          <cell r="DC61" t="str">
            <v>WS-12-20 Yr NPV</v>
          </cell>
          <cell r="DD61" t="str">
            <v>WS-12-40 Yr NPV</v>
          </cell>
          <cell r="DE61" t="str">
            <v>WS-12-Capital Cost</v>
          </cell>
          <cell r="DF61" t="str">
            <v>WS-12-Install Year</v>
          </cell>
          <cell r="DG61" t="str">
            <v>WS-2-20 Yr NPV</v>
          </cell>
          <cell r="DH61" t="str">
            <v>WS-2-40 Yr NPV</v>
          </cell>
          <cell r="DI61" t="str">
            <v>WS-2-Capital Cost</v>
          </cell>
          <cell r="DJ61" t="str">
            <v>WS-2-Install Year</v>
          </cell>
          <cell r="DK61" t="str">
            <v>WS-3-20 Yr NPV</v>
          </cell>
          <cell r="DL61" t="str">
            <v>WS-3-40 Yr NPV</v>
          </cell>
          <cell r="DM61" t="str">
            <v>WS-3-Capital Cost</v>
          </cell>
          <cell r="DN61" t="str">
            <v>WS-3-Install Year</v>
          </cell>
          <cell r="DO61" t="str">
            <v>WS-4-20 Yr NPV</v>
          </cell>
          <cell r="DP61" t="str">
            <v>WS-4-40 Yr NPV</v>
          </cell>
          <cell r="DQ61" t="str">
            <v>WS-4-Capital Cost</v>
          </cell>
          <cell r="DR61" t="str">
            <v>WS-4-Install Year</v>
          </cell>
          <cell r="DS61" t="str">
            <v>WS-5-20 Yr NPV</v>
          </cell>
          <cell r="DT61" t="str">
            <v>WS-5-40 Yr NPV</v>
          </cell>
          <cell r="DU61" t="str">
            <v>WS-5-Capital Cost</v>
          </cell>
          <cell r="DV61" t="str">
            <v>WS-5-Install Year</v>
          </cell>
          <cell r="DW61" t="str">
            <v>WS-6-20 Yr NPV</v>
          </cell>
          <cell r="DX61" t="str">
            <v>WS-6-40 Yr NPV</v>
          </cell>
          <cell r="DY61" t="str">
            <v>WS-6-Capital Cost</v>
          </cell>
          <cell r="DZ61" t="str">
            <v>WS-6-Install Year</v>
          </cell>
          <cell r="EA61" t="str">
            <v>WS-7-20 Yr NPV</v>
          </cell>
          <cell r="EB61" t="str">
            <v>WS-7-40 Yr NPV</v>
          </cell>
          <cell r="EC61" t="str">
            <v>WS-7-Capital Cost</v>
          </cell>
          <cell r="ED61" t="str">
            <v>WS-7-Install Year</v>
          </cell>
          <cell r="EE61" t="str">
            <v>WS-8-20 Yr NPV</v>
          </cell>
          <cell r="EF61" t="str">
            <v>WS-8-40 Yr NPV</v>
          </cell>
          <cell r="EG61" t="str">
            <v>WS-8-Capital Cost</v>
          </cell>
          <cell r="EH61" t="str">
            <v>WS-8-Install Year</v>
          </cell>
          <cell r="EI61" t="str">
            <v>WS-9-20 Yr NPV</v>
          </cell>
          <cell r="EJ61" t="str">
            <v>WS-9-40 Yr NPV</v>
          </cell>
          <cell r="EK61" t="str">
            <v>WS-9-Capital Cost</v>
          </cell>
          <cell r="EL61" t="str">
            <v>WS-9-Install Year</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row>
        <row r="62">
          <cell r="B62" t="str">
            <v>0%</v>
          </cell>
          <cell r="C62">
            <v>251.84660008614244</v>
          </cell>
          <cell r="D62">
            <v>395.49908648961417</v>
          </cell>
          <cell r="E62">
            <v>264.91312079378588</v>
          </cell>
          <cell r="F62">
            <v>2010</v>
          </cell>
          <cell r="G62">
            <v>98.385636811966791</v>
          </cell>
          <cell r="H62">
            <v>159.14637318947953</v>
          </cell>
          <cell r="I62">
            <v>108.47016540766121</v>
          </cell>
          <cell r="J62">
            <v>2010</v>
          </cell>
          <cell r="K62">
            <v>41.299581439080193</v>
          </cell>
          <cell r="L62">
            <v>66.805265005777045</v>
          </cell>
          <cell r="M62">
            <v>46.023393179488302</v>
          </cell>
          <cell r="N62">
            <v>2010</v>
          </cell>
          <cell r="O62">
            <v>28.536864955389174</v>
          </cell>
          <cell r="P62">
            <v>43.255889620045131</v>
          </cell>
          <cell r="Q62">
            <v>26.041791749005593</v>
          </cell>
          <cell r="R62">
            <v>2010</v>
          </cell>
          <cell r="S62">
            <v>1219.8945680138104</v>
          </cell>
          <cell r="T62">
            <v>1959.1422210255027</v>
          </cell>
          <cell r="U62">
            <v>1289.882144305991</v>
          </cell>
          <cell r="V62">
            <v>2010</v>
          </cell>
          <cell r="W62">
            <v>2239.320106894229</v>
          </cell>
          <cell r="X62">
            <v>3648.410023821195</v>
          </cell>
          <cell r="Y62">
            <v>2344.7714510820215</v>
          </cell>
          <cell r="Z62">
            <v>2010</v>
          </cell>
          <cell r="AA62">
            <v>117.73288296551178</v>
          </cell>
          <cell r="AB62">
            <v>188.17296524395903</v>
          </cell>
          <cell r="AC62">
            <v>78.86597564096013</v>
          </cell>
          <cell r="AD62">
            <v>2010</v>
          </cell>
          <cell r="AE62">
            <v>28.842443759603821</v>
          </cell>
          <cell r="AF62">
            <v>46.654882342716583</v>
          </cell>
          <cell r="AG62">
            <v>33.131226015275409</v>
          </cell>
          <cell r="AH62">
            <v>2010</v>
          </cell>
          <cell r="AI62">
            <v>27.218316989750452</v>
          </cell>
          <cell r="AJ62">
            <v>41.119514851355447</v>
          </cell>
          <cell r="AK62">
            <v>24.687313658139846</v>
          </cell>
          <cell r="AL62">
            <v>2010</v>
          </cell>
          <cell r="AM62">
            <v>3263.218998130686</v>
          </cell>
          <cell r="AN62">
            <v>5195.6615672469916</v>
          </cell>
          <cell r="AO62">
            <v>5096.9252021364073</v>
          </cell>
          <cell r="AP62">
            <v>2019</v>
          </cell>
          <cell r="AQ62">
            <v>134.25560562084345</v>
          </cell>
          <cell r="AR62">
            <v>212.76690415676509</v>
          </cell>
          <cell r="AS62">
            <v>92.001976280634267</v>
          </cell>
          <cell r="AT62">
            <v>2010</v>
          </cell>
          <cell r="AU62">
            <v>4535.5727153607841</v>
          </cell>
          <cell r="AV62">
            <v>7243.5882735236082</v>
          </cell>
          <cell r="AW62">
            <v>7499.6693882183054</v>
          </cell>
          <cell r="AX62">
            <v>2020</v>
          </cell>
          <cell r="AY62">
            <v>401.11209236116173</v>
          </cell>
          <cell r="AZ62">
            <v>651.06624279808807</v>
          </cell>
          <cell r="BA62">
            <v>404.71019852377663</v>
          </cell>
          <cell r="BB62">
            <v>2010</v>
          </cell>
          <cell r="BC62">
            <v>221.36530659475585</v>
          </cell>
          <cell r="BD62">
            <v>359.79080262345184</v>
          </cell>
          <cell r="BE62">
            <v>217.09556319172611</v>
          </cell>
          <cell r="BF62">
            <v>2013</v>
          </cell>
          <cell r="BG62">
            <v>79.979479301672171</v>
          </cell>
          <cell r="BH62">
            <v>118.38184279623769</v>
          </cell>
          <cell r="BI62">
            <v>68.966123375957665</v>
          </cell>
          <cell r="BJ62">
            <v>2010</v>
          </cell>
          <cell r="BK62">
            <v>97.971997734099588</v>
          </cell>
          <cell r="BL62">
            <v>158.47727891408192</v>
          </cell>
          <cell r="BM62">
            <v>108.01412272982331</v>
          </cell>
          <cell r="BN62">
            <v>2010</v>
          </cell>
          <cell r="BO62">
            <v>38.654494615070824</v>
          </cell>
          <cell r="BP62">
            <v>62.526633143556765</v>
          </cell>
          <cell r="BQ62">
            <v>44.747409473450332</v>
          </cell>
          <cell r="BR62">
            <v>2010</v>
          </cell>
          <cell r="BS62">
            <v>3589.1433644716008</v>
          </cell>
          <cell r="BT62">
            <v>3589.1433643641876</v>
          </cell>
          <cell r="BU62">
            <v>3852.0620327725806</v>
          </cell>
          <cell r="BV62">
            <v>2010</v>
          </cell>
          <cell r="BW62">
            <v>59778.302361781374</v>
          </cell>
          <cell r="BX62">
            <v>59848.627298213825</v>
          </cell>
          <cell r="BY62">
            <v>77226.237509104569</v>
          </cell>
          <cell r="BZ62">
            <v>2010</v>
          </cell>
          <cell r="CA62">
            <v>290.37272280445063</v>
          </cell>
          <cell r="CB62">
            <v>469.70032592716331</v>
          </cell>
          <cell r="CC62">
            <v>352.94985996928472</v>
          </cell>
          <cell r="CD62">
            <v>2010</v>
          </cell>
          <cell r="CE62">
            <v>51.231169008415939</v>
          </cell>
          <cell r="CF62">
            <v>82.87037584185434</v>
          </cell>
          <cell r="CG62">
            <v>68.680083769309078</v>
          </cell>
          <cell r="CH62">
            <v>2013</v>
          </cell>
          <cell r="CI62">
            <v>200.74790968927852</v>
          </cell>
          <cell r="CJ62">
            <v>324.72526223416537</v>
          </cell>
          <cell r="CK62">
            <v>244.01033968134425</v>
          </cell>
          <cell r="CL62">
            <v>2010</v>
          </cell>
          <cell r="CM62">
            <v>49.617470912615175</v>
          </cell>
          <cell r="CN62">
            <v>80.260095228221246</v>
          </cell>
          <cell r="CO62">
            <v>66.509320822125858</v>
          </cell>
          <cell r="CP62">
            <v>2013</v>
          </cell>
          <cell r="CQ62">
            <v>4044.7958554737384</v>
          </cell>
          <cell r="CR62">
            <v>6347.9113465725623</v>
          </cell>
          <cell r="CS62">
            <v>6378.3255217751839</v>
          </cell>
          <cell r="CT62">
            <v>2020</v>
          </cell>
          <cell r="CU62">
            <v>1279.8613017271371</v>
          </cell>
          <cell r="CV62">
            <v>2086.6390215633896</v>
          </cell>
          <cell r="CW62">
            <v>1255.8844310254119</v>
          </cell>
          <cell r="CX62">
            <v>2010</v>
          </cell>
          <cell r="CY62">
            <v>93.048613984166678</v>
          </cell>
          <cell r="CZ62">
            <v>153.63973784753404</v>
          </cell>
          <cell r="DA62">
            <v>82.388446675128492</v>
          </cell>
          <cell r="DB62">
            <v>2010</v>
          </cell>
          <cell r="DC62">
            <v>4745.4176330745113</v>
          </cell>
          <cell r="DD62">
            <v>7698.3962093646132</v>
          </cell>
          <cell r="DE62">
            <v>6457.9638832936462</v>
          </cell>
          <cell r="DF62">
            <v>2010</v>
          </cell>
          <cell r="DG62">
            <v>81.571575074516815</v>
          </cell>
          <cell r="DH62">
            <v>120.09568974089275</v>
          </cell>
          <cell r="DI62">
            <v>68.82956224649044</v>
          </cell>
          <cell r="DJ62">
            <v>2010</v>
          </cell>
          <cell r="DK62">
            <v>97.223894244928502</v>
          </cell>
          <cell r="DL62">
            <v>157.26716438211278</v>
          </cell>
          <cell r="DM62">
            <v>107.1893422181185</v>
          </cell>
          <cell r="DN62">
            <v>2010</v>
          </cell>
          <cell r="DO62">
            <v>29.412057426282352</v>
          </cell>
          <cell r="DP62">
            <v>47.576276858615422</v>
          </cell>
          <cell r="DQ62">
            <v>31.432431890632618</v>
          </cell>
          <cell r="DR62">
            <v>2010</v>
          </cell>
          <cell r="DS62">
            <v>28.911866340812775</v>
          </cell>
          <cell r="DT62">
            <v>46.767178616315427</v>
          </cell>
          <cell r="DU62">
            <v>32.261923415446041</v>
          </cell>
          <cell r="DV62">
            <v>2010</v>
          </cell>
          <cell r="DW62">
            <v>27.192745954270318</v>
          </cell>
          <cell r="DX62">
            <v>40.980410407213753</v>
          </cell>
          <cell r="DY62">
            <v>24.445352803516176</v>
          </cell>
          <cell r="DZ62">
            <v>2010</v>
          </cell>
          <cell r="EA62">
            <v>1034.3915285567896</v>
          </cell>
          <cell r="EB62">
            <v>1674.926013234709</v>
          </cell>
          <cell r="EC62">
            <v>1157.1051892823145</v>
          </cell>
          <cell r="ED62">
            <v>2010</v>
          </cell>
          <cell r="EE62">
            <v>582.07416517251784</v>
          </cell>
          <cell r="EF62">
            <v>943.24811534687547</v>
          </cell>
          <cell r="EG62">
            <v>638.33662938743964</v>
          </cell>
          <cell r="EH62">
            <v>2010</v>
          </cell>
          <cell r="EI62">
            <v>2359.3873272131955</v>
          </cell>
          <cell r="EJ62">
            <v>3836.522434342186</v>
          </cell>
          <cell r="EK62">
            <v>2558.9105628723801</v>
          </cell>
          <cell r="EL62">
            <v>2010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row>
        <row r="63">
          <cell r="B63" t="str">
            <v>5%</v>
          </cell>
          <cell r="C63">
            <v>268.95503207009455</v>
          </cell>
          <cell r="D63">
            <v>423.12643066120279</v>
          </cell>
          <cell r="E63">
            <v>285.66287025271942</v>
          </cell>
          <cell r="F63">
            <v>2010</v>
          </cell>
          <cell r="G63">
            <v>108.84889705411125</v>
          </cell>
          <cell r="H63">
            <v>176.07150540025231</v>
          </cell>
          <cell r="I63">
            <v>119.53519644531632</v>
          </cell>
          <cell r="J63">
            <v>2010</v>
          </cell>
          <cell r="K63">
            <v>49.931729538824392</v>
          </cell>
          <cell r="L63">
            <v>80.768432587530611</v>
          </cell>
          <cell r="M63">
            <v>54.639357182904241</v>
          </cell>
          <cell r="N63">
            <v>2010</v>
          </cell>
          <cell r="O63">
            <v>30.337964574503907</v>
          </cell>
          <cell r="P63">
            <v>46.188881388985713</v>
          </cell>
          <cell r="Q63">
            <v>28.037950336150828</v>
          </cell>
          <cell r="R63">
            <v>2010</v>
          </cell>
          <cell r="S63">
            <v>1317.9923244401007</v>
          </cell>
          <cell r="T63">
            <v>2119.0282376658552</v>
          </cell>
          <cell r="U63">
            <v>1420.9445177246012</v>
          </cell>
          <cell r="V63">
            <v>2010</v>
          </cell>
          <cell r="W63">
            <v>2457.6638743576709</v>
          </cell>
          <cell r="X63">
            <v>3999.3440056044233</v>
          </cell>
          <cell r="Y63">
            <v>2570.9276682580771</v>
          </cell>
          <cell r="Z63">
            <v>2010</v>
          </cell>
          <cell r="AA63">
            <v>124.2112915145257</v>
          </cell>
          <cell r="AB63">
            <v>196.82077389172088</v>
          </cell>
          <cell r="AC63">
            <v>84.287687656051929</v>
          </cell>
          <cell r="AD63">
            <v>2011</v>
          </cell>
          <cell r="AE63">
            <v>30.235838204818293</v>
          </cell>
          <cell r="AF63">
            <v>48.908805500675093</v>
          </cell>
          <cell r="AG63">
            <v>34.725386547484867</v>
          </cell>
          <cell r="AH63">
            <v>2010</v>
          </cell>
          <cell r="AI63">
            <v>29.464300426112153</v>
          </cell>
          <cell r="AJ63">
            <v>44.683394870602321</v>
          </cell>
          <cell r="AK63">
            <v>26.990918608037109</v>
          </cell>
          <cell r="AL63">
            <v>2010</v>
          </cell>
          <cell r="AM63">
            <v>3415.3532130137592</v>
          </cell>
          <cell r="AN63">
            <v>5440.5917015845644</v>
          </cell>
          <cell r="AO63">
            <v>5339.0977465013493</v>
          </cell>
          <cell r="AP63">
            <v>2019</v>
          </cell>
          <cell r="AQ63">
            <v>138.37917579856267</v>
          </cell>
          <cell r="AR63">
            <v>218.5839302097904</v>
          </cell>
          <cell r="AS63">
            <v>99.158932689864912</v>
          </cell>
          <cell r="AT63">
            <v>2011</v>
          </cell>
          <cell r="AU63">
            <v>4775.3267878598117</v>
          </cell>
          <cell r="AV63">
            <v>7628.2883132206371</v>
          </cell>
          <cell r="AW63">
            <v>7909.3312770288039</v>
          </cell>
          <cell r="AX63">
            <v>2020</v>
          </cell>
          <cell r="AY63">
            <v>436.57844553287998</v>
          </cell>
          <cell r="AZ63">
            <v>708.51870041868176</v>
          </cell>
          <cell r="BA63">
            <v>464.2925286724672</v>
          </cell>
          <cell r="BB63">
            <v>2010</v>
          </cell>
          <cell r="BC63">
            <v>237.80387539708403</v>
          </cell>
          <cell r="BD63">
            <v>387.12480316010442</v>
          </cell>
          <cell r="BE63">
            <v>236.4436034480922</v>
          </cell>
          <cell r="BF63">
            <v>2013</v>
          </cell>
          <cell r="BG63">
            <v>85.872430879684046</v>
          </cell>
          <cell r="BH63">
            <v>127.26433464097764</v>
          </cell>
          <cell r="BI63">
            <v>76.318880544354798</v>
          </cell>
          <cell r="BJ63">
            <v>2010</v>
          </cell>
          <cell r="BK63">
            <v>109.20876009888265</v>
          </cell>
          <cell r="BL63">
            <v>176.65361113755537</v>
          </cell>
          <cell r="BM63">
            <v>119.55335924509511</v>
          </cell>
          <cell r="BN63">
            <v>2010</v>
          </cell>
          <cell r="BO63">
            <v>67.91027043535928</v>
          </cell>
          <cell r="BP63">
            <v>109.85011241941955</v>
          </cell>
          <cell r="BQ63">
            <v>72.549717893077101</v>
          </cell>
          <cell r="BR63">
            <v>2010</v>
          </cell>
          <cell r="BS63">
            <v>3885.3035892528578</v>
          </cell>
          <cell r="BT63">
            <v>3885.3035898879079</v>
          </cell>
          <cell r="BU63">
            <v>4168.7054247222122</v>
          </cell>
          <cell r="BV63">
            <v>2010</v>
          </cell>
          <cell r="BW63">
            <v>64958.686589649413</v>
          </cell>
          <cell r="BX63">
            <v>65030.644133098562</v>
          </cell>
          <cell r="BY63">
            <v>83712.313526121477</v>
          </cell>
          <cell r="BZ63">
            <v>2014</v>
          </cell>
          <cell r="CA63">
            <v>526.30594116914676</v>
          </cell>
          <cell r="CB63">
            <v>851.3405448393404</v>
          </cell>
          <cell r="CC63">
            <v>633.92323175869342</v>
          </cell>
          <cell r="CD63">
            <v>2012</v>
          </cell>
          <cell r="CE63">
            <v>57.277154752616035</v>
          </cell>
          <cell r="CF63">
            <v>92.650225500348327</v>
          </cell>
          <cell r="CG63">
            <v>76.481715125679955</v>
          </cell>
          <cell r="CH63">
            <v>2013</v>
          </cell>
          <cell r="CI63">
            <v>353.10231765832771</v>
          </cell>
          <cell r="CJ63">
            <v>571.1702949759989</v>
          </cell>
          <cell r="CK63">
            <v>418.63139930043189</v>
          </cell>
          <cell r="CL63">
            <v>2012</v>
          </cell>
          <cell r="CM63">
            <v>56.856999721037099</v>
          </cell>
          <cell r="CN63">
            <v>91.970592343965933</v>
          </cell>
          <cell r="CO63">
            <v>75.804409697469652</v>
          </cell>
          <cell r="CP63">
            <v>2013</v>
          </cell>
          <cell r="CQ63">
            <v>4221.0025794548937</v>
          </cell>
          <cell r="CR63">
            <v>6638.4997850068512</v>
          </cell>
          <cell r="CS63">
            <v>6694.2625782108207</v>
          </cell>
          <cell r="CT63">
            <v>2020</v>
          </cell>
          <cell r="CU63">
            <v>1375.6348573719588</v>
          </cell>
          <cell r="CV63">
            <v>2243.102956178464</v>
          </cell>
          <cell r="CW63">
            <v>1405.5869148816203</v>
          </cell>
          <cell r="CX63">
            <v>2010</v>
          </cell>
          <cell r="CY63">
            <v>100.60074795172743</v>
          </cell>
          <cell r="CZ63">
            <v>165.62680060771405</v>
          </cell>
          <cell r="DA63">
            <v>89.8637715024025</v>
          </cell>
          <cell r="DB63">
            <v>2010</v>
          </cell>
          <cell r="DC63">
            <v>5191.0616568937903</v>
          </cell>
          <cell r="DD63">
            <v>8399.8193242524667</v>
          </cell>
          <cell r="DE63">
            <v>7899.0442779019686</v>
          </cell>
          <cell r="DF63">
            <v>2012</v>
          </cell>
          <cell r="DG63">
            <v>85.950216984988458</v>
          </cell>
          <cell r="DH63">
            <v>127.42510560095543</v>
          </cell>
          <cell r="DI63">
            <v>76.061509896688335</v>
          </cell>
          <cell r="DJ63">
            <v>2010</v>
          </cell>
          <cell r="DK63">
            <v>109.46737115876083</v>
          </cell>
          <cell r="DL63">
            <v>177.07193448877396</v>
          </cell>
          <cell r="DM63">
            <v>118.72557592490789</v>
          </cell>
          <cell r="DN63">
            <v>2010</v>
          </cell>
          <cell r="DO63">
            <v>51.816918015015773</v>
          </cell>
          <cell r="DP63">
            <v>83.817870626768794</v>
          </cell>
          <cell r="DQ63">
            <v>55.36111567459664</v>
          </cell>
          <cell r="DR63">
            <v>2010</v>
          </cell>
          <cell r="DS63">
            <v>30.324126299569411</v>
          </cell>
          <cell r="DT63">
            <v>49.051618241292616</v>
          </cell>
          <cell r="DU63">
            <v>34.697358838729265</v>
          </cell>
          <cell r="DV63">
            <v>2010</v>
          </cell>
          <cell r="DW63">
            <v>29.30877158064343</v>
          </cell>
          <cell r="DX63">
            <v>44.542764062306233</v>
          </cell>
          <cell r="DY63">
            <v>26.886482243579529</v>
          </cell>
          <cell r="DZ63">
            <v>2010</v>
          </cell>
          <cell r="EA63">
            <v>1141.5276486541607</v>
          </cell>
          <cell r="EB63">
            <v>1848.7141373733598</v>
          </cell>
          <cell r="EC63">
            <v>1311.8901171286361</v>
          </cell>
          <cell r="ED63">
            <v>2011</v>
          </cell>
          <cell r="EE63">
            <v>629.43506172518596</v>
          </cell>
          <cell r="EF63">
            <v>1020.5142640300492</v>
          </cell>
          <cell r="EG63">
            <v>705.28377174264426</v>
          </cell>
          <cell r="EH63">
            <v>2011</v>
          </cell>
          <cell r="EI63">
            <v>2553.9478639696067</v>
          </cell>
          <cell r="EJ63">
            <v>4149.8640194711779</v>
          </cell>
          <cell r="EK63">
            <v>2813.8627533085705</v>
          </cell>
          <cell r="EL63">
            <v>2010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row>
        <row r="64">
          <cell r="B64" t="str">
            <v>10%</v>
          </cell>
          <cell r="C64">
            <v>278.54959599369192</v>
          </cell>
          <cell r="D64">
            <v>438.02845168573441</v>
          </cell>
          <cell r="E64">
            <v>294.02033109067611</v>
          </cell>
          <cell r="F64">
            <v>2010</v>
          </cell>
          <cell r="G64">
            <v>114.0057301786586</v>
          </cell>
          <cell r="H64">
            <v>184.41308097865303</v>
          </cell>
          <cell r="I64">
            <v>124.91100716319173</v>
          </cell>
          <cell r="J64">
            <v>2010</v>
          </cell>
          <cell r="K64">
            <v>53.35999552836487</v>
          </cell>
          <cell r="L64">
            <v>86.313917244755999</v>
          </cell>
          <cell r="M64">
            <v>58.478986098860354</v>
          </cell>
          <cell r="N64">
            <v>2010</v>
          </cell>
          <cell r="O64">
            <v>31.156359763534851</v>
          </cell>
          <cell r="P64">
            <v>47.520646222690608</v>
          </cell>
          <cell r="Q64">
            <v>28.881427039949088</v>
          </cell>
          <cell r="R64">
            <v>2011</v>
          </cell>
          <cell r="S64">
            <v>1378.9756600727439</v>
          </cell>
          <cell r="T64">
            <v>2217.6703434411857</v>
          </cell>
          <cell r="U64">
            <v>1470.450896892225</v>
          </cell>
          <cell r="V64">
            <v>2010</v>
          </cell>
          <cell r="W64">
            <v>2560.0401632170756</v>
          </cell>
          <cell r="X64">
            <v>4166.1102796774476</v>
          </cell>
          <cell r="Y64">
            <v>2686.3281750496708</v>
          </cell>
          <cell r="Z64">
            <v>2010</v>
          </cell>
          <cell r="AA64">
            <v>125.78988356569083</v>
          </cell>
          <cell r="AB64">
            <v>198.83042704004387</v>
          </cell>
          <cell r="AC64">
            <v>85.563046476478192</v>
          </cell>
          <cell r="AD64">
            <v>2012</v>
          </cell>
          <cell r="AE64">
            <v>30.974140088231099</v>
          </cell>
          <cell r="AF64">
            <v>50.103065952301598</v>
          </cell>
          <cell r="AG64">
            <v>35.42418437467164</v>
          </cell>
          <cell r="AH64">
            <v>2011</v>
          </cell>
          <cell r="AI64">
            <v>30.384123437770594</v>
          </cell>
          <cell r="AJ64">
            <v>46.223926619893213</v>
          </cell>
          <cell r="AK64">
            <v>28.00132401885298</v>
          </cell>
          <cell r="AL64">
            <v>2011</v>
          </cell>
          <cell r="AM64">
            <v>3486.6194311802501</v>
          </cell>
          <cell r="AN64">
            <v>5557.7851937771893</v>
          </cell>
          <cell r="AO64">
            <v>5460.6039780634883</v>
          </cell>
          <cell r="AP64">
            <v>2019</v>
          </cell>
          <cell r="AQ64">
            <v>140.28826855977539</v>
          </cell>
          <cell r="AR64">
            <v>221.56349054178878</v>
          </cell>
          <cell r="AS64">
            <v>100.86130170105837</v>
          </cell>
          <cell r="AT64">
            <v>2012</v>
          </cell>
          <cell r="AU64">
            <v>4876.1522220265515</v>
          </cell>
          <cell r="AV64">
            <v>7796.7928681420244</v>
          </cell>
          <cell r="AW64">
            <v>8084.1715013316971</v>
          </cell>
          <cell r="AX64">
            <v>2020</v>
          </cell>
          <cell r="AY64">
            <v>457.26324190385316</v>
          </cell>
          <cell r="AZ64">
            <v>741.8185458206475</v>
          </cell>
          <cell r="BA64">
            <v>482.53473199990674</v>
          </cell>
          <cell r="BB64">
            <v>2010</v>
          </cell>
          <cell r="BC64">
            <v>245.88071484544992</v>
          </cell>
          <cell r="BD64">
            <v>399.76402531015287</v>
          </cell>
          <cell r="BE64">
            <v>245.91441592980908</v>
          </cell>
          <cell r="BF64">
            <v>2013</v>
          </cell>
          <cell r="BG64">
            <v>88.272895412237872</v>
          </cell>
          <cell r="BH64">
            <v>131.30641326665349</v>
          </cell>
          <cell r="BI64">
            <v>78.321662975377066</v>
          </cell>
          <cell r="BJ64">
            <v>2010</v>
          </cell>
          <cell r="BK64">
            <v>114.76964530865038</v>
          </cell>
          <cell r="BL64">
            <v>185.64877325928825</v>
          </cell>
          <cell r="BM64">
            <v>124.65837473853564</v>
          </cell>
          <cell r="BN64">
            <v>2010</v>
          </cell>
          <cell r="BO64">
            <v>79.920362687864269</v>
          </cell>
          <cell r="BP64">
            <v>129.27736452226642</v>
          </cell>
          <cell r="BQ64">
            <v>86.853122090390357</v>
          </cell>
          <cell r="BR64">
            <v>2011</v>
          </cell>
          <cell r="BS64">
            <v>4004.4162532857576</v>
          </cell>
          <cell r="BT64">
            <v>4004.4162535317851</v>
          </cell>
          <cell r="BU64">
            <v>4298.0409272127717</v>
          </cell>
          <cell r="BV64">
            <v>2010</v>
          </cell>
          <cell r="BW64">
            <v>66186.954989989827</v>
          </cell>
          <cell r="BX64">
            <v>66256.643560521057</v>
          </cell>
          <cell r="BY64">
            <v>85896.557299401407</v>
          </cell>
          <cell r="BZ64">
            <v>2014</v>
          </cell>
          <cell r="CA64">
            <v>632.25597800972139</v>
          </cell>
          <cell r="CB64">
            <v>1022.7229193598477</v>
          </cell>
          <cell r="CC64">
            <v>753.29450370422524</v>
          </cell>
          <cell r="CD64">
            <v>2013</v>
          </cell>
          <cell r="CE64">
            <v>58.893900877866493</v>
          </cell>
          <cell r="CF64">
            <v>95.265437451519574</v>
          </cell>
          <cell r="CG64">
            <v>78.762945979160818</v>
          </cell>
          <cell r="CH64">
            <v>2013</v>
          </cell>
          <cell r="CI64">
            <v>421.98345249131995</v>
          </cell>
          <cell r="CJ64">
            <v>677.13115557189826</v>
          </cell>
          <cell r="CK64">
            <v>502.30012909898426</v>
          </cell>
          <cell r="CL64">
            <v>2013</v>
          </cell>
          <cell r="CM64">
            <v>58.948031672846469</v>
          </cell>
          <cell r="CN64">
            <v>95.352998073700661</v>
          </cell>
          <cell r="CO64">
            <v>78.699650722031862</v>
          </cell>
          <cell r="CP64">
            <v>2013</v>
          </cell>
          <cell r="CQ64">
            <v>4316.3375602759643</v>
          </cell>
          <cell r="CR64">
            <v>6786.3916745784327</v>
          </cell>
          <cell r="CS64">
            <v>6843.3243798068879</v>
          </cell>
          <cell r="CT64">
            <v>2020</v>
          </cell>
          <cell r="CU64">
            <v>1426.4512480607334</v>
          </cell>
          <cell r="CV64">
            <v>2326.1159186408668</v>
          </cell>
          <cell r="CW64">
            <v>1465.783287934403</v>
          </cell>
          <cell r="CX64">
            <v>2011</v>
          </cell>
          <cell r="CY64">
            <v>104.03292160380894</v>
          </cell>
          <cell r="CZ64">
            <v>171.31830151331681</v>
          </cell>
          <cell r="DA64">
            <v>93.42508312382482</v>
          </cell>
          <cell r="DB64">
            <v>2010</v>
          </cell>
          <cell r="DC64">
            <v>5381.9321974627746</v>
          </cell>
          <cell r="DD64">
            <v>8725.3569910055721</v>
          </cell>
          <cell r="DE64">
            <v>8234.1673791420289</v>
          </cell>
          <cell r="DF64">
            <v>2014</v>
          </cell>
          <cell r="DG64">
            <v>88.070788148966955</v>
          </cell>
          <cell r="DH64">
            <v>131.03133640555134</v>
          </cell>
          <cell r="DI64">
            <v>78.544322440461229</v>
          </cell>
          <cell r="DJ64">
            <v>2010</v>
          </cell>
          <cell r="DK64">
            <v>114.49150519405133</v>
          </cell>
          <cell r="DL64">
            <v>185.19885991413841</v>
          </cell>
          <cell r="DM64">
            <v>125.23417651008553</v>
          </cell>
          <cell r="DN64">
            <v>2010</v>
          </cell>
          <cell r="DO64">
            <v>61.86173506683668</v>
          </cell>
          <cell r="DP64">
            <v>100.06613888449915</v>
          </cell>
          <cell r="DQ64">
            <v>64.984642015620864</v>
          </cell>
          <cell r="DR64">
            <v>2010</v>
          </cell>
          <cell r="DS64">
            <v>31.051523632707937</v>
          </cell>
          <cell r="DT64">
            <v>50.228240094085685</v>
          </cell>
          <cell r="DU64">
            <v>35.475864631296666</v>
          </cell>
          <cell r="DV64">
            <v>2011</v>
          </cell>
          <cell r="DW64">
            <v>30.319230518128798</v>
          </cell>
          <cell r="DX64">
            <v>46.217622535086562</v>
          </cell>
          <cell r="DY64">
            <v>27.991798607213791</v>
          </cell>
          <cell r="DZ64">
            <v>2011</v>
          </cell>
          <cell r="EA64">
            <v>1190.0599485154808</v>
          </cell>
          <cell r="EB64">
            <v>1927.1758797511588</v>
          </cell>
          <cell r="EC64">
            <v>1369.2650472607579</v>
          </cell>
          <cell r="ED64">
            <v>2012</v>
          </cell>
          <cell r="EE64">
            <v>653.45403212458723</v>
          </cell>
          <cell r="EF64">
            <v>1058.7677516322908</v>
          </cell>
          <cell r="EG64">
            <v>733.63645521402634</v>
          </cell>
          <cell r="EH64">
            <v>2012</v>
          </cell>
          <cell r="EI64">
            <v>2648.4063977213359</v>
          </cell>
          <cell r="EJ64">
            <v>4302.2247707923671</v>
          </cell>
          <cell r="EK64">
            <v>2916.8601152593815</v>
          </cell>
          <cell r="EL64">
            <v>2011</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row>
        <row r="65">
          <cell r="B65" t="str">
            <v>15%</v>
          </cell>
          <cell r="C65">
            <v>284.94817046325983</v>
          </cell>
          <cell r="D65">
            <v>449.40851656007703</v>
          </cell>
          <cell r="E65">
            <v>300.72201700145291</v>
          </cell>
          <cell r="F65">
            <v>2011</v>
          </cell>
          <cell r="G65">
            <v>118.42124046694505</v>
          </cell>
          <cell r="H65">
            <v>191.55551098518976</v>
          </cell>
          <cell r="I65">
            <v>129.20962208979219</v>
          </cell>
          <cell r="J65">
            <v>2011</v>
          </cell>
          <cell r="K65">
            <v>55.988764161393313</v>
          </cell>
          <cell r="L65">
            <v>90.5661545687543</v>
          </cell>
          <cell r="M65">
            <v>61.257998801492185</v>
          </cell>
          <cell r="N65">
            <v>2010</v>
          </cell>
          <cell r="O65">
            <v>31.887308676997034</v>
          </cell>
          <cell r="P65">
            <v>48.606580884513043</v>
          </cell>
          <cell r="Q65">
            <v>29.578562905401217</v>
          </cell>
          <cell r="R65">
            <v>2011</v>
          </cell>
          <cell r="S65">
            <v>1420.1548059672566</v>
          </cell>
          <cell r="T65">
            <v>2282.0277019531509</v>
          </cell>
          <cell r="U65">
            <v>1516.12486115159</v>
          </cell>
          <cell r="V65">
            <v>2011</v>
          </cell>
          <cell r="W65">
            <v>2644.5344731317309</v>
          </cell>
          <cell r="X65">
            <v>4301.3028438732135</v>
          </cell>
          <cell r="Y65">
            <v>2761.8432771662365</v>
          </cell>
          <cell r="Z65">
            <v>2011</v>
          </cell>
          <cell r="AA65">
            <v>126.77093643603283</v>
          </cell>
          <cell r="AB65">
            <v>200.25252521372019</v>
          </cell>
          <cell r="AC65">
            <v>86.628046022719872</v>
          </cell>
          <cell r="AD65">
            <v>2013</v>
          </cell>
          <cell r="AE65">
            <v>31.599572854747528</v>
          </cell>
          <cell r="AF65">
            <v>51.114751405324483</v>
          </cell>
          <cell r="AG65">
            <v>35.948953690415635</v>
          </cell>
          <cell r="AH65">
            <v>2011</v>
          </cell>
          <cell r="AI65">
            <v>31.069361441620519</v>
          </cell>
          <cell r="AJ65">
            <v>47.356834631577691</v>
          </cell>
          <cell r="AK65">
            <v>28.802023035444034</v>
          </cell>
          <cell r="AL65">
            <v>2011</v>
          </cell>
          <cell r="AM65">
            <v>3543.6221529596023</v>
          </cell>
          <cell r="AN65">
            <v>5647.6527976820753</v>
          </cell>
          <cell r="AO65">
            <v>5551.1584511012734</v>
          </cell>
          <cell r="AP65">
            <v>2019</v>
          </cell>
          <cell r="AQ65">
            <v>141.71444826479535</v>
          </cell>
          <cell r="AR65">
            <v>223.20372284607924</v>
          </cell>
          <cell r="AS65">
            <v>101.99543728205364</v>
          </cell>
          <cell r="AT65">
            <v>2013</v>
          </cell>
          <cell r="AU65">
            <v>4956.6040177949981</v>
          </cell>
          <cell r="AV65">
            <v>7924.9681079025113</v>
          </cell>
          <cell r="AW65">
            <v>8218.4212842449924</v>
          </cell>
          <cell r="AX65">
            <v>2020</v>
          </cell>
          <cell r="AY65">
            <v>470.84767986285772</v>
          </cell>
          <cell r="AZ65">
            <v>763.7458383837336</v>
          </cell>
          <cell r="BA65">
            <v>498.71073906525197</v>
          </cell>
          <cell r="BB65">
            <v>2011</v>
          </cell>
          <cell r="BC65">
            <v>250.97689589291102</v>
          </cell>
          <cell r="BD65">
            <v>407.82509863849208</v>
          </cell>
          <cell r="BE65">
            <v>253.09799860855819</v>
          </cell>
          <cell r="BF65">
            <v>2013</v>
          </cell>
          <cell r="BG65">
            <v>89.781504849384746</v>
          </cell>
          <cell r="BH65">
            <v>133.76028866955537</v>
          </cell>
          <cell r="BI65">
            <v>80.285553100523529</v>
          </cell>
          <cell r="BJ65">
            <v>2011</v>
          </cell>
          <cell r="BK65">
            <v>118.8124308694363</v>
          </cell>
          <cell r="BL65">
            <v>192.18829163057757</v>
          </cell>
          <cell r="BM65">
            <v>129.42147697078681</v>
          </cell>
          <cell r="BN65">
            <v>2011</v>
          </cell>
          <cell r="BO65">
            <v>89.35030641533136</v>
          </cell>
          <cell r="BP65">
            <v>144.53102762824986</v>
          </cell>
          <cell r="BQ65">
            <v>97.331941134243138</v>
          </cell>
          <cell r="BR65">
            <v>2011</v>
          </cell>
          <cell r="BS65">
            <v>4098.5826486128954</v>
          </cell>
          <cell r="BT65">
            <v>4098.5826479539046</v>
          </cell>
          <cell r="BU65">
            <v>4399.8303147449415</v>
          </cell>
          <cell r="BV65">
            <v>2010</v>
          </cell>
          <cell r="BW65">
            <v>67124.505149074423</v>
          </cell>
          <cell r="BX65">
            <v>67197.032738564929</v>
          </cell>
          <cell r="BY65">
            <v>86855.459453329691</v>
          </cell>
          <cell r="BZ65">
            <v>2014</v>
          </cell>
          <cell r="CA65">
            <v>718.35139725575777</v>
          </cell>
          <cell r="CB65">
            <v>1156.690997276522</v>
          </cell>
          <cell r="CC65">
            <v>850.81499834408601</v>
          </cell>
          <cell r="CD65">
            <v>2013</v>
          </cell>
          <cell r="CE65">
            <v>60.412353588453705</v>
          </cell>
          <cell r="CF65">
            <v>97.721651883340982</v>
          </cell>
          <cell r="CG65">
            <v>80.61621854679025</v>
          </cell>
          <cell r="CH65">
            <v>2013</v>
          </cell>
          <cell r="CI65">
            <v>477.35232954556699</v>
          </cell>
          <cell r="CJ65">
            <v>770.07839692605785</v>
          </cell>
          <cell r="CK65">
            <v>569.68140449155499</v>
          </cell>
          <cell r="CL65">
            <v>2013</v>
          </cell>
          <cell r="CM65">
            <v>60.285798807567559</v>
          </cell>
          <cell r="CN65">
            <v>97.516939780502923</v>
          </cell>
          <cell r="CO65">
            <v>80.567852870975059</v>
          </cell>
          <cell r="CP65">
            <v>2013</v>
          </cell>
          <cell r="CQ65">
            <v>4375.015675693011</v>
          </cell>
          <cell r="CR65">
            <v>6888.6406253313735</v>
          </cell>
          <cell r="CS65">
            <v>6953.3110032446839</v>
          </cell>
          <cell r="CT65">
            <v>2020</v>
          </cell>
          <cell r="CU65">
            <v>1460.9549562564846</v>
          </cell>
          <cell r="CV65">
            <v>2384.2875495404187</v>
          </cell>
          <cell r="CW65">
            <v>1502.6386640565665</v>
          </cell>
          <cell r="CX65">
            <v>2012</v>
          </cell>
          <cell r="CY65">
            <v>106.67535517250765</v>
          </cell>
          <cell r="CZ65">
            <v>175.55648284138988</v>
          </cell>
          <cell r="DA65">
            <v>96.122837672398276</v>
          </cell>
          <cell r="DB65">
            <v>2011</v>
          </cell>
          <cell r="DC65">
            <v>5560.1548835449203</v>
          </cell>
          <cell r="DD65">
            <v>8996.6468983615796</v>
          </cell>
          <cell r="DE65">
            <v>8497.3010001132006</v>
          </cell>
          <cell r="DF65">
            <v>2017</v>
          </cell>
          <cell r="DG65">
            <v>89.858928754334698</v>
          </cell>
          <cell r="DH65">
            <v>133.65765967609923</v>
          </cell>
          <cell r="DI65">
            <v>80.3218394734741</v>
          </cell>
          <cell r="DJ65">
            <v>2011</v>
          </cell>
          <cell r="DK65">
            <v>118.39744167681276</v>
          </cell>
          <cell r="DL65">
            <v>191.51701407312879</v>
          </cell>
          <cell r="DM65">
            <v>129.52801328353894</v>
          </cell>
          <cell r="DN65">
            <v>2011</v>
          </cell>
          <cell r="DO65">
            <v>69.059142434886141</v>
          </cell>
          <cell r="DP65">
            <v>111.7085010708565</v>
          </cell>
          <cell r="DQ65">
            <v>72.798664863328867</v>
          </cell>
          <cell r="DR65">
            <v>2011</v>
          </cell>
          <cell r="DS65">
            <v>31.634454549931089</v>
          </cell>
          <cell r="DT65">
            <v>51.171175893881745</v>
          </cell>
          <cell r="DU65">
            <v>36.06860029376459</v>
          </cell>
          <cell r="DV65">
            <v>2011</v>
          </cell>
          <cell r="DW65">
            <v>31.119615836854162</v>
          </cell>
          <cell r="DX65">
            <v>47.444549983739222</v>
          </cell>
          <cell r="DY65">
            <v>28.835605144091833</v>
          </cell>
          <cell r="DZ65">
            <v>2011</v>
          </cell>
          <cell r="EA65">
            <v>1224.0427583158375</v>
          </cell>
          <cell r="EB65">
            <v>1979.0147242584926</v>
          </cell>
          <cell r="EC65">
            <v>1408.0644683477851</v>
          </cell>
          <cell r="ED65">
            <v>2013</v>
          </cell>
          <cell r="EE65">
            <v>673.50154005168031</v>
          </cell>
          <cell r="EF65">
            <v>1091.6873274052582</v>
          </cell>
          <cell r="EG65">
            <v>753.78909373996953</v>
          </cell>
          <cell r="EH65">
            <v>2013</v>
          </cell>
          <cell r="EI65">
            <v>2734.2452439449785</v>
          </cell>
          <cell r="EJ65">
            <v>4442.7420398092027</v>
          </cell>
          <cell r="EK65">
            <v>3002.2802337376229</v>
          </cell>
          <cell r="EL65">
            <v>2012</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row>
        <row r="66">
          <cell r="B66" t="str">
            <v>20%</v>
          </cell>
          <cell r="C66">
            <v>290.1707082508251</v>
          </cell>
          <cell r="D66">
            <v>457.60832043144416</v>
          </cell>
          <cell r="E66">
            <v>306.82769787185379</v>
          </cell>
          <cell r="F66">
            <v>2011</v>
          </cell>
          <cell r="G66">
            <v>122.05350893685657</v>
          </cell>
          <cell r="H66">
            <v>197.43098617894813</v>
          </cell>
          <cell r="I66">
            <v>132.69442174697124</v>
          </cell>
          <cell r="J66">
            <v>2011</v>
          </cell>
          <cell r="K66">
            <v>58.567355984140285</v>
          </cell>
          <cell r="L66">
            <v>94.737225746798927</v>
          </cell>
          <cell r="M66">
            <v>63.656577599975051</v>
          </cell>
          <cell r="N66">
            <v>2010</v>
          </cell>
          <cell r="O66">
            <v>32.384333634627062</v>
          </cell>
          <cell r="P66">
            <v>49.453246084195541</v>
          </cell>
          <cell r="Q66">
            <v>30.113158221087879</v>
          </cell>
          <cell r="R66">
            <v>2011</v>
          </cell>
          <cell r="S66">
            <v>1453.1375014414957</v>
          </cell>
          <cell r="T66">
            <v>2338.3909817068629</v>
          </cell>
          <cell r="U66">
            <v>1554.2655642254572</v>
          </cell>
          <cell r="V66">
            <v>2011</v>
          </cell>
          <cell r="W66">
            <v>2711.3040937975093</v>
          </cell>
          <cell r="X66">
            <v>4410.6727807483403</v>
          </cell>
          <cell r="Y66">
            <v>2828.0190744009378</v>
          </cell>
          <cell r="Z66">
            <v>2011</v>
          </cell>
          <cell r="AA66">
            <v>127.76734802195531</v>
          </cell>
          <cell r="AB66">
            <v>201.50395411415457</v>
          </cell>
          <cell r="AC66">
            <v>87.415285446438759</v>
          </cell>
          <cell r="AD66">
            <v>2013</v>
          </cell>
          <cell r="AE66">
            <v>32.076196760202123</v>
          </cell>
          <cell r="AF66">
            <v>51.885727773656306</v>
          </cell>
          <cell r="AG66">
            <v>36.404393211360713</v>
          </cell>
          <cell r="AH66">
            <v>2012</v>
          </cell>
          <cell r="AI66">
            <v>31.81698047582227</v>
          </cell>
          <cell r="AJ66">
            <v>48.50024299860695</v>
          </cell>
          <cell r="AK66">
            <v>29.540476746273125</v>
          </cell>
          <cell r="AL66">
            <v>2011</v>
          </cell>
          <cell r="AM66">
            <v>3589.8074051774079</v>
          </cell>
          <cell r="AN66">
            <v>5722.2701283730985</v>
          </cell>
          <cell r="AO66">
            <v>5628.1973860086064</v>
          </cell>
          <cell r="AP66">
            <v>2019</v>
          </cell>
          <cell r="AQ66">
            <v>142.73394400719363</v>
          </cell>
          <cell r="AR66">
            <v>224.63411603784039</v>
          </cell>
          <cell r="AS66">
            <v>103.0921712418196</v>
          </cell>
          <cell r="AT66">
            <v>2013</v>
          </cell>
          <cell r="AU66">
            <v>5020.3841667210745</v>
          </cell>
          <cell r="AV66">
            <v>8028.1713394565331</v>
          </cell>
          <cell r="AW66">
            <v>8331.9218135895371</v>
          </cell>
          <cell r="AX66">
            <v>2020</v>
          </cell>
          <cell r="AY66">
            <v>482.18890362851954</v>
          </cell>
          <cell r="AZ66">
            <v>781.48716930670321</v>
          </cell>
          <cell r="BA66">
            <v>508.86049787630066</v>
          </cell>
          <cell r="BB66">
            <v>2011</v>
          </cell>
          <cell r="BC66">
            <v>256.70361551273629</v>
          </cell>
          <cell r="BD66">
            <v>417.46913781078109</v>
          </cell>
          <cell r="BE66">
            <v>259.1336150951164</v>
          </cell>
          <cell r="BF66">
            <v>2013</v>
          </cell>
          <cell r="BG66">
            <v>91.51753728770494</v>
          </cell>
          <cell r="BH66">
            <v>136.46190464559055</v>
          </cell>
          <cell r="BI66">
            <v>81.857093701226887</v>
          </cell>
          <cell r="BJ66">
            <v>2011</v>
          </cell>
          <cell r="BK66">
            <v>122.44811351054395</v>
          </cell>
          <cell r="BL66">
            <v>198.06928974805965</v>
          </cell>
          <cell r="BM66">
            <v>132.71073928244246</v>
          </cell>
          <cell r="BN66">
            <v>2011</v>
          </cell>
          <cell r="BO66">
            <v>97.410551767808315</v>
          </cell>
          <cell r="BP66">
            <v>156.95453261924814</v>
          </cell>
          <cell r="BQ66">
            <v>105.29662013772216</v>
          </cell>
          <cell r="BR66">
            <v>2012</v>
          </cell>
          <cell r="BS66">
            <v>4168.9455024214158</v>
          </cell>
          <cell r="BT66">
            <v>4168.9455036353747</v>
          </cell>
          <cell r="BU66">
            <v>4474.786849341006</v>
          </cell>
          <cell r="BV66">
            <v>2010</v>
          </cell>
          <cell r="BW66">
            <v>67870.301281069143</v>
          </cell>
          <cell r="BX66">
            <v>67941.53777057238</v>
          </cell>
          <cell r="BY66">
            <v>87678.175911841594</v>
          </cell>
          <cell r="BZ66">
            <v>2014</v>
          </cell>
          <cell r="CA66">
            <v>776.55225496687058</v>
          </cell>
          <cell r="CB66">
            <v>1253.7806737553817</v>
          </cell>
          <cell r="CC66">
            <v>931.31070861837554</v>
          </cell>
          <cell r="CD66">
            <v>2013</v>
          </cell>
          <cell r="CE66">
            <v>61.399449832743343</v>
          </cell>
          <cell r="CF66">
            <v>99.3183556628953</v>
          </cell>
          <cell r="CG66">
            <v>82.029145455639124</v>
          </cell>
          <cell r="CH66">
            <v>2013</v>
          </cell>
          <cell r="CI66">
            <v>520.59970751089918</v>
          </cell>
          <cell r="CJ66">
            <v>841.76278522798327</v>
          </cell>
          <cell r="CK66">
            <v>625.25385611992692</v>
          </cell>
          <cell r="CL66">
            <v>2013</v>
          </cell>
          <cell r="CM66">
            <v>61.361090926465224</v>
          </cell>
          <cell r="CN66">
            <v>99.25630840670496</v>
          </cell>
          <cell r="CO66">
            <v>82.033771754991278</v>
          </cell>
          <cell r="CP66">
            <v>2013</v>
          </cell>
          <cell r="CQ66">
            <v>4431.7002150956787</v>
          </cell>
          <cell r="CR66">
            <v>6976.3465579541789</v>
          </cell>
          <cell r="CS66">
            <v>7048.5549619637814</v>
          </cell>
          <cell r="CT66">
            <v>2020</v>
          </cell>
          <cell r="CU66">
            <v>1497.6074707174787</v>
          </cell>
          <cell r="CV66">
            <v>2441.6734740175939</v>
          </cell>
          <cell r="CW66">
            <v>1537.8205027532385</v>
          </cell>
          <cell r="CX66">
            <v>2013</v>
          </cell>
          <cell r="CY66">
            <v>108.81875510936096</v>
          </cell>
          <cell r="CZ66">
            <v>179.09123895262067</v>
          </cell>
          <cell r="DA66">
            <v>98.47932584214368</v>
          </cell>
          <cell r="DB66">
            <v>2011</v>
          </cell>
          <cell r="DC66">
            <v>5706.5890655604171</v>
          </cell>
          <cell r="DD66">
            <v>9242.0403486881096</v>
          </cell>
          <cell r="DE66">
            <v>8668.0208020532664</v>
          </cell>
          <cell r="DF66">
            <v>2019</v>
          </cell>
          <cell r="DG66">
            <v>91.592898338910416</v>
          </cell>
          <cell r="DH66">
            <v>136.35937949892244</v>
          </cell>
          <cell r="DI66">
            <v>81.788621432130398</v>
          </cell>
          <cell r="DJ66">
            <v>2011</v>
          </cell>
          <cell r="DK66">
            <v>121.55642621537665</v>
          </cell>
          <cell r="DL66">
            <v>196.62691520580941</v>
          </cell>
          <cell r="DM66">
            <v>132.67756980812916</v>
          </cell>
          <cell r="DN66">
            <v>2011</v>
          </cell>
          <cell r="DO66">
            <v>74.902205901763537</v>
          </cell>
          <cell r="DP66">
            <v>121.16010810512586</v>
          </cell>
          <cell r="DQ66">
            <v>79.610514250055502</v>
          </cell>
          <cell r="DR66">
            <v>2011</v>
          </cell>
          <cell r="DS66">
            <v>32.078118739883365</v>
          </cell>
          <cell r="DT66">
            <v>51.888837080228576</v>
          </cell>
          <cell r="DU66">
            <v>36.52454575906723</v>
          </cell>
          <cell r="DV66">
            <v>2012</v>
          </cell>
          <cell r="DW66">
            <v>31.831325968032846</v>
          </cell>
          <cell r="DX66">
            <v>48.552301444616106</v>
          </cell>
          <cell r="DY66">
            <v>29.475341452245186</v>
          </cell>
          <cell r="DZ66">
            <v>2011</v>
          </cell>
          <cell r="EA66">
            <v>1250.0400714426717</v>
          </cell>
          <cell r="EB66">
            <v>2023.5572865542613</v>
          </cell>
          <cell r="EC66">
            <v>1438.918092411117</v>
          </cell>
          <cell r="ED66">
            <v>2013</v>
          </cell>
          <cell r="EE66">
            <v>688.28703882546631</v>
          </cell>
          <cell r="EF66">
            <v>1115.8016660305509</v>
          </cell>
          <cell r="EG66">
            <v>772.1488176715111</v>
          </cell>
          <cell r="EH66">
            <v>2013</v>
          </cell>
          <cell r="EI66">
            <v>2797.0097672840143</v>
          </cell>
          <cell r="EJ66">
            <v>4542.9051173736298</v>
          </cell>
          <cell r="EK66">
            <v>3076.2504797153806</v>
          </cell>
          <cell r="EL66">
            <v>2013</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row>
        <row r="67">
          <cell r="B67" t="str">
            <v>25%</v>
          </cell>
          <cell r="C67">
            <v>295.23029456735384</v>
          </cell>
          <cell r="D67">
            <v>466.03166712200374</v>
          </cell>
          <cell r="E67">
            <v>311.63163662523937</v>
          </cell>
          <cell r="F67">
            <v>2012</v>
          </cell>
          <cell r="G67">
            <v>125.22179773482102</v>
          </cell>
          <cell r="H67">
            <v>202.55593824330668</v>
          </cell>
          <cell r="I67">
            <v>136.11919008579935</v>
          </cell>
          <cell r="J67">
            <v>2011</v>
          </cell>
          <cell r="K67">
            <v>60.453871165608859</v>
          </cell>
          <cell r="L67">
            <v>97.788809432487909</v>
          </cell>
          <cell r="M67">
            <v>66.071517274718786</v>
          </cell>
          <cell r="N67">
            <v>2011</v>
          </cell>
          <cell r="O67">
            <v>32.879728843253368</v>
          </cell>
          <cell r="P67">
            <v>50.213209968310295</v>
          </cell>
          <cell r="Q67">
            <v>30.633122503392936</v>
          </cell>
          <cell r="R67">
            <v>2011</v>
          </cell>
          <cell r="S67">
            <v>1483.5368901298059</v>
          </cell>
          <cell r="T67">
            <v>2385.7478885503306</v>
          </cell>
          <cell r="U67">
            <v>1588.6293652763773</v>
          </cell>
          <cell r="V67">
            <v>2012</v>
          </cell>
          <cell r="W67">
            <v>2774.7084467262944</v>
          </cell>
          <cell r="X67">
            <v>4512.8041570378082</v>
          </cell>
          <cell r="Y67">
            <v>2887.6906381890749</v>
          </cell>
          <cell r="Z67">
            <v>2012</v>
          </cell>
          <cell r="AA67">
            <v>128.43116783843135</v>
          </cell>
          <cell r="AB67">
            <v>202.60207541276668</v>
          </cell>
          <cell r="AC67">
            <v>88.03693840502801</v>
          </cell>
          <cell r="AD67">
            <v>2013</v>
          </cell>
          <cell r="AE67">
            <v>32.524634582797425</v>
          </cell>
          <cell r="AF67">
            <v>52.611110804055961</v>
          </cell>
          <cell r="AG67">
            <v>36.921172283049216</v>
          </cell>
          <cell r="AH67">
            <v>2012</v>
          </cell>
          <cell r="AI67">
            <v>32.364149347224938</v>
          </cell>
          <cell r="AJ67">
            <v>49.411947375753932</v>
          </cell>
          <cell r="AK67">
            <v>30.164828609070138</v>
          </cell>
          <cell r="AL67">
            <v>2011</v>
          </cell>
          <cell r="AM67">
            <v>3632.8387658120405</v>
          </cell>
          <cell r="AN67">
            <v>5792.4785020152476</v>
          </cell>
          <cell r="AO67">
            <v>5695.149867541556</v>
          </cell>
          <cell r="AP67">
            <v>2019</v>
          </cell>
          <cell r="AQ67">
            <v>143.48898985002472</v>
          </cell>
          <cell r="AR67">
            <v>225.53640257743393</v>
          </cell>
          <cell r="AS67">
            <v>103.92966339484103</v>
          </cell>
          <cell r="AT67">
            <v>2013</v>
          </cell>
          <cell r="AU67">
            <v>5078.5960632230499</v>
          </cell>
          <cell r="AV67">
            <v>8121.9355973461861</v>
          </cell>
          <cell r="AW67">
            <v>8430.7687868509984</v>
          </cell>
          <cell r="AX67">
            <v>2020</v>
          </cell>
          <cell r="AY67">
            <v>493.77162317451536</v>
          </cell>
          <cell r="AZ67">
            <v>799.95547434314824</v>
          </cell>
          <cell r="BA67">
            <v>518.85314733147504</v>
          </cell>
          <cell r="BB67">
            <v>2012</v>
          </cell>
          <cell r="BC67">
            <v>260.8091747469586</v>
          </cell>
          <cell r="BD67">
            <v>423.86153028286344</v>
          </cell>
          <cell r="BE67">
            <v>264.46048260317991</v>
          </cell>
          <cell r="BF67">
            <v>2013</v>
          </cell>
          <cell r="BG67">
            <v>92.949879648737962</v>
          </cell>
          <cell r="BH67">
            <v>138.57657099881774</v>
          </cell>
          <cell r="BI67">
            <v>83.10111688114425</v>
          </cell>
          <cell r="BJ67">
            <v>2012</v>
          </cell>
          <cell r="BK67">
            <v>125.65979061705129</v>
          </cell>
          <cell r="BL67">
            <v>203.26442545185805</v>
          </cell>
          <cell r="BM67">
            <v>136.30413701656605</v>
          </cell>
          <cell r="BN67">
            <v>2011</v>
          </cell>
          <cell r="BO67">
            <v>103.89443316633208</v>
          </cell>
          <cell r="BP67">
            <v>168.01764089351826</v>
          </cell>
          <cell r="BQ67">
            <v>113.46379219300427</v>
          </cell>
          <cell r="BR67">
            <v>2012</v>
          </cell>
          <cell r="BS67">
            <v>4217.7585378699732</v>
          </cell>
          <cell r="BT67">
            <v>4217.7585370526031</v>
          </cell>
          <cell r="BU67">
            <v>4526.1133620609753</v>
          </cell>
          <cell r="BV67">
            <v>2010</v>
          </cell>
          <cell r="BW67">
            <v>68411.085251893674</v>
          </cell>
          <cell r="BX67">
            <v>68483.772680671755</v>
          </cell>
          <cell r="BY67">
            <v>88480.562925780891</v>
          </cell>
          <cell r="BZ67">
            <v>2014</v>
          </cell>
          <cell r="CA67">
            <v>842.32409053144511</v>
          </cell>
          <cell r="CB67">
            <v>1360.8850442373912</v>
          </cell>
          <cell r="CC67">
            <v>1008.0820100945018</v>
          </cell>
          <cell r="CD67">
            <v>2013</v>
          </cell>
          <cell r="CE67">
            <v>62.301971874122323</v>
          </cell>
          <cell r="CF67">
            <v>100.77825578931609</v>
          </cell>
          <cell r="CG67">
            <v>83.203294717882287</v>
          </cell>
          <cell r="CH67">
            <v>2013</v>
          </cell>
          <cell r="CI67">
            <v>561.36760818594973</v>
          </cell>
          <cell r="CJ67">
            <v>903.47025240027551</v>
          </cell>
          <cell r="CK67">
            <v>670.01361849124203</v>
          </cell>
          <cell r="CL67">
            <v>2013</v>
          </cell>
          <cell r="CM67">
            <v>62.126522573100125</v>
          </cell>
          <cell r="CN67">
            <v>100.49445225950578</v>
          </cell>
          <cell r="CO67">
            <v>83.059810327732663</v>
          </cell>
          <cell r="CP67">
            <v>2013</v>
          </cell>
          <cell r="CQ67">
            <v>4485.5156822223953</v>
          </cell>
          <cell r="CR67">
            <v>7060.1302160974619</v>
          </cell>
          <cell r="CS67">
            <v>7130.9231029902248</v>
          </cell>
          <cell r="CT67">
            <v>2020</v>
          </cell>
          <cell r="CU67">
            <v>1523.5418525845396</v>
          </cell>
          <cell r="CV67">
            <v>2483.666713543982</v>
          </cell>
          <cell r="CW67">
            <v>1574.0527192118639</v>
          </cell>
          <cell r="CX67">
            <v>2013</v>
          </cell>
          <cell r="CY67">
            <v>110.6182001385108</v>
          </cell>
          <cell r="CZ67">
            <v>182.02930697949466</v>
          </cell>
          <cell r="DA67">
            <v>100.3414068240854</v>
          </cell>
          <cell r="DB67">
            <v>2011</v>
          </cell>
          <cell r="DC67">
            <v>5814.6747055752785</v>
          </cell>
          <cell r="DD67">
            <v>9414.4383286780085</v>
          </cell>
          <cell r="DE67">
            <v>8895.9727835571211</v>
          </cell>
          <cell r="DF67">
            <v>2019</v>
          </cell>
          <cell r="DG67">
            <v>92.823205743897134</v>
          </cell>
          <cell r="DH67">
            <v>138.3741438296737</v>
          </cell>
          <cell r="DI67">
            <v>83.224690120133943</v>
          </cell>
          <cell r="DJ67">
            <v>2012</v>
          </cell>
          <cell r="DK67">
            <v>125.1027721375924</v>
          </cell>
          <cell r="DL67">
            <v>202.36340466904383</v>
          </cell>
          <cell r="DM67">
            <v>136.25917222426827</v>
          </cell>
          <cell r="DN67">
            <v>2011</v>
          </cell>
          <cell r="DO67">
            <v>80.303543548836615</v>
          </cell>
          <cell r="DP67">
            <v>129.89718947447824</v>
          </cell>
          <cell r="DQ67">
            <v>84.729948164917701</v>
          </cell>
          <cell r="DR67">
            <v>2011</v>
          </cell>
          <cell r="DS67">
            <v>32.473497681508746</v>
          </cell>
          <cell r="DT67">
            <v>52.528392615114413</v>
          </cell>
          <cell r="DU67">
            <v>36.971681513791069</v>
          </cell>
          <cell r="DV67">
            <v>2012</v>
          </cell>
          <cell r="DW67">
            <v>32.450665342547815</v>
          </cell>
          <cell r="DX67">
            <v>49.499535303314602</v>
          </cell>
          <cell r="DY67">
            <v>30.161296366132451</v>
          </cell>
          <cell r="DZ67">
            <v>2011</v>
          </cell>
          <cell r="EA67">
            <v>1277.7768884504517</v>
          </cell>
          <cell r="EB67">
            <v>2068.3094078620265</v>
          </cell>
          <cell r="EC67">
            <v>1466.6455094933528</v>
          </cell>
          <cell r="ED67">
            <v>2013</v>
          </cell>
          <cell r="EE67">
            <v>703.21179335834586</v>
          </cell>
          <cell r="EF67">
            <v>1139.2592868360339</v>
          </cell>
          <cell r="EG67">
            <v>786.83604748096127</v>
          </cell>
          <cell r="EH67">
            <v>2013</v>
          </cell>
          <cell r="EI67">
            <v>2857.7879399638964</v>
          </cell>
          <cell r="EJ67">
            <v>4643.2232724902078</v>
          </cell>
          <cell r="EK67">
            <v>3144.8048526384505</v>
          </cell>
          <cell r="EL67">
            <v>2013</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row>
        <row r="68">
          <cell r="B68" t="str">
            <v>30%</v>
          </cell>
          <cell r="C68">
            <v>299.63581744363137</v>
          </cell>
          <cell r="D68">
            <v>473.05341031664727</v>
          </cell>
          <cell r="E68">
            <v>316.50219506578981</v>
          </cell>
          <cell r="F68">
            <v>2012</v>
          </cell>
          <cell r="G68">
            <v>127.68789244808602</v>
          </cell>
          <cell r="H68">
            <v>206.54503684781872</v>
          </cell>
          <cell r="I68">
            <v>139.07301577618745</v>
          </cell>
          <cell r="J68">
            <v>2011</v>
          </cell>
          <cell r="K68">
            <v>62.220633716404663</v>
          </cell>
          <cell r="L68">
            <v>100.6466847342376</v>
          </cell>
          <cell r="M68">
            <v>67.798794919072733</v>
          </cell>
          <cell r="N68">
            <v>2011</v>
          </cell>
          <cell r="O68">
            <v>33.234828247631938</v>
          </cell>
          <cell r="P68">
            <v>50.816156553550762</v>
          </cell>
          <cell r="Q68">
            <v>31.071383316331104</v>
          </cell>
          <cell r="R68">
            <v>2011</v>
          </cell>
          <cell r="S68">
            <v>1510.0138574839041</v>
          </cell>
          <cell r="T68">
            <v>2426.8202555041644</v>
          </cell>
          <cell r="U68">
            <v>1616.6243111511069</v>
          </cell>
          <cell r="V68">
            <v>2012</v>
          </cell>
          <cell r="W68">
            <v>2821.6931887326054</v>
          </cell>
          <cell r="X68">
            <v>4585.2764173615506</v>
          </cell>
          <cell r="Y68">
            <v>2952.1257841745978</v>
          </cell>
          <cell r="Z68">
            <v>2012</v>
          </cell>
          <cell r="AA68">
            <v>128.98876137698656</v>
          </cell>
          <cell r="AB68">
            <v>203.42583990628364</v>
          </cell>
          <cell r="AC68">
            <v>88.683452527855295</v>
          </cell>
          <cell r="AD68">
            <v>2013</v>
          </cell>
          <cell r="AE68">
            <v>32.943762630038101</v>
          </cell>
          <cell r="AF68">
            <v>53.289082690567056</v>
          </cell>
          <cell r="AG68">
            <v>37.329835126357885</v>
          </cell>
          <cell r="AH68">
            <v>2012</v>
          </cell>
          <cell r="AI68">
            <v>32.960850279347831</v>
          </cell>
          <cell r="AJ68">
            <v>50.339478345093987</v>
          </cell>
          <cell r="AK68">
            <v>30.698854065514102</v>
          </cell>
          <cell r="AL68">
            <v>2011</v>
          </cell>
          <cell r="AM68">
            <v>3668.9751821266436</v>
          </cell>
          <cell r="AN68">
            <v>5850.9337666490446</v>
          </cell>
          <cell r="AO68">
            <v>5755.163594202495</v>
          </cell>
          <cell r="AP68">
            <v>2019</v>
          </cell>
          <cell r="AQ68">
            <v>144.13459985105848</v>
          </cell>
          <cell r="AR68">
            <v>226.97320410423379</v>
          </cell>
          <cell r="AS68">
            <v>104.6541118991796</v>
          </cell>
          <cell r="AT68">
            <v>2013</v>
          </cell>
          <cell r="AU68">
            <v>5130.9326696930348</v>
          </cell>
          <cell r="AV68">
            <v>8208.6609174092355</v>
          </cell>
          <cell r="AW68">
            <v>8520.7383676065947</v>
          </cell>
          <cell r="AX68">
            <v>2020</v>
          </cell>
          <cell r="AY68">
            <v>503.42734659025189</v>
          </cell>
          <cell r="AZ68">
            <v>815.62479188773557</v>
          </cell>
          <cell r="BA68">
            <v>528.40302542227516</v>
          </cell>
          <cell r="BB68">
            <v>2012</v>
          </cell>
          <cell r="BC68">
            <v>264.80204666939062</v>
          </cell>
          <cell r="BD68">
            <v>430.48618064224303</v>
          </cell>
          <cell r="BE68">
            <v>269.13641637990946</v>
          </cell>
          <cell r="BF68">
            <v>2013</v>
          </cell>
          <cell r="BG68">
            <v>93.827785150898976</v>
          </cell>
          <cell r="BH68">
            <v>140.20840509724221</v>
          </cell>
          <cell r="BI68">
            <v>84.410516416367429</v>
          </cell>
          <cell r="BJ68">
            <v>2012</v>
          </cell>
          <cell r="BK68">
            <v>128.24353942222402</v>
          </cell>
          <cell r="BL68">
            <v>207.44383851305807</v>
          </cell>
          <cell r="BM68">
            <v>139.17423476484751</v>
          </cell>
          <cell r="BN68">
            <v>2011</v>
          </cell>
          <cell r="BO68">
            <v>110.27331332453441</v>
          </cell>
          <cell r="BP68">
            <v>178.17476646187043</v>
          </cell>
          <cell r="BQ68">
            <v>120.27079526290792</v>
          </cell>
          <cell r="BR68">
            <v>2012</v>
          </cell>
          <cell r="BS68">
            <v>4267.1114847112713</v>
          </cell>
          <cell r="BT68">
            <v>4267.1114841946655</v>
          </cell>
          <cell r="BU68">
            <v>4579.9845177122725</v>
          </cell>
          <cell r="BV68">
            <v>2010</v>
          </cell>
          <cell r="BW68">
            <v>69005.652280917289</v>
          </cell>
          <cell r="BX68">
            <v>69075.890271695345</v>
          </cell>
          <cell r="BY68">
            <v>89142.789706601106</v>
          </cell>
          <cell r="BZ68">
            <v>2014</v>
          </cell>
          <cell r="CA68">
            <v>906.28492858257789</v>
          </cell>
          <cell r="CB68">
            <v>1460.656603528598</v>
          </cell>
          <cell r="CC68">
            <v>1086.5589593006314</v>
          </cell>
          <cell r="CD68">
            <v>2013</v>
          </cell>
          <cell r="CE68">
            <v>63.090459951016925</v>
          </cell>
          <cell r="CF68">
            <v>102.05369591821587</v>
          </cell>
          <cell r="CG68">
            <v>84.1853471595808</v>
          </cell>
          <cell r="CH68">
            <v>2013</v>
          </cell>
          <cell r="CI68">
            <v>605.22862046484738</v>
          </cell>
          <cell r="CJ68">
            <v>975.05150541856494</v>
          </cell>
          <cell r="CK68">
            <v>722.10404466812145</v>
          </cell>
          <cell r="CL68">
            <v>2013</v>
          </cell>
          <cell r="CM68">
            <v>62.795435345454379</v>
          </cell>
          <cell r="CN68">
            <v>101.57647097679448</v>
          </cell>
          <cell r="CO68">
            <v>83.982382480046425</v>
          </cell>
          <cell r="CP68">
            <v>2013</v>
          </cell>
          <cell r="CQ68">
            <v>4521.1001958828765</v>
          </cell>
          <cell r="CR68">
            <v>7128.2344851277603</v>
          </cell>
          <cell r="CS68">
            <v>7209.9403096217857</v>
          </cell>
          <cell r="CT68">
            <v>2020</v>
          </cell>
          <cell r="CU68">
            <v>1553.4258068324471</v>
          </cell>
          <cell r="CV68">
            <v>2532.1049559861249</v>
          </cell>
          <cell r="CW68">
            <v>1600.9868593870797</v>
          </cell>
          <cell r="CX68">
            <v>2013</v>
          </cell>
          <cell r="CY68">
            <v>112.39692810036978</v>
          </cell>
          <cell r="CZ68">
            <v>184.77453316648783</v>
          </cell>
          <cell r="DA68">
            <v>102.11859334131883</v>
          </cell>
          <cell r="DB68">
            <v>2011</v>
          </cell>
          <cell r="DC68">
            <v>5929.2536195957355</v>
          </cell>
          <cell r="DD68">
            <v>9597.1193168173904</v>
          </cell>
          <cell r="DE68">
            <v>9110.968660303517</v>
          </cell>
          <cell r="DF68">
            <v>2019</v>
          </cell>
          <cell r="DG68">
            <v>93.895565931175554</v>
          </cell>
          <cell r="DH68">
            <v>140.28206685568645</v>
          </cell>
          <cell r="DI68">
            <v>84.504882699866258</v>
          </cell>
          <cell r="DJ68">
            <v>2012</v>
          </cell>
          <cell r="DK68">
            <v>127.91369392229987</v>
          </cell>
          <cell r="DL68">
            <v>206.9102873446283</v>
          </cell>
          <cell r="DM68">
            <v>139.01637771464627</v>
          </cell>
          <cell r="DN68">
            <v>2011</v>
          </cell>
          <cell r="DO68">
            <v>84.892695767495155</v>
          </cell>
          <cell r="DP68">
            <v>137.32049799720085</v>
          </cell>
          <cell r="DQ68">
            <v>90.203099701755136</v>
          </cell>
          <cell r="DR68">
            <v>2011</v>
          </cell>
          <cell r="DS68">
            <v>32.87050298148651</v>
          </cell>
          <cell r="DT68">
            <v>53.170579405232182</v>
          </cell>
          <cell r="DU68">
            <v>37.373350966813987</v>
          </cell>
          <cell r="DV68">
            <v>2012</v>
          </cell>
          <cell r="DW68">
            <v>32.935412791038409</v>
          </cell>
          <cell r="DX68">
            <v>50.381995091530989</v>
          </cell>
          <cell r="DY68">
            <v>30.662408616103082</v>
          </cell>
          <cell r="DZ68">
            <v>2011</v>
          </cell>
          <cell r="EA68">
            <v>1302.4557627294785</v>
          </cell>
          <cell r="EB68">
            <v>2106.5523529725237</v>
          </cell>
          <cell r="EC68">
            <v>1498.074432807045</v>
          </cell>
          <cell r="ED68">
            <v>2013</v>
          </cell>
          <cell r="EE68">
            <v>716.37887236708127</v>
          </cell>
          <cell r="EF68">
            <v>1160.4576570194972</v>
          </cell>
          <cell r="EG68">
            <v>802.0922029986275</v>
          </cell>
          <cell r="EH68">
            <v>2013</v>
          </cell>
          <cell r="EI68">
            <v>2913.5483478486913</v>
          </cell>
          <cell r="EJ68">
            <v>4731.0141676618587</v>
          </cell>
          <cell r="EK68">
            <v>3197.7940994187729</v>
          </cell>
          <cell r="EL68">
            <v>2013</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row>
        <row r="69">
          <cell r="B69" t="str">
            <v>35%</v>
          </cell>
          <cell r="C69">
            <v>304.00050332065729</v>
          </cell>
          <cell r="D69">
            <v>479.70526774866437</v>
          </cell>
          <cell r="E69">
            <v>320.60570074916171</v>
          </cell>
          <cell r="F69">
            <v>2012</v>
          </cell>
          <cell r="G69">
            <v>130.89813503986645</v>
          </cell>
          <cell r="H69">
            <v>211.73785238836317</v>
          </cell>
          <cell r="I69">
            <v>141.35756395314047</v>
          </cell>
          <cell r="J69">
            <v>2011</v>
          </cell>
          <cell r="K69">
            <v>64.1137914139955</v>
          </cell>
          <cell r="L69">
            <v>103.70901391498434</v>
          </cell>
          <cell r="M69">
            <v>69.771751829999431</v>
          </cell>
          <cell r="N69">
            <v>2011</v>
          </cell>
          <cell r="O69">
            <v>33.630132800157675</v>
          </cell>
          <cell r="P69">
            <v>51.452905727604282</v>
          </cell>
          <cell r="Q69">
            <v>31.495409667650833</v>
          </cell>
          <cell r="R69">
            <v>2011</v>
          </cell>
          <cell r="S69">
            <v>1536.8614675309964</v>
          </cell>
          <cell r="T69">
            <v>2470.4059738929968</v>
          </cell>
          <cell r="U69">
            <v>1642.6401543021664</v>
          </cell>
          <cell r="V69">
            <v>2012</v>
          </cell>
          <cell r="W69">
            <v>2874.7265027656877</v>
          </cell>
          <cell r="X69">
            <v>4663.7346406561519</v>
          </cell>
          <cell r="Y69">
            <v>3002.475302321207</v>
          </cell>
          <cell r="Z69">
            <v>2012</v>
          </cell>
          <cell r="AA69">
            <v>129.52568268793573</v>
          </cell>
          <cell r="AB69">
            <v>204.32525609878417</v>
          </cell>
          <cell r="AC69">
            <v>89.300157905325463</v>
          </cell>
          <cell r="AD69">
            <v>2013</v>
          </cell>
          <cell r="AE69">
            <v>33.28657644724764</v>
          </cell>
          <cell r="AF69">
            <v>53.843610532113274</v>
          </cell>
          <cell r="AG69">
            <v>37.704490299958813</v>
          </cell>
          <cell r="AH69">
            <v>2012</v>
          </cell>
          <cell r="AI69">
            <v>33.364654335527177</v>
          </cell>
          <cell r="AJ69">
            <v>51.024257113468579</v>
          </cell>
          <cell r="AK69">
            <v>31.196215637866516</v>
          </cell>
          <cell r="AL69">
            <v>2011</v>
          </cell>
          <cell r="AM69">
            <v>3705.1805760956481</v>
          </cell>
          <cell r="AN69">
            <v>5907.236699219251</v>
          </cell>
          <cell r="AO69">
            <v>5810.3549168621357</v>
          </cell>
          <cell r="AP69">
            <v>2019</v>
          </cell>
          <cell r="AQ69">
            <v>144.65376314748781</v>
          </cell>
          <cell r="AR69">
            <v>227.9053235950216</v>
          </cell>
          <cell r="AS69">
            <v>105.39844549634294</v>
          </cell>
          <cell r="AT69">
            <v>2013</v>
          </cell>
          <cell r="AU69">
            <v>5178.3540759028692</v>
          </cell>
          <cell r="AV69">
            <v>8285.9739374635628</v>
          </cell>
          <cell r="AW69">
            <v>8602.9626293869096</v>
          </cell>
          <cell r="AX69">
            <v>2020</v>
          </cell>
          <cell r="AY69">
            <v>512.31027725217359</v>
          </cell>
          <cell r="AZ69">
            <v>829.91069148174245</v>
          </cell>
          <cell r="BA69">
            <v>536.54233334676076</v>
          </cell>
          <cell r="BB69">
            <v>2013</v>
          </cell>
          <cell r="BC69">
            <v>268.19030707967875</v>
          </cell>
          <cell r="BD69">
            <v>435.76857440816985</v>
          </cell>
          <cell r="BE69">
            <v>273.58682576048119</v>
          </cell>
          <cell r="BF69">
            <v>2013</v>
          </cell>
          <cell r="BG69">
            <v>94.917102447139115</v>
          </cell>
          <cell r="BH69">
            <v>141.76093764797795</v>
          </cell>
          <cell r="BI69">
            <v>85.545484854544895</v>
          </cell>
          <cell r="BJ69">
            <v>2012</v>
          </cell>
          <cell r="BK69">
            <v>130.61780958818707</v>
          </cell>
          <cell r="BL69">
            <v>211.28440385343029</v>
          </cell>
          <cell r="BM69">
            <v>141.70927208104155</v>
          </cell>
          <cell r="BN69">
            <v>2011</v>
          </cell>
          <cell r="BO69">
            <v>116.64226105568333</v>
          </cell>
          <cell r="BP69">
            <v>188.67532225736997</v>
          </cell>
          <cell r="BQ69">
            <v>126.64398947871447</v>
          </cell>
          <cell r="BR69">
            <v>2012</v>
          </cell>
          <cell r="BS69">
            <v>4310.1719816806662</v>
          </cell>
          <cell r="BT69">
            <v>4310.1719810208233</v>
          </cell>
          <cell r="BU69">
            <v>4625.2659114790467</v>
          </cell>
          <cell r="BV69">
            <v>2010</v>
          </cell>
          <cell r="BW69">
            <v>69488.827102905241</v>
          </cell>
          <cell r="BX69">
            <v>69561.652293813284</v>
          </cell>
          <cell r="BY69">
            <v>89771.286283419497</v>
          </cell>
          <cell r="BZ69">
            <v>2014</v>
          </cell>
          <cell r="CA69">
            <v>967.64904408240477</v>
          </cell>
          <cell r="CB69">
            <v>1559.1184939000279</v>
          </cell>
          <cell r="CC69">
            <v>1164.8159402304464</v>
          </cell>
          <cell r="CD69">
            <v>2013</v>
          </cell>
          <cell r="CE69">
            <v>63.742734467817854</v>
          </cell>
          <cell r="CF69">
            <v>103.10880056064728</v>
          </cell>
          <cell r="CG69">
            <v>85.039044540239203</v>
          </cell>
          <cell r="CH69">
            <v>2013</v>
          </cell>
          <cell r="CI69">
            <v>649.41559429336564</v>
          </cell>
          <cell r="CJ69">
            <v>1049.236389776057</v>
          </cell>
          <cell r="CK69">
            <v>773.35248298155523</v>
          </cell>
          <cell r="CL69">
            <v>2013</v>
          </cell>
          <cell r="CM69">
            <v>63.509062600804853</v>
          </cell>
          <cell r="CN69">
            <v>102.73081816472794</v>
          </cell>
          <cell r="CO69">
            <v>84.859435463089923</v>
          </cell>
          <cell r="CP69">
            <v>2013</v>
          </cell>
          <cell r="CQ69">
            <v>4566.1553051191368</v>
          </cell>
          <cell r="CR69">
            <v>7193.095945730397</v>
          </cell>
          <cell r="CS69">
            <v>7278.7348296891314</v>
          </cell>
          <cell r="CT69">
            <v>2020</v>
          </cell>
          <cell r="CU69">
            <v>1574.4389369706389</v>
          </cell>
          <cell r="CV69">
            <v>2564.3803844277563</v>
          </cell>
          <cell r="CW69">
            <v>1629.8940050211309</v>
          </cell>
          <cell r="CX69">
            <v>2013</v>
          </cell>
          <cell r="CY69">
            <v>113.86480112061062</v>
          </cell>
          <cell r="CZ69">
            <v>187.25389675096969</v>
          </cell>
          <cell r="DA69">
            <v>103.72494640954011</v>
          </cell>
          <cell r="DB69">
            <v>2011</v>
          </cell>
          <cell r="DC69">
            <v>6030.5351604433281</v>
          </cell>
          <cell r="DD69">
            <v>9767.4864525132598</v>
          </cell>
          <cell r="DE69">
            <v>9293.8714343048177</v>
          </cell>
          <cell r="DF69">
            <v>2019</v>
          </cell>
          <cell r="DG69">
            <v>94.930137945529367</v>
          </cell>
          <cell r="DH69">
            <v>141.73189012305988</v>
          </cell>
          <cell r="DI69">
            <v>85.441776582645943</v>
          </cell>
          <cell r="DJ69">
            <v>2012</v>
          </cell>
          <cell r="DK69">
            <v>130.55368039942059</v>
          </cell>
          <cell r="DL69">
            <v>211.18067027829505</v>
          </cell>
          <cell r="DM69">
            <v>141.59529776554248</v>
          </cell>
          <cell r="DN69">
            <v>2011</v>
          </cell>
          <cell r="DO69">
            <v>89.064548154829211</v>
          </cell>
          <cell r="DP69">
            <v>144.06879169343796</v>
          </cell>
          <cell r="DQ69">
            <v>95.117105005630918</v>
          </cell>
          <cell r="DR69">
            <v>2011</v>
          </cell>
          <cell r="DS69">
            <v>33.215365576036042</v>
          </cell>
          <cell r="DT69">
            <v>53.728422252235688</v>
          </cell>
          <cell r="DU69">
            <v>37.709478701262867</v>
          </cell>
          <cell r="DV69">
            <v>2012</v>
          </cell>
          <cell r="DW69">
            <v>33.474484307987865</v>
          </cell>
          <cell r="DX69">
            <v>51.170151363560286</v>
          </cell>
          <cell r="DY69">
            <v>31.162036867692969</v>
          </cell>
          <cell r="DZ69">
            <v>2011</v>
          </cell>
          <cell r="EA69">
            <v>1324.8773787857101</v>
          </cell>
          <cell r="EB69">
            <v>2142.036595244253</v>
          </cell>
          <cell r="EC69">
            <v>1522.6280761178252</v>
          </cell>
          <cell r="ED69">
            <v>2013</v>
          </cell>
          <cell r="EE69">
            <v>729.11706514138757</v>
          </cell>
          <cell r="EF69">
            <v>1181.050124561553</v>
          </cell>
          <cell r="EG69">
            <v>816.81793590402185</v>
          </cell>
          <cell r="EH69">
            <v>2013</v>
          </cell>
          <cell r="EI69">
            <v>2963.2059085140995</v>
          </cell>
          <cell r="EJ69">
            <v>4812.6547475488796</v>
          </cell>
          <cell r="EK69">
            <v>3251.5230991330322</v>
          </cell>
          <cell r="EL69">
            <v>2013</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row>
        <row r="70">
          <cell r="B70" t="str">
            <v>40%</v>
          </cell>
          <cell r="C70">
            <v>307.60846185076213</v>
          </cell>
          <cell r="D70">
            <v>485.72573274765426</v>
          </cell>
          <cell r="E70">
            <v>324.36907989103514</v>
          </cell>
          <cell r="F70">
            <v>2012</v>
          </cell>
          <cell r="G70">
            <v>133.97222285345259</v>
          </cell>
          <cell r="H70">
            <v>216.7104267266968</v>
          </cell>
          <cell r="I70">
            <v>144.36676090890504</v>
          </cell>
          <cell r="J70">
            <v>2011</v>
          </cell>
          <cell r="K70">
            <v>65.580856497250153</v>
          </cell>
          <cell r="L70">
            <v>106.0821051393757</v>
          </cell>
          <cell r="M70">
            <v>71.207046815038467</v>
          </cell>
          <cell r="N70">
            <v>2011</v>
          </cell>
          <cell r="O70">
            <v>33.997837649995368</v>
          </cell>
          <cell r="P70">
            <v>52.011259979062316</v>
          </cell>
          <cell r="Q70">
            <v>31.83922328561577</v>
          </cell>
          <cell r="R70">
            <v>2011</v>
          </cell>
          <cell r="S70">
            <v>1559.9910274665779</v>
          </cell>
          <cell r="T70">
            <v>2507.9651420445475</v>
          </cell>
          <cell r="U70">
            <v>1666.4292235532839</v>
          </cell>
          <cell r="V70">
            <v>2012</v>
          </cell>
          <cell r="W70">
            <v>2915.2636351532046</v>
          </cell>
          <cell r="X70">
            <v>4735.3635362776531</v>
          </cell>
          <cell r="Y70">
            <v>3048.6312338092407</v>
          </cell>
          <cell r="Z70">
            <v>2012</v>
          </cell>
          <cell r="AA70">
            <v>130.08865670596927</v>
          </cell>
          <cell r="AB70">
            <v>205.12255706056411</v>
          </cell>
          <cell r="AC70">
            <v>89.826501621590523</v>
          </cell>
          <cell r="AD70">
            <v>2013</v>
          </cell>
          <cell r="AE70">
            <v>33.613914754977124</v>
          </cell>
          <cell r="AF70">
            <v>54.373104980124523</v>
          </cell>
          <cell r="AG70">
            <v>38.031029828568371</v>
          </cell>
          <cell r="AH70">
            <v>2012</v>
          </cell>
          <cell r="AI70">
            <v>33.798113360206152</v>
          </cell>
          <cell r="AJ70">
            <v>51.765526477271521</v>
          </cell>
          <cell r="AK70">
            <v>31.691488768451631</v>
          </cell>
          <cell r="AL70">
            <v>2011</v>
          </cell>
          <cell r="AM70">
            <v>3733.8626147672417</v>
          </cell>
          <cell r="AN70">
            <v>5958.2873332350873</v>
          </cell>
          <cell r="AO70">
            <v>5862.274858727933</v>
          </cell>
          <cell r="AP70">
            <v>2019</v>
          </cell>
          <cell r="AQ70">
            <v>145.23772240788711</v>
          </cell>
          <cell r="AR70">
            <v>228.80570910901778</v>
          </cell>
          <cell r="AS70">
            <v>106.08877345490757</v>
          </cell>
          <cell r="AT70">
            <v>2013</v>
          </cell>
          <cell r="AU70">
            <v>5226.5218809114758</v>
          </cell>
          <cell r="AV70">
            <v>8363.086846243672</v>
          </cell>
          <cell r="AW70">
            <v>8677.1192625165495</v>
          </cell>
          <cell r="AX70">
            <v>2020</v>
          </cell>
          <cell r="AY70">
            <v>520.09324024659747</v>
          </cell>
          <cell r="AZ70">
            <v>841.48944102425844</v>
          </cell>
          <cell r="BA70">
            <v>546.58845499511574</v>
          </cell>
          <cell r="BB70">
            <v>2013</v>
          </cell>
          <cell r="BC70">
            <v>271.83788388672423</v>
          </cell>
          <cell r="BD70">
            <v>441.91728844795779</v>
          </cell>
          <cell r="BE70">
            <v>277.75993184552135</v>
          </cell>
          <cell r="BF70">
            <v>2013</v>
          </cell>
          <cell r="BG70">
            <v>95.938777256744316</v>
          </cell>
          <cell r="BH70">
            <v>143.24666114508088</v>
          </cell>
          <cell r="BI70">
            <v>86.527561854558343</v>
          </cell>
          <cell r="BJ70">
            <v>2012</v>
          </cell>
          <cell r="BK70">
            <v>133.74726643676198</v>
          </cell>
          <cell r="BL70">
            <v>216.3465428785282</v>
          </cell>
          <cell r="BM70">
            <v>144.45138647667591</v>
          </cell>
          <cell r="BN70">
            <v>2011</v>
          </cell>
          <cell r="BO70">
            <v>122.13820616368885</v>
          </cell>
          <cell r="BP70">
            <v>197.5679899690706</v>
          </cell>
          <cell r="BQ70">
            <v>132.53611047942073</v>
          </cell>
          <cell r="BR70">
            <v>2012</v>
          </cell>
          <cell r="BS70">
            <v>4356.874930193364</v>
          </cell>
          <cell r="BT70">
            <v>4356.8749302676579</v>
          </cell>
          <cell r="BU70">
            <v>4674.3684196221184</v>
          </cell>
          <cell r="BV70">
            <v>2010</v>
          </cell>
          <cell r="BW70">
            <v>69992.158669999699</v>
          </cell>
          <cell r="BX70">
            <v>70063.017311280069</v>
          </cell>
          <cell r="BY70">
            <v>90377.662625216122</v>
          </cell>
          <cell r="BZ70">
            <v>2014</v>
          </cell>
          <cell r="CA70">
            <v>1031.6999222274383</v>
          </cell>
          <cell r="CB70">
            <v>1666.3044196662554</v>
          </cell>
          <cell r="CC70">
            <v>1241.0356938208504</v>
          </cell>
          <cell r="CD70">
            <v>2013</v>
          </cell>
          <cell r="CE70">
            <v>64.41453212717947</v>
          </cell>
          <cell r="CF70">
            <v>104.19548521671437</v>
          </cell>
          <cell r="CG70">
            <v>86.040379373791694</v>
          </cell>
          <cell r="CH70">
            <v>2013</v>
          </cell>
          <cell r="CI70">
            <v>696.56640402991513</v>
          </cell>
          <cell r="CJ70">
            <v>1119.2215026512397</v>
          </cell>
          <cell r="CK70">
            <v>827.734905622469</v>
          </cell>
          <cell r="CL70">
            <v>2013</v>
          </cell>
          <cell r="CM70">
            <v>64.235206170827198</v>
          </cell>
          <cell r="CN70">
            <v>103.90541165690183</v>
          </cell>
          <cell r="CO70">
            <v>85.900694885052118</v>
          </cell>
          <cell r="CP70">
            <v>2013</v>
          </cell>
          <cell r="CQ70">
            <v>4601.1640585251507</v>
          </cell>
          <cell r="CR70">
            <v>7253.5659971178829</v>
          </cell>
          <cell r="CS70">
            <v>7343.1493671272483</v>
          </cell>
          <cell r="CT70">
            <v>2020</v>
          </cell>
          <cell r="CU70">
            <v>1598.2336121457827</v>
          </cell>
          <cell r="CV70">
            <v>2603.3253809813655</v>
          </cell>
          <cell r="CW70">
            <v>1651.430386265547</v>
          </cell>
          <cell r="CX70">
            <v>2013</v>
          </cell>
          <cell r="CY70">
            <v>115.62861753371682</v>
          </cell>
          <cell r="CZ70">
            <v>190.0669116146762</v>
          </cell>
          <cell r="DA70">
            <v>105.4144037160539</v>
          </cell>
          <cell r="DB70">
            <v>2011</v>
          </cell>
          <cell r="DC70">
            <v>6130.4281755298816</v>
          </cell>
          <cell r="DD70">
            <v>9935.0030045467574</v>
          </cell>
          <cell r="DE70">
            <v>9460.1434939958526</v>
          </cell>
          <cell r="DF70">
            <v>2019</v>
          </cell>
          <cell r="DG70">
            <v>95.874680697740473</v>
          </cell>
          <cell r="DH70">
            <v>143.42528985478702</v>
          </cell>
          <cell r="DI70">
            <v>86.437734650662961</v>
          </cell>
          <cell r="DJ70">
            <v>2012</v>
          </cell>
          <cell r="DK70">
            <v>133.52006882515505</v>
          </cell>
          <cell r="DL70">
            <v>215.9632260380902</v>
          </cell>
          <cell r="DM70">
            <v>144.64012513548172</v>
          </cell>
          <cell r="DN70">
            <v>2011</v>
          </cell>
          <cell r="DO70">
            <v>93.634245875251366</v>
          </cell>
          <cell r="DP70">
            <v>151.46063107034411</v>
          </cell>
          <cell r="DQ70">
            <v>99.236112684966628</v>
          </cell>
          <cell r="DR70">
            <v>2011</v>
          </cell>
          <cell r="DS70">
            <v>33.568856502975599</v>
          </cell>
          <cell r="DT70">
            <v>54.300220121081743</v>
          </cell>
          <cell r="DU70">
            <v>38.083931235586093</v>
          </cell>
          <cell r="DV70">
            <v>2012</v>
          </cell>
          <cell r="DW70">
            <v>33.876071507038162</v>
          </cell>
          <cell r="DX70">
            <v>51.8825125952416</v>
          </cell>
          <cell r="DY70">
            <v>31.658457199396384</v>
          </cell>
          <cell r="DZ70">
            <v>2011</v>
          </cell>
          <cell r="EA70">
            <v>1343.9371874164249</v>
          </cell>
          <cell r="EB70">
            <v>2172.7814935474203</v>
          </cell>
          <cell r="EC70">
            <v>1546.9452355917394</v>
          </cell>
          <cell r="ED70">
            <v>2013</v>
          </cell>
          <cell r="EE70">
            <v>739.26947022780701</v>
          </cell>
          <cell r="EF70">
            <v>1197.5607981980463</v>
          </cell>
          <cell r="EG70">
            <v>829.31589455603284</v>
          </cell>
          <cell r="EH70">
            <v>2013</v>
          </cell>
          <cell r="EI70">
            <v>3006.2714301961933</v>
          </cell>
          <cell r="EJ70">
            <v>4877.6203132291721</v>
          </cell>
          <cell r="EK70">
            <v>3305.5507746120784</v>
          </cell>
          <cell r="EL70">
            <v>2013</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row>
        <row r="71">
          <cell r="B71" t="str">
            <v>45%</v>
          </cell>
          <cell r="C71">
            <v>311.18499007134488</v>
          </cell>
          <cell r="D71">
            <v>491.39771782112092</v>
          </cell>
          <cell r="E71">
            <v>327.93754879276224</v>
          </cell>
          <cell r="F71">
            <v>2012</v>
          </cell>
          <cell r="G71">
            <v>136.98478226114136</v>
          </cell>
          <cell r="H71">
            <v>221.50659431123728</v>
          </cell>
          <cell r="I71">
            <v>147.39919261229349</v>
          </cell>
          <cell r="J71">
            <v>2011</v>
          </cell>
          <cell r="K71">
            <v>66.856804920834591</v>
          </cell>
          <cell r="L71">
            <v>108.14605071885498</v>
          </cell>
          <cell r="M71">
            <v>72.717134433965583</v>
          </cell>
          <cell r="N71">
            <v>2011</v>
          </cell>
          <cell r="O71">
            <v>34.331625041628904</v>
          </cell>
          <cell r="P71">
            <v>52.573676796329771</v>
          </cell>
          <cell r="Q71">
            <v>32.208694378908319</v>
          </cell>
          <cell r="R71">
            <v>2011</v>
          </cell>
          <cell r="S71">
            <v>1584.0773327973461</v>
          </cell>
          <cell r="T71">
            <v>2547.4468947002033</v>
          </cell>
          <cell r="U71">
            <v>1688.7359725134363</v>
          </cell>
          <cell r="V71">
            <v>2012</v>
          </cell>
          <cell r="W71">
            <v>2956.2542235019177</v>
          </cell>
          <cell r="X71">
            <v>4799.8816474471369</v>
          </cell>
          <cell r="Y71">
            <v>3094.2419479790742</v>
          </cell>
          <cell r="Z71">
            <v>2012</v>
          </cell>
          <cell r="AA71">
            <v>130.64502390039937</v>
          </cell>
          <cell r="AB71">
            <v>205.81003607898091</v>
          </cell>
          <cell r="AC71">
            <v>90.398025087926868</v>
          </cell>
          <cell r="AD71">
            <v>2013</v>
          </cell>
          <cell r="AE71">
            <v>33.914837905557725</v>
          </cell>
          <cell r="AF71">
            <v>54.859872388143138</v>
          </cell>
          <cell r="AG71">
            <v>38.425646987307204</v>
          </cell>
          <cell r="AH71">
            <v>2012</v>
          </cell>
          <cell r="AI71">
            <v>34.229199370101504</v>
          </cell>
          <cell r="AJ71">
            <v>52.390137676008798</v>
          </cell>
          <cell r="AK71">
            <v>32.142227141248839</v>
          </cell>
          <cell r="AL71">
            <v>2011</v>
          </cell>
          <cell r="AM71">
            <v>3763.513824206706</v>
          </cell>
          <cell r="AN71">
            <v>6003.7970155508619</v>
          </cell>
          <cell r="AO71">
            <v>5910.3898094304113</v>
          </cell>
          <cell r="AP71">
            <v>2019</v>
          </cell>
          <cell r="AQ71">
            <v>145.99515473982089</v>
          </cell>
          <cell r="AR71">
            <v>229.62097662833779</v>
          </cell>
          <cell r="AS71">
            <v>106.7128890606686</v>
          </cell>
          <cell r="AT71">
            <v>2013</v>
          </cell>
          <cell r="AU71">
            <v>5268.1042936388722</v>
          </cell>
          <cell r="AV71">
            <v>8428.2804410269036</v>
          </cell>
          <cell r="AW71">
            <v>8751.3203068106013</v>
          </cell>
          <cell r="AX71">
            <v>2020</v>
          </cell>
          <cell r="AY71">
            <v>529.08468990450694</v>
          </cell>
          <cell r="AZ71">
            <v>856.31132592759411</v>
          </cell>
          <cell r="BA71">
            <v>553.70930447935598</v>
          </cell>
          <cell r="BB71">
            <v>2013</v>
          </cell>
          <cell r="BC71">
            <v>275.03401575324557</v>
          </cell>
          <cell r="BD71">
            <v>446.83946807807757</v>
          </cell>
          <cell r="BE71">
            <v>281.68203253371559</v>
          </cell>
          <cell r="BF71">
            <v>2013</v>
          </cell>
          <cell r="BG71">
            <v>97.002270231479727</v>
          </cell>
          <cell r="BH71">
            <v>145.18258612032838</v>
          </cell>
          <cell r="BI71">
            <v>87.490204257531218</v>
          </cell>
          <cell r="BJ71">
            <v>2012</v>
          </cell>
          <cell r="BK71">
            <v>136.78461807391346</v>
          </cell>
          <cell r="BL71">
            <v>221.13754069197941</v>
          </cell>
          <cell r="BM71">
            <v>147.18068332985089</v>
          </cell>
          <cell r="BN71">
            <v>2011</v>
          </cell>
          <cell r="BO71">
            <v>127.60219032425266</v>
          </cell>
          <cell r="BP71">
            <v>206.3750124486865</v>
          </cell>
          <cell r="BQ71">
            <v>137.35229053104686</v>
          </cell>
          <cell r="BR71">
            <v>2012</v>
          </cell>
          <cell r="BS71">
            <v>4399.0719450321503</v>
          </cell>
          <cell r="BT71">
            <v>4399.0719452678932</v>
          </cell>
          <cell r="BU71">
            <v>4719.7641287647502</v>
          </cell>
          <cell r="BV71">
            <v>2010</v>
          </cell>
          <cell r="BW71">
            <v>70667.054907172875</v>
          </cell>
          <cell r="BX71">
            <v>70740.795624641294</v>
          </cell>
          <cell r="BY71">
            <v>90913.480741220832</v>
          </cell>
          <cell r="BZ71">
            <v>2014</v>
          </cell>
          <cell r="CA71">
            <v>1105.0512446523719</v>
          </cell>
          <cell r="CB71">
            <v>1785.9656876706292</v>
          </cell>
          <cell r="CC71">
            <v>1323.9711830513381</v>
          </cell>
          <cell r="CD71">
            <v>2013</v>
          </cell>
          <cell r="CE71">
            <v>64.993741137836324</v>
          </cell>
          <cell r="CF71">
            <v>105.13240027821618</v>
          </cell>
          <cell r="CG71">
            <v>86.776820361576839</v>
          </cell>
          <cell r="CH71">
            <v>2013</v>
          </cell>
          <cell r="CI71">
            <v>746.58773050108471</v>
          </cell>
          <cell r="CJ71">
            <v>1199.6996896471098</v>
          </cell>
          <cell r="CK71">
            <v>884.08966270906751</v>
          </cell>
          <cell r="CL71">
            <v>2013</v>
          </cell>
          <cell r="CM71">
            <v>64.903293237171368</v>
          </cell>
          <cell r="CN71">
            <v>104.98609448455888</v>
          </cell>
          <cell r="CO71">
            <v>86.688074943285798</v>
          </cell>
          <cell r="CP71">
            <v>2013</v>
          </cell>
          <cell r="CQ71">
            <v>4640.0375716045019</v>
          </cell>
          <cell r="CR71">
            <v>7314.1571038274969</v>
          </cell>
          <cell r="CS71">
            <v>7404.5879052625296</v>
          </cell>
          <cell r="CT71">
            <v>2020</v>
          </cell>
          <cell r="CU71">
            <v>1617.5775491508246</v>
          </cell>
          <cell r="CV71">
            <v>2635.7652486081561</v>
          </cell>
          <cell r="CW71">
            <v>1676.165837400946</v>
          </cell>
          <cell r="CX71">
            <v>2013</v>
          </cell>
          <cell r="CY71">
            <v>117.07024322459549</v>
          </cell>
          <cell r="CZ71">
            <v>192.39509497982152</v>
          </cell>
          <cell r="DA71">
            <v>106.84762135918933</v>
          </cell>
          <cell r="DB71">
            <v>2011</v>
          </cell>
          <cell r="DC71">
            <v>6226.3004362739757</v>
          </cell>
          <cell r="DD71">
            <v>10072.453286532891</v>
          </cell>
          <cell r="DE71">
            <v>9611.0496898797519</v>
          </cell>
          <cell r="DF71">
            <v>2019</v>
          </cell>
          <cell r="DG71">
            <v>96.794178625549975</v>
          </cell>
          <cell r="DH71">
            <v>144.89160897809791</v>
          </cell>
          <cell r="DI71">
            <v>87.422894119020839</v>
          </cell>
          <cell r="DJ71">
            <v>2012</v>
          </cell>
          <cell r="DK71">
            <v>136.64862742621071</v>
          </cell>
          <cell r="DL71">
            <v>220.76783924576642</v>
          </cell>
          <cell r="DM71">
            <v>147.20587471997709</v>
          </cell>
          <cell r="DN71">
            <v>2011</v>
          </cell>
          <cell r="DO71">
            <v>97.505049605066688</v>
          </cell>
          <cell r="DP71">
            <v>157.72195526746123</v>
          </cell>
          <cell r="DQ71">
            <v>103.68317393462328</v>
          </cell>
          <cell r="DR71">
            <v>2011</v>
          </cell>
          <cell r="DS71">
            <v>33.843722982063738</v>
          </cell>
          <cell r="DT71">
            <v>54.744838664363904</v>
          </cell>
          <cell r="DU71">
            <v>38.429951380616494</v>
          </cell>
          <cell r="DV71">
            <v>2012</v>
          </cell>
          <cell r="DW71">
            <v>34.312715248082121</v>
          </cell>
          <cell r="DX71">
            <v>52.539043764027348</v>
          </cell>
          <cell r="DY71">
            <v>32.115504133818604</v>
          </cell>
          <cell r="DZ71">
            <v>2011</v>
          </cell>
          <cell r="EA71">
            <v>1360.5584443693604</v>
          </cell>
          <cell r="EB71">
            <v>2200.9048543746767</v>
          </cell>
          <cell r="EC71">
            <v>1569.9540817273808</v>
          </cell>
          <cell r="ED71">
            <v>2013</v>
          </cell>
          <cell r="EE71">
            <v>749.69474756568559</v>
          </cell>
          <cell r="EF71">
            <v>1214.7142140152637</v>
          </cell>
          <cell r="EG71">
            <v>840.65985753587677</v>
          </cell>
          <cell r="EH71">
            <v>2013</v>
          </cell>
          <cell r="EI71">
            <v>3041.5539509867167</v>
          </cell>
          <cell r="EJ71">
            <v>4937.9926628784197</v>
          </cell>
          <cell r="EK71">
            <v>3360.4648559564703</v>
          </cell>
          <cell r="EL71">
            <v>2013</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row>
        <row r="72">
          <cell r="B72" t="str">
            <v>50%</v>
          </cell>
          <cell r="C72">
            <v>315.43937190611007</v>
          </cell>
          <cell r="D72">
            <v>498.59551279669336</v>
          </cell>
          <cell r="E72">
            <v>331.87837017602379</v>
          </cell>
          <cell r="F72">
            <v>2012</v>
          </cell>
          <cell r="G72">
            <v>140.04436771273481</v>
          </cell>
          <cell r="H72">
            <v>226.14983184309926</v>
          </cell>
          <cell r="I72">
            <v>150.55025893471634</v>
          </cell>
          <cell r="J72">
            <v>2011</v>
          </cell>
          <cell r="K72">
            <v>69.295327617170599</v>
          </cell>
          <cell r="L72">
            <v>112.09054938909964</v>
          </cell>
          <cell r="M72">
            <v>74.160874346377781</v>
          </cell>
          <cell r="N72">
            <v>2011</v>
          </cell>
          <cell r="O72">
            <v>34.619329918599391</v>
          </cell>
          <cell r="P72">
            <v>53.141342585633787</v>
          </cell>
          <cell r="Q72">
            <v>32.528830340193423</v>
          </cell>
          <cell r="R72">
            <v>2011</v>
          </cell>
          <cell r="S72">
            <v>1608.2888078259334</v>
          </cell>
          <cell r="T72">
            <v>2586.976282846656</v>
          </cell>
          <cell r="U72">
            <v>1712.7450787596322</v>
          </cell>
          <cell r="V72">
            <v>2012</v>
          </cell>
          <cell r="W72">
            <v>2998.5019421102952</v>
          </cell>
          <cell r="X72">
            <v>4856.9418748222388</v>
          </cell>
          <cell r="Y72">
            <v>3132.6068550954801</v>
          </cell>
          <cell r="Z72">
            <v>2012</v>
          </cell>
          <cell r="AA72">
            <v>131.25928690660768</v>
          </cell>
          <cell r="AB72">
            <v>206.48367876444155</v>
          </cell>
          <cell r="AC72">
            <v>90.90582916061858</v>
          </cell>
          <cell r="AD72">
            <v>2013</v>
          </cell>
          <cell r="AE72">
            <v>34.263289392755816</v>
          </cell>
          <cell r="AF72">
            <v>55.42351898259804</v>
          </cell>
          <cell r="AG72">
            <v>38.745536989260231</v>
          </cell>
          <cell r="AH72">
            <v>2012</v>
          </cell>
          <cell r="AI72">
            <v>34.638304837095305</v>
          </cell>
          <cell r="AJ72">
            <v>53.002144264697293</v>
          </cell>
          <cell r="AK72">
            <v>32.522049830177501</v>
          </cell>
          <cell r="AL72">
            <v>2011</v>
          </cell>
          <cell r="AM72">
            <v>3794.37921191034</v>
          </cell>
          <cell r="AN72">
            <v>6051.4729719212064</v>
          </cell>
          <cell r="AO72">
            <v>5956.2074438032923</v>
          </cell>
          <cell r="AP72">
            <v>2019</v>
          </cell>
          <cell r="AQ72">
            <v>146.70744794440836</v>
          </cell>
          <cell r="AR72">
            <v>230.41250457102132</v>
          </cell>
          <cell r="AS72">
            <v>107.33403539906642</v>
          </cell>
          <cell r="AT72">
            <v>2013</v>
          </cell>
          <cell r="AU72">
            <v>5308.1577083090297</v>
          </cell>
          <cell r="AV72">
            <v>8493.8528459831086</v>
          </cell>
          <cell r="AW72">
            <v>8818.9775505889356</v>
          </cell>
          <cell r="AX72">
            <v>2020</v>
          </cell>
          <cell r="AY72">
            <v>537.95065212312659</v>
          </cell>
          <cell r="AZ72">
            <v>870.61743502635761</v>
          </cell>
          <cell r="BA72">
            <v>562.32254983683754</v>
          </cell>
          <cell r="BB72">
            <v>2013</v>
          </cell>
          <cell r="BC72">
            <v>277.89491173824149</v>
          </cell>
          <cell r="BD72">
            <v>451.54434009421959</v>
          </cell>
          <cell r="BE72">
            <v>285.33414018568703</v>
          </cell>
          <cell r="BF72">
            <v>2013</v>
          </cell>
          <cell r="BG72">
            <v>98.230973213416448</v>
          </cell>
          <cell r="BH72">
            <v>147.02948282527845</v>
          </cell>
          <cell r="BI72">
            <v>88.465284284352478</v>
          </cell>
          <cell r="BJ72">
            <v>2012</v>
          </cell>
          <cell r="BK72">
            <v>140.09564451512853</v>
          </cell>
          <cell r="BL72">
            <v>225.95291695823155</v>
          </cell>
          <cell r="BM72">
            <v>150.24114816971132</v>
          </cell>
          <cell r="BN72">
            <v>2011</v>
          </cell>
          <cell r="BO72">
            <v>133.56768817254192</v>
          </cell>
          <cell r="BP72">
            <v>215.37158700385586</v>
          </cell>
          <cell r="BQ72">
            <v>142.46489420707078</v>
          </cell>
          <cell r="BR72">
            <v>2012</v>
          </cell>
          <cell r="BS72">
            <v>4440.7889067064634</v>
          </cell>
          <cell r="BT72">
            <v>4440.7889066484067</v>
          </cell>
          <cell r="BU72">
            <v>4760.5548522242607</v>
          </cell>
          <cell r="BV72">
            <v>2010</v>
          </cell>
          <cell r="BW72">
            <v>71129.578991500806</v>
          </cell>
          <cell r="BX72">
            <v>71202.308776526508</v>
          </cell>
          <cell r="BY72">
            <v>91514.961360929912</v>
          </cell>
          <cell r="BZ72">
            <v>2014</v>
          </cell>
          <cell r="CA72">
            <v>1172.6036654675036</v>
          </cell>
          <cell r="CB72">
            <v>1893.1896278963636</v>
          </cell>
          <cell r="CC72">
            <v>1408.266802505183</v>
          </cell>
          <cell r="CD72">
            <v>2013</v>
          </cell>
          <cell r="CE72">
            <v>65.861134186386408</v>
          </cell>
          <cell r="CF72">
            <v>106.5354756438438</v>
          </cell>
          <cell r="CG72">
            <v>87.850815321701646</v>
          </cell>
          <cell r="CH72">
            <v>2013</v>
          </cell>
          <cell r="CI72">
            <v>792.10919101756281</v>
          </cell>
          <cell r="CJ72">
            <v>1271.6639134122913</v>
          </cell>
          <cell r="CK72">
            <v>941.26478494828518</v>
          </cell>
          <cell r="CL72">
            <v>2013</v>
          </cell>
          <cell r="CM72">
            <v>65.53457070334062</v>
          </cell>
          <cell r="CN72">
            <v>106.0072340532971</v>
          </cell>
          <cell r="CO72">
            <v>87.693608261299872</v>
          </cell>
          <cell r="CP72">
            <v>2013</v>
          </cell>
          <cell r="CQ72">
            <v>4669.6315066658672</v>
          </cell>
          <cell r="CR72">
            <v>7364.282659247242</v>
          </cell>
          <cell r="CS72">
            <v>7462.3079437657625</v>
          </cell>
          <cell r="CT72">
            <v>2020</v>
          </cell>
          <cell r="CU72">
            <v>1642.4469697265965</v>
          </cell>
          <cell r="CV72">
            <v>2674.7765603361581</v>
          </cell>
          <cell r="CW72">
            <v>1697.4797327976489</v>
          </cell>
          <cell r="CX72">
            <v>2013</v>
          </cell>
          <cell r="CY72">
            <v>118.53610554517206</v>
          </cell>
          <cell r="CZ72">
            <v>194.73972660098903</v>
          </cell>
          <cell r="DA72">
            <v>108.42913447347176</v>
          </cell>
          <cell r="DB72">
            <v>2011</v>
          </cell>
          <cell r="DC72">
            <v>6310.8117429914919</v>
          </cell>
          <cell r="DD72">
            <v>10217.147747670302</v>
          </cell>
          <cell r="DE72">
            <v>9751.2370880294184</v>
          </cell>
          <cell r="DF72">
            <v>2019</v>
          </cell>
          <cell r="DG72">
            <v>98.08818237844099</v>
          </cell>
          <cell r="DH72">
            <v>146.86372494655208</v>
          </cell>
          <cell r="DI72">
            <v>88.348135525670585</v>
          </cell>
          <cell r="DJ72">
            <v>2012</v>
          </cell>
          <cell r="DK72">
            <v>140.14463502910107</v>
          </cell>
          <cell r="DL72">
            <v>225.93740121046366</v>
          </cell>
          <cell r="DM72">
            <v>150.17120830755289</v>
          </cell>
          <cell r="DN72">
            <v>2011</v>
          </cell>
          <cell r="DO72">
            <v>100.68179470805337</v>
          </cell>
          <cell r="DP72">
            <v>162.86058564291952</v>
          </cell>
          <cell r="DQ72">
            <v>107.68297206476653</v>
          </cell>
          <cell r="DR72">
            <v>2011</v>
          </cell>
          <cell r="DS72">
            <v>34.193387634035339</v>
          </cell>
          <cell r="DT72">
            <v>55.310447776084438</v>
          </cell>
          <cell r="DU72">
            <v>38.768962704126274</v>
          </cell>
          <cell r="DV72">
            <v>2012</v>
          </cell>
          <cell r="DW72">
            <v>34.735791368846812</v>
          </cell>
          <cell r="DX72">
            <v>53.213832422144407</v>
          </cell>
          <cell r="DY72">
            <v>32.551342082072516</v>
          </cell>
          <cell r="DZ72">
            <v>2011</v>
          </cell>
          <cell r="EA72">
            <v>1380.1098200742247</v>
          </cell>
          <cell r="EB72">
            <v>2229.1473252802548</v>
          </cell>
          <cell r="EC72">
            <v>1590.9259696743593</v>
          </cell>
          <cell r="ED72">
            <v>2013</v>
          </cell>
          <cell r="EE72">
            <v>759.08342195835678</v>
          </cell>
          <cell r="EF72">
            <v>1229.3582890133957</v>
          </cell>
          <cell r="EG72">
            <v>852.61628858920801</v>
          </cell>
          <cell r="EH72">
            <v>2013</v>
          </cell>
          <cell r="EI72">
            <v>3086.7555867708847</v>
          </cell>
          <cell r="EJ72">
            <v>5007.4583277891943</v>
          </cell>
          <cell r="EK72">
            <v>3404.7704273996192</v>
          </cell>
          <cell r="EL72">
            <v>2013</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row>
        <row r="73">
          <cell r="B73" t="str">
            <v>55%</v>
          </cell>
          <cell r="C73">
            <v>319.03911188152671</v>
          </cell>
          <cell r="D73">
            <v>504.64789596577458</v>
          </cell>
          <cell r="E73">
            <v>335.48567094704333</v>
          </cell>
          <cell r="F73">
            <v>2012</v>
          </cell>
          <cell r="G73">
            <v>143.44178741281866</v>
          </cell>
          <cell r="H73">
            <v>231.54681654217217</v>
          </cell>
          <cell r="I73">
            <v>153.50549231162304</v>
          </cell>
          <cell r="J73">
            <v>2011</v>
          </cell>
          <cell r="K73">
            <v>70.974399904547198</v>
          </cell>
          <cell r="L73">
            <v>114.80657846668095</v>
          </cell>
          <cell r="M73">
            <v>75.341190534776047</v>
          </cell>
          <cell r="N73">
            <v>2011</v>
          </cell>
          <cell r="O73">
            <v>35.019306602996032</v>
          </cell>
          <cell r="P73">
            <v>53.659285087567874</v>
          </cell>
          <cell r="Q73">
            <v>32.859539765655541</v>
          </cell>
          <cell r="R73">
            <v>2011</v>
          </cell>
          <cell r="S73">
            <v>1639.9732047503035</v>
          </cell>
          <cell r="T73">
            <v>2636.3494972207</v>
          </cell>
          <cell r="U73">
            <v>1735.5429041069988</v>
          </cell>
          <cell r="V73">
            <v>2012</v>
          </cell>
          <cell r="W73">
            <v>3039.7241195261731</v>
          </cell>
          <cell r="X73">
            <v>4923.7036066258897</v>
          </cell>
          <cell r="Y73">
            <v>3168.8020501422102</v>
          </cell>
          <cell r="Z73">
            <v>2012</v>
          </cell>
          <cell r="AA73">
            <v>131.83776082771649</v>
          </cell>
          <cell r="AB73">
            <v>207.22796675595123</v>
          </cell>
          <cell r="AC73">
            <v>91.418777685597263</v>
          </cell>
          <cell r="AD73">
            <v>2013</v>
          </cell>
          <cell r="AE73">
            <v>34.664409835806495</v>
          </cell>
          <cell r="AF73">
            <v>56.072362770860103</v>
          </cell>
          <cell r="AG73">
            <v>39.051375459407595</v>
          </cell>
          <cell r="AH73">
            <v>2012</v>
          </cell>
          <cell r="AI73">
            <v>35.049486291757688</v>
          </cell>
          <cell r="AJ73">
            <v>53.741535245925697</v>
          </cell>
          <cell r="AK73">
            <v>32.872382765588476</v>
          </cell>
          <cell r="AL73">
            <v>2011</v>
          </cell>
          <cell r="AM73">
            <v>3819.49194670415</v>
          </cell>
          <cell r="AN73">
            <v>6094.8895266065219</v>
          </cell>
          <cell r="AO73">
            <v>6001.1548898969086</v>
          </cell>
          <cell r="AP73">
            <v>2019</v>
          </cell>
          <cell r="AQ73">
            <v>147.31814599443032</v>
          </cell>
          <cell r="AR73">
            <v>231.32163637706398</v>
          </cell>
          <cell r="AS73">
            <v>107.887142133311</v>
          </cell>
          <cell r="AT73">
            <v>2013</v>
          </cell>
          <cell r="AU73">
            <v>5344.0354082354143</v>
          </cell>
          <cell r="AV73">
            <v>8553.1295541096806</v>
          </cell>
          <cell r="AW73">
            <v>8885.3664542312072</v>
          </cell>
          <cell r="AX73">
            <v>2020</v>
          </cell>
          <cell r="AY73">
            <v>549.59465022327095</v>
          </cell>
          <cell r="AZ73">
            <v>886.70057209122604</v>
          </cell>
          <cell r="BA73">
            <v>570.7557460958194</v>
          </cell>
          <cell r="BB73">
            <v>2013</v>
          </cell>
          <cell r="BC73">
            <v>281.47106921687873</v>
          </cell>
          <cell r="BD73">
            <v>457.20368062787287</v>
          </cell>
          <cell r="BE73">
            <v>288.9764137033867</v>
          </cell>
          <cell r="BF73">
            <v>2013</v>
          </cell>
          <cell r="BG73">
            <v>99.097509155836377</v>
          </cell>
          <cell r="BH73">
            <v>148.6882076482824</v>
          </cell>
          <cell r="BI73">
            <v>89.303034846826804</v>
          </cell>
          <cell r="BJ73">
            <v>2012</v>
          </cell>
          <cell r="BK73">
            <v>143.60950433900251</v>
          </cell>
          <cell r="BL73">
            <v>231.28611402424556</v>
          </cell>
          <cell r="BM73">
            <v>153.23713050729955</v>
          </cell>
          <cell r="BN73">
            <v>2011</v>
          </cell>
          <cell r="BO73">
            <v>138.67175654421902</v>
          </cell>
          <cell r="BP73">
            <v>224.09684205136153</v>
          </cell>
          <cell r="BQ73">
            <v>147.00226182577003</v>
          </cell>
          <cell r="BR73">
            <v>2012</v>
          </cell>
          <cell r="BS73">
            <v>4491.3394536423693</v>
          </cell>
          <cell r="BT73">
            <v>4491.3394537892391</v>
          </cell>
          <cell r="BU73">
            <v>4819.052681493491</v>
          </cell>
          <cell r="BV73">
            <v>2010</v>
          </cell>
          <cell r="BW73">
            <v>71570.909310927731</v>
          </cell>
          <cell r="BX73">
            <v>71642.971439119588</v>
          </cell>
          <cell r="BY73">
            <v>92062.578864765062</v>
          </cell>
          <cell r="BZ73">
            <v>2014</v>
          </cell>
          <cell r="CA73">
            <v>1246.8055465825678</v>
          </cell>
          <cell r="CB73">
            <v>2015.3262369109186</v>
          </cell>
          <cell r="CC73">
            <v>1501.7597564040934</v>
          </cell>
          <cell r="CD73">
            <v>2013</v>
          </cell>
          <cell r="CE73">
            <v>66.475750401749323</v>
          </cell>
          <cell r="CF73">
            <v>107.52966487980321</v>
          </cell>
          <cell r="CG73">
            <v>88.724023795085941</v>
          </cell>
          <cell r="CH73">
            <v>2013</v>
          </cell>
          <cell r="CI73">
            <v>841.89485917158595</v>
          </cell>
          <cell r="CJ73">
            <v>1351.6044094595188</v>
          </cell>
          <cell r="CK73">
            <v>1005.3781130465748</v>
          </cell>
          <cell r="CL73">
            <v>2013</v>
          </cell>
          <cell r="CM73">
            <v>66.169940747268868</v>
          </cell>
          <cell r="CN73">
            <v>107.03499404673948</v>
          </cell>
          <cell r="CO73">
            <v>88.58131433523134</v>
          </cell>
          <cell r="CP73">
            <v>2013</v>
          </cell>
          <cell r="CQ73">
            <v>4708.197392556036</v>
          </cell>
          <cell r="CR73">
            <v>7424.7935809177743</v>
          </cell>
          <cell r="CS73">
            <v>7520.0377363160378</v>
          </cell>
          <cell r="CT73">
            <v>2020</v>
          </cell>
          <cell r="CU73">
            <v>1667.8894920410582</v>
          </cell>
          <cell r="CV73">
            <v>2710.7380321962846</v>
          </cell>
          <cell r="CW73">
            <v>1719.4476606679591</v>
          </cell>
          <cell r="CX73">
            <v>2013</v>
          </cell>
          <cell r="CY73">
            <v>120.00651018098017</v>
          </cell>
          <cell r="CZ73">
            <v>197.21416166885618</v>
          </cell>
          <cell r="DA73">
            <v>109.75481415403497</v>
          </cell>
          <cell r="DB73">
            <v>2011</v>
          </cell>
          <cell r="DC73">
            <v>6414.7593613365116</v>
          </cell>
          <cell r="DD73">
            <v>10380.631470101385</v>
          </cell>
          <cell r="DE73">
            <v>9896.7146307604253</v>
          </cell>
          <cell r="DF73">
            <v>2019</v>
          </cell>
          <cell r="DG73">
            <v>99.29751213221067</v>
          </cell>
          <cell r="DH73">
            <v>148.85189194261901</v>
          </cell>
          <cell r="DI73">
            <v>89.335069228030861</v>
          </cell>
          <cell r="DJ73">
            <v>2012</v>
          </cell>
          <cell r="DK73">
            <v>143.29763136725876</v>
          </cell>
          <cell r="DL73">
            <v>231.44835598770419</v>
          </cell>
          <cell r="DM73">
            <v>153.14710846431348</v>
          </cell>
          <cell r="DN73">
            <v>2011</v>
          </cell>
          <cell r="DO73">
            <v>104.35064666279692</v>
          </cell>
          <cell r="DP73">
            <v>168.79523813984994</v>
          </cell>
          <cell r="DQ73">
            <v>111.38772447532008</v>
          </cell>
          <cell r="DR73">
            <v>2011</v>
          </cell>
          <cell r="DS73">
            <v>34.530097216819286</v>
          </cell>
          <cell r="DT73">
            <v>55.855101892248491</v>
          </cell>
          <cell r="DU73">
            <v>39.082440909564085</v>
          </cell>
          <cell r="DV73">
            <v>2012</v>
          </cell>
          <cell r="DW73">
            <v>35.181552166415322</v>
          </cell>
          <cell r="DX73">
            <v>53.929703684169787</v>
          </cell>
          <cell r="DY73">
            <v>32.989794762721033</v>
          </cell>
          <cell r="DZ73">
            <v>2011</v>
          </cell>
          <cell r="EA73">
            <v>1399.8312991191578</v>
          </cell>
          <cell r="EB73">
            <v>2263.6092657238578</v>
          </cell>
          <cell r="EC73">
            <v>1612.250072067613</v>
          </cell>
          <cell r="ED73">
            <v>2013</v>
          </cell>
          <cell r="EE73">
            <v>770.30001448191933</v>
          </cell>
          <cell r="EF73">
            <v>1247.5966335039448</v>
          </cell>
          <cell r="EG73">
            <v>863.01858990331607</v>
          </cell>
          <cell r="EH73">
            <v>2013</v>
          </cell>
          <cell r="EI73">
            <v>3144.0775825066262</v>
          </cell>
          <cell r="EJ73">
            <v>5093.1710349347377</v>
          </cell>
          <cell r="EK73">
            <v>3442.3439243326552</v>
          </cell>
          <cell r="EL73">
            <v>2013</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row>
        <row r="74">
          <cell r="B74" t="str">
            <v>60%</v>
          </cell>
          <cell r="C74">
            <v>324.05971344852952</v>
          </cell>
          <cell r="D74">
            <v>512.11242304779478</v>
          </cell>
          <cell r="E74">
            <v>339.0711181619028</v>
          </cell>
          <cell r="F74">
            <v>2012</v>
          </cell>
          <cell r="G74">
            <v>146.97509673684209</v>
          </cell>
          <cell r="H74">
            <v>236.82164452788945</v>
          </cell>
          <cell r="I74">
            <v>156.99379060026226</v>
          </cell>
          <cell r="J74">
            <v>2011</v>
          </cell>
          <cell r="K74">
            <v>72.509004137089647</v>
          </cell>
          <cell r="L74">
            <v>117.28891914316027</v>
          </cell>
          <cell r="M74">
            <v>77.349066535071742</v>
          </cell>
          <cell r="N74">
            <v>2011</v>
          </cell>
          <cell r="O74">
            <v>35.32779365082078</v>
          </cell>
          <cell r="P74">
            <v>54.229600511123827</v>
          </cell>
          <cell r="Q74">
            <v>33.189601340245687</v>
          </cell>
          <cell r="R74">
            <v>2011</v>
          </cell>
          <cell r="S74">
            <v>1669.9105025984722</v>
          </cell>
          <cell r="T74">
            <v>2684.473420609605</v>
          </cell>
          <cell r="U74">
            <v>1757.6534036360415</v>
          </cell>
          <cell r="V74">
            <v>2012</v>
          </cell>
          <cell r="W74">
            <v>3072.1858021780718</v>
          </cell>
          <cell r="X74">
            <v>4981.5657973053403</v>
          </cell>
          <cell r="Y74">
            <v>3208.2039068280274</v>
          </cell>
          <cell r="Z74">
            <v>2012</v>
          </cell>
          <cell r="AA74">
            <v>132.31695203953311</v>
          </cell>
          <cell r="AB74">
            <v>208.33881043488299</v>
          </cell>
          <cell r="AC74">
            <v>91.907116306868758</v>
          </cell>
          <cell r="AD74">
            <v>2013</v>
          </cell>
          <cell r="AE74">
            <v>35.01200096607937</v>
          </cell>
          <cell r="AF74">
            <v>56.634618009638245</v>
          </cell>
          <cell r="AG74">
            <v>39.371534669999953</v>
          </cell>
          <cell r="AH74">
            <v>2012</v>
          </cell>
          <cell r="AI74">
            <v>35.577966906496904</v>
          </cell>
          <cell r="AJ74">
            <v>54.615713194632207</v>
          </cell>
          <cell r="AK74">
            <v>33.330821843639107</v>
          </cell>
          <cell r="AL74">
            <v>2011</v>
          </cell>
          <cell r="AM74">
            <v>3848.3418677799064</v>
          </cell>
          <cell r="AN74">
            <v>6141.536006371427</v>
          </cell>
          <cell r="AO74">
            <v>6048.9439558430395</v>
          </cell>
          <cell r="AP74">
            <v>2019</v>
          </cell>
          <cell r="AQ74">
            <v>147.91584859827017</v>
          </cell>
          <cell r="AR74">
            <v>232.45640543271236</v>
          </cell>
          <cell r="AS74">
            <v>108.39627548705016</v>
          </cell>
          <cell r="AT74">
            <v>2013</v>
          </cell>
          <cell r="AU74">
            <v>5388.1190113576949</v>
          </cell>
          <cell r="AV74">
            <v>8623.2121298039237</v>
          </cell>
          <cell r="AW74">
            <v>8958.1007223936267</v>
          </cell>
          <cell r="AX74">
            <v>2020</v>
          </cell>
          <cell r="AY74">
            <v>561.52541897627748</v>
          </cell>
          <cell r="AZ74">
            <v>906.57552257576356</v>
          </cell>
          <cell r="BA74">
            <v>578.40359843450437</v>
          </cell>
          <cell r="BB74">
            <v>2013</v>
          </cell>
          <cell r="BC74">
            <v>283.99340935365785</v>
          </cell>
          <cell r="BD74">
            <v>461.81052903014904</v>
          </cell>
          <cell r="BE74">
            <v>292.9078063202075</v>
          </cell>
          <cell r="BF74">
            <v>2013</v>
          </cell>
          <cell r="BG74">
            <v>100.40595466623705</v>
          </cell>
          <cell r="BH74">
            <v>150.6547072316736</v>
          </cell>
          <cell r="BI74">
            <v>90.412656570825561</v>
          </cell>
          <cell r="BJ74">
            <v>2012</v>
          </cell>
          <cell r="BK74">
            <v>147.36645122669265</v>
          </cell>
          <cell r="BL74">
            <v>236.92034316245264</v>
          </cell>
          <cell r="BM74">
            <v>156.52336435250726</v>
          </cell>
          <cell r="BN74">
            <v>2011</v>
          </cell>
          <cell r="BO74">
            <v>142.98927947946248</v>
          </cell>
          <cell r="BP74">
            <v>230.88093311980714</v>
          </cell>
          <cell r="BQ74">
            <v>152.25216495273807</v>
          </cell>
          <cell r="BR74">
            <v>2012</v>
          </cell>
          <cell r="BS74">
            <v>4536.6950282137295</v>
          </cell>
          <cell r="BT74">
            <v>4536.6950288762055</v>
          </cell>
          <cell r="BU74">
            <v>4866.3311090928964</v>
          </cell>
          <cell r="BV74">
            <v>2010</v>
          </cell>
          <cell r="BW74">
            <v>72011.599775272465</v>
          </cell>
          <cell r="BX74">
            <v>72082.727812336962</v>
          </cell>
          <cell r="BY74">
            <v>92751.421163563748</v>
          </cell>
          <cell r="BZ74">
            <v>2014</v>
          </cell>
          <cell r="CA74">
            <v>1333.5299740717255</v>
          </cell>
          <cell r="CB74">
            <v>2154.9728687023448</v>
          </cell>
          <cell r="CC74">
            <v>1599.6577266570177</v>
          </cell>
          <cell r="CD74">
            <v>2013</v>
          </cell>
          <cell r="CE74">
            <v>66.991892392460812</v>
          </cell>
          <cell r="CF74">
            <v>108.36456455184795</v>
          </cell>
          <cell r="CG74">
            <v>89.405177841135696</v>
          </cell>
          <cell r="CH74">
            <v>2013</v>
          </cell>
          <cell r="CI74">
            <v>890.81012096487734</v>
          </cell>
          <cell r="CJ74">
            <v>1436.4669744427522</v>
          </cell>
          <cell r="CK74">
            <v>1069.0725994744807</v>
          </cell>
          <cell r="CL74">
            <v>2013</v>
          </cell>
          <cell r="CM74">
            <v>66.856576980056175</v>
          </cell>
          <cell r="CN74">
            <v>108.14568147978012</v>
          </cell>
          <cell r="CO74">
            <v>89.248662293520553</v>
          </cell>
          <cell r="CP74">
            <v>2013</v>
          </cell>
          <cell r="CQ74">
            <v>4744.5852111886406</v>
          </cell>
          <cell r="CR74">
            <v>7479.7991942480539</v>
          </cell>
          <cell r="CS74">
            <v>7579.5091050015999</v>
          </cell>
          <cell r="CT74">
            <v>2020</v>
          </cell>
          <cell r="CU74">
            <v>1695.6340422168892</v>
          </cell>
          <cell r="CV74">
            <v>2753.514079346392</v>
          </cell>
          <cell r="CW74">
            <v>1743.313946954785</v>
          </cell>
          <cell r="CX74">
            <v>2013</v>
          </cell>
          <cell r="CY74">
            <v>121.79527370304518</v>
          </cell>
          <cell r="CZ74">
            <v>200.05566136849015</v>
          </cell>
          <cell r="DA74">
            <v>111.15929271779137</v>
          </cell>
          <cell r="DB74">
            <v>2011</v>
          </cell>
          <cell r="DC74">
            <v>6508.2898942604152</v>
          </cell>
          <cell r="DD74">
            <v>10524.792810756295</v>
          </cell>
          <cell r="DE74">
            <v>10043.738658801605</v>
          </cell>
          <cell r="DF74">
            <v>2019</v>
          </cell>
          <cell r="DG74">
            <v>100.50366614285487</v>
          </cell>
          <cell r="DH74">
            <v>150.90426860075601</v>
          </cell>
          <cell r="DI74">
            <v>90.343113452525984</v>
          </cell>
          <cell r="DJ74">
            <v>2012</v>
          </cell>
          <cell r="DK74">
            <v>147.04748852106721</v>
          </cell>
          <cell r="DL74">
            <v>236.2410632440924</v>
          </cell>
          <cell r="DM74">
            <v>156.72414652841567</v>
          </cell>
          <cell r="DN74">
            <v>2011</v>
          </cell>
          <cell r="DO74">
            <v>107.89975405486832</v>
          </cell>
          <cell r="DP74">
            <v>174.53619340459164</v>
          </cell>
          <cell r="DQ74">
            <v>114.6281014663963</v>
          </cell>
          <cell r="DR74">
            <v>2011</v>
          </cell>
          <cell r="DS74">
            <v>34.92365477175511</v>
          </cell>
          <cell r="DT74">
            <v>56.491711419908803</v>
          </cell>
          <cell r="DU74">
            <v>39.360098594645684</v>
          </cell>
          <cell r="DV74">
            <v>2012</v>
          </cell>
          <cell r="DW74">
            <v>35.601728039424891</v>
          </cell>
          <cell r="DX74">
            <v>54.707831812283267</v>
          </cell>
          <cell r="DY74">
            <v>33.432130952062593</v>
          </cell>
          <cell r="DZ74">
            <v>2011</v>
          </cell>
          <cell r="EA74">
            <v>1419.2085298895122</v>
          </cell>
          <cell r="EB74">
            <v>2292.4435090707511</v>
          </cell>
          <cell r="EC74">
            <v>1633.7416766885988</v>
          </cell>
          <cell r="ED74">
            <v>2013</v>
          </cell>
          <cell r="EE74">
            <v>782.71838887585477</v>
          </cell>
          <cell r="EF74">
            <v>1267.661539273131</v>
          </cell>
          <cell r="EG74">
            <v>873.98096641073096</v>
          </cell>
          <cell r="EH74">
            <v>2013</v>
          </cell>
          <cell r="EI74">
            <v>3195.5557177525893</v>
          </cell>
          <cell r="EJ74">
            <v>5171.9097530452609</v>
          </cell>
          <cell r="EK74">
            <v>3485.7456430325565</v>
          </cell>
          <cell r="EL74">
            <v>2013</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row>
        <row r="75">
          <cell r="B75" t="str">
            <v>65%</v>
          </cell>
          <cell r="C75">
            <v>329.49812960578976</v>
          </cell>
          <cell r="D75">
            <v>521.38659317941813</v>
          </cell>
          <cell r="E75">
            <v>343.29929517229363</v>
          </cell>
          <cell r="F75">
            <v>2012</v>
          </cell>
          <cell r="G75">
            <v>150.75546103413697</v>
          </cell>
          <cell r="H75">
            <v>242.97001181027841</v>
          </cell>
          <cell r="I75">
            <v>160.32514085700026</v>
          </cell>
          <cell r="J75">
            <v>2011</v>
          </cell>
          <cell r="K75">
            <v>74.775206066657717</v>
          </cell>
          <cell r="L75">
            <v>120.95467611064143</v>
          </cell>
          <cell r="M75">
            <v>78.952132815718855</v>
          </cell>
          <cell r="N75">
            <v>2011</v>
          </cell>
          <cell r="O75">
            <v>35.793681005108404</v>
          </cell>
          <cell r="P75">
            <v>54.985018408873991</v>
          </cell>
          <cell r="Q75">
            <v>33.560722436693545</v>
          </cell>
          <cell r="R75">
            <v>2011</v>
          </cell>
          <cell r="S75">
            <v>1702.0143828261557</v>
          </cell>
          <cell r="T75">
            <v>2733.2169140808815</v>
          </cell>
          <cell r="U75">
            <v>1783.1413451584781</v>
          </cell>
          <cell r="V75">
            <v>2012</v>
          </cell>
          <cell r="W75">
            <v>3106.2483254259487</v>
          </cell>
          <cell r="X75">
            <v>5033.8913756981829</v>
          </cell>
          <cell r="Y75">
            <v>3249.5305987766869</v>
          </cell>
          <cell r="Z75">
            <v>2012</v>
          </cell>
          <cell r="AA75">
            <v>133.07800325799337</v>
          </cell>
          <cell r="AB75">
            <v>209.31593100416504</v>
          </cell>
          <cell r="AC75">
            <v>92.453658637184191</v>
          </cell>
          <cell r="AD75">
            <v>2013</v>
          </cell>
          <cell r="AE75">
            <v>35.453377260734698</v>
          </cell>
          <cell r="AF75">
            <v>57.348578580291637</v>
          </cell>
          <cell r="AG75">
            <v>39.704373801658896</v>
          </cell>
          <cell r="AH75">
            <v>2012</v>
          </cell>
          <cell r="AI75">
            <v>36.045086254609785</v>
          </cell>
          <cell r="AJ75">
            <v>55.372776054167161</v>
          </cell>
          <cell r="AK75">
            <v>33.876179146212571</v>
          </cell>
          <cell r="AL75">
            <v>2011</v>
          </cell>
          <cell r="AM75">
            <v>3881.656630948517</v>
          </cell>
          <cell r="AN75">
            <v>6196.7684456335428</v>
          </cell>
          <cell r="AO75">
            <v>6102.5618870475164</v>
          </cell>
          <cell r="AP75">
            <v>2019</v>
          </cell>
          <cell r="AQ75">
            <v>148.62090337905553</v>
          </cell>
          <cell r="AR75">
            <v>233.41822187683599</v>
          </cell>
          <cell r="AS75">
            <v>109.03730312146656</v>
          </cell>
          <cell r="AT75">
            <v>2013</v>
          </cell>
          <cell r="AU75">
            <v>5434.480525980016</v>
          </cell>
          <cell r="AV75">
            <v>8695.4655668571959</v>
          </cell>
          <cell r="AW75">
            <v>9035.6991580874965</v>
          </cell>
          <cell r="AX75">
            <v>2020</v>
          </cell>
          <cell r="AY75">
            <v>577.22181105573975</v>
          </cell>
          <cell r="AZ75">
            <v>927.98917237692353</v>
          </cell>
          <cell r="BA75">
            <v>587.0500600492403</v>
          </cell>
          <cell r="BB75">
            <v>2013</v>
          </cell>
          <cell r="BC75">
            <v>287.89364659065984</v>
          </cell>
          <cell r="BD75">
            <v>467.477956882466</v>
          </cell>
          <cell r="BE75">
            <v>296.9670326648428</v>
          </cell>
          <cell r="BF75">
            <v>2013</v>
          </cell>
          <cell r="BG75">
            <v>101.68213755537928</v>
          </cell>
          <cell r="BH75">
            <v>152.8818265871225</v>
          </cell>
          <cell r="BI75">
            <v>91.455600626362809</v>
          </cell>
          <cell r="BJ75">
            <v>2012</v>
          </cell>
          <cell r="BK75">
            <v>151.13504343990363</v>
          </cell>
          <cell r="BL75">
            <v>242.2347605840018</v>
          </cell>
          <cell r="BM75">
            <v>160.63802084094471</v>
          </cell>
          <cell r="BN75">
            <v>2011</v>
          </cell>
          <cell r="BO75">
            <v>147.60213238446559</v>
          </cell>
          <cell r="BP75">
            <v>238.12593750342472</v>
          </cell>
          <cell r="BQ75">
            <v>157.08052107264049</v>
          </cell>
          <cell r="BR75">
            <v>2012</v>
          </cell>
          <cell r="BS75">
            <v>4581.2161823866481</v>
          </cell>
          <cell r="BT75">
            <v>4581.2161811494934</v>
          </cell>
          <cell r="BU75">
            <v>4914.7171143232526</v>
          </cell>
          <cell r="BV75">
            <v>2010</v>
          </cell>
          <cell r="BW75">
            <v>72447.892062116793</v>
          </cell>
          <cell r="BX75">
            <v>72518.322776089422</v>
          </cell>
          <cell r="BY75">
            <v>93352.504039145118</v>
          </cell>
          <cell r="BZ75">
            <v>2014</v>
          </cell>
          <cell r="CA75">
            <v>1419.3746507272515</v>
          </cell>
          <cell r="CB75">
            <v>2295.9482189671962</v>
          </cell>
          <cell r="CC75">
            <v>1705.2468033926789</v>
          </cell>
          <cell r="CD75">
            <v>2013</v>
          </cell>
          <cell r="CE75">
            <v>67.640143633434462</v>
          </cell>
          <cell r="CF75">
            <v>109.41316100817443</v>
          </cell>
          <cell r="CG75">
            <v>90.144403139796225</v>
          </cell>
          <cell r="CH75">
            <v>2013</v>
          </cell>
          <cell r="CI75">
            <v>948.29493322998985</v>
          </cell>
          <cell r="CJ75">
            <v>1522.609261966554</v>
          </cell>
          <cell r="CK75">
            <v>1133.4187485438565</v>
          </cell>
          <cell r="CL75">
            <v>2013</v>
          </cell>
          <cell r="CM75">
            <v>67.563420769067463</v>
          </cell>
          <cell r="CN75">
            <v>109.28905644448103</v>
          </cell>
          <cell r="CO75">
            <v>89.927939745830415</v>
          </cell>
          <cell r="CP75">
            <v>2013</v>
          </cell>
          <cell r="CQ75">
            <v>4782.4724396755064</v>
          </cell>
          <cell r="CR75">
            <v>7543.6776172140171</v>
          </cell>
          <cell r="CS75">
            <v>7645.7350173394852</v>
          </cell>
          <cell r="CT75">
            <v>2020</v>
          </cell>
          <cell r="CU75">
            <v>1723.1306447859811</v>
          </cell>
          <cell r="CV75">
            <v>2794.6343604469425</v>
          </cell>
          <cell r="CW75">
            <v>1768.1429892578567</v>
          </cell>
          <cell r="CX75">
            <v>2013</v>
          </cell>
          <cell r="CY75">
            <v>123.44288743184595</v>
          </cell>
          <cell r="CZ75">
            <v>202.67823709121564</v>
          </cell>
          <cell r="DA75">
            <v>112.88969609318487</v>
          </cell>
          <cell r="DB75">
            <v>2011</v>
          </cell>
          <cell r="DC75">
            <v>6614.2011690393647</v>
          </cell>
          <cell r="DD75">
            <v>10701.922732021692</v>
          </cell>
          <cell r="DE75">
            <v>10196.345098057021</v>
          </cell>
          <cell r="DF75">
            <v>2019</v>
          </cell>
          <cell r="DG75">
            <v>101.76254063900173</v>
          </cell>
          <cell r="DH75">
            <v>153.04051565613258</v>
          </cell>
          <cell r="DI75">
            <v>91.263944728958137</v>
          </cell>
          <cell r="DJ75">
            <v>2012</v>
          </cell>
          <cell r="DK75">
            <v>151.00109207719274</v>
          </cell>
          <cell r="DL75">
            <v>242.99634042010163</v>
          </cell>
          <cell r="DM75">
            <v>160.12131187672247</v>
          </cell>
          <cell r="DN75">
            <v>2011</v>
          </cell>
          <cell r="DO75">
            <v>111.31018057150652</v>
          </cell>
          <cell r="DP75">
            <v>180.05282120621001</v>
          </cell>
          <cell r="DQ75">
            <v>118.03014929757849</v>
          </cell>
          <cell r="DR75">
            <v>2011</v>
          </cell>
          <cell r="DS75">
            <v>35.374068802931575</v>
          </cell>
          <cell r="DT75">
            <v>57.220290464390395</v>
          </cell>
          <cell r="DU75">
            <v>39.706958012704582</v>
          </cell>
          <cell r="DV75">
            <v>2012</v>
          </cell>
          <cell r="DW75">
            <v>36.09294215629113</v>
          </cell>
          <cell r="DX75">
            <v>55.438369740908115</v>
          </cell>
          <cell r="DY75">
            <v>33.878470883514787</v>
          </cell>
          <cell r="DZ75">
            <v>2011</v>
          </cell>
          <cell r="EA75">
            <v>1440.5411604061383</v>
          </cell>
          <cell r="EB75">
            <v>2329.2089878729935</v>
          </cell>
          <cell r="EC75">
            <v>1659.5631294335194</v>
          </cell>
          <cell r="ED75">
            <v>2013</v>
          </cell>
          <cell r="EE75">
            <v>795.19860288537814</v>
          </cell>
          <cell r="EF75">
            <v>1287.6623745478205</v>
          </cell>
          <cell r="EG75">
            <v>885.74565715094423</v>
          </cell>
          <cell r="EH75">
            <v>2013</v>
          </cell>
          <cell r="EI75">
            <v>3247.6280117717793</v>
          </cell>
          <cell r="EJ75">
            <v>5259.1504265682379</v>
          </cell>
          <cell r="EK75">
            <v>3539.0297578760687</v>
          </cell>
          <cell r="EL75">
            <v>2013</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row>
        <row r="76">
          <cell r="B76" t="str">
            <v>70%</v>
          </cell>
          <cell r="C76">
            <v>335.70353095421103</v>
          </cell>
          <cell r="D76">
            <v>531.34071959704488</v>
          </cell>
          <cell r="E76">
            <v>347.15724990244723</v>
          </cell>
          <cell r="F76">
            <v>2012</v>
          </cell>
          <cell r="G76">
            <v>155.03022152219978</v>
          </cell>
          <cell r="H76">
            <v>248.43023047792121</v>
          </cell>
          <cell r="I76">
            <v>163.86368037206836</v>
          </cell>
          <cell r="J76">
            <v>2011</v>
          </cell>
          <cell r="K76">
            <v>77.706859033875332</v>
          </cell>
          <cell r="L76">
            <v>125.44104830700472</v>
          </cell>
          <cell r="M76">
            <v>80.553392262752041</v>
          </cell>
          <cell r="N76">
            <v>2011</v>
          </cell>
          <cell r="O76">
            <v>36.297637314921133</v>
          </cell>
          <cell r="P76">
            <v>55.742202537887714</v>
          </cell>
          <cell r="Q76">
            <v>33.962382502961127</v>
          </cell>
          <cell r="R76">
            <v>2011</v>
          </cell>
          <cell r="S76">
            <v>1742.3120866743459</v>
          </cell>
          <cell r="T76">
            <v>2796.6825393850022</v>
          </cell>
          <cell r="U76">
            <v>1813.2085501786632</v>
          </cell>
          <cell r="V76">
            <v>2012</v>
          </cell>
          <cell r="W76">
            <v>3144.6806244588902</v>
          </cell>
          <cell r="X76">
            <v>5088.6432912528689</v>
          </cell>
          <cell r="Y76">
            <v>3284.7023308363573</v>
          </cell>
          <cell r="Z76">
            <v>2012</v>
          </cell>
          <cell r="AA76">
            <v>133.83373246712421</v>
          </cell>
          <cell r="AB76">
            <v>210.36356459416382</v>
          </cell>
          <cell r="AC76">
            <v>93.027938980035898</v>
          </cell>
          <cell r="AD76">
            <v>2013</v>
          </cell>
          <cell r="AE76">
            <v>35.899672290570045</v>
          </cell>
          <cell r="AF76">
            <v>58.070494632978296</v>
          </cell>
          <cell r="AG76">
            <v>40.130960177036307</v>
          </cell>
          <cell r="AH76">
            <v>2012</v>
          </cell>
          <cell r="AI76">
            <v>36.634029819430715</v>
          </cell>
          <cell r="AJ76">
            <v>56.305097742433141</v>
          </cell>
          <cell r="AK76">
            <v>34.349728337167655</v>
          </cell>
          <cell r="AL76">
            <v>2011</v>
          </cell>
          <cell r="AM76">
            <v>3915.5120300893022</v>
          </cell>
          <cell r="AN76">
            <v>6251.6168724648915</v>
          </cell>
          <cell r="AO76">
            <v>6157.7037335787927</v>
          </cell>
          <cell r="AP76">
            <v>2019</v>
          </cell>
          <cell r="AQ76">
            <v>149.30528071164875</v>
          </cell>
          <cell r="AR76">
            <v>234.49951860379585</v>
          </cell>
          <cell r="AS76">
            <v>109.70823229697355</v>
          </cell>
          <cell r="AT76">
            <v>2013</v>
          </cell>
          <cell r="AU76">
            <v>5479.3003003289186</v>
          </cell>
          <cell r="AV76">
            <v>8768.9264010847619</v>
          </cell>
          <cell r="AW76">
            <v>9115.4007068722949</v>
          </cell>
          <cell r="AX76">
            <v>2020</v>
          </cell>
          <cell r="AY76">
            <v>593.41673158115805</v>
          </cell>
          <cell r="AZ76">
            <v>951.96401189071037</v>
          </cell>
          <cell r="BA76">
            <v>594.44840382666564</v>
          </cell>
          <cell r="BB76">
            <v>2013</v>
          </cell>
          <cell r="BC76">
            <v>291.33556232989878</v>
          </cell>
          <cell r="BD76">
            <v>473.05683487095604</v>
          </cell>
          <cell r="BE76">
            <v>301.38339005255449</v>
          </cell>
          <cell r="BF76">
            <v>2013</v>
          </cell>
          <cell r="BG76">
            <v>103.39231456773834</v>
          </cell>
          <cell r="BH76">
            <v>155.628245738885</v>
          </cell>
          <cell r="BI76">
            <v>92.569907496085463</v>
          </cell>
          <cell r="BJ76">
            <v>2012</v>
          </cell>
          <cell r="BK76">
            <v>155.06969922481613</v>
          </cell>
          <cell r="BL76">
            <v>247.86958967641712</v>
          </cell>
          <cell r="BM76">
            <v>164.2509305923395</v>
          </cell>
          <cell r="BN76">
            <v>2011</v>
          </cell>
          <cell r="BO76">
            <v>151.99773822716179</v>
          </cell>
          <cell r="BP76">
            <v>245.83437133358541</v>
          </cell>
          <cell r="BQ76">
            <v>161.88056909743452</v>
          </cell>
          <cell r="BR76">
            <v>2012</v>
          </cell>
          <cell r="BS76">
            <v>4621.3895541977126</v>
          </cell>
          <cell r="BT76">
            <v>4621.3895558057347</v>
          </cell>
          <cell r="BU76">
            <v>4956.5256603797861</v>
          </cell>
          <cell r="BV76">
            <v>2010</v>
          </cell>
          <cell r="BW76">
            <v>73061.879971911665</v>
          </cell>
          <cell r="BX76">
            <v>73133.06663702635</v>
          </cell>
          <cell r="BY76">
            <v>93932.550101655375</v>
          </cell>
          <cell r="BZ76">
            <v>2014</v>
          </cell>
          <cell r="CA76">
            <v>1518.4181297900914</v>
          </cell>
          <cell r="CB76">
            <v>2444.9674704201475</v>
          </cell>
          <cell r="CC76">
            <v>1819.2493769669031</v>
          </cell>
          <cell r="CD76">
            <v>2013</v>
          </cell>
          <cell r="CE76">
            <v>68.261924848119492</v>
          </cell>
          <cell r="CF76">
            <v>110.41894044130449</v>
          </cell>
          <cell r="CG76">
            <v>91.096461322690075</v>
          </cell>
          <cell r="CH76">
            <v>2013</v>
          </cell>
          <cell r="CI76">
            <v>1009.230561503474</v>
          </cell>
          <cell r="CJ76">
            <v>1631.367548049165</v>
          </cell>
          <cell r="CK76">
            <v>1210.9061792945365</v>
          </cell>
          <cell r="CL76">
            <v>2013</v>
          </cell>
          <cell r="CM76">
            <v>68.199991194758852</v>
          </cell>
          <cell r="CN76">
            <v>110.31875788697991</v>
          </cell>
          <cell r="CO76">
            <v>90.846363358659261</v>
          </cell>
          <cell r="CP76">
            <v>2013</v>
          </cell>
          <cell r="CQ76">
            <v>4823.6126395795472</v>
          </cell>
          <cell r="CR76">
            <v>7608.787872276871</v>
          </cell>
          <cell r="CS76">
            <v>7714.6205708910866</v>
          </cell>
          <cell r="CT76">
            <v>2020</v>
          </cell>
          <cell r="CU76">
            <v>1754.3831732135902</v>
          </cell>
          <cell r="CV76">
            <v>2837.014177178376</v>
          </cell>
          <cell r="CW76">
            <v>1796.5063170322023</v>
          </cell>
          <cell r="CX76">
            <v>2013</v>
          </cell>
          <cell r="CY76">
            <v>125.32772089731547</v>
          </cell>
          <cell r="CZ76">
            <v>205.87615322353554</v>
          </cell>
          <cell r="DA76">
            <v>114.57628078004011</v>
          </cell>
          <cell r="DB76">
            <v>2011</v>
          </cell>
          <cell r="DC76">
            <v>6719.7717051827995</v>
          </cell>
          <cell r="DD76">
            <v>10868.543862587034</v>
          </cell>
          <cell r="DE76">
            <v>10349.97421823283</v>
          </cell>
          <cell r="DF76">
            <v>2019</v>
          </cell>
          <cell r="DG76">
            <v>103.56319040008542</v>
          </cell>
          <cell r="DH76">
            <v>155.83541524443336</v>
          </cell>
          <cell r="DI76">
            <v>92.381237059735312</v>
          </cell>
          <cell r="DJ76">
            <v>2012</v>
          </cell>
          <cell r="DK76">
            <v>155.32211571661895</v>
          </cell>
          <cell r="DL76">
            <v>249.70762819790437</v>
          </cell>
          <cell r="DM76">
            <v>164.16372542473647</v>
          </cell>
          <cell r="DN76">
            <v>2011</v>
          </cell>
          <cell r="DO76">
            <v>114.67234761126396</v>
          </cell>
          <cell r="DP76">
            <v>185.28606755325643</v>
          </cell>
          <cell r="DQ76">
            <v>121.29937824599709</v>
          </cell>
          <cell r="DR76">
            <v>2011</v>
          </cell>
          <cell r="DS76">
            <v>35.867656342574037</v>
          </cell>
          <cell r="DT76">
            <v>58.018706855831773</v>
          </cell>
          <cell r="DU76">
            <v>40.048389902440626</v>
          </cell>
          <cell r="DV76">
            <v>2012</v>
          </cell>
          <cell r="DW76">
            <v>36.545054163109882</v>
          </cell>
          <cell r="DX76">
            <v>56.161273601299534</v>
          </cell>
          <cell r="DY76">
            <v>34.386391044035094</v>
          </cell>
          <cell r="DZ76">
            <v>2011</v>
          </cell>
          <cell r="EA76">
            <v>1466.8355990368668</v>
          </cell>
          <cell r="EB76">
            <v>2362.5407771693194</v>
          </cell>
          <cell r="EC76">
            <v>1684.2333507273693</v>
          </cell>
          <cell r="ED76">
            <v>2013</v>
          </cell>
          <cell r="EE76">
            <v>809.6330378836235</v>
          </cell>
          <cell r="EF76">
            <v>1310.4917771865155</v>
          </cell>
          <cell r="EG76">
            <v>899.99339167205994</v>
          </cell>
          <cell r="EH76">
            <v>2013</v>
          </cell>
          <cell r="EI76">
            <v>3314.1301021663407</v>
          </cell>
          <cell r="EJ76">
            <v>5358.4245925467621</v>
          </cell>
          <cell r="EK76">
            <v>3597.4467998488503</v>
          </cell>
          <cell r="EL76">
            <v>2013</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row>
        <row r="77">
          <cell r="B77" t="str">
            <v>75%</v>
          </cell>
          <cell r="C77">
            <v>344.5754570672288</v>
          </cell>
          <cell r="D77">
            <v>546.22883770694114</v>
          </cell>
          <cell r="E77">
            <v>351.2856325357111</v>
          </cell>
          <cell r="F77">
            <v>2012</v>
          </cell>
          <cell r="G77">
            <v>159.76457128859423</v>
          </cell>
          <cell r="H77">
            <v>254.81172665632815</v>
          </cell>
          <cell r="I77">
            <v>167.83172904729747</v>
          </cell>
          <cell r="J77">
            <v>2011</v>
          </cell>
          <cell r="K77">
            <v>81.6866961470147</v>
          </cell>
          <cell r="L77">
            <v>131.97642224716952</v>
          </cell>
          <cell r="M77">
            <v>82.149350796143025</v>
          </cell>
          <cell r="N77">
            <v>2011</v>
          </cell>
          <cell r="O77">
            <v>36.786961459214211</v>
          </cell>
          <cell r="P77">
            <v>56.581012166040864</v>
          </cell>
          <cell r="Q77">
            <v>34.418967637149983</v>
          </cell>
          <cell r="R77">
            <v>2011</v>
          </cell>
          <cell r="S77">
            <v>1797.2945518263446</v>
          </cell>
          <cell r="T77">
            <v>2867.2166695064166</v>
          </cell>
          <cell r="U77">
            <v>1841.8776410020439</v>
          </cell>
          <cell r="V77">
            <v>2012</v>
          </cell>
          <cell r="W77">
            <v>3204.3495970996291</v>
          </cell>
          <cell r="X77">
            <v>5151.2533853198383</v>
          </cell>
          <cell r="Y77">
            <v>3317.9624931998883</v>
          </cell>
          <cell r="Z77">
            <v>2012</v>
          </cell>
          <cell r="AA77">
            <v>134.78679195164364</v>
          </cell>
          <cell r="AB77">
            <v>211.63060512774925</v>
          </cell>
          <cell r="AC77">
            <v>93.617755250850962</v>
          </cell>
          <cell r="AD77">
            <v>2013</v>
          </cell>
          <cell r="AE77">
            <v>36.658516704345217</v>
          </cell>
          <cell r="AF77">
            <v>59.297984416942811</v>
          </cell>
          <cell r="AG77">
            <v>40.482521432460189</v>
          </cell>
          <cell r="AH77">
            <v>2012</v>
          </cell>
          <cell r="AI77">
            <v>37.302645946597004</v>
          </cell>
          <cell r="AJ77">
            <v>57.382687334802192</v>
          </cell>
          <cell r="AK77">
            <v>34.876465347583995</v>
          </cell>
          <cell r="AL77">
            <v>2011</v>
          </cell>
          <cell r="AM77">
            <v>3950.9878076680234</v>
          </cell>
          <cell r="AN77">
            <v>6308.2589261317398</v>
          </cell>
          <cell r="AO77">
            <v>6218.7201377849669</v>
          </cell>
          <cell r="AP77">
            <v>2019</v>
          </cell>
          <cell r="AQ77">
            <v>150.213188575901</v>
          </cell>
          <cell r="AR77">
            <v>235.74813662773317</v>
          </cell>
          <cell r="AS77">
            <v>110.42651613319779</v>
          </cell>
          <cell r="AT77">
            <v>2013</v>
          </cell>
          <cell r="AU77">
            <v>5532.5885330557503</v>
          </cell>
          <cell r="AV77">
            <v>8856.6521476835678</v>
          </cell>
          <cell r="AW77">
            <v>9203.0794867157183</v>
          </cell>
          <cell r="AX77">
            <v>2020</v>
          </cell>
          <cell r="AY77">
            <v>619.81359576946488</v>
          </cell>
          <cell r="AZ77">
            <v>976.05439192166386</v>
          </cell>
          <cell r="BA77">
            <v>603.62929559165082</v>
          </cell>
          <cell r="BB77">
            <v>2013</v>
          </cell>
          <cell r="BC77">
            <v>295.0733559330551</v>
          </cell>
          <cell r="BD77">
            <v>479.61576984243806</v>
          </cell>
          <cell r="BE77">
            <v>306.11981403647144</v>
          </cell>
          <cell r="BF77">
            <v>2013</v>
          </cell>
          <cell r="BG77">
            <v>105.68839685366299</v>
          </cell>
          <cell r="BH77">
            <v>159.20591661276723</v>
          </cell>
          <cell r="BI77">
            <v>93.807218734548002</v>
          </cell>
          <cell r="BJ77">
            <v>2012</v>
          </cell>
          <cell r="BK77">
            <v>159.4432443395018</v>
          </cell>
          <cell r="BL77">
            <v>253.92835682650741</v>
          </cell>
          <cell r="BM77">
            <v>168.2175690628645</v>
          </cell>
          <cell r="BN77">
            <v>2011</v>
          </cell>
          <cell r="BO77">
            <v>158.59110855131345</v>
          </cell>
          <cell r="BP77">
            <v>256.33080490564691</v>
          </cell>
          <cell r="BQ77">
            <v>166.00775746110065</v>
          </cell>
          <cell r="BR77">
            <v>2012</v>
          </cell>
          <cell r="BS77">
            <v>4685.6720675691704</v>
          </cell>
          <cell r="BT77">
            <v>4685.6720680596191</v>
          </cell>
          <cell r="BU77">
            <v>5020.2963562877958</v>
          </cell>
          <cell r="BV77">
            <v>2010</v>
          </cell>
          <cell r="BW77">
            <v>73959.411143770718</v>
          </cell>
          <cell r="BX77">
            <v>74030.756738248208</v>
          </cell>
          <cell r="BY77">
            <v>94613.986865861778</v>
          </cell>
          <cell r="BZ77">
            <v>2014</v>
          </cell>
          <cell r="CA77">
            <v>1616.8617746145571</v>
          </cell>
          <cell r="CB77">
            <v>2609.7084603602129</v>
          </cell>
          <cell r="CC77">
            <v>1935.3895841668136</v>
          </cell>
          <cell r="CD77">
            <v>2013</v>
          </cell>
          <cell r="CE77">
            <v>68.921559069146937</v>
          </cell>
          <cell r="CF77">
            <v>111.48594941026384</v>
          </cell>
          <cell r="CG77">
            <v>92.02719478619629</v>
          </cell>
          <cell r="CH77">
            <v>2013</v>
          </cell>
          <cell r="CI77">
            <v>1082.0320250990553</v>
          </cell>
          <cell r="CJ77">
            <v>1743.0103936942435</v>
          </cell>
          <cell r="CK77">
            <v>1297.928855718327</v>
          </cell>
          <cell r="CL77">
            <v>2013</v>
          </cell>
          <cell r="CM77">
            <v>69.11034389530576</v>
          </cell>
          <cell r="CN77">
            <v>111.79132366283001</v>
          </cell>
          <cell r="CO77">
            <v>92.196727074832978</v>
          </cell>
          <cell r="CP77">
            <v>2013</v>
          </cell>
          <cell r="CQ77">
            <v>4864.3091926530378</v>
          </cell>
          <cell r="CR77">
            <v>7681.0563655717551</v>
          </cell>
          <cell r="CS77">
            <v>7790.4585382979531</v>
          </cell>
          <cell r="CT77">
            <v>2020</v>
          </cell>
          <cell r="CU77">
            <v>1791.3054919127408</v>
          </cell>
          <cell r="CV77">
            <v>2887.4054154201458</v>
          </cell>
          <cell r="CW77">
            <v>1827.1407918663219</v>
          </cell>
          <cell r="CX77">
            <v>2013</v>
          </cell>
          <cell r="CY77">
            <v>127.61933528921263</v>
          </cell>
          <cell r="CZ77">
            <v>209.45866394653476</v>
          </cell>
          <cell r="DA77">
            <v>116.25666511926006</v>
          </cell>
          <cell r="DB77">
            <v>2011</v>
          </cell>
          <cell r="DC77">
            <v>6831.8394500502545</v>
          </cell>
          <cell r="DD77">
            <v>11051.712874477302</v>
          </cell>
          <cell r="DE77">
            <v>10546.54445743987</v>
          </cell>
          <cell r="DF77">
            <v>2019</v>
          </cell>
          <cell r="DG77">
            <v>105.90126388074191</v>
          </cell>
          <cell r="DH77">
            <v>159.6589228893348</v>
          </cell>
          <cell r="DI77">
            <v>93.814782856520495</v>
          </cell>
          <cell r="DJ77">
            <v>2012</v>
          </cell>
          <cell r="DK77">
            <v>160.15071774783081</v>
          </cell>
          <cell r="DL77">
            <v>255.99577444950711</v>
          </cell>
          <cell r="DM77">
            <v>168.02716064985592</v>
          </cell>
          <cell r="DN77">
            <v>2011</v>
          </cell>
          <cell r="DO77">
            <v>117.93658985842062</v>
          </cell>
          <cell r="DP77">
            <v>190.71270110435506</v>
          </cell>
          <cell r="DQ77">
            <v>124.71283163848476</v>
          </cell>
          <cell r="DR77">
            <v>2011</v>
          </cell>
          <cell r="DS77">
            <v>36.532800272123993</v>
          </cell>
          <cell r="DT77">
            <v>59.094628315133377</v>
          </cell>
          <cell r="DU77">
            <v>40.456238851573019</v>
          </cell>
          <cell r="DV77">
            <v>2012</v>
          </cell>
          <cell r="DW77">
            <v>37.203050091913092</v>
          </cell>
          <cell r="DX77">
            <v>57.323427958334157</v>
          </cell>
          <cell r="DY77">
            <v>34.871429414304899</v>
          </cell>
          <cell r="DZ77">
            <v>2011</v>
          </cell>
          <cell r="EA77">
            <v>1489.116855163722</v>
          </cell>
          <cell r="EB77">
            <v>2398.8394430683834</v>
          </cell>
          <cell r="EC77">
            <v>1710.9591676124321</v>
          </cell>
          <cell r="ED77">
            <v>2013</v>
          </cell>
          <cell r="EE77">
            <v>825.02807400181064</v>
          </cell>
          <cell r="EF77">
            <v>1334.5509590541267</v>
          </cell>
          <cell r="EG77">
            <v>915.18739500497679</v>
          </cell>
          <cell r="EH77">
            <v>2013</v>
          </cell>
          <cell r="EI77">
            <v>3379.6590865150265</v>
          </cell>
          <cell r="EJ77">
            <v>5465.7553576422788</v>
          </cell>
          <cell r="EK77">
            <v>3656.8979715668211</v>
          </cell>
          <cell r="EL77">
            <v>2013</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row>
        <row r="78">
          <cell r="B78" t="str">
            <v>80%</v>
          </cell>
          <cell r="C78">
            <v>362.08899065877006</v>
          </cell>
          <cell r="D78">
            <v>566.69260075166244</v>
          </cell>
          <cell r="E78">
            <v>356.00579871553458</v>
          </cell>
          <cell r="F78">
            <v>2012</v>
          </cell>
          <cell r="G78">
            <v>164.89368504391277</v>
          </cell>
          <cell r="H78">
            <v>261.96446680184914</v>
          </cell>
          <cell r="I78">
            <v>172.7870589551689</v>
          </cell>
          <cell r="J78">
            <v>2011</v>
          </cell>
          <cell r="K78">
            <v>89.302500205404598</v>
          </cell>
          <cell r="L78">
            <v>142.51087586254877</v>
          </cell>
          <cell r="M78">
            <v>84.140999515684683</v>
          </cell>
          <cell r="N78">
            <v>2011</v>
          </cell>
          <cell r="O78">
            <v>37.346976891956821</v>
          </cell>
          <cell r="P78">
            <v>57.488558645476701</v>
          </cell>
          <cell r="Q78">
            <v>34.933861252626642</v>
          </cell>
          <cell r="R78">
            <v>2011</v>
          </cell>
          <cell r="S78">
            <v>1867.4535959673772</v>
          </cell>
          <cell r="T78">
            <v>2951.8098022992081</v>
          </cell>
          <cell r="U78">
            <v>1873.4676614677992</v>
          </cell>
          <cell r="V78">
            <v>2012</v>
          </cell>
          <cell r="W78">
            <v>3278.5712486724551</v>
          </cell>
          <cell r="X78">
            <v>5235.6249602438493</v>
          </cell>
          <cell r="Y78">
            <v>3353.616584156011</v>
          </cell>
          <cell r="Z78">
            <v>2012</v>
          </cell>
          <cell r="AA78">
            <v>135.67882352096248</v>
          </cell>
          <cell r="AB78">
            <v>212.91610487170871</v>
          </cell>
          <cell r="AC78">
            <v>94.326521120941479</v>
          </cell>
          <cell r="AD78">
            <v>2013</v>
          </cell>
          <cell r="AE78">
            <v>37.645123638122605</v>
          </cell>
          <cell r="AF78">
            <v>60.893897754342106</v>
          </cell>
          <cell r="AG78">
            <v>40.867584272379517</v>
          </cell>
          <cell r="AH78">
            <v>2012</v>
          </cell>
          <cell r="AI78">
            <v>37.970326136941395</v>
          </cell>
          <cell r="AJ78">
            <v>58.575875701455217</v>
          </cell>
          <cell r="AK78">
            <v>35.502612958925567</v>
          </cell>
          <cell r="AL78">
            <v>2011</v>
          </cell>
          <cell r="AM78">
            <v>3993.4080876274747</v>
          </cell>
          <cell r="AN78">
            <v>6375.4972460647523</v>
          </cell>
          <cell r="AO78">
            <v>6284.7664186052671</v>
          </cell>
          <cell r="AP78">
            <v>2019</v>
          </cell>
          <cell r="AQ78">
            <v>151.50128789136267</v>
          </cell>
          <cell r="AR78">
            <v>237.54265976518244</v>
          </cell>
          <cell r="AS78">
            <v>111.26862213802519</v>
          </cell>
          <cell r="AT78">
            <v>2013</v>
          </cell>
          <cell r="AU78">
            <v>5590.6715311691796</v>
          </cell>
          <cell r="AV78">
            <v>8950.2966642447645</v>
          </cell>
          <cell r="AW78">
            <v>9304.8540997486016</v>
          </cell>
          <cell r="AX78">
            <v>2020</v>
          </cell>
          <cell r="AY78">
            <v>685.4181886413877</v>
          </cell>
          <cell r="AZ78">
            <v>1021.922338853703</v>
          </cell>
          <cell r="BA78">
            <v>614.12698359632952</v>
          </cell>
          <cell r="BB78">
            <v>2013</v>
          </cell>
          <cell r="BC78">
            <v>299.89428800279535</v>
          </cell>
          <cell r="BD78">
            <v>487.22172312335147</v>
          </cell>
          <cell r="BE78">
            <v>311.54766460141292</v>
          </cell>
          <cell r="BF78">
            <v>2013</v>
          </cell>
          <cell r="BG78">
            <v>110.96467978772141</v>
          </cell>
          <cell r="BH78">
            <v>166.94758527453024</v>
          </cell>
          <cell r="BI78">
            <v>94.940955372554143</v>
          </cell>
          <cell r="BJ78">
            <v>2012</v>
          </cell>
          <cell r="BK78">
            <v>164.36714124456032</v>
          </cell>
          <cell r="BL78">
            <v>261.58965051109567</v>
          </cell>
          <cell r="BM78">
            <v>172.53478124183249</v>
          </cell>
          <cell r="BN78">
            <v>2011</v>
          </cell>
          <cell r="BO78">
            <v>167.51640123460081</v>
          </cell>
          <cell r="BP78">
            <v>270.97072809737148</v>
          </cell>
          <cell r="BQ78">
            <v>170.8679170204376</v>
          </cell>
          <cell r="BR78">
            <v>2012</v>
          </cell>
          <cell r="BS78">
            <v>4735.2281343642144</v>
          </cell>
          <cell r="BT78">
            <v>4735.2281345137317</v>
          </cell>
          <cell r="BU78">
            <v>5080.743716517698</v>
          </cell>
          <cell r="BV78">
            <v>2010</v>
          </cell>
          <cell r="BW78">
            <v>74623.794638486608</v>
          </cell>
          <cell r="BX78">
            <v>74692.895425526818</v>
          </cell>
          <cell r="BY78">
            <v>95373.01524711524</v>
          </cell>
          <cell r="BZ78">
            <v>2014</v>
          </cell>
          <cell r="CA78">
            <v>1732.480491890376</v>
          </cell>
          <cell r="CB78">
            <v>2783.6531707034769</v>
          </cell>
          <cell r="CC78">
            <v>2080.7600177312511</v>
          </cell>
          <cell r="CD78">
            <v>2013</v>
          </cell>
          <cell r="CE78">
            <v>69.687718054318779</v>
          </cell>
          <cell r="CF78">
            <v>112.7252710311776</v>
          </cell>
          <cell r="CG78">
            <v>92.744622805132877</v>
          </cell>
          <cell r="CH78">
            <v>2013</v>
          </cell>
          <cell r="CI78">
            <v>1154.4563032959641</v>
          </cell>
          <cell r="CJ78">
            <v>1866.9270701886949</v>
          </cell>
          <cell r="CK78">
            <v>1382.8435361662455</v>
          </cell>
          <cell r="CL78">
            <v>2013</v>
          </cell>
          <cell r="CM78">
            <v>69.864908650499615</v>
          </cell>
          <cell r="CN78">
            <v>113.01189023841606</v>
          </cell>
          <cell r="CO78">
            <v>93.096614401905981</v>
          </cell>
          <cell r="CP78">
            <v>2013</v>
          </cell>
          <cell r="CQ78">
            <v>4908.684396830904</v>
          </cell>
          <cell r="CR78">
            <v>7749.9229480354015</v>
          </cell>
          <cell r="CS78">
            <v>7874.2912325042207</v>
          </cell>
          <cell r="CT78">
            <v>2020</v>
          </cell>
          <cell r="CU78">
            <v>1828.0639616513383</v>
          </cell>
          <cell r="CV78">
            <v>2941.016849893032</v>
          </cell>
          <cell r="CW78">
            <v>1860.2447693122347</v>
          </cell>
          <cell r="CX78">
            <v>2013</v>
          </cell>
          <cell r="CY78">
            <v>130.86720507808715</v>
          </cell>
          <cell r="CZ78">
            <v>214.67905035604983</v>
          </cell>
          <cell r="DA78">
            <v>118.23131928330365</v>
          </cell>
          <cell r="DB78">
            <v>2011</v>
          </cell>
          <cell r="DC78">
            <v>6986.6648865986226</v>
          </cell>
          <cell r="DD78">
            <v>11265.251965016594</v>
          </cell>
          <cell r="DE78">
            <v>10717.628548333616</v>
          </cell>
          <cell r="DF78">
            <v>2019</v>
          </cell>
          <cell r="DG78">
            <v>111.72691491850043</v>
          </cell>
          <cell r="DH78">
            <v>166.69500828719839</v>
          </cell>
          <cell r="DI78">
            <v>95.156529329676403</v>
          </cell>
          <cell r="DJ78">
            <v>2012</v>
          </cell>
          <cell r="DK78">
            <v>165.33629996838934</v>
          </cell>
          <cell r="DL78">
            <v>263.03246702188255</v>
          </cell>
          <cell r="DM78">
            <v>172.80387362779453</v>
          </cell>
          <cell r="DN78">
            <v>2011</v>
          </cell>
          <cell r="DO78">
            <v>122.17116570617492</v>
          </cell>
          <cell r="DP78">
            <v>197.37567098066191</v>
          </cell>
          <cell r="DQ78">
            <v>127.9429236075067</v>
          </cell>
          <cell r="DR78">
            <v>2011</v>
          </cell>
          <cell r="DS78">
            <v>37.540654076537265</v>
          </cell>
          <cell r="DT78">
            <v>60.72491026229725</v>
          </cell>
          <cell r="DU78">
            <v>40.889179266600522</v>
          </cell>
          <cell r="DV78">
            <v>2012</v>
          </cell>
          <cell r="DW78">
            <v>38.051447034732355</v>
          </cell>
          <cell r="DX78">
            <v>58.674271837008298</v>
          </cell>
          <cell r="DY78">
            <v>35.405195648616896</v>
          </cell>
          <cell r="DZ78">
            <v>2011</v>
          </cell>
          <cell r="EA78">
            <v>1519.2636434405526</v>
          </cell>
          <cell r="EB78">
            <v>2444.5141966217279</v>
          </cell>
          <cell r="EC78">
            <v>1739.6418062479268</v>
          </cell>
          <cell r="ED78">
            <v>2013</v>
          </cell>
          <cell r="EE78">
            <v>844.77172058204087</v>
          </cell>
          <cell r="EF78">
            <v>1367.1910869997487</v>
          </cell>
          <cell r="EG78">
            <v>931.72059933239177</v>
          </cell>
          <cell r="EH78">
            <v>2013</v>
          </cell>
          <cell r="EI78">
            <v>3475.4148568906162</v>
          </cell>
          <cell r="EJ78">
            <v>5587.5894214044984</v>
          </cell>
          <cell r="EK78">
            <v>3718.3067542792651</v>
          </cell>
          <cell r="EL78">
            <v>2013</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row>
        <row r="79">
          <cell r="B79" t="str">
            <v>85%</v>
          </cell>
          <cell r="C79">
            <v>488.31391655576334</v>
          </cell>
          <cell r="D79">
            <v>672.79184359886028</v>
          </cell>
          <cell r="E79">
            <v>361.474912932179</v>
          </cell>
          <cell r="F79">
            <v>2012</v>
          </cell>
          <cell r="G79">
            <v>171.46638746929119</v>
          </cell>
          <cell r="H79">
            <v>269.20342901803025</v>
          </cell>
          <cell r="I79">
            <v>178.040299062918</v>
          </cell>
          <cell r="J79">
            <v>2011</v>
          </cell>
          <cell r="K79">
            <v>290.92601153634837</v>
          </cell>
          <cell r="L79">
            <v>336.92942355276568</v>
          </cell>
          <cell r="M79">
            <v>86.382504694684471</v>
          </cell>
          <cell r="N79">
            <v>2011</v>
          </cell>
          <cell r="O79">
            <v>38.10163473572473</v>
          </cell>
          <cell r="P79">
            <v>58.646163618073899</v>
          </cell>
          <cell r="Q79">
            <v>35.478270831036426</v>
          </cell>
          <cell r="R79">
            <v>2011</v>
          </cell>
          <cell r="S79">
            <v>2247.2562608006924</v>
          </cell>
          <cell r="T79">
            <v>3231.4634128965386</v>
          </cell>
          <cell r="U79">
            <v>1905.8809198643503</v>
          </cell>
          <cell r="V79">
            <v>2012</v>
          </cell>
          <cell r="W79">
            <v>3509.4756577863068</v>
          </cell>
          <cell r="X79">
            <v>5357.1309365618172</v>
          </cell>
          <cell r="Y79">
            <v>3392.0684852280119</v>
          </cell>
          <cell r="Z79">
            <v>2012</v>
          </cell>
          <cell r="AA79">
            <v>136.97715649884856</v>
          </cell>
          <cell r="AB79">
            <v>214.96371303686621</v>
          </cell>
          <cell r="AC79">
            <v>95.153930192071087</v>
          </cell>
          <cell r="AD79">
            <v>2013</v>
          </cell>
          <cell r="AE79">
            <v>184.37346163359908</v>
          </cell>
          <cell r="AF79">
            <v>204.75375280958377</v>
          </cell>
          <cell r="AG79">
            <v>41.308988679661169</v>
          </cell>
          <cell r="AH79">
            <v>2012</v>
          </cell>
          <cell r="AI79">
            <v>38.934569626649925</v>
          </cell>
          <cell r="AJ79">
            <v>59.990944512683882</v>
          </cell>
          <cell r="AK79">
            <v>36.200370172413301</v>
          </cell>
          <cell r="AL79">
            <v>2011</v>
          </cell>
          <cell r="AM79">
            <v>4041.5744156767623</v>
          </cell>
          <cell r="AN79">
            <v>6449.0844032148198</v>
          </cell>
          <cell r="AO79">
            <v>6360.6016409416297</v>
          </cell>
          <cell r="AP79">
            <v>2019</v>
          </cell>
          <cell r="AQ79">
            <v>152.84143801240589</v>
          </cell>
          <cell r="AR79">
            <v>240.04378419236357</v>
          </cell>
          <cell r="AS79">
            <v>112.29021435024191</v>
          </cell>
          <cell r="AT79">
            <v>2013</v>
          </cell>
          <cell r="AU79">
            <v>5655.2650679710396</v>
          </cell>
          <cell r="AV79">
            <v>9052.5652449388836</v>
          </cell>
          <cell r="AW79">
            <v>9413.5313644221587</v>
          </cell>
          <cell r="AX79">
            <v>2020</v>
          </cell>
          <cell r="AY79">
            <v>752.86162311305452</v>
          </cell>
          <cell r="AZ79">
            <v>1092.486068588327</v>
          </cell>
          <cell r="BA79">
            <v>627.88931814721707</v>
          </cell>
          <cell r="BB79">
            <v>2013</v>
          </cell>
          <cell r="BC79">
            <v>304.7135262979719</v>
          </cell>
          <cell r="BD79">
            <v>495.1555800982544</v>
          </cell>
          <cell r="BE79">
            <v>317.6089969837285</v>
          </cell>
          <cell r="BF79">
            <v>2013</v>
          </cell>
          <cell r="BG79">
            <v>261.64361157064633</v>
          </cell>
          <cell r="BH79">
            <v>312.07392658057381</v>
          </cell>
          <cell r="BI79">
            <v>96.272283892120925</v>
          </cell>
          <cell r="BJ79">
            <v>2012</v>
          </cell>
          <cell r="BK79">
            <v>170.19481810347173</v>
          </cell>
          <cell r="BL79">
            <v>268.98646477681615</v>
          </cell>
          <cell r="BM79">
            <v>178.15879352037351</v>
          </cell>
          <cell r="BN79">
            <v>2011</v>
          </cell>
          <cell r="BO79">
            <v>502.5404811897551</v>
          </cell>
          <cell r="BP79">
            <v>571.58910773475031</v>
          </cell>
          <cell r="BQ79">
            <v>175.43916341936296</v>
          </cell>
          <cell r="BR79">
            <v>2012</v>
          </cell>
          <cell r="BS79">
            <v>4797.2580908996706</v>
          </cell>
          <cell r="BT79">
            <v>4797.2580911221039</v>
          </cell>
          <cell r="BU79">
            <v>5141.6611706687563</v>
          </cell>
          <cell r="BV79">
            <v>2010</v>
          </cell>
          <cell r="BW79">
            <v>75650.204097925453</v>
          </cell>
          <cell r="BX79">
            <v>75722.901759631117</v>
          </cell>
          <cell r="BY79">
            <v>96411.246548698167</v>
          </cell>
          <cell r="BZ79">
            <v>2014</v>
          </cell>
          <cell r="CA79">
            <v>1847.681743392721</v>
          </cell>
          <cell r="CB79">
            <v>2987.4839254683479</v>
          </cell>
          <cell r="CC79">
            <v>2235.3676098716865</v>
          </cell>
          <cell r="CD79">
            <v>2013</v>
          </cell>
          <cell r="CE79">
            <v>70.563854450996487</v>
          </cell>
          <cell r="CF79">
            <v>114.14248941309617</v>
          </cell>
          <cell r="CG79">
            <v>94.134710525204369</v>
          </cell>
          <cell r="CH79">
            <v>2013</v>
          </cell>
          <cell r="CI79">
            <v>1244.5738766261884</v>
          </cell>
          <cell r="CJ79">
            <v>2007.9806814609085</v>
          </cell>
          <cell r="CK79">
            <v>1489.4038410901753</v>
          </cell>
          <cell r="CL79">
            <v>2013</v>
          </cell>
          <cell r="CM79">
            <v>70.74588731029398</v>
          </cell>
          <cell r="CN79">
            <v>114.43694117677256</v>
          </cell>
          <cell r="CO79">
            <v>94.343418901859891</v>
          </cell>
          <cell r="CP79">
            <v>2013</v>
          </cell>
          <cell r="CQ79">
            <v>4968.2220815860537</v>
          </cell>
          <cell r="CR79">
            <v>7843.8325560417297</v>
          </cell>
          <cell r="CS79">
            <v>7968.7652910474089</v>
          </cell>
          <cell r="CT79">
            <v>2020</v>
          </cell>
          <cell r="CU79">
            <v>1879.8659488776239</v>
          </cell>
          <cell r="CV79">
            <v>3001.2631505306181</v>
          </cell>
          <cell r="CW79">
            <v>1898.9049315923587</v>
          </cell>
          <cell r="CX79">
            <v>2013</v>
          </cell>
          <cell r="CY79">
            <v>134.37874863646672</v>
          </cell>
          <cell r="CZ79">
            <v>220.44761986315444</v>
          </cell>
          <cell r="DA79">
            <v>120.42051075158422</v>
          </cell>
          <cell r="DB79">
            <v>2011</v>
          </cell>
          <cell r="DC79">
            <v>7103.5484446602986</v>
          </cell>
          <cell r="DD79">
            <v>11495.524852716835</v>
          </cell>
          <cell r="DE79">
            <v>10944.188981922809</v>
          </cell>
          <cell r="DF79">
            <v>2019</v>
          </cell>
          <cell r="DG79">
            <v>251.6987779043431</v>
          </cell>
          <cell r="DH79">
            <v>300.53510921107704</v>
          </cell>
          <cell r="DI79">
            <v>96.717228245600097</v>
          </cell>
          <cell r="DJ79">
            <v>2012</v>
          </cell>
          <cell r="DK79">
            <v>171.51917713278223</v>
          </cell>
          <cell r="DL79">
            <v>270.91129766260684</v>
          </cell>
          <cell r="DM79">
            <v>177.86742516198279</v>
          </cell>
          <cell r="DN79">
            <v>2011</v>
          </cell>
          <cell r="DO79">
            <v>127.29496594620277</v>
          </cell>
          <cell r="DP79">
            <v>205.3214649200483</v>
          </cell>
          <cell r="DQ79">
            <v>131.44765460500793</v>
          </cell>
          <cell r="DR79">
            <v>2011</v>
          </cell>
          <cell r="DS79">
            <v>182.40836068010736</v>
          </cell>
          <cell r="DT79">
            <v>205.37580895994998</v>
          </cell>
          <cell r="DU79">
            <v>41.34441046501685</v>
          </cell>
          <cell r="DV79">
            <v>2012</v>
          </cell>
          <cell r="DW79">
            <v>39.150758669100533</v>
          </cell>
          <cell r="DX79">
            <v>60.317702648322175</v>
          </cell>
          <cell r="DY79">
            <v>36.149185224184016</v>
          </cell>
          <cell r="DZ79">
            <v>2011</v>
          </cell>
          <cell r="EA79">
            <v>1554.5561517070955</v>
          </cell>
          <cell r="EB79">
            <v>2488.7857238051611</v>
          </cell>
          <cell r="EC79">
            <v>1772.4043070413802</v>
          </cell>
          <cell r="ED79">
            <v>2013</v>
          </cell>
          <cell r="EE79">
            <v>872.95632724184804</v>
          </cell>
          <cell r="EF79">
            <v>1411.2471253415783</v>
          </cell>
          <cell r="EG79">
            <v>948.1590241283925</v>
          </cell>
          <cell r="EH79">
            <v>2013</v>
          </cell>
          <cell r="EI79">
            <v>3615.2366404474783</v>
          </cell>
          <cell r="EJ79">
            <v>5741.204979106953</v>
          </cell>
          <cell r="EK79">
            <v>3797.5136529820988</v>
          </cell>
          <cell r="EL79">
            <v>2013</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row>
        <row r="80">
          <cell r="B80" t="str">
            <v>90%</v>
          </cell>
          <cell r="C80">
            <v>562.83224230140513</v>
          </cell>
          <cell r="D80">
            <v>749.09086197437546</v>
          </cell>
          <cell r="E80">
            <v>367.51173786039868</v>
          </cell>
          <cell r="F80">
            <v>2012</v>
          </cell>
          <cell r="G80">
            <v>178.24604538010706</v>
          </cell>
          <cell r="H80">
            <v>278.47515334582459</v>
          </cell>
          <cell r="I80">
            <v>183.76037437992724</v>
          </cell>
          <cell r="J80">
            <v>2011</v>
          </cell>
          <cell r="K80">
            <v>671.44731486062085</v>
          </cell>
          <cell r="L80">
            <v>712.959930372641</v>
          </cell>
          <cell r="M80">
            <v>89.719054037548503</v>
          </cell>
          <cell r="N80">
            <v>2011</v>
          </cell>
          <cell r="O80">
            <v>39.258691287322542</v>
          </cell>
          <cell r="P80">
            <v>60.720756863190338</v>
          </cell>
          <cell r="Q80">
            <v>36.163256278356627</v>
          </cell>
          <cell r="R80">
            <v>2011</v>
          </cell>
          <cell r="S80">
            <v>2662.0191375482013</v>
          </cell>
          <cell r="T80">
            <v>3698.7617464223763</v>
          </cell>
          <cell r="U80">
            <v>1952.2293442005425</v>
          </cell>
          <cell r="V80">
            <v>2012</v>
          </cell>
          <cell r="W80">
            <v>3686.2333648809486</v>
          </cell>
          <cell r="X80">
            <v>5607.6057404063276</v>
          </cell>
          <cell r="Y80">
            <v>3440.5322030979005</v>
          </cell>
          <cell r="Z80">
            <v>2012</v>
          </cell>
          <cell r="AA80">
            <v>141.17455910992362</v>
          </cell>
          <cell r="AB80">
            <v>219.1709052039183</v>
          </cell>
          <cell r="AC80">
            <v>96.112249554695921</v>
          </cell>
          <cell r="AD80">
            <v>2013</v>
          </cell>
          <cell r="AE80">
            <v>366.23837343407138</v>
          </cell>
          <cell r="AF80">
            <v>388.13366857737645</v>
          </cell>
          <cell r="AG80">
            <v>41.971443444186995</v>
          </cell>
          <cell r="AH80">
            <v>2012</v>
          </cell>
          <cell r="AI80">
            <v>40.746736425876286</v>
          </cell>
          <cell r="AJ80">
            <v>62.836993308449685</v>
          </cell>
          <cell r="AK80">
            <v>37.033237667343904</v>
          </cell>
          <cell r="AL80">
            <v>2011</v>
          </cell>
          <cell r="AM80">
            <v>4094.0829788345604</v>
          </cell>
          <cell r="AN80">
            <v>6539.5806123027805</v>
          </cell>
          <cell r="AO80">
            <v>6446.5911252235519</v>
          </cell>
          <cell r="AP80">
            <v>2019</v>
          </cell>
          <cell r="AQ80">
            <v>174.34780118269478</v>
          </cell>
          <cell r="AR80">
            <v>259.48140069843777</v>
          </cell>
          <cell r="AS80">
            <v>113.36288400238574</v>
          </cell>
          <cell r="AT80">
            <v>2013</v>
          </cell>
          <cell r="AU80">
            <v>5733.6003842313166</v>
          </cell>
          <cell r="AV80">
            <v>9182.4102920761288</v>
          </cell>
          <cell r="AW80">
            <v>9545.8335746822449</v>
          </cell>
          <cell r="AX80">
            <v>2020</v>
          </cell>
          <cell r="AY80">
            <v>860.59573253351186</v>
          </cell>
          <cell r="AZ80">
            <v>1192.7127032118449</v>
          </cell>
          <cell r="BA80">
            <v>643.90899639985093</v>
          </cell>
          <cell r="BB80">
            <v>2013</v>
          </cell>
          <cell r="BC80">
            <v>310.62028792684015</v>
          </cell>
          <cell r="BD80">
            <v>504.19041366152703</v>
          </cell>
          <cell r="BE80">
            <v>324.78735356528199</v>
          </cell>
          <cell r="BF80">
            <v>2013</v>
          </cell>
          <cell r="BG80">
            <v>324.13909527136769</v>
          </cell>
          <cell r="BH80">
            <v>372.42876505145836</v>
          </cell>
          <cell r="BI80">
            <v>97.997962660328355</v>
          </cell>
          <cell r="BJ80">
            <v>2012</v>
          </cell>
          <cell r="BK80">
            <v>176.96240826924475</v>
          </cell>
          <cell r="BL80">
            <v>278.67372519920269</v>
          </cell>
          <cell r="BM80">
            <v>183.65210925252202</v>
          </cell>
          <cell r="BN80">
            <v>2011</v>
          </cell>
          <cell r="BO80">
            <v>1153.7142587827248</v>
          </cell>
          <cell r="BP80">
            <v>1238.9850973006028</v>
          </cell>
          <cell r="BQ80">
            <v>181.42730903647228</v>
          </cell>
          <cell r="BR80">
            <v>2012</v>
          </cell>
          <cell r="BS80">
            <v>4887.1258337094932</v>
          </cell>
          <cell r="BT80">
            <v>4887.125833867748</v>
          </cell>
          <cell r="BU80">
            <v>5238.0965230441398</v>
          </cell>
          <cell r="BV80">
            <v>2010</v>
          </cell>
          <cell r="BW80">
            <v>77044.772158272084</v>
          </cell>
          <cell r="BX80">
            <v>77115.689016473683</v>
          </cell>
          <cell r="BY80">
            <v>97497.209724986824</v>
          </cell>
          <cell r="BZ80">
            <v>2014</v>
          </cell>
          <cell r="CA80">
            <v>2006.3735596452414</v>
          </cell>
          <cell r="CB80">
            <v>3239.6094384143821</v>
          </cell>
          <cell r="CC80">
            <v>2400.6355050032757</v>
          </cell>
          <cell r="CD80">
            <v>2013</v>
          </cell>
          <cell r="CE80">
            <v>72.073215019885097</v>
          </cell>
          <cell r="CF80">
            <v>116.58399656564484</v>
          </cell>
          <cell r="CG80">
            <v>95.809830766149915</v>
          </cell>
          <cell r="CH80">
            <v>2013</v>
          </cell>
          <cell r="CI80">
            <v>1339.9603783315838</v>
          </cell>
          <cell r="CJ80">
            <v>2155.7718316780665</v>
          </cell>
          <cell r="CK80">
            <v>1610.4983944892069</v>
          </cell>
          <cell r="CL80">
            <v>2013</v>
          </cell>
          <cell r="CM80">
            <v>72.370794372085314</v>
          </cell>
          <cell r="CN80">
            <v>117.06535429350848</v>
          </cell>
          <cell r="CO80">
            <v>96.205388775784215</v>
          </cell>
          <cell r="CP80">
            <v>2013</v>
          </cell>
          <cell r="CQ80">
            <v>5036.175950629171</v>
          </cell>
          <cell r="CR80">
            <v>7953.5569213805074</v>
          </cell>
          <cell r="CS80">
            <v>8081.5088915549504</v>
          </cell>
          <cell r="CT80">
            <v>2020</v>
          </cell>
          <cell r="CU80">
            <v>1969.2144839716859</v>
          </cell>
          <cell r="CV80">
            <v>3075.7003914395041</v>
          </cell>
          <cell r="CW80">
            <v>1943.5891033029238</v>
          </cell>
          <cell r="CX80">
            <v>2013</v>
          </cell>
          <cell r="CY80">
            <v>242.68307529700817</v>
          </cell>
          <cell r="CZ80">
            <v>316.12905832583158</v>
          </cell>
          <cell r="DA80">
            <v>123.12711359780553</v>
          </cell>
          <cell r="DB80">
            <v>2011</v>
          </cell>
          <cell r="DC80">
            <v>7301.718782536117</v>
          </cell>
          <cell r="DD80">
            <v>11780.385498905936</v>
          </cell>
          <cell r="DE80">
            <v>11208.099619876031</v>
          </cell>
          <cell r="DF80">
            <v>2019</v>
          </cell>
          <cell r="DG80">
            <v>316.16106132210928</v>
          </cell>
          <cell r="DH80">
            <v>362.89942249488405</v>
          </cell>
          <cell r="DI80">
            <v>98.409586861692787</v>
          </cell>
          <cell r="DJ80">
            <v>2012</v>
          </cell>
          <cell r="DK80">
            <v>178.13771242471375</v>
          </cell>
          <cell r="DL80">
            <v>279.80778279169687</v>
          </cell>
          <cell r="DM80">
            <v>183.87492220574296</v>
          </cell>
          <cell r="DN80">
            <v>2011</v>
          </cell>
          <cell r="DO80">
            <v>140.05159765436974</v>
          </cell>
          <cell r="DP80">
            <v>224.09677796941588</v>
          </cell>
          <cell r="DQ80">
            <v>135.88276723942039</v>
          </cell>
          <cell r="DR80">
            <v>2011</v>
          </cell>
          <cell r="DS80">
            <v>381.92929712684133</v>
          </cell>
          <cell r="DT80">
            <v>403.47327059266973</v>
          </cell>
          <cell r="DU80">
            <v>41.897386113072265</v>
          </cell>
          <cell r="DV80">
            <v>2012</v>
          </cell>
          <cell r="DW80">
            <v>40.737873581272865</v>
          </cell>
          <cell r="DX80">
            <v>62.933513129082272</v>
          </cell>
          <cell r="DY80">
            <v>36.973013859820817</v>
          </cell>
          <cell r="DZ80">
            <v>2011</v>
          </cell>
          <cell r="EA80">
            <v>1597.53128869938</v>
          </cell>
          <cell r="EB80">
            <v>2557.6604910094202</v>
          </cell>
          <cell r="EC80">
            <v>1810.4665778800256</v>
          </cell>
          <cell r="ED80">
            <v>2013</v>
          </cell>
          <cell r="EE80">
            <v>1115.4761830522061</v>
          </cell>
          <cell r="EF80">
            <v>1617.0190181449138</v>
          </cell>
          <cell r="EG80">
            <v>968.86176107063773</v>
          </cell>
          <cell r="EH80">
            <v>2013</v>
          </cell>
          <cell r="EI80">
            <v>4034.4859452921232</v>
          </cell>
          <cell r="EJ80">
            <v>5975.3400640372529</v>
          </cell>
          <cell r="EK80">
            <v>3880.6918241939729</v>
          </cell>
          <cell r="EL80">
            <v>2013</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row>
        <row r="81">
          <cell r="B81" t="str">
            <v>95%</v>
          </cell>
          <cell r="C81">
            <v>633.35916369072834</v>
          </cell>
          <cell r="D81">
            <v>816.96692341453866</v>
          </cell>
          <cell r="E81">
            <v>377.68927289837927</v>
          </cell>
          <cell r="F81">
            <v>2012</v>
          </cell>
          <cell r="G81">
            <v>188.48504399442629</v>
          </cell>
          <cell r="H81">
            <v>293.04698830330972</v>
          </cell>
          <cell r="I81">
            <v>191.82594702734704</v>
          </cell>
          <cell r="J81">
            <v>2011</v>
          </cell>
          <cell r="K81">
            <v>1050.951184056147</v>
          </cell>
          <cell r="L81">
            <v>1089.6460367641546</v>
          </cell>
          <cell r="M81">
            <v>93.64930579112638</v>
          </cell>
          <cell r="N81">
            <v>2011</v>
          </cell>
          <cell r="O81">
            <v>342.36161293432491</v>
          </cell>
          <cell r="P81">
            <v>361.85652610743966</v>
          </cell>
          <cell r="Q81">
            <v>36.949117540890398</v>
          </cell>
          <cell r="R81">
            <v>2011</v>
          </cell>
          <cell r="S81">
            <v>3587.7384310988159</v>
          </cell>
          <cell r="T81">
            <v>4575.1204725127982</v>
          </cell>
          <cell r="U81">
            <v>2011.3531541413549</v>
          </cell>
          <cell r="V81">
            <v>2012</v>
          </cell>
          <cell r="W81">
            <v>3919.2485718162661</v>
          </cell>
          <cell r="X81">
            <v>5883.3446411771074</v>
          </cell>
          <cell r="Y81">
            <v>3506.6635167807235</v>
          </cell>
          <cell r="Z81">
            <v>2012</v>
          </cell>
          <cell r="AA81">
            <v>161.38899267329759</v>
          </cell>
          <cell r="AB81">
            <v>239.04483869495812</v>
          </cell>
          <cell r="AC81">
            <v>97.290688899586442</v>
          </cell>
          <cell r="AD81">
            <v>2013</v>
          </cell>
          <cell r="AE81">
            <v>571.02966418646054</v>
          </cell>
          <cell r="AF81">
            <v>593.15518691313673</v>
          </cell>
          <cell r="AG81">
            <v>42.813393937863133</v>
          </cell>
          <cell r="AH81">
            <v>2012</v>
          </cell>
          <cell r="AI81">
            <v>343.55012328180794</v>
          </cell>
          <cell r="AJ81">
            <v>361.78570633309033</v>
          </cell>
          <cell r="AK81">
            <v>38.045917032138114</v>
          </cell>
          <cell r="AL81">
            <v>2011</v>
          </cell>
          <cell r="AM81">
            <v>4169.0157850302066</v>
          </cell>
          <cell r="AN81">
            <v>6657.7563848177761</v>
          </cell>
          <cell r="AO81">
            <v>6561.8613853547104</v>
          </cell>
          <cell r="AP81">
            <v>2019</v>
          </cell>
          <cell r="AQ81">
            <v>220.67642682820542</v>
          </cell>
          <cell r="AR81">
            <v>307.73928144780649</v>
          </cell>
          <cell r="AS81">
            <v>114.75168135053428</v>
          </cell>
          <cell r="AT81">
            <v>2013</v>
          </cell>
          <cell r="AU81">
            <v>5837.3625211306526</v>
          </cell>
          <cell r="AV81">
            <v>9347.3324866235798</v>
          </cell>
          <cell r="AW81">
            <v>9724.237927560298</v>
          </cell>
          <cell r="AX81">
            <v>2020</v>
          </cell>
          <cell r="AY81">
            <v>995.17195488171205</v>
          </cell>
          <cell r="AZ81">
            <v>1335.0383608844074</v>
          </cell>
          <cell r="BA81">
            <v>663.46944919661962</v>
          </cell>
          <cell r="BB81">
            <v>2013</v>
          </cell>
          <cell r="BC81">
            <v>317.86638090656868</v>
          </cell>
          <cell r="BD81">
            <v>516.25016931740686</v>
          </cell>
          <cell r="BE81">
            <v>334.03973283256875</v>
          </cell>
          <cell r="BF81">
            <v>2013</v>
          </cell>
          <cell r="BG81">
            <v>394.86188583062858</v>
          </cell>
          <cell r="BH81">
            <v>444.61288057478492</v>
          </cell>
          <cell r="BI81">
            <v>100.8712768993897</v>
          </cell>
          <cell r="BJ81">
            <v>2012</v>
          </cell>
          <cell r="BK81">
            <v>187.37448706986973</v>
          </cell>
          <cell r="BL81">
            <v>291.73684800955147</v>
          </cell>
          <cell r="BM81">
            <v>192.41016093761536</v>
          </cell>
          <cell r="BN81">
            <v>2011</v>
          </cell>
          <cell r="BO81">
            <v>2111.940114734572</v>
          </cell>
          <cell r="BP81">
            <v>2222.6686598875226</v>
          </cell>
          <cell r="BQ81">
            <v>188.25978668647997</v>
          </cell>
          <cell r="BR81">
            <v>2012</v>
          </cell>
          <cell r="BS81">
            <v>4985.1816471510174</v>
          </cell>
          <cell r="BT81">
            <v>4985.1816482395716</v>
          </cell>
          <cell r="BU81">
            <v>5346.3929414307158</v>
          </cell>
          <cell r="BV81">
            <v>2010</v>
          </cell>
          <cell r="BW81">
            <v>80985.105648398807</v>
          </cell>
          <cell r="BX81">
            <v>81057.95794934954</v>
          </cell>
          <cell r="BY81">
            <v>99135.50451240949</v>
          </cell>
          <cell r="BZ81">
            <v>2014</v>
          </cell>
          <cell r="CA81">
            <v>2193.8939311075924</v>
          </cell>
          <cell r="CB81">
            <v>3548.7930278461899</v>
          </cell>
          <cell r="CC81">
            <v>2651.8833501207714</v>
          </cell>
          <cell r="CD81">
            <v>2013</v>
          </cell>
          <cell r="CE81">
            <v>74.133665158651255</v>
          </cell>
          <cell r="CF81">
            <v>119.91693444513572</v>
          </cell>
          <cell r="CG81">
            <v>98.263988999009342</v>
          </cell>
          <cell r="CH81">
            <v>2013</v>
          </cell>
          <cell r="CI81">
            <v>1451.0278858991053</v>
          </cell>
          <cell r="CJ81">
            <v>2347.1497742014908</v>
          </cell>
          <cell r="CK81">
            <v>1759.798951168618</v>
          </cell>
          <cell r="CL81">
            <v>2013</v>
          </cell>
          <cell r="CM81">
            <v>74.772660878870838</v>
          </cell>
          <cell r="CN81">
            <v>120.95055915255007</v>
          </cell>
          <cell r="CO81">
            <v>99.076192521309721</v>
          </cell>
          <cell r="CP81">
            <v>2013</v>
          </cell>
          <cell r="CQ81">
            <v>5119.1857673503864</v>
          </cell>
          <cell r="CR81">
            <v>8091.7296894673955</v>
          </cell>
          <cell r="CS81">
            <v>8225.0653382462806</v>
          </cell>
          <cell r="CT81">
            <v>2020</v>
          </cell>
          <cell r="CU81">
            <v>2099.5567337992038</v>
          </cell>
          <cell r="CV81">
            <v>3181.898475789214</v>
          </cell>
          <cell r="CW81">
            <v>1998.9245986605231</v>
          </cell>
          <cell r="CX81">
            <v>2013</v>
          </cell>
          <cell r="CY81">
            <v>264.01319400222997</v>
          </cell>
          <cell r="CZ81">
            <v>342.59827543631695</v>
          </cell>
          <cell r="DA81">
            <v>126.78935815249719</v>
          </cell>
          <cell r="DB81">
            <v>2011</v>
          </cell>
          <cell r="DC81">
            <v>7629.7741011585849</v>
          </cell>
          <cell r="DD81">
            <v>12259.528374328856</v>
          </cell>
          <cell r="DE81">
            <v>11534.381786289496</v>
          </cell>
          <cell r="DF81">
            <v>2019</v>
          </cell>
          <cell r="DG81">
            <v>399.01320233468277</v>
          </cell>
          <cell r="DH81">
            <v>450.48280102887327</v>
          </cell>
          <cell r="DI81">
            <v>100.59408550309645</v>
          </cell>
          <cell r="DJ81">
            <v>2012</v>
          </cell>
          <cell r="DK81">
            <v>188.62674580959293</v>
          </cell>
          <cell r="DL81">
            <v>290.61728662295394</v>
          </cell>
          <cell r="DM81">
            <v>192.13196579509625</v>
          </cell>
          <cell r="DN81">
            <v>2011</v>
          </cell>
          <cell r="DO81">
            <v>633.32017301758447</v>
          </cell>
          <cell r="DP81">
            <v>682.99009909076779</v>
          </cell>
          <cell r="DQ81">
            <v>141.71005325067517</v>
          </cell>
          <cell r="DR81">
            <v>2011</v>
          </cell>
          <cell r="DS81">
            <v>600.2059173500096</v>
          </cell>
          <cell r="DT81">
            <v>621.16191755557156</v>
          </cell>
          <cell r="DU81">
            <v>42.678751937828402</v>
          </cell>
          <cell r="DV81">
            <v>2012</v>
          </cell>
          <cell r="DW81">
            <v>356.21304175584777</v>
          </cell>
          <cell r="DX81">
            <v>371.97195377764029</v>
          </cell>
          <cell r="DY81">
            <v>38.045716751098624</v>
          </cell>
          <cell r="DZ81">
            <v>2011</v>
          </cell>
          <cell r="EA81">
            <v>1738.8596155253942</v>
          </cell>
          <cell r="EB81">
            <v>2658.1584049143994</v>
          </cell>
          <cell r="EC81">
            <v>1863.7512517227156</v>
          </cell>
          <cell r="ED81">
            <v>2013</v>
          </cell>
          <cell r="EE81">
            <v>1807.9511594635342</v>
          </cell>
          <cell r="EF81">
            <v>2335.8217547277673</v>
          </cell>
          <cell r="EG81">
            <v>999.5896744961118</v>
          </cell>
          <cell r="EH81">
            <v>2013</v>
          </cell>
          <cell r="EI81">
            <v>4451.5229327935731</v>
          </cell>
          <cell r="EJ81">
            <v>6485.2639334534797</v>
          </cell>
          <cell r="EK81">
            <v>4001.2100373025219</v>
          </cell>
          <cell r="EL81">
            <v>2013</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row>
        <row r="82">
          <cell r="B82" t="str">
            <v>100%</v>
          </cell>
          <cell r="C82">
            <v>793.17851461165969</v>
          </cell>
          <cell r="D82">
            <v>1003.791402071344</v>
          </cell>
          <cell r="E82">
            <v>399.14101178428461</v>
          </cell>
          <cell r="F82">
            <v>2012</v>
          </cell>
          <cell r="G82">
            <v>231.99090721847412</v>
          </cell>
          <cell r="H82">
            <v>345.7009819860923</v>
          </cell>
          <cell r="I82">
            <v>209.69853089848922</v>
          </cell>
          <cell r="J82">
            <v>2011</v>
          </cell>
          <cell r="K82">
            <v>1965.5473464187917</v>
          </cell>
          <cell r="L82">
            <v>2010.4348150622268</v>
          </cell>
          <cell r="M82">
            <v>102.28853083331848</v>
          </cell>
          <cell r="N82">
            <v>2011</v>
          </cell>
          <cell r="O82">
            <v>934.99569108756782</v>
          </cell>
          <cell r="P82">
            <v>954.5627511397048</v>
          </cell>
          <cell r="Q82">
            <v>38.894766051245611</v>
          </cell>
          <cell r="R82">
            <v>2011</v>
          </cell>
          <cell r="S82">
            <v>5245.4565650860532</v>
          </cell>
          <cell r="T82">
            <v>6334.3105697921028</v>
          </cell>
          <cell r="U82">
            <v>2141.3931337757181</v>
          </cell>
          <cell r="V82">
            <v>2012</v>
          </cell>
          <cell r="W82">
            <v>4370.327445046586</v>
          </cell>
          <cell r="X82">
            <v>6520.7734741359891</v>
          </cell>
          <cell r="Y82">
            <v>3649.1956322881688</v>
          </cell>
          <cell r="Z82">
            <v>2012</v>
          </cell>
          <cell r="AA82">
            <v>179.14099008364846</v>
          </cell>
          <cell r="AB82">
            <v>259.98865403102849</v>
          </cell>
          <cell r="AC82">
            <v>100.28251941257442</v>
          </cell>
          <cell r="AD82">
            <v>2013</v>
          </cell>
          <cell r="AE82">
            <v>1060.9372892060926</v>
          </cell>
          <cell r="AF82">
            <v>1080.9009154058185</v>
          </cell>
          <cell r="AG82">
            <v>44.762908963182561</v>
          </cell>
          <cell r="AH82">
            <v>2012</v>
          </cell>
          <cell r="AI82">
            <v>1014.8570021359224</v>
          </cell>
          <cell r="AJ82">
            <v>1033.8934913968767</v>
          </cell>
          <cell r="AK82">
            <v>40.583954694165762</v>
          </cell>
          <cell r="AL82">
            <v>2011</v>
          </cell>
          <cell r="AM82">
            <v>4322.9306566347304</v>
          </cell>
          <cell r="AN82">
            <v>6904.5463484724733</v>
          </cell>
          <cell r="AO82">
            <v>6809.1555666475551</v>
          </cell>
          <cell r="AP82">
            <v>2019</v>
          </cell>
          <cell r="AQ82">
            <v>318.19265627384954</v>
          </cell>
          <cell r="AR82">
            <v>402.8916752528304</v>
          </cell>
          <cell r="AS82">
            <v>118.19611331274047</v>
          </cell>
          <cell r="AT82">
            <v>2013</v>
          </cell>
          <cell r="AU82">
            <v>6063.0258692655325</v>
          </cell>
          <cell r="AV82">
            <v>9712.9251967332439</v>
          </cell>
          <cell r="AW82">
            <v>10108.153985165643</v>
          </cell>
          <cell r="AX82">
            <v>2020</v>
          </cell>
          <cell r="AY82">
            <v>1334.7777757120025</v>
          </cell>
          <cell r="AZ82">
            <v>1674.2240135981656</v>
          </cell>
          <cell r="BA82">
            <v>704.95208425023122</v>
          </cell>
          <cell r="BB82">
            <v>2013</v>
          </cell>
          <cell r="BC82">
            <v>334.76318925445628</v>
          </cell>
          <cell r="BD82">
            <v>543.98101233238356</v>
          </cell>
          <cell r="BE82">
            <v>354.73869247967713</v>
          </cell>
          <cell r="BF82">
            <v>2013</v>
          </cell>
          <cell r="BG82">
            <v>543.11118903042382</v>
          </cell>
          <cell r="BH82">
            <v>594.56294501642856</v>
          </cell>
          <cell r="BI82">
            <v>105.966157605864</v>
          </cell>
          <cell r="BJ82">
            <v>2012</v>
          </cell>
          <cell r="BK82">
            <v>239.63519371864601</v>
          </cell>
          <cell r="BL82">
            <v>353.58844410315311</v>
          </cell>
          <cell r="BM82">
            <v>209.19313674405612</v>
          </cell>
          <cell r="BN82">
            <v>2011</v>
          </cell>
          <cell r="BO82">
            <v>3901.7164760682749</v>
          </cell>
          <cell r="BP82">
            <v>3992.4465485649507</v>
          </cell>
          <cell r="BQ82">
            <v>207.39676197580147</v>
          </cell>
          <cell r="BR82">
            <v>2012</v>
          </cell>
          <cell r="BS82">
            <v>5387.1373788631026</v>
          </cell>
          <cell r="BT82">
            <v>5387.1373780216536</v>
          </cell>
          <cell r="BU82">
            <v>5777.5761943092184</v>
          </cell>
          <cell r="BV82">
            <v>2010</v>
          </cell>
          <cell r="BW82">
            <v>226999.61281382039</v>
          </cell>
          <cell r="BX82">
            <v>227070.64775029954</v>
          </cell>
          <cell r="BY82">
            <v>108083.32661219388</v>
          </cell>
          <cell r="BZ82">
            <v>2014</v>
          </cell>
          <cell r="CA82">
            <v>2624.5003920577492</v>
          </cell>
          <cell r="CB82">
            <v>4245.3322654013728</v>
          </cell>
          <cell r="CC82">
            <v>3190.0966301543772</v>
          </cell>
          <cell r="CD82">
            <v>2013</v>
          </cell>
          <cell r="CE82">
            <v>190.00221844891678</v>
          </cell>
          <cell r="CF82">
            <v>230.95067061467645</v>
          </cell>
          <cell r="CG82">
            <v>105.62785505730442</v>
          </cell>
          <cell r="CH82">
            <v>2013</v>
          </cell>
          <cell r="CI82">
            <v>1830.6211633839557</v>
          </cell>
          <cell r="CJ82">
            <v>2864.4453305415591</v>
          </cell>
          <cell r="CK82">
            <v>2091.7980905245372</v>
          </cell>
          <cell r="CL82">
            <v>2013</v>
          </cell>
          <cell r="CM82">
            <v>162.68877865067569</v>
          </cell>
          <cell r="CN82">
            <v>203.24059152830631</v>
          </cell>
          <cell r="CO82">
            <v>110.87159699332663</v>
          </cell>
          <cell r="CP82">
            <v>2013</v>
          </cell>
          <cell r="CQ82">
            <v>5316.9005086903771</v>
          </cell>
          <cell r="CR82">
            <v>8412.7119534865869</v>
          </cell>
          <cell r="CS82">
            <v>8573.6443572136959</v>
          </cell>
          <cell r="CT82">
            <v>2020</v>
          </cell>
          <cell r="CU82">
            <v>2550.9335039804846</v>
          </cell>
          <cell r="CV82">
            <v>3820.8546578977089</v>
          </cell>
          <cell r="CW82">
            <v>2119.4304479303892</v>
          </cell>
          <cell r="CX82">
            <v>2013</v>
          </cell>
          <cell r="CY82">
            <v>301.5074833921289</v>
          </cell>
          <cell r="CZ82">
            <v>394.16831939751273</v>
          </cell>
          <cell r="DA82">
            <v>133.81154956963371</v>
          </cell>
          <cell r="DB82">
            <v>2011</v>
          </cell>
          <cell r="DC82">
            <v>9224.2566310229431</v>
          </cell>
          <cell r="DD82">
            <v>14879.734800934799</v>
          </cell>
          <cell r="DE82">
            <v>12300.86649944722</v>
          </cell>
          <cell r="DF82">
            <v>2019</v>
          </cell>
          <cell r="DG82">
            <v>537.9916032455543</v>
          </cell>
          <cell r="DH82">
            <v>589.41102716139449</v>
          </cell>
          <cell r="DI82">
            <v>106.58689797248718</v>
          </cell>
          <cell r="DJ82">
            <v>2012</v>
          </cell>
          <cell r="DK82">
            <v>236.34380147589323</v>
          </cell>
          <cell r="DL82">
            <v>354.09068342817699</v>
          </cell>
          <cell r="DM82">
            <v>208.71931457739041</v>
          </cell>
          <cell r="DN82">
            <v>2011</v>
          </cell>
          <cell r="DO82">
            <v>1784.1857912224955</v>
          </cell>
          <cell r="DP82">
            <v>1834.2001975167414</v>
          </cell>
          <cell r="DQ82">
            <v>154.91484151153713</v>
          </cell>
          <cell r="DR82">
            <v>2011</v>
          </cell>
          <cell r="DS82">
            <v>1071.0066803862835</v>
          </cell>
          <cell r="DT82">
            <v>1094.7725168281049</v>
          </cell>
          <cell r="DU82">
            <v>44.69581137462766</v>
          </cell>
          <cell r="DV82">
            <v>2012</v>
          </cell>
          <cell r="DW82">
            <v>979.17806738035006</v>
          </cell>
          <cell r="DX82">
            <v>996.77301495498648</v>
          </cell>
          <cell r="DY82">
            <v>40.197303891625538</v>
          </cell>
          <cell r="DZ82">
            <v>2011</v>
          </cell>
          <cell r="EA82">
            <v>2201.9289332145099</v>
          </cell>
          <cell r="EB82">
            <v>3214.2627699997438</v>
          </cell>
          <cell r="EC82">
            <v>1979.454273595662</v>
          </cell>
          <cell r="ED82">
            <v>2013</v>
          </cell>
          <cell r="EE82">
            <v>3392.9701298019208</v>
          </cell>
          <cell r="EF82">
            <v>3969.2357732156661</v>
          </cell>
          <cell r="EG82">
            <v>1058.2512656030594</v>
          </cell>
          <cell r="EH82">
            <v>2013</v>
          </cell>
          <cell r="EI82">
            <v>5218.1099852288953</v>
          </cell>
          <cell r="EJ82">
            <v>7451.3493532792754</v>
          </cell>
          <cell r="EK82">
            <v>4278.0171511296048</v>
          </cell>
          <cell r="EL82">
            <v>2013</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row>
      </sheetData>
      <sheetData sheetId="9">
        <row r="5">
          <cell r="B5" t="str">
            <v>Statistics</v>
          </cell>
          <cell r="C5" t="str">
            <v>H-1-20 Yr NPV</v>
          </cell>
          <cell r="D5" t="str">
            <v>H-1-40 Yr NPV</v>
          </cell>
          <cell r="E5" t="str">
            <v>H-1-Capital Cost</v>
          </cell>
          <cell r="F5" t="str">
            <v>H-1-Install Year</v>
          </cell>
          <cell r="G5" t="str">
            <v>H-10-20 Yr NPV</v>
          </cell>
          <cell r="H5" t="str">
            <v>H-10-40 Yr NPV</v>
          </cell>
          <cell r="I5" t="str">
            <v>H-10-Capital Cost</v>
          </cell>
          <cell r="J5" t="str">
            <v>H-10-Install Year</v>
          </cell>
          <cell r="K5" t="str">
            <v>H-11-20 Yr NPV</v>
          </cell>
          <cell r="L5" t="str">
            <v>H-11-40 Yr NPV</v>
          </cell>
          <cell r="M5" t="str">
            <v>H-11-Capital Cost</v>
          </cell>
          <cell r="N5" t="str">
            <v>H-11-Install Year</v>
          </cell>
          <cell r="O5" t="str">
            <v>H-2-20 Yr NPV</v>
          </cell>
          <cell r="P5" t="str">
            <v>H-2-40 Yr NPV</v>
          </cell>
          <cell r="Q5" t="str">
            <v>H-2-Capital Cost</v>
          </cell>
          <cell r="R5" t="str">
            <v>H-2-Install Year</v>
          </cell>
          <cell r="S5" t="str">
            <v>H-3-20 Yr NPV</v>
          </cell>
          <cell r="T5" t="str">
            <v>H-3-40 Yr NPV</v>
          </cell>
          <cell r="U5" t="str">
            <v>H-3-Capital Cost</v>
          </cell>
          <cell r="V5" t="str">
            <v>H-3-Install Year</v>
          </cell>
          <cell r="W5" t="str">
            <v>H-4-20 Yr NPV</v>
          </cell>
          <cell r="X5" t="str">
            <v>H-4-40 Yr NPV</v>
          </cell>
          <cell r="Y5" t="str">
            <v>H-4-Capital Cost</v>
          </cell>
          <cell r="Z5" t="str">
            <v>H-4-Install Year</v>
          </cell>
          <cell r="AA5" t="str">
            <v>H-5-20 Yr NPV</v>
          </cell>
          <cell r="AB5" t="str">
            <v>H-5-40 Yr NPV</v>
          </cell>
          <cell r="AC5" t="str">
            <v>H-5-Capital Cost</v>
          </cell>
          <cell r="AD5" t="str">
            <v>H-5-Install Year</v>
          </cell>
          <cell r="AE5" t="str">
            <v>H-6-20 Yr NPV</v>
          </cell>
          <cell r="AF5" t="str">
            <v>H-6-40 Yr NPV</v>
          </cell>
          <cell r="AG5" t="str">
            <v>H-6-Capital Cost</v>
          </cell>
          <cell r="AH5" t="str">
            <v>H-6-Install Year</v>
          </cell>
          <cell r="AI5" t="str">
            <v>H-7-20 Yr NPV</v>
          </cell>
          <cell r="AJ5" t="str">
            <v>H-7-40 Yr NPV</v>
          </cell>
          <cell r="AK5" t="str">
            <v>H-7-Capital Cost</v>
          </cell>
          <cell r="AL5" t="str">
            <v>H-7-Install Year</v>
          </cell>
          <cell r="AM5" t="str">
            <v>H-8-20 Yr NPV</v>
          </cell>
          <cell r="AN5" t="str">
            <v>H-8-40 Yr NPV</v>
          </cell>
          <cell r="AO5" t="str">
            <v>H-8-Capital Cost</v>
          </cell>
          <cell r="AP5" t="str">
            <v>H-8-Install Year</v>
          </cell>
          <cell r="AQ5" t="str">
            <v>H-9-20 Yr NPV</v>
          </cell>
          <cell r="AR5" t="str">
            <v>H-9-40 Yr NPV</v>
          </cell>
          <cell r="AS5" t="str">
            <v>H-9-Capital Cost</v>
          </cell>
          <cell r="AT5" t="str">
            <v>H-9-Install Year</v>
          </cell>
          <cell r="AU5" t="str">
            <v>K-1-20 Yr NPV</v>
          </cell>
          <cell r="AV5" t="str">
            <v>K-1-40 Yr NPV</v>
          </cell>
          <cell r="AW5" t="str">
            <v>K-1-Capital Cost</v>
          </cell>
          <cell r="AX5" t="str">
            <v>K-1-Install Year</v>
          </cell>
          <cell r="AY5" t="str">
            <v>K-10-20 Yr NPV</v>
          </cell>
          <cell r="AZ5" t="str">
            <v>K-10-40 Yr NPV</v>
          </cell>
          <cell r="BA5" t="str">
            <v>K-10-Capital Cost</v>
          </cell>
          <cell r="BB5" t="str">
            <v>K-10-Install Year</v>
          </cell>
          <cell r="BC5" t="str">
            <v>K-11-20 Yr NPV</v>
          </cell>
          <cell r="BD5" t="str">
            <v>K-11-40 Yr NPV</v>
          </cell>
          <cell r="BE5" t="str">
            <v>K-11-Capital Cost</v>
          </cell>
          <cell r="BF5" t="str">
            <v>K-11-Install Year</v>
          </cell>
          <cell r="BG5" t="str">
            <v>K-12-20 Yr NPV</v>
          </cell>
          <cell r="BH5" t="str">
            <v>K-12-40 Yr NPV</v>
          </cell>
          <cell r="BI5" t="str">
            <v>K-12-Capital Cost</v>
          </cell>
          <cell r="BJ5" t="str">
            <v>K-12-Install Year</v>
          </cell>
          <cell r="BK5" t="str">
            <v>K-13-20 Yr NPV</v>
          </cell>
          <cell r="BL5" t="str">
            <v>K-13-40 Yr NPV</v>
          </cell>
          <cell r="BM5" t="str">
            <v>K-13-Capital Cost</v>
          </cell>
          <cell r="BN5" t="str">
            <v>K-13-Install Year</v>
          </cell>
          <cell r="BO5" t="str">
            <v>K-14-20 Yr NPV</v>
          </cell>
          <cell r="BP5" t="str">
            <v>K-14-40 Yr NPV</v>
          </cell>
          <cell r="BQ5" t="str">
            <v>K-14-Capital Cost</v>
          </cell>
          <cell r="BR5" t="str">
            <v>K-14-Install Year</v>
          </cell>
          <cell r="BS5" t="str">
            <v>K-15-20 Yr NPV</v>
          </cell>
          <cell r="BT5" t="str">
            <v>K-15-40 Yr NPV</v>
          </cell>
          <cell r="BU5" t="str">
            <v>K-15-Capital Cost</v>
          </cell>
          <cell r="BV5" t="str">
            <v>K-15-Install Year</v>
          </cell>
          <cell r="BW5" t="str">
            <v>K-16-20 Yr NPV</v>
          </cell>
          <cell r="BX5" t="str">
            <v>K-16-40 Yr NPV</v>
          </cell>
          <cell r="BY5" t="str">
            <v>K-16-Capital Cost</v>
          </cell>
          <cell r="BZ5" t="str">
            <v>K-16-Install Year</v>
          </cell>
          <cell r="CA5" t="str">
            <v>K-17-20 Yr NPV</v>
          </cell>
          <cell r="CB5" t="str">
            <v>K-17-40 Yr NPV</v>
          </cell>
          <cell r="CC5" t="str">
            <v>K-17-Capital Cost</v>
          </cell>
          <cell r="CD5" t="str">
            <v>K-17-Install Year</v>
          </cell>
          <cell r="CE5" t="str">
            <v>K-2-20 Yr NPV</v>
          </cell>
          <cell r="CF5" t="str">
            <v>K-2-40 Yr NPV</v>
          </cell>
          <cell r="CG5" t="str">
            <v>K-2-Capital Cost</v>
          </cell>
          <cell r="CH5" t="str">
            <v>K-2-Install Year</v>
          </cell>
          <cell r="CI5" t="str">
            <v>K-3-20 Yr NPV</v>
          </cell>
          <cell r="CJ5" t="str">
            <v>K-3-40 Yr NPV</v>
          </cell>
          <cell r="CK5" t="str">
            <v>K-3-Capital Cost</v>
          </cell>
          <cell r="CL5" t="str">
            <v>K-3-Install Year</v>
          </cell>
          <cell r="CM5" t="str">
            <v>K-4-20 Yr NPV</v>
          </cell>
          <cell r="CN5" t="str">
            <v>K-4-40 Yr NPV</v>
          </cell>
          <cell r="CO5" t="str">
            <v>K-4-Capital Cost</v>
          </cell>
          <cell r="CP5" t="str">
            <v>K-4-Install Year</v>
          </cell>
          <cell r="CQ5" t="str">
            <v>K-5-20 Yr NPV</v>
          </cell>
          <cell r="CR5" t="str">
            <v>K-5-40 Yr NPV</v>
          </cell>
          <cell r="CS5" t="str">
            <v>K-5-Capital Cost</v>
          </cell>
          <cell r="CT5" t="str">
            <v>K-5-Install Year</v>
          </cell>
          <cell r="CU5" t="str">
            <v>K-6-20 Yr NPV</v>
          </cell>
          <cell r="CV5" t="str">
            <v>K-6-40 Yr NPV</v>
          </cell>
          <cell r="CW5" t="str">
            <v>K-6-Capital Cost</v>
          </cell>
          <cell r="CX5" t="str">
            <v>K-6-Install Year</v>
          </cell>
          <cell r="CY5" t="str">
            <v>K-7-20 Yr NPV</v>
          </cell>
          <cell r="CZ5" t="str">
            <v>K-7-40 Yr NPV</v>
          </cell>
          <cell r="DA5" t="str">
            <v>K-7-Capital Cost</v>
          </cell>
          <cell r="DB5" t="str">
            <v>K-7-Install Year</v>
          </cell>
          <cell r="DC5" t="str">
            <v>K-8-20 Yr NPV</v>
          </cell>
          <cell r="DD5" t="str">
            <v>K-8-40 Yr NPV</v>
          </cell>
          <cell r="DE5" t="str">
            <v>K-8-Capital Cost</v>
          </cell>
          <cell r="DF5" t="str">
            <v>K-8-Install Year</v>
          </cell>
          <cell r="DG5" t="str">
            <v>K-9-20 Yr NPV</v>
          </cell>
          <cell r="DH5" t="str">
            <v>K-9-40 Yr NPV</v>
          </cell>
          <cell r="DI5" t="str">
            <v>K-9-Capital Cost</v>
          </cell>
          <cell r="DJ5" t="str">
            <v>K-9-Install Year</v>
          </cell>
          <cell r="DK5" t="str">
            <v>LM-1-20 Yr NPV</v>
          </cell>
          <cell r="DL5" t="str">
            <v>LM-1-40 Yr NPV</v>
          </cell>
          <cell r="DM5" t="str">
            <v>LM-1-Capital Cost</v>
          </cell>
          <cell r="DN5" t="str">
            <v>LM-1-Install Year</v>
          </cell>
          <cell r="DO5" t="str">
            <v>LM-2-20 Yr NPV</v>
          </cell>
          <cell r="DP5" t="str">
            <v>LM-2-40 Yr NPV</v>
          </cell>
          <cell r="DQ5" t="str">
            <v>LM-2-Capital Cost</v>
          </cell>
          <cell r="DR5" t="str">
            <v>LM-2-Install Year</v>
          </cell>
          <cell r="DS5" t="str">
            <v>LM-3-20 Yr NPV</v>
          </cell>
          <cell r="DT5" t="str">
            <v>LM-3-40 Yr NPV</v>
          </cell>
          <cell r="DU5" t="str">
            <v>LM-3-Capital Cost</v>
          </cell>
          <cell r="DV5" t="str">
            <v>LM-3-Install Year</v>
          </cell>
          <cell r="DW5" t="str">
            <v>LM-4-20 Yr NPV</v>
          </cell>
          <cell r="DX5" t="str">
            <v>LM-4-40 Yr NPV</v>
          </cell>
          <cell r="DY5" t="str">
            <v>LM-4-Capital Cost</v>
          </cell>
          <cell r="DZ5" t="str">
            <v>LM-4-Install Year</v>
          </cell>
          <cell r="EA5" t="str">
            <v>LM-5-20 Yr NPV</v>
          </cell>
          <cell r="EB5" t="str">
            <v>LM-5-40 Yr NPV</v>
          </cell>
          <cell r="EC5" t="str">
            <v>LM-5-Capital Cost</v>
          </cell>
          <cell r="ED5" t="str">
            <v>LM-5-Install Year</v>
          </cell>
          <cell r="EE5" t="str">
            <v>LM-6-20 Yr NPV</v>
          </cell>
          <cell r="EF5" t="str">
            <v>LM-6-40 Yr NPV</v>
          </cell>
          <cell r="EG5" t="str">
            <v>LM-6-Capital Cost</v>
          </cell>
          <cell r="EH5" t="str">
            <v>LM-6-Install Year</v>
          </cell>
          <cell r="EI5" t="str">
            <v>M-1-20 Yr NPV</v>
          </cell>
          <cell r="EJ5" t="str">
            <v>M-1-40 Yr NPV</v>
          </cell>
          <cell r="EK5" t="str">
            <v>M-1-Capital Cost</v>
          </cell>
          <cell r="EL5" t="str">
            <v>M-1-Install Year</v>
          </cell>
          <cell r="EM5" t="str">
            <v>M-10-20 Yr NPV</v>
          </cell>
          <cell r="EN5" t="str">
            <v>M-10-40 Yr NPV</v>
          </cell>
          <cell r="EO5" t="str">
            <v>M-10-Capital Cost</v>
          </cell>
          <cell r="EP5" t="str">
            <v>M-10-Install Year</v>
          </cell>
          <cell r="EQ5" t="str">
            <v>M-11-20 Yr NPV</v>
          </cell>
          <cell r="ER5" t="str">
            <v>M-11-40 Yr NPV</v>
          </cell>
          <cell r="ES5" t="str">
            <v>M-11-Capital Cost</v>
          </cell>
          <cell r="ET5" t="str">
            <v>M-11-Install Year</v>
          </cell>
          <cell r="EU5" t="str">
            <v>M-12-20 Yr NPV</v>
          </cell>
          <cell r="EV5" t="str">
            <v>M-12-40 Yr NPV</v>
          </cell>
          <cell r="EW5" t="str">
            <v>M-12-Capital Cost</v>
          </cell>
          <cell r="EX5" t="str">
            <v>M-12-Install Year</v>
          </cell>
          <cell r="EY5" t="str">
            <v>M-13-20 Yr NPV</v>
          </cell>
          <cell r="EZ5" t="str">
            <v>M-13-40 Yr NPV</v>
          </cell>
          <cell r="FA5" t="str">
            <v>M-13-Capital Cost</v>
          </cell>
          <cell r="FB5" t="str">
            <v>M-13-Install Year</v>
          </cell>
          <cell r="FC5" t="str">
            <v>M-14-20 Yr NPV</v>
          </cell>
          <cell r="FD5" t="str">
            <v>M-14-40 Yr NPV</v>
          </cell>
          <cell r="FE5" t="str">
            <v>M-14-Capital Cost</v>
          </cell>
          <cell r="FF5" t="str">
            <v>M-14-Install Year</v>
          </cell>
          <cell r="FG5" t="str">
            <v>M-2-20 Yr NPV</v>
          </cell>
          <cell r="FH5" t="str">
            <v>M-2-40 Yr NPV</v>
          </cell>
          <cell r="FI5" t="str">
            <v>M-2-Capital Cost</v>
          </cell>
          <cell r="FJ5" t="str">
            <v>M-2-Install Year</v>
          </cell>
          <cell r="FK5" t="str">
            <v>M-3-20 Yr NPV</v>
          </cell>
          <cell r="FL5" t="str">
            <v>M-3-40 Yr NPV</v>
          </cell>
          <cell r="FM5" t="str">
            <v>M-3-Capital Cost</v>
          </cell>
          <cell r="FN5" t="str">
            <v>M-3-Install Year</v>
          </cell>
          <cell r="FO5" t="str">
            <v>M-4-20 Yr NPV</v>
          </cell>
          <cell r="FP5" t="str">
            <v>M-4-40 Yr NPV</v>
          </cell>
          <cell r="FQ5" t="str">
            <v>M-4-Capital Cost</v>
          </cell>
          <cell r="FR5" t="str">
            <v>M-4-Install Year</v>
          </cell>
          <cell r="FS5" t="str">
            <v>M-5-20 Yr NPV</v>
          </cell>
          <cell r="FT5" t="str">
            <v>M-5-40 Yr NPV</v>
          </cell>
          <cell r="FU5" t="str">
            <v>M-5-Capital Cost</v>
          </cell>
          <cell r="FV5" t="str">
            <v>M-5-Install Year</v>
          </cell>
          <cell r="FW5" t="str">
            <v>M-6-20 Yr NPV</v>
          </cell>
          <cell r="FX5" t="str">
            <v>M-6-40 Yr NPV</v>
          </cell>
          <cell r="FY5" t="str">
            <v>M-6-Capital Cost</v>
          </cell>
          <cell r="FZ5" t="str">
            <v>M-6-Install Year</v>
          </cell>
          <cell r="GA5" t="str">
            <v>M-7-20 Yr NPV</v>
          </cell>
          <cell r="GB5" t="str">
            <v>M-7-40 Yr NPV</v>
          </cell>
          <cell r="GC5" t="str">
            <v>M-7-Capital Cost</v>
          </cell>
          <cell r="GD5" t="str">
            <v>M-7-Install Year</v>
          </cell>
          <cell r="GE5" t="str">
            <v>M-8-20 Yr NPV</v>
          </cell>
          <cell r="GF5" t="str">
            <v>M-8-40 Yr NPV</v>
          </cell>
          <cell r="GG5" t="str">
            <v>M-8-Capital Cost</v>
          </cell>
          <cell r="GH5" t="str">
            <v>M-8-Install Year</v>
          </cell>
          <cell r="GI5" t="str">
            <v>M-9-20 Yr NPV</v>
          </cell>
          <cell r="GJ5" t="str">
            <v>M-9-40 Yr NPV</v>
          </cell>
          <cell r="GK5" t="str">
            <v>M-9-Capital Cost</v>
          </cell>
          <cell r="GL5" t="str">
            <v>M-9-Install Year</v>
          </cell>
          <cell r="GM5">
            <v>0</v>
          </cell>
          <cell r="GN5">
            <v>0</v>
          </cell>
          <cell r="GO5">
            <v>0</v>
          </cell>
          <cell r="GP5">
            <v>0</v>
          </cell>
        </row>
        <row r="6">
          <cell r="B6" t="str">
            <v>Trials</v>
          </cell>
          <cell r="C6">
            <v>1000</v>
          </cell>
          <cell r="D6">
            <v>1000</v>
          </cell>
          <cell r="E6">
            <v>1000</v>
          </cell>
          <cell r="F6">
            <v>1000</v>
          </cell>
          <cell r="G6">
            <v>1000</v>
          </cell>
          <cell r="H6">
            <v>1000</v>
          </cell>
          <cell r="I6">
            <v>1000</v>
          </cell>
          <cell r="J6">
            <v>1000</v>
          </cell>
          <cell r="K6">
            <v>1000</v>
          </cell>
          <cell r="L6">
            <v>1000</v>
          </cell>
          <cell r="M6">
            <v>1000</v>
          </cell>
          <cell r="N6">
            <v>1000</v>
          </cell>
          <cell r="O6">
            <v>1000</v>
          </cell>
          <cell r="P6">
            <v>1000</v>
          </cell>
          <cell r="Q6">
            <v>1000</v>
          </cell>
          <cell r="R6">
            <v>1000</v>
          </cell>
          <cell r="S6">
            <v>1000</v>
          </cell>
          <cell r="T6">
            <v>1000</v>
          </cell>
          <cell r="U6">
            <v>1000</v>
          </cell>
          <cell r="V6">
            <v>1000</v>
          </cell>
          <cell r="W6">
            <v>1000</v>
          </cell>
          <cell r="X6">
            <v>1000</v>
          </cell>
          <cell r="Y6">
            <v>1000</v>
          </cell>
          <cell r="Z6">
            <v>1000</v>
          </cell>
          <cell r="AA6">
            <v>1000</v>
          </cell>
          <cell r="AB6">
            <v>1000</v>
          </cell>
          <cell r="AC6">
            <v>1000</v>
          </cell>
          <cell r="AD6">
            <v>1000</v>
          </cell>
          <cell r="AE6">
            <v>1000</v>
          </cell>
          <cell r="AF6">
            <v>1000</v>
          </cell>
          <cell r="AG6">
            <v>1000</v>
          </cell>
          <cell r="AH6">
            <v>1000</v>
          </cell>
          <cell r="AI6">
            <v>1000</v>
          </cell>
          <cell r="AJ6">
            <v>1000</v>
          </cell>
          <cell r="AK6">
            <v>1000</v>
          </cell>
          <cell r="AL6">
            <v>1000</v>
          </cell>
          <cell r="AM6">
            <v>1000</v>
          </cell>
          <cell r="AN6">
            <v>1000</v>
          </cell>
          <cell r="AO6">
            <v>1000</v>
          </cell>
          <cell r="AP6">
            <v>1000</v>
          </cell>
          <cell r="AQ6">
            <v>1000</v>
          </cell>
          <cell r="AR6">
            <v>1000</v>
          </cell>
          <cell r="AS6">
            <v>1000</v>
          </cell>
          <cell r="AT6">
            <v>1000</v>
          </cell>
          <cell r="AU6">
            <v>1000</v>
          </cell>
          <cell r="AV6">
            <v>1000</v>
          </cell>
          <cell r="AW6">
            <v>1000</v>
          </cell>
          <cell r="AX6">
            <v>1000</v>
          </cell>
          <cell r="AY6">
            <v>1000</v>
          </cell>
          <cell r="AZ6">
            <v>1000</v>
          </cell>
          <cell r="BA6">
            <v>1000</v>
          </cell>
          <cell r="BB6">
            <v>1000</v>
          </cell>
          <cell r="BC6">
            <v>1000</v>
          </cell>
          <cell r="BD6">
            <v>1000</v>
          </cell>
          <cell r="BE6">
            <v>1000</v>
          </cell>
          <cell r="BF6">
            <v>1000</v>
          </cell>
          <cell r="BG6">
            <v>1000</v>
          </cell>
          <cell r="BH6">
            <v>1000</v>
          </cell>
          <cell r="BI6">
            <v>1000</v>
          </cell>
          <cell r="BJ6">
            <v>1000</v>
          </cell>
          <cell r="BK6">
            <v>1000</v>
          </cell>
          <cell r="BL6">
            <v>1000</v>
          </cell>
          <cell r="BM6">
            <v>1000</v>
          </cell>
          <cell r="BN6">
            <v>1000</v>
          </cell>
          <cell r="BO6">
            <v>1000</v>
          </cell>
          <cell r="BP6">
            <v>1000</v>
          </cell>
          <cell r="BQ6">
            <v>1000</v>
          </cell>
          <cell r="BR6">
            <v>1000</v>
          </cell>
          <cell r="BS6">
            <v>1000</v>
          </cell>
          <cell r="BT6">
            <v>1000</v>
          </cell>
          <cell r="BU6">
            <v>1000</v>
          </cell>
          <cell r="BV6">
            <v>1000</v>
          </cell>
          <cell r="BW6">
            <v>1000</v>
          </cell>
          <cell r="BX6">
            <v>1000</v>
          </cell>
          <cell r="BY6">
            <v>1000</v>
          </cell>
          <cell r="BZ6">
            <v>1000</v>
          </cell>
          <cell r="CA6">
            <v>1000</v>
          </cell>
          <cell r="CB6">
            <v>1000</v>
          </cell>
          <cell r="CC6">
            <v>1000</v>
          </cell>
          <cell r="CD6">
            <v>1000</v>
          </cell>
          <cell r="CE6">
            <v>1000</v>
          </cell>
          <cell r="CF6">
            <v>1000</v>
          </cell>
          <cell r="CG6">
            <v>1000</v>
          </cell>
          <cell r="CH6">
            <v>1000</v>
          </cell>
          <cell r="CI6">
            <v>1000</v>
          </cell>
          <cell r="CJ6">
            <v>1000</v>
          </cell>
          <cell r="CK6">
            <v>1000</v>
          </cell>
          <cell r="CL6">
            <v>1000</v>
          </cell>
          <cell r="CM6">
            <v>1000</v>
          </cell>
          <cell r="CN6">
            <v>1000</v>
          </cell>
          <cell r="CO6">
            <v>1000</v>
          </cell>
          <cell r="CP6">
            <v>1000</v>
          </cell>
          <cell r="CQ6">
            <v>1000</v>
          </cell>
          <cell r="CR6">
            <v>1000</v>
          </cell>
          <cell r="CS6">
            <v>1000</v>
          </cell>
          <cell r="CT6">
            <v>1000</v>
          </cell>
          <cell r="CU6">
            <v>1000</v>
          </cell>
          <cell r="CV6">
            <v>1000</v>
          </cell>
          <cell r="CW6">
            <v>1000</v>
          </cell>
          <cell r="CX6">
            <v>1000</v>
          </cell>
          <cell r="CY6">
            <v>1000</v>
          </cell>
          <cell r="CZ6">
            <v>1000</v>
          </cell>
          <cell r="DA6">
            <v>1000</v>
          </cell>
          <cell r="DB6">
            <v>1000</v>
          </cell>
          <cell r="DC6">
            <v>1000</v>
          </cell>
          <cell r="DD6">
            <v>1000</v>
          </cell>
          <cell r="DE6">
            <v>1000</v>
          </cell>
          <cell r="DF6">
            <v>1000</v>
          </cell>
          <cell r="DG6">
            <v>1000</v>
          </cell>
          <cell r="DH6">
            <v>1000</v>
          </cell>
          <cell r="DI6">
            <v>1000</v>
          </cell>
          <cell r="DJ6">
            <v>1000</v>
          </cell>
          <cell r="DK6">
            <v>1000</v>
          </cell>
          <cell r="DL6">
            <v>1000</v>
          </cell>
          <cell r="DM6">
            <v>1000</v>
          </cell>
          <cell r="DN6">
            <v>1000</v>
          </cell>
          <cell r="DO6">
            <v>1000</v>
          </cell>
          <cell r="DP6">
            <v>1000</v>
          </cell>
          <cell r="DQ6">
            <v>1000</v>
          </cell>
          <cell r="DR6">
            <v>1000</v>
          </cell>
          <cell r="DS6">
            <v>1000</v>
          </cell>
          <cell r="DT6">
            <v>1000</v>
          </cell>
          <cell r="DU6">
            <v>1000</v>
          </cell>
          <cell r="DV6">
            <v>1000</v>
          </cell>
          <cell r="DW6">
            <v>1000</v>
          </cell>
          <cell r="DX6">
            <v>1000</v>
          </cell>
          <cell r="DY6">
            <v>1000</v>
          </cell>
          <cell r="DZ6">
            <v>1000</v>
          </cell>
          <cell r="EA6">
            <v>1000</v>
          </cell>
          <cell r="EB6">
            <v>1000</v>
          </cell>
          <cell r="EC6">
            <v>1000</v>
          </cell>
          <cell r="ED6">
            <v>1000</v>
          </cell>
          <cell r="EE6">
            <v>1000</v>
          </cell>
          <cell r="EF6">
            <v>1000</v>
          </cell>
          <cell r="EG6">
            <v>1000</v>
          </cell>
          <cell r="EH6">
            <v>1000</v>
          </cell>
          <cell r="EI6">
            <v>1000</v>
          </cell>
          <cell r="EJ6">
            <v>1000</v>
          </cell>
          <cell r="EK6">
            <v>1000</v>
          </cell>
          <cell r="EL6">
            <v>1000</v>
          </cell>
          <cell r="EM6">
            <v>1000</v>
          </cell>
          <cell r="EN6">
            <v>1000</v>
          </cell>
          <cell r="EO6">
            <v>1000</v>
          </cell>
          <cell r="EP6">
            <v>1000</v>
          </cell>
          <cell r="EQ6">
            <v>1000</v>
          </cell>
          <cell r="ER6">
            <v>1000</v>
          </cell>
          <cell r="ES6">
            <v>1000</v>
          </cell>
          <cell r="ET6">
            <v>1000</v>
          </cell>
          <cell r="EU6">
            <v>1000</v>
          </cell>
          <cell r="EV6">
            <v>1000</v>
          </cell>
          <cell r="EW6">
            <v>1000</v>
          </cell>
          <cell r="EX6">
            <v>1000</v>
          </cell>
          <cell r="EY6">
            <v>1000</v>
          </cell>
          <cell r="EZ6">
            <v>1000</v>
          </cell>
          <cell r="FA6">
            <v>1000</v>
          </cell>
          <cell r="FB6">
            <v>1000</v>
          </cell>
          <cell r="FC6">
            <v>1000</v>
          </cell>
          <cell r="FD6">
            <v>1000</v>
          </cell>
          <cell r="FE6">
            <v>1000</v>
          </cell>
          <cell r="FF6">
            <v>1000</v>
          </cell>
          <cell r="FG6">
            <v>1000</v>
          </cell>
          <cell r="FH6">
            <v>1000</v>
          </cell>
          <cell r="FI6">
            <v>1000</v>
          </cell>
          <cell r="FJ6">
            <v>1000</v>
          </cell>
          <cell r="FK6">
            <v>1000</v>
          </cell>
          <cell r="FL6">
            <v>1000</v>
          </cell>
          <cell r="FM6">
            <v>1000</v>
          </cell>
          <cell r="FN6">
            <v>1000</v>
          </cell>
          <cell r="FO6">
            <v>1000</v>
          </cell>
          <cell r="FP6">
            <v>1000</v>
          </cell>
          <cell r="FQ6">
            <v>1000</v>
          </cell>
          <cell r="FR6">
            <v>1000</v>
          </cell>
          <cell r="FS6">
            <v>1000</v>
          </cell>
          <cell r="FT6">
            <v>1000</v>
          </cell>
          <cell r="FU6">
            <v>1000</v>
          </cell>
          <cell r="FV6">
            <v>1000</v>
          </cell>
          <cell r="FW6">
            <v>1000</v>
          </cell>
          <cell r="FX6">
            <v>1000</v>
          </cell>
          <cell r="FY6">
            <v>1000</v>
          </cell>
          <cell r="FZ6">
            <v>1000</v>
          </cell>
          <cell r="GA6">
            <v>1000</v>
          </cell>
          <cell r="GB6">
            <v>1000</v>
          </cell>
          <cell r="GC6">
            <v>1000</v>
          </cell>
          <cell r="GD6">
            <v>1000</v>
          </cell>
          <cell r="GE6">
            <v>1000</v>
          </cell>
          <cell r="GF6">
            <v>1000</v>
          </cell>
          <cell r="GG6">
            <v>1000</v>
          </cell>
          <cell r="GH6">
            <v>1000</v>
          </cell>
          <cell r="GI6">
            <v>1000</v>
          </cell>
          <cell r="GJ6">
            <v>1000</v>
          </cell>
          <cell r="GK6">
            <v>1000</v>
          </cell>
          <cell r="GL6">
            <v>1000</v>
          </cell>
          <cell r="GM6">
            <v>0</v>
          </cell>
          <cell r="GN6">
            <v>0</v>
          </cell>
          <cell r="GO6">
            <v>0</v>
          </cell>
          <cell r="GP6">
            <v>0</v>
          </cell>
        </row>
        <row r="7">
          <cell r="B7" t="str">
            <v>Mean</v>
          </cell>
          <cell r="C7">
            <v>1056.3322841843346</v>
          </cell>
          <cell r="D7">
            <v>1153.1759097661381</v>
          </cell>
          <cell r="E7">
            <v>261.76158001769835</v>
          </cell>
          <cell r="F7">
            <v>2019.5</v>
          </cell>
          <cell r="G7">
            <v>1892.7721434916589</v>
          </cell>
          <cell r="H7">
            <v>3509.2802400673304</v>
          </cell>
          <cell r="I7">
            <v>7101.1495105627328</v>
          </cell>
          <cell r="J7">
            <v>2061.701</v>
          </cell>
          <cell r="K7">
            <v>612.60867671514086</v>
          </cell>
          <cell r="L7">
            <v>939.00355544695174</v>
          </cell>
          <cell r="M7">
            <v>611.73462224410878</v>
          </cell>
          <cell r="N7">
            <v>2012</v>
          </cell>
          <cell r="O7">
            <v>5217.6963252597025</v>
          </cell>
          <cell r="P7">
            <v>5893.2183302087933</v>
          </cell>
          <cell r="Q7">
            <v>1825.6773330727794</v>
          </cell>
          <cell r="R7">
            <v>2019.5</v>
          </cell>
          <cell r="S7">
            <v>1025.3871535482435</v>
          </cell>
          <cell r="T7">
            <v>1222.2781550982311</v>
          </cell>
          <cell r="U7">
            <v>397.00178654258042</v>
          </cell>
          <cell r="V7">
            <v>2013.4970000000001</v>
          </cell>
          <cell r="W7">
            <v>41153.399006183332</v>
          </cell>
          <cell r="X7">
            <v>40983.495254471796</v>
          </cell>
          <cell r="Y7">
            <v>3495.5465161928273</v>
          </cell>
          <cell r="Z7">
            <v>2014</v>
          </cell>
          <cell r="AA7">
            <v>7199.8017743822265</v>
          </cell>
          <cell r="AB7">
            <v>9461.5209712295073</v>
          </cell>
          <cell r="AC7">
            <v>5921.5691288164162</v>
          </cell>
          <cell r="AD7">
            <v>2019.5</v>
          </cell>
          <cell r="AE7">
            <v>1156.4427178962969</v>
          </cell>
          <cell r="AF7">
            <v>1500.0414537642464</v>
          </cell>
          <cell r="AG7">
            <v>671.41382593140986</v>
          </cell>
          <cell r="AH7">
            <v>2012.85</v>
          </cell>
          <cell r="AI7">
            <v>1412.2697492842021</v>
          </cell>
          <cell r="AJ7">
            <v>1782.8292370465026</v>
          </cell>
          <cell r="AK7">
            <v>699.86262555034068</v>
          </cell>
          <cell r="AL7">
            <v>2016.65</v>
          </cell>
          <cell r="AM7">
            <v>144.31899588243095</v>
          </cell>
          <cell r="AN7">
            <v>188.42000814152448</v>
          </cell>
          <cell r="AO7">
            <v>84.733064417695118</v>
          </cell>
          <cell r="AP7">
            <v>2012.5</v>
          </cell>
          <cell r="AQ7">
            <v>2899.3204212780806</v>
          </cell>
          <cell r="AR7">
            <v>3705.7172323830123</v>
          </cell>
          <cell r="AS7">
            <v>972.12940264565145</v>
          </cell>
          <cell r="AT7">
            <v>2012</v>
          </cell>
          <cell r="AU7">
            <v>1122.8425437665071</v>
          </cell>
          <cell r="AV7">
            <v>1260.7637168609022</v>
          </cell>
          <cell r="AW7">
            <v>372.74325331950075</v>
          </cell>
          <cell r="AX7">
            <v>2019.5</v>
          </cell>
          <cell r="AY7">
            <v>1249.1032141096487</v>
          </cell>
          <cell r="AZ7">
            <v>1733.3943060682327</v>
          </cell>
          <cell r="BA7">
            <v>967.30913189057242</v>
          </cell>
          <cell r="BB7">
            <v>2016.65</v>
          </cell>
          <cell r="BC7">
            <v>919.6047121421517</v>
          </cell>
          <cell r="BD7">
            <v>1274.6942803755667</v>
          </cell>
          <cell r="BE7">
            <v>821.1863062424751</v>
          </cell>
          <cell r="BF7">
            <v>2016.3</v>
          </cell>
          <cell r="BG7">
            <v>5594.5717187851269</v>
          </cell>
          <cell r="BH7">
            <v>7975.2154563387503</v>
          </cell>
          <cell r="BI7">
            <v>4630.3653758693181</v>
          </cell>
          <cell r="BJ7">
            <v>2012.75</v>
          </cell>
          <cell r="BK7">
            <v>566.09743913875218</v>
          </cell>
          <cell r="BL7">
            <v>611.4234975418974</v>
          </cell>
          <cell r="BM7">
            <v>108.41700048329444</v>
          </cell>
          <cell r="BN7">
            <v>2017</v>
          </cell>
          <cell r="BO7">
            <v>1716.2541245123034</v>
          </cell>
          <cell r="BP7">
            <v>2776.1737176620804</v>
          </cell>
          <cell r="BQ7">
            <v>1802.0668307375681</v>
          </cell>
          <cell r="BR7">
            <v>2010</v>
          </cell>
          <cell r="BS7">
            <v>150.7155857462555</v>
          </cell>
          <cell r="BT7">
            <v>205.46728120958218</v>
          </cell>
          <cell r="BU7">
            <v>84.730514688082366</v>
          </cell>
          <cell r="BV7">
            <v>2012.5</v>
          </cell>
          <cell r="BW7">
            <v>1235.4487445934026</v>
          </cell>
          <cell r="BX7">
            <v>1270.9197208958428</v>
          </cell>
          <cell r="BY7">
            <v>92.681227824865488</v>
          </cell>
          <cell r="BZ7">
            <v>2018.797</v>
          </cell>
          <cell r="CA7">
            <v>10482.624216707976</v>
          </cell>
          <cell r="CB7">
            <v>14581.55894534443</v>
          </cell>
          <cell r="CC7">
            <v>3303.150285438624</v>
          </cell>
          <cell r="CD7">
            <v>2019.5</v>
          </cell>
          <cell r="CE7">
            <v>4919.9669736737651</v>
          </cell>
          <cell r="CF7">
            <v>5534.3095888233611</v>
          </cell>
          <cell r="CG7">
            <v>1658.4924068233186</v>
          </cell>
          <cell r="CH7">
            <v>2019.5</v>
          </cell>
          <cell r="CI7">
            <v>175994.12535960905</v>
          </cell>
          <cell r="CJ7">
            <v>176231.20951240583</v>
          </cell>
          <cell r="CK7">
            <v>4306.3132265368649</v>
          </cell>
          <cell r="CL7">
            <v>2019</v>
          </cell>
          <cell r="CM7">
            <v>6119.6014594249327</v>
          </cell>
          <cell r="CN7">
            <v>8076.7633612825066</v>
          </cell>
          <cell r="CO7">
            <v>5093.4017587549233</v>
          </cell>
          <cell r="CP7">
            <v>2019.5</v>
          </cell>
          <cell r="CQ7">
            <v>2051.3200548030768</v>
          </cell>
          <cell r="CR7">
            <v>2850.9101245315178</v>
          </cell>
          <cell r="CS7">
            <v>1878.9887515799617</v>
          </cell>
          <cell r="CT7">
            <v>2016.65</v>
          </cell>
          <cell r="CU7">
            <v>2420.3437065552139</v>
          </cell>
          <cell r="CV7">
            <v>2476.9854937506543</v>
          </cell>
          <cell r="CW7">
            <v>154.81960591001459</v>
          </cell>
          <cell r="CX7">
            <v>2019.76</v>
          </cell>
          <cell r="CY7">
            <v>8951.9078177512674</v>
          </cell>
          <cell r="CZ7">
            <v>9589.0759923666774</v>
          </cell>
          <cell r="DA7">
            <v>1249.5324013979018</v>
          </cell>
          <cell r="DB7">
            <v>2015.4</v>
          </cell>
          <cell r="DC7">
            <v>388.64421217724191</v>
          </cell>
          <cell r="DD7">
            <v>588.0621179485961</v>
          </cell>
          <cell r="DE7">
            <v>539.19724883459321</v>
          </cell>
          <cell r="DF7">
            <v>2019.5</v>
          </cell>
          <cell r="DG7">
            <v>1022.8079480025808</v>
          </cell>
          <cell r="DH7">
            <v>1390.1036534050709</v>
          </cell>
          <cell r="DI7">
            <v>717.66851031849023</v>
          </cell>
          <cell r="DJ7">
            <v>2012.85</v>
          </cell>
          <cell r="DK7">
            <v>260.85451808859079</v>
          </cell>
          <cell r="DL7">
            <v>330.81947849137566</v>
          </cell>
          <cell r="DM7">
            <v>189.13265320053014</v>
          </cell>
          <cell r="DN7">
            <v>2019.5</v>
          </cell>
          <cell r="DO7">
            <v>3482.9130824331642</v>
          </cell>
          <cell r="DP7">
            <v>3544.4623493420936</v>
          </cell>
          <cell r="DQ7">
            <v>166.38772749284544</v>
          </cell>
          <cell r="DR7">
            <v>2019.5</v>
          </cell>
          <cell r="DS7">
            <v>634.55682848243373</v>
          </cell>
          <cell r="DT7">
            <v>898.84737126869777</v>
          </cell>
          <cell r="DU7">
            <v>424.60080974622991</v>
          </cell>
          <cell r="DV7">
            <v>2015.4</v>
          </cell>
          <cell r="DW7">
            <v>895.68658328064043</v>
          </cell>
          <cell r="DX7">
            <v>1419.8962785094704</v>
          </cell>
          <cell r="DY7">
            <v>443.36645859371095</v>
          </cell>
          <cell r="DZ7">
            <v>2012</v>
          </cell>
          <cell r="EA7">
            <v>616.38746303914002</v>
          </cell>
          <cell r="EB7">
            <v>838.97758329104875</v>
          </cell>
          <cell r="EC7">
            <v>432.95178553182683</v>
          </cell>
          <cell r="ED7">
            <v>2012.75</v>
          </cell>
          <cell r="EE7">
            <v>566.2836979544719</v>
          </cell>
          <cell r="EF7">
            <v>864.07485582650236</v>
          </cell>
          <cell r="EG7">
            <v>558.35503361034046</v>
          </cell>
          <cell r="EH7">
            <v>2012</v>
          </cell>
          <cell r="EI7">
            <v>4847.2258029893837</v>
          </cell>
          <cell r="EJ7">
            <v>5460.3486231818233</v>
          </cell>
          <cell r="EK7">
            <v>1659.5550312615362</v>
          </cell>
          <cell r="EL7">
            <v>2019.5</v>
          </cell>
          <cell r="EM7">
            <v>275.94820945903768</v>
          </cell>
          <cell r="EN7">
            <v>373.19295958626577</v>
          </cell>
          <cell r="EO7">
            <v>80.845934800655073</v>
          </cell>
          <cell r="EP7">
            <v>2013.68</v>
          </cell>
          <cell r="EQ7">
            <v>185.78830049767834</v>
          </cell>
          <cell r="ER7">
            <v>247.73739102166215</v>
          </cell>
          <cell r="ES7">
            <v>167.57262787972556</v>
          </cell>
          <cell r="ET7">
            <v>2019.5</v>
          </cell>
          <cell r="EU7">
            <v>3812.2785516271338</v>
          </cell>
          <cell r="EV7">
            <v>4012.3181608899545</v>
          </cell>
          <cell r="EW7">
            <v>332.35886430275758</v>
          </cell>
          <cell r="EX7">
            <v>2018.68</v>
          </cell>
          <cell r="EY7">
            <v>3877.1160857266564</v>
          </cell>
          <cell r="EZ7">
            <v>4117.2671049931478</v>
          </cell>
          <cell r="FA7">
            <v>436.65043802332229</v>
          </cell>
          <cell r="FB7">
            <v>2018.68</v>
          </cell>
          <cell r="FC7">
            <v>5133.9675379145056</v>
          </cell>
          <cell r="FD7">
            <v>5344.2361269400835</v>
          </cell>
          <cell r="FE7">
            <v>486.47473874946007</v>
          </cell>
          <cell r="FF7">
            <v>2016.3</v>
          </cell>
          <cell r="FG7">
            <v>21072.884918425832</v>
          </cell>
          <cell r="FH7">
            <v>27816.096075406258</v>
          </cell>
          <cell r="FI7">
            <v>13793.965873404382</v>
          </cell>
          <cell r="FJ7">
            <v>2011</v>
          </cell>
          <cell r="FK7">
            <v>2305.999970728456</v>
          </cell>
          <cell r="FL7">
            <v>4251.9259414686467</v>
          </cell>
          <cell r="FM7">
            <v>2335.7084341985374</v>
          </cell>
          <cell r="FN7">
            <v>2045.6</v>
          </cell>
          <cell r="FO7">
            <v>146.80866408187279</v>
          </cell>
          <cell r="FP7">
            <v>201.5506783977043</v>
          </cell>
          <cell r="FQ7">
            <v>84.720868882873475</v>
          </cell>
          <cell r="FR7">
            <v>2012.5</v>
          </cell>
          <cell r="FS7">
            <v>1071.1673786941908</v>
          </cell>
          <cell r="FT7">
            <v>1483.5048496558409</v>
          </cell>
          <cell r="FU7">
            <v>805.62415938717368</v>
          </cell>
          <cell r="FV7">
            <v>2012.85</v>
          </cell>
          <cell r="FW7">
            <v>1223.9182134911234</v>
          </cell>
          <cell r="FX7">
            <v>1622.6633313192876</v>
          </cell>
          <cell r="FY7">
            <v>766.65832472566706</v>
          </cell>
          <cell r="FZ7">
            <v>2016.65</v>
          </cell>
          <cell r="GA7">
            <v>1109.4887092445342</v>
          </cell>
          <cell r="GB7">
            <v>1646.8309571415557</v>
          </cell>
          <cell r="GC7">
            <v>1242.0097711362016</v>
          </cell>
          <cell r="GD7">
            <v>2016.3</v>
          </cell>
          <cell r="GE7">
            <v>4490.8618430120341</v>
          </cell>
          <cell r="GF7">
            <v>5661.9023197101405</v>
          </cell>
          <cell r="GG7">
            <v>2276.6508539601914</v>
          </cell>
          <cell r="GH7">
            <v>2012.75</v>
          </cell>
          <cell r="GI7">
            <v>373.25850120919</v>
          </cell>
          <cell r="GJ7">
            <v>530.6891814947935</v>
          </cell>
          <cell r="GK7">
            <v>203.32232106536392</v>
          </cell>
          <cell r="GL7">
            <v>2013.68</v>
          </cell>
          <cell r="GM7">
            <v>0</v>
          </cell>
          <cell r="GN7">
            <v>0</v>
          </cell>
          <cell r="GO7">
            <v>0</v>
          </cell>
          <cell r="GP7">
            <v>0</v>
          </cell>
        </row>
        <row r="8">
          <cell r="B8" t="str">
            <v>Median</v>
          </cell>
          <cell r="C8">
            <v>1055.382906972442</v>
          </cell>
          <cell r="D8">
            <v>1152.4681079449615</v>
          </cell>
          <cell r="E8">
            <v>260.79966348974347</v>
          </cell>
          <cell r="F8">
            <v>2019.5</v>
          </cell>
          <cell r="G8">
            <v>6.9369661713381758E-7</v>
          </cell>
          <cell r="H8">
            <v>3354.8572080564199</v>
          </cell>
          <cell r="I8">
            <v>2787.9084214204263</v>
          </cell>
          <cell r="J8">
            <v>2043</v>
          </cell>
          <cell r="K8">
            <v>611.08665128650432</v>
          </cell>
          <cell r="L8">
            <v>936.68449354683901</v>
          </cell>
          <cell r="M8">
            <v>612.77402740665775</v>
          </cell>
          <cell r="N8">
            <v>2012</v>
          </cell>
          <cell r="O8">
            <v>5141.413917781545</v>
          </cell>
          <cell r="P8">
            <v>5834.6598299060424</v>
          </cell>
          <cell r="Q8">
            <v>1677.0607925609527</v>
          </cell>
          <cell r="R8">
            <v>2019.5</v>
          </cell>
          <cell r="S8">
            <v>1027.5087709674658</v>
          </cell>
          <cell r="T8">
            <v>1224.6658837390123</v>
          </cell>
          <cell r="U8">
            <v>394.5667773202714</v>
          </cell>
          <cell r="V8">
            <v>2013.5</v>
          </cell>
          <cell r="W8">
            <v>41131.329883225801</v>
          </cell>
          <cell r="X8">
            <v>40971.349302635033</v>
          </cell>
          <cell r="Y8">
            <v>3471.6283319710751</v>
          </cell>
          <cell r="Z8">
            <v>2014</v>
          </cell>
          <cell r="AA8">
            <v>7154.4750194338612</v>
          </cell>
          <cell r="AB8">
            <v>9430.92853777048</v>
          </cell>
          <cell r="AC8">
            <v>5819.0493589832204</v>
          </cell>
          <cell r="AD8">
            <v>2019.5</v>
          </cell>
          <cell r="AE8">
            <v>1168.488695958119</v>
          </cell>
          <cell r="AF8">
            <v>1505.2372673908249</v>
          </cell>
          <cell r="AG8">
            <v>668.37959674533636</v>
          </cell>
          <cell r="AH8">
            <v>2013</v>
          </cell>
          <cell r="AI8">
            <v>1413.4937583207184</v>
          </cell>
          <cell r="AJ8">
            <v>1778.0736178425486</v>
          </cell>
          <cell r="AK8">
            <v>700.17512239048983</v>
          </cell>
          <cell r="AL8">
            <v>2017</v>
          </cell>
          <cell r="AM8">
            <v>146.68090056543105</v>
          </cell>
          <cell r="AN8">
            <v>190.04790397931944</v>
          </cell>
          <cell r="AO8">
            <v>84.554362451470752</v>
          </cell>
          <cell r="AP8">
            <v>2013</v>
          </cell>
          <cell r="AQ8">
            <v>2900.8939848248019</v>
          </cell>
          <cell r="AR8">
            <v>3720.8665280018708</v>
          </cell>
          <cell r="AS8">
            <v>965.19834556016008</v>
          </cell>
          <cell r="AT8">
            <v>2012</v>
          </cell>
          <cell r="AU8">
            <v>1120.5940670194784</v>
          </cell>
          <cell r="AV8">
            <v>1258.3683900377207</v>
          </cell>
          <cell r="AW8">
            <v>370.57600719161809</v>
          </cell>
          <cell r="AX8">
            <v>2019.5</v>
          </cell>
          <cell r="AY8">
            <v>1246.2479330043275</v>
          </cell>
          <cell r="AZ8">
            <v>1728.1025315919815</v>
          </cell>
          <cell r="BA8">
            <v>967.727717278824</v>
          </cell>
          <cell r="BB8">
            <v>2017</v>
          </cell>
          <cell r="BC8">
            <v>916.24482228960937</v>
          </cell>
          <cell r="BD8">
            <v>1267.1039686767826</v>
          </cell>
          <cell r="BE8">
            <v>817.93093805826925</v>
          </cell>
          <cell r="BF8">
            <v>2016.5</v>
          </cell>
          <cell r="BG8">
            <v>5640.1702969520302</v>
          </cell>
          <cell r="BH8">
            <v>8003.8061348234587</v>
          </cell>
          <cell r="BI8">
            <v>4484.1535478124206</v>
          </cell>
          <cell r="BJ8">
            <v>2010.5</v>
          </cell>
          <cell r="BK8">
            <v>565.76540589637023</v>
          </cell>
          <cell r="BL8">
            <v>610.40782592248195</v>
          </cell>
          <cell r="BM8">
            <v>108.41969423604434</v>
          </cell>
          <cell r="BN8">
            <v>2017</v>
          </cell>
          <cell r="BO8">
            <v>1716.2008487581327</v>
          </cell>
          <cell r="BP8">
            <v>2776.0875397890813</v>
          </cell>
          <cell r="BQ8">
            <v>1802.0108902200941</v>
          </cell>
          <cell r="BR8">
            <v>2010</v>
          </cell>
          <cell r="BS8">
            <v>151.79979112118644</v>
          </cell>
          <cell r="BT8">
            <v>206.65035540028506</v>
          </cell>
          <cell r="BU8">
            <v>84.639796968969193</v>
          </cell>
          <cell r="BV8">
            <v>2013</v>
          </cell>
          <cell r="BW8">
            <v>1216.1939196646404</v>
          </cell>
          <cell r="BX8">
            <v>1251.2579598988327</v>
          </cell>
          <cell r="BY8">
            <v>92.532007676373368</v>
          </cell>
          <cell r="BZ8">
            <v>2019</v>
          </cell>
          <cell r="CA8">
            <v>10335.864081756496</v>
          </cell>
          <cell r="CB8">
            <v>14495.542044458531</v>
          </cell>
          <cell r="CC8">
            <v>3269.5949525410751</v>
          </cell>
          <cell r="CD8">
            <v>2019.5</v>
          </cell>
          <cell r="CE8">
            <v>4897.3713774211519</v>
          </cell>
          <cell r="CF8">
            <v>5517.1565555976049</v>
          </cell>
          <cell r="CG8">
            <v>1531.1806868889325</v>
          </cell>
          <cell r="CH8">
            <v>2019.5</v>
          </cell>
          <cell r="CI8">
            <v>175951.10754087992</v>
          </cell>
          <cell r="CJ8">
            <v>176197.45317523833</v>
          </cell>
          <cell r="CK8">
            <v>4274.0486188443801</v>
          </cell>
          <cell r="CL8">
            <v>2019</v>
          </cell>
          <cell r="CM8">
            <v>6085.5423812014724</v>
          </cell>
          <cell r="CN8">
            <v>8034.0276288661335</v>
          </cell>
          <cell r="CO8">
            <v>5029.8597291301048</v>
          </cell>
          <cell r="CP8">
            <v>2019.5</v>
          </cell>
          <cell r="CQ8">
            <v>2046.198994849778</v>
          </cell>
          <cell r="CR8">
            <v>2839.6879258527924</v>
          </cell>
          <cell r="CS8">
            <v>1867.1873172699443</v>
          </cell>
          <cell r="CT8">
            <v>2017</v>
          </cell>
          <cell r="CU8">
            <v>2372.4308253371973</v>
          </cell>
          <cell r="CV8">
            <v>2432.5378483097784</v>
          </cell>
          <cell r="CW8">
            <v>149.5347123196662</v>
          </cell>
          <cell r="CX8">
            <v>2021</v>
          </cell>
          <cell r="CY8">
            <v>8832.6560332194149</v>
          </cell>
          <cell r="CZ8">
            <v>9451.6938222301433</v>
          </cell>
          <cell r="DA8">
            <v>1246.6743834411905</v>
          </cell>
          <cell r="DB8">
            <v>2016</v>
          </cell>
          <cell r="DC8">
            <v>395.42639276897216</v>
          </cell>
          <cell r="DD8">
            <v>600.33012398924279</v>
          </cell>
          <cell r="DE8">
            <v>542.32395342341135</v>
          </cell>
          <cell r="DF8">
            <v>2019.5</v>
          </cell>
          <cell r="DG8">
            <v>1025.7953113980898</v>
          </cell>
          <cell r="DH8">
            <v>1392.4697887463522</v>
          </cell>
          <cell r="DI8">
            <v>714.58666730251298</v>
          </cell>
          <cell r="DJ8">
            <v>2013</v>
          </cell>
          <cell r="DK8">
            <v>260.72467796787151</v>
          </cell>
          <cell r="DL8">
            <v>330.42961857885052</v>
          </cell>
          <cell r="DM8">
            <v>188.63342737964479</v>
          </cell>
          <cell r="DN8">
            <v>2019.5</v>
          </cell>
          <cell r="DO8">
            <v>3412.9045388022851</v>
          </cell>
          <cell r="DP8">
            <v>3469.8859305772153</v>
          </cell>
          <cell r="DQ8">
            <v>162.23978719705468</v>
          </cell>
          <cell r="DR8">
            <v>2019.5</v>
          </cell>
          <cell r="DS8">
            <v>640.47262106809512</v>
          </cell>
          <cell r="DT8">
            <v>901.80780446661117</v>
          </cell>
          <cell r="DU8">
            <v>423.84505787883495</v>
          </cell>
          <cell r="DV8">
            <v>2016</v>
          </cell>
          <cell r="DW8">
            <v>894.63173988161225</v>
          </cell>
          <cell r="DX8">
            <v>1415.103899206787</v>
          </cell>
          <cell r="DY8">
            <v>440.12978377222873</v>
          </cell>
          <cell r="DZ8">
            <v>2012</v>
          </cell>
          <cell r="EA8">
            <v>620.82663984181568</v>
          </cell>
          <cell r="EB8">
            <v>842.00676225318034</v>
          </cell>
          <cell r="EC8">
            <v>418.78714987576518</v>
          </cell>
          <cell r="ED8">
            <v>2010.5</v>
          </cell>
          <cell r="EE8">
            <v>565.59777961023929</v>
          </cell>
          <cell r="EF8">
            <v>863.14963389487764</v>
          </cell>
          <cell r="EG8">
            <v>556.08285740631891</v>
          </cell>
          <cell r="EH8">
            <v>2012</v>
          </cell>
          <cell r="EI8">
            <v>4804.9624715053496</v>
          </cell>
          <cell r="EJ8">
            <v>5371.8485850368907</v>
          </cell>
          <cell r="EK8">
            <v>1530.6754989409314</v>
          </cell>
          <cell r="EL8">
            <v>2019.5</v>
          </cell>
          <cell r="EM8">
            <v>275.69128673258137</v>
          </cell>
          <cell r="EN8">
            <v>372.80631596170576</v>
          </cell>
          <cell r="EO8">
            <v>80.761493914934093</v>
          </cell>
          <cell r="EP8">
            <v>2014</v>
          </cell>
          <cell r="EQ8">
            <v>188.61019061213329</v>
          </cell>
          <cell r="ER8">
            <v>256.35220595476869</v>
          </cell>
          <cell r="ES8">
            <v>170.25424399323148</v>
          </cell>
          <cell r="ET8">
            <v>2019.5</v>
          </cell>
          <cell r="EU8">
            <v>3810.8062069036805</v>
          </cell>
          <cell r="EV8">
            <v>4010.9867064795371</v>
          </cell>
          <cell r="EW8">
            <v>331.15588034178569</v>
          </cell>
          <cell r="EX8">
            <v>2019</v>
          </cell>
          <cell r="EY8">
            <v>3879.2572647578727</v>
          </cell>
          <cell r="EZ8">
            <v>4117.6226437310042</v>
          </cell>
          <cell r="FA8">
            <v>434.40450803134394</v>
          </cell>
          <cell r="FB8">
            <v>2019</v>
          </cell>
          <cell r="FC8">
            <v>4728.9740437661967</v>
          </cell>
          <cell r="FD8">
            <v>4933.8975666564911</v>
          </cell>
          <cell r="FE8">
            <v>476.93365661337111</v>
          </cell>
          <cell r="FF8">
            <v>2015.5</v>
          </cell>
          <cell r="FG8">
            <v>21130.426507436372</v>
          </cell>
          <cell r="FH8">
            <v>27841.843218071233</v>
          </cell>
          <cell r="FI8">
            <v>13773.366949473715</v>
          </cell>
          <cell r="FJ8">
            <v>2011</v>
          </cell>
          <cell r="FK8">
            <v>1.2226120457715286E-6</v>
          </cell>
          <cell r="FL8">
            <v>4805.6695530360075</v>
          </cell>
          <cell r="FM8">
            <v>1169.3529158621122</v>
          </cell>
          <cell r="FN8">
            <v>2034.5</v>
          </cell>
          <cell r="FO8">
            <v>147.93380734063527</v>
          </cell>
          <cell r="FP8">
            <v>203.07817866996217</v>
          </cell>
          <cell r="FQ8">
            <v>84.846249874484442</v>
          </cell>
          <cell r="FR8">
            <v>2013</v>
          </cell>
          <cell r="FS8">
            <v>1075.8443741976998</v>
          </cell>
          <cell r="FT8">
            <v>1483.8840825240438</v>
          </cell>
          <cell r="FU8">
            <v>804.22616029479536</v>
          </cell>
          <cell r="FV8">
            <v>2013</v>
          </cell>
          <cell r="FW8">
            <v>1228.7423937458343</v>
          </cell>
          <cell r="FX8">
            <v>1625.501865919658</v>
          </cell>
          <cell r="FY8">
            <v>769.61118032046602</v>
          </cell>
          <cell r="FZ8">
            <v>2017</v>
          </cell>
          <cell r="GA8">
            <v>1100.1690023305596</v>
          </cell>
          <cell r="GB8">
            <v>1632.5455490188547</v>
          </cell>
          <cell r="GC8">
            <v>1241.0101430240084</v>
          </cell>
          <cell r="GD8">
            <v>2016.5</v>
          </cell>
          <cell r="GE8">
            <v>4567.0206312873079</v>
          </cell>
          <cell r="GF8">
            <v>5682.2726396148973</v>
          </cell>
          <cell r="GG8">
            <v>2259.8235247459138</v>
          </cell>
          <cell r="GH8">
            <v>2010.5</v>
          </cell>
          <cell r="GI8">
            <v>372.54260486455917</v>
          </cell>
          <cell r="GJ8">
            <v>531.92620997154506</v>
          </cell>
          <cell r="GK8">
            <v>202.73867457246965</v>
          </cell>
          <cell r="GL8">
            <v>2014</v>
          </cell>
          <cell r="GM8">
            <v>0</v>
          </cell>
          <cell r="GN8">
            <v>0</v>
          </cell>
          <cell r="GO8">
            <v>0</v>
          </cell>
          <cell r="GP8">
            <v>0</v>
          </cell>
        </row>
        <row r="9">
          <cell r="B9" t="str">
            <v>Mode</v>
          </cell>
          <cell r="C9" t="str">
            <v>---</v>
          </cell>
          <cell r="D9" t="str">
            <v>---</v>
          </cell>
          <cell r="E9" t="str">
            <v>---</v>
          </cell>
          <cell r="F9">
            <v>2015</v>
          </cell>
          <cell r="G9" t="str">
            <v>---</v>
          </cell>
          <cell r="H9" t="str">
            <v>---</v>
          </cell>
          <cell r="I9" t="str">
            <v>---</v>
          </cell>
          <cell r="J9">
            <v>2110</v>
          </cell>
          <cell r="K9" t="str">
            <v>---</v>
          </cell>
          <cell r="L9" t="str">
            <v>---</v>
          </cell>
          <cell r="M9" t="str">
            <v>---</v>
          </cell>
          <cell r="N9">
            <v>2010</v>
          </cell>
          <cell r="O9" t="str">
            <v>---</v>
          </cell>
          <cell r="P9" t="str">
            <v>---</v>
          </cell>
          <cell r="Q9" t="str">
            <v>---</v>
          </cell>
          <cell r="R9">
            <v>2010</v>
          </cell>
          <cell r="S9" t="str">
            <v>---</v>
          </cell>
          <cell r="T9" t="str">
            <v>---</v>
          </cell>
          <cell r="U9" t="str">
            <v>---</v>
          </cell>
          <cell r="V9">
            <v>2016</v>
          </cell>
          <cell r="W9" t="str">
            <v>---</v>
          </cell>
          <cell r="X9" t="str">
            <v>---</v>
          </cell>
          <cell r="Y9" t="str">
            <v>---</v>
          </cell>
          <cell r="Z9">
            <v>2015</v>
          </cell>
          <cell r="AA9" t="str">
            <v>---</v>
          </cell>
          <cell r="AB9" t="str">
            <v>---</v>
          </cell>
          <cell r="AC9" t="str">
            <v>---</v>
          </cell>
          <cell r="AD9">
            <v>2010</v>
          </cell>
          <cell r="AE9" t="str">
            <v>---</v>
          </cell>
          <cell r="AF9" t="str">
            <v>---</v>
          </cell>
          <cell r="AG9" t="str">
            <v>---</v>
          </cell>
          <cell r="AH9">
            <v>2010</v>
          </cell>
          <cell r="AI9" t="str">
            <v>---</v>
          </cell>
          <cell r="AJ9" t="str">
            <v>---</v>
          </cell>
          <cell r="AK9" t="str">
            <v>---</v>
          </cell>
          <cell r="AL9">
            <v>2021</v>
          </cell>
          <cell r="AM9" t="str">
            <v>---</v>
          </cell>
          <cell r="AN9" t="str">
            <v>---</v>
          </cell>
          <cell r="AO9" t="str">
            <v>---</v>
          </cell>
          <cell r="AP9">
            <v>2014</v>
          </cell>
          <cell r="AQ9" t="str">
            <v>---</v>
          </cell>
          <cell r="AR9" t="str">
            <v>---</v>
          </cell>
          <cell r="AS9" t="str">
            <v>---</v>
          </cell>
          <cell r="AT9">
            <v>2010</v>
          </cell>
          <cell r="AU9" t="str">
            <v>---</v>
          </cell>
          <cell r="AV9" t="str">
            <v>---</v>
          </cell>
          <cell r="AW9" t="str">
            <v>---</v>
          </cell>
          <cell r="AX9">
            <v>2015</v>
          </cell>
          <cell r="AY9" t="str">
            <v>---</v>
          </cell>
          <cell r="AZ9" t="str">
            <v>---</v>
          </cell>
          <cell r="BA9" t="str">
            <v>---</v>
          </cell>
          <cell r="BB9">
            <v>2021</v>
          </cell>
          <cell r="BC9" t="str">
            <v>---</v>
          </cell>
          <cell r="BD9" t="str">
            <v>---</v>
          </cell>
          <cell r="BE9" t="str">
            <v>---</v>
          </cell>
          <cell r="BF9">
            <v>2014</v>
          </cell>
          <cell r="BG9" t="str">
            <v>---</v>
          </cell>
          <cell r="BH9" t="str">
            <v>---</v>
          </cell>
          <cell r="BI9" t="str">
            <v>---</v>
          </cell>
          <cell r="BJ9">
            <v>2010</v>
          </cell>
          <cell r="BK9" t="str">
            <v>---</v>
          </cell>
          <cell r="BL9" t="str">
            <v>---</v>
          </cell>
          <cell r="BM9" t="str">
            <v>---</v>
          </cell>
          <cell r="BN9">
            <v>2015</v>
          </cell>
          <cell r="BO9" t="str">
            <v>---</v>
          </cell>
          <cell r="BP9" t="str">
            <v>---</v>
          </cell>
          <cell r="BQ9" t="str">
            <v>---</v>
          </cell>
          <cell r="BR9">
            <v>2010</v>
          </cell>
          <cell r="BS9" t="str">
            <v>---</v>
          </cell>
          <cell r="BT9" t="str">
            <v>---</v>
          </cell>
          <cell r="BU9" t="str">
            <v>---</v>
          </cell>
          <cell r="BV9">
            <v>2014</v>
          </cell>
          <cell r="BW9" t="str">
            <v>---</v>
          </cell>
          <cell r="BX9" t="str">
            <v>---</v>
          </cell>
          <cell r="BY9" t="str">
            <v>---</v>
          </cell>
          <cell r="BZ9">
            <v>2023</v>
          </cell>
          <cell r="CA9" t="str">
            <v>---</v>
          </cell>
          <cell r="CB9" t="str">
            <v>---</v>
          </cell>
          <cell r="CC9" t="str">
            <v>---</v>
          </cell>
          <cell r="CD9">
            <v>2010</v>
          </cell>
          <cell r="CE9" t="str">
            <v>---</v>
          </cell>
          <cell r="CF9" t="str">
            <v>---</v>
          </cell>
          <cell r="CG9" t="str">
            <v>---</v>
          </cell>
          <cell r="CH9">
            <v>2010</v>
          </cell>
          <cell r="CI9" t="str">
            <v>---</v>
          </cell>
          <cell r="CJ9" t="str">
            <v>---</v>
          </cell>
          <cell r="CK9" t="str">
            <v>---</v>
          </cell>
          <cell r="CL9">
            <v>2020</v>
          </cell>
          <cell r="CM9" t="str">
            <v>---</v>
          </cell>
          <cell r="CN9" t="str">
            <v>---</v>
          </cell>
          <cell r="CO9" t="str">
            <v>---</v>
          </cell>
          <cell r="CP9">
            <v>2010</v>
          </cell>
          <cell r="CQ9" t="str">
            <v>---</v>
          </cell>
          <cell r="CR9" t="str">
            <v>---</v>
          </cell>
          <cell r="CS9" t="str">
            <v>---</v>
          </cell>
          <cell r="CT9">
            <v>2021</v>
          </cell>
          <cell r="CU9" t="str">
            <v>---</v>
          </cell>
          <cell r="CV9" t="str">
            <v>---</v>
          </cell>
          <cell r="CW9" t="str">
            <v>---</v>
          </cell>
          <cell r="CX9">
            <v>2020</v>
          </cell>
          <cell r="CY9" t="str">
            <v>---</v>
          </cell>
          <cell r="CZ9" t="str">
            <v>---</v>
          </cell>
          <cell r="DA9" t="str">
            <v>---</v>
          </cell>
          <cell r="DB9">
            <v>2016</v>
          </cell>
          <cell r="DC9" t="str">
            <v>---</v>
          </cell>
          <cell r="DD9" t="str">
            <v>---</v>
          </cell>
          <cell r="DE9" t="str">
            <v>---</v>
          </cell>
          <cell r="DF9">
            <v>2015</v>
          </cell>
          <cell r="DG9" t="str">
            <v>---</v>
          </cell>
          <cell r="DH9" t="str">
            <v>---</v>
          </cell>
          <cell r="DI9" t="str">
            <v>---</v>
          </cell>
          <cell r="DJ9">
            <v>2010</v>
          </cell>
          <cell r="DK9" t="str">
            <v>---</v>
          </cell>
          <cell r="DL9" t="str">
            <v>---</v>
          </cell>
          <cell r="DM9" t="str">
            <v>---</v>
          </cell>
          <cell r="DN9">
            <v>2015</v>
          </cell>
          <cell r="DO9" t="str">
            <v>---</v>
          </cell>
          <cell r="DP9" t="str">
            <v>---</v>
          </cell>
          <cell r="DQ9" t="str">
            <v>---</v>
          </cell>
          <cell r="DR9">
            <v>2010</v>
          </cell>
          <cell r="DS9" t="str">
            <v>---</v>
          </cell>
          <cell r="DT9" t="str">
            <v>---</v>
          </cell>
          <cell r="DU9" t="str">
            <v>---</v>
          </cell>
          <cell r="DV9">
            <v>2016</v>
          </cell>
          <cell r="DW9" t="str">
            <v>---</v>
          </cell>
          <cell r="DX9" t="str">
            <v>---</v>
          </cell>
          <cell r="DY9" t="str">
            <v>---</v>
          </cell>
          <cell r="DZ9">
            <v>2010</v>
          </cell>
          <cell r="EA9" t="str">
            <v>---</v>
          </cell>
          <cell r="EB9" t="str">
            <v>---</v>
          </cell>
          <cell r="EC9" t="str">
            <v>---</v>
          </cell>
          <cell r="ED9">
            <v>2010</v>
          </cell>
          <cell r="EE9" t="str">
            <v>---</v>
          </cell>
          <cell r="EF9" t="str">
            <v>---</v>
          </cell>
          <cell r="EG9" t="str">
            <v>---</v>
          </cell>
          <cell r="EH9">
            <v>2010</v>
          </cell>
          <cell r="EI9" t="str">
            <v>---</v>
          </cell>
          <cell r="EJ9" t="str">
            <v>---</v>
          </cell>
          <cell r="EK9" t="str">
            <v>---</v>
          </cell>
          <cell r="EL9">
            <v>2010</v>
          </cell>
          <cell r="EM9" t="str">
            <v>---</v>
          </cell>
          <cell r="EN9" t="str">
            <v>---</v>
          </cell>
          <cell r="EO9" t="str">
            <v>---</v>
          </cell>
          <cell r="EP9">
            <v>2010</v>
          </cell>
          <cell r="EQ9" t="str">
            <v>---</v>
          </cell>
          <cell r="ER9" t="str">
            <v>---</v>
          </cell>
          <cell r="ES9" t="str">
            <v>---</v>
          </cell>
          <cell r="ET9">
            <v>2010</v>
          </cell>
          <cell r="EU9" t="str">
            <v>---</v>
          </cell>
          <cell r="EV9" t="str">
            <v>---</v>
          </cell>
          <cell r="EW9" t="str">
            <v>---</v>
          </cell>
          <cell r="EX9">
            <v>2015</v>
          </cell>
          <cell r="EY9" t="str">
            <v>---</v>
          </cell>
          <cell r="EZ9" t="str">
            <v>---</v>
          </cell>
          <cell r="FA9" t="str">
            <v>---</v>
          </cell>
          <cell r="FB9">
            <v>2015</v>
          </cell>
          <cell r="FC9" t="str">
            <v>---</v>
          </cell>
          <cell r="FD9" t="str">
            <v>---</v>
          </cell>
          <cell r="FE9" t="str">
            <v>---</v>
          </cell>
          <cell r="FF9">
            <v>2010</v>
          </cell>
          <cell r="FG9" t="str">
            <v>---</v>
          </cell>
          <cell r="FH9" t="str">
            <v>---</v>
          </cell>
          <cell r="FI9" t="str">
            <v>---</v>
          </cell>
          <cell r="FJ9">
            <v>2011</v>
          </cell>
          <cell r="FK9" t="str">
            <v>---</v>
          </cell>
          <cell r="FL9" t="str">
            <v>---</v>
          </cell>
          <cell r="FM9" t="str">
            <v>---</v>
          </cell>
          <cell r="FN9">
            <v>2110</v>
          </cell>
          <cell r="FO9" t="str">
            <v>---</v>
          </cell>
          <cell r="FP9" t="str">
            <v>---</v>
          </cell>
          <cell r="FQ9" t="str">
            <v>---</v>
          </cell>
          <cell r="FR9">
            <v>2014</v>
          </cell>
          <cell r="FS9" t="str">
            <v>---</v>
          </cell>
          <cell r="FT9" t="str">
            <v>---</v>
          </cell>
          <cell r="FU9" t="str">
            <v>---</v>
          </cell>
          <cell r="FV9">
            <v>2010</v>
          </cell>
          <cell r="FW9" t="str">
            <v>---</v>
          </cell>
          <cell r="FX9" t="str">
            <v>---</v>
          </cell>
          <cell r="FY9" t="str">
            <v>---</v>
          </cell>
          <cell r="FZ9">
            <v>2021</v>
          </cell>
          <cell r="GA9" t="str">
            <v>---</v>
          </cell>
          <cell r="GB9" t="str">
            <v>---</v>
          </cell>
          <cell r="GC9" t="str">
            <v>---</v>
          </cell>
          <cell r="GD9">
            <v>2014</v>
          </cell>
          <cell r="GE9" t="str">
            <v>---</v>
          </cell>
          <cell r="GF9" t="str">
            <v>---</v>
          </cell>
          <cell r="GG9" t="str">
            <v>---</v>
          </cell>
          <cell r="GH9">
            <v>2010</v>
          </cell>
          <cell r="GI9" t="str">
            <v>---</v>
          </cell>
          <cell r="GJ9" t="str">
            <v>---</v>
          </cell>
          <cell r="GK9" t="str">
            <v>---</v>
          </cell>
          <cell r="GL9">
            <v>2010</v>
          </cell>
          <cell r="GM9">
            <v>0</v>
          </cell>
          <cell r="GN9">
            <v>0</v>
          </cell>
          <cell r="GO9">
            <v>0</v>
          </cell>
          <cell r="GP9">
            <v>0</v>
          </cell>
        </row>
        <row r="10">
          <cell r="B10" t="str">
            <v>Standard Deviation</v>
          </cell>
          <cell r="C10">
            <v>61.456699106302999</v>
          </cell>
          <cell r="D10">
            <v>64.283912985535622</v>
          </cell>
          <cell r="E10">
            <v>19.29641102789121</v>
          </cell>
          <cell r="F10">
            <v>2.8737185419345193</v>
          </cell>
          <cell r="G10">
            <v>3235.9488110682232</v>
          </cell>
          <cell r="H10">
            <v>3497.8702830403413</v>
          </cell>
          <cell r="I10">
            <v>6200.0399438176364</v>
          </cell>
          <cell r="J10">
            <v>40.45709301686658</v>
          </cell>
          <cell r="K10">
            <v>58.326106268439418</v>
          </cell>
          <cell r="L10">
            <v>93.71501502252471</v>
          </cell>
          <cell r="M10">
            <v>65.598272946243696</v>
          </cell>
          <cell r="N10">
            <v>1.4149211999266964</v>
          </cell>
          <cell r="O10">
            <v>1525.6053672897208</v>
          </cell>
          <cell r="P10">
            <v>1639.0492908227784</v>
          </cell>
          <cell r="Q10">
            <v>771.35872103286226</v>
          </cell>
          <cell r="R10">
            <v>5.769166602143093</v>
          </cell>
          <cell r="S10">
            <v>106.03294018317787</v>
          </cell>
          <cell r="T10">
            <v>117.60661860035979</v>
          </cell>
          <cell r="U10">
            <v>46.184133451030277</v>
          </cell>
          <cell r="V10">
            <v>2.2919956902761149</v>
          </cell>
          <cell r="W10">
            <v>1703.8957448600038</v>
          </cell>
          <cell r="X10">
            <v>1742.0803616696303</v>
          </cell>
          <cell r="Y10">
            <v>233.70726929368223</v>
          </cell>
          <cell r="Z10">
            <v>1.0005003753127737</v>
          </cell>
          <cell r="AA10">
            <v>1284.5061206035564</v>
          </cell>
          <cell r="AB10">
            <v>1451.2082107549106</v>
          </cell>
          <cell r="AC10">
            <v>914.36025211676781</v>
          </cell>
          <cell r="AD10">
            <v>5.769166602143093</v>
          </cell>
          <cell r="AE10">
            <v>102.77832989193625</v>
          </cell>
          <cell r="AF10">
            <v>115.60712061683137</v>
          </cell>
          <cell r="AG10">
            <v>47.040452796045713</v>
          </cell>
          <cell r="AH10">
            <v>1.9316395189660251</v>
          </cell>
          <cell r="AI10">
            <v>258.57088662630736</v>
          </cell>
          <cell r="AJ10">
            <v>262.71681862136251</v>
          </cell>
          <cell r="AK10">
            <v>65.83966853992456</v>
          </cell>
          <cell r="AL10">
            <v>3.3073310143434451</v>
          </cell>
          <cell r="AM10">
            <v>22.741480880908529</v>
          </cell>
          <cell r="AN10">
            <v>23.827362579996922</v>
          </cell>
          <cell r="AO10">
            <v>9.2185195561224855</v>
          </cell>
          <cell r="AP10">
            <v>1.3235375898521931</v>
          </cell>
          <cell r="AQ10">
            <v>538.44273799802295</v>
          </cell>
          <cell r="AR10">
            <v>540.57456663138873</v>
          </cell>
          <cell r="AS10">
            <v>67.122611257228513</v>
          </cell>
          <cell r="AT10">
            <v>1.4149211999266964</v>
          </cell>
          <cell r="AU10">
            <v>64.776539075914513</v>
          </cell>
          <cell r="AV10">
            <v>69.962720710426311</v>
          </cell>
          <cell r="AW10">
            <v>27.203975458821596</v>
          </cell>
          <cell r="AX10">
            <v>2.8737185419345193</v>
          </cell>
          <cell r="AY10">
            <v>106.08383345730248</v>
          </cell>
          <cell r="AZ10">
            <v>125.65399158416467</v>
          </cell>
          <cell r="BA10">
            <v>91.508985868236678</v>
          </cell>
          <cell r="BB10">
            <v>3.3073310143434451</v>
          </cell>
          <cell r="BC10">
            <v>105.98209921397257</v>
          </cell>
          <cell r="BD10">
            <v>130.2902173576164</v>
          </cell>
          <cell r="BE10">
            <v>82.117189157359277</v>
          </cell>
          <cell r="BF10">
            <v>3.1969079155052582</v>
          </cell>
          <cell r="BG10">
            <v>699.55033154585476</v>
          </cell>
          <cell r="BH10">
            <v>834.46581464717326</v>
          </cell>
          <cell r="BI10">
            <v>430.19093835775152</v>
          </cell>
          <cell r="BJ10">
            <v>3.4204092151669805</v>
          </cell>
          <cell r="BK10">
            <v>42.261873545905651</v>
          </cell>
          <cell r="BL10">
            <v>43.742859131423032</v>
          </cell>
          <cell r="BM10">
            <v>11.633377398643878</v>
          </cell>
          <cell r="BN10">
            <v>1.4149211999266964</v>
          </cell>
          <cell r="BO10">
            <v>140.14233835649864</v>
          </cell>
          <cell r="BP10">
            <v>226.69106570245728</v>
          </cell>
          <cell r="BQ10">
            <v>147.14945533865318</v>
          </cell>
          <cell r="BR10">
            <v>0</v>
          </cell>
          <cell r="BS10">
            <v>17.322438221743745</v>
          </cell>
          <cell r="BT10">
            <v>20.143824307452672</v>
          </cell>
          <cell r="BU10">
            <v>9.0979230736836367</v>
          </cell>
          <cell r="BV10">
            <v>1.3235375898521931</v>
          </cell>
          <cell r="BW10">
            <v>292.21500201491153</v>
          </cell>
          <cell r="BX10">
            <v>292.9219351249854</v>
          </cell>
          <cell r="BY10">
            <v>12.127131060861155</v>
          </cell>
          <cell r="BZ10">
            <v>4.1234444089612934</v>
          </cell>
          <cell r="CA10">
            <v>1376.7977016839423</v>
          </cell>
          <cell r="CB10">
            <v>1501.3869454223054</v>
          </cell>
          <cell r="CC10">
            <v>479.02793420407102</v>
          </cell>
          <cell r="CD10">
            <v>5.769166602143093</v>
          </cell>
          <cell r="CE10">
            <v>1459.0746575489386</v>
          </cell>
          <cell r="CF10">
            <v>1563.2062713382788</v>
          </cell>
          <cell r="CG10">
            <v>697.19186785602278</v>
          </cell>
          <cell r="CH10">
            <v>5.769166602143093</v>
          </cell>
          <cell r="CI10">
            <v>7240.7647893040585</v>
          </cell>
          <cell r="CJ10">
            <v>7252.9579201035385</v>
          </cell>
          <cell r="CK10">
            <v>285.21181289886232</v>
          </cell>
          <cell r="CL10">
            <v>1.0005003753127737</v>
          </cell>
          <cell r="CM10">
            <v>791.12835202858366</v>
          </cell>
          <cell r="CN10">
            <v>967.32968292892849</v>
          </cell>
          <cell r="CO10">
            <v>773.43491848848976</v>
          </cell>
          <cell r="CP10">
            <v>5.769166602143093</v>
          </cell>
          <cell r="CQ10">
            <v>306.41052315821611</v>
          </cell>
          <cell r="CR10">
            <v>481.99391967080442</v>
          </cell>
          <cell r="CS10">
            <v>409.74414426960635</v>
          </cell>
          <cell r="CT10">
            <v>3.3073310143434451</v>
          </cell>
          <cell r="CU10">
            <v>574.93412148048606</v>
          </cell>
          <cell r="CV10">
            <v>576.61229927046986</v>
          </cell>
          <cell r="CW10">
            <v>42.185971586877123</v>
          </cell>
          <cell r="CX10">
            <v>4.9605450312447577</v>
          </cell>
          <cell r="CY10">
            <v>1900.7844429920262</v>
          </cell>
          <cell r="CZ10">
            <v>1909.4669233815266</v>
          </cell>
          <cell r="DA10">
            <v>145.06094426120643</v>
          </cell>
          <cell r="DB10">
            <v>2.3335478236893379</v>
          </cell>
          <cell r="DC10">
            <v>50.469824236179583</v>
          </cell>
          <cell r="DD10">
            <v>82.809906647466846</v>
          </cell>
          <cell r="DE10">
            <v>91.075416679989345</v>
          </cell>
          <cell r="DF10">
            <v>2.8737185419345193</v>
          </cell>
          <cell r="DG10">
            <v>78.616077825038857</v>
          </cell>
          <cell r="DH10">
            <v>95.119893049922297</v>
          </cell>
          <cell r="DI10">
            <v>49.950447561333412</v>
          </cell>
          <cell r="DJ10">
            <v>1.9316395189660251</v>
          </cell>
          <cell r="DK10">
            <v>15.092717015090702</v>
          </cell>
          <cell r="DL10">
            <v>15.248453817671413</v>
          </cell>
          <cell r="DM10">
            <v>14.120588387143293</v>
          </cell>
          <cell r="DN10">
            <v>2.8737185419345193</v>
          </cell>
          <cell r="DO10">
            <v>1167.6522573841648</v>
          </cell>
          <cell r="DP10">
            <v>1169.1779680641675</v>
          </cell>
          <cell r="DQ10">
            <v>30.402170484758926</v>
          </cell>
          <cell r="DR10">
            <v>5.769166602143093</v>
          </cell>
          <cell r="DS10">
            <v>65.370663101309063</v>
          </cell>
          <cell r="DT10">
            <v>70.871977417570591</v>
          </cell>
          <cell r="DU10">
            <v>49.548308337673795</v>
          </cell>
          <cell r="DV10">
            <v>2.3335478236893379</v>
          </cell>
          <cell r="DW10">
            <v>100.77762802471133</v>
          </cell>
          <cell r="DX10">
            <v>106.51782682731934</v>
          </cell>
          <cell r="DY10">
            <v>31.542036742520839</v>
          </cell>
          <cell r="DZ10">
            <v>1.4149211999266964</v>
          </cell>
          <cell r="EA10">
            <v>92.551980593390184</v>
          </cell>
          <cell r="EB10">
            <v>102.09147557060021</v>
          </cell>
          <cell r="EC10">
            <v>40.250189672283867</v>
          </cell>
          <cell r="ED10">
            <v>3.4204092151669805</v>
          </cell>
          <cell r="EE10">
            <v>51.963567933545626</v>
          </cell>
          <cell r="EF10">
            <v>83.509828423628349</v>
          </cell>
          <cell r="EG10">
            <v>60.942460895278522</v>
          </cell>
          <cell r="EH10">
            <v>1.4149211999266964</v>
          </cell>
          <cell r="EI10">
            <v>1405.1236987597968</v>
          </cell>
          <cell r="EJ10">
            <v>1505.1816446440689</v>
          </cell>
          <cell r="EK10">
            <v>697.66441200599456</v>
          </cell>
          <cell r="EL10">
            <v>5.769166602143093</v>
          </cell>
          <cell r="EM10">
            <v>77.920386998780643</v>
          </cell>
          <cell r="EN10">
            <v>76.345192458340762</v>
          </cell>
          <cell r="EO10">
            <v>9.7945461488957992</v>
          </cell>
          <cell r="EP10">
            <v>2.41317703938673</v>
          </cell>
          <cell r="EQ10">
            <v>45.292282595238426</v>
          </cell>
          <cell r="ER10">
            <v>51.263368532962815</v>
          </cell>
          <cell r="ES10">
            <v>49.973043099674811</v>
          </cell>
          <cell r="ET10">
            <v>5.769166602143093</v>
          </cell>
          <cell r="EU10">
            <v>147.0873431568528</v>
          </cell>
          <cell r="EV10">
            <v>152.5377391217354</v>
          </cell>
          <cell r="EW10">
            <v>37.763509423244507</v>
          </cell>
          <cell r="EX10">
            <v>2.41317703938673</v>
          </cell>
          <cell r="EY10">
            <v>149.64972946785767</v>
          </cell>
          <cell r="EZ10">
            <v>157.51435668219975</v>
          </cell>
          <cell r="FA10">
            <v>50.767664798332973</v>
          </cell>
          <cell r="FB10">
            <v>2.41317703938673</v>
          </cell>
          <cell r="FC10">
            <v>2329.0271473452176</v>
          </cell>
          <cell r="FD10">
            <v>2333.0192723983964</v>
          </cell>
          <cell r="FE10">
            <v>71.130625867759221</v>
          </cell>
          <cell r="FF10">
            <v>4.7992742194037064</v>
          </cell>
          <cell r="FG10">
            <v>1649.3769660599926</v>
          </cell>
          <cell r="FH10">
            <v>1751.3209630360236</v>
          </cell>
          <cell r="FI10">
            <v>293.29500188135097</v>
          </cell>
          <cell r="FJ10">
            <v>0.77498425829212858</v>
          </cell>
          <cell r="FK10">
            <v>2915.3453966677903</v>
          </cell>
          <cell r="FL10">
            <v>2418.7005964266818</v>
          </cell>
          <cell r="FM10">
            <v>2601.1627554850916</v>
          </cell>
          <cell r="FN10">
            <v>33.831709749650301</v>
          </cell>
          <cell r="FO10">
            <v>16.182786212723052</v>
          </cell>
          <cell r="FP10">
            <v>19.206331907644664</v>
          </cell>
          <cell r="FQ10">
            <v>9.1406952167804789</v>
          </cell>
          <cell r="FR10">
            <v>1.3235375898521931</v>
          </cell>
          <cell r="FS10">
            <v>79.534515856979468</v>
          </cell>
          <cell r="FT10">
            <v>100.09085910762091</v>
          </cell>
          <cell r="FU10">
            <v>55.53108152490806</v>
          </cell>
          <cell r="FV10">
            <v>1.9316395189660251</v>
          </cell>
          <cell r="FW10">
            <v>78.676256167290688</v>
          </cell>
          <cell r="FX10">
            <v>92.554636482314507</v>
          </cell>
          <cell r="FY10">
            <v>74.374972441253135</v>
          </cell>
          <cell r="FZ10">
            <v>3.3073310143434451</v>
          </cell>
          <cell r="GA10">
            <v>100.47556255712294</v>
          </cell>
          <cell r="GB10">
            <v>152.54058240548508</v>
          </cell>
          <cell r="GC10">
            <v>120.82354578463639</v>
          </cell>
          <cell r="GD10">
            <v>3.1969079155052582</v>
          </cell>
          <cell r="GE10">
            <v>899.94333872937148</v>
          </cell>
          <cell r="GF10">
            <v>961.18852019376254</v>
          </cell>
          <cell r="GG10">
            <v>301.94078539541846</v>
          </cell>
          <cell r="GH10">
            <v>3.4204092151669805</v>
          </cell>
          <cell r="GI10">
            <v>73.647261896364697</v>
          </cell>
          <cell r="GJ10">
            <v>71.559519921176488</v>
          </cell>
          <cell r="GK10">
            <v>24.331801132335983</v>
          </cell>
          <cell r="GL10">
            <v>2.41317703938673</v>
          </cell>
          <cell r="GM10">
            <v>0</v>
          </cell>
          <cell r="GN10">
            <v>0</v>
          </cell>
          <cell r="GO10">
            <v>0</v>
          </cell>
          <cell r="GP10">
            <v>0</v>
          </cell>
        </row>
        <row r="11">
          <cell r="B11" t="str">
            <v>Variance</v>
          </cell>
          <cell r="C11">
            <v>3776.9258650426641</v>
          </cell>
          <cell r="D11">
            <v>4132.4214687319154</v>
          </cell>
          <cell r="E11">
            <v>372.35147855732151</v>
          </cell>
          <cell r="F11">
            <v>8.2582582582582589</v>
          </cell>
          <cell r="G11">
            <v>10471364.707853848</v>
          </cell>
          <cell r="H11">
            <v>12235096.516976718</v>
          </cell>
          <cell r="I11">
            <v>38440495.304934196</v>
          </cell>
          <cell r="J11">
            <v>1636.7763753753943</v>
          </cell>
          <cell r="K11">
            <v>3401.9346724372881</v>
          </cell>
          <cell r="L11">
            <v>8782.5040406720327</v>
          </cell>
          <cell r="M11">
            <v>4303.1334135298875</v>
          </cell>
          <cell r="N11">
            <v>2.0020020020020022</v>
          </cell>
          <cell r="O11">
            <v>2327471.736703204</v>
          </cell>
          <cell r="P11">
            <v>2686482.5777466525</v>
          </cell>
          <cell r="Q11">
            <v>594994.27651345311</v>
          </cell>
          <cell r="R11">
            <v>33.283283283283282</v>
          </cell>
          <cell r="S11">
            <v>11242.984403889375</v>
          </cell>
          <cell r="T11">
            <v>13831.316738610496</v>
          </cell>
          <cell r="U11">
            <v>2132.9741826225741</v>
          </cell>
          <cell r="V11">
            <v>5.2532442442442839</v>
          </cell>
          <cell r="W11">
            <v>2903260.7093520272</v>
          </cell>
          <cell r="X11">
            <v>3034843.9865149898</v>
          </cell>
          <cell r="Y11">
            <v>54619.087720709707</v>
          </cell>
          <cell r="Z11">
            <v>1.0010010010010011</v>
          </cell>
          <cell r="AA11">
            <v>1649955.973867998</v>
          </cell>
          <cell r="AB11">
            <v>2106005.2709624688</v>
          </cell>
          <cell r="AC11">
            <v>836054.67065103923</v>
          </cell>
          <cell r="AD11">
            <v>33.283283283283282</v>
          </cell>
          <cell r="AE11">
            <v>10563.385095375676</v>
          </cell>
          <cell r="AF11">
            <v>13365.006337314597</v>
          </cell>
          <cell r="AG11">
            <v>2212.8041992570052</v>
          </cell>
          <cell r="AH11">
            <v>3.731231231231297</v>
          </cell>
          <cell r="AI11">
            <v>66858.903410714687</v>
          </cell>
          <cell r="AJ11">
            <v>69020.126786529872</v>
          </cell>
          <cell r="AK11">
            <v>4334.8619534471318</v>
          </cell>
          <cell r="AL11">
            <v>10.938438438438043</v>
          </cell>
          <cell r="AM11">
            <v>517.17495265672824</v>
          </cell>
          <cell r="AN11">
            <v>567.74320751863752</v>
          </cell>
          <cell r="AO11">
            <v>84.981102806612697</v>
          </cell>
          <cell r="AP11">
            <v>1.7517517517517518</v>
          </cell>
          <cell r="AQ11">
            <v>289920.58210280759</v>
          </cell>
          <cell r="AR11">
            <v>292220.86208871368</v>
          </cell>
          <cell r="AS11">
            <v>4505.4449419890207</v>
          </cell>
          <cell r="AT11">
            <v>2.0020020020020022</v>
          </cell>
          <cell r="AU11">
            <v>4196.0000146534803</v>
          </cell>
          <cell r="AV11">
            <v>4894.7822892051145</v>
          </cell>
          <cell r="AW11">
            <v>740.0562807641677</v>
          </cell>
          <cell r="AX11">
            <v>8.2582582582582589</v>
          </cell>
          <cell r="AY11">
            <v>11253.779720996687</v>
          </cell>
          <cell r="AZ11">
            <v>15788.925601033325</v>
          </cell>
          <cell r="BA11">
            <v>8373.8944946331394</v>
          </cell>
          <cell r="BB11">
            <v>10.938438438438043</v>
          </cell>
          <cell r="BC11">
            <v>11232.205353800326</v>
          </cell>
          <cell r="BD11">
            <v>16975.540739094926</v>
          </cell>
          <cell r="BE11">
            <v>6743.2327551055241</v>
          </cell>
          <cell r="BF11">
            <v>10.220220220220176</v>
          </cell>
          <cell r="BG11">
            <v>489370.66636591539</v>
          </cell>
          <cell r="BH11">
            <v>696333.19581477053</v>
          </cell>
          <cell r="BI11">
            <v>185064.24344512279</v>
          </cell>
          <cell r="BJ11">
            <v>11.699199199199199</v>
          </cell>
          <cell r="BK11">
            <v>1786.06595561012</v>
          </cell>
          <cell r="BL11">
            <v>1913.4377249915192</v>
          </cell>
          <cell r="BM11">
            <v>135.33546969927821</v>
          </cell>
          <cell r="BN11">
            <v>2.0020020020020022</v>
          </cell>
          <cell r="BO11">
            <v>19639.87500002735</v>
          </cell>
          <cell r="BP11">
            <v>51388.839269315802</v>
          </cell>
          <cell r="BQ11">
            <v>21652.962206462289</v>
          </cell>
          <cell r="BR11">
            <v>0</v>
          </cell>
          <cell r="BS11">
            <v>300.06686594612864</v>
          </cell>
          <cell r="BT11">
            <v>405.77365772952106</v>
          </cell>
          <cell r="BU11">
            <v>82.772204254665098</v>
          </cell>
          <cell r="BV11">
            <v>1.7517517517517518</v>
          </cell>
          <cell r="BW11">
            <v>85389.607402574751</v>
          </cell>
          <cell r="BX11">
            <v>85803.260077366154</v>
          </cell>
          <cell r="BY11">
            <v>147.06730776730339</v>
          </cell>
          <cell r="BZ11">
            <v>17.002793793794147</v>
          </cell>
          <cell r="CA11">
            <v>1895571.9113621858</v>
          </cell>
          <cell r="CB11">
            <v>2254162.7598845204</v>
          </cell>
          <cell r="CC11">
            <v>229467.76174781981</v>
          </cell>
          <cell r="CD11">
            <v>33.283283283283282</v>
          </cell>
          <cell r="CE11">
            <v>2128898.8563015526</v>
          </cell>
          <cell r="CF11">
            <v>2443613.8467513244</v>
          </cell>
          <cell r="CG11">
            <v>486076.50060456985</v>
          </cell>
          <cell r="CH11">
            <v>33.283283283283282</v>
          </cell>
          <cell r="CI11">
            <v>52428674.734025449</v>
          </cell>
          <cell r="CJ11">
            <v>52605398.590792648</v>
          </cell>
          <cell r="CK11">
            <v>81345.778217055646</v>
          </cell>
          <cell r="CL11">
            <v>1.0010010010010011</v>
          </cell>
          <cell r="CM11">
            <v>625884.06938346266</v>
          </cell>
          <cell r="CN11">
            <v>935726.71547538135</v>
          </cell>
          <cell r="CO11">
            <v>598201.57313729671</v>
          </cell>
          <cell r="CP11">
            <v>33.283283283283282</v>
          </cell>
          <cell r="CQ11">
            <v>93887.408702091707</v>
          </cell>
          <cell r="CR11">
            <v>232318.13859962585</v>
          </cell>
          <cell r="CS11">
            <v>167890.26376323198</v>
          </cell>
          <cell r="CT11">
            <v>10.938438438438043</v>
          </cell>
          <cell r="CU11">
            <v>330549.24404253828</v>
          </cell>
          <cell r="CV11">
            <v>332481.74366997788</v>
          </cell>
          <cell r="CW11">
            <v>1779.6561987288037</v>
          </cell>
          <cell r="CX11">
            <v>24.607007007007052</v>
          </cell>
          <cell r="CY11">
            <v>3612981.4987205076</v>
          </cell>
          <cell r="CZ11">
            <v>3646063.9314881125</v>
          </cell>
          <cell r="DA11">
            <v>21042.677549952838</v>
          </cell>
          <cell r="DB11">
            <v>5.4454454454452454</v>
          </cell>
          <cell r="DC11">
            <v>2547.2031584308597</v>
          </cell>
          <cell r="DD11">
            <v>6857.4806389621726</v>
          </cell>
          <cell r="DE11">
            <v>8294.7315234336802</v>
          </cell>
          <cell r="DF11">
            <v>8.2582582582582589</v>
          </cell>
          <cell r="DG11">
            <v>6180.4876925925655</v>
          </cell>
          <cell r="DH11">
            <v>9047.7940538286566</v>
          </cell>
          <cell r="DI11">
            <v>2495.0472115775192</v>
          </cell>
          <cell r="DJ11">
            <v>3.731231231231297</v>
          </cell>
          <cell r="DK11">
            <v>227.79010689760838</v>
          </cell>
          <cell r="DL11">
            <v>232.51534382965787</v>
          </cell>
          <cell r="DM11">
            <v>199.39101639912602</v>
          </cell>
          <cell r="DN11">
            <v>8.2582582582582589</v>
          </cell>
          <cell r="DO11">
            <v>1363411.7941743359</v>
          </cell>
          <cell r="DP11">
            <v>1366977.1210066555</v>
          </cell>
          <cell r="DQ11">
            <v>924.29197018434672</v>
          </cell>
          <cell r="DR11">
            <v>33.283283283283282</v>
          </cell>
          <cell r="DS11">
            <v>4273.3235943048503</v>
          </cell>
          <cell r="DT11">
            <v>5022.8371830766355</v>
          </cell>
          <cell r="DU11">
            <v>2455.0348591251945</v>
          </cell>
          <cell r="DV11">
            <v>5.4454454454452454</v>
          </cell>
          <cell r="DW11">
            <v>10156.130310287082</v>
          </cell>
          <cell r="DX11">
            <v>11346.047432014791</v>
          </cell>
          <cell r="DY11">
            <v>994.90008186653472</v>
          </cell>
          <cell r="DZ11">
            <v>2.0020020020020022</v>
          </cell>
          <cell r="EA11">
            <v>8565.8691117592734</v>
          </cell>
          <cell r="EB11">
            <v>10422.66938418246</v>
          </cell>
          <cell r="EC11">
            <v>1620.0777686548267</v>
          </cell>
          <cell r="ED11">
            <v>11.699199199199199</v>
          </cell>
          <cell r="EE11">
            <v>2700.2123923842109</v>
          </cell>
          <cell r="EF11">
            <v>6973.8914433438458</v>
          </cell>
          <cell r="EG11">
            <v>3713.9835399725521</v>
          </cell>
          <cell r="EH11">
            <v>2.0020020020020022</v>
          </cell>
          <cell r="EI11">
            <v>1974372.6088164118</v>
          </cell>
          <cell r="EJ11">
            <v>2265571.7833734243</v>
          </cell>
          <cell r="EK11">
            <v>486735.63177967013</v>
          </cell>
          <cell r="EL11">
            <v>33.283283283283282</v>
          </cell>
          <cell r="EM11">
            <v>6071.5867100397436</v>
          </cell>
          <cell r="EN11">
            <v>5828.5884115010922</v>
          </cell>
          <cell r="EO11">
            <v>95.933134262849521</v>
          </cell>
          <cell r="EP11">
            <v>5.8234234234233044</v>
          </cell>
          <cell r="EQ11">
            <v>2051.3908626869375</v>
          </cell>
          <cell r="ER11">
            <v>2627.932953346362</v>
          </cell>
          <cell r="ES11">
            <v>2497.3050366419561</v>
          </cell>
          <cell r="ET11">
            <v>33.283283283283282</v>
          </cell>
          <cell r="EU11">
            <v>21634.686516941769</v>
          </cell>
          <cell r="EV11">
            <v>23267.761856370602</v>
          </cell>
          <cell r="EW11">
            <v>1426.0826439594766</v>
          </cell>
          <cell r="EX11">
            <v>5.8234234234233044</v>
          </cell>
          <cell r="EY11">
            <v>22395.041529802991</v>
          </cell>
          <cell r="EZ11">
            <v>24810.772561007241</v>
          </cell>
          <cell r="FA11">
            <v>2577.3557890758966</v>
          </cell>
          <cell r="FB11">
            <v>5.8234234234233044</v>
          </cell>
          <cell r="FC11">
            <v>5424367.453071001</v>
          </cell>
          <cell r="FD11">
            <v>5442978.9253823431</v>
          </cell>
          <cell r="FE11">
            <v>5059.5659363391378</v>
          </cell>
          <cell r="FF11">
            <v>23.033033033033057</v>
          </cell>
          <cell r="FG11">
            <v>2720444.3761692662</v>
          </cell>
          <cell r="FH11">
            <v>3067125.1155694253</v>
          </cell>
          <cell r="FI11">
            <v>86021.958128581653</v>
          </cell>
          <cell r="FJ11">
            <v>0.60060060060060061</v>
          </cell>
          <cell r="FK11">
            <v>8499238.7818720751</v>
          </cell>
          <cell r="FL11">
            <v>5850112.575154786</v>
          </cell>
          <cell r="FM11">
            <v>6766047.6805227939</v>
          </cell>
          <cell r="FN11">
            <v>1144.5845845845834</v>
          </cell>
          <cell r="FO11">
            <v>261.88256960669929</v>
          </cell>
          <cell r="FP11">
            <v>368.88318534660954</v>
          </cell>
          <cell r="FQ11">
            <v>83.552309046073532</v>
          </cell>
          <cell r="FR11">
            <v>1.7517517517517518</v>
          </cell>
          <cell r="FS11">
            <v>6325.7392126041177</v>
          </cell>
          <cell r="FT11">
            <v>10018.180076901621</v>
          </cell>
          <cell r="FU11">
            <v>3083.7010153259853</v>
          </cell>
          <cell r="FV11">
            <v>3.731231231231297</v>
          </cell>
          <cell r="FW11">
            <v>6189.9532845011454</v>
          </cell>
          <cell r="FX11">
            <v>8566.3607343733838</v>
          </cell>
          <cell r="FY11">
            <v>5531.6365256371637</v>
          </cell>
          <cell r="FZ11">
            <v>10.938438438438043</v>
          </cell>
          <cell r="GA11">
            <v>10095.338671170326</v>
          </cell>
          <cell r="GB11">
            <v>23268.629280604589</v>
          </cell>
          <cell r="GC11">
            <v>14598.329215972128</v>
          </cell>
          <cell r="GD11">
            <v>10.220220220220176</v>
          </cell>
          <cell r="GE11">
            <v>809898.01292336825</v>
          </cell>
          <cell r="GF11">
            <v>923883.37135227502</v>
          </cell>
          <cell r="GG11">
            <v>91168.237885202136</v>
          </cell>
          <cell r="GH11">
            <v>11.699199199199199</v>
          </cell>
          <cell r="GI11">
            <v>5423.9191848317314</v>
          </cell>
          <cell r="GJ11">
            <v>5120.7648913492549</v>
          </cell>
          <cell r="GK11">
            <v>592.03654634354666</v>
          </cell>
          <cell r="GL11">
            <v>5.8234234234233044</v>
          </cell>
          <cell r="GM11">
            <v>0</v>
          </cell>
          <cell r="GN11">
            <v>0</v>
          </cell>
          <cell r="GO11">
            <v>0</v>
          </cell>
          <cell r="GP11">
            <v>0</v>
          </cell>
        </row>
        <row r="12">
          <cell r="B12" t="str">
            <v>Skewness</v>
          </cell>
          <cell r="C12">
            <v>8.7535275784657682E-2</v>
          </cell>
          <cell r="D12">
            <v>7.2765336611977607E-2</v>
          </cell>
          <cell r="E12">
            <v>7.5941089411510704E-2</v>
          </cell>
          <cell r="F12">
            <v>2.3980817331903381E-17</v>
          </cell>
          <cell r="G12">
            <v>1.5354110544950481</v>
          </cell>
          <cell r="H12">
            <v>0.60933362239132105</v>
          </cell>
          <cell r="I12">
            <v>0.43673414544285055</v>
          </cell>
          <cell r="J12">
            <v>0.26146501729615618</v>
          </cell>
          <cell r="K12">
            <v>0.11493391585653424</v>
          </cell>
          <cell r="L12">
            <v>0.12114086555718245</v>
          </cell>
          <cell r="M12">
            <v>2.2145750632306397E-2</v>
          </cell>
          <cell r="N12">
            <v>-8.0824236192711394E-17</v>
          </cell>
          <cell r="O12">
            <v>0.25884801269394264</v>
          </cell>
          <cell r="P12">
            <v>0.30754432482574512</v>
          </cell>
          <cell r="Q12">
            <v>0.78631157296041154</v>
          </cell>
          <cell r="R12">
            <v>-7.105427357601002E-18</v>
          </cell>
          <cell r="S12">
            <v>3.1460849625031866E-2</v>
          </cell>
          <cell r="T12">
            <v>4.6629806702155843E-2</v>
          </cell>
          <cell r="U12">
            <v>0.12879972965804373</v>
          </cell>
          <cell r="V12">
            <v>-2.8668496271657493E-3</v>
          </cell>
          <cell r="W12">
            <v>5.2213152193964676E-2</v>
          </cell>
          <cell r="X12">
            <v>6.3801487419404251E-2</v>
          </cell>
          <cell r="Y12">
            <v>0.44533080399415531</v>
          </cell>
          <cell r="Z12">
            <v>-0.59910022503750315</v>
          </cell>
          <cell r="AA12">
            <v>0.11611563199968467</v>
          </cell>
          <cell r="AB12">
            <v>0.16663891127175956</v>
          </cell>
          <cell r="AC12">
            <v>0.25213369585584383</v>
          </cell>
          <cell r="AD12">
            <v>-7.105427357601002E-18</v>
          </cell>
          <cell r="AE12">
            <v>-0.32779883822028077</v>
          </cell>
          <cell r="AF12">
            <v>-0.18268233238472373</v>
          </cell>
          <cell r="AG12">
            <v>0.23561675419733075</v>
          </cell>
          <cell r="AH12">
            <v>4.5890375042061879E-2</v>
          </cell>
          <cell r="AI12">
            <v>-7.3077618494583061E-3</v>
          </cell>
          <cell r="AJ12">
            <v>1.1381582576506158E-2</v>
          </cell>
          <cell r="AK12">
            <v>-2.3208059781918668E-2</v>
          </cell>
          <cell r="AL12">
            <v>-0.41278256496012805</v>
          </cell>
          <cell r="AM12">
            <v>-0.30401934126722374</v>
          </cell>
          <cell r="AN12">
            <v>-0.22704278385451238</v>
          </cell>
          <cell r="AO12">
            <v>9.4391473310852833E-2</v>
          </cell>
          <cell r="AP12">
            <v>-0.45287720167202172</v>
          </cell>
          <cell r="AQ12">
            <v>-4.5882718720843766E-3</v>
          </cell>
          <cell r="AR12">
            <v>-2.5739259582706247E-3</v>
          </cell>
          <cell r="AS12">
            <v>0.34851611889797329</v>
          </cell>
          <cell r="AT12">
            <v>-8.0824236192711394E-17</v>
          </cell>
          <cell r="AU12">
            <v>8.6350503796008726E-2</v>
          </cell>
          <cell r="AV12">
            <v>9.8294822214765959E-2</v>
          </cell>
          <cell r="AW12">
            <v>0.13810155473355751</v>
          </cell>
          <cell r="AX12">
            <v>2.3980817331903381E-17</v>
          </cell>
          <cell r="AY12">
            <v>0.18779432324154044</v>
          </cell>
          <cell r="AZ12">
            <v>0.24257681581853241</v>
          </cell>
          <cell r="BA12">
            <v>4.1342122554482288E-2</v>
          </cell>
          <cell r="BB12">
            <v>-0.41278256496012805</v>
          </cell>
          <cell r="BC12">
            <v>0.23481817006854311</v>
          </cell>
          <cell r="BD12">
            <v>0.25723600027975269</v>
          </cell>
          <cell r="BE12">
            <v>2.8296851142591246E-2</v>
          </cell>
          <cell r="BF12">
            <v>-0.28206687385950185</v>
          </cell>
          <cell r="BG12">
            <v>-0.21968903739634804</v>
          </cell>
          <cell r="BH12">
            <v>-0.26987471300708449</v>
          </cell>
          <cell r="BI12">
            <v>0.86646487206962364</v>
          </cell>
          <cell r="BJ12">
            <v>0.85044003748962405</v>
          </cell>
          <cell r="BK12">
            <v>-6.0740388840276341E-2</v>
          </cell>
          <cell r="BL12">
            <v>-6.8104560558075622E-2</v>
          </cell>
          <cell r="BM12">
            <v>0.12484721924554769</v>
          </cell>
          <cell r="BN12">
            <v>-8.0824236192711394E-17</v>
          </cell>
          <cell r="BO12">
            <v>7.7680832443010319E-3</v>
          </cell>
          <cell r="BP12">
            <v>7.7680831703343658E-3</v>
          </cell>
          <cell r="BQ12">
            <v>7.7680826211445671E-3</v>
          </cell>
          <cell r="BR12" t="str">
            <v>---</v>
          </cell>
          <cell r="BS12">
            <v>-0.27646591183913499</v>
          </cell>
          <cell r="BT12">
            <v>-0.21491204014018145</v>
          </cell>
          <cell r="BU12">
            <v>7.0053472175719514E-2</v>
          </cell>
          <cell r="BV12">
            <v>-0.45287720167202172</v>
          </cell>
          <cell r="BW12">
            <v>0.20975858879297798</v>
          </cell>
          <cell r="BX12">
            <v>0.21228350465520426</v>
          </cell>
          <cell r="BY12">
            <v>0.11195810151868044</v>
          </cell>
          <cell r="BZ12">
            <v>-0.2997327823751425</v>
          </cell>
          <cell r="CA12">
            <v>0.33070651908490495</v>
          </cell>
          <cell r="CB12">
            <v>0.32217993020433783</v>
          </cell>
          <cell r="CC12">
            <v>0.20582174091976452</v>
          </cell>
          <cell r="CD12">
            <v>-7.105427357601002E-18</v>
          </cell>
          <cell r="CE12">
            <v>0.19037577619110801</v>
          </cell>
          <cell r="CF12">
            <v>0.22860639978278827</v>
          </cell>
          <cell r="CG12">
            <v>0.75528339122725463</v>
          </cell>
          <cell r="CH12">
            <v>-7.105427357601002E-18</v>
          </cell>
          <cell r="CI12">
            <v>6.3296493835434231E-2</v>
          </cell>
          <cell r="CJ12">
            <v>6.7451930469332955E-2</v>
          </cell>
          <cell r="CK12">
            <v>0.38342792415716603</v>
          </cell>
          <cell r="CL12">
            <v>-0.59910022503750315</v>
          </cell>
          <cell r="CM12">
            <v>0.22466896353309335</v>
          </cell>
          <cell r="CN12">
            <v>0.23940968243691652</v>
          </cell>
          <cell r="CO12">
            <v>0.2532936911355762</v>
          </cell>
          <cell r="CP12">
            <v>-7.105427357601002E-18</v>
          </cell>
          <cell r="CQ12">
            <v>0.22483340273672986</v>
          </cell>
          <cell r="CR12">
            <v>0.22538780332414399</v>
          </cell>
          <cell r="CS12">
            <v>0.11479181904049555</v>
          </cell>
          <cell r="CT12">
            <v>-0.41278256496012805</v>
          </cell>
          <cell r="CU12">
            <v>0.20385094826345579</v>
          </cell>
          <cell r="CV12">
            <v>0.20532695791239267</v>
          </cell>
          <cell r="CW12">
            <v>0.52030117406546161</v>
          </cell>
          <cell r="CX12">
            <v>-0.44474025118651478</v>
          </cell>
          <cell r="CY12">
            <v>0.19194032480902479</v>
          </cell>
          <cell r="CZ12">
            <v>0.1953881313340213</v>
          </cell>
          <cell r="DA12">
            <v>3.4067248622868522E-2</v>
          </cell>
          <cell r="DB12">
            <v>-0.84141225449158874</v>
          </cell>
          <cell r="DC12">
            <v>-0.38329475184003714</v>
          </cell>
          <cell r="DD12">
            <v>-0.33760431722462486</v>
          </cell>
          <cell r="DE12">
            <v>-0.16139562130815827</v>
          </cell>
          <cell r="DF12">
            <v>2.3980817331903381E-17</v>
          </cell>
          <cell r="DG12">
            <v>-0.2380138639004023</v>
          </cell>
          <cell r="DH12">
            <v>-9.5056728649321146E-2</v>
          </cell>
          <cell r="DI12">
            <v>0.28683789217341155</v>
          </cell>
          <cell r="DJ12">
            <v>4.5890375042061879E-2</v>
          </cell>
          <cell r="DK12">
            <v>0.13047008236596327</v>
          </cell>
          <cell r="DL12">
            <v>6.3238632360066837E-3</v>
          </cell>
          <cell r="DM12">
            <v>0.13102360388838452</v>
          </cell>
          <cell r="DN12">
            <v>2.3980817331903381E-17</v>
          </cell>
          <cell r="DO12">
            <v>0.1416782690704782</v>
          </cell>
          <cell r="DP12">
            <v>0.14387695954267471</v>
          </cell>
          <cell r="DQ12">
            <v>0.31902092584796682</v>
          </cell>
          <cell r="DR12">
            <v>-7.105427357601002E-18</v>
          </cell>
          <cell r="DS12">
            <v>-0.28164783805966642</v>
          </cell>
          <cell r="DT12">
            <v>-0.16415392582966601</v>
          </cell>
          <cell r="DU12">
            <v>5.0701519840785976E-2</v>
          </cell>
          <cell r="DV12">
            <v>-0.84141225449158874</v>
          </cell>
          <cell r="DW12">
            <v>0.10018475395354418</v>
          </cell>
          <cell r="DX12">
            <v>9.694810804356549E-2</v>
          </cell>
          <cell r="DY12">
            <v>0.40564193007891902</v>
          </cell>
          <cell r="DZ12">
            <v>-8.0824236192711394E-17</v>
          </cell>
          <cell r="EA12">
            <v>-0.211236896715744</v>
          </cell>
          <cell r="EB12">
            <v>-0.19041854628561858</v>
          </cell>
          <cell r="EC12">
            <v>0.83787289892161809</v>
          </cell>
          <cell r="ED12">
            <v>0.85044003748962405</v>
          </cell>
          <cell r="EE12">
            <v>4.2948874195151157E-2</v>
          </cell>
          <cell r="EF12">
            <v>4.6742206602192742E-2</v>
          </cell>
          <cell r="EG12">
            <v>6.5581345209244121E-2</v>
          </cell>
          <cell r="EH12">
            <v>-8.0824236192711394E-17</v>
          </cell>
          <cell r="EI12">
            <v>0.19181320410308972</v>
          </cell>
          <cell r="EJ12">
            <v>0.25282389350977558</v>
          </cell>
          <cell r="EK12">
            <v>0.69028880896954137</v>
          </cell>
          <cell r="EL12">
            <v>-7.105427357601002E-18</v>
          </cell>
          <cell r="EM12">
            <v>9.0655063421657162E-2</v>
          </cell>
          <cell r="EN12">
            <v>8.7839411759026362E-2</v>
          </cell>
          <cell r="EO12">
            <v>0.18645013654930115</v>
          </cell>
          <cell r="EP12">
            <v>3.5413485420248671E-2</v>
          </cell>
          <cell r="EQ12">
            <v>-0.34742691779222173</v>
          </cell>
          <cell r="ER12">
            <v>-0.62761184123404956</v>
          </cell>
          <cell r="ES12">
            <v>-0.10334494690954391</v>
          </cell>
          <cell r="ET12">
            <v>-7.105427357601002E-18</v>
          </cell>
          <cell r="EU12">
            <v>-1.5165436947226506E-2</v>
          </cell>
          <cell r="EV12">
            <v>-1.3663522840456887E-2</v>
          </cell>
          <cell r="EW12">
            <v>0.1154743538714183</v>
          </cell>
          <cell r="EX12">
            <v>3.5413485420248671E-2</v>
          </cell>
          <cell r="EY12">
            <v>-4.1112263347469861E-2</v>
          </cell>
          <cell r="EZ12">
            <v>-5.7911600538984462E-2</v>
          </cell>
          <cell r="FA12">
            <v>0.12064549633902036</v>
          </cell>
          <cell r="FB12">
            <v>3.5413485420248671E-2</v>
          </cell>
          <cell r="FC12">
            <v>0.59258368649512905</v>
          </cell>
          <cell r="FD12">
            <v>0.59341893876336005</v>
          </cell>
          <cell r="FE12">
            <v>0.4141710130848254</v>
          </cell>
          <cell r="FF12">
            <v>0.33348458336125181</v>
          </cell>
          <cell r="FG12">
            <v>-8.2512344943538124E-2</v>
          </cell>
          <cell r="FH12">
            <v>-5.5709311080952763E-2</v>
          </cell>
          <cell r="FI12">
            <v>0.33632533495785699</v>
          </cell>
          <cell r="FJ12">
            <v>0</v>
          </cell>
          <cell r="FK12">
            <v>0.58766505695507865</v>
          </cell>
          <cell r="FL12">
            <v>-0.68510183437345551</v>
          </cell>
          <cell r="FM12">
            <v>1.5598312325760144</v>
          </cell>
          <cell r="FN12">
            <v>1.1603000264037935</v>
          </cell>
          <cell r="FO12">
            <v>-0.29555822020162498</v>
          </cell>
          <cell r="FP12">
            <v>-0.17722637477703632</v>
          </cell>
          <cell r="FQ12">
            <v>6.0975953124398699E-2</v>
          </cell>
          <cell r="FR12">
            <v>-0.45287720167202172</v>
          </cell>
          <cell r="FS12">
            <v>-0.19973458055727417</v>
          </cell>
          <cell r="FT12">
            <v>-3.269138282597174E-2</v>
          </cell>
          <cell r="FU12">
            <v>0.16385001179518285</v>
          </cell>
          <cell r="FV12">
            <v>4.5890375042061879E-2</v>
          </cell>
          <cell r="FW12">
            <v>-9.969095134008911E-2</v>
          </cell>
          <cell r="FX12">
            <v>-3.0714319946124308E-2</v>
          </cell>
          <cell r="FY12">
            <v>-0.16090496906009411</v>
          </cell>
          <cell r="FZ12">
            <v>-0.41278256496012805</v>
          </cell>
          <cell r="GA12">
            <v>0.27624372801196784</v>
          </cell>
          <cell r="GB12">
            <v>0.27769248494398585</v>
          </cell>
          <cell r="GC12">
            <v>3.1268284456493545E-2</v>
          </cell>
          <cell r="GD12">
            <v>-0.28206687385950185</v>
          </cell>
          <cell r="GE12">
            <v>-0.18760135354660404</v>
          </cell>
          <cell r="GF12">
            <v>-0.13498693207688664</v>
          </cell>
          <cell r="GG12">
            <v>0.38733480539798509</v>
          </cell>
          <cell r="GH12">
            <v>0.85044003748962405</v>
          </cell>
          <cell r="GI12">
            <v>6.5767911935586842E-2</v>
          </cell>
          <cell r="GJ12">
            <v>3.6683641377505571E-2</v>
          </cell>
          <cell r="GK12">
            <v>0.12880165878471647</v>
          </cell>
          <cell r="GL12">
            <v>3.5413485420248671E-2</v>
          </cell>
          <cell r="GM12">
            <v>0</v>
          </cell>
          <cell r="GN12">
            <v>0</v>
          </cell>
          <cell r="GO12">
            <v>0</v>
          </cell>
          <cell r="GP12">
            <v>0</v>
          </cell>
        </row>
        <row r="13">
          <cell r="B13" t="str">
            <v>Kurtosis</v>
          </cell>
          <cell r="C13">
            <v>2.6120361612029837</v>
          </cell>
          <cell r="D13">
            <v>2.6140303506628371</v>
          </cell>
          <cell r="E13">
            <v>1.9724442921977305</v>
          </cell>
          <cell r="F13">
            <v>1.7722078363636351</v>
          </cell>
          <cell r="G13">
            <v>4.183900518149688</v>
          </cell>
          <cell r="H13">
            <v>2.4070482637459776</v>
          </cell>
          <cell r="I13">
            <v>1.2772930094956561</v>
          </cell>
          <cell r="J13">
            <v>1.2461461236697173</v>
          </cell>
          <cell r="K13">
            <v>2.4780831365787668</v>
          </cell>
          <cell r="L13">
            <v>2.4675064328024399</v>
          </cell>
          <cell r="M13">
            <v>2.6123037378868537</v>
          </cell>
          <cell r="N13">
            <v>1.6966016999999807</v>
          </cell>
          <cell r="O13">
            <v>2.7132524360473549</v>
          </cell>
          <cell r="P13">
            <v>2.8862550777776734</v>
          </cell>
          <cell r="Q13">
            <v>3.1113488681325796</v>
          </cell>
          <cell r="R13">
            <v>1.790398786466183</v>
          </cell>
          <cell r="S13">
            <v>2.5794933565354885</v>
          </cell>
          <cell r="T13">
            <v>2.6734533139592336</v>
          </cell>
          <cell r="U13">
            <v>2.5182465787014991</v>
          </cell>
          <cell r="V13">
            <v>1.7560440827988615</v>
          </cell>
          <cell r="W13">
            <v>2.4295332423900877</v>
          </cell>
          <cell r="X13">
            <v>2.4528200489292691</v>
          </cell>
          <cell r="Y13">
            <v>2.5785830190813561</v>
          </cell>
          <cell r="Z13">
            <v>2.1956021999999606</v>
          </cell>
          <cell r="AA13">
            <v>2.4096752024975019</v>
          </cell>
          <cell r="AB13">
            <v>2.4680016398099398</v>
          </cell>
          <cell r="AC13">
            <v>2.0410711316079029</v>
          </cell>
          <cell r="AD13">
            <v>1.790398786466183</v>
          </cell>
          <cell r="AE13">
            <v>2.6069104713202442</v>
          </cell>
          <cell r="AF13">
            <v>2.7030161721221848</v>
          </cell>
          <cell r="AG13">
            <v>2.6546827962919095</v>
          </cell>
          <cell r="AH13">
            <v>1.7989208189700829</v>
          </cell>
          <cell r="AI13">
            <v>2.4362015197225002</v>
          </cell>
          <cell r="AJ13">
            <v>2.5163746152663524</v>
          </cell>
          <cell r="AK13">
            <v>2.348298167815781</v>
          </cell>
          <cell r="AL13">
            <v>2.1220052585244997</v>
          </cell>
          <cell r="AM13">
            <v>2.6223510612203587</v>
          </cell>
          <cell r="AN13">
            <v>2.6270459884628132</v>
          </cell>
          <cell r="AO13">
            <v>2.4930534165418208</v>
          </cell>
          <cell r="AP13">
            <v>2.0245163142857789</v>
          </cell>
          <cell r="AQ13">
            <v>2.389703217799104</v>
          </cell>
          <cell r="AR13">
            <v>2.3944068224984782</v>
          </cell>
          <cell r="AS13">
            <v>2.6134519759488226</v>
          </cell>
          <cell r="AT13">
            <v>1.6966016999999807</v>
          </cell>
          <cell r="AU13">
            <v>2.7772252392350443</v>
          </cell>
          <cell r="AV13">
            <v>2.7424711565645694</v>
          </cell>
          <cell r="AW13">
            <v>2.0030001156990944</v>
          </cell>
          <cell r="AX13">
            <v>1.7722078363636351</v>
          </cell>
          <cell r="AY13">
            <v>2.6239604734323714</v>
          </cell>
          <cell r="AZ13">
            <v>2.8385106440705359</v>
          </cell>
          <cell r="BA13">
            <v>2.2913548430254664</v>
          </cell>
          <cell r="BB13">
            <v>2.1220052585244997</v>
          </cell>
          <cell r="BC13">
            <v>2.7935317320748796</v>
          </cell>
          <cell r="BD13">
            <v>2.8747192377995332</v>
          </cell>
          <cell r="BE13">
            <v>2.4950984526775484</v>
          </cell>
          <cell r="BF13">
            <v>2.0874259803451785</v>
          </cell>
          <cell r="BG13">
            <v>2.39222347458555</v>
          </cell>
          <cell r="BH13">
            <v>2.4493722179082829</v>
          </cell>
          <cell r="BI13">
            <v>2.707479437727129</v>
          </cell>
          <cell r="BJ13">
            <v>2.2268701772255466</v>
          </cell>
          <cell r="BK13">
            <v>2.4513555434554672</v>
          </cell>
          <cell r="BL13">
            <v>2.507285089774276</v>
          </cell>
          <cell r="BM13">
            <v>2.6114652848736752</v>
          </cell>
          <cell r="BN13">
            <v>1.6966016999999807</v>
          </cell>
          <cell r="BO13">
            <v>2.394980109358015</v>
          </cell>
          <cell r="BP13">
            <v>2.3949801092833471</v>
          </cell>
          <cell r="BQ13">
            <v>2.3949801084024971</v>
          </cell>
          <cell r="BR13" t="str">
            <v>---</v>
          </cell>
          <cell r="BS13">
            <v>2.7201587437986867</v>
          </cell>
          <cell r="BT13">
            <v>2.7817681424686356</v>
          </cell>
          <cell r="BU13">
            <v>2.5187229255994517</v>
          </cell>
          <cell r="BV13">
            <v>2.0245163142857789</v>
          </cell>
          <cell r="BW13">
            <v>2.4674756017862007</v>
          </cell>
          <cell r="BX13">
            <v>2.4737271933977105</v>
          </cell>
          <cell r="BY13">
            <v>2.5722464902362936</v>
          </cell>
          <cell r="BZ13">
            <v>2.1862221841310374</v>
          </cell>
          <cell r="CA13">
            <v>2.6229840781955231</v>
          </cell>
          <cell r="CB13">
            <v>2.7308429157825866</v>
          </cell>
          <cell r="CC13">
            <v>1.9336998550719189</v>
          </cell>
          <cell r="CD13">
            <v>1.790398786466183</v>
          </cell>
          <cell r="CE13">
            <v>2.7176896612437074</v>
          </cell>
          <cell r="CF13">
            <v>2.886268077955179</v>
          </cell>
          <cell r="CG13">
            <v>3.0170173537890874</v>
          </cell>
          <cell r="CH13">
            <v>1.790398786466183</v>
          </cell>
          <cell r="CI13">
            <v>2.4830434842950262</v>
          </cell>
          <cell r="CJ13">
            <v>2.4866444069216453</v>
          </cell>
          <cell r="CK13">
            <v>2.614447318833641</v>
          </cell>
          <cell r="CL13">
            <v>2.1956021999999606</v>
          </cell>
          <cell r="CM13">
            <v>2.59483955434757</v>
          </cell>
          <cell r="CN13">
            <v>2.6017580451367173</v>
          </cell>
          <cell r="CO13">
            <v>2.1120082300459613</v>
          </cell>
          <cell r="CP13">
            <v>1.790398786466183</v>
          </cell>
          <cell r="CQ13">
            <v>2.8004666736639541</v>
          </cell>
          <cell r="CR13">
            <v>2.7462544568243121</v>
          </cell>
          <cell r="CS13">
            <v>2.5500278246490695</v>
          </cell>
          <cell r="CT13">
            <v>2.1220052585244997</v>
          </cell>
          <cell r="CU13">
            <v>2.4458583803066092</v>
          </cell>
          <cell r="CV13">
            <v>2.4486282583493209</v>
          </cell>
          <cell r="CW13">
            <v>2.845985449483512</v>
          </cell>
          <cell r="CX13">
            <v>2.0325943629759555</v>
          </cell>
          <cell r="CY13">
            <v>2.3881495632296952</v>
          </cell>
          <cell r="CZ13">
            <v>2.3989207358670779</v>
          </cell>
          <cell r="DA13">
            <v>2.5312697813052893</v>
          </cell>
          <cell r="DB13">
            <v>2.7133691764167982</v>
          </cell>
          <cell r="DC13">
            <v>2.437405158942</v>
          </cell>
          <cell r="DD13">
            <v>2.4186122235766625</v>
          </cell>
          <cell r="DE13">
            <v>2.4617602636023892</v>
          </cell>
          <cell r="DF13">
            <v>1.7722078363636351</v>
          </cell>
          <cell r="DG13">
            <v>2.9480832612244119</v>
          </cell>
          <cell r="DH13">
            <v>2.9667876916012688</v>
          </cell>
          <cell r="DI13">
            <v>2.7072785471417919</v>
          </cell>
          <cell r="DJ13">
            <v>1.7989208189700829</v>
          </cell>
          <cell r="DK13">
            <v>2.8398856590365984</v>
          </cell>
          <cell r="DL13">
            <v>2.5734964054398599</v>
          </cell>
          <cell r="DM13">
            <v>1.9516015071225878</v>
          </cell>
          <cell r="DN13">
            <v>1.7722078363636351</v>
          </cell>
          <cell r="DO13">
            <v>2.4351998657089164</v>
          </cell>
          <cell r="DP13">
            <v>2.4394200977713694</v>
          </cell>
          <cell r="DQ13">
            <v>2.4514660501327481</v>
          </cell>
          <cell r="DR13">
            <v>1.790398786466183</v>
          </cell>
          <cell r="DS13">
            <v>2.8526208134587541</v>
          </cell>
          <cell r="DT13">
            <v>2.9242472796575911</v>
          </cell>
          <cell r="DU13">
            <v>2.491160500119677</v>
          </cell>
          <cell r="DV13">
            <v>2.7133691764167982</v>
          </cell>
          <cell r="DW13">
            <v>2.1825406893760158</v>
          </cell>
          <cell r="DX13">
            <v>2.5563115517782986</v>
          </cell>
          <cell r="DY13">
            <v>2.5797740206358588</v>
          </cell>
          <cell r="DZ13">
            <v>1.6966016999999807</v>
          </cell>
          <cell r="EA13">
            <v>2.2968571303266869</v>
          </cell>
          <cell r="EB13">
            <v>2.3218181342005475</v>
          </cell>
          <cell r="EC13">
            <v>2.6502859352938839</v>
          </cell>
          <cell r="ED13">
            <v>2.2268701772255466</v>
          </cell>
          <cell r="EE13">
            <v>2.6291319275276006</v>
          </cell>
          <cell r="EF13">
            <v>2.5992049325263391</v>
          </cell>
          <cell r="EG13">
            <v>2.4868007185557288</v>
          </cell>
          <cell r="EH13">
            <v>1.6966016999999807</v>
          </cell>
          <cell r="EI13">
            <v>2.6221618607490558</v>
          </cell>
          <cell r="EJ13">
            <v>2.7816694431177735</v>
          </cell>
          <cell r="EK13">
            <v>2.8363253548373333</v>
          </cell>
          <cell r="EL13">
            <v>1.790398786466183</v>
          </cell>
          <cell r="EM13">
            <v>1.9381124209387421</v>
          </cell>
          <cell r="EN13">
            <v>1.9697431852610616</v>
          </cell>
          <cell r="EO13">
            <v>2.7661580514581643</v>
          </cell>
          <cell r="EP13">
            <v>1.8144526507941225</v>
          </cell>
          <cell r="EQ13">
            <v>2.54591698541378</v>
          </cell>
          <cell r="ER13">
            <v>2.8593372815596965</v>
          </cell>
          <cell r="ES13">
            <v>2.3986651791271605</v>
          </cell>
          <cell r="ET13">
            <v>1.790398786466183</v>
          </cell>
          <cell r="EU13">
            <v>2.5122887238530516</v>
          </cell>
          <cell r="EV13">
            <v>2.5676733873606139</v>
          </cell>
          <cell r="EW13">
            <v>2.6984553620789069</v>
          </cell>
          <cell r="EX13">
            <v>1.8144526507941225</v>
          </cell>
          <cell r="EY13">
            <v>2.552151842076162</v>
          </cell>
          <cell r="EZ13">
            <v>2.5965247398892517</v>
          </cell>
          <cell r="FA13">
            <v>2.6326174335123818</v>
          </cell>
          <cell r="FB13">
            <v>1.8144526507941225</v>
          </cell>
          <cell r="FC13">
            <v>2.5314139654442696</v>
          </cell>
          <cell r="FD13">
            <v>2.5391614909831368</v>
          </cell>
          <cell r="FE13">
            <v>2.592153499208548</v>
          </cell>
          <cell r="FF13">
            <v>1.7654916342699072</v>
          </cell>
          <cell r="FG13">
            <v>2.4240184613613556</v>
          </cell>
          <cell r="FH13">
            <v>2.5194240787600286</v>
          </cell>
          <cell r="FI13">
            <v>2.8675972382904518</v>
          </cell>
          <cell r="FJ13">
            <v>1.6633349999999931</v>
          </cell>
          <cell r="FK13">
            <v>1.5667976814122919</v>
          </cell>
          <cell r="FL13">
            <v>2.4288772931540024</v>
          </cell>
          <cell r="FM13">
            <v>3.6977770969352655</v>
          </cell>
          <cell r="FN13">
            <v>2.8129774511350578</v>
          </cell>
          <cell r="FO13">
            <v>2.5056465357847495</v>
          </cell>
          <cell r="FP13">
            <v>2.6263454641225978</v>
          </cell>
          <cell r="FQ13">
            <v>2.463636487493885</v>
          </cell>
          <cell r="FR13">
            <v>2.0245163142857789</v>
          </cell>
          <cell r="FS13">
            <v>2.7938857708733131</v>
          </cell>
          <cell r="FT13">
            <v>2.8544897500468487</v>
          </cell>
          <cell r="FU13">
            <v>2.7166031430092259</v>
          </cell>
          <cell r="FV13">
            <v>1.7989208189700829</v>
          </cell>
          <cell r="FW13">
            <v>2.4669482170844108</v>
          </cell>
          <cell r="FX13">
            <v>2.5735499970751849</v>
          </cell>
          <cell r="FY13">
            <v>2.3886259472826064</v>
          </cell>
          <cell r="FZ13">
            <v>2.1220052585244997</v>
          </cell>
          <cell r="GA13">
            <v>2.6472487810527063</v>
          </cell>
          <cell r="GB13">
            <v>2.6045041885188351</v>
          </cell>
          <cell r="GC13">
            <v>2.5782619892537797</v>
          </cell>
          <cell r="GD13">
            <v>2.0874259803451785</v>
          </cell>
          <cell r="GE13">
            <v>2.5233741520774946</v>
          </cell>
          <cell r="GF13">
            <v>2.6601890223957869</v>
          </cell>
          <cell r="GG13">
            <v>2.902224431597122</v>
          </cell>
          <cell r="GH13">
            <v>2.2268701772255466</v>
          </cell>
          <cell r="GI13">
            <v>2.0730083088065077</v>
          </cell>
          <cell r="GJ13">
            <v>2.2640046191277206</v>
          </cell>
          <cell r="GK13">
            <v>2.6825295643015776</v>
          </cell>
          <cell r="GL13">
            <v>1.8144526507941225</v>
          </cell>
          <cell r="GM13">
            <v>0</v>
          </cell>
          <cell r="GN13">
            <v>0</v>
          </cell>
          <cell r="GO13">
            <v>0</v>
          </cell>
          <cell r="GP13">
            <v>0</v>
          </cell>
        </row>
        <row r="14">
          <cell r="B14" t="str">
            <v>Coeff. of Variability</v>
          </cell>
          <cell r="C14">
            <v>5.817932484545605E-2</v>
          </cell>
          <cell r="D14">
            <v>5.5745105704273927E-2</v>
          </cell>
          <cell r="E14">
            <v>7.3717506696691443E-2</v>
          </cell>
          <cell r="F14">
            <v>1.4229851656026339E-3</v>
          </cell>
          <cell r="G14">
            <v>1.7096346341502904</v>
          </cell>
          <cell r="H14">
            <v>0.99674863326766683</v>
          </cell>
          <cell r="I14">
            <v>0.87310370449112151</v>
          </cell>
          <cell r="J14">
            <v>1.9623162144688573E-2</v>
          </cell>
          <cell r="K14">
            <v>9.5209402813536528E-2</v>
          </cell>
          <cell r="L14">
            <v>9.9802619999577916E-2</v>
          </cell>
          <cell r="M14">
            <v>0.10723321937476857</v>
          </cell>
          <cell r="N14">
            <v>7.0324115304507776E-4</v>
          </cell>
          <cell r="O14">
            <v>0.2923906015580135</v>
          </cell>
          <cell r="P14">
            <v>0.27812465090949851</v>
          </cell>
          <cell r="Q14">
            <v>0.4225055036064867</v>
          </cell>
          <cell r="R14">
            <v>2.856730181799006E-3</v>
          </cell>
          <cell r="S14">
            <v>0.10340771270272123</v>
          </cell>
          <cell r="T14">
            <v>9.6219193732467609E-2</v>
          </cell>
          <cell r="U14">
            <v>0.11633230634360583</v>
          </cell>
          <cell r="V14">
            <v>1.138315920150919E-3</v>
          </cell>
          <cell r="W14">
            <v>4.1403524034648802E-2</v>
          </cell>
          <cell r="X14">
            <v>4.2506876264526226E-2</v>
          </cell>
          <cell r="Y14">
            <v>6.6858577968009536E-2</v>
          </cell>
          <cell r="Z14">
            <v>4.9677277820892442E-4</v>
          </cell>
          <cell r="AA14">
            <v>0.17840853968702111</v>
          </cell>
          <cell r="AB14">
            <v>0.15338001312555657</v>
          </cell>
          <cell r="AC14">
            <v>0.1544118175817914</v>
          </cell>
          <cell r="AD14">
            <v>2.856730181799006E-3</v>
          </cell>
          <cell r="AE14">
            <v>8.8874553232434997E-2</v>
          </cell>
          <cell r="AF14">
            <v>7.7069283869938124E-2</v>
          </cell>
          <cell r="AG14">
            <v>7.0061787498625711E-2</v>
          </cell>
          <cell r="AH14">
            <v>9.5965398264452151E-4</v>
          </cell>
          <cell r="AI14">
            <v>0.18308887998016096</v>
          </cell>
          <cell r="AJ14">
            <v>0.14735949644655166</v>
          </cell>
          <cell r="AK14">
            <v>9.4075131513346899E-2</v>
          </cell>
          <cell r="AL14">
            <v>1.6400124039091786E-3</v>
          </cell>
          <cell r="AM14">
            <v>0.15757787630004583</v>
          </cell>
          <cell r="AN14">
            <v>0.12645877056803814</v>
          </cell>
          <cell r="AO14">
            <v>0.10879483256594398</v>
          </cell>
          <cell r="AP14">
            <v>6.5765842974022017E-4</v>
          </cell>
          <cell r="AQ14">
            <v>0.18571342927342477</v>
          </cell>
          <cell r="AR14">
            <v>0.14587582719682171</v>
          </cell>
          <cell r="AS14">
            <v>6.9046992174657235E-2</v>
          </cell>
          <cell r="AT14">
            <v>7.0324115304507776E-4</v>
          </cell>
          <cell r="AU14">
            <v>5.7689779778583687E-2</v>
          </cell>
          <cell r="AV14">
            <v>5.5492333555269314E-2</v>
          </cell>
          <cell r="AW14">
            <v>7.2983146486365572E-2</v>
          </cell>
          <cell r="AX14">
            <v>1.4229851656026339E-3</v>
          </cell>
          <cell r="AY14">
            <v>8.4927996549042775E-2</v>
          </cell>
          <cell r="AZ14">
            <v>7.2490137497439364E-2</v>
          </cell>
          <cell r="BA14">
            <v>9.4601594104033224E-2</v>
          </cell>
          <cell r="BB14">
            <v>1.6400124039091786E-3</v>
          </cell>
          <cell r="BC14">
            <v>0.11524745123053474</v>
          </cell>
          <cell r="BD14">
            <v>0.1022129143932682</v>
          </cell>
          <cell r="BE14">
            <v>9.9998244653037596E-2</v>
          </cell>
          <cell r="BF14">
            <v>1.5855318729877787E-3</v>
          </cell>
          <cell r="BG14">
            <v>0.12504090870744322</v>
          </cell>
          <cell r="BH14">
            <v>0.10463238507041646</v>
          </cell>
          <cell r="BI14">
            <v>9.290647787745826E-2</v>
          </cell>
          <cell r="BJ14">
            <v>1.6993711167144357E-3</v>
          </cell>
          <cell r="BK14">
            <v>7.4654768992069465E-2</v>
          </cell>
          <cell r="BL14">
            <v>7.1542653017560187E-2</v>
          </cell>
          <cell r="BM14">
            <v>0.1073021513857176</v>
          </cell>
          <cell r="BN14">
            <v>7.0149786808462885E-4</v>
          </cell>
          <cell r="BO14">
            <v>8.1655936818984753E-2</v>
          </cell>
          <cell r="BP14">
            <v>8.1655936824213668E-2</v>
          </cell>
          <cell r="BQ14">
            <v>8.1655936854698311E-2</v>
          </cell>
          <cell r="BR14">
            <v>0</v>
          </cell>
          <cell r="BS14">
            <v>0.11493461765067729</v>
          </cell>
          <cell r="BT14">
            <v>9.8039085293124731E-2</v>
          </cell>
          <cell r="BU14">
            <v>0.10737481186294848</v>
          </cell>
          <cell r="BV14">
            <v>6.5765842974022017E-4</v>
          </cell>
          <cell r="BW14">
            <v>0.23652539475531389</v>
          </cell>
          <cell r="BX14">
            <v>0.23048028157003597</v>
          </cell>
          <cell r="BY14">
            <v>0.13084776006395937</v>
          </cell>
          <cell r="BZ14">
            <v>2.0425255283028918E-3</v>
          </cell>
          <cell r="CA14">
            <v>0.13134093841592651</v>
          </cell>
          <cell r="CB14">
            <v>0.10296477564915411</v>
          </cell>
          <cell r="CC14">
            <v>0.1450215378681933</v>
          </cell>
          <cell r="CD14">
            <v>2.856730181799006E-3</v>
          </cell>
          <cell r="CE14">
            <v>0.2965618804671446</v>
          </cell>
          <cell r="CF14">
            <v>0.28245732304083643</v>
          </cell>
          <cell r="CG14">
            <v>0.42037688263609613</v>
          </cell>
          <cell r="CH14">
            <v>2.856730181799006E-3</v>
          </cell>
          <cell r="CI14">
            <v>4.1142082296832305E-2</v>
          </cell>
          <cell r="CJ14">
            <v>4.1155922042247377E-2</v>
          </cell>
          <cell r="CK14">
            <v>6.6231088612248828E-2</v>
          </cell>
          <cell r="CL14">
            <v>4.9554253358730744E-4</v>
          </cell>
          <cell r="CM14">
            <v>0.1292777572647561</v>
          </cell>
          <cell r="CN14">
            <v>0.11976699572083618</v>
          </cell>
          <cell r="CO14">
            <v>0.15185036545743744</v>
          </cell>
          <cell r="CP14">
            <v>2.856730181799006E-3</v>
          </cell>
          <cell r="CQ14">
            <v>0.14937236266021442</v>
          </cell>
          <cell r="CR14">
            <v>0.16906668348586021</v>
          </cell>
          <cell r="CS14">
            <v>0.21806631036245958</v>
          </cell>
          <cell r="CT14">
            <v>1.6400124039091786E-3</v>
          </cell>
          <cell r="CU14">
            <v>0.23754234571038202</v>
          </cell>
          <cell r="CV14">
            <v>0.23278791931775217</v>
          </cell>
          <cell r="CW14">
            <v>0.27248468524972713</v>
          </cell>
          <cell r="CX14">
            <v>2.4560071648338207E-3</v>
          </cell>
          <cell r="CY14">
            <v>0.21233288832832353</v>
          </cell>
          <cell r="CZ14">
            <v>0.19912939733729773</v>
          </cell>
          <cell r="DA14">
            <v>0.11609218304296948</v>
          </cell>
          <cell r="DB14">
            <v>1.1578584021481283E-3</v>
          </cell>
          <cell r="DC14">
            <v>0.12986125266973672</v>
          </cell>
          <cell r="DD14">
            <v>0.14081829813547939</v>
          </cell>
          <cell r="DE14">
            <v>0.1689092755514561</v>
          </cell>
          <cell r="DF14">
            <v>1.4229851656026339E-3</v>
          </cell>
          <cell r="DG14">
            <v>7.6862990729165206E-2</v>
          </cell>
          <cell r="DH14">
            <v>6.8426475117107491E-2</v>
          </cell>
          <cell r="DI14">
            <v>6.9601002194127445E-2</v>
          </cell>
          <cell r="DJ14">
            <v>9.5965398264452151E-4</v>
          </cell>
          <cell r="DK14">
            <v>5.7858752555571796E-2</v>
          </cell>
          <cell r="DL14">
            <v>4.6092974595112697E-2</v>
          </cell>
          <cell r="DM14">
            <v>7.4659706550892449E-2</v>
          </cell>
          <cell r="DN14">
            <v>1.4229851656026339E-3</v>
          </cell>
          <cell r="DO14">
            <v>0.33525162119993029</v>
          </cell>
          <cell r="DP14">
            <v>0.32986045634853045</v>
          </cell>
          <cell r="DQ14">
            <v>0.18271882754132932</v>
          </cell>
          <cell r="DR14">
            <v>2.856730181799006E-3</v>
          </cell>
          <cell r="DS14">
            <v>0.10301782309654667</v>
          </cell>
          <cell r="DT14">
            <v>7.884762161292945E-2</v>
          </cell>
          <cell r="DU14">
            <v>0.11669386209434505</v>
          </cell>
          <cell r="DV14">
            <v>1.1578584021481283E-3</v>
          </cell>
          <cell r="DW14">
            <v>0.1125143882981836</v>
          </cell>
          <cell r="DX14">
            <v>7.5018033668723977E-2</v>
          </cell>
          <cell r="DY14">
            <v>7.1142135655834771E-2</v>
          </cell>
          <cell r="DZ14">
            <v>7.0324115304507776E-4</v>
          </cell>
          <cell r="EA14">
            <v>0.15015227619500304</v>
          </cell>
          <cell r="EB14">
            <v>0.12168558207494297</v>
          </cell>
          <cell r="EC14">
            <v>9.2966909982462764E-2</v>
          </cell>
          <cell r="ED14">
            <v>1.6993711167144357E-3</v>
          </cell>
          <cell r="EE14">
            <v>9.1762429540614102E-2</v>
          </cell>
          <cell r="EF14">
            <v>9.6646520681069659E-2</v>
          </cell>
          <cell r="EG14">
            <v>0.10914643412672889</v>
          </cell>
          <cell r="EH14">
            <v>7.0324115304507776E-4</v>
          </cell>
          <cell r="EI14">
            <v>0.28988203889598618</v>
          </cell>
          <cell r="EJ14">
            <v>0.27565669310084784</v>
          </cell>
          <cell r="EK14">
            <v>0.4203924539192016</v>
          </cell>
          <cell r="EL14">
            <v>2.856730181799006E-3</v>
          </cell>
          <cell r="EM14">
            <v>0.28237322920679181</v>
          </cell>
          <cell r="EN14">
            <v>0.20457297089146484</v>
          </cell>
          <cell r="EO14">
            <v>0.12115075634967408</v>
          </cell>
          <cell r="EP14">
            <v>1.1983915216850394E-3</v>
          </cell>
          <cell r="EQ14">
            <v>0.24378436356816996</v>
          </cell>
          <cell r="ER14">
            <v>0.20692624686791969</v>
          </cell>
          <cell r="ES14">
            <v>0.29821721919610117</v>
          </cell>
          <cell r="ET14">
            <v>2.856730181799006E-3</v>
          </cell>
          <cell r="EU14">
            <v>3.8582527788813818E-2</v>
          </cell>
          <cell r="EV14">
            <v>3.8017358794872259E-2</v>
          </cell>
          <cell r="EW14">
            <v>0.1136226936581549</v>
          </cell>
          <cell r="EX14">
            <v>1.1954232663853261E-3</v>
          </cell>
          <cell r="EY14">
            <v>3.8598207058793813E-2</v>
          </cell>
          <cell r="EZ14">
            <v>3.8257016769977545E-2</v>
          </cell>
          <cell r="FA14">
            <v>0.11626614879433918</v>
          </cell>
          <cell r="FB14">
            <v>1.1954232663853261E-3</v>
          </cell>
          <cell r="FC14">
            <v>0.45365054027811469</v>
          </cell>
          <cell r="FD14">
            <v>0.43654868852776513</v>
          </cell>
          <cell r="FE14">
            <v>0.14621648402671178</v>
          </cell>
          <cell r="FF14">
            <v>2.3802381686275388E-3</v>
          </cell>
          <cell r="FG14">
            <v>7.827010741266853E-2</v>
          </cell>
          <cell r="FH14">
            <v>6.2960702978893682E-2</v>
          </cell>
          <cell r="FI14">
            <v>2.1262558177473953E-2</v>
          </cell>
          <cell r="FJ14">
            <v>3.8537257995630459E-4</v>
          </cell>
          <cell r="FK14">
            <v>1.2642434664675406</v>
          </cell>
          <cell r="FL14">
            <v>0.56884824188429883</v>
          </cell>
          <cell r="FM14">
            <v>1.1136504528561335</v>
          </cell>
          <cell r="FN14">
            <v>1.6538770898342929E-2</v>
          </cell>
          <cell r="FO14">
            <v>0.11023045754096758</v>
          </cell>
          <cell r="FP14">
            <v>9.5292816974529362E-2</v>
          </cell>
          <cell r="FQ14">
            <v>0.10789189649857678</v>
          </cell>
          <cell r="FR14">
            <v>6.5765842974022017E-4</v>
          </cell>
          <cell r="FS14">
            <v>7.4250315533260738E-2</v>
          </cell>
          <cell r="FT14">
            <v>6.7469182275232228E-2</v>
          </cell>
          <cell r="FU14">
            <v>6.8929265437061529E-2</v>
          </cell>
          <cell r="FV14">
            <v>9.5965398264452151E-4</v>
          </cell>
          <cell r="FW14">
            <v>6.4282282345380998E-2</v>
          </cell>
          <cell r="FX14">
            <v>5.703871819613008E-2</v>
          </cell>
          <cell r="FY14">
            <v>9.7011889185272579E-2</v>
          </cell>
          <cell r="FZ14">
            <v>1.6400124039091786E-3</v>
          </cell>
          <cell r="GA14">
            <v>9.0560238891965017E-2</v>
          </cell>
          <cell r="GB14">
            <v>9.2626739705120351E-2</v>
          </cell>
          <cell r="GC14">
            <v>9.7280672497532722E-2</v>
          </cell>
          <cell r="GD14">
            <v>1.5855318729877787E-3</v>
          </cell>
          <cell r="GE14">
            <v>0.20039434972369954</v>
          </cell>
          <cell r="GF14">
            <v>0.16976423574947339</v>
          </cell>
          <cell r="GG14">
            <v>0.13262498501700343</v>
          </cell>
          <cell r="GH14">
            <v>1.6993711167144357E-3</v>
          </cell>
          <cell r="GI14">
            <v>0.19730900075358129</v>
          </cell>
          <cell r="GJ14">
            <v>0.13484262053282228</v>
          </cell>
          <cell r="GK14">
            <v>0.11967107696214924</v>
          </cell>
          <cell r="GL14">
            <v>1.1983915216850394E-3</v>
          </cell>
          <cell r="GM14">
            <v>0</v>
          </cell>
          <cell r="GN14">
            <v>0</v>
          </cell>
          <cell r="GO14">
            <v>0</v>
          </cell>
          <cell r="GP14">
            <v>0</v>
          </cell>
        </row>
        <row r="15">
          <cell r="B15" t="str">
            <v>Minimum</v>
          </cell>
          <cell r="C15">
            <v>889.52866430344613</v>
          </cell>
          <cell r="D15">
            <v>974.37414737504491</v>
          </cell>
          <cell r="E15">
            <v>225.79886443927344</v>
          </cell>
          <cell r="F15">
            <v>2015</v>
          </cell>
          <cell r="G15">
            <v>-3.4803001555850785E-6</v>
          </cell>
          <cell r="H15">
            <v>-4.791988681466361E-6</v>
          </cell>
          <cell r="I15">
            <v>1027.2850911870833</v>
          </cell>
          <cell r="J15">
            <v>2010</v>
          </cell>
          <cell r="K15">
            <v>468.54049364793963</v>
          </cell>
          <cell r="L15">
            <v>706.65061466771226</v>
          </cell>
          <cell r="M15">
            <v>441.98838945267966</v>
          </cell>
          <cell r="N15">
            <v>2010</v>
          </cell>
          <cell r="O15">
            <v>1492.7122061480177</v>
          </cell>
          <cell r="P15">
            <v>1884.2483634194414</v>
          </cell>
          <cell r="Q15">
            <v>573.42272014407365</v>
          </cell>
          <cell r="R15">
            <v>2010</v>
          </cell>
          <cell r="S15">
            <v>723.39919578818115</v>
          </cell>
          <cell r="T15">
            <v>880.73965705008072</v>
          </cell>
          <cell r="U15">
            <v>283.39535994807613</v>
          </cell>
          <cell r="V15">
            <v>2010</v>
          </cell>
          <cell r="W15">
            <v>37389.142617124169</v>
          </cell>
          <cell r="X15">
            <v>36922.31125949441</v>
          </cell>
          <cell r="Y15">
            <v>3010.1851679192982</v>
          </cell>
          <cell r="Z15">
            <v>2012</v>
          </cell>
          <cell r="AA15">
            <v>4157.6211117285256</v>
          </cell>
          <cell r="AB15">
            <v>6088.7223842641679</v>
          </cell>
          <cell r="AC15">
            <v>4178.499871725171</v>
          </cell>
          <cell r="AD15">
            <v>2010</v>
          </cell>
          <cell r="AE15">
            <v>860.99030945044001</v>
          </cell>
          <cell r="AF15">
            <v>1178.476031883745</v>
          </cell>
          <cell r="AG15">
            <v>559.55053200741713</v>
          </cell>
          <cell r="AH15">
            <v>2010</v>
          </cell>
          <cell r="AI15">
            <v>791.91509621223531</v>
          </cell>
          <cell r="AJ15">
            <v>1103.4790904739084</v>
          </cell>
          <cell r="AK15">
            <v>515.88580979376047</v>
          </cell>
          <cell r="AL15">
            <v>2010</v>
          </cell>
          <cell r="AM15">
            <v>76.274921512491062</v>
          </cell>
          <cell r="AN15">
            <v>112.27548233134239</v>
          </cell>
          <cell r="AO15">
            <v>61.147413421541707</v>
          </cell>
          <cell r="AP15">
            <v>2010</v>
          </cell>
          <cell r="AQ15">
            <v>1617.684713985469</v>
          </cell>
          <cell r="AR15">
            <v>2403.2577675061243</v>
          </cell>
          <cell r="AS15">
            <v>834.52750512317789</v>
          </cell>
          <cell r="AT15">
            <v>2010</v>
          </cell>
          <cell r="AU15">
            <v>949.54233666784421</v>
          </cell>
          <cell r="AV15">
            <v>1075.7367769565346</v>
          </cell>
          <cell r="AW15">
            <v>320.86227693406693</v>
          </cell>
          <cell r="AX15">
            <v>2015</v>
          </cell>
          <cell r="AY15">
            <v>975.82481771429991</v>
          </cell>
          <cell r="AZ15">
            <v>1429.3308893391898</v>
          </cell>
          <cell r="BA15">
            <v>733.43196499700582</v>
          </cell>
          <cell r="BB15">
            <v>2010</v>
          </cell>
          <cell r="BC15">
            <v>662.00874416396266</v>
          </cell>
          <cell r="BD15">
            <v>941.96695807383946</v>
          </cell>
          <cell r="BE15">
            <v>601.98473719514982</v>
          </cell>
          <cell r="BF15">
            <v>2010</v>
          </cell>
          <cell r="BG15">
            <v>3688.9814831096533</v>
          </cell>
          <cell r="BH15">
            <v>5707.8774844285908</v>
          </cell>
          <cell r="BI15">
            <v>4033.4608526769553</v>
          </cell>
          <cell r="BJ15">
            <v>2010</v>
          </cell>
          <cell r="BK15">
            <v>450.59071666971562</v>
          </cell>
          <cell r="BL15">
            <v>487.3807924182135</v>
          </cell>
          <cell r="BM15">
            <v>79.608028847528061</v>
          </cell>
          <cell r="BN15">
            <v>2015</v>
          </cell>
          <cell r="BO15">
            <v>1384.3403760088893</v>
          </cell>
          <cell r="BP15">
            <v>2239.2775717104469</v>
          </cell>
          <cell r="BQ15">
            <v>1453.5573952642094</v>
          </cell>
          <cell r="BR15">
            <v>2010</v>
          </cell>
          <cell r="BS15">
            <v>95.291213306704762</v>
          </cell>
          <cell r="BT15">
            <v>140.96691451165211</v>
          </cell>
          <cell r="BU15">
            <v>63.046765594941796</v>
          </cell>
          <cell r="BV15">
            <v>2010</v>
          </cell>
          <cell r="BW15">
            <v>568.13286999400509</v>
          </cell>
          <cell r="BX15">
            <v>601.80003352124766</v>
          </cell>
          <cell r="BY15">
            <v>63.087809057389855</v>
          </cell>
          <cell r="BZ15">
            <v>2010</v>
          </cell>
          <cell r="CA15">
            <v>7302.4125884263776</v>
          </cell>
          <cell r="CB15">
            <v>10988.718622338565</v>
          </cell>
          <cell r="CC15">
            <v>2426.5417068785528</v>
          </cell>
          <cell r="CD15">
            <v>2010</v>
          </cell>
          <cell r="CE15">
            <v>1242.8901653385917</v>
          </cell>
          <cell r="CF15">
            <v>1551.7648227937284</v>
          </cell>
          <cell r="CG15">
            <v>499.64961243997595</v>
          </cell>
          <cell r="CH15">
            <v>2010</v>
          </cell>
          <cell r="CI15">
            <v>158698.31418962614</v>
          </cell>
          <cell r="CJ15">
            <v>158948.81492582904</v>
          </cell>
          <cell r="CK15">
            <v>3713.8904209372363</v>
          </cell>
          <cell r="CL15">
            <v>2017</v>
          </cell>
          <cell r="CM15">
            <v>4182.5257282890188</v>
          </cell>
          <cell r="CN15">
            <v>5660.0256723206348</v>
          </cell>
          <cell r="CO15">
            <v>3582.405677653654</v>
          </cell>
          <cell r="CP15">
            <v>2010</v>
          </cell>
          <cell r="CQ15">
            <v>1265.3291318753613</v>
          </cell>
          <cell r="CR15">
            <v>1665.2147481439938</v>
          </cell>
          <cell r="CS15">
            <v>865.13268216982715</v>
          </cell>
          <cell r="CT15">
            <v>2010</v>
          </cell>
          <cell r="CU15">
            <v>1116.8581191158471</v>
          </cell>
          <cell r="CV15">
            <v>1168.1464871243033</v>
          </cell>
          <cell r="CW15">
            <v>69.225383894464997</v>
          </cell>
          <cell r="CX15">
            <v>2010</v>
          </cell>
          <cell r="CY15">
            <v>4800.6427615125931</v>
          </cell>
          <cell r="CZ15">
            <v>5440.4589293906292</v>
          </cell>
          <cell r="DA15">
            <v>860.50771611660434</v>
          </cell>
          <cell r="DB15">
            <v>2010</v>
          </cell>
          <cell r="DC15">
            <v>258.35489903472097</v>
          </cell>
          <cell r="DD15">
            <v>380.54790609487765</v>
          </cell>
          <cell r="DE15">
            <v>306.52907842058073</v>
          </cell>
          <cell r="DF15">
            <v>2015</v>
          </cell>
          <cell r="DG15">
            <v>755.0430408234879</v>
          </cell>
          <cell r="DH15">
            <v>1061.2468823141944</v>
          </cell>
          <cell r="DI15">
            <v>594.99651027637196</v>
          </cell>
          <cell r="DJ15">
            <v>2010</v>
          </cell>
          <cell r="DK15">
            <v>219.97765184296136</v>
          </cell>
          <cell r="DL15">
            <v>290.10276947159542</v>
          </cell>
          <cell r="DM15">
            <v>162.48284802363301</v>
          </cell>
          <cell r="DN15">
            <v>2015</v>
          </cell>
          <cell r="DO15">
            <v>895.57027318715257</v>
          </cell>
          <cell r="DP15">
            <v>956.30984935842253</v>
          </cell>
          <cell r="DQ15">
            <v>98.212879580977798</v>
          </cell>
          <cell r="DR15">
            <v>2010</v>
          </cell>
          <cell r="DS15">
            <v>410.24120017353852</v>
          </cell>
          <cell r="DT15">
            <v>650.85616085815002</v>
          </cell>
          <cell r="DU15">
            <v>289.99506084595549</v>
          </cell>
          <cell r="DV15">
            <v>2010</v>
          </cell>
          <cell r="DW15">
            <v>666.28284460201348</v>
          </cell>
          <cell r="DX15">
            <v>1129.5423487149699</v>
          </cell>
          <cell r="DY15">
            <v>377.23818694302446</v>
          </cell>
          <cell r="DZ15">
            <v>2010</v>
          </cell>
          <cell r="EA15">
            <v>375.17497308993256</v>
          </cell>
          <cell r="EB15">
            <v>567.01558964320293</v>
          </cell>
          <cell r="EC15">
            <v>378.68034906555653</v>
          </cell>
          <cell r="ED15">
            <v>2010</v>
          </cell>
          <cell r="EE15">
            <v>425.57687816540391</v>
          </cell>
          <cell r="EF15">
            <v>642.18514014492177</v>
          </cell>
          <cell r="EG15">
            <v>413.65599816462907</v>
          </cell>
          <cell r="EH15">
            <v>2010</v>
          </cell>
          <cell r="EI15">
            <v>1516.498506372355</v>
          </cell>
          <cell r="EJ15">
            <v>1828.5781781184312</v>
          </cell>
          <cell r="EK15">
            <v>510.27236306683574</v>
          </cell>
          <cell r="EL15">
            <v>2010</v>
          </cell>
          <cell r="EM15">
            <v>140.23796412448348</v>
          </cell>
          <cell r="EN15">
            <v>230.95585188073724</v>
          </cell>
          <cell r="EO15">
            <v>56.545445326021543</v>
          </cell>
          <cell r="EP15">
            <v>2010</v>
          </cell>
          <cell r="EQ15">
            <v>56.928129602462327</v>
          </cell>
          <cell r="ER15">
            <v>90.308343614094895</v>
          </cell>
          <cell r="ES15">
            <v>47.828064345985347</v>
          </cell>
          <cell r="ET15">
            <v>2010</v>
          </cell>
          <cell r="EU15">
            <v>3410.0724670706741</v>
          </cell>
          <cell r="EV15">
            <v>3573.3454953485098</v>
          </cell>
          <cell r="EW15">
            <v>237.54426621028966</v>
          </cell>
          <cell r="EX15">
            <v>2015</v>
          </cell>
          <cell r="EY15">
            <v>3438.6934465672734</v>
          </cell>
          <cell r="EZ15">
            <v>3653.1052627346303</v>
          </cell>
          <cell r="FA15">
            <v>309.45753190344027</v>
          </cell>
          <cell r="FB15">
            <v>2015</v>
          </cell>
          <cell r="FC15">
            <v>1514.4864658324395</v>
          </cell>
          <cell r="FD15">
            <v>1689.5182031236673</v>
          </cell>
          <cell r="FE15">
            <v>339.24906993761152</v>
          </cell>
          <cell r="FF15">
            <v>2010</v>
          </cell>
          <cell r="FG15">
            <v>16948.066916111162</v>
          </cell>
          <cell r="FH15">
            <v>23527.199721489229</v>
          </cell>
          <cell r="FI15">
            <v>13107.697990164072</v>
          </cell>
          <cell r="FJ15">
            <v>2010</v>
          </cell>
          <cell r="FK15">
            <v>-3.8174987668296064E-6</v>
          </cell>
          <cell r="FL15">
            <v>-4.1301042571565454E-6</v>
          </cell>
          <cell r="FM15">
            <v>467.27632936291519</v>
          </cell>
          <cell r="FN15">
            <v>2010</v>
          </cell>
          <cell r="FO15">
            <v>101.21012834711395</v>
          </cell>
          <cell r="FP15">
            <v>144.85113514175319</v>
          </cell>
          <cell r="FQ15">
            <v>61.335438495337741</v>
          </cell>
          <cell r="FR15">
            <v>2010</v>
          </cell>
          <cell r="FS15">
            <v>829.77671822165462</v>
          </cell>
          <cell r="FT15">
            <v>1188.4769946129752</v>
          </cell>
          <cell r="FU15">
            <v>669.42576528843404</v>
          </cell>
          <cell r="FV15">
            <v>2010</v>
          </cell>
          <cell r="FW15">
            <v>1028.0428330819614</v>
          </cell>
          <cell r="FX15">
            <v>1359.4266763074161</v>
          </cell>
          <cell r="FY15">
            <v>575.2171593933715</v>
          </cell>
          <cell r="FZ15">
            <v>2010</v>
          </cell>
          <cell r="GA15">
            <v>872.96063922560279</v>
          </cell>
          <cell r="GB15">
            <v>1292.7337216804872</v>
          </cell>
          <cell r="GC15">
            <v>908.12422185030869</v>
          </cell>
          <cell r="GD15">
            <v>2010</v>
          </cell>
          <cell r="GE15">
            <v>1926.1130588218766</v>
          </cell>
          <cell r="GF15">
            <v>2778.1935354247921</v>
          </cell>
          <cell r="GG15">
            <v>1637.8764028301141</v>
          </cell>
          <cell r="GH15">
            <v>2010</v>
          </cell>
          <cell r="GI15">
            <v>225.09826744499756</v>
          </cell>
          <cell r="GJ15">
            <v>366.9723870478694</v>
          </cell>
          <cell r="GK15">
            <v>143.99572450189578</v>
          </cell>
          <cell r="GL15">
            <v>2010</v>
          </cell>
          <cell r="GM15">
            <v>0</v>
          </cell>
          <cell r="GN15">
            <v>0</v>
          </cell>
          <cell r="GO15">
            <v>0</v>
          </cell>
          <cell r="GP15">
            <v>0</v>
          </cell>
        </row>
        <row r="16">
          <cell r="B16" t="str">
            <v>Maximum</v>
          </cell>
          <cell r="C16">
            <v>1239.0486137977873</v>
          </cell>
          <cell r="D16">
            <v>1349.369698957408</v>
          </cell>
          <cell r="E16">
            <v>306.2703861491218</v>
          </cell>
          <cell r="F16">
            <v>2024</v>
          </cell>
          <cell r="G16">
            <v>13187.388109139887</v>
          </cell>
          <cell r="H16">
            <v>13935.040942697566</v>
          </cell>
          <cell r="I16">
            <v>17291.751954263447</v>
          </cell>
          <cell r="J16">
            <v>2110</v>
          </cell>
          <cell r="K16">
            <v>772.4739987626981</v>
          </cell>
          <cell r="L16">
            <v>1191.4781981959645</v>
          </cell>
          <cell r="M16">
            <v>785.39806373174565</v>
          </cell>
          <cell r="N16">
            <v>2014</v>
          </cell>
          <cell r="O16">
            <v>10211.094520240456</v>
          </cell>
          <cell r="P16">
            <v>11501.52283913487</v>
          </cell>
          <cell r="Q16">
            <v>4495.4876294189089</v>
          </cell>
          <cell r="R16">
            <v>2029</v>
          </cell>
          <cell r="S16">
            <v>1308.3072348951125</v>
          </cell>
          <cell r="T16">
            <v>1573.4423447186982</v>
          </cell>
          <cell r="U16">
            <v>521.10576167363331</v>
          </cell>
          <cell r="V16">
            <v>2017</v>
          </cell>
          <cell r="W16">
            <v>45446.391380517984</v>
          </cell>
          <cell r="X16">
            <v>45481.284343812149</v>
          </cell>
          <cell r="Y16">
            <v>4148.8728176934837</v>
          </cell>
          <cell r="Z16">
            <v>2015</v>
          </cell>
          <cell r="AA16">
            <v>10425.911614092647</v>
          </cell>
          <cell r="AB16">
            <v>13541.966312624427</v>
          </cell>
          <cell r="AC16">
            <v>8147.3196399472172</v>
          </cell>
          <cell r="AD16">
            <v>2029</v>
          </cell>
          <cell r="AE16">
            <v>1418.0289351463832</v>
          </cell>
          <cell r="AF16">
            <v>1825.7095479543891</v>
          </cell>
          <cell r="AG16">
            <v>810.92469666035197</v>
          </cell>
          <cell r="AH16">
            <v>2016</v>
          </cell>
          <cell r="AI16">
            <v>2095.8804810414213</v>
          </cell>
          <cell r="AJ16">
            <v>2530.5682541842516</v>
          </cell>
          <cell r="AK16">
            <v>866.31738799173002</v>
          </cell>
          <cell r="AL16">
            <v>2021</v>
          </cell>
          <cell r="AM16">
            <v>195.91916262809534</v>
          </cell>
          <cell r="AN16">
            <v>245.61124831588248</v>
          </cell>
          <cell r="AO16">
            <v>107.58813369950504</v>
          </cell>
          <cell r="AP16">
            <v>2014</v>
          </cell>
          <cell r="AQ16">
            <v>4235.1476225169163</v>
          </cell>
          <cell r="AR16">
            <v>5093.3822922020918</v>
          </cell>
          <cell r="AS16">
            <v>1181.7762773173715</v>
          </cell>
          <cell r="AT16">
            <v>2014</v>
          </cell>
          <cell r="AU16">
            <v>1311.6024023522041</v>
          </cell>
          <cell r="AV16">
            <v>1469.6688524867957</v>
          </cell>
          <cell r="AW16">
            <v>435.68258051840985</v>
          </cell>
          <cell r="AX16">
            <v>2024</v>
          </cell>
          <cell r="AY16">
            <v>1555.9209055969161</v>
          </cell>
          <cell r="AZ16">
            <v>2124.3740420360764</v>
          </cell>
          <cell r="BA16">
            <v>1183.6870046926208</v>
          </cell>
          <cell r="BB16">
            <v>2021</v>
          </cell>
          <cell r="BC16">
            <v>1291.5158978948366</v>
          </cell>
          <cell r="BD16">
            <v>1737.2298029465057</v>
          </cell>
          <cell r="BE16">
            <v>1020.0706764668929</v>
          </cell>
          <cell r="BF16">
            <v>2021</v>
          </cell>
          <cell r="BG16">
            <v>7250.4240160619174</v>
          </cell>
          <cell r="BH16">
            <v>9897.2023383944907</v>
          </cell>
          <cell r="BI16">
            <v>5922.4842305330221</v>
          </cell>
          <cell r="BJ16">
            <v>2020</v>
          </cell>
          <cell r="BK16">
            <v>666.7627241318055</v>
          </cell>
          <cell r="BL16">
            <v>716.96323170310018</v>
          </cell>
          <cell r="BM16">
            <v>141.96048245502931</v>
          </cell>
          <cell r="BN16">
            <v>2019</v>
          </cell>
          <cell r="BO16">
            <v>2056.4339091132092</v>
          </cell>
          <cell r="BP16">
            <v>3326.4408158973388</v>
          </cell>
          <cell r="BQ16">
            <v>2159.2556031606082</v>
          </cell>
          <cell r="BR16">
            <v>2010</v>
          </cell>
          <cell r="BS16">
            <v>204.35413238784301</v>
          </cell>
          <cell r="BT16">
            <v>270.91186197161363</v>
          </cell>
          <cell r="BU16">
            <v>108.40955113253617</v>
          </cell>
          <cell r="BV16">
            <v>2014</v>
          </cell>
          <cell r="BW16">
            <v>2062.0724115464632</v>
          </cell>
          <cell r="BX16">
            <v>2103.0429560661937</v>
          </cell>
          <cell r="BY16">
            <v>127.37952000065256</v>
          </cell>
          <cell r="BZ16">
            <v>2025</v>
          </cell>
          <cell r="CA16">
            <v>14789.504696880982</v>
          </cell>
          <cell r="CB16">
            <v>19403.670181776655</v>
          </cell>
          <cell r="CC16">
            <v>4372.097847024279</v>
          </cell>
          <cell r="CD16">
            <v>2029</v>
          </cell>
          <cell r="CE16">
            <v>9671.7987462483743</v>
          </cell>
          <cell r="CF16">
            <v>11002.411228832312</v>
          </cell>
          <cell r="CG16">
            <v>4155.7529086043614</v>
          </cell>
          <cell r="CH16">
            <v>2029</v>
          </cell>
          <cell r="CI16">
            <v>196575.90729297313</v>
          </cell>
          <cell r="CJ16">
            <v>196927.20308725856</v>
          </cell>
          <cell r="CK16">
            <v>5120.6811500932936</v>
          </cell>
          <cell r="CL16">
            <v>2020</v>
          </cell>
          <cell r="CM16">
            <v>8506.1415756722381</v>
          </cell>
          <cell r="CN16">
            <v>10968.859960391253</v>
          </cell>
          <cell r="CO16">
            <v>7135.6488745980359</v>
          </cell>
          <cell r="CP16">
            <v>2029</v>
          </cell>
          <cell r="CQ16">
            <v>3026.5193274384724</v>
          </cell>
          <cell r="CR16">
            <v>4331.2305502798399</v>
          </cell>
          <cell r="CS16">
            <v>3098.9421716159527</v>
          </cell>
          <cell r="CT16">
            <v>2021</v>
          </cell>
          <cell r="CU16">
            <v>4137.2845033548683</v>
          </cell>
          <cell r="CV16">
            <v>4215.6659397054182</v>
          </cell>
          <cell r="CW16">
            <v>278.5914435563181</v>
          </cell>
          <cell r="CX16">
            <v>2027</v>
          </cell>
          <cell r="CY16">
            <v>14115.695342873953</v>
          </cell>
          <cell r="CZ16">
            <v>14908.334413533019</v>
          </cell>
          <cell r="DA16">
            <v>1636.6740836922645</v>
          </cell>
          <cell r="DB16">
            <v>2018</v>
          </cell>
          <cell r="DC16">
            <v>495.4002742601611</v>
          </cell>
          <cell r="DD16">
            <v>764.76910548484204</v>
          </cell>
          <cell r="DE16">
            <v>759.1414916992469</v>
          </cell>
          <cell r="DF16">
            <v>2024</v>
          </cell>
          <cell r="DG16">
            <v>1231.3529725023304</v>
          </cell>
          <cell r="DH16">
            <v>1661.498514621602</v>
          </cell>
          <cell r="DI16">
            <v>873.5884616641556</v>
          </cell>
          <cell r="DJ16">
            <v>2016</v>
          </cell>
          <cell r="DK16">
            <v>305.81409258856274</v>
          </cell>
          <cell r="DL16">
            <v>370.05071794783987</v>
          </cell>
          <cell r="DM16">
            <v>221.93310329467911</v>
          </cell>
          <cell r="DN16">
            <v>2024</v>
          </cell>
          <cell r="DO16">
            <v>6667.4222581907434</v>
          </cell>
          <cell r="DP16">
            <v>6742.7476762576416</v>
          </cell>
          <cell r="DQ16">
            <v>253.4149237451268</v>
          </cell>
          <cell r="DR16">
            <v>2029</v>
          </cell>
          <cell r="DS16">
            <v>806.30365997596959</v>
          </cell>
          <cell r="DT16">
            <v>1103.6793862777256</v>
          </cell>
          <cell r="DU16">
            <v>552.20309360988506</v>
          </cell>
          <cell r="DV16">
            <v>2018</v>
          </cell>
          <cell r="DW16">
            <v>1152.2857388237437</v>
          </cell>
          <cell r="DX16">
            <v>1733.3834649179287</v>
          </cell>
          <cell r="DY16">
            <v>540.27414807657976</v>
          </cell>
          <cell r="DZ16">
            <v>2014</v>
          </cell>
          <cell r="EA16">
            <v>813.24190914166604</v>
          </cell>
          <cell r="EB16">
            <v>1055.764501207356</v>
          </cell>
          <cell r="EC16">
            <v>545.53456723535396</v>
          </cell>
          <cell r="ED16">
            <v>2020</v>
          </cell>
          <cell r="EE16">
            <v>724.07056767613449</v>
          </cell>
          <cell r="EF16">
            <v>1110.4291293855633</v>
          </cell>
          <cell r="EG16">
            <v>726.75669455387595</v>
          </cell>
          <cell r="EH16">
            <v>2014</v>
          </cell>
          <cell r="EI16">
            <v>9121.2132608065494</v>
          </cell>
          <cell r="EJ16">
            <v>10463.606079978714</v>
          </cell>
          <cell r="EK16">
            <v>3877.0667468538891</v>
          </cell>
          <cell r="EL16">
            <v>2029</v>
          </cell>
          <cell r="EM16">
            <v>464.41821117888679</v>
          </cell>
          <cell r="EN16">
            <v>557.7106747415271</v>
          </cell>
          <cell r="EO16">
            <v>109.20832969503164</v>
          </cell>
          <cell r="EP16">
            <v>2018</v>
          </cell>
          <cell r="EQ16">
            <v>276.03404991118771</v>
          </cell>
          <cell r="ER16">
            <v>342.66435040510117</v>
          </cell>
          <cell r="ES16">
            <v>286.85965975380469</v>
          </cell>
          <cell r="ET16">
            <v>2029</v>
          </cell>
          <cell r="EU16">
            <v>4170.7689763235967</v>
          </cell>
          <cell r="EV16">
            <v>4389.3199617846658</v>
          </cell>
          <cell r="EW16">
            <v>442.30219074661721</v>
          </cell>
          <cell r="EX16">
            <v>2023</v>
          </cell>
          <cell r="EY16">
            <v>4301.6886461027079</v>
          </cell>
          <cell r="EZ16">
            <v>4576.9328776212042</v>
          </cell>
          <cell r="FA16">
            <v>578.0360816695603</v>
          </cell>
          <cell r="FB16">
            <v>2023</v>
          </cell>
          <cell r="FC16">
            <v>12009.441030447977</v>
          </cell>
          <cell r="FD16">
            <v>12230.634465717689</v>
          </cell>
          <cell r="FE16">
            <v>701.37448330446477</v>
          </cell>
          <cell r="FF16">
            <v>2025</v>
          </cell>
          <cell r="FG16">
            <v>25273.908979325763</v>
          </cell>
          <cell r="FH16">
            <v>32945.17204773397</v>
          </cell>
          <cell r="FI16">
            <v>14761.269014331154</v>
          </cell>
          <cell r="FJ16">
            <v>2012</v>
          </cell>
          <cell r="FK16">
            <v>8465.690594822714</v>
          </cell>
          <cell r="FL16">
            <v>8812.413764163517</v>
          </cell>
          <cell r="FM16">
            <v>9537.4884721436902</v>
          </cell>
          <cell r="FN16">
            <v>2110</v>
          </cell>
          <cell r="FO16">
            <v>186.17624504932976</v>
          </cell>
          <cell r="FP16">
            <v>251.69404852721743</v>
          </cell>
          <cell r="FQ16">
            <v>108.32176129846292</v>
          </cell>
          <cell r="FR16">
            <v>2014</v>
          </cell>
          <cell r="FS16">
            <v>1294.7482625518721</v>
          </cell>
          <cell r="FT16">
            <v>1778.7457471163987</v>
          </cell>
          <cell r="FU16">
            <v>976.08054781534861</v>
          </cell>
          <cell r="FV16">
            <v>2016</v>
          </cell>
          <cell r="FW16">
            <v>1429.9842004277223</v>
          </cell>
          <cell r="FX16">
            <v>1884.5551326559441</v>
          </cell>
          <cell r="FY16">
            <v>945.09714164701859</v>
          </cell>
          <cell r="FZ16">
            <v>2021</v>
          </cell>
          <cell r="GA16">
            <v>1429.500199397748</v>
          </cell>
          <cell r="GB16">
            <v>2133.4270723648447</v>
          </cell>
          <cell r="GC16">
            <v>1585.876942078788</v>
          </cell>
          <cell r="GD16">
            <v>2021</v>
          </cell>
          <cell r="GE16">
            <v>6605.0749117840878</v>
          </cell>
          <cell r="GF16">
            <v>8066.3100107101563</v>
          </cell>
          <cell r="GG16">
            <v>3241.1671895051804</v>
          </cell>
          <cell r="GH16">
            <v>2020</v>
          </cell>
          <cell r="GI16">
            <v>563.89989064968415</v>
          </cell>
          <cell r="GJ16">
            <v>728.58763231572436</v>
          </cell>
          <cell r="GK16">
            <v>276.19952027396636</v>
          </cell>
          <cell r="GL16">
            <v>2018</v>
          </cell>
          <cell r="GM16">
            <v>0</v>
          </cell>
          <cell r="GN16">
            <v>0</v>
          </cell>
          <cell r="GO16">
            <v>0</v>
          </cell>
          <cell r="GP16">
            <v>0</v>
          </cell>
        </row>
        <row r="17">
          <cell r="B17" t="str">
            <v>Range Width</v>
          </cell>
          <cell r="C17">
            <v>349.51994949434118</v>
          </cell>
          <cell r="D17">
            <v>374.99555158236308</v>
          </cell>
          <cell r="E17">
            <v>80.471521709848361</v>
          </cell>
          <cell r="F17">
            <v>9</v>
          </cell>
          <cell r="G17">
            <v>13187.388112620187</v>
          </cell>
          <cell r="H17">
            <v>13935.040947489555</v>
          </cell>
          <cell r="I17">
            <v>16264.466863076364</v>
          </cell>
          <cell r="J17">
            <v>100</v>
          </cell>
          <cell r="K17">
            <v>303.93350511475847</v>
          </cell>
          <cell r="L17">
            <v>484.82758352825226</v>
          </cell>
          <cell r="M17">
            <v>343.409674279066</v>
          </cell>
          <cell r="N17">
            <v>4</v>
          </cell>
          <cell r="O17">
            <v>8718.3823140924396</v>
          </cell>
          <cell r="P17">
            <v>9617.2744757154287</v>
          </cell>
          <cell r="Q17">
            <v>3922.0649092748354</v>
          </cell>
          <cell r="R17">
            <v>19</v>
          </cell>
          <cell r="S17">
            <v>584.90803910693137</v>
          </cell>
          <cell r="T17">
            <v>692.7026876686175</v>
          </cell>
          <cell r="U17">
            <v>237.71040172555718</v>
          </cell>
          <cell r="V17">
            <v>7</v>
          </cell>
          <cell r="W17">
            <v>8057.2487633938144</v>
          </cell>
          <cell r="X17">
            <v>8558.9730843177385</v>
          </cell>
          <cell r="Y17">
            <v>1138.6876497741855</v>
          </cell>
          <cell r="Z17">
            <v>3</v>
          </cell>
          <cell r="AA17">
            <v>6268.2905023641215</v>
          </cell>
          <cell r="AB17">
            <v>7453.2439283602589</v>
          </cell>
          <cell r="AC17">
            <v>3968.8197682220462</v>
          </cell>
          <cell r="AD17">
            <v>19</v>
          </cell>
          <cell r="AE17">
            <v>557.03862569594321</v>
          </cell>
          <cell r="AF17">
            <v>647.2335160706441</v>
          </cell>
          <cell r="AG17">
            <v>251.37416465293484</v>
          </cell>
          <cell r="AH17">
            <v>6</v>
          </cell>
          <cell r="AI17">
            <v>1303.965384829186</v>
          </cell>
          <cell r="AJ17">
            <v>1427.0891637103432</v>
          </cell>
          <cell r="AK17">
            <v>350.43157819796954</v>
          </cell>
          <cell r="AL17">
            <v>11</v>
          </cell>
          <cell r="AM17">
            <v>119.64424111560427</v>
          </cell>
          <cell r="AN17">
            <v>133.3357659845401</v>
          </cell>
          <cell r="AO17">
            <v>46.440720277963329</v>
          </cell>
          <cell r="AP17">
            <v>4</v>
          </cell>
          <cell r="AQ17">
            <v>2617.4629085314473</v>
          </cell>
          <cell r="AR17">
            <v>2690.1245246959675</v>
          </cell>
          <cell r="AS17">
            <v>347.24877219419363</v>
          </cell>
          <cell r="AT17">
            <v>4</v>
          </cell>
          <cell r="AU17">
            <v>362.06006568435987</v>
          </cell>
          <cell r="AV17">
            <v>393.93207553026105</v>
          </cell>
          <cell r="AW17">
            <v>114.82030358434292</v>
          </cell>
          <cell r="AX17">
            <v>9</v>
          </cell>
          <cell r="AY17">
            <v>580.09608788261619</v>
          </cell>
          <cell r="AZ17">
            <v>695.04315269688664</v>
          </cell>
          <cell r="BA17">
            <v>450.25503969561498</v>
          </cell>
          <cell r="BB17">
            <v>11</v>
          </cell>
          <cell r="BC17">
            <v>629.50715373087394</v>
          </cell>
          <cell r="BD17">
            <v>795.26284487266628</v>
          </cell>
          <cell r="BE17">
            <v>418.08593927174309</v>
          </cell>
          <cell r="BF17">
            <v>11</v>
          </cell>
          <cell r="BG17">
            <v>3561.4425329522642</v>
          </cell>
          <cell r="BH17">
            <v>4189.3248539658998</v>
          </cell>
          <cell r="BI17">
            <v>1889.0233778560669</v>
          </cell>
          <cell r="BJ17">
            <v>10</v>
          </cell>
          <cell r="BK17">
            <v>216.17200746208988</v>
          </cell>
          <cell r="BL17">
            <v>229.58243928488668</v>
          </cell>
          <cell r="BM17">
            <v>62.352453607501246</v>
          </cell>
          <cell r="BN17">
            <v>4</v>
          </cell>
          <cell r="BO17">
            <v>672.09353310431993</v>
          </cell>
          <cell r="BP17">
            <v>1087.1632441868919</v>
          </cell>
          <cell r="BQ17">
            <v>705.6982078963988</v>
          </cell>
          <cell r="BR17">
            <v>0</v>
          </cell>
          <cell r="BS17">
            <v>109.06291908113825</v>
          </cell>
          <cell r="BT17">
            <v>129.94494745996153</v>
          </cell>
          <cell r="BU17">
            <v>45.36278553759437</v>
          </cell>
          <cell r="BV17">
            <v>4</v>
          </cell>
          <cell r="BW17">
            <v>1493.9395415524582</v>
          </cell>
          <cell r="BX17">
            <v>1501.2429225449459</v>
          </cell>
          <cell r="BY17">
            <v>64.2917109432627</v>
          </cell>
          <cell r="BZ17">
            <v>15</v>
          </cell>
          <cell r="CA17">
            <v>7487.0921084546044</v>
          </cell>
          <cell r="CB17">
            <v>8414.95155943809</v>
          </cell>
          <cell r="CC17">
            <v>1945.5561401457262</v>
          </cell>
          <cell r="CD17">
            <v>19</v>
          </cell>
          <cell r="CE17">
            <v>8428.9085809097833</v>
          </cell>
          <cell r="CF17">
            <v>9450.6464060385842</v>
          </cell>
          <cell r="CG17">
            <v>3656.1032961643855</v>
          </cell>
          <cell r="CH17">
            <v>19</v>
          </cell>
          <cell r="CI17">
            <v>37877.593103346997</v>
          </cell>
          <cell r="CJ17">
            <v>37978.388161429524</v>
          </cell>
          <cell r="CK17">
            <v>1406.7907291560573</v>
          </cell>
          <cell r="CL17">
            <v>3</v>
          </cell>
          <cell r="CM17">
            <v>4323.6158473832193</v>
          </cell>
          <cell r="CN17">
            <v>5308.8342880706186</v>
          </cell>
          <cell r="CO17">
            <v>3553.2431969443819</v>
          </cell>
          <cell r="CP17">
            <v>19</v>
          </cell>
          <cell r="CQ17">
            <v>1761.190195563111</v>
          </cell>
          <cell r="CR17">
            <v>2666.0158021358461</v>
          </cell>
          <cell r="CS17">
            <v>2233.8094894461256</v>
          </cell>
          <cell r="CT17">
            <v>11</v>
          </cell>
          <cell r="CU17">
            <v>3020.426384239021</v>
          </cell>
          <cell r="CV17">
            <v>3047.5194525811148</v>
          </cell>
          <cell r="CW17">
            <v>209.36605966185311</v>
          </cell>
          <cell r="CX17">
            <v>17</v>
          </cell>
          <cell r="CY17">
            <v>9315.0525813613604</v>
          </cell>
          <cell r="CZ17">
            <v>9467.8754841423906</v>
          </cell>
          <cell r="DA17">
            <v>776.16636757566016</v>
          </cell>
          <cell r="DB17">
            <v>8</v>
          </cell>
          <cell r="DC17">
            <v>237.04537522544013</v>
          </cell>
          <cell r="DD17">
            <v>384.2211993899644</v>
          </cell>
          <cell r="DE17">
            <v>452.61241327866617</v>
          </cell>
          <cell r="DF17">
            <v>9</v>
          </cell>
          <cell r="DG17">
            <v>476.30993167884253</v>
          </cell>
          <cell r="DH17">
            <v>600.25163230740759</v>
          </cell>
          <cell r="DI17">
            <v>278.59195138778364</v>
          </cell>
          <cell r="DJ17">
            <v>6</v>
          </cell>
          <cell r="DK17">
            <v>85.836440745601379</v>
          </cell>
          <cell r="DL17">
            <v>79.947948476244449</v>
          </cell>
          <cell r="DM17">
            <v>59.450255271046103</v>
          </cell>
          <cell r="DN17">
            <v>9</v>
          </cell>
          <cell r="DO17">
            <v>5771.8519850035909</v>
          </cell>
          <cell r="DP17">
            <v>5786.4378268992186</v>
          </cell>
          <cell r="DQ17">
            <v>155.20204416414902</v>
          </cell>
          <cell r="DR17">
            <v>19</v>
          </cell>
          <cell r="DS17">
            <v>396.06245980243108</v>
          </cell>
          <cell r="DT17">
            <v>452.82322541957558</v>
          </cell>
          <cell r="DU17">
            <v>262.20803276392957</v>
          </cell>
          <cell r="DV17">
            <v>8</v>
          </cell>
          <cell r="DW17">
            <v>486.00289422173023</v>
          </cell>
          <cell r="DX17">
            <v>603.8411162029588</v>
          </cell>
          <cell r="DY17">
            <v>163.0359611335553</v>
          </cell>
          <cell r="DZ17">
            <v>4</v>
          </cell>
          <cell r="EA17">
            <v>438.06693605173348</v>
          </cell>
          <cell r="EB17">
            <v>488.7489115641531</v>
          </cell>
          <cell r="EC17">
            <v>166.85421816979743</v>
          </cell>
          <cell r="ED17">
            <v>10</v>
          </cell>
          <cell r="EE17">
            <v>298.49368951073058</v>
          </cell>
          <cell r="EF17">
            <v>468.24398924064155</v>
          </cell>
          <cell r="EG17">
            <v>313.10069638924688</v>
          </cell>
          <cell r="EH17">
            <v>4</v>
          </cell>
          <cell r="EI17">
            <v>7604.7147544341942</v>
          </cell>
          <cell r="EJ17">
            <v>8635.0279018602832</v>
          </cell>
          <cell r="EK17">
            <v>3366.7943837870534</v>
          </cell>
          <cell r="EL17">
            <v>19</v>
          </cell>
          <cell r="EM17">
            <v>324.18024705440331</v>
          </cell>
          <cell r="EN17">
            <v>326.75482286078989</v>
          </cell>
          <cell r="EO17">
            <v>52.662884369010094</v>
          </cell>
          <cell r="EP17">
            <v>8</v>
          </cell>
          <cell r="EQ17">
            <v>219.10592030872539</v>
          </cell>
          <cell r="ER17">
            <v>252.35600679100628</v>
          </cell>
          <cell r="ES17">
            <v>239.03159540781934</v>
          </cell>
          <cell r="ET17">
            <v>19</v>
          </cell>
          <cell r="EU17">
            <v>760.69650925292262</v>
          </cell>
          <cell r="EV17">
            <v>815.97446643615604</v>
          </cell>
          <cell r="EW17">
            <v>204.75792453632755</v>
          </cell>
          <cell r="EX17">
            <v>8</v>
          </cell>
          <cell r="EY17">
            <v>862.99519953543449</v>
          </cell>
          <cell r="EZ17">
            <v>923.82761488657388</v>
          </cell>
          <cell r="FA17">
            <v>268.57854976612003</v>
          </cell>
          <cell r="FB17">
            <v>8</v>
          </cell>
          <cell r="FC17">
            <v>10494.954564615538</v>
          </cell>
          <cell r="FD17">
            <v>10541.116262594021</v>
          </cell>
          <cell r="FE17">
            <v>362.12541336685325</v>
          </cell>
          <cell r="FF17">
            <v>15</v>
          </cell>
          <cell r="FG17">
            <v>8325.8420632146008</v>
          </cell>
          <cell r="FH17">
            <v>9417.9723262447405</v>
          </cell>
          <cell r="FI17">
            <v>1653.5710241670822</v>
          </cell>
          <cell r="FJ17">
            <v>2</v>
          </cell>
          <cell r="FK17">
            <v>8465.6905986402126</v>
          </cell>
          <cell r="FL17">
            <v>8812.4137682936216</v>
          </cell>
          <cell r="FM17">
            <v>9070.2121427807742</v>
          </cell>
          <cell r="FN17">
            <v>100</v>
          </cell>
          <cell r="FO17">
            <v>84.966116702215814</v>
          </cell>
          <cell r="FP17">
            <v>106.84291338546424</v>
          </cell>
          <cell r="FQ17">
            <v>46.986322803125177</v>
          </cell>
          <cell r="FR17">
            <v>4</v>
          </cell>
          <cell r="FS17">
            <v>464.97154433021751</v>
          </cell>
          <cell r="FT17">
            <v>590.26875250342346</v>
          </cell>
          <cell r="FU17">
            <v>306.65478252691457</v>
          </cell>
          <cell r="FV17">
            <v>6</v>
          </cell>
          <cell r="FW17">
            <v>401.94136734576091</v>
          </cell>
          <cell r="FX17">
            <v>525.12845634852806</v>
          </cell>
          <cell r="FY17">
            <v>369.87998225364709</v>
          </cell>
          <cell r="FZ17">
            <v>11</v>
          </cell>
          <cell r="GA17">
            <v>556.53956017214523</v>
          </cell>
          <cell r="GB17">
            <v>840.69335068435748</v>
          </cell>
          <cell r="GC17">
            <v>677.75272022847935</v>
          </cell>
          <cell r="GD17">
            <v>11</v>
          </cell>
          <cell r="GE17">
            <v>4678.9618529622112</v>
          </cell>
          <cell r="GF17">
            <v>5288.1164752853638</v>
          </cell>
          <cell r="GG17">
            <v>1603.2907866750663</v>
          </cell>
          <cell r="GH17">
            <v>10</v>
          </cell>
          <cell r="GI17">
            <v>338.80162320468662</v>
          </cell>
          <cell r="GJ17">
            <v>361.61524526785496</v>
          </cell>
          <cell r="GK17">
            <v>132.20379577207058</v>
          </cell>
          <cell r="GL17">
            <v>8</v>
          </cell>
          <cell r="GM17">
            <v>0</v>
          </cell>
          <cell r="GN17">
            <v>0</v>
          </cell>
          <cell r="GO17">
            <v>0</v>
          </cell>
          <cell r="GP17">
            <v>0</v>
          </cell>
        </row>
        <row r="18">
          <cell r="B18" t="str">
            <v>Mean Std. Error</v>
          </cell>
          <cell r="C18">
            <v>1.9434314665155197</v>
          </cell>
          <cell r="D18">
            <v>2.0328358194236729</v>
          </cell>
          <cell r="E18">
            <v>0.61020609514927127</v>
          </cell>
          <cell r="F18">
            <v>9.0874959467711777E-2</v>
          </cell>
          <cell r="G18">
            <v>102.3296863468947</v>
          </cell>
          <cell r="H18">
            <v>110.61237054225317</v>
          </cell>
          <cell r="I18">
            <v>196.06247806486127</v>
          </cell>
          <cell r="J18">
            <v>1.2793656144259133</v>
          </cell>
          <cell r="K18">
            <v>1.8444334285729285</v>
          </cell>
          <cell r="L18">
            <v>2.9635289842807397</v>
          </cell>
          <cell r="M18">
            <v>2.074399530835342</v>
          </cell>
          <cell r="N18">
            <v>4.4743737014268294E-2</v>
          </cell>
          <cell r="O18">
            <v>48.243877712132594</v>
          </cell>
          <cell r="P18">
            <v>51.831289562836972</v>
          </cell>
          <cell r="Q18">
            <v>24.392504514982733</v>
          </cell>
          <cell r="R18">
            <v>0.1824370666374662</v>
          </cell>
          <cell r="S18">
            <v>3.3530559798323343</v>
          </cell>
          <cell r="T18">
            <v>3.7190478268786076</v>
          </cell>
          <cell r="U18">
            <v>1.4604705346642821</v>
          </cell>
          <cell r="V18">
            <v>7.2479267685623627E-2</v>
          </cell>
          <cell r="W18">
            <v>53.881914492267505</v>
          </cell>
          <cell r="X18">
            <v>55.089418099259227</v>
          </cell>
          <cell r="Y18">
            <v>7.3904727670636676</v>
          </cell>
          <cell r="Z18">
            <v>3.1638599858416633E-2</v>
          </cell>
          <cell r="AA18">
            <v>40.619650095341761</v>
          </cell>
          <cell r="AB18">
            <v>45.891233051231794</v>
          </cell>
          <cell r="AC18">
            <v>28.91460998614782</v>
          </cell>
          <cell r="AD18">
            <v>0.1824370666374662</v>
          </cell>
          <cell r="AE18">
            <v>3.2501361656668597</v>
          </cell>
          <cell r="AF18">
            <v>3.655818148829971</v>
          </cell>
          <cell r="AG18">
            <v>1.4875497300114053</v>
          </cell>
          <cell r="AH18">
            <v>6.1083804983246559E-2</v>
          </cell>
          <cell r="AI18">
            <v>8.1767293834830248</v>
          </cell>
          <cell r="AJ18">
            <v>8.3078352647684266</v>
          </cell>
          <cell r="AK18">
            <v>2.082033129766943</v>
          </cell>
          <cell r="AL18">
            <v>0.10458698981440302</v>
          </cell>
          <cell r="AM18">
            <v>0.71914876948843354</v>
          </cell>
          <cell r="AN18">
            <v>0.75348736387456272</v>
          </cell>
          <cell r="AO18">
            <v>0.29151518452151459</v>
          </cell>
          <cell r="AP18">
            <v>4.1853933527826889E-2</v>
          </cell>
          <cell r="AQ18">
            <v>17.027054416510438</v>
          </cell>
          <cell r="AR18">
            <v>17.094468757136436</v>
          </cell>
          <cell r="AS18">
            <v>2.122603340709003</v>
          </cell>
          <cell r="AT18">
            <v>4.4743737014268294E-2</v>
          </cell>
          <cell r="AU18">
            <v>2.0484140242278852</v>
          </cell>
          <cell r="AV18">
            <v>2.2124154874718074</v>
          </cell>
          <cell r="AW18">
            <v>0.86026523861200366</v>
          </cell>
          <cell r="AX18">
            <v>9.0874959467711777E-2</v>
          </cell>
          <cell r="AY18">
            <v>3.3546653664705053</v>
          </cell>
          <cell r="AZ18">
            <v>3.973528104975895</v>
          </cell>
          <cell r="BA18">
            <v>2.8937682171578878</v>
          </cell>
          <cell r="BB18">
            <v>0.10458698981440302</v>
          </cell>
          <cell r="BC18">
            <v>3.3514482472209424</v>
          </cell>
          <cell r="BD18">
            <v>4.1201384368847274</v>
          </cell>
          <cell r="BE18">
            <v>2.5967735278813833</v>
          </cell>
          <cell r="BF18">
            <v>0.10109510482817739</v>
          </cell>
          <cell r="BG18">
            <v>22.121723856108396</v>
          </cell>
          <cell r="BH18">
            <v>26.388126038329634</v>
          </cell>
          <cell r="BI18">
            <v>13.603831939755899</v>
          </cell>
          <cell r="BJ18">
            <v>0.10816283649756601</v>
          </cell>
          <cell r="BK18">
            <v>1.3364377859107845</v>
          </cell>
          <cell r="BL18">
            <v>1.3832706622319144</v>
          </cell>
          <cell r="BM18">
            <v>0.36787969460039271</v>
          </cell>
          <cell r="BN18">
            <v>4.4743737014268294E-2</v>
          </cell>
          <cell r="BO18">
            <v>4.4316898582851385</v>
          </cell>
          <cell r="BP18">
            <v>7.1686009283064296</v>
          </cell>
          <cell r="BQ18">
            <v>4.6532743532336767</v>
          </cell>
          <cell r="BR18">
            <v>0</v>
          </cell>
          <cell r="BS18">
            <v>0.54778359408267108</v>
          </cell>
          <cell r="BT18">
            <v>0.63700365597814357</v>
          </cell>
          <cell r="BU18">
            <v>0.28770158889840203</v>
          </cell>
          <cell r="BV18">
            <v>4.1853933527826889E-2</v>
          </cell>
          <cell r="BW18">
            <v>9.240649728378127</v>
          </cell>
          <cell r="BX18">
            <v>9.2630049161903258</v>
          </cell>
          <cell r="BY18">
            <v>0.38349355635695287</v>
          </cell>
          <cell r="BZ18">
            <v>0.13039476137404504</v>
          </cell>
          <cell r="CA18">
            <v>43.538166146062991</v>
          </cell>
          <cell r="CB18">
            <v>47.478023967773986</v>
          </cell>
          <cell r="CC18">
            <v>15.148193349301421</v>
          </cell>
          <cell r="CD18">
            <v>0.1824370666374662</v>
          </cell>
          <cell r="CE18">
            <v>46.139991940848368</v>
          </cell>
          <cell r="CF18">
            <v>49.432922700881491</v>
          </cell>
          <cell r="CG18">
            <v>22.047142685721656</v>
          </cell>
          <cell r="CH18">
            <v>0.1824370666374662</v>
          </cell>
          <cell r="CI18">
            <v>228.97308735750028</v>
          </cell>
          <cell r="CJ18">
            <v>229.35866800884733</v>
          </cell>
          <cell r="CK18">
            <v>9.0191894434619595</v>
          </cell>
          <cell r="CL18">
            <v>3.1638599858416633E-2</v>
          </cell>
          <cell r="CM18">
            <v>25.017675139458156</v>
          </cell>
          <cell r="CN18">
            <v>30.589650463439124</v>
          </cell>
          <cell r="CO18">
            <v>24.458159643303027</v>
          </cell>
          <cell r="CP18">
            <v>0.1824370666374662</v>
          </cell>
          <cell r="CQ18">
            <v>9.689551522237327</v>
          </cell>
          <cell r="CR18">
            <v>15.241986045119772</v>
          </cell>
          <cell r="CS18">
            <v>12.957247538085856</v>
          </cell>
          <cell r="CT18">
            <v>0.10458698981440302</v>
          </cell>
          <cell r="CU18">
            <v>18.181013284262743</v>
          </cell>
          <cell r="CV18">
            <v>18.234081925613307</v>
          </cell>
          <cell r="CW18">
            <v>1.3340375552167951</v>
          </cell>
          <cell r="CX18">
            <v>0.15686620734564552</v>
          </cell>
          <cell r="CY18">
            <v>60.108081808692809</v>
          </cell>
          <cell r="CZ18">
            <v>60.382645946398483</v>
          </cell>
          <cell r="DA18">
            <v>4.5872298340014357</v>
          </cell>
          <cell r="DB18">
            <v>7.3793261517873326E-2</v>
          </cell>
          <cell r="DC18">
            <v>1.5959959769469534</v>
          </cell>
          <cell r="DD18">
            <v>2.6186791783191339</v>
          </cell>
          <cell r="DE18">
            <v>2.8800575555765691</v>
          </cell>
          <cell r="DF18">
            <v>9.0874959467711777E-2</v>
          </cell>
          <cell r="DG18">
            <v>2.486058666361791</v>
          </cell>
          <cell r="DH18">
            <v>3.0079551282937476</v>
          </cell>
          <cell r="DI18">
            <v>1.5795718443861675</v>
          </cell>
          <cell r="DJ18">
            <v>6.1083804983246559E-2</v>
          </cell>
          <cell r="DK18">
            <v>0.47727361848064515</v>
          </cell>
          <cell r="DL18">
            <v>0.48219844859731548</v>
          </cell>
          <cell r="DM18">
            <v>0.44653221205096283</v>
          </cell>
          <cell r="DN18">
            <v>9.0874959467711777E-2</v>
          </cell>
          <cell r="DO18">
            <v>36.92440648371123</v>
          </cell>
          <cell r="DP18">
            <v>36.972653691703762</v>
          </cell>
          <cell r="DQ18">
            <v>0.96140104544583627</v>
          </cell>
          <cell r="DR18">
            <v>0.1824370666374662</v>
          </cell>
          <cell r="DS18">
            <v>2.0672018755566302</v>
          </cell>
          <cell r="DT18">
            <v>2.2411687091954136</v>
          </cell>
          <cell r="DU18">
            <v>1.566855085553605</v>
          </cell>
          <cell r="DV18">
            <v>7.3793261517873326E-2</v>
          </cell>
          <cell r="DW18">
            <v>3.1868684174730344</v>
          </cell>
          <cell r="DX18">
            <v>3.3683894418571603</v>
          </cell>
          <cell r="DY18">
            <v>0.99744678147083854</v>
          </cell>
          <cell r="DZ18">
            <v>4.4743737014268294E-2</v>
          </cell>
          <cell r="EA18">
            <v>2.9267506063481514</v>
          </cell>
          <cell r="EB18">
            <v>3.2284159249053488</v>
          </cell>
          <cell r="EC18">
            <v>1.2728227561820329</v>
          </cell>
          <cell r="ED18">
            <v>0.10816283649756601</v>
          </cell>
          <cell r="EE18">
            <v>1.6432323001889328</v>
          </cell>
          <cell r="EF18">
            <v>2.6408126482853427</v>
          </cell>
          <cell r="EG18">
            <v>1.9271698264482433</v>
          </cell>
          <cell r="EH18">
            <v>4.4743737014268294E-2</v>
          </cell>
          <cell r="EI18">
            <v>44.433912823612687</v>
          </cell>
          <cell r="EJ18">
            <v>47.598022893534392</v>
          </cell>
          <cell r="EK18">
            <v>22.062085843810646</v>
          </cell>
          <cell r="EL18">
            <v>0.1824370666374662</v>
          </cell>
          <cell r="EM18">
            <v>2.4640589907791868</v>
          </cell>
          <cell r="EN18">
            <v>2.4142469657226644</v>
          </cell>
          <cell r="EO18">
            <v>0.30973074478141421</v>
          </cell>
          <cell r="EP18">
            <v>7.6311358416839253E-2</v>
          </cell>
          <cell r="EQ18">
            <v>1.4322677342895558</v>
          </cell>
          <cell r="ER18">
            <v>1.6210900509676698</v>
          </cell>
          <cell r="ES18">
            <v>1.5802863780473324</v>
          </cell>
          <cell r="ET18">
            <v>0.1824370666374662</v>
          </cell>
          <cell r="EU18">
            <v>4.6513101935843597</v>
          </cell>
          <cell r="EV18">
            <v>4.8236668475725608</v>
          </cell>
          <cell r="EW18">
            <v>1.1941870221868418</v>
          </cell>
          <cell r="EX18">
            <v>7.6311358416839253E-2</v>
          </cell>
          <cell r="EY18">
            <v>4.7323399634644794</v>
          </cell>
          <cell r="EZ18">
            <v>4.9810413129191415</v>
          </cell>
          <cell r="FA18">
            <v>1.6054145225068499</v>
          </cell>
          <cell r="FB18">
            <v>7.6311358416839253E-2</v>
          </cell>
          <cell r="FC18">
            <v>73.650305179754696</v>
          </cell>
          <cell r="FD18">
            <v>73.776547258477365</v>
          </cell>
          <cell r="FE18">
            <v>2.2493478913541001</v>
          </cell>
          <cell r="FF18">
            <v>0.15176637649042377</v>
          </cell>
          <cell r="FG18">
            <v>52.157879329678138</v>
          </cell>
          <cell r="FH18">
            <v>55.381631571933895</v>
          </cell>
          <cell r="FI18">
            <v>9.2748023228843905</v>
          </cell>
          <cell r="FJ18">
            <v>2.4507154069793594E-2</v>
          </cell>
          <cell r="FK18">
            <v>92.191316195572753</v>
          </cell>
          <cell r="FL18">
            <v>76.486028627160309</v>
          </cell>
          <cell r="FM18">
            <v>82.255988721325295</v>
          </cell>
          <cell r="FN18">
            <v>1.0698525994661989</v>
          </cell>
          <cell r="FO18">
            <v>0.51174463319774965</v>
          </cell>
          <cell r="FP18">
            <v>0.60735754325323854</v>
          </cell>
          <cell r="FQ18">
            <v>0.28905416282432872</v>
          </cell>
          <cell r="FR18">
            <v>4.1853933527826889E-2</v>
          </cell>
          <cell r="FS18">
            <v>2.515102227068339</v>
          </cell>
          <cell r="FT18">
            <v>3.1651508774309041</v>
          </cell>
          <cell r="FU18">
            <v>1.7560469855120577</v>
          </cell>
          <cell r="FV18">
            <v>6.1083804983246559E-2</v>
          </cell>
          <cell r="FW18">
            <v>2.4879616726350804</v>
          </cell>
          <cell r="FX18">
            <v>2.9268345929302844</v>
          </cell>
          <cell r="FY18">
            <v>2.3519431382661367</v>
          </cell>
          <cell r="FZ18">
            <v>0.10458698981440302</v>
          </cell>
          <cell r="GA18">
            <v>3.1773162686724037</v>
          </cell>
          <cell r="GB18">
            <v>4.8237567600993918</v>
          </cell>
          <cell r="GC18">
            <v>3.8207759965708705</v>
          </cell>
          <cell r="GD18">
            <v>0.10109510482817739</v>
          </cell>
          <cell r="GE18">
            <v>28.458707154812362</v>
          </cell>
          <cell r="GF18">
            <v>30.395449846190385</v>
          </cell>
          <cell r="GG18">
            <v>9.5482060034962668</v>
          </cell>
          <cell r="GH18">
            <v>0.10816283649756601</v>
          </cell>
          <cell r="GI18">
            <v>2.32893091027444</v>
          </cell>
          <cell r="GJ18">
            <v>2.262910712191105</v>
          </cell>
          <cell r="GK18">
            <v>0.76943911152445754</v>
          </cell>
          <cell r="GL18">
            <v>7.6311358416839253E-2</v>
          </cell>
          <cell r="GM18">
            <v>0</v>
          </cell>
          <cell r="GN18">
            <v>0</v>
          </cell>
          <cell r="GO18">
            <v>0</v>
          </cell>
          <cell r="GP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row>
        <row r="21">
          <cell r="B21" t="str">
            <v>Percentiles</v>
          </cell>
          <cell r="C21" t="str">
            <v>H-1-20 Yr NPV</v>
          </cell>
          <cell r="D21" t="str">
            <v>H-1-40 Yr NPV</v>
          </cell>
          <cell r="E21" t="str">
            <v>H-1-Capital Cost</v>
          </cell>
          <cell r="F21" t="str">
            <v>H-1-Install Year</v>
          </cell>
          <cell r="G21" t="str">
            <v>H-10-20 Yr NPV</v>
          </cell>
          <cell r="H21" t="str">
            <v>H-10-40 Yr NPV</v>
          </cell>
          <cell r="I21" t="str">
            <v>H-10-Capital Cost</v>
          </cell>
          <cell r="J21" t="str">
            <v>H-10-Install Year</v>
          </cell>
          <cell r="K21" t="str">
            <v>H-11-20 Yr NPV</v>
          </cell>
          <cell r="L21" t="str">
            <v>H-11-40 Yr NPV</v>
          </cell>
          <cell r="M21" t="str">
            <v>H-11-Capital Cost</v>
          </cell>
          <cell r="N21" t="str">
            <v>H-11-Install Year</v>
          </cell>
          <cell r="O21" t="str">
            <v>H-2-20 Yr NPV</v>
          </cell>
          <cell r="P21" t="str">
            <v>H-2-40 Yr NPV</v>
          </cell>
          <cell r="Q21" t="str">
            <v>H-2-Capital Cost</v>
          </cell>
          <cell r="R21" t="str">
            <v>H-2-Install Year</v>
          </cell>
          <cell r="S21" t="str">
            <v>H-3-20 Yr NPV</v>
          </cell>
          <cell r="T21" t="str">
            <v>H-3-40 Yr NPV</v>
          </cell>
          <cell r="U21" t="str">
            <v>H-3-Capital Cost</v>
          </cell>
          <cell r="V21" t="str">
            <v>H-3-Install Year</v>
          </cell>
          <cell r="W21" t="str">
            <v>H-4-20 Yr NPV</v>
          </cell>
          <cell r="X21" t="str">
            <v>H-4-40 Yr NPV</v>
          </cell>
          <cell r="Y21" t="str">
            <v>H-4-Capital Cost</v>
          </cell>
          <cell r="Z21" t="str">
            <v>H-4-Install Year</v>
          </cell>
          <cell r="AA21" t="str">
            <v>H-5-20 Yr NPV</v>
          </cell>
          <cell r="AB21" t="str">
            <v>H-5-40 Yr NPV</v>
          </cell>
          <cell r="AC21" t="str">
            <v>H-5-Capital Cost</v>
          </cell>
          <cell r="AD21" t="str">
            <v>H-5-Install Year</v>
          </cell>
          <cell r="AE21" t="str">
            <v>H-6-20 Yr NPV</v>
          </cell>
          <cell r="AF21" t="str">
            <v>H-6-40 Yr NPV</v>
          </cell>
          <cell r="AG21" t="str">
            <v>H-6-Capital Cost</v>
          </cell>
          <cell r="AH21" t="str">
            <v>H-6-Install Year</v>
          </cell>
          <cell r="AI21" t="str">
            <v>H-7-20 Yr NPV</v>
          </cell>
          <cell r="AJ21" t="str">
            <v>H-7-40 Yr NPV</v>
          </cell>
          <cell r="AK21" t="str">
            <v>H-7-Capital Cost</v>
          </cell>
          <cell r="AL21" t="str">
            <v>H-7-Install Year</v>
          </cell>
          <cell r="AM21" t="str">
            <v>H-8-20 Yr NPV</v>
          </cell>
          <cell r="AN21" t="str">
            <v>H-8-40 Yr NPV</v>
          </cell>
          <cell r="AO21" t="str">
            <v>H-8-Capital Cost</v>
          </cell>
          <cell r="AP21" t="str">
            <v>H-8-Install Year</v>
          </cell>
          <cell r="AQ21" t="str">
            <v>H-9-20 Yr NPV</v>
          </cell>
          <cell r="AR21" t="str">
            <v>H-9-40 Yr NPV</v>
          </cell>
          <cell r="AS21" t="str">
            <v>H-9-Capital Cost</v>
          </cell>
          <cell r="AT21" t="str">
            <v>H-9-Install Year</v>
          </cell>
          <cell r="AU21" t="str">
            <v>K-1-20 Yr NPV</v>
          </cell>
          <cell r="AV21" t="str">
            <v>K-1-40 Yr NPV</v>
          </cell>
          <cell r="AW21" t="str">
            <v>K-1-Capital Cost</v>
          </cell>
          <cell r="AX21" t="str">
            <v>K-1-Install Year</v>
          </cell>
          <cell r="AY21" t="str">
            <v>K-10-20 Yr NPV</v>
          </cell>
          <cell r="AZ21" t="str">
            <v>K-10-40 Yr NPV</v>
          </cell>
          <cell r="BA21" t="str">
            <v>K-10-Capital Cost</v>
          </cell>
          <cell r="BB21" t="str">
            <v>K-10-Install Year</v>
          </cell>
          <cell r="BC21" t="str">
            <v>K-11-20 Yr NPV</v>
          </cell>
          <cell r="BD21" t="str">
            <v>K-11-40 Yr NPV</v>
          </cell>
          <cell r="BE21" t="str">
            <v>K-11-Capital Cost</v>
          </cell>
          <cell r="BF21" t="str">
            <v>K-11-Install Year</v>
          </cell>
          <cell r="BG21" t="str">
            <v>K-12-20 Yr NPV</v>
          </cell>
          <cell r="BH21" t="str">
            <v>K-12-40 Yr NPV</v>
          </cell>
          <cell r="BI21" t="str">
            <v>K-12-Capital Cost</v>
          </cell>
          <cell r="BJ21" t="str">
            <v>K-12-Install Year</v>
          </cell>
          <cell r="BK21" t="str">
            <v>K-13-20 Yr NPV</v>
          </cell>
          <cell r="BL21" t="str">
            <v>K-13-40 Yr NPV</v>
          </cell>
          <cell r="BM21" t="str">
            <v>K-13-Capital Cost</v>
          </cell>
          <cell r="BN21" t="str">
            <v>K-13-Install Year</v>
          </cell>
          <cell r="BO21" t="str">
            <v>K-14-20 Yr NPV</v>
          </cell>
          <cell r="BP21" t="str">
            <v>K-14-40 Yr NPV</v>
          </cell>
          <cell r="BQ21" t="str">
            <v>K-14-Capital Cost</v>
          </cell>
          <cell r="BR21" t="str">
            <v>K-14-Install Year</v>
          </cell>
          <cell r="BS21" t="str">
            <v>K-15-20 Yr NPV</v>
          </cell>
          <cell r="BT21" t="str">
            <v>K-15-40 Yr NPV</v>
          </cell>
          <cell r="BU21" t="str">
            <v>K-15-Capital Cost</v>
          </cell>
          <cell r="BV21" t="str">
            <v>K-15-Install Year</v>
          </cell>
          <cell r="BW21" t="str">
            <v>K-16-20 Yr NPV</v>
          </cell>
          <cell r="BX21" t="str">
            <v>K-16-40 Yr NPV</v>
          </cell>
          <cell r="BY21" t="str">
            <v>K-16-Capital Cost</v>
          </cell>
          <cell r="BZ21" t="str">
            <v>K-16-Install Year</v>
          </cell>
          <cell r="CA21" t="str">
            <v>K-17-20 Yr NPV</v>
          </cell>
          <cell r="CB21" t="str">
            <v>K-17-40 Yr NPV</v>
          </cell>
          <cell r="CC21" t="str">
            <v>K-17-Capital Cost</v>
          </cell>
          <cell r="CD21" t="str">
            <v>K-17-Install Year</v>
          </cell>
          <cell r="CE21" t="str">
            <v>K-2-20 Yr NPV</v>
          </cell>
          <cell r="CF21" t="str">
            <v>K-2-40 Yr NPV</v>
          </cell>
          <cell r="CG21" t="str">
            <v>K-2-Capital Cost</v>
          </cell>
          <cell r="CH21" t="str">
            <v>K-2-Install Year</v>
          </cell>
          <cell r="CI21" t="str">
            <v>K-3-20 Yr NPV</v>
          </cell>
          <cell r="CJ21" t="str">
            <v>K-3-40 Yr NPV</v>
          </cell>
          <cell r="CK21" t="str">
            <v>K-3-Capital Cost</v>
          </cell>
          <cell r="CL21" t="str">
            <v>K-3-Install Year</v>
          </cell>
          <cell r="CM21" t="str">
            <v>K-4-20 Yr NPV</v>
          </cell>
          <cell r="CN21" t="str">
            <v>K-4-40 Yr NPV</v>
          </cell>
          <cell r="CO21" t="str">
            <v>K-4-Capital Cost</v>
          </cell>
          <cell r="CP21" t="str">
            <v>K-4-Install Year</v>
          </cell>
          <cell r="CQ21" t="str">
            <v>K-5-20 Yr NPV</v>
          </cell>
          <cell r="CR21" t="str">
            <v>K-5-40 Yr NPV</v>
          </cell>
          <cell r="CS21" t="str">
            <v>K-5-Capital Cost</v>
          </cell>
          <cell r="CT21" t="str">
            <v>K-5-Install Year</v>
          </cell>
          <cell r="CU21" t="str">
            <v>K-6-20 Yr NPV</v>
          </cell>
          <cell r="CV21" t="str">
            <v>K-6-40 Yr NPV</v>
          </cell>
          <cell r="CW21" t="str">
            <v>K-6-Capital Cost</v>
          </cell>
          <cell r="CX21" t="str">
            <v>K-6-Install Year</v>
          </cell>
          <cell r="CY21" t="str">
            <v>K-7-20 Yr NPV</v>
          </cell>
          <cell r="CZ21" t="str">
            <v>K-7-40 Yr NPV</v>
          </cell>
          <cell r="DA21" t="str">
            <v>K-7-Capital Cost</v>
          </cell>
          <cell r="DB21" t="str">
            <v>K-7-Install Year</v>
          </cell>
          <cell r="DC21" t="str">
            <v>K-8-20 Yr NPV</v>
          </cell>
          <cell r="DD21" t="str">
            <v>K-8-40 Yr NPV</v>
          </cell>
          <cell r="DE21" t="str">
            <v>K-8-Capital Cost</v>
          </cell>
          <cell r="DF21" t="str">
            <v>K-8-Install Year</v>
          </cell>
          <cell r="DG21" t="str">
            <v>K-9-20 Yr NPV</v>
          </cell>
          <cell r="DH21" t="str">
            <v>K-9-40 Yr NPV</v>
          </cell>
          <cell r="DI21" t="str">
            <v>K-9-Capital Cost</v>
          </cell>
          <cell r="DJ21" t="str">
            <v>K-9-Install Year</v>
          </cell>
          <cell r="DK21" t="str">
            <v>LM-1-20 Yr NPV</v>
          </cell>
          <cell r="DL21" t="str">
            <v>LM-1-40 Yr NPV</v>
          </cell>
          <cell r="DM21" t="str">
            <v>LM-1-Capital Cost</v>
          </cell>
          <cell r="DN21" t="str">
            <v>LM-1-Install Year</v>
          </cell>
          <cell r="DO21" t="str">
            <v>LM-2-20 Yr NPV</v>
          </cell>
          <cell r="DP21" t="str">
            <v>LM-2-40 Yr NPV</v>
          </cell>
          <cell r="DQ21" t="str">
            <v>LM-2-Capital Cost</v>
          </cell>
          <cell r="DR21" t="str">
            <v>LM-2-Install Year</v>
          </cell>
          <cell r="DS21" t="str">
            <v>LM-3-20 Yr NPV</v>
          </cell>
          <cell r="DT21" t="str">
            <v>LM-3-40 Yr NPV</v>
          </cell>
          <cell r="DU21" t="str">
            <v>LM-3-Capital Cost</v>
          </cell>
          <cell r="DV21" t="str">
            <v>LM-3-Install Year</v>
          </cell>
          <cell r="DW21" t="str">
            <v>LM-4-20 Yr NPV</v>
          </cell>
          <cell r="DX21" t="str">
            <v>LM-4-40 Yr NPV</v>
          </cell>
          <cell r="DY21" t="str">
            <v>LM-4-Capital Cost</v>
          </cell>
          <cell r="DZ21" t="str">
            <v>LM-4-Install Year</v>
          </cell>
          <cell r="EA21" t="str">
            <v>LM-5-20 Yr NPV</v>
          </cell>
          <cell r="EB21" t="str">
            <v>LM-5-40 Yr NPV</v>
          </cell>
          <cell r="EC21" t="str">
            <v>LM-5-Capital Cost</v>
          </cell>
          <cell r="ED21" t="str">
            <v>LM-5-Install Year</v>
          </cell>
          <cell r="EE21" t="str">
            <v>LM-6-20 Yr NPV</v>
          </cell>
          <cell r="EF21" t="str">
            <v>LM-6-40 Yr NPV</v>
          </cell>
          <cell r="EG21" t="str">
            <v>LM-6-Capital Cost</v>
          </cell>
          <cell r="EH21" t="str">
            <v>LM-6-Install Year</v>
          </cell>
          <cell r="EI21" t="str">
            <v>M-1-20 Yr NPV</v>
          </cell>
          <cell r="EJ21" t="str">
            <v>M-1-40 Yr NPV</v>
          </cell>
          <cell r="EK21" t="str">
            <v>M-1-Capital Cost</v>
          </cell>
          <cell r="EL21" t="str">
            <v>M-1-Install Year</v>
          </cell>
          <cell r="EM21" t="str">
            <v>M-10-20 Yr NPV</v>
          </cell>
          <cell r="EN21" t="str">
            <v>M-10-40 Yr NPV</v>
          </cell>
          <cell r="EO21" t="str">
            <v>M-10-Capital Cost</v>
          </cell>
          <cell r="EP21" t="str">
            <v>M-10-Install Year</v>
          </cell>
          <cell r="EQ21" t="str">
            <v>M-11-20 Yr NPV</v>
          </cell>
          <cell r="ER21" t="str">
            <v>M-11-40 Yr NPV</v>
          </cell>
          <cell r="ES21" t="str">
            <v>M-11-Capital Cost</v>
          </cell>
          <cell r="ET21" t="str">
            <v>M-11-Install Year</v>
          </cell>
          <cell r="EU21" t="str">
            <v>M-12-20 Yr NPV</v>
          </cell>
          <cell r="EV21" t="str">
            <v>M-12-40 Yr NPV</v>
          </cell>
          <cell r="EW21" t="str">
            <v>M-12-Capital Cost</v>
          </cell>
          <cell r="EX21" t="str">
            <v>M-12-Install Year</v>
          </cell>
          <cell r="EY21" t="str">
            <v>M-13-20 Yr NPV</v>
          </cell>
          <cell r="EZ21" t="str">
            <v>M-13-40 Yr NPV</v>
          </cell>
          <cell r="FA21" t="str">
            <v>M-13-Capital Cost</v>
          </cell>
          <cell r="FB21" t="str">
            <v>M-13-Install Year</v>
          </cell>
          <cell r="FC21" t="str">
            <v>M-14-20 Yr NPV</v>
          </cell>
          <cell r="FD21" t="str">
            <v>M-14-40 Yr NPV</v>
          </cell>
          <cell r="FE21" t="str">
            <v>M-14-Capital Cost</v>
          </cell>
          <cell r="FF21" t="str">
            <v>M-14-Install Year</v>
          </cell>
          <cell r="FG21" t="str">
            <v>M-2-20 Yr NPV</v>
          </cell>
          <cell r="FH21" t="str">
            <v>M-2-40 Yr NPV</v>
          </cell>
          <cell r="FI21" t="str">
            <v>M-2-Capital Cost</v>
          </cell>
          <cell r="FJ21" t="str">
            <v>M-2-Install Year</v>
          </cell>
          <cell r="FK21" t="str">
            <v>M-3-20 Yr NPV</v>
          </cell>
          <cell r="FL21" t="str">
            <v>M-3-40 Yr NPV</v>
          </cell>
          <cell r="FM21" t="str">
            <v>M-3-Capital Cost</v>
          </cell>
          <cell r="FN21" t="str">
            <v>M-3-Install Year</v>
          </cell>
          <cell r="FO21" t="str">
            <v>M-4-20 Yr NPV</v>
          </cell>
          <cell r="FP21" t="str">
            <v>M-4-40 Yr NPV</v>
          </cell>
          <cell r="FQ21" t="str">
            <v>M-4-Capital Cost</v>
          </cell>
          <cell r="FR21" t="str">
            <v>M-4-Install Year</v>
          </cell>
          <cell r="FS21" t="str">
            <v>M-5-20 Yr NPV</v>
          </cell>
          <cell r="FT21" t="str">
            <v>M-5-40 Yr NPV</v>
          </cell>
          <cell r="FU21" t="str">
            <v>M-5-Capital Cost</v>
          </cell>
          <cell r="FV21" t="str">
            <v>M-5-Install Year</v>
          </cell>
          <cell r="FW21" t="str">
            <v>M-6-20 Yr NPV</v>
          </cell>
          <cell r="FX21" t="str">
            <v>M-6-40 Yr NPV</v>
          </cell>
          <cell r="FY21" t="str">
            <v>M-6-Capital Cost</v>
          </cell>
          <cell r="FZ21" t="str">
            <v>M-6-Install Year</v>
          </cell>
          <cell r="GA21" t="str">
            <v>M-7-20 Yr NPV</v>
          </cell>
          <cell r="GB21" t="str">
            <v>M-7-40 Yr NPV</v>
          </cell>
          <cell r="GC21" t="str">
            <v>M-7-Capital Cost</v>
          </cell>
          <cell r="GD21" t="str">
            <v>M-7-Install Year</v>
          </cell>
          <cell r="GE21" t="str">
            <v>M-8-20 Yr NPV</v>
          </cell>
          <cell r="GF21" t="str">
            <v>M-8-40 Yr NPV</v>
          </cell>
          <cell r="GG21" t="str">
            <v>M-8-Capital Cost</v>
          </cell>
          <cell r="GH21" t="str">
            <v>M-8-Install Year</v>
          </cell>
          <cell r="GI21" t="str">
            <v>M-9-20 Yr NPV</v>
          </cell>
          <cell r="GJ21" t="str">
            <v>M-9-40 Yr NPV</v>
          </cell>
          <cell r="GK21" t="str">
            <v>M-9-Capital Cost</v>
          </cell>
          <cell r="GL21" t="str">
            <v>M-9-Install Year</v>
          </cell>
          <cell r="GM21">
            <v>0</v>
          </cell>
          <cell r="GN21">
            <v>0</v>
          </cell>
          <cell r="GO21">
            <v>0</v>
          </cell>
          <cell r="GP21">
            <v>0</v>
          </cell>
        </row>
        <row r="22">
          <cell r="B22" t="str">
            <v>0%</v>
          </cell>
          <cell r="C22">
            <v>889.52866430344613</v>
          </cell>
          <cell r="D22">
            <v>974.37414737504491</v>
          </cell>
          <cell r="E22">
            <v>225.79886443927344</v>
          </cell>
          <cell r="F22">
            <v>2015</v>
          </cell>
          <cell r="G22">
            <v>-3.4803001555850785E-6</v>
          </cell>
          <cell r="H22">
            <v>-4.791988681466361E-6</v>
          </cell>
          <cell r="I22">
            <v>1027.2850911870833</v>
          </cell>
          <cell r="J22">
            <v>2010</v>
          </cell>
          <cell r="K22">
            <v>468.54049364793963</v>
          </cell>
          <cell r="L22">
            <v>706.65061466771226</v>
          </cell>
          <cell r="M22">
            <v>441.98838945267966</v>
          </cell>
          <cell r="N22">
            <v>2010</v>
          </cell>
          <cell r="O22">
            <v>1492.7122061480177</v>
          </cell>
          <cell r="P22">
            <v>1884.2483634194414</v>
          </cell>
          <cell r="Q22">
            <v>573.42272014407365</v>
          </cell>
          <cell r="R22">
            <v>2010</v>
          </cell>
          <cell r="S22">
            <v>723.39919578818115</v>
          </cell>
          <cell r="T22">
            <v>880.73965705008072</v>
          </cell>
          <cell r="U22">
            <v>283.39535994807613</v>
          </cell>
          <cell r="V22">
            <v>2010</v>
          </cell>
          <cell r="W22">
            <v>37389.142617124169</v>
          </cell>
          <cell r="X22">
            <v>36922.31125949441</v>
          </cell>
          <cell r="Y22">
            <v>3010.1851679192982</v>
          </cell>
          <cell r="Z22">
            <v>2012</v>
          </cell>
          <cell r="AA22">
            <v>4157.6211117285256</v>
          </cell>
          <cell r="AB22">
            <v>6088.722384264167</v>
          </cell>
          <cell r="AC22">
            <v>4178.499871725171</v>
          </cell>
          <cell r="AD22">
            <v>2010</v>
          </cell>
          <cell r="AE22">
            <v>860.99030945044001</v>
          </cell>
          <cell r="AF22">
            <v>1178.476031883745</v>
          </cell>
          <cell r="AG22">
            <v>559.55053200741713</v>
          </cell>
          <cell r="AH22">
            <v>2010</v>
          </cell>
          <cell r="AI22">
            <v>791.91509621223531</v>
          </cell>
          <cell r="AJ22">
            <v>1103.4790904739084</v>
          </cell>
          <cell r="AK22">
            <v>515.88580979376047</v>
          </cell>
          <cell r="AL22">
            <v>2010</v>
          </cell>
          <cell r="AM22">
            <v>76.274921512491062</v>
          </cell>
          <cell r="AN22">
            <v>112.27548233134239</v>
          </cell>
          <cell r="AO22">
            <v>61.147413421541707</v>
          </cell>
          <cell r="AP22">
            <v>2010</v>
          </cell>
          <cell r="AQ22">
            <v>1617.684713985469</v>
          </cell>
          <cell r="AR22">
            <v>2403.2577675061243</v>
          </cell>
          <cell r="AS22">
            <v>834.52750512317789</v>
          </cell>
          <cell r="AT22">
            <v>2010</v>
          </cell>
          <cell r="AU22">
            <v>949.54233666784421</v>
          </cell>
          <cell r="AV22">
            <v>1075.7367769565346</v>
          </cell>
          <cell r="AW22">
            <v>320.86227693406693</v>
          </cell>
          <cell r="AX22">
            <v>2015</v>
          </cell>
          <cell r="AY22">
            <v>975.82481771429991</v>
          </cell>
          <cell r="AZ22">
            <v>1429.3308893391898</v>
          </cell>
          <cell r="BA22">
            <v>733.43196499700582</v>
          </cell>
          <cell r="BB22">
            <v>2010</v>
          </cell>
          <cell r="BC22">
            <v>662.00874416396266</v>
          </cell>
          <cell r="BD22">
            <v>941.96695807383946</v>
          </cell>
          <cell r="BE22">
            <v>601.98473719514982</v>
          </cell>
          <cell r="BF22">
            <v>2010</v>
          </cell>
          <cell r="BG22">
            <v>3688.9814831096537</v>
          </cell>
          <cell r="BH22">
            <v>5707.8774844285908</v>
          </cell>
          <cell r="BI22">
            <v>4033.4608526769553</v>
          </cell>
          <cell r="BJ22">
            <v>2010</v>
          </cell>
          <cell r="BK22">
            <v>450.59071666971568</v>
          </cell>
          <cell r="BL22">
            <v>487.3807924182135</v>
          </cell>
          <cell r="BM22">
            <v>79.608028847528061</v>
          </cell>
          <cell r="BN22">
            <v>2015</v>
          </cell>
          <cell r="BO22">
            <v>1384.3403760088893</v>
          </cell>
          <cell r="BP22">
            <v>2239.2775717104469</v>
          </cell>
          <cell r="BQ22">
            <v>1453.5573952642094</v>
          </cell>
          <cell r="BR22">
            <v>2010</v>
          </cell>
          <cell r="BS22">
            <v>95.291213306704762</v>
          </cell>
          <cell r="BT22">
            <v>140.96691451165211</v>
          </cell>
          <cell r="BU22">
            <v>63.046765594941789</v>
          </cell>
          <cell r="BV22">
            <v>2010</v>
          </cell>
          <cell r="BW22">
            <v>568.13286999400509</v>
          </cell>
          <cell r="BX22">
            <v>601.80003352124766</v>
          </cell>
          <cell r="BY22">
            <v>63.087809057389855</v>
          </cell>
          <cell r="BZ22">
            <v>2010</v>
          </cell>
          <cell r="CA22">
            <v>7302.4125884263776</v>
          </cell>
          <cell r="CB22">
            <v>10988.718622338567</v>
          </cell>
          <cell r="CC22">
            <v>2426.5417068785528</v>
          </cell>
          <cell r="CD22">
            <v>2010</v>
          </cell>
          <cell r="CE22">
            <v>1242.8901653385917</v>
          </cell>
          <cell r="CF22">
            <v>1551.7648227937284</v>
          </cell>
          <cell r="CG22">
            <v>499.64961243997595</v>
          </cell>
          <cell r="CH22">
            <v>2010</v>
          </cell>
          <cell r="CI22">
            <v>158698.31418962614</v>
          </cell>
          <cell r="CJ22">
            <v>158948.81492582904</v>
          </cell>
          <cell r="CK22">
            <v>3713.8904209372363</v>
          </cell>
          <cell r="CL22">
            <v>2017</v>
          </cell>
          <cell r="CM22">
            <v>4182.5257282890188</v>
          </cell>
          <cell r="CN22">
            <v>5660.0256723206348</v>
          </cell>
          <cell r="CO22">
            <v>3582.405677653654</v>
          </cell>
          <cell r="CP22">
            <v>2010</v>
          </cell>
          <cell r="CQ22">
            <v>1265.3291318753613</v>
          </cell>
          <cell r="CR22">
            <v>1665.2147481439938</v>
          </cell>
          <cell r="CS22">
            <v>865.13268216982715</v>
          </cell>
          <cell r="CT22">
            <v>2010</v>
          </cell>
          <cell r="CU22">
            <v>1116.8581191158471</v>
          </cell>
          <cell r="CV22">
            <v>1168.1464871243033</v>
          </cell>
          <cell r="CW22">
            <v>69.225383894464997</v>
          </cell>
          <cell r="CX22">
            <v>2010</v>
          </cell>
          <cell r="CY22">
            <v>4800.6427615125931</v>
          </cell>
          <cell r="CZ22">
            <v>5440.4589293906292</v>
          </cell>
          <cell r="DA22">
            <v>860.50771611660434</v>
          </cell>
          <cell r="DB22">
            <v>2010</v>
          </cell>
          <cell r="DC22">
            <v>258.35489903472097</v>
          </cell>
          <cell r="DD22">
            <v>380.54790609487765</v>
          </cell>
          <cell r="DE22">
            <v>306.52907842058073</v>
          </cell>
          <cell r="DF22">
            <v>2015</v>
          </cell>
          <cell r="DG22">
            <v>755.0430408234879</v>
          </cell>
          <cell r="DH22">
            <v>1061.2468823141944</v>
          </cell>
          <cell r="DI22">
            <v>594.99651027637196</v>
          </cell>
          <cell r="DJ22">
            <v>2010</v>
          </cell>
          <cell r="DK22">
            <v>219.97765184296136</v>
          </cell>
          <cell r="DL22">
            <v>290.10276947159537</v>
          </cell>
          <cell r="DM22">
            <v>162.48284802363301</v>
          </cell>
          <cell r="DN22">
            <v>2015</v>
          </cell>
          <cell r="DO22">
            <v>895.57027318715257</v>
          </cell>
          <cell r="DP22">
            <v>956.30984935842253</v>
          </cell>
          <cell r="DQ22">
            <v>98.212879580977798</v>
          </cell>
          <cell r="DR22">
            <v>2010</v>
          </cell>
          <cell r="DS22">
            <v>410.24120017353852</v>
          </cell>
          <cell r="DT22">
            <v>650.85616085815002</v>
          </cell>
          <cell r="DU22">
            <v>289.99506084595549</v>
          </cell>
          <cell r="DV22">
            <v>2010</v>
          </cell>
          <cell r="DW22">
            <v>666.28284460201348</v>
          </cell>
          <cell r="DX22">
            <v>1129.5423487149699</v>
          </cell>
          <cell r="DY22">
            <v>377.23818694302446</v>
          </cell>
          <cell r="DZ22">
            <v>2010</v>
          </cell>
          <cell r="EA22">
            <v>375.17497308993256</v>
          </cell>
          <cell r="EB22">
            <v>567.01558964320293</v>
          </cell>
          <cell r="EC22">
            <v>378.68034906555653</v>
          </cell>
          <cell r="ED22">
            <v>2010</v>
          </cell>
          <cell r="EE22">
            <v>425.57687816540391</v>
          </cell>
          <cell r="EF22">
            <v>642.18514014492177</v>
          </cell>
          <cell r="EG22">
            <v>413.65599816462907</v>
          </cell>
          <cell r="EH22">
            <v>2010</v>
          </cell>
          <cell r="EI22">
            <v>1516.498506372355</v>
          </cell>
          <cell r="EJ22">
            <v>1828.5781781184312</v>
          </cell>
          <cell r="EK22">
            <v>510.27236306683574</v>
          </cell>
          <cell r="EL22">
            <v>2010</v>
          </cell>
          <cell r="EM22">
            <v>140.23796412448348</v>
          </cell>
          <cell r="EN22">
            <v>230.95585188073724</v>
          </cell>
          <cell r="EO22">
            <v>56.545445326021543</v>
          </cell>
          <cell r="EP22">
            <v>2010</v>
          </cell>
          <cell r="EQ22">
            <v>56.928129602462327</v>
          </cell>
          <cell r="ER22">
            <v>90.308343614094895</v>
          </cell>
          <cell r="ES22">
            <v>47.828064345985347</v>
          </cell>
          <cell r="ET22">
            <v>2010</v>
          </cell>
          <cell r="EU22">
            <v>3410.0724670706741</v>
          </cell>
          <cell r="EV22">
            <v>3573.3454953485098</v>
          </cell>
          <cell r="EW22">
            <v>237.54426621028966</v>
          </cell>
          <cell r="EX22">
            <v>2015</v>
          </cell>
          <cell r="EY22">
            <v>3438.6934465672734</v>
          </cell>
          <cell r="EZ22">
            <v>3653.1052627346303</v>
          </cell>
          <cell r="FA22">
            <v>309.45753190344027</v>
          </cell>
          <cell r="FB22">
            <v>2015</v>
          </cell>
          <cell r="FC22">
            <v>1514.4864658324395</v>
          </cell>
          <cell r="FD22">
            <v>1689.5182031236673</v>
          </cell>
          <cell r="FE22">
            <v>339.24906993761152</v>
          </cell>
          <cell r="FF22">
            <v>2010</v>
          </cell>
          <cell r="FG22">
            <v>16948.066916111162</v>
          </cell>
          <cell r="FH22">
            <v>23527.199721489229</v>
          </cell>
          <cell r="FI22">
            <v>13107.697990164072</v>
          </cell>
          <cell r="FJ22">
            <v>2010</v>
          </cell>
          <cell r="FK22">
            <v>-3.8174987668296064E-6</v>
          </cell>
          <cell r="FL22">
            <v>-4.1301042571565454E-6</v>
          </cell>
          <cell r="FM22">
            <v>467.27632936291519</v>
          </cell>
          <cell r="FN22">
            <v>2010</v>
          </cell>
          <cell r="FO22">
            <v>101.21012834711395</v>
          </cell>
          <cell r="FP22">
            <v>144.85113514175319</v>
          </cell>
          <cell r="FQ22">
            <v>61.335438495337741</v>
          </cell>
          <cell r="FR22">
            <v>2010</v>
          </cell>
          <cell r="FS22">
            <v>829.77671822165462</v>
          </cell>
          <cell r="FT22">
            <v>1188.4769946129752</v>
          </cell>
          <cell r="FU22">
            <v>669.42576528843404</v>
          </cell>
          <cell r="FV22">
            <v>2010</v>
          </cell>
          <cell r="FW22">
            <v>1028.0428330819614</v>
          </cell>
          <cell r="FX22">
            <v>1359.4266763074161</v>
          </cell>
          <cell r="FY22">
            <v>575.2171593933715</v>
          </cell>
          <cell r="FZ22">
            <v>2010</v>
          </cell>
          <cell r="GA22">
            <v>872.96063922560279</v>
          </cell>
          <cell r="GB22">
            <v>1292.7337216804872</v>
          </cell>
          <cell r="GC22">
            <v>908.12422185030869</v>
          </cell>
          <cell r="GD22">
            <v>2010</v>
          </cell>
          <cell r="GE22">
            <v>1926.1130588218768</v>
          </cell>
          <cell r="GF22">
            <v>2778.1935354247921</v>
          </cell>
          <cell r="GG22">
            <v>1637.8764028301141</v>
          </cell>
          <cell r="GH22">
            <v>2010</v>
          </cell>
          <cell r="GI22">
            <v>225.09826744499756</v>
          </cell>
          <cell r="GJ22">
            <v>366.9723870478694</v>
          </cell>
          <cell r="GK22">
            <v>143.99572450189578</v>
          </cell>
          <cell r="GL22">
            <v>2010</v>
          </cell>
          <cell r="GM22">
            <v>0</v>
          </cell>
          <cell r="GN22">
            <v>0</v>
          </cell>
          <cell r="GO22">
            <v>0</v>
          </cell>
          <cell r="GP22">
            <v>0</v>
          </cell>
        </row>
        <row r="23">
          <cell r="B23" t="str">
            <v>5%</v>
          </cell>
          <cell r="C23">
            <v>959.60182062419449</v>
          </cell>
          <cell r="D23">
            <v>1048.4866250417338</v>
          </cell>
          <cell r="E23">
            <v>231.83154729414053</v>
          </cell>
          <cell r="F23">
            <v>2015</v>
          </cell>
          <cell r="G23">
            <v>-1.7754764926199619E-6</v>
          </cell>
          <cell r="H23">
            <v>-1.8385393018087316E-6</v>
          </cell>
          <cell r="I23">
            <v>1326.8940616267482</v>
          </cell>
          <cell r="J23">
            <v>2013</v>
          </cell>
          <cell r="K23">
            <v>517.73786928507639</v>
          </cell>
          <cell r="L23">
            <v>785.80482814388529</v>
          </cell>
          <cell r="M23">
            <v>501.46602643872518</v>
          </cell>
          <cell r="N23">
            <v>2010</v>
          </cell>
          <cell r="O23">
            <v>2854.6649174618728</v>
          </cell>
          <cell r="P23">
            <v>3358.4497605274373</v>
          </cell>
          <cell r="Q23">
            <v>835.66014590999896</v>
          </cell>
          <cell r="R23">
            <v>2010</v>
          </cell>
          <cell r="S23">
            <v>849.30307338025705</v>
          </cell>
          <cell r="T23">
            <v>1027.2530601805172</v>
          </cell>
          <cell r="U23">
            <v>322.78080933866926</v>
          </cell>
          <cell r="V23">
            <v>2010</v>
          </cell>
          <cell r="W23">
            <v>38266.01402720371</v>
          </cell>
          <cell r="X23">
            <v>38180.747658864115</v>
          </cell>
          <cell r="Y23">
            <v>3160.7138709566889</v>
          </cell>
          <cell r="Z23">
            <v>2012</v>
          </cell>
          <cell r="AA23">
            <v>5165.7655354523813</v>
          </cell>
          <cell r="AB23">
            <v>7172.0881704246567</v>
          </cell>
          <cell r="AC23">
            <v>4580.4561175654826</v>
          </cell>
          <cell r="AD23">
            <v>2010</v>
          </cell>
          <cell r="AE23">
            <v>973.50968295415396</v>
          </cell>
          <cell r="AF23">
            <v>1299.0830477719255</v>
          </cell>
          <cell r="AG23">
            <v>599.29560324449039</v>
          </cell>
          <cell r="AH23">
            <v>2010</v>
          </cell>
          <cell r="AI23">
            <v>974.59345071751045</v>
          </cell>
          <cell r="AJ23">
            <v>1343.9166200082445</v>
          </cell>
          <cell r="AK23">
            <v>593.35053463733686</v>
          </cell>
          <cell r="AL23">
            <v>2010</v>
          </cell>
          <cell r="AM23">
            <v>103.82071424069814</v>
          </cell>
          <cell r="AN23">
            <v>146.81253958020068</v>
          </cell>
          <cell r="AO23">
            <v>69.899088420271354</v>
          </cell>
          <cell r="AP23">
            <v>2010</v>
          </cell>
          <cell r="AQ23">
            <v>1996.7091573477931</v>
          </cell>
          <cell r="AR23">
            <v>2806.3430170798993</v>
          </cell>
          <cell r="AS23">
            <v>869.83641253659084</v>
          </cell>
          <cell r="AT23">
            <v>2010</v>
          </cell>
          <cell r="AU23">
            <v>1015.8606422115088</v>
          </cell>
          <cell r="AV23">
            <v>1147.6728736948783</v>
          </cell>
          <cell r="AW23">
            <v>331.79120128280329</v>
          </cell>
          <cell r="AX23">
            <v>2015</v>
          </cell>
          <cell r="AY23">
            <v>1082.0533703446865</v>
          </cell>
          <cell r="AZ23">
            <v>1536.0186064661518</v>
          </cell>
          <cell r="BA23">
            <v>818.99823084766331</v>
          </cell>
          <cell r="BB23">
            <v>2010</v>
          </cell>
          <cell r="BC23">
            <v>754.44278945189387</v>
          </cell>
          <cell r="BD23">
            <v>1070.8146857814038</v>
          </cell>
          <cell r="BE23">
            <v>686.19370627953219</v>
          </cell>
          <cell r="BF23">
            <v>2010</v>
          </cell>
          <cell r="BG23">
            <v>4369.5420442638042</v>
          </cell>
          <cell r="BH23">
            <v>6514.9025015279394</v>
          </cell>
          <cell r="BI23">
            <v>4150.741459527505</v>
          </cell>
          <cell r="BJ23">
            <v>2010</v>
          </cell>
          <cell r="BK23">
            <v>496.19831342177116</v>
          </cell>
          <cell r="BL23">
            <v>539.3177516736605</v>
          </cell>
          <cell r="BM23">
            <v>89.082939274645327</v>
          </cell>
          <cell r="BN23">
            <v>2015</v>
          </cell>
          <cell r="BO23">
            <v>1481.0994952745207</v>
          </cell>
          <cell r="BP23">
            <v>2395.7929262175617</v>
          </cell>
          <cell r="BQ23">
            <v>1555.154467346613</v>
          </cell>
          <cell r="BR23">
            <v>2010</v>
          </cell>
          <cell r="BS23">
            <v>120.80293085611979</v>
          </cell>
          <cell r="BT23">
            <v>170.52995583658227</v>
          </cell>
          <cell r="BU23">
            <v>69.905047158712847</v>
          </cell>
          <cell r="BV23">
            <v>2010</v>
          </cell>
          <cell r="BW23">
            <v>774.74814430732715</v>
          </cell>
          <cell r="BX23">
            <v>806.98374943499584</v>
          </cell>
          <cell r="BY23">
            <v>73.140681473477613</v>
          </cell>
          <cell r="BZ23">
            <v>2011</v>
          </cell>
          <cell r="CA23">
            <v>8412.4685879098215</v>
          </cell>
          <cell r="CB23">
            <v>12347.866336900785</v>
          </cell>
          <cell r="CC23">
            <v>2596.7201378508648</v>
          </cell>
          <cell r="CD23">
            <v>2010</v>
          </cell>
          <cell r="CE23">
            <v>2574.1539367652786</v>
          </cell>
          <cell r="CF23">
            <v>3079.6318862557468</v>
          </cell>
          <cell r="CG23">
            <v>766.49798619326236</v>
          </cell>
          <cell r="CH23">
            <v>2010</v>
          </cell>
          <cell r="CI23">
            <v>164210.94862689218</v>
          </cell>
          <cell r="CJ23">
            <v>164358.06813927798</v>
          </cell>
          <cell r="CK23">
            <v>3883.1932526655492</v>
          </cell>
          <cell r="CL23">
            <v>2017</v>
          </cell>
          <cell r="CM23">
            <v>4887.5307123177627</v>
          </cell>
          <cell r="CN23">
            <v>6588.8071887174701</v>
          </cell>
          <cell r="CO23">
            <v>3971.6930312864883</v>
          </cell>
          <cell r="CP23">
            <v>2010</v>
          </cell>
          <cell r="CQ23">
            <v>1568.4854184281144</v>
          </cell>
          <cell r="CR23">
            <v>2088.3252693942709</v>
          </cell>
          <cell r="CS23">
            <v>1225.2223349950266</v>
          </cell>
          <cell r="CT23">
            <v>2010</v>
          </cell>
          <cell r="CU23">
            <v>1518.3257998914939</v>
          </cell>
          <cell r="CV23">
            <v>1576.0948862838859</v>
          </cell>
          <cell r="CW23">
            <v>93.913926495885633</v>
          </cell>
          <cell r="CX23">
            <v>2011</v>
          </cell>
          <cell r="CY23">
            <v>5946.5089963579267</v>
          </cell>
          <cell r="CZ23">
            <v>6562.4621538703668</v>
          </cell>
          <cell r="DA23">
            <v>1013.1050096768209</v>
          </cell>
          <cell r="DB23">
            <v>2010</v>
          </cell>
          <cell r="DC23">
            <v>294.24252329943641</v>
          </cell>
          <cell r="DD23">
            <v>436.64735357205313</v>
          </cell>
          <cell r="DE23">
            <v>381.26858548555066</v>
          </cell>
          <cell r="DF23">
            <v>2015</v>
          </cell>
          <cell r="DG23">
            <v>883.37077476981187</v>
          </cell>
          <cell r="DH23">
            <v>1225.2446637206504</v>
          </cell>
          <cell r="DI23">
            <v>640.31617959004677</v>
          </cell>
          <cell r="DJ23">
            <v>2010</v>
          </cell>
          <cell r="DK23">
            <v>235.8199786286346</v>
          </cell>
          <cell r="DL23">
            <v>305.46809782834146</v>
          </cell>
          <cell r="DM23">
            <v>167.78680317032988</v>
          </cell>
          <cell r="DN23">
            <v>2015</v>
          </cell>
          <cell r="DO23">
            <v>1587.666535981871</v>
          </cell>
          <cell r="DP23">
            <v>1637.2576580118255</v>
          </cell>
          <cell r="DQ23">
            <v>119.76500582461689</v>
          </cell>
          <cell r="DR23">
            <v>2010</v>
          </cell>
          <cell r="DS23">
            <v>521.16920474989797</v>
          </cell>
          <cell r="DT23">
            <v>781.28680880160528</v>
          </cell>
          <cell r="DU23">
            <v>343.19245875522006</v>
          </cell>
          <cell r="DV23">
            <v>2010</v>
          </cell>
          <cell r="DW23">
            <v>742.24118582813264</v>
          </cell>
          <cell r="DX23">
            <v>1253.0747457719806</v>
          </cell>
          <cell r="DY23">
            <v>397.65223551040782</v>
          </cell>
          <cell r="DZ23">
            <v>2010</v>
          </cell>
          <cell r="EA23">
            <v>454.38558165716279</v>
          </cell>
          <cell r="EB23">
            <v>662.44075109985351</v>
          </cell>
          <cell r="EC23">
            <v>387.07416423847195</v>
          </cell>
          <cell r="ED23">
            <v>2010</v>
          </cell>
          <cell r="EE23">
            <v>479.7805522933927</v>
          </cell>
          <cell r="EF23">
            <v>726.57183816052361</v>
          </cell>
          <cell r="EG23">
            <v>457.1736472397003</v>
          </cell>
          <cell r="EH23">
            <v>2010</v>
          </cell>
          <cell r="EI23">
            <v>2589.0082578594288</v>
          </cell>
          <cell r="EJ23">
            <v>3127.4694327695988</v>
          </cell>
          <cell r="EK23">
            <v>763.33040586885704</v>
          </cell>
          <cell r="EL23">
            <v>2010</v>
          </cell>
          <cell r="EM23">
            <v>158.1313068533066</v>
          </cell>
          <cell r="EN23">
            <v>257.99411358240809</v>
          </cell>
          <cell r="EO23">
            <v>64.920933481592698</v>
          </cell>
          <cell r="EP23">
            <v>2010</v>
          </cell>
          <cell r="EQ23">
            <v>101.56456933859019</v>
          </cell>
          <cell r="ER23">
            <v>144.61106348272517</v>
          </cell>
          <cell r="ES23">
            <v>81.575127441009471</v>
          </cell>
          <cell r="ET23">
            <v>2010</v>
          </cell>
          <cell r="EU23">
            <v>3558.496495965443</v>
          </cell>
          <cell r="EV23">
            <v>3752.2560451017926</v>
          </cell>
          <cell r="EW23">
            <v>271.25385543164623</v>
          </cell>
          <cell r="EX23">
            <v>2015</v>
          </cell>
          <cell r="EY23">
            <v>3623.9934793258467</v>
          </cell>
          <cell r="EZ23">
            <v>3851.9786328849691</v>
          </cell>
          <cell r="FA23">
            <v>354.49187258911104</v>
          </cell>
          <cell r="FB23">
            <v>2015</v>
          </cell>
          <cell r="FC23">
            <v>2065.2656696118875</v>
          </cell>
          <cell r="FD23">
            <v>2264.9167190131584</v>
          </cell>
          <cell r="FE23">
            <v>381.38532976782835</v>
          </cell>
          <cell r="FF23">
            <v>2010</v>
          </cell>
          <cell r="FG23">
            <v>18324.99922033304</v>
          </cell>
          <cell r="FH23">
            <v>24836.931283558635</v>
          </cell>
          <cell r="FI23">
            <v>13348.885204862803</v>
          </cell>
          <cell r="FJ23">
            <v>2010</v>
          </cell>
          <cell r="FK23">
            <v>-1.6308905297543641E-6</v>
          </cell>
          <cell r="FL23">
            <v>-1.3010423837481334E-6</v>
          </cell>
          <cell r="FM23">
            <v>623.10994916414552</v>
          </cell>
          <cell r="FN23">
            <v>2012</v>
          </cell>
          <cell r="FO23">
            <v>119.24619559667656</v>
          </cell>
          <cell r="FP23">
            <v>167.78741767763228</v>
          </cell>
          <cell r="FQ23">
            <v>69.799698627339879</v>
          </cell>
          <cell r="FR23">
            <v>2010</v>
          </cell>
          <cell r="FS23">
            <v>934.12315639959002</v>
          </cell>
          <cell r="FT23">
            <v>1319.6999825679818</v>
          </cell>
          <cell r="FU23">
            <v>716.07658522714723</v>
          </cell>
          <cell r="FV23">
            <v>2010</v>
          </cell>
          <cell r="FW23">
            <v>1091.3198980757363</v>
          </cell>
          <cell r="FX23">
            <v>1468.5731455914106</v>
          </cell>
          <cell r="FY23">
            <v>643.6741743369405</v>
          </cell>
          <cell r="FZ23">
            <v>2010</v>
          </cell>
          <cell r="GA23">
            <v>953.2143101372626</v>
          </cell>
          <cell r="GB23">
            <v>1410.680637576799</v>
          </cell>
          <cell r="GC23">
            <v>1044.4594473245527</v>
          </cell>
          <cell r="GD23">
            <v>2010</v>
          </cell>
          <cell r="GE23">
            <v>2974.1886601376632</v>
          </cell>
          <cell r="GF23">
            <v>4089.7910905972462</v>
          </cell>
          <cell r="GG23">
            <v>1802.9706053821949</v>
          </cell>
          <cell r="GH23">
            <v>2010</v>
          </cell>
          <cell r="GI23">
            <v>259.05297947663774</v>
          </cell>
          <cell r="GJ23">
            <v>415.70333885012047</v>
          </cell>
          <cell r="GK23">
            <v>163.30836326891955</v>
          </cell>
          <cell r="GL23">
            <v>2010</v>
          </cell>
          <cell r="GM23">
            <v>0</v>
          </cell>
          <cell r="GN23">
            <v>0</v>
          </cell>
          <cell r="GO23">
            <v>0</v>
          </cell>
          <cell r="GP23">
            <v>0</v>
          </cell>
        </row>
        <row r="24">
          <cell r="B24" t="str">
            <v>10%</v>
          </cell>
          <cell r="C24">
            <v>976.59932047757036</v>
          </cell>
          <cell r="D24">
            <v>1070.6103720196793</v>
          </cell>
          <cell r="E24">
            <v>235.73204316206653</v>
          </cell>
          <cell r="F24">
            <v>2015</v>
          </cell>
          <cell r="G24">
            <v>-1.2592639877703916E-6</v>
          </cell>
          <cell r="H24">
            <v>-1.1122559679355826E-6</v>
          </cell>
          <cell r="I24">
            <v>1416.1379649545672</v>
          </cell>
          <cell r="J24">
            <v>2016</v>
          </cell>
          <cell r="K24">
            <v>536.45453865779916</v>
          </cell>
          <cell r="L24">
            <v>816.31329961243921</v>
          </cell>
          <cell r="M24">
            <v>526.49733618596315</v>
          </cell>
          <cell r="N24">
            <v>2010</v>
          </cell>
          <cell r="O24">
            <v>3265.2271745000016</v>
          </cell>
          <cell r="P24">
            <v>3812.5000015568935</v>
          </cell>
          <cell r="Q24">
            <v>958.01628935083511</v>
          </cell>
          <cell r="R24">
            <v>2011</v>
          </cell>
          <cell r="S24">
            <v>883.3013255448634</v>
          </cell>
          <cell r="T24">
            <v>1069.9176795391245</v>
          </cell>
          <cell r="U24">
            <v>337.81175441934272</v>
          </cell>
          <cell r="V24">
            <v>2010</v>
          </cell>
          <cell r="W24">
            <v>38863.414374679203</v>
          </cell>
          <cell r="X24">
            <v>38688.030858849859</v>
          </cell>
          <cell r="Y24">
            <v>3212.7905092146602</v>
          </cell>
          <cell r="Z24">
            <v>2012</v>
          </cell>
          <cell r="AA24">
            <v>5499.8807013521691</v>
          </cell>
          <cell r="AB24">
            <v>7579.1484611590122</v>
          </cell>
          <cell r="AC24">
            <v>4727.347725884646</v>
          </cell>
          <cell r="AD24">
            <v>2011</v>
          </cell>
          <cell r="AE24">
            <v>1009.679775123327</v>
          </cell>
          <cell r="AF24">
            <v>1340.6314851851816</v>
          </cell>
          <cell r="AG24">
            <v>612.40557320473977</v>
          </cell>
          <cell r="AH24">
            <v>2010</v>
          </cell>
          <cell r="AI24">
            <v>1061.926400911198</v>
          </cell>
          <cell r="AJ24">
            <v>1432.0538258342692</v>
          </cell>
          <cell r="AK24">
            <v>611.04321263420479</v>
          </cell>
          <cell r="AL24">
            <v>2011</v>
          </cell>
          <cell r="AM24">
            <v>111.83642500982359</v>
          </cell>
          <cell r="AN24">
            <v>155.16238145544085</v>
          </cell>
          <cell r="AO24">
            <v>72.891630252573023</v>
          </cell>
          <cell r="AP24">
            <v>2010</v>
          </cell>
          <cell r="AQ24">
            <v>2156.749241226139</v>
          </cell>
          <cell r="AR24">
            <v>2959.5631990856014</v>
          </cell>
          <cell r="AS24">
            <v>886.38018604615058</v>
          </cell>
          <cell r="AT24">
            <v>2010</v>
          </cell>
          <cell r="AU24">
            <v>1040.1903454868743</v>
          </cell>
          <cell r="AV24">
            <v>1169.7610441381601</v>
          </cell>
          <cell r="AW24">
            <v>336.30927849808012</v>
          </cell>
          <cell r="AX24">
            <v>2015</v>
          </cell>
          <cell r="AY24">
            <v>1111.1560703442774</v>
          </cell>
          <cell r="AZ24">
            <v>1567.3765673539397</v>
          </cell>
          <cell r="BA24">
            <v>848.80877814523376</v>
          </cell>
          <cell r="BB24">
            <v>2011</v>
          </cell>
          <cell r="BC24">
            <v>785.23939749795261</v>
          </cell>
          <cell r="BD24">
            <v>1109.2710974197262</v>
          </cell>
          <cell r="BE24">
            <v>713.8449666401109</v>
          </cell>
          <cell r="BF24">
            <v>2011</v>
          </cell>
          <cell r="BG24">
            <v>4678.1542647020415</v>
          </cell>
          <cell r="BH24">
            <v>6861.5000509552456</v>
          </cell>
          <cell r="BI24">
            <v>4191.5043864721374</v>
          </cell>
          <cell r="BJ24">
            <v>2010</v>
          </cell>
          <cell r="BK24">
            <v>508.22786052981405</v>
          </cell>
          <cell r="BL24">
            <v>552.06601488916203</v>
          </cell>
          <cell r="BM24">
            <v>93.299421005972377</v>
          </cell>
          <cell r="BN24">
            <v>2015</v>
          </cell>
          <cell r="BO24">
            <v>1525.9526719992512</v>
          </cell>
          <cell r="BP24">
            <v>2468.3464070146642</v>
          </cell>
          <cell r="BQ24">
            <v>1602.2503039929279</v>
          </cell>
          <cell r="BR24">
            <v>2010</v>
          </cell>
          <cell r="BS24">
            <v>126.94264336026509</v>
          </cell>
          <cell r="BT24">
            <v>178.79600926561318</v>
          </cell>
          <cell r="BU24">
            <v>72.810450178035282</v>
          </cell>
          <cell r="BV24">
            <v>2010</v>
          </cell>
          <cell r="BW24">
            <v>866.66467827818099</v>
          </cell>
          <cell r="BX24">
            <v>901.4878392168024</v>
          </cell>
          <cell r="BY24">
            <v>76.764934614534852</v>
          </cell>
          <cell r="BZ24">
            <v>2013</v>
          </cell>
          <cell r="CA24">
            <v>8777.5608385057549</v>
          </cell>
          <cell r="CB24">
            <v>12756.654650845585</v>
          </cell>
          <cell r="CC24">
            <v>2690.7627068941092</v>
          </cell>
          <cell r="CD24">
            <v>2011</v>
          </cell>
          <cell r="CE24">
            <v>3042.3420314792465</v>
          </cell>
          <cell r="CF24">
            <v>3488.731108527651</v>
          </cell>
          <cell r="CG24">
            <v>877.91977921637795</v>
          </cell>
          <cell r="CH24">
            <v>2011</v>
          </cell>
          <cell r="CI24">
            <v>166459.86589883576</v>
          </cell>
          <cell r="CJ24">
            <v>166735.97646042437</v>
          </cell>
          <cell r="CK24">
            <v>3947.7016857217736</v>
          </cell>
          <cell r="CL24">
            <v>2017</v>
          </cell>
          <cell r="CM24">
            <v>5107.5203981511713</v>
          </cell>
          <cell r="CN24">
            <v>6869.8974351811166</v>
          </cell>
          <cell r="CO24">
            <v>4122.1665369301054</v>
          </cell>
          <cell r="CP24">
            <v>2011</v>
          </cell>
          <cell r="CQ24">
            <v>1662.0496310887461</v>
          </cell>
          <cell r="CR24">
            <v>2214.6651751890822</v>
          </cell>
          <cell r="CS24">
            <v>1333.9413372285712</v>
          </cell>
          <cell r="CT24">
            <v>2011</v>
          </cell>
          <cell r="CU24">
            <v>1680.915190643607</v>
          </cell>
          <cell r="CV24">
            <v>1731.1557870033171</v>
          </cell>
          <cell r="CW24">
            <v>104.00474844349648</v>
          </cell>
          <cell r="CX24">
            <v>2012</v>
          </cell>
          <cell r="CY24">
            <v>6509.4936446043685</v>
          </cell>
          <cell r="CZ24">
            <v>7159.747618682838</v>
          </cell>
          <cell r="DA24">
            <v>1059.9681000792534</v>
          </cell>
          <cell r="DB24">
            <v>2011</v>
          </cell>
          <cell r="DC24">
            <v>316.48311885270272</v>
          </cell>
          <cell r="DD24">
            <v>469.15209894303416</v>
          </cell>
          <cell r="DE24">
            <v>411.85749099876682</v>
          </cell>
          <cell r="DF24">
            <v>2015</v>
          </cell>
          <cell r="DG24">
            <v>919.47793484225042</v>
          </cell>
          <cell r="DH24">
            <v>1270.1378698310587</v>
          </cell>
          <cell r="DI24">
            <v>653.75598896504914</v>
          </cell>
          <cell r="DJ24">
            <v>2010</v>
          </cell>
          <cell r="DK24">
            <v>240.71865314354639</v>
          </cell>
          <cell r="DL24">
            <v>311.18666424494637</v>
          </cell>
          <cell r="DM24">
            <v>170.48495476424958</v>
          </cell>
          <cell r="DN24">
            <v>2015</v>
          </cell>
          <cell r="DO24">
            <v>1940.966412294958</v>
          </cell>
          <cell r="DP24">
            <v>1991.4560570911055</v>
          </cell>
          <cell r="DQ24">
            <v>129.82305897497548</v>
          </cell>
          <cell r="DR24">
            <v>2011</v>
          </cell>
          <cell r="DS24">
            <v>544.76567907575543</v>
          </cell>
          <cell r="DT24">
            <v>804.64505070300356</v>
          </cell>
          <cell r="DU24">
            <v>360.69377627331966</v>
          </cell>
          <cell r="DV24">
            <v>2011</v>
          </cell>
          <cell r="DW24">
            <v>762.50503055694537</v>
          </cell>
          <cell r="DX24">
            <v>1282.7371781221154</v>
          </cell>
          <cell r="DY24">
            <v>404.29602036147992</v>
          </cell>
          <cell r="DZ24">
            <v>2010</v>
          </cell>
          <cell r="EA24">
            <v>488.83637809865581</v>
          </cell>
          <cell r="EB24">
            <v>701.57945382298715</v>
          </cell>
          <cell r="EC24">
            <v>391.60781438026373</v>
          </cell>
          <cell r="ED24">
            <v>2010</v>
          </cell>
          <cell r="EE24">
            <v>495.24139859063592</v>
          </cell>
          <cell r="EF24">
            <v>749.55388173217966</v>
          </cell>
          <cell r="EG24">
            <v>479.36568055638008</v>
          </cell>
          <cell r="EH24">
            <v>2010</v>
          </cell>
          <cell r="EI24">
            <v>2992.5098074963939</v>
          </cell>
          <cell r="EJ24">
            <v>3548.6366388330084</v>
          </cell>
          <cell r="EK24">
            <v>859.41789769735453</v>
          </cell>
          <cell r="EL24">
            <v>2011</v>
          </cell>
          <cell r="EM24">
            <v>166.08377058149219</v>
          </cell>
          <cell r="EN24">
            <v>269.1932403491283</v>
          </cell>
          <cell r="EO24">
            <v>68.565449114096225</v>
          </cell>
          <cell r="EP24">
            <v>2010</v>
          </cell>
          <cell r="EQ24">
            <v>124.42436456971335</v>
          </cell>
          <cell r="ER24">
            <v>173.09695064971808</v>
          </cell>
          <cell r="ES24">
            <v>95.952444221218983</v>
          </cell>
          <cell r="ET24">
            <v>2011</v>
          </cell>
          <cell r="EU24">
            <v>3615.3816006613229</v>
          </cell>
          <cell r="EV24">
            <v>3809.6515694254917</v>
          </cell>
          <cell r="EW24">
            <v>283.97407915761517</v>
          </cell>
          <cell r="EX24">
            <v>2015</v>
          </cell>
          <cell r="EY24">
            <v>3681.2237550037171</v>
          </cell>
          <cell r="EZ24">
            <v>3913.2547259997073</v>
          </cell>
          <cell r="FA24">
            <v>369.13806586283749</v>
          </cell>
          <cell r="FB24">
            <v>2015</v>
          </cell>
          <cell r="FC24">
            <v>2390.3619164319389</v>
          </cell>
          <cell r="FD24">
            <v>2589.2189321118408</v>
          </cell>
          <cell r="FE24">
            <v>402.14317635500049</v>
          </cell>
          <cell r="FF24">
            <v>2010</v>
          </cell>
          <cell r="FG24">
            <v>18852.182355208512</v>
          </cell>
          <cell r="FH24">
            <v>25480.726029438654</v>
          </cell>
          <cell r="FI24">
            <v>13424.022515471306</v>
          </cell>
          <cell r="FJ24">
            <v>2010</v>
          </cell>
          <cell r="FK24">
            <v>-1.2210045574298505E-6</v>
          </cell>
          <cell r="FL24">
            <v>3.7577353681790388E-8</v>
          </cell>
          <cell r="FM24">
            <v>676.51954644134946</v>
          </cell>
          <cell r="FN24">
            <v>2014</v>
          </cell>
          <cell r="FO24">
            <v>123.60237363130037</v>
          </cell>
          <cell r="FP24">
            <v>175.33966910706417</v>
          </cell>
          <cell r="FQ24">
            <v>72.676232330879017</v>
          </cell>
          <cell r="FR24">
            <v>2010</v>
          </cell>
          <cell r="FS24">
            <v>963.5582723208513</v>
          </cell>
          <cell r="FT24">
            <v>1353.2435048358241</v>
          </cell>
          <cell r="FU24">
            <v>733.24094498519241</v>
          </cell>
          <cell r="FV24">
            <v>2010</v>
          </cell>
          <cell r="FW24">
            <v>1115.8256270524503</v>
          </cell>
          <cell r="FX24">
            <v>1503.2727426929341</v>
          </cell>
          <cell r="FY24">
            <v>668.76732231423705</v>
          </cell>
          <cell r="FZ24">
            <v>2011</v>
          </cell>
          <cell r="GA24">
            <v>981.1823731314164</v>
          </cell>
          <cell r="GB24">
            <v>1450.5396346103248</v>
          </cell>
          <cell r="GC24">
            <v>1078.6456903364135</v>
          </cell>
          <cell r="GD24">
            <v>2011</v>
          </cell>
          <cell r="GE24">
            <v>3234.8508908492586</v>
          </cell>
          <cell r="GF24">
            <v>4358.3677804086765</v>
          </cell>
          <cell r="GG24">
            <v>1912.0525471448195</v>
          </cell>
          <cell r="GH24">
            <v>2010</v>
          </cell>
          <cell r="GI24">
            <v>272.11866991999977</v>
          </cell>
          <cell r="GJ24">
            <v>434.35644163620464</v>
          </cell>
          <cell r="GK24">
            <v>171.61860106468646</v>
          </cell>
          <cell r="GL24">
            <v>2010</v>
          </cell>
          <cell r="GM24">
            <v>0</v>
          </cell>
          <cell r="GN24">
            <v>0</v>
          </cell>
          <cell r="GO24">
            <v>0</v>
          </cell>
          <cell r="GP24">
            <v>0</v>
          </cell>
        </row>
        <row r="25">
          <cell r="B25" t="str">
            <v>15%</v>
          </cell>
          <cell r="C25">
            <v>987.47145812691815</v>
          </cell>
          <cell r="D25">
            <v>1082.8281763209563</v>
          </cell>
          <cell r="E25">
            <v>239.11963789991208</v>
          </cell>
          <cell r="F25">
            <v>2016</v>
          </cell>
          <cell r="G25">
            <v>-9.3574790394225228E-7</v>
          </cell>
          <cell r="H25">
            <v>-5.9409385016756332E-7</v>
          </cell>
          <cell r="I25">
            <v>1570.8488238178243</v>
          </cell>
          <cell r="J25">
            <v>2019</v>
          </cell>
          <cell r="K25">
            <v>548.96383791317407</v>
          </cell>
          <cell r="L25">
            <v>836.06993266606594</v>
          </cell>
          <cell r="M25">
            <v>542.82231838465464</v>
          </cell>
          <cell r="N25">
            <v>2010</v>
          </cell>
          <cell r="O25">
            <v>3545.2040518071963</v>
          </cell>
          <cell r="P25">
            <v>4161.9988585777974</v>
          </cell>
          <cell r="Q25">
            <v>1052.2875294878438</v>
          </cell>
          <cell r="R25">
            <v>2012</v>
          </cell>
          <cell r="S25">
            <v>912.77349822273482</v>
          </cell>
          <cell r="T25">
            <v>1098.2496353280696</v>
          </cell>
          <cell r="U25">
            <v>346.11197403749327</v>
          </cell>
          <cell r="V25">
            <v>2011</v>
          </cell>
          <cell r="W25">
            <v>39294.061802208191</v>
          </cell>
          <cell r="X25">
            <v>39058.87561258502</v>
          </cell>
          <cell r="Y25">
            <v>3246.8408823061509</v>
          </cell>
          <cell r="Z25">
            <v>2013</v>
          </cell>
          <cell r="AA25">
            <v>5745.9662739624273</v>
          </cell>
          <cell r="AB25">
            <v>7857.1046439751326</v>
          </cell>
          <cell r="AC25">
            <v>4911.3368304690357</v>
          </cell>
          <cell r="AD25">
            <v>2012</v>
          </cell>
          <cell r="AE25">
            <v>1037.4837901706719</v>
          </cell>
          <cell r="AF25">
            <v>1366.7204952232548</v>
          </cell>
          <cell r="AG25">
            <v>620.93520164553206</v>
          </cell>
          <cell r="AH25">
            <v>2010</v>
          </cell>
          <cell r="AI25">
            <v>1128.4224868225278</v>
          </cell>
          <cell r="AJ25">
            <v>1489.0079474936667</v>
          </cell>
          <cell r="AK25">
            <v>625.78112064315189</v>
          </cell>
          <cell r="AL25">
            <v>2012</v>
          </cell>
          <cell r="AM25">
            <v>119.41067692365959</v>
          </cell>
          <cell r="AN25">
            <v>162.14613659024121</v>
          </cell>
          <cell r="AO25">
            <v>74.76987947365231</v>
          </cell>
          <cell r="AP25">
            <v>2011</v>
          </cell>
          <cell r="AQ25">
            <v>2289.9140760618125</v>
          </cell>
          <cell r="AR25">
            <v>3093.2874856647968</v>
          </cell>
          <cell r="AS25">
            <v>902.10176994423682</v>
          </cell>
          <cell r="AT25">
            <v>2010</v>
          </cell>
          <cell r="AU25">
            <v>1057.7488730525529</v>
          </cell>
          <cell r="AV25">
            <v>1187.9304524904742</v>
          </cell>
          <cell r="AW25">
            <v>341.94478881598923</v>
          </cell>
          <cell r="AX25">
            <v>2016</v>
          </cell>
          <cell r="AY25">
            <v>1134.6639435320924</v>
          </cell>
          <cell r="AZ25">
            <v>1599.5077559421193</v>
          </cell>
          <cell r="BA25">
            <v>866.44311608074361</v>
          </cell>
          <cell r="BB25">
            <v>2012</v>
          </cell>
          <cell r="BC25">
            <v>808.59105649807816</v>
          </cell>
          <cell r="BD25">
            <v>1138.3590358300335</v>
          </cell>
          <cell r="BE25">
            <v>732.72732229129588</v>
          </cell>
          <cell r="BF25">
            <v>2012</v>
          </cell>
          <cell r="BG25">
            <v>4803.4709868150585</v>
          </cell>
          <cell r="BH25">
            <v>7061.0710491934942</v>
          </cell>
          <cell r="BI25">
            <v>4224.8667273024475</v>
          </cell>
          <cell r="BJ25">
            <v>2010</v>
          </cell>
          <cell r="BK25">
            <v>519.01624944880075</v>
          </cell>
          <cell r="BL25">
            <v>563.71131194860675</v>
          </cell>
          <cell r="BM25">
            <v>96.070781420052114</v>
          </cell>
          <cell r="BN25">
            <v>2015</v>
          </cell>
          <cell r="BO25">
            <v>1560.7026541522237</v>
          </cell>
          <cell r="BP25">
            <v>2524.5571899285301</v>
          </cell>
          <cell r="BQ25">
            <v>1638.7377874148071</v>
          </cell>
          <cell r="BR25">
            <v>2010</v>
          </cell>
          <cell r="BS25">
            <v>131.49938573901153</v>
          </cell>
          <cell r="BT25">
            <v>183.02254879999987</v>
          </cell>
          <cell r="BU25">
            <v>75.070652065323003</v>
          </cell>
          <cell r="BV25">
            <v>2011</v>
          </cell>
          <cell r="BW25">
            <v>917.98706317562994</v>
          </cell>
          <cell r="BX25">
            <v>954.89105562120187</v>
          </cell>
          <cell r="BY25">
            <v>79.57645180252733</v>
          </cell>
          <cell r="BZ25">
            <v>2014</v>
          </cell>
          <cell r="CA25">
            <v>9033.2940250583852</v>
          </cell>
          <cell r="CB25">
            <v>13031.831577551648</v>
          </cell>
          <cell r="CC25">
            <v>2762.9496091255492</v>
          </cell>
          <cell r="CD25">
            <v>2012</v>
          </cell>
          <cell r="CE25">
            <v>3382.2306530289825</v>
          </cell>
          <cell r="CF25">
            <v>3920.4392209716093</v>
          </cell>
          <cell r="CG25">
            <v>949.4027621749467</v>
          </cell>
          <cell r="CH25">
            <v>2012</v>
          </cell>
          <cell r="CI25">
            <v>167832.21825711953</v>
          </cell>
          <cell r="CJ25">
            <v>168108.58791192865</v>
          </cell>
          <cell r="CK25">
            <v>4010.6391790679263</v>
          </cell>
          <cell r="CL25">
            <v>2018</v>
          </cell>
          <cell r="CM25">
            <v>5268.0695460539619</v>
          </cell>
          <cell r="CN25">
            <v>7020.504722694398</v>
          </cell>
          <cell r="CO25">
            <v>4232.6143410039595</v>
          </cell>
          <cell r="CP25">
            <v>2012</v>
          </cell>
          <cell r="CQ25">
            <v>1718.8073191999827</v>
          </cell>
          <cell r="CR25">
            <v>2324.9219387686444</v>
          </cell>
          <cell r="CS25">
            <v>1422.5687906488279</v>
          </cell>
          <cell r="CT25">
            <v>2012</v>
          </cell>
          <cell r="CU25">
            <v>1801.3341881966448</v>
          </cell>
          <cell r="CV25">
            <v>1846.4732907803796</v>
          </cell>
          <cell r="CW25">
            <v>110.93562895205353</v>
          </cell>
          <cell r="CX25">
            <v>2013</v>
          </cell>
          <cell r="CY25">
            <v>6907.1969935389889</v>
          </cell>
          <cell r="CZ25">
            <v>7571.2715071098182</v>
          </cell>
          <cell r="DA25">
            <v>1090.5941665268917</v>
          </cell>
          <cell r="DB25">
            <v>2012</v>
          </cell>
          <cell r="DC25">
            <v>331.31727317830604</v>
          </cell>
          <cell r="DD25">
            <v>492.51646219325892</v>
          </cell>
          <cell r="DE25">
            <v>435.62869365334603</v>
          </cell>
          <cell r="DF25">
            <v>2016</v>
          </cell>
          <cell r="DG25">
            <v>940.96476538839647</v>
          </cell>
          <cell r="DH25">
            <v>1294.0770074782665</v>
          </cell>
          <cell r="DI25">
            <v>664.38917414695061</v>
          </cell>
          <cell r="DJ25">
            <v>2010</v>
          </cell>
          <cell r="DK25">
            <v>245.06002807027266</v>
          </cell>
          <cell r="DL25">
            <v>314.52549712449297</v>
          </cell>
          <cell r="DM25">
            <v>173.18949034469503</v>
          </cell>
          <cell r="DN25">
            <v>2016</v>
          </cell>
          <cell r="DO25">
            <v>2201.190507031039</v>
          </cell>
          <cell r="DP25">
            <v>2264.7664232611651</v>
          </cell>
          <cell r="DQ25">
            <v>134.30931680402762</v>
          </cell>
          <cell r="DR25">
            <v>2012</v>
          </cell>
          <cell r="DS25">
            <v>564.72430058328916</v>
          </cell>
          <cell r="DT25">
            <v>822.87155581195361</v>
          </cell>
          <cell r="DU25">
            <v>371.98775879525846</v>
          </cell>
          <cell r="DV25">
            <v>2012</v>
          </cell>
          <cell r="DW25">
            <v>779.82845382920118</v>
          </cell>
          <cell r="DX25">
            <v>1302.2071527809446</v>
          </cell>
          <cell r="DY25">
            <v>409.85919696360656</v>
          </cell>
          <cell r="DZ25">
            <v>2010</v>
          </cell>
          <cell r="EA25">
            <v>510.79639329850477</v>
          </cell>
          <cell r="EB25">
            <v>725.13505560223257</v>
          </cell>
          <cell r="EC25">
            <v>394.79315797592562</v>
          </cell>
          <cell r="ED25">
            <v>2010</v>
          </cell>
          <cell r="EE25">
            <v>509.41708745431379</v>
          </cell>
          <cell r="EF25">
            <v>773.81683561326258</v>
          </cell>
          <cell r="EG25">
            <v>492.62145901430432</v>
          </cell>
          <cell r="EH25">
            <v>2010</v>
          </cell>
          <cell r="EI25">
            <v>3323.6513153831606</v>
          </cell>
          <cell r="EJ25">
            <v>3834.8056478296076</v>
          </cell>
          <cell r="EK25">
            <v>938.72283001361097</v>
          </cell>
          <cell r="EL25">
            <v>2012</v>
          </cell>
          <cell r="EM25">
            <v>185.76273717592832</v>
          </cell>
          <cell r="EN25">
            <v>283.65614475883638</v>
          </cell>
          <cell r="EO25">
            <v>70.386466554401736</v>
          </cell>
          <cell r="EP25">
            <v>2011</v>
          </cell>
          <cell r="EQ25">
            <v>138.53394982592695</v>
          </cell>
          <cell r="ER25">
            <v>191.74413960842557</v>
          </cell>
          <cell r="ES25">
            <v>111.08162155199824</v>
          </cell>
          <cell r="ET25">
            <v>2012</v>
          </cell>
          <cell r="EU25">
            <v>3654.0415993035044</v>
          </cell>
          <cell r="EV25">
            <v>3848.2540795167042</v>
          </cell>
          <cell r="EW25">
            <v>291.73585239755585</v>
          </cell>
          <cell r="EX25">
            <v>2016</v>
          </cell>
          <cell r="EY25">
            <v>3718.8646010891475</v>
          </cell>
          <cell r="EZ25">
            <v>3948.5944943106815</v>
          </cell>
          <cell r="FA25">
            <v>382.9026447629451</v>
          </cell>
          <cell r="FB25">
            <v>2016</v>
          </cell>
          <cell r="FC25">
            <v>2653.7142473532804</v>
          </cell>
          <cell r="FD25">
            <v>2860.8876457043098</v>
          </cell>
          <cell r="FE25">
            <v>412.83493431112458</v>
          </cell>
          <cell r="FF25">
            <v>2011</v>
          </cell>
          <cell r="FG25">
            <v>19292.007653516437</v>
          </cell>
          <cell r="FH25">
            <v>25941.032864396821</v>
          </cell>
          <cell r="FI25">
            <v>13481.546678942548</v>
          </cell>
          <cell r="FJ25">
            <v>2010</v>
          </cell>
          <cell r="FK25">
            <v>-8.9875539188668853E-7</v>
          </cell>
          <cell r="FL25">
            <v>1.2830356161576507E-6</v>
          </cell>
          <cell r="FM25">
            <v>735.79954014476471</v>
          </cell>
          <cell r="FN25">
            <v>2017</v>
          </cell>
          <cell r="FO25">
            <v>128.20807358505994</v>
          </cell>
          <cell r="FP25">
            <v>180.61087994439166</v>
          </cell>
          <cell r="FQ25">
            <v>74.579582813800556</v>
          </cell>
          <cell r="FR25">
            <v>2011</v>
          </cell>
          <cell r="FS25">
            <v>985.55715038861729</v>
          </cell>
          <cell r="FT25">
            <v>1376.8001208303065</v>
          </cell>
          <cell r="FU25">
            <v>744.21003170803783</v>
          </cell>
          <cell r="FV25">
            <v>2010</v>
          </cell>
          <cell r="FW25">
            <v>1135.2610406504912</v>
          </cell>
          <cell r="FX25">
            <v>1523.0216885230247</v>
          </cell>
          <cell r="FY25">
            <v>681.64646183395951</v>
          </cell>
          <cell r="FZ25">
            <v>2012</v>
          </cell>
          <cell r="GA25">
            <v>1004.9253842745314</v>
          </cell>
          <cell r="GB25">
            <v>1485.4947855768485</v>
          </cell>
          <cell r="GC25">
            <v>1106.0153330930343</v>
          </cell>
          <cell r="GD25">
            <v>2012</v>
          </cell>
          <cell r="GE25">
            <v>3472.9799774252815</v>
          </cell>
          <cell r="GF25">
            <v>4604.4348820829437</v>
          </cell>
          <cell r="GG25">
            <v>1959.6587882947365</v>
          </cell>
          <cell r="GH25">
            <v>2010</v>
          </cell>
          <cell r="GI25">
            <v>287.32196484295912</v>
          </cell>
          <cell r="GJ25">
            <v>451.89546150531788</v>
          </cell>
          <cell r="GK25">
            <v>177.56809510016291</v>
          </cell>
          <cell r="GL25">
            <v>2011</v>
          </cell>
          <cell r="GM25">
            <v>0</v>
          </cell>
          <cell r="GN25">
            <v>0</v>
          </cell>
          <cell r="GO25">
            <v>0</v>
          </cell>
          <cell r="GP25">
            <v>0</v>
          </cell>
        </row>
        <row r="26">
          <cell r="B26" t="str">
            <v>20%</v>
          </cell>
          <cell r="C26">
            <v>1001.1603737470275</v>
          </cell>
          <cell r="D26">
            <v>1094.7880196841775</v>
          </cell>
          <cell r="E26">
            <v>241.64587304406842</v>
          </cell>
          <cell r="F26">
            <v>2016</v>
          </cell>
          <cell r="G26">
            <v>-6.5432375173701099E-7</v>
          </cell>
          <cell r="H26">
            <v>-1.2921928853947257E-8</v>
          </cell>
          <cell r="I26">
            <v>1697.7327066842631</v>
          </cell>
          <cell r="J26">
            <v>2023</v>
          </cell>
          <cell r="K26">
            <v>560.58605279589335</v>
          </cell>
          <cell r="L26">
            <v>855.11713923363595</v>
          </cell>
          <cell r="M26">
            <v>554.4681514964384</v>
          </cell>
          <cell r="N26">
            <v>2010</v>
          </cell>
          <cell r="O26">
            <v>3841.6603935318112</v>
          </cell>
          <cell r="P26">
            <v>4404.7317977745233</v>
          </cell>
          <cell r="Q26">
            <v>1133.2617728856974</v>
          </cell>
          <cell r="R26">
            <v>2013</v>
          </cell>
          <cell r="S26">
            <v>932.89751198052227</v>
          </cell>
          <cell r="T26">
            <v>1119.150265835005</v>
          </cell>
          <cell r="U26">
            <v>356.83301887389473</v>
          </cell>
          <cell r="V26">
            <v>2011</v>
          </cell>
          <cell r="W26">
            <v>39565.576475963913</v>
          </cell>
          <cell r="X26">
            <v>39398.32529257008</v>
          </cell>
          <cell r="Y26">
            <v>3280.9918936733184</v>
          </cell>
          <cell r="Z26">
            <v>2013</v>
          </cell>
          <cell r="AA26">
            <v>6036.4662977387798</v>
          </cell>
          <cell r="AB26">
            <v>8129.3520577618992</v>
          </cell>
          <cell r="AC26">
            <v>5058.0648891241362</v>
          </cell>
          <cell r="AD26">
            <v>2013</v>
          </cell>
          <cell r="AE26">
            <v>1064.6566435550499</v>
          </cell>
          <cell r="AF26">
            <v>1397.8098072915259</v>
          </cell>
          <cell r="AG26">
            <v>628.48849975153109</v>
          </cell>
          <cell r="AH26">
            <v>2011</v>
          </cell>
          <cell r="AI26">
            <v>1187.5473967641851</v>
          </cell>
          <cell r="AJ26">
            <v>1554.4008311829773</v>
          </cell>
          <cell r="AK26">
            <v>637.95128318785487</v>
          </cell>
          <cell r="AL26">
            <v>2013</v>
          </cell>
          <cell r="AM26">
            <v>124.11824684732633</v>
          </cell>
          <cell r="AN26">
            <v>167.15541485327475</v>
          </cell>
          <cell r="AO26">
            <v>76.390127665498369</v>
          </cell>
          <cell r="AP26">
            <v>2011</v>
          </cell>
          <cell r="AQ26">
            <v>2412.7103914487025</v>
          </cell>
          <cell r="AR26">
            <v>3209.8915172283132</v>
          </cell>
          <cell r="AS26">
            <v>912.24680769133386</v>
          </cell>
          <cell r="AT26">
            <v>2010</v>
          </cell>
          <cell r="AU26">
            <v>1066.2396856380799</v>
          </cell>
          <cell r="AV26">
            <v>1200.370755909554</v>
          </cell>
          <cell r="AW26">
            <v>345.82828383230304</v>
          </cell>
          <cell r="AX26">
            <v>2016</v>
          </cell>
          <cell r="AY26">
            <v>1154.6144853206508</v>
          </cell>
          <cell r="AZ26">
            <v>1624.3986053332892</v>
          </cell>
          <cell r="BA26">
            <v>881.77162551982258</v>
          </cell>
          <cell r="BB26">
            <v>2013</v>
          </cell>
          <cell r="BC26">
            <v>826.9067643382399</v>
          </cell>
          <cell r="BD26">
            <v>1165.6739070562348</v>
          </cell>
          <cell r="BE26">
            <v>748.59067178731823</v>
          </cell>
          <cell r="BF26">
            <v>2013</v>
          </cell>
          <cell r="BG26">
            <v>4966.7883531876032</v>
          </cell>
          <cell r="BH26">
            <v>7247.4965226292989</v>
          </cell>
          <cell r="BI26">
            <v>4257.3739943420051</v>
          </cell>
          <cell r="BJ26">
            <v>2010</v>
          </cell>
          <cell r="BK26">
            <v>529.23706171008882</v>
          </cell>
          <cell r="BL26">
            <v>574.00370030672684</v>
          </cell>
          <cell r="BM26">
            <v>98.158443787134729</v>
          </cell>
          <cell r="BN26">
            <v>2015</v>
          </cell>
          <cell r="BO26">
            <v>1589.9805345109328</v>
          </cell>
          <cell r="BP26">
            <v>2571.9164247051967</v>
          </cell>
          <cell r="BQ26">
            <v>1669.4795614762133</v>
          </cell>
          <cell r="BR26">
            <v>2010</v>
          </cell>
          <cell r="BS26">
            <v>135.70061953865849</v>
          </cell>
          <cell r="BT26">
            <v>187.64067532924744</v>
          </cell>
          <cell r="BU26">
            <v>76.56763168726178</v>
          </cell>
          <cell r="BV26">
            <v>2011</v>
          </cell>
          <cell r="BW26">
            <v>975.65641531608128</v>
          </cell>
          <cell r="BX26">
            <v>1012.5775665652462</v>
          </cell>
          <cell r="BY26">
            <v>81.92996114165814</v>
          </cell>
          <cell r="BZ26">
            <v>2015</v>
          </cell>
          <cell r="CA26">
            <v>9239.5893348670506</v>
          </cell>
          <cell r="CB26">
            <v>13246.288077208241</v>
          </cell>
          <cell r="CC26">
            <v>2835.0169247401241</v>
          </cell>
          <cell r="CD26">
            <v>2013</v>
          </cell>
          <cell r="CE26">
            <v>3621.3319087766863</v>
          </cell>
          <cell r="CF26">
            <v>4166.8624468992448</v>
          </cell>
          <cell r="CG26">
            <v>1016.6618886693203</v>
          </cell>
          <cell r="CH26">
            <v>2013</v>
          </cell>
          <cell r="CI26">
            <v>169481.88178036877</v>
          </cell>
          <cell r="CJ26">
            <v>169648.66965660849</v>
          </cell>
          <cell r="CK26">
            <v>4056.2675912194759</v>
          </cell>
          <cell r="CL26">
            <v>2018</v>
          </cell>
          <cell r="CM26">
            <v>5426.0362202955848</v>
          </cell>
          <cell r="CN26">
            <v>7202.7520544151594</v>
          </cell>
          <cell r="CO26">
            <v>4334.5029115231791</v>
          </cell>
          <cell r="CP26">
            <v>2013</v>
          </cell>
          <cell r="CQ26">
            <v>1788.3482329780404</v>
          </cell>
          <cell r="CR26">
            <v>2431.7378927261084</v>
          </cell>
          <cell r="CS26">
            <v>1516.2950718193617</v>
          </cell>
          <cell r="CT26">
            <v>2013</v>
          </cell>
          <cell r="CU26">
            <v>1898.02389975496</v>
          </cell>
          <cell r="CV26">
            <v>1951.4458002353372</v>
          </cell>
          <cell r="CW26">
            <v>117.31144966554339</v>
          </cell>
          <cell r="CX26">
            <v>2014</v>
          </cell>
          <cell r="CY26">
            <v>7284.97978621737</v>
          </cell>
          <cell r="CZ26">
            <v>7886.3931992240332</v>
          </cell>
          <cell r="DA26">
            <v>1118.8671861927503</v>
          </cell>
          <cell r="DB26">
            <v>2013</v>
          </cell>
          <cell r="DC26">
            <v>344.07000425830648</v>
          </cell>
          <cell r="DD26">
            <v>512.35622675053139</v>
          </cell>
          <cell r="DE26">
            <v>459.81729775815404</v>
          </cell>
          <cell r="DF26">
            <v>2016</v>
          </cell>
          <cell r="DG26">
            <v>956.41701004363824</v>
          </cell>
          <cell r="DH26">
            <v>1310.0933411145827</v>
          </cell>
          <cell r="DI26">
            <v>672.85848678976561</v>
          </cell>
          <cell r="DJ26">
            <v>2011</v>
          </cell>
          <cell r="DK26">
            <v>248.39518191491791</v>
          </cell>
          <cell r="DL26">
            <v>317.90395610771816</v>
          </cell>
          <cell r="DM26">
            <v>175.20108943297075</v>
          </cell>
          <cell r="DN26">
            <v>2016</v>
          </cell>
          <cell r="DO26">
            <v>2464.5270657946512</v>
          </cell>
          <cell r="DP26">
            <v>2528.4625553292803</v>
          </cell>
          <cell r="DQ26">
            <v>138.53371972218565</v>
          </cell>
          <cell r="DR26">
            <v>2013</v>
          </cell>
          <cell r="DS26">
            <v>579.09547804863246</v>
          </cell>
          <cell r="DT26">
            <v>836.73969399574412</v>
          </cell>
          <cell r="DU26">
            <v>379.27861247163776</v>
          </cell>
          <cell r="DV26">
            <v>2013</v>
          </cell>
          <cell r="DW26">
            <v>797.22723512314599</v>
          </cell>
          <cell r="DX26">
            <v>1323.7209217830136</v>
          </cell>
          <cell r="DY26">
            <v>414.91677706675415</v>
          </cell>
          <cell r="DZ26">
            <v>2010</v>
          </cell>
          <cell r="EA26">
            <v>529.56453935822287</v>
          </cell>
          <cell r="EB26">
            <v>743.86404351337035</v>
          </cell>
          <cell r="EC26">
            <v>397.67490670951162</v>
          </cell>
          <cell r="ED26">
            <v>2010</v>
          </cell>
          <cell r="EE26">
            <v>521.73081836027984</v>
          </cell>
          <cell r="EF26">
            <v>791.07022490498832</v>
          </cell>
          <cell r="EG26">
            <v>504.18580705096525</v>
          </cell>
          <cell r="EH26">
            <v>2010</v>
          </cell>
          <cell r="EI26">
            <v>3582.0446143735348</v>
          </cell>
          <cell r="EJ26">
            <v>4114.0048480153046</v>
          </cell>
          <cell r="EK26">
            <v>1002.2860967745174</v>
          </cell>
          <cell r="EL26">
            <v>2013</v>
          </cell>
          <cell r="EM26">
            <v>195.39345970823103</v>
          </cell>
          <cell r="EN26">
            <v>296.31318529019165</v>
          </cell>
          <cell r="EO26">
            <v>72.495904109315347</v>
          </cell>
          <cell r="EP26">
            <v>2011</v>
          </cell>
          <cell r="EQ26">
            <v>147.55410207998733</v>
          </cell>
          <cell r="ER26">
            <v>203.34910895576687</v>
          </cell>
          <cell r="ES26">
            <v>122.8108131219125</v>
          </cell>
          <cell r="ET26">
            <v>2013</v>
          </cell>
          <cell r="EU26">
            <v>3683.7112055386201</v>
          </cell>
          <cell r="EV26">
            <v>3881.0480065252732</v>
          </cell>
          <cell r="EW26">
            <v>299.28321861306614</v>
          </cell>
          <cell r="EX26">
            <v>2016</v>
          </cell>
          <cell r="EY26">
            <v>3748.7798698408878</v>
          </cell>
          <cell r="EZ26">
            <v>3981.5428276955445</v>
          </cell>
          <cell r="FA26">
            <v>391.4902382009422</v>
          </cell>
          <cell r="FB26">
            <v>2016</v>
          </cell>
          <cell r="FC26">
            <v>2937.8607056853534</v>
          </cell>
          <cell r="FD26">
            <v>3144.6517357687653</v>
          </cell>
          <cell r="FE26">
            <v>422.49130661606921</v>
          </cell>
          <cell r="FF26">
            <v>2011</v>
          </cell>
          <cell r="FG26">
            <v>19635.165200084375</v>
          </cell>
          <cell r="FH26">
            <v>26268.680815331525</v>
          </cell>
          <cell r="FI26">
            <v>13536.429528306982</v>
          </cell>
          <cell r="FJ26">
            <v>2010</v>
          </cell>
          <cell r="FK26">
            <v>-5.5560936169629136E-7</v>
          </cell>
          <cell r="FL26">
            <v>4.3490254162209401E-6</v>
          </cell>
          <cell r="FM26">
            <v>784.93807460646417</v>
          </cell>
          <cell r="FN26">
            <v>2019</v>
          </cell>
          <cell r="FO26">
            <v>132.15418947120978</v>
          </cell>
          <cell r="FP26">
            <v>184.37194375659956</v>
          </cell>
          <cell r="FQ26">
            <v>76.47795114442566</v>
          </cell>
          <cell r="FR26">
            <v>2011</v>
          </cell>
          <cell r="FS26">
            <v>1003.3600050651573</v>
          </cell>
          <cell r="FT26">
            <v>1399.3882594185457</v>
          </cell>
          <cell r="FU26">
            <v>756.72543433464341</v>
          </cell>
          <cell r="FV26">
            <v>2011</v>
          </cell>
          <cell r="FW26">
            <v>1150.8579425655555</v>
          </cell>
          <cell r="FX26">
            <v>1537.748979048677</v>
          </cell>
          <cell r="FY26">
            <v>695.89641228358323</v>
          </cell>
          <cell r="FZ26">
            <v>2013</v>
          </cell>
          <cell r="GA26">
            <v>1023.0031141264187</v>
          </cell>
          <cell r="GB26">
            <v>1515.2494940288063</v>
          </cell>
          <cell r="GC26">
            <v>1131.6584250267351</v>
          </cell>
          <cell r="GD26">
            <v>2013</v>
          </cell>
          <cell r="GE26">
            <v>3668.0748721599457</v>
          </cell>
          <cell r="GF26">
            <v>4802.9125768131189</v>
          </cell>
          <cell r="GG26">
            <v>2015.9999402344333</v>
          </cell>
          <cell r="GH26">
            <v>2010</v>
          </cell>
          <cell r="GI26">
            <v>299.85487881421432</v>
          </cell>
          <cell r="GJ26">
            <v>462.44872138034026</v>
          </cell>
          <cell r="GK26">
            <v>182.7017939026193</v>
          </cell>
          <cell r="GL26">
            <v>2011</v>
          </cell>
          <cell r="GM26">
            <v>0</v>
          </cell>
          <cell r="GN26">
            <v>0</v>
          </cell>
          <cell r="GO26">
            <v>0</v>
          </cell>
          <cell r="GP26">
            <v>0</v>
          </cell>
        </row>
        <row r="27">
          <cell r="B27" t="str">
            <v>25%</v>
          </cell>
          <cell r="C27">
            <v>1011.4560786921743</v>
          </cell>
          <cell r="D27">
            <v>1105.6416607083631</v>
          </cell>
          <cell r="E27">
            <v>245.37583276876859</v>
          </cell>
          <cell r="F27">
            <v>2017</v>
          </cell>
          <cell r="G27">
            <v>-4.3553252328779689E-7</v>
          </cell>
          <cell r="H27">
            <v>4.8642447136303001E-7</v>
          </cell>
          <cell r="I27">
            <v>1815.4416799426938</v>
          </cell>
          <cell r="J27">
            <v>2026</v>
          </cell>
          <cell r="K27">
            <v>569.34572180439181</v>
          </cell>
          <cell r="L27">
            <v>871.58350603172289</v>
          </cell>
          <cell r="M27">
            <v>565.03134349175593</v>
          </cell>
          <cell r="N27">
            <v>2011</v>
          </cell>
          <cell r="O27">
            <v>4085.8101694269017</v>
          </cell>
          <cell r="P27">
            <v>4670.5138855066643</v>
          </cell>
          <cell r="Q27">
            <v>1215.7795882194862</v>
          </cell>
          <cell r="R27">
            <v>2014</v>
          </cell>
          <cell r="S27">
            <v>947.74184202108336</v>
          </cell>
          <cell r="T27">
            <v>1138.9299931273461</v>
          </cell>
          <cell r="U27">
            <v>363.73315704299773</v>
          </cell>
          <cell r="V27">
            <v>2011</v>
          </cell>
          <cell r="W27">
            <v>39925.922764699622</v>
          </cell>
          <cell r="X27">
            <v>39719.718452127585</v>
          </cell>
          <cell r="Y27">
            <v>3312.002004980061</v>
          </cell>
          <cell r="Z27">
            <v>2013</v>
          </cell>
          <cell r="AA27">
            <v>6234.0140609756054</v>
          </cell>
          <cell r="AB27">
            <v>8349.0356936001153</v>
          </cell>
          <cell r="AC27">
            <v>5166.7150871556287</v>
          </cell>
          <cell r="AD27">
            <v>2014</v>
          </cell>
          <cell r="AE27">
            <v>1085.9626199498684</v>
          </cell>
          <cell r="AF27">
            <v>1420.8527805781755</v>
          </cell>
          <cell r="AG27">
            <v>637.64999939813822</v>
          </cell>
          <cell r="AH27">
            <v>2011</v>
          </cell>
          <cell r="AI27">
            <v>1225.8880859037006</v>
          </cell>
          <cell r="AJ27">
            <v>1595.054663861845</v>
          </cell>
          <cell r="AK27">
            <v>649.42044927531686</v>
          </cell>
          <cell r="AL27">
            <v>2014</v>
          </cell>
          <cell r="AM27">
            <v>129.6042136877189</v>
          </cell>
          <cell r="AN27">
            <v>171.87544070366872</v>
          </cell>
          <cell r="AO27">
            <v>77.655980062450979</v>
          </cell>
          <cell r="AP27">
            <v>2011</v>
          </cell>
          <cell r="AQ27">
            <v>2508.6987598507508</v>
          </cell>
          <cell r="AR27">
            <v>3318.4439015355915</v>
          </cell>
          <cell r="AS27">
            <v>923.23715317574442</v>
          </cell>
          <cell r="AT27">
            <v>2011</v>
          </cell>
          <cell r="AU27">
            <v>1078.0715949978576</v>
          </cell>
          <cell r="AV27">
            <v>1210.6548737702726</v>
          </cell>
          <cell r="AW27">
            <v>349.80308050660517</v>
          </cell>
          <cell r="AX27">
            <v>2017</v>
          </cell>
          <cell r="AY27">
            <v>1172.0105182990869</v>
          </cell>
          <cell r="AZ27">
            <v>1644.0394307845793</v>
          </cell>
          <cell r="BA27">
            <v>896.89443445779114</v>
          </cell>
          <cell r="BB27">
            <v>2014</v>
          </cell>
          <cell r="BC27">
            <v>842.04154929253957</v>
          </cell>
          <cell r="BD27">
            <v>1184.3394014489659</v>
          </cell>
          <cell r="BE27">
            <v>762.94252512379558</v>
          </cell>
          <cell r="BF27">
            <v>2014</v>
          </cell>
          <cell r="BG27">
            <v>5095.3418208641906</v>
          </cell>
          <cell r="BH27">
            <v>7373.7285503376988</v>
          </cell>
          <cell r="BI27">
            <v>4290.0710167803682</v>
          </cell>
          <cell r="BJ27">
            <v>2010</v>
          </cell>
          <cell r="BK27">
            <v>537.17192145218701</v>
          </cell>
          <cell r="BL27">
            <v>581.52138551583118</v>
          </cell>
          <cell r="BM27">
            <v>99.989991567862347</v>
          </cell>
          <cell r="BN27">
            <v>2016</v>
          </cell>
          <cell r="BO27">
            <v>1615.5912142070383</v>
          </cell>
          <cell r="BP27">
            <v>2613.3436791131467</v>
          </cell>
          <cell r="BQ27">
            <v>1696.3707768302488</v>
          </cell>
          <cell r="BR27">
            <v>2010</v>
          </cell>
          <cell r="BS27">
            <v>139.21915023426061</v>
          </cell>
          <cell r="BT27">
            <v>191.40854235693192</v>
          </cell>
          <cell r="BU27">
            <v>78.090231518107871</v>
          </cell>
          <cell r="BV27">
            <v>2011</v>
          </cell>
          <cell r="BW27">
            <v>1027.6731463857705</v>
          </cell>
          <cell r="BX27">
            <v>1062.0819579945014</v>
          </cell>
          <cell r="BY27">
            <v>83.585391657810646</v>
          </cell>
          <cell r="BZ27">
            <v>2016</v>
          </cell>
          <cell r="CA27">
            <v>9430.5451510527037</v>
          </cell>
          <cell r="CB27">
            <v>13420.871442713031</v>
          </cell>
          <cell r="CC27">
            <v>2884.0664795784332</v>
          </cell>
          <cell r="CD27">
            <v>2014</v>
          </cell>
          <cell r="CE27">
            <v>3871.4857812264495</v>
          </cell>
          <cell r="CF27">
            <v>4411.8448562868243</v>
          </cell>
          <cell r="CG27">
            <v>1103.4770779839091</v>
          </cell>
          <cell r="CH27">
            <v>2014</v>
          </cell>
          <cell r="CI27">
            <v>170951.98920476582</v>
          </cell>
          <cell r="CJ27">
            <v>171152.99135588837</v>
          </cell>
          <cell r="CK27">
            <v>4088.6872566210059</v>
          </cell>
          <cell r="CL27">
            <v>2018</v>
          </cell>
          <cell r="CM27">
            <v>5527.4628439734461</v>
          </cell>
          <cell r="CN27">
            <v>7335.8864946497606</v>
          </cell>
          <cell r="CO27">
            <v>4437.3374063673155</v>
          </cell>
          <cell r="CP27">
            <v>2014</v>
          </cell>
          <cell r="CQ27">
            <v>1836.0630039516677</v>
          </cell>
          <cell r="CR27">
            <v>2511.6997349572057</v>
          </cell>
          <cell r="CS27">
            <v>1589.9505138812588</v>
          </cell>
          <cell r="CT27">
            <v>2014</v>
          </cell>
          <cell r="CU27">
            <v>1995.7083200908571</v>
          </cell>
          <cell r="CV27">
            <v>2058.9758042859203</v>
          </cell>
          <cell r="CW27">
            <v>122.57225405542738</v>
          </cell>
          <cell r="CX27">
            <v>2016</v>
          </cell>
          <cell r="CY27">
            <v>7535.5222398547257</v>
          </cell>
          <cell r="CZ27">
            <v>8170.1694010956871</v>
          </cell>
          <cell r="DA27">
            <v>1138.7314963253066</v>
          </cell>
          <cell r="DB27">
            <v>2014</v>
          </cell>
          <cell r="DC27">
            <v>351.4850161174765</v>
          </cell>
          <cell r="DD27">
            <v>527.36159149431842</v>
          </cell>
          <cell r="DE27">
            <v>478.65747612933546</v>
          </cell>
          <cell r="DF27">
            <v>2017</v>
          </cell>
          <cell r="DG27">
            <v>971.7560231931916</v>
          </cell>
          <cell r="DH27">
            <v>1328.8121435620048</v>
          </cell>
          <cell r="DI27">
            <v>680.42790147746632</v>
          </cell>
          <cell r="DJ27">
            <v>2011</v>
          </cell>
          <cell r="DK27">
            <v>250.82611178708714</v>
          </cell>
          <cell r="DL27">
            <v>320.32156659769481</v>
          </cell>
          <cell r="DM27">
            <v>177.07901707602147</v>
          </cell>
          <cell r="DN27">
            <v>2017</v>
          </cell>
          <cell r="DO27">
            <v>2633.7340974123526</v>
          </cell>
          <cell r="DP27">
            <v>2691.5678177516088</v>
          </cell>
          <cell r="DQ27">
            <v>143.25860002757454</v>
          </cell>
          <cell r="DR27">
            <v>2014</v>
          </cell>
          <cell r="DS27">
            <v>589.99512622984093</v>
          </cell>
          <cell r="DT27">
            <v>851.79436342478971</v>
          </cell>
          <cell r="DU27">
            <v>386.65512520748774</v>
          </cell>
          <cell r="DV27">
            <v>2014</v>
          </cell>
          <cell r="DW27">
            <v>813.5710091202584</v>
          </cell>
          <cell r="DX27">
            <v>1342.4707114978328</v>
          </cell>
          <cell r="DY27">
            <v>418.64605762689138</v>
          </cell>
          <cell r="DZ27">
            <v>2011</v>
          </cell>
          <cell r="EA27">
            <v>546.64822893131202</v>
          </cell>
          <cell r="EB27">
            <v>762.15028356843038</v>
          </cell>
          <cell r="EC27">
            <v>400.61508300667089</v>
          </cell>
          <cell r="ED27">
            <v>2010</v>
          </cell>
          <cell r="EE27">
            <v>530.11627612850441</v>
          </cell>
          <cell r="EF27">
            <v>805.19318527199414</v>
          </cell>
          <cell r="EG27">
            <v>513.51487999177687</v>
          </cell>
          <cell r="EH27">
            <v>2011</v>
          </cell>
          <cell r="EI27">
            <v>3818.4671243370735</v>
          </cell>
          <cell r="EJ27">
            <v>4364.0236193981063</v>
          </cell>
          <cell r="EK27">
            <v>1083.0468471553556</v>
          </cell>
          <cell r="EL27">
            <v>2014</v>
          </cell>
          <cell r="EM27">
            <v>210.8114089910444</v>
          </cell>
          <cell r="EN27">
            <v>306.29104882397718</v>
          </cell>
          <cell r="EO27">
            <v>73.781834097348678</v>
          </cell>
          <cell r="EP27">
            <v>2012</v>
          </cell>
          <cell r="EQ27">
            <v>154.44317541949815</v>
          </cell>
          <cell r="ER27">
            <v>215.76286188784374</v>
          </cell>
          <cell r="ES27">
            <v>132.21260708085688</v>
          </cell>
          <cell r="ET27">
            <v>2014</v>
          </cell>
          <cell r="EU27">
            <v>3710.4368799999597</v>
          </cell>
          <cell r="EV27">
            <v>3909.8014893515337</v>
          </cell>
          <cell r="EW27">
            <v>305.14139971794225</v>
          </cell>
          <cell r="EX27">
            <v>2017</v>
          </cell>
          <cell r="EY27">
            <v>3768.009118459423</v>
          </cell>
          <cell r="EZ27">
            <v>4008.6515054457477</v>
          </cell>
          <cell r="FA27">
            <v>399.95390282166056</v>
          </cell>
          <cell r="FB27">
            <v>2017</v>
          </cell>
          <cell r="FC27">
            <v>3179.8077006601684</v>
          </cell>
          <cell r="FD27">
            <v>3398.0198001892518</v>
          </cell>
          <cell r="FE27">
            <v>432.59770335193912</v>
          </cell>
          <cell r="FF27">
            <v>2012</v>
          </cell>
          <cell r="FG27">
            <v>19869.001828764533</v>
          </cell>
          <cell r="FH27">
            <v>26579.737670377312</v>
          </cell>
          <cell r="FI27">
            <v>13592.928863429977</v>
          </cell>
          <cell r="FJ27">
            <v>2010</v>
          </cell>
          <cell r="FK27">
            <v>-3.2590324078016777E-7</v>
          </cell>
          <cell r="FL27">
            <v>3450.2919999056162</v>
          </cell>
          <cell r="FM27">
            <v>836.1340197956639</v>
          </cell>
          <cell r="FN27">
            <v>2022</v>
          </cell>
          <cell r="FO27">
            <v>135.74173678797973</v>
          </cell>
          <cell r="FP27">
            <v>188.32046030510861</v>
          </cell>
          <cell r="FQ27">
            <v>78.072515319980667</v>
          </cell>
          <cell r="FR27">
            <v>2011</v>
          </cell>
          <cell r="FS27">
            <v>1017.705905014751</v>
          </cell>
          <cell r="FT27">
            <v>1414.2047424800608</v>
          </cell>
          <cell r="FU27">
            <v>766.84375628397436</v>
          </cell>
          <cell r="FV27">
            <v>2011</v>
          </cell>
          <cell r="FW27">
            <v>1166.0995019103627</v>
          </cell>
          <cell r="FX27">
            <v>1551.1733168482294</v>
          </cell>
          <cell r="FY27">
            <v>713.10010628902467</v>
          </cell>
          <cell r="FZ27">
            <v>2014</v>
          </cell>
          <cell r="GA27">
            <v>1038.5044119519064</v>
          </cell>
          <cell r="GB27">
            <v>1535.8629310142412</v>
          </cell>
          <cell r="GC27">
            <v>1156.8677938383646</v>
          </cell>
          <cell r="GD27">
            <v>2014</v>
          </cell>
          <cell r="GE27">
            <v>3850.2917477392543</v>
          </cell>
          <cell r="GF27">
            <v>4985.4167640891064</v>
          </cell>
          <cell r="GG27">
            <v>2060.8350300828492</v>
          </cell>
          <cell r="GH27">
            <v>2010</v>
          </cell>
          <cell r="GI27">
            <v>312.6777127365898</v>
          </cell>
          <cell r="GJ27">
            <v>475.31092850349239</v>
          </cell>
          <cell r="GK27">
            <v>186.32919398184666</v>
          </cell>
          <cell r="GL27">
            <v>2012</v>
          </cell>
          <cell r="GM27">
            <v>0</v>
          </cell>
          <cell r="GN27">
            <v>0</v>
          </cell>
          <cell r="GO27">
            <v>0</v>
          </cell>
          <cell r="GP27">
            <v>0</v>
          </cell>
        </row>
        <row r="28">
          <cell r="B28" t="str">
            <v>30%</v>
          </cell>
          <cell r="C28">
            <v>1021.192190048484</v>
          </cell>
          <cell r="D28">
            <v>1116.9461748884116</v>
          </cell>
          <cell r="E28">
            <v>249.30364929581049</v>
          </cell>
          <cell r="F28">
            <v>2017</v>
          </cell>
          <cell r="G28">
            <v>-2.5061766280632459E-7</v>
          </cell>
          <cell r="H28">
            <v>1.0471960698815003E-6</v>
          </cell>
          <cell r="I28">
            <v>1977.9803826237026</v>
          </cell>
          <cell r="J28">
            <v>2029</v>
          </cell>
          <cell r="K28">
            <v>578.07514275557082</v>
          </cell>
          <cell r="L28">
            <v>883.43554868942954</v>
          </cell>
          <cell r="M28">
            <v>574.59698238780891</v>
          </cell>
          <cell r="N28">
            <v>2011</v>
          </cell>
          <cell r="O28">
            <v>4291.2368459048666</v>
          </cell>
          <cell r="P28">
            <v>4932.9301573066414</v>
          </cell>
          <cell r="Q28">
            <v>1306.0404322920872</v>
          </cell>
          <cell r="R28">
            <v>2015</v>
          </cell>
          <cell r="S28">
            <v>964.3189016426353</v>
          </cell>
          <cell r="T28">
            <v>1158.2731038085064</v>
          </cell>
          <cell r="U28">
            <v>369.17326658526298</v>
          </cell>
          <cell r="V28">
            <v>2012</v>
          </cell>
          <cell r="W28">
            <v>40216.886899436722</v>
          </cell>
          <cell r="X28">
            <v>40034.367208408759</v>
          </cell>
          <cell r="Y28">
            <v>3344.5600559190225</v>
          </cell>
          <cell r="Z28">
            <v>2013</v>
          </cell>
          <cell r="AA28">
            <v>6429.4025720925047</v>
          </cell>
          <cell r="AB28">
            <v>8629.8712642884493</v>
          </cell>
          <cell r="AC28">
            <v>5282.4868466009229</v>
          </cell>
          <cell r="AD28">
            <v>2015</v>
          </cell>
          <cell r="AE28">
            <v>1105.7145500168615</v>
          </cell>
          <cell r="AF28">
            <v>1443.0220675582971</v>
          </cell>
          <cell r="AG28">
            <v>645.00170811010264</v>
          </cell>
          <cell r="AH28">
            <v>2011</v>
          </cell>
          <cell r="AI28">
            <v>1270.5751154629438</v>
          </cell>
          <cell r="AJ28">
            <v>1638.666777691355</v>
          </cell>
          <cell r="AK28">
            <v>662.32067639754575</v>
          </cell>
          <cell r="AL28">
            <v>2015</v>
          </cell>
          <cell r="AM28">
            <v>133.03938734935087</v>
          </cell>
          <cell r="AN28">
            <v>176.03565677143797</v>
          </cell>
          <cell r="AO28">
            <v>79.424373646046647</v>
          </cell>
          <cell r="AP28">
            <v>2012</v>
          </cell>
          <cell r="AQ28">
            <v>2615.4348894017553</v>
          </cell>
          <cell r="AR28">
            <v>3401.7111017597936</v>
          </cell>
          <cell r="AS28">
            <v>931.87744006220646</v>
          </cell>
          <cell r="AT28">
            <v>2011</v>
          </cell>
          <cell r="AU28">
            <v>1086.2396734474291</v>
          </cell>
          <cell r="AV28">
            <v>1222.0875822146068</v>
          </cell>
          <cell r="AW28">
            <v>354.47359202202955</v>
          </cell>
          <cell r="AX28">
            <v>2017</v>
          </cell>
          <cell r="AY28">
            <v>1188.2337868963125</v>
          </cell>
          <cell r="AZ28">
            <v>1660.6216665867812</v>
          </cell>
          <cell r="BA28">
            <v>909.97200106376977</v>
          </cell>
          <cell r="BB28">
            <v>2015</v>
          </cell>
          <cell r="BC28">
            <v>858.55523958914625</v>
          </cell>
          <cell r="BD28">
            <v>1200.2722515796515</v>
          </cell>
          <cell r="BE28">
            <v>775.78406690745919</v>
          </cell>
          <cell r="BF28">
            <v>2014</v>
          </cell>
          <cell r="BG28">
            <v>5199.7506193371464</v>
          </cell>
          <cell r="BH28">
            <v>7516.578201291878</v>
          </cell>
          <cell r="BI28">
            <v>4326.2634160309972</v>
          </cell>
          <cell r="BJ28">
            <v>2010</v>
          </cell>
          <cell r="BK28">
            <v>543.34636532952561</v>
          </cell>
          <cell r="BL28">
            <v>587.93662091562271</v>
          </cell>
          <cell r="BM28">
            <v>101.77182841885946</v>
          </cell>
          <cell r="BN28">
            <v>2016</v>
          </cell>
          <cell r="BO28">
            <v>1637.7571190888971</v>
          </cell>
          <cell r="BP28">
            <v>2649.1987438980327</v>
          </cell>
          <cell r="BQ28">
            <v>1719.6449773635943</v>
          </cell>
          <cell r="BR28">
            <v>2010</v>
          </cell>
          <cell r="BS28">
            <v>142.00170700191416</v>
          </cell>
          <cell r="BT28">
            <v>195.37184913083325</v>
          </cell>
          <cell r="BU28">
            <v>79.573022042130461</v>
          </cell>
          <cell r="BV28">
            <v>2012</v>
          </cell>
          <cell r="BW28">
            <v>1060.4395171782669</v>
          </cell>
          <cell r="BX28">
            <v>1093.5376473844913</v>
          </cell>
          <cell r="BY28">
            <v>85.553713682085657</v>
          </cell>
          <cell r="BZ28">
            <v>2016</v>
          </cell>
          <cell r="CA28">
            <v>9634.4158909511661</v>
          </cell>
          <cell r="CB28">
            <v>13649.061888773767</v>
          </cell>
          <cell r="CC28">
            <v>2948.9713052785032</v>
          </cell>
          <cell r="CD28">
            <v>2015</v>
          </cell>
          <cell r="CE28">
            <v>4071.9079986992833</v>
          </cell>
          <cell r="CF28">
            <v>4578.6774694469959</v>
          </cell>
          <cell r="CG28">
            <v>1179.5030304193126</v>
          </cell>
          <cell r="CH28">
            <v>2015</v>
          </cell>
          <cell r="CI28">
            <v>172007.78551848192</v>
          </cell>
          <cell r="CJ28">
            <v>172176.2258010559</v>
          </cell>
          <cell r="CK28">
            <v>4131.6781595031507</v>
          </cell>
          <cell r="CL28">
            <v>2018</v>
          </cell>
          <cell r="CM28">
            <v>5654.967642365792</v>
          </cell>
          <cell r="CN28">
            <v>7484.9254403026353</v>
          </cell>
          <cell r="CO28">
            <v>4544.3476977886694</v>
          </cell>
          <cell r="CP28">
            <v>2015</v>
          </cell>
          <cell r="CQ28">
            <v>1881.8079740859573</v>
          </cell>
          <cell r="CR28">
            <v>2586.8665439030333</v>
          </cell>
          <cell r="CS28">
            <v>1653.0857081661784</v>
          </cell>
          <cell r="CT28">
            <v>2015</v>
          </cell>
          <cell r="CU28">
            <v>2083.8691669978098</v>
          </cell>
          <cell r="CV28">
            <v>2140.0596586886368</v>
          </cell>
          <cell r="CW28">
            <v>128.0044572023678</v>
          </cell>
          <cell r="CX28">
            <v>2017</v>
          </cell>
          <cell r="CY28">
            <v>7832.8559263195748</v>
          </cell>
          <cell r="CZ28">
            <v>8453.9577322161822</v>
          </cell>
          <cell r="DA28">
            <v>1170.5717195660616</v>
          </cell>
          <cell r="DB28">
            <v>2014</v>
          </cell>
          <cell r="DC28">
            <v>361.55569493172561</v>
          </cell>
          <cell r="DD28">
            <v>543.46308349473782</v>
          </cell>
          <cell r="DE28">
            <v>492.65050837739284</v>
          </cell>
          <cell r="DF28">
            <v>2017</v>
          </cell>
          <cell r="DG28">
            <v>987.22005557652574</v>
          </cell>
          <cell r="DH28">
            <v>1341.2503548266116</v>
          </cell>
          <cell r="DI28">
            <v>688.14222933264602</v>
          </cell>
          <cell r="DJ28">
            <v>2011</v>
          </cell>
          <cell r="DK28">
            <v>252.72258104498408</v>
          </cell>
          <cell r="DL28">
            <v>322.48048754124147</v>
          </cell>
          <cell r="DM28">
            <v>179.09224593042168</v>
          </cell>
          <cell r="DN28">
            <v>2017</v>
          </cell>
          <cell r="DO28">
            <v>2797.1576087537924</v>
          </cell>
          <cell r="DP28">
            <v>2850.6259681965967</v>
          </cell>
          <cell r="DQ28">
            <v>146.86379496605392</v>
          </cell>
          <cell r="DR28">
            <v>2015</v>
          </cell>
          <cell r="DS28">
            <v>602.0335001111946</v>
          </cell>
          <cell r="DT28">
            <v>860.97305477813688</v>
          </cell>
          <cell r="DU28">
            <v>394.96028253323493</v>
          </cell>
          <cell r="DV28">
            <v>2014</v>
          </cell>
          <cell r="DW28">
            <v>829.85260378313831</v>
          </cell>
          <cell r="DX28">
            <v>1358.2597397832558</v>
          </cell>
          <cell r="DY28">
            <v>423.92262169481967</v>
          </cell>
          <cell r="DZ28">
            <v>2011</v>
          </cell>
          <cell r="EA28">
            <v>565.27551908494956</v>
          </cell>
          <cell r="EB28">
            <v>778.95107734286069</v>
          </cell>
          <cell r="EC28">
            <v>403.56794323324925</v>
          </cell>
          <cell r="ED28">
            <v>2010</v>
          </cell>
          <cell r="EE28">
            <v>537.81238327285143</v>
          </cell>
          <cell r="EF28">
            <v>819.2394454486199</v>
          </cell>
          <cell r="EG28">
            <v>523.27202727476697</v>
          </cell>
          <cell r="EH28">
            <v>2011</v>
          </cell>
          <cell r="EI28">
            <v>4027.083149656788</v>
          </cell>
          <cell r="EJ28">
            <v>4578.2744294561489</v>
          </cell>
          <cell r="EK28">
            <v>1160.6305207352343</v>
          </cell>
          <cell r="EL28">
            <v>2015</v>
          </cell>
          <cell r="EM28">
            <v>222.12209978398235</v>
          </cell>
          <cell r="EN28">
            <v>321.59144950439236</v>
          </cell>
          <cell r="EO28">
            <v>75.340259966613402</v>
          </cell>
          <cell r="EP28">
            <v>2012</v>
          </cell>
          <cell r="EQ28">
            <v>162.10909159424671</v>
          </cell>
          <cell r="ER28">
            <v>225.70600172006843</v>
          </cell>
          <cell r="ES28">
            <v>140.54691111599632</v>
          </cell>
          <cell r="ET28">
            <v>2015</v>
          </cell>
          <cell r="EU28">
            <v>3732.1528803545666</v>
          </cell>
          <cell r="EV28">
            <v>3932.1607376164829</v>
          </cell>
          <cell r="EW28">
            <v>311.97614927953492</v>
          </cell>
          <cell r="EX28">
            <v>2017</v>
          </cell>
          <cell r="EY28">
            <v>3797.357526888552</v>
          </cell>
          <cell r="EZ28">
            <v>4032.3822105363865</v>
          </cell>
          <cell r="FA28">
            <v>408.80713569654807</v>
          </cell>
          <cell r="FB28">
            <v>2017</v>
          </cell>
          <cell r="FC28">
            <v>3484.5514831295081</v>
          </cell>
          <cell r="FD28">
            <v>3669.8691829883883</v>
          </cell>
          <cell r="FE28">
            <v>439.26056398380416</v>
          </cell>
          <cell r="FF28">
            <v>2012</v>
          </cell>
          <cell r="FG28">
            <v>20095.274109026443</v>
          </cell>
          <cell r="FH28">
            <v>26817.967068081198</v>
          </cell>
          <cell r="FI28">
            <v>13629.939835407273</v>
          </cell>
          <cell r="FJ28">
            <v>2010</v>
          </cell>
          <cell r="FK28">
            <v>-5.0823827761918696E-8</v>
          </cell>
          <cell r="FL28">
            <v>3815.2923963674666</v>
          </cell>
          <cell r="FM28">
            <v>890.24057815138735</v>
          </cell>
          <cell r="FN28">
            <v>2024</v>
          </cell>
          <cell r="FO28">
            <v>138.39422797361661</v>
          </cell>
          <cell r="FP28">
            <v>191.25967025443967</v>
          </cell>
          <cell r="FQ28">
            <v>79.367166441229799</v>
          </cell>
          <cell r="FR28">
            <v>2012</v>
          </cell>
          <cell r="FS28">
            <v>1031.5947456724248</v>
          </cell>
          <cell r="FT28">
            <v>1430.8017297707963</v>
          </cell>
          <cell r="FU28">
            <v>775.04117436439799</v>
          </cell>
          <cell r="FV28">
            <v>2011</v>
          </cell>
          <cell r="FW28">
            <v>1182.2446368570481</v>
          </cell>
          <cell r="FX28">
            <v>1567.2120444414891</v>
          </cell>
          <cell r="FY28">
            <v>725.31377893296838</v>
          </cell>
          <cell r="FZ28">
            <v>2015</v>
          </cell>
          <cell r="GA28">
            <v>1050.1352006853963</v>
          </cell>
          <cell r="GB28">
            <v>1553.7798297742672</v>
          </cell>
          <cell r="GC28">
            <v>1176.8720060270498</v>
          </cell>
          <cell r="GD28">
            <v>2014</v>
          </cell>
          <cell r="GE28">
            <v>4038.9910418582954</v>
          </cell>
          <cell r="GF28">
            <v>5158.7023459874563</v>
          </cell>
          <cell r="GG28">
            <v>2099.7289372229798</v>
          </cell>
          <cell r="GH28">
            <v>2010</v>
          </cell>
          <cell r="GI28">
            <v>324.3734395809239</v>
          </cell>
          <cell r="GJ28">
            <v>485.53142423018812</v>
          </cell>
          <cell r="GK28">
            <v>190.65753491393943</v>
          </cell>
          <cell r="GL28">
            <v>2012</v>
          </cell>
          <cell r="GM28">
            <v>0</v>
          </cell>
          <cell r="GN28">
            <v>0</v>
          </cell>
          <cell r="GO28">
            <v>0</v>
          </cell>
          <cell r="GP28">
            <v>0</v>
          </cell>
        </row>
        <row r="29">
          <cell r="B29" t="str">
            <v>35%</v>
          </cell>
          <cell r="C29">
            <v>1029.1089728030643</v>
          </cell>
          <cell r="D29">
            <v>1125.4673277750874</v>
          </cell>
          <cell r="E29">
            <v>252.50458691113502</v>
          </cell>
          <cell r="F29">
            <v>2018</v>
          </cell>
          <cell r="G29">
            <v>-9.3848700383595936E-9</v>
          </cell>
          <cell r="H29">
            <v>1.810680305818761E-6</v>
          </cell>
          <cell r="I29">
            <v>2190.9303127215735</v>
          </cell>
          <cell r="J29">
            <v>2033</v>
          </cell>
          <cell r="K29">
            <v>587.75703592615832</v>
          </cell>
          <cell r="L29">
            <v>898.09811042431886</v>
          </cell>
          <cell r="M29">
            <v>586.66519991927919</v>
          </cell>
          <cell r="N29">
            <v>2011</v>
          </cell>
          <cell r="O29">
            <v>4595.1733756153271</v>
          </cell>
          <cell r="P29">
            <v>5213.9569017162266</v>
          </cell>
          <cell r="Q29">
            <v>1380.5011035108212</v>
          </cell>
          <cell r="R29">
            <v>2016</v>
          </cell>
          <cell r="S29">
            <v>982.78106138010821</v>
          </cell>
          <cell r="T29">
            <v>1172.3543856761733</v>
          </cell>
          <cell r="U29">
            <v>375.94378221147667</v>
          </cell>
          <cell r="V29">
            <v>2012</v>
          </cell>
          <cell r="W29">
            <v>40474.61822420956</v>
          </cell>
          <cell r="X29">
            <v>40282.981852996716</v>
          </cell>
          <cell r="Y29">
            <v>3370.8322273224035</v>
          </cell>
          <cell r="Z29">
            <v>2014</v>
          </cell>
          <cell r="AA29">
            <v>6638.8999155847705</v>
          </cell>
          <cell r="AB29">
            <v>8844.6306307291961</v>
          </cell>
          <cell r="AC29">
            <v>5407.7429603572009</v>
          </cell>
          <cell r="AD29">
            <v>2016</v>
          </cell>
          <cell r="AE29">
            <v>1123.426250891227</v>
          </cell>
          <cell r="AF29">
            <v>1464.0966112085641</v>
          </cell>
          <cell r="AG29">
            <v>651.90692549175969</v>
          </cell>
          <cell r="AH29">
            <v>2012</v>
          </cell>
          <cell r="AI29">
            <v>1310.5935270128764</v>
          </cell>
          <cell r="AJ29">
            <v>1682.8810669262484</v>
          </cell>
          <cell r="AK29">
            <v>673.0980616977364</v>
          </cell>
          <cell r="AL29">
            <v>2015</v>
          </cell>
          <cell r="AM29">
            <v>136.49864544231403</v>
          </cell>
          <cell r="AN29">
            <v>178.79387861533357</v>
          </cell>
          <cell r="AO29">
            <v>80.804981920716031</v>
          </cell>
          <cell r="AP29">
            <v>2012</v>
          </cell>
          <cell r="AQ29">
            <v>2684.5519760163761</v>
          </cell>
          <cell r="AR29">
            <v>3486.9055101790054</v>
          </cell>
          <cell r="AS29">
            <v>938.99841300239245</v>
          </cell>
          <cell r="AT29">
            <v>2011</v>
          </cell>
          <cell r="AU29">
            <v>1096.1528233442316</v>
          </cell>
          <cell r="AV29">
            <v>1233.0346129786494</v>
          </cell>
          <cell r="AW29">
            <v>358.25639758562346</v>
          </cell>
          <cell r="AX29">
            <v>2018</v>
          </cell>
          <cell r="AY29">
            <v>1202.5786151305024</v>
          </cell>
          <cell r="AZ29">
            <v>1680.435108923308</v>
          </cell>
          <cell r="BA29">
            <v>925.86394176977319</v>
          </cell>
          <cell r="BB29">
            <v>2015</v>
          </cell>
          <cell r="BC29">
            <v>873.12779524599148</v>
          </cell>
          <cell r="BD29">
            <v>1216.0040106278211</v>
          </cell>
          <cell r="BE29">
            <v>788.47456984164887</v>
          </cell>
          <cell r="BF29">
            <v>2015</v>
          </cell>
          <cell r="BG29">
            <v>5310.1151752682426</v>
          </cell>
          <cell r="BH29">
            <v>7663.2314657312827</v>
          </cell>
          <cell r="BI29">
            <v>4356.8097427084513</v>
          </cell>
          <cell r="BJ29">
            <v>2010</v>
          </cell>
          <cell r="BK29">
            <v>548.72674038441619</v>
          </cell>
          <cell r="BL29">
            <v>594.11959025669046</v>
          </cell>
          <cell r="BM29">
            <v>103.38235271273938</v>
          </cell>
          <cell r="BN29">
            <v>2016</v>
          </cell>
          <cell r="BO29">
            <v>1658.5388070574099</v>
          </cell>
          <cell r="BP29">
            <v>2682.8147302917796</v>
          </cell>
          <cell r="BQ29">
            <v>1741.4657481420736</v>
          </cell>
          <cell r="BR29">
            <v>2010</v>
          </cell>
          <cell r="BS29">
            <v>145.12908851791931</v>
          </cell>
          <cell r="BT29">
            <v>198.13035957064056</v>
          </cell>
          <cell r="BU29">
            <v>80.799262278624397</v>
          </cell>
          <cell r="BV29">
            <v>2012</v>
          </cell>
          <cell r="BW29">
            <v>1093.2310937039892</v>
          </cell>
          <cell r="BX29">
            <v>1131.4371327292165</v>
          </cell>
          <cell r="BY29">
            <v>87.240380781388666</v>
          </cell>
          <cell r="BZ29">
            <v>2017</v>
          </cell>
          <cell r="CA29">
            <v>9802.3434414587646</v>
          </cell>
          <cell r="CB29">
            <v>13831.702152895788</v>
          </cell>
          <cell r="CC29">
            <v>3033.2795405502029</v>
          </cell>
          <cell r="CD29">
            <v>2016</v>
          </cell>
          <cell r="CE29">
            <v>4271.2871273963319</v>
          </cell>
          <cell r="CF29">
            <v>4833.8432637578326</v>
          </cell>
          <cell r="CG29">
            <v>1259.668423267502</v>
          </cell>
          <cell r="CH29">
            <v>2016</v>
          </cell>
          <cell r="CI29">
            <v>173038.49661811479</v>
          </cell>
          <cell r="CJ29">
            <v>173199.8060383219</v>
          </cell>
          <cell r="CK29">
            <v>4162.7520826493082</v>
          </cell>
          <cell r="CL29">
            <v>2019</v>
          </cell>
          <cell r="CM29">
            <v>5760.694695530462</v>
          </cell>
          <cell r="CN29">
            <v>7641.7588404536773</v>
          </cell>
          <cell r="CO29">
            <v>4665.5297061602241</v>
          </cell>
          <cell r="CP29">
            <v>2016</v>
          </cell>
          <cell r="CQ29">
            <v>1927.1759874790623</v>
          </cell>
          <cell r="CR29">
            <v>2660.5048872393213</v>
          </cell>
          <cell r="CS29">
            <v>1707.1467678176391</v>
          </cell>
          <cell r="CT29">
            <v>2015</v>
          </cell>
          <cell r="CU29">
            <v>2157.7603453358911</v>
          </cell>
          <cell r="CV29">
            <v>2212.9773536398252</v>
          </cell>
          <cell r="CW29">
            <v>134.04677356484137</v>
          </cell>
          <cell r="CX29">
            <v>2018</v>
          </cell>
          <cell r="CY29">
            <v>8062.0316586327681</v>
          </cell>
          <cell r="CZ29">
            <v>8684.5220575141193</v>
          </cell>
          <cell r="DA29">
            <v>1187.5901569227142</v>
          </cell>
          <cell r="DB29">
            <v>2015</v>
          </cell>
          <cell r="DC29">
            <v>372.16784591403729</v>
          </cell>
          <cell r="DD29">
            <v>560.22637295264337</v>
          </cell>
          <cell r="DE29">
            <v>507.83147972817181</v>
          </cell>
          <cell r="DF29">
            <v>2018</v>
          </cell>
          <cell r="DG29">
            <v>998.72082986319845</v>
          </cell>
          <cell r="DH29">
            <v>1355.5871467998459</v>
          </cell>
          <cell r="DI29">
            <v>694.66077405336819</v>
          </cell>
          <cell r="DJ29">
            <v>2012</v>
          </cell>
          <cell r="DK29">
            <v>254.72011621737946</v>
          </cell>
          <cell r="DL29">
            <v>324.18713385677722</v>
          </cell>
          <cell r="DM29">
            <v>181.45077289264378</v>
          </cell>
          <cell r="DN29">
            <v>2018</v>
          </cell>
          <cell r="DO29">
            <v>2982.0635219194032</v>
          </cell>
          <cell r="DP29">
            <v>3042.3304219198385</v>
          </cell>
          <cell r="DQ29">
            <v>150.87381171881052</v>
          </cell>
          <cell r="DR29">
            <v>2016</v>
          </cell>
          <cell r="DS29">
            <v>610.66475774473963</v>
          </cell>
          <cell r="DT29">
            <v>871.82998992971113</v>
          </cell>
          <cell r="DU29">
            <v>402.28074290367607</v>
          </cell>
          <cell r="DV29">
            <v>2015</v>
          </cell>
          <cell r="DW29">
            <v>849.19479322710299</v>
          </cell>
          <cell r="DX29">
            <v>1374.3924634118744</v>
          </cell>
          <cell r="DY29">
            <v>427.08052923231782</v>
          </cell>
          <cell r="DZ29">
            <v>2011</v>
          </cell>
          <cell r="EA29">
            <v>582.94275011531533</v>
          </cell>
          <cell r="EB29">
            <v>797.06899471925055</v>
          </cell>
          <cell r="EC29">
            <v>407.88672747360317</v>
          </cell>
          <cell r="ED29">
            <v>2010</v>
          </cell>
          <cell r="EE29">
            <v>545.95508092691148</v>
          </cell>
          <cell r="EF29">
            <v>833.22206981516092</v>
          </cell>
          <cell r="EG29">
            <v>533.50351493669109</v>
          </cell>
          <cell r="EH29">
            <v>2011</v>
          </cell>
          <cell r="EI29">
            <v>4198.6541381423995</v>
          </cell>
          <cell r="EJ29">
            <v>4791.8999226648466</v>
          </cell>
          <cell r="EK29">
            <v>1260.9142086591892</v>
          </cell>
          <cell r="EL29">
            <v>2016</v>
          </cell>
          <cell r="EM29">
            <v>233.44722408686749</v>
          </cell>
          <cell r="EN29">
            <v>332.85202826992753</v>
          </cell>
          <cell r="EO29">
            <v>76.636900180457815</v>
          </cell>
          <cell r="EP29">
            <v>2012</v>
          </cell>
          <cell r="EQ29">
            <v>168.32586972249931</v>
          </cell>
          <cell r="ER29">
            <v>233.18407568589927</v>
          </cell>
          <cell r="ES29">
            <v>148.45635805738812</v>
          </cell>
          <cell r="ET29">
            <v>2016</v>
          </cell>
          <cell r="EU29">
            <v>3751.5846162643111</v>
          </cell>
          <cell r="EV29">
            <v>3947.6584247485075</v>
          </cell>
          <cell r="EW29">
            <v>317.63236806311596</v>
          </cell>
          <cell r="EX29">
            <v>2017</v>
          </cell>
          <cell r="EY29">
            <v>3816.8944073491348</v>
          </cell>
          <cell r="EZ29">
            <v>4055.4275958130052</v>
          </cell>
          <cell r="FA29">
            <v>415.13727072265931</v>
          </cell>
          <cell r="FB29">
            <v>2017</v>
          </cell>
          <cell r="FC29">
            <v>3750.8711264752087</v>
          </cell>
          <cell r="FD29">
            <v>3931.681006849617</v>
          </cell>
          <cell r="FE29">
            <v>450.67348997143836</v>
          </cell>
          <cell r="FF29">
            <v>2013</v>
          </cell>
          <cell r="FG29">
            <v>20325.104237498199</v>
          </cell>
          <cell r="FH29">
            <v>27041.851680104053</v>
          </cell>
          <cell r="FI29">
            <v>13664.841534925621</v>
          </cell>
          <cell r="FJ29">
            <v>2011</v>
          </cell>
          <cell r="FK29">
            <v>2.9249475868192425E-7</v>
          </cell>
          <cell r="FL29">
            <v>4081.0755176475423</v>
          </cell>
          <cell r="FM29">
            <v>939.06689189422707</v>
          </cell>
          <cell r="FN29">
            <v>2027</v>
          </cell>
          <cell r="FO29">
            <v>141.24126987154054</v>
          </cell>
          <cell r="FP29">
            <v>194.65805015329494</v>
          </cell>
          <cell r="FQ29">
            <v>80.878424154724954</v>
          </cell>
          <cell r="FR29">
            <v>2012</v>
          </cell>
          <cell r="FS29">
            <v>1039.8732415263967</v>
          </cell>
          <cell r="FT29">
            <v>1444.797054972058</v>
          </cell>
          <cell r="FU29">
            <v>782.92189888470853</v>
          </cell>
          <cell r="FV29">
            <v>2012</v>
          </cell>
          <cell r="FW29">
            <v>1193.3363890782068</v>
          </cell>
          <cell r="FX29">
            <v>1586.1455958769318</v>
          </cell>
          <cell r="FY29">
            <v>735.66383393506021</v>
          </cell>
          <cell r="FZ29">
            <v>2015</v>
          </cell>
          <cell r="GA29">
            <v>1062.1981013031198</v>
          </cell>
          <cell r="GB29">
            <v>1577.1688131523858</v>
          </cell>
          <cell r="GC29">
            <v>1195.9951649661577</v>
          </cell>
          <cell r="GD29">
            <v>2015</v>
          </cell>
          <cell r="GE29">
            <v>4167.2568631549148</v>
          </cell>
          <cell r="GF29">
            <v>5284.8324420272684</v>
          </cell>
          <cell r="GG29">
            <v>2139.9509636333191</v>
          </cell>
          <cell r="GH29">
            <v>2010</v>
          </cell>
          <cell r="GI29">
            <v>335.8054648190901</v>
          </cell>
          <cell r="GJ29">
            <v>496.82217281333544</v>
          </cell>
          <cell r="GK29">
            <v>193.2965093064627</v>
          </cell>
          <cell r="GL29">
            <v>2012</v>
          </cell>
          <cell r="GM29">
            <v>0</v>
          </cell>
          <cell r="GN29">
            <v>0</v>
          </cell>
          <cell r="GO29">
            <v>0</v>
          </cell>
          <cell r="GP29">
            <v>0</v>
          </cell>
        </row>
        <row r="30">
          <cell r="B30" t="str">
            <v>40%</v>
          </cell>
          <cell r="C30">
            <v>1037.4296853560372</v>
          </cell>
          <cell r="D30">
            <v>1134.4067510186383</v>
          </cell>
          <cell r="E30">
            <v>255.27232141009455</v>
          </cell>
          <cell r="F30">
            <v>2018</v>
          </cell>
          <cell r="G30">
            <v>2.0833188737392566E-7</v>
          </cell>
          <cell r="H30">
            <v>4.7899174364416106E-6</v>
          </cell>
          <cell r="I30">
            <v>2367.8856965588275</v>
          </cell>
          <cell r="J30">
            <v>2036</v>
          </cell>
          <cell r="K30">
            <v>595.50792096430484</v>
          </cell>
          <cell r="L30">
            <v>911.47893777956995</v>
          </cell>
          <cell r="M30">
            <v>595.56492427512001</v>
          </cell>
          <cell r="N30">
            <v>2011</v>
          </cell>
          <cell r="O30">
            <v>4814.0877736627654</v>
          </cell>
          <cell r="P30">
            <v>5402.9646847876302</v>
          </cell>
          <cell r="Q30">
            <v>1462.4941946447154</v>
          </cell>
          <cell r="R30">
            <v>2017</v>
          </cell>
          <cell r="S30">
            <v>997.76887865443314</v>
          </cell>
          <cell r="T30">
            <v>1187.0432864343313</v>
          </cell>
          <cell r="U30">
            <v>384.03952663186209</v>
          </cell>
          <cell r="V30">
            <v>2013</v>
          </cell>
          <cell r="W30">
            <v>40700.431815763011</v>
          </cell>
          <cell r="X30">
            <v>40494.692215332805</v>
          </cell>
          <cell r="Y30">
            <v>3404.4916467715398</v>
          </cell>
          <cell r="Z30">
            <v>2014</v>
          </cell>
          <cell r="AA30">
            <v>6829.3029435441458</v>
          </cell>
          <cell r="AB30">
            <v>8991.1908818743541</v>
          </cell>
          <cell r="AC30">
            <v>5542.8125333097896</v>
          </cell>
          <cell r="AD30">
            <v>2017</v>
          </cell>
          <cell r="AE30">
            <v>1140.4364237678592</v>
          </cell>
          <cell r="AF30">
            <v>1477.7035688141593</v>
          </cell>
          <cell r="AG30">
            <v>656.92415483513207</v>
          </cell>
          <cell r="AH30">
            <v>2012</v>
          </cell>
          <cell r="AI30">
            <v>1339.8721747452237</v>
          </cell>
          <cell r="AJ30">
            <v>1710.4156111146731</v>
          </cell>
          <cell r="AK30">
            <v>682.37401719269667</v>
          </cell>
          <cell r="AL30">
            <v>2016</v>
          </cell>
          <cell r="AM30">
            <v>139.82440884636443</v>
          </cell>
          <cell r="AN30">
            <v>183.60336484250561</v>
          </cell>
          <cell r="AO30">
            <v>82.136663758498841</v>
          </cell>
          <cell r="AP30">
            <v>2012</v>
          </cell>
          <cell r="AQ30">
            <v>2764.5218048013976</v>
          </cell>
          <cell r="AR30">
            <v>3565.9693428205296</v>
          </cell>
          <cell r="AS30">
            <v>946.99399471643187</v>
          </cell>
          <cell r="AT30">
            <v>2011</v>
          </cell>
          <cell r="AU30">
            <v>1105.1755355141568</v>
          </cell>
          <cell r="AV30">
            <v>1242.7595970757582</v>
          </cell>
          <cell r="AW30">
            <v>362.17249040664922</v>
          </cell>
          <cell r="AX30">
            <v>2018</v>
          </cell>
          <cell r="AY30">
            <v>1216.0139412034875</v>
          </cell>
          <cell r="AZ30">
            <v>1697.0161765098946</v>
          </cell>
          <cell r="BA30">
            <v>937.76749615951439</v>
          </cell>
          <cell r="BB30">
            <v>2016</v>
          </cell>
          <cell r="BC30">
            <v>888.90521099219256</v>
          </cell>
          <cell r="BD30">
            <v>1234.1499125922255</v>
          </cell>
          <cell r="BE30">
            <v>798.80258412346166</v>
          </cell>
          <cell r="BF30">
            <v>2015</v>
          </cell>
          <cell r="BG30">
            <v>5413.0257798533157</v>
          </cell>
          <cell r="BH30">
            <v>7770.6485699563727</v>
          </cell>
          <cell r="BI30">
            <v>4397.0614296860667</v>
          </cell>
          <cell r="BJ30">
            <v>2010</v>
          </cell>
          <cell r="BK30">
            <v>555.21289589250557</v>
          </cell>
          <cell r="BL30">
            <v>600.2818809927827</v>
          </cell>
          <cell r="BM30">
            <v>105.14046996100642</v>
          </cell>
          <cell r="BN30">
            <v>2016</v>
          </cell>
          <cell r="BO30">
            <v>1679.9361983432111</v>
          </cell>
          <cell r="BP30">
            <v>2717.4266642033949</v>
          </cell>
          <cell r="BQ30">
            <v>1763.933006476012</v>
          </cell>
          <cell r="BR30">
            <v>2010</v>
          </cell>
          <cell r="BS30">
            <v>147.40175935051124</v>
          </cell>
          <cell r="BT30">
            <v>201.45779793630203</v>
          </cell>
          <cell r="BU30">
            <v>82.198885510532961</v>
          </cell>
          <cell r="BV30">
            <v>2012</v>
          </cell>
          <cell r="BW30">
            <v>1127.8138100609374</v>
          </cell>
          <cell r="BX30">
            <v>1164.0636801532237</v>
          </cell>
          <cell r="BY30">
            <v>89.520906788512292</v>
          </cell>
          <cell r="BZ30">
            <v>2018</v>
          </cell>
          <cell r="CA30">
            <v>10020.830885146537</v>
          </cell>
          <cell r="CB30">
            <v>14081.600920202385</v>
          </cell>
          <cell r="CC30">
            <v>3100.2117096732645</v>
          </cell>
          <cell r="CD30">
            <v>2017</v>
          </cell>
          <cell r="CE30">
            <v>4483.1792629223692</v>
          </cell>
          <cell r="CF30">
            <v>5100.4523795022305</v>
          </cell>
          <cell r="CG30">
            <v>1343.6212794129649</v>
          </cell>
          <cell r="CH30">
            <v>2017</v>
          </cell>
          <cell r="CI30">
            <v>173829.56456350727</v>
          </cell>
          <cell r="CJ30">
            <v>174025.57317096513</v>
          </cell>
          <cell r="CK30">
            <v>4195.0137400350304</v>
          </cell>
          <cell r="CL30">
            <v>2019</v>
          </cell>
          <cell r="CM30">
            <v>5868.5581197262545</v>
          </cell>
          <cell r="CN30">
            <v>7781.5533299052249</v>
          </cell>
          <cell r="CO30">
            <v>4775.3651603089675</v>
          </cell>
          <cell r="CP30">
            <v>2017</v>
          </cell>
          <cell r="CQ30">
            <v>1965.7127976428899</v>
          </cell>
          <cell r="CR30">
            <v>2717.2355762505304</v>
          </cell>
          <cell r="CS30">
            <v>1759.1183255007118</v>
          </cell>
          <cell r="CT30">
            <v>2016</v>
          </cell>
          <cell r="CU30">
            <v>2237.6767925067111</v>
          </cell>
          <cell r="CV30">
            <v>2293.5784688447766</v>
          </cell>
          <cell r="CW30">
            <v>139.03008120130238</v>
          </cell>
          <cell r="CX30">
            <v>2019</v>
          </cell>
          <cell r="CY30">
            <v>8292.3268068814214</v>
          </cell>
          <cell r="CZ30">
            <v>8934.7394384074232</v>
          </cell>
          <cell r="DA30">
            <v>1205.5479206599077</v>
          </cell>
          <cell r="DB30">
            <v>2015</v>
          </cell>
          <cell r="DC30">
            <v>379.55538269674003</v>
          </cell>
          <cell r="DD30">
            <v>573.21397604487902</v>
          </cell>
          <cell r="DE30">
            <v>518.71313256845485</v>
          </cell>
          <cell r="DF30">
            <v>2018</v>
          </cell>
          <cell r="DG30">
            <v>1006.9013881495804</v>
          </cell>
          <cell r="DH30">
            <v>1368.8242889818318</v>
          </cell>
          <cell r="DI30">
            <v>701.46342389319204</v>
          </cell>
          <cell r="DJ30">
            <v>2012</v>
          </cell>
          <cell r="DK30">
            <v>256.76456020662943</v>
          </cell>
          <cell r="DL30">
            <v>325.78541941303246</v>
          </cell>
          <cell r="DM30">
            <v>183.80640987893119</v>
          </cell>
          <cell r="DN30">
            <v>2018</v>
          </cell>
          <cell r="DO30">
            <v>3137.0216377539164</v>
          </cell>
          <cell r="DP30">
            <v>3194.6979191836426</v>
          </cell>
          <cell r="DQ30">
            <v>154.7468011477369</v>
          </cell>
          <cell r="DR30">
            <v>2017</v>
          </cell>
          <cell r="DS30">
            <v>620.10821011406142</v>
          </cell>
          <cell r="DT30">
            <v>882.81197039034862</v>
          </cell>
          <cell r="DU30">
            <v>410.61319322490357</v>
          </cell>
          <cell r="DV30">
            <v>2015</v>
          </cell>
          <cell r="DW30">
            <v>863.36001006153458</v>
          </cell>
          <cell r="DX30">
            <v>1391.1348071397497</v>
          </cell>
          <cell r="DY30">
            <v>431.58720895305657</v>
          </cell>
          <cell r="DZ30">
            <v>2011</v>
          </cell>
          <cell r="EA30">
            <v>594.50935499127502</v>
          </cell>
          <cell r="EB30">
            <v>814.21362303318574</v>
          </cell>
          <cell r="EC30">
            <v>410.6534364621474</v>
          </cell>
          <cell r="ED30">
            <v>2010</v>
          </cell>
          <cell r="EE30">
            <v>553.06259496076541</v>
          </cell>
          <cell r="EF30">
            <v>843.53216675955116</v>
          </cell>
          <cell r="EG30">
            <v>541.77587854804028</v>
          </cell>
          <cell r="EH30">
            <v>2011</v>
          </cell>
          <cell r="EI30">
            <v>4462.2807749368803</v>
          </cell>
          <cell r="EJ30">
            <v>5047.7458942993735</v>
          </cell>
          <cell r="EK30">
            <v>1375.6149866491162</v>
          </cell>
          <cell r="EL30">
            <v>2017</v>
          </cell>
          <cell r="EM30">
            <v>248.04415781750555</v>
          </cell>
          <cell r="EN30">
            <v>345.73812299616952</v>
          </cell>
          <cell r="EO30">
            <v>78.270749517093066</v>
          </cell>
          <cell r="EP30">
            <v>2013</v>
          </cell>
          <cell r="EQ30">
            <v>175.92931435956143</v>
          </cell>
          <cell r="ER30">
            <v>241.54502735515055</v>
          </cell>
          <cell r="ES30">
            <v>155.79766866190769</v>
          </cell>
          <cell r="ET30">
            <v>2017</v>
          </cell>
          <cell r="EU30">
            <v>3774.1979085538137</v>
          </cell>
          <cell r="EV30">
            <v>3971.2863310235034</v>
          </cell>
          <cell r="EW30">
            <v>321.54399330376759</v>
          </cell>
          <cell r="EX30">
            <v>2018</v>
          </cell>
          <cell r="EY30">
            <v>3837.2054990853326</v>
          </cell>
          <cell r="EZ30">
            <v>4076.5249728135614</v>
          </cell>
          <cell r="FA30">
            <v>421.09964375558746</v>
          </cell>
          <cell r="FB30">
            <v>2018</v>
          </cell>
          <cell r="FC30">
            <v>4105.586298922336</v>
          </cell>
          <cell r="FD30">
            <v>4319.0771710985773</v>
          </cell>
          <cell r="FE30">
            <v>460.13472779018764</v>
          </cell>
          <cell r="FF30">
            <v>2013</v>
          </cell>
          <cell r="FG30">
            <v>20637.052848763054</v>
          </cell>
          <cell r="FH30">
            <v>27323.301791768819</v>
          </cell>
          <cell r="FI30">
            <v>13699.548444489586</v>
          </cell>
          <cell r="FJ30">
            <v>2011</v>
          </cell>
          <cell r="FK30">
            <v>5.1948643325691513E-7</v>
          </cell>
          <cell r="FL30">
            <v>4312.0761243638908</v>
          </cell>
          <cell r="FM30">
            <v>1010.3071857429716</v>
          </cell>
          <cell r="FN30">
            <v>2029</v>
          </cell>
          <cell r="FO30">
            <v>143.64763152078518</v>
          </cell>
          <cell r="FP30">
            <v>197.6415246889508</v>
          </cell>
          <cell r="FQ30">
            <v>82.055544828894014</v>
          </cell>
          <cell r="FR30">
            <v>2012</v>
          </cell>
          <cell r="FS30">
            <v>1052.86108629874</v>
          </cell>
          <cell r="FT30">
            <v>1456.9047661576178</v>
          </cell>
          <cell r="FU30">
            <v>791.1187682822067</v>
          </cell>
          <cell r="FV30">
            <v>2012</v>
          </cell>
          <cell r="FW30">
            <v>1205.7317717605774</v>
          </cell>
          <cell r="FX30">
            <v>1599.9124429419089</v>
          </cell>
          <cell r="FY30">
            <v>747.06013370070241</v>
          </cell>
          <cell r="FZ30">
            <v>2016</v>
          </cell>
          <cell r="GA30">
            <v>1076.6071981933505</v>
          </cell>
          <cell r="GB30">
            <v>1592.9791219415163</v>
          </cell>
          <cell r="GC30">
            <v>1210.7239124442474</v>
          </cell>
          <cell r="GD30">
            <v>2015</v>
          </cell>
          <cell r="GE30">
            <v>4292.3423910483007</v>
          </cell>
          <cell r="GF30">
            <v>5447.4535744359837</v>
          </cell>
          <cell r="GG30">
            <v>2174.5965882492819</v>
          </cell>
          <cell r="GH30">
            <v>2010</v>
          </cell>
          <cell r="GI30">
            <v>348.91974579710813</v>
          </cell>
          <cell r="GJ30">
            <v>507.01755291209992</v>
          </cell>
          <cell r="GK30">
            <v>196.16959613465713</v>
          </cell>
          <cell r="GL30">
            <v>2013</v>
          </cell>
          <cell r="GM30">
            <v>0</v>
          </cell>
          <cell r="GN30">
            <v>0</v>
          </cell>
          <cell r="GO30">
            <v>0</v>
          </cell>
          <cell r="GP30">
            <v>0</v>
          </cell>
        </row>
        <row r="31">
          <cell r="B31" t="str">
            <v>45%</v>
          </cell>
          <cell r="C31">
            <v>1048.4948178038683</v>
          </cell>
          <cell r="D31">
            <v>1144.0248407440663</v>
          </cell>
          <cell r="E31">
            <v>258.22761459118738</v>
          </cell>
          <cell r="F31">
            <v>2019</v>
          </cell>
          <cell r="G31">
            <v>4.743197442839949E-7</v>
          </cell>
          <cell r="H31">
            <v>2713.7633982124962</v>
          </cell>
          <cell r="I31">
            <v>2547.932814283251</v>
          </cell>
          <cell r="J31">
            <v>2039</v>
          </cell>
          <cell r="K31">
            <v>603.58684809234887</v>
          </cell>
          <cell r="L31">
            <v>924.13721676269711</v>
          </cell>
          <cell r="M31">
            <v>602.44582072834135</v>
          </cell>
          <cell r="N31">
            <v>2012</v>
          </cell>
          <cell r="O31">
            <v>4963.5454601452448</v>
          </cell>
          <cell r="P31">
            <v>5614.4200461139199</v>
          </cell>
          <cell r="Q31">
            <v>1571.3667412322789</v>
          </cell>
          <cell r="R31">
            <v>2018</v>
          </cell>
          <cell r="S31">
            <v>1011.0948537944544</v>
          </cell>
          <cell r="T31">
            <v>1204.4166577344922</v>
          </cell>
          <cell r="U31">
            <v>388.31632406610282</v>
          </cell>
          <cell r="V31">
            <v>2013</v>
          </cell>
          <cell r="W31">
            <v>40912.665576338892</v>
          </cell>
          <cell r="X31">
            <v>40747.854863772656</v>
          </cell>
          <cell r="Y31">
            <v>3437.8977674098614</v>
          </cell>
          <cell r="Z31">
            <v>2014</v>
          </cell>
          <cell r="AA31">
            <v>6999.6225886912289</v>
          </cell>
          <cell r="AB31">
            <v>9208.3631694811647</v>
          </cell>
          <cell r="AC31">
            <v>5683.4527042118034</v>
          </cell>
          <cell r="AD31">
            <v>2018</v>
          </cell>
          <cell r="AE31">
            <v>1155.0253880339781</v>
          </cell>
          <cell r="AF31">
            <v>1490.7722575741382</v>
          </cell>
          <cell r="AG31">
            <v>662.95426650293314</v>
          </cell>
          <cell r="AH31">
            <v>2012</v>
          </cell>
          <cell r="AI31">
            <v>1374.7779380100399</v>
          </cell>
          <cell r="AJ31">
            <v>1738.7311851867571</v>
          </cell>
          <cell r="AK31">
            <v>690.8804291601358</v>
          </cell>
          <cell r="AL31">
            <v>2016</v>
          </cell>
          <cell r="AM31">
            <v>143.33086229132644</v>
          </cell>
          <cell r="AN31">
            <v>187.43333353369388</v>
          </cell>
          <cell r="AO31">
            <v>83.37125995692297</v>
          </cell>
          <cell r="AP31">
            <v>2012</v>
          </cell>
          <cell r="AQ31">
            <v>2827.827332101991</v>
          </cell>
          <cell r="AR31">
            <v>3643.7609988070608</v>
          </cell>
          <cell r="AS31">
            <v>956.3888606197844</v>
          </cell>
          <cell r="AT31">
            <v>2012</v>
          </cell>
          <cell r="AU31">
            <v>1113.6222854211387</v>
          </cell>
          <cell r="AV31">
            <v>1250.0786992154754</v>
          </cell>
          <cell r="AW31">
            <v>366.52083541679332</v>
          </cell>
          <cell r="AX31">
            <v>2019</v>
          </cell>
          <cell r="AY31">
            <v>1232.0258812258949</v>
          </cell>
          <cell r="AZ31">
            <v>1713.186500292659</v>
          </cell>
          <cell r="BA31">
            <v>953.82000776736322</v>
          </cell>
          <cell r="BB31">
            <v>2016</v>
          </cell>
          <cell r="BC31">
            <v>902.45765665801741</v>
          </cell>
          <cell r="BD31">
            <v>1253.7898801768752</v>
          </cell>
          <cell r="BE31">
            <v>807.41348871470143</v>
          </cell>
          <cell r="BF31">
            <v>2016</v>
          </cell>
          <cell r="BG31">
            <v>5515.5623677392214</v>
          </cell>
          <cell r="BH31">
            <v>7866.7585946042573</v>
          </cell>
          <cell r="BI31">
            <v>4438.3092091104663</v>
          </cell>
          <cell r="BJ31">
            <v>2010</v>
          </cell>
          <cell r="BK31">
            <v>559.31967202261069</v>
          </cell>
          <cell r="BL31">
            <v>604.67857837346048</v>
          </cell>
          <cell r="BM31">
            <v>106.78190039046203</v>
          </cell>
          <cell r="BN31">
            <v>2017</v>
          </cell>
          <cell r="BO31">
            <v>1698.1918543749675</v>
          </cell>
          <cell r="BP31">
            <v>2746.9565998052535</v>
          </cell>
          <cell r="BQ31">
            <v>1783.1014483537313</v>
          </cell>
          <cell r="BR31">
            <v>2010</v>
          </cell>
          <cell r="BS31">
            <v>149.52431525076517</v>
          </cell>
          <cell r="BT31">
            <v>204.13023032936272</v>
          </cell>
          <cell r="BU31">
            <v>83.36791207165426</v>
          </cell>
          <cell r="BV31">
            <v>2012</v>
          </cell>
          <cell r="BW31">
            <v>1178.3863147870775</v>
          </cell>
          <cell r="BX31">
            <v>1215.7070255386841</v>
          </cell>
          <cell r="BY31">
            <v>91.015939642198774</v>
          </cell>
          <cell r="BZ31">
            <v>2018</v>
          </cell>
          <cell r="CA31">
            <v>10201.814303868516</v>
          </cell>
          <cell r="CB31">
            <v>14268.909383287093</v>
          </cell>
          <cell r="CC31">
            <v>3186.8336024117816</v>
          </cell>
          <cell r="CD31">
            <v>2018</v>
          </cell>
          <cell r="CE31">
            <v>4694.3759270575583</v>
          </cell>
          <cell r="CF31">
            <v>5334.8340641896548</v>
          </cell>
          <cell r="CG31">
            <v>1423.7155835622455</v>
          </cell>
          <cell r="CH31">
            <v>2018</v>
          </cell>
          <cell r="CI31">
            <v>174800.30485191382</v>
          </cell>
          <cell r="CJ31">
            <v>175085.85358666428</v>
          </cell>
          <cell r="CK31">
            <v>4233.1081396257341</v>
          </cell>
          <cell r="CL31">
            <v>2019</v>
          </cell>
          <cell r="CM31">
            <v>5964.0007980810997</v>
          </cell>
          <cell r="CN31">
            <v>7883.5689279373746</v>
          </cell>
          <cell r="CO31">
            <v>4913.4419731590833</v>
          </cell>
          <cell r="CP31">
            <v>2018</v>
          </cell>
          <cell r="CQ31">
            <v>1997.6402444719745</v>
          </cell>
          <cell r="CR31">
            <v>2774.6317773360252</v>
          </cell>
          <cell r="CS31">
            <v>1812.7492455706436</v>
          </cell>
          <cell r="CT31">
            <v>2016</v>
          </cell>
          <cell r="CU31">
            <v>2309.9935839775535</v>
          </cell>
          <cell r="CV31">
            <v>2365.3750218263344</v>
          </cell>
          <cell r="CW31">
            <v>144.57073706157422</v>
          </cell>
          <cell r="CX31">
            <v>2020</v>
          </cell>
          <cell r="CY31">
            <v>8565.3335972190398</v>
          </cell>
          <cell r="CZ31">
            <v>9171.3501703526272</v>
          </cell>
          <cell r="DA31">
            <v>1224.8687855801434</v>
          </cell>
          <cell r="DB31">
            <v>2016</v>
          </cell>
          <cell r="DC31">
            <v>387.50923269653242</v>
          </cell>
          <cell r="DD31">
            <v>586.09628199920076</v>
          </cell>
          <cell r="DE31">
            <v>531.77470878005545</v>
          </cell>
          <cell r="DF31">
            <v>2019</v>
          </cell>
          <cell r="DG31">
            <v>1016.4068319743973</v>
          </cell>
          <cell r="DH31">
            <v>1380.8792629617728</v>
          </cell>
          <cell r="DI31">
            <v>707.91304632342087</v>
          </cell>
          <cell r="DJ31">
            <v>2012</v>
          </cell>
          <cell r="DK31">
            <v>258.72512628778207</v>
          </cell>
          <cell r="DL31">
            <v>328.2586386448566</v>
          </cell>
          <cell r="DM31">
            <v>186.24644156155875</v>
          </cell>
          <cell r="DN31">
            <v>2019</v>
          </cell>
          <cell r="DO31">
            <v>3303.076938506254</v>
          </cell>
          <cell r="DP31">
            <v>3368.2511347449417</v>
          </cell>
          <cell r="DQ31">
            <v>158.5674261588542</v>
          </cell>
          <cell r="DR31">
            <v>2018</v>
          </cell>
          <cell r="DS31">
            <v>632.36018459008778</v>
          </cell>
          <cell r="DT31">
            <v>891.7869083092769</v>
          </cell>
          <cell r="DU31">
            <v>417.75653610848849</v>
          </cell>
          <cell r="DV31">
            <v>2016</v>
          </cell>
          <cell r="DW31">
            <v>878.53228516910474</v>
          </cell>
          <cell r="DX31">
            <v>1403.5067916572943</v>
          </cell>
          <cell r="DY31">
            <v>436.40064503179042</v>
          </cell>
          <cell r="DZ31">
            <v>2012</v>
          </cell>
          <cell r="EA31">
            <v>609.55826116614696</v>
          </cell>
          <cell r="EB31">
            <v>827.50506146822897</v>
          </cell>
          <cell r="EC31">
            <v>413.93583328178323</v>
          </cell>
          <cell r="ED31">
            <v>2010</v>
          </cell>
          <cell r="EE31">
            <v>559.85982517065975</v>
          </cell>
          <cell r="EF31">
            <v>853.12156113650929</v>
          </cell>
          <cell r="EG31">
            <v>550.17226157388313</v>
          </cell>
          <cell r="EH31">
            <v>2012</v>
          </cell>
          <cell r="EI31">
            <v>4629.1494091306377</v>
          </cell>
          <cell r="EJ31">
            <v>5227.657857007187</v>
          </cell>
          <cell r="EK31">
            <v>1452.9760630244814</v>
          </cell>
          <cell r="EL31">
            <v>2018</v>
          </cell>
          <cell r="EM31">
            <v>261.30083942335023</v>
          </cell>
          <cell r="EN31">
            <v>360.52403511643769</v>
          </cell>
          <cell r="EO31">
            <v>79.424362491724509</v>
          </cell>
          <cell r="EP31">
            <v>2013</v>
          </cell>
          <cell r="EQ31">
            <v>182.59308425250961</v>
          </cell>
          <cell r="ER31">
            <v>249.6231548816834</v>
          </cell>
          <cell r="ES31">
            <v>162.50722464276987</v>
          </cell>
          <cell r="ET31">
            <v>2018</v>
          </cell>
          <cell r="EU31">
            <v>3791.047920761896</v>
          </cell>
          <cell r="EV31">
            <v>3993.6457880842299</v>
          </cell>
          <cell r="EW31">
            <v>326.46035400281124</v>
          </cell>
          <cell r="EX31">
            <v>2018</v>
          </cell>
          <cell r="EY31">
            <v>3858.8129060354581</v>
          </cell>
          <cell r="EZ31">
            <v>4097.8544608661387</v>
          </cell>
          <cell r="FA31">
            <v>427.45213949059303</v>
          </cell>
          <cell r="FB31">
            <v>2018</v>
          </cell>
          <cell r="FC31">
            <v>4430.7988470535693</v>
          </cell>
          <cell r="FD31">
            <v>4628.2664784779836</v>
          </cell>
          <cell r="FE31">
            <v>468.72286754656375</v>
          </cell>
          <cell r="FF31">
            <v>2014</v>
          </cell>
          <cell r="FG31">
            <v>20899.414164834867</v>
          </cell>
          <cell r="FH31">
            <v>27573.469657783779</v>
          </cell>
          <cell r="FI31">
            <v>13732.460457661757</v>
          </cell>
          <cell r="FJ31">
            <v>2011</v>
          </cell>
          <cell r="FK31">
            <v>8.2047038246329626E-7</v>
          </cell>
          <cell r="FL31">
            <v>4595.8958728581674</v>
          </cell>
          <cell r="FM31">
            <v>1083.5272021132512</v>
          </cell>
          <cell r="FN31">
            <v>2032</v>
          </cell>
          <cell r="FO31">
            <v>145.79065894717527</v>
          </cell>
          <cell r="FP31">
            <v>200.44480079016355</v>
          </cell>
          <cell r="FQ31">
            <v>83.57190906589129</v>
          </cell>
          <cell r="FR31">
            <v>2012</v>
          </cell>
          <cell r="FS31">
            <v>1064.7794922973271</v>
          </cell>
          <cell r="FT31">
            <v>1469.5599149592547</v>
          </cell>
          <cell r="FU31">
            <v>797.75090487230307</v>
          </cell>
          <cell r="FV31">
            <v>2012</v>
          </cell>
          <cell r="FW31">
            <v>1219.3484182337188</v>
          </cell>
          <cell r="FX31">
            <v>1613.0027121130945</v>
          </cell>
          <cell r="FY31">
            <v>758.32657541928791</v>
          </cell>
          <cell r="FZ31">
            <v>2016</v>
          </cell>
          <cell r="GA31">
            <v>1088.6539967851459</v>
          </cell>
          <cell r="GB31">
            <v>1613.1634317815963</v>
          </cell>
          <cell r="GC31">
            <v>1226.1317540281902</v>
          </cell>
          <cell r="GD31">
            <v>2016</v>
          </cell>
          <cell r="GE31">
            <v>4393.7377824175283</v>
          </cell>
          <cell r="GF31">
            <v>5568.9020332013388</v>
          </cell>
          <cell r="GG31">
            <v>2221.7054064511058</v>
          </cell>
          <cell r="GH31">
            <v>2010</v>
          </cell>
          <cell r="GI31">
            <v>360.48551133743945</v>
          </cell>
          <cell r="GJ31">
            <v>521.76975548073131</v>
          </cell>
          <cell r="GK31">
            <v>199.13245775452739</v>
          </cell>
          <cell r="GL31">
            <v>2013</v>
          </cell>
          <cell r="GM31">
            <v>0</v>
          </cell>
          <cell r="GN31">
            <v>0</v>
          </cell>
          <cell r="GO31">
            <v>0</v>
          </cell>
          <cell r="GP31">
            <v>0</v>
          </cell>
        </row>
        <row r="32">
          <cell r="B32" t="str">
            <v>50%</v>
          </cell>
          <cell r="C32">
            <v>1055.378684073293</v>
          </cell>
          <cell r="D32">
            <v>1152.3781299817135</v>
          </cell>
          <cell r="E32">
            <v>260.75829859116152</v>
          </cell>
          <cell r="F32">
            <v>2019</v>
          </cell>
          <cell r="G32">
            <v>6.9144743503092102E-7</v>
          </cell>
          <cell r="H32">
            <v>3352.5753705032253</v>
          </cell>
          <cell r="I32">
            <v>2782.6722429596734</v>
          </cell>
          <cell r="J32">
            <v>2043</v>
          </cell>
          <cell r="K32">
            <v>610.96955584347279</v>
          </cell>
          <cell r="L32">
            <v>936.67442600445759</v>
          </cell>
          <cell r="M32">
            <v>612.74988350234173</v>
          </cell>
          <cell r="N32">
            <v>2012</v>
          </cell>
          <cell r="O32">
            <v>5140.494542013389</v>
          </cell>
          <cell r="P32">
            <v>5833.2260563575473</v>
          </cell>
          <cell r="Q32">
            <v>1676.0554535802814</v>
          </cell>
          <cell r="R32">
            <v>2019</v>
          </cell>
          <cell r="S32">
            <v>1027.4763827926727</v>
          </cell>
          <cell r="T32">
            <v>1224.3673725764224</v>
          </cell>
          <cell r="U32">
            <v>394.49987149370276</v>
          </cell>
          <cell r="V32">
            <v>2013</v>
          </cell>
          <cell r="W32">
            <v>41130.346714804356</v>
          </cell>
          <cell r="X32">
            <v>40970.598699427253</v>
          </cell>
          <cell r="Y32">
            <v>3471.3587225901028</v>
          </cell>
          <cell r="Z32">
            <v>2014</v>
          </cell>
          <cell r="AA32">
            <v>7154.1535610595474</v>
          </cell>
          <cell r="AB32">
            <v>9426.4624868193077</v>
          </cell>
          <cell r="AC32">
            <v>5819.0166967558998</v>
          </cell>
          <cell r="AD32">
            <v>2019</v>
          </cell>
          <cell r="AE32">
            <v>1168.412425564077</v>
          </cell>
          <cell r="AF32">
            <v>1505.2320409873273</v>
          </cell>
          <cell r="AG32">
            <v>668.37894685652259</v>
          </cell>
          <cell r="AH32">
            <v>2013</v>
          </cell>
          <cell r="AI32">
            <v>1412.8877840927337</v>
          </cell>
          <cell r="AJ32">
            <v>1777.8443723861146</v>
          </cell>
          <cell r="AK32">
            <v>700.14395831734873</v>
          </cell>
          <cell r="AL32">
            <v>2017</v>
          </cell>
          <cell r="AM32">
            <v>146.67898449346359</v>
          </cell>
          <cell r="AN32">
            <v>189.97300165633786</v>
          </cell>
          <cell r="AO32">
            <v>84.550578884266571</v>
          </cell>
          <cell r="AP32">
            <v>2013</v>
          </cell>
          <cell r="AQ32">
            <v>2900.5501280442159</v>
          </cell>
          <cell r="AR32">
            <v>3720.8050156757381</v>
          </cell>
          <cell r="AS32">
            <v>965.15468695510049</v>
          </cell>
          <cell r="AT32">
            <v>2012</v>
          </cell>
          <cell r="AU32">
            <v>1120.3514068293628</v>
          </cell>
          <cell r="AV32">
            <v>1258.3180047533783</v>
          </cell>
          <cell r="AW32">
            <v>370.51238698859055</v>
          </cell>
          <cell r="AX32">
            <v>2019</v>
          </cell>
          <cell r="AY32">
            <v>1246.2167471104101</v>
          </cell>
          <cell r="AZ32">
            <v>1728.0963083689503</v>
          </cell>
          <cell r="BA32">
            <v>967.66201186367073</v>
          </cell>
          <cell r="BB32">
            <v>2017</v>
          </cell>
          <cell r="BC32">
            <v>916.24053708448298</v>
          </cell>
          <cell r="BD32">
            <v>1266.699377961424</v>
          </cell>
          <cell r="BE32">
            <v>817.78833745330405</v>
          </cell>
          <cell r="BF32">
            <v>2016</v>
          </cell>
          <cell r="BG32">
            <v>5638.4584530805323</v>
          </cell>
          <cell r="BH32">
            <v>8003.575498134951</v>
          </cell>
          <cell r="BI32">
            <v>4483.1831805643824</v>
          </cell>
          <cell r="BJ32">
            <v>2010</v>
          </cell>
          <cell r="BK32">
            <v>565.74906817899057</v>
          </cell>
          <cell r="BL32">
            <v>610.34337034669693</v>
          </cell>
          <cell r="BM32">
            <v>108.40464612212557</v>
          </cell>
          <cell r="BN32">
            <v>2017</v>
          </cell>
          <cell r="BO32">
            <v>1715.7350458312083</v>
          </cell>
          <cell r="BP32">
            <v>2775.3340675475661</v>
          </cell>
          <cell r="BQ32">
            <v>1801.5217974028012</v>
          </cell>
          <cell r="BR32">
            <v>2010</v>
          </cell>
          <cell r="BS32">
            <v>151.79861522830586</v>
          </cell>
          <cell r="BT32">
            <v>206.59538271525196</v>
          </cell>
          <cell r="BU32">
            <v>84.631329213418525</v>
          </cell>
          <cell r="BV32">
            <v>2013</v>
          </cell>
          <cell r="BW32">
            <v>1215.8125172791667</v>
          </cell>
          <cell r="BX32">
            <v>1250.4510688211728</v>
          </cell>
          <cell r="BY32">
            <v>92.523323798121069</v>
          </cell>
          <cell r="BZ32">
            <v>2019</v>
          </cell>
          <cell r="CA32">
            <v>10331.028824274996</v>
          </cell>
          <cell r="CB32">
            <v>14492.681429710918</v>
          </cell>
          <cell r="CC32">
            <v>3269.4057273378571</v>
          </cell>
          <cell r="CD32">
            <v>2019</v>
          </cell>
          <cell r="CE32">
            <v>4896.9152956368534</v>
          </cell>
          <cell r="CF32">
            <v>5515.8339075438207</v>
          </cell>
          <cell r="CG32">
            <v>1529.9203155211621</v>
          </cell>
          <cell r="CH32">
            <v>2019</v>
          </cell>
          <cell r="CI32">
            <v>175945.2878823184</v>
          </cell>
          <cell r="CJ32">
            <v>176181.88877503583</v>
          </cell>
          <cell r="CK32">
            <v>4273.8501898565682</v>
          </cell>
          <cell r="CL32">
            <v>2019</v>
          </cell>
          <cell r="CM32">
            <v>6085.0339341386107</v>
          </cell>
          <cell r="CN32">
            <v>8033.5971977489762</v>
          </cell>
          <cell r="CO32">
            <v>5028.950471997623</v>
          </cell>
          <cell r="CP32">
            <v>2019</v>
          </cell>
          <cell r="CQ32">
            <v>2045.4827498540178</v>
          </cell>
          <cell r="CR32">
            <v>2838.9675428596047</v>
          </cell>
          <cell r="CS32">
            <v>1866.3690037861065</v>
          </cell>
          <cell r="CT32">
            <v>2017</v>
          </cell>
          <cell r="CU32">
            <v>2372.2434805885241</v>
          </cell>
          <cell r="CV32">
            <v>2431.1922363660692</v>
          </cell>
          <cell r="CW32">
            <v>149.48790690577783</v>
          </cell>
          <cell r="CX32">
            <v>2021</v>
          </cell>
          <cell r="CY32">
            <v>8820.0876884987065</v>
          </cell>
          <cell r="CZ32">
            <v>9450.3829716180317</v>
          </cell>
          <cell r="DA32">
            <v>1246.0554397667372</v>
          </cell>
          <cell r="DB32">
            <v>2016</v>
          </cell>
          <cell r="DC32">
            <v>395.3894221410539</v>
          </cell>
          <cell r="DD32">
            <v>600.25789689012549</v>
          </cell>
          <cell r="DE32">
            <v>542.17085354293113</v>
          </cell>
          <cell r="DF32">
            <v>2019</v>
          </cell>
          <cell r="DG32">
            <v>1025.6899136153922</v>
          </cell>
          <cell r="DH32">
            <v>1392.3589235400823</v>
          </cell>
          <cell r="DI32">
            <v>714.56950071072379</v>
          </cell>
          <cell r="DJ32">
            <v>2013</v>
          </cell>
          <cell r="DK32">
            <v>260.71160076792751</v>
          </cell>
          <cell r="DL32">
            <v>330.41513850789715</v>
          </cell>
          <cell r="DM32">
            <v>188.60146228950563</v>
          </cell>
          <cell r="DN32">
            <v>2019</v>
          </cell>
          <cell r="DO32">
            <v>3409.8461627432644</v>
          </cell>
          <cell r="DP32">
            <v>3468.8471918721693</v>
          </cell>
          <cell r="DQ32">
            <v>162.2317949697952</v>
          </cell>
          <cell r="DR32">
            <v>2019</v>
          </cell>
          <cell r="DS32">
            <v>640.33731443687691</v>
          </cell>
          <cell r="DT32">
            <v>901.50019276528781</v>
          </cell>
          <cell r="DU32">
            <v>423.75441184772791</v>
          </cell>
          <cell r="DV32">
            <v>2016</v>
          </cell>
          <cell r="DW32">
            <v>894.53368448016261</v>
          </cell>
          <cell r="DX32">
            <v>1415.079825062337</v>
          </cell>
          <cell r="DY32">
            <v>440.06235917456587</v>
          </cell>
          <cell r="DZ32">
            <v>2012</v>
          </cell>
          <cell r="EA32">
            <v>620.79465800106573</v>
          </cell>
          <cell r="EB32">
            <v>841.83840083125585</v>
          </cell>
          <cell r="EC32">
            <v>418.77875063514523</v>
          </cell>
          <cell r="ED32">
            <v>2010</v>
          </cell>
          <cell r="EE32">
            <v>565.53930919887875</v>
          </cell>
          <cell r="EF32">
            <v>862.99434303502187</v>
          </cell>
          <cell r="EG32">
            <v>556.01812441335528</v>
          </cell>
          <cell r="EH32">
            <v>2012</v>
          </cell>
          <cell r="EI32">
            <v>4803.4360067721618</v>
          </cell>
          <cell r="EJ32">
            <v>5371.7791589978451</v>
          </cell>
          <cell r="EK32">
            <v>1530.0356329580397</v>
          </cell>
          <cell r="EL32">
            <v>2019</v>
          </cell>
          <cell r="EM32">
            <v>275.58847932323562</v>
          </cell>
          <cell r="EN32">
            <v>372.48420248294582</v>
          </cell>
          <cell r="EO32">
            <v>80.757439832369457</v>
          </cell>
          <cell r="EP32">
            <v>2014</v>
          </cell>
          <cell r="EQ32">
            <v>188.60911285459602</v>
          </cell>
          <cell r="ER32">
            <v>256.34148644317366</v>
          </cell>
          <cell r="ES32">
            <v>170.10293250032771</v>
          </cell>
          <cell r="ET32">
            <v>2019</v>
          </cell>
          <cell r="EU32">
            <v>3810.1043213457015</v>
          </cell>
          <cell r="EV32">
            <v>4010.7316046126816</v>
          </cell>
          <cell r="EW32">
            <v>331.11682687910388</v>
          </cell>
          <cell r="EX32">
            <v>2019</v>
          </cell>
          <cell r="EY32">
            <v>3879.2281744824195</v>
          </cell>
          <cell r="EZ32">
            <v>4117.4156274477555</v>
          </cell>
          <cell r="FA32">
            <v>434.24952104986284</v>
          </cell>
          <cell r="FB32">
            <v>2019</v>
          </cell>
          <cell r="FC32">
            <v>4725.9953186966104</v>
          </cell>
          <cell r="FD32">
            <v>4929.1721459317396</v>
          </cell>
          <cell r="FE32">
            <v>476.92950656277867</v>
          </cell>
          <cell r="FF32">
            <v>2015</v>
          </cell>
          <cell r="FG32">
            <v>21129.239486086557</v>
          </cell>
          <cell r="FH32">
            <v>27838.744327848901</v>
          </cell>
          <cell r="FI32">
            <v>13773.364215669346</v>
          </cell>
          <cell r="FJ32">
            <v>2011</v>
          </cell>
          <cell r="FK32">
            <v>1.2180766701507576E-6</v>
          </cell>
          <cell r="FL32">
            <v>4805.3889034621161</v>
          </cell>
          <cell r="FM32">
            <v>1168.8596324391606</v>
          </cell>
          <cell r="FN32">
            <v>2034</v>
          </cell>
          <cell r="FO32">
            <v>147.92742738198783</v>
          </cell>
          <cell r="FP32">
            <v>203.03199618434704</v>
          </cell>
          <cell r="FQ32">
            <v>84.838125702191434</v>
          </cell>
          <cell r="FR32">
            <v>2013</v>
          </cell>
          <cell r="FS32">
            <v>1075.686220894064</v>
          </cell>
          <cell r="FT32">
            <v>1483.8316262941103</v>
          </cell>
          <cell r="FU32">
            <v>804.2209144940756</v>
          </cell>
          <cell r="FV32">
            <v>2013</v>
          </cell>
          <cell r="FW32">
            <v>1228.7029493515361</v>
          </cell>
          <cell r="FX32">
            <v>1625.3948443998606</v>
          </cell>
          <cell r="FY32">
            <v>769.60847019176219</v>
          </cell>
          <cell r="FZ32">
            <v>2017</v>
          </cell>
          <cell r="GA32">
            <v>1100.0679402495548</v>
          </cell>
          <cell r="GB32">
            <v>1632.4964056553956</v>
          </cell>
          <cell r="GC32">
            <v>1240.838582904024</v>
          </cell>
          <cell r="GD32">
            <v>2016</v>
          </cell>
          <cell r="GE32">
            <v>4564.7461758695881</v>
          </cell>
          <cell r="GF32">
            <v>5680.3955447892913</v>
          </cell>
          <cell r="GG32">
            <v>2259.767430142816</v>
          </cell>
          <cell r="GH32">
            <v>2010</v>
          </cell>
          <cell r="GI32">
            <v>372.53620319134194</v>
          </cell>
          <cell r="GJ32">
            <v>531.69110300789066</v>
          </cell>
          <cell r="GK32">
            <v>202.71898725069263</v>
          </cell>
          <cell r="GL32">
            <v>2014</v>
          </cell>
          <cell r="GM32">
            <v>0</v>
          </cell>
          <cell r="GN32">
            <v>0</v>
          </cell>
          <cell r="GO32">
            <v>0</v>
          </cell>
          <cell r="GP32">
            <v>0</v>
          </cell>
        </row>
        <row r="33">
          <cell r="B33" t="str">
            <v>55%</v>
          </cell>
          <cell r="C33">
            <v>1064.4949204804816</v>
          </cell>
          <cell r="D33">
            <v>1161.4635441577484</v>
          </cell>
          <cell r="E33">
            <v>264.30057138379095</v>
          </cell>
          <cell r="F33">
            <v>2020</v>
          </cell>
          <cell r="G33">
            <v>9.0344928375421905E-7</v>
          </cell>
          <cell r="H33">
            <v>3797.9352222905445</v>
          </cell>
          <cell r="I33">
            <v>3079.2815259350391</v>
          </cell>
          <cell r="J33">
            <v>2046</v>
          </cell>
          <cell r="K33">
            <v>618.31507814378165</v>
          </cell>
          <cell r="L33">
            <v>948.28570481868121</v>
          </cell>
          <cell r="M33">
            <v>621.39599592657544</v>
          </cell>
          <cell r="N33">
            <v>2012</v>
          </cell>
          <cell r="O33">
            <v>5343.6485709288572</v>
          </cell>
          <cell r="P33">
            <v>6042.1888339136212</v>
          </cell>
          <cell r="Q33">
            <v>1774.9043450383183</v>
          </cell>
          <cell r="R33">
            <v>2020</v>
          </cell>
          <cell r="S33">
            <v>1039.180451124445</v>
          </cell>
          <cell r="T33">
            <v>1238.5717007483775</v>
          </cell>
          <cell r="U33">
            <v>402.77727399016197</v>
          </cell>
          <cell r="V33">
            <v>2014</v>
          </cell>
          <cell r="W33">
            <v>41383.34317223898</v>
          </cell>
          <cell r="X33">
            <v>41236.061534711254</v>
          </cell>
          <cell r="Y33">
            <v>3501.1621765503069</v>
          </cell>
          <cell r="Z33">
            <v>2014</v>
          </cell>
          <cell r="AA33">
            <v>7308.8130827382947</v>
          </cell>
          <cell r="AB33">
            <v>9590.7157406899696</v>
          </cell>
          <cell r="AC33">
            <v>5961.1023065478867</v>
          </cell>
          <cell r="AD33">
            <v>2020</v>
          </cell>
          <cell r="AE33">
            <v>1180.4351503721198</v>
          </cell>
          <cell r="AF33">
            <v>1520.2725170249084</v>
          </cell>
          <cell r="AG33">
            <v>674.7500168092887</v>
          </cell>
          <cell r="AH33">
            <v>2013</v>
          </cell>
          <cell r="AI33">
            <v>1447.8216017397517</v>
          </cell>
          <cell r="AJ33">
            <v>1817.4768931402382</v>
          </cell>
          <cell r="AK33">
            <v>708.10009072703292</v>
          </cell>
          <cell r="AL33">
            <v>2017</v>
          </cell>
          <cell r="AM33">
            <v>149.26606555127887</v>
          </cell>
          <cell r="AN33">
            <v>193.45941422469099</v>
          </cell>
          <cell r="AO33">
            <v>85.742952555874353</v>
          </cell>
          <cell r="AP33">
            <v>2013</v>
          </cell>
          <cell r="AQ33">
            <v>2973.6017535294604</v>
          </cell>
          <cell r="AR33">
            <v>3788.4835528927138</v>
          </cell>
          <cell r="AS33">
            <v>974.45881802505755</v>
          </cell>
          <cell r="AT33">
            <v>2012</v>
          </cell>
          <cell r="AU33">
            <v>1129.3955988335692</v>
          </cell>
          <cell r="AV33">
            <v>1266.4615417189898</v>
          </cell>
          <cell r="AW33">
            <v>376.12146923781916</v>
          </cell>
          <cell r="AX33">
            <v>2020</v>
          </cell>
          <cell r="AY33">
            <v>1257.8714273804098</v>
          </cell>
          <cell r="AZ33">
            <v>1746.7259505148943</v>
          </cell>
          <cell r="BA33">
            <v>980.05100711090813</v>
          </cell>
          <cell r="BB33">
            <v>2017</v>
          </cell>
          <cell r="BC33">
            <v>929.10709076631065</v>
          </cell>
          <cell r="BD33">
            <v>1284.0240444623405</v>
          </cell>
          <cell r="BE33">
            <v>830.13345220486713</v>
          </cell>
          <cell r="BF33">
            <v>2017</v>
          </cell>
          <cell r="BG33">
            <v>5737.2301794625555</v>
          </cell>
          <cell r="BH33">
            <v>8155.8685387429387</v>
          </cell>
          <cell r="BI33">
            <v>4539.3639271303464</v>
          </cell>
          <cell r="BJ33">
            <v>2011</v>
          </cell>
          <cell r="BK33">
            <v>571.25698009961366</v>
          </cell>
          <cell r="BL33">
            <v>617.16852188454459</v>
          </cell>
          <cell r="BM33">
            <v>109.6578021130842</v>
          </cell>
          <cell r="BN33">
            <v>2017</v>
          </cell>
          <cell r="BO33">
            <v>1733.5289654643434</v>
          </cell>
          <cell r="BP33">
            <v>2804.1171078305797</v>
          </cell>
          <cell r="BQ33">
            <v>1820.2054115280444</v>
          </cell>
          <cell r="BR33">
            <v>2010</v>
          </cell>
          <cell r="BS33">
            <v>154.5129204436081</v>
          </cell>
          <cell r="BT33">
            <v>209.05981080729933</v>
          </cell>
          <cell r="BU33">
            <v>85.744853111679831</v>
          </cell>
          <cell r="BV33">
            <v>2013</v>
          </cell>
          <cell r="BW33">
            <v>1261.7632473636511</v>
          </cell>
          <cell r="BX33">
            <v>1298.6568746591761</v>
          </cell>
          <cell r="BY33">
            <v>94.100938325364311</v>
          </cell>
          <cell r="BZ33">
            <v>2020</v>
          </cell>
          <cell r="CA33">
            <v>10553.537486193589</v>
          </cell>
          <cell r="CB33">
            <v>14672.01881511695</v>
          </cell>
          <cell r="CC33">
            <v>3349.931635716327</v>
          </cell>
          <cell r="CD33">
            <v>2020</v>
          </cell>
          <cell r="CE33">
            <v>5059.4010465430592</v>
          </cell>
          <cell r="CF33">
            <v>5700.5594417086604</v>
          </cell>
          <cell r="CG33">
            <v>1633.9457623994995</v>
          </cell>
          <cell r="CH33">
            <v>2020</v>
          </cell>
          <cell r="CI33">
            <v>176954.77810451365</v>
          </cell>
          <cell r="CJ33">
            <v>177172.30809218969</v>
          </cell>
          <cell r="CK33">
            <v>4312.1429658033776</v>
          </cell>
          <cell r="CL33">
            <v>2019</v>
          </cell>
          <cell r="CM33">
            <v>6193.7404047881319</v>
          </cell>
          <cell r="CN33">
            <v>8143.564354264845</v>
          </cell>
          <cell r="CO33">
            <v>5147.555724918031</v>
          </cell>
          <cell r="CP33">
            <v>2020</v>
          </cell>
          <cell r="CQ33">
            <v>2078.0539259188527</v>
          </cell>
          <cell r="CR33">
            <v>2894.6564296159695</v>
          </cell>
          <cell r="CS33">
            <v>1923.1831031933334</v>
          </cell>
          <cell r="CT33">
            <v>2017</v>
          </cell>
          <cell r="CU33">
            <v>2450.326537704053</v>
          </cell>
          <cell r="CV33">
            <v>2523.4779127079792</v>
          </cell>
          <cell r="CW33">
            <v>156.23780889104395</v>
          </cell>
          <cell r="CX33">
            <v>2021</v>
          </cell>
          <cell r="CY33">
            <v>9080.5847401299088</v>
          </cell>
          <cell r="CZ33">
            <v>9738.4807035061931</v>
          </cell>
          <cell r="DA33">
            <v>1269.0967172457592</v>
          </cell>
          <cell r="DB33">
            <v>2016</v>
          </cell>
          <cell r="DC33">
            <v>402.20327234695515</v>
          </cell>
          <cell r="DD33">
            <v>610.26692303743278</v>
          </cell>
          <cell r="DE33">
            <v>554.01684567763641</v>
          </cell>
          <cell r="DF33">
            <v>2020</v>
          </cell>
          <cell r="DG33">
            <v>1035.9407010461568</v>
          </cell>
          <cell r="DH33">
            <v>1402.681536066277</v>
          </cell>
          <cell r="DI33">
            <v>722.01658387990915</v>
          </cell>
          <cell r="DJ33">
            <v>2013</v>
          </cell>
          <cell r="DK33">
            <v>262.34874108042834</v>
          </cell>
          <cell r="DL33">
            <v>332.52569874190937</v>
          </cell>
          <cell r="DM33">
            <v>190.73170610639625</v>
          </cell>
          <cell r="DN33">
            <v>2020</v>
          </cell>
          <cell r="DO33">
            <v>3571.3437892972302</v>
          </cell>
          <cell r="DP33">
            <v>3631.0861003016412</v>
          </cell>
          <cell r="DQ33">
            <v>167.29795334114505</v>
          </cell>
          <cell r="DR33">
            <v>2020</v>
          </cell>
          <cell r="DS33">
            <v>648.79149015975634</v>
          </cell>
          <cell r="DT33">
            <v>909.36159569280892</v>
          </cell>
          <cell r="DU33">
            <v>431.0161631226124</v>
          </cell>
          <cell r="DV33">
            <v>2016</v>
          </cell>
          <cell r="DW33">
            <v>908.2894223358453</v>
          </cell>
          <cell r="DX33">
            <v>1428.5265629306803</v>
          </cell>
          <cell r="DY33">
            <v>444.2741240361583</v>
          </cell>
          <cell r="DZ33">
            <v>2012</v>
          </cell>
          <cell r="EA33">
            <v>634.57397097037517</v>
          </cell>
          <cell r="EB33">
            <v>858.37228935737994</v>
          </cell>
          <cell r="EC33">
            <v>424.86548276489589</v>
          </cell>
          <cell r="ED33">
            <v>2011</v>
          </cell>
          <cell r="EE33">
            <v>571.83840112288499</v>
          </cell>
          <cell r="EF33">
            <v>874.56599002634982</v>
          </cell>
          <cell r="EG33">
            <v>563.40471637798657</v>
          </cell>
          <cell r="EH33">
            <v>2012</v>
          </cell>
          <cell r="EI33">
            <v>4969.9778233520801</v>
          </cell>
          <cell r="EJ33">
            <v>5584.5534700735179</v>
          </cell>
          <cell r="EK33">
            <v>1639.5859478141642</v>
          </cell>
          <cell r="EL33">
            <v>2020</v>
          </cell>
          <cell r="EM33">
            <v>288.73918475605723</v>
          </cell>
          <cell r="EN33">
            <v>385.15785030174527</v>
          </cell>
          <cell r="EO33">
            <v>81.76095686456469</v>
          </cell>
          <cell r="EP33">
            <v>2014</v>
          </cell>
          <cell r="EQ33">
            <v>195.91517848376907</v>
          </cell>
          <cell r="ER33">
            <v>263.84633932660569</v>
          </cell>
          <cell r="ES33">
            <v>175.96021694740634</v>
          </cell>
          <cell r="ET33">
            <v>2020</v>
          </cell>
          <cell r="EU33">
            <v>3830.1535561012324</v>
          </cell>
          <cell r="EV33">
            <v>4028.3678095899977</v>
          </cell>
          <cell r="EW33">
            <v>336.07280815280706</v>
          </cell>
          <cell r="EX33">
            <v>2019</v>
          </cell>
          <cell r="EY33">
            <v>3895.5826738583701</v>
          </cell>
          <cell r="EZ33">
            <v>4137.1493743016599</v>
          </cell>
          <cell r="FA33">
            <v>442.43123349012092</v>
          </cell>
          <cell r="FB33">
            <v>2019</v>
          </cell>
          <cell r="FC33">
            <v>5063.3109288190499</v>
          </cell>
          <cell r="FD33">
            <v>5255.601275951225</v>
          </cell>
          <cell r="FE33">
            <v>488.00252748434076</v>
          </cell>
          <cell r="FF33">
            <v>2016</v>
          </cell>
          <cell r="FG33">
            <v>21411.687161963382</v>
          </cell>
          <cell r="FH33">
            <v>28094.734494667038</v>
          </cell>
          <cell r="FI33">
            <v>13812.50871900821</v>
          </cell>
          <cell r="FJ33">
            <v>2011</v>
          </cell>
          <cell r="FK33">
            <v>1.6428137896031295E-6</v>
          </cell>
          <cell r="FL33">
            <v>5059.1281124030857</v>
          </cell>
          <cell r="FM33">
            <v>1239.8208612475032</v>
          </cell>
          <cell r="FN33">
            <v>2037</v>
          </cell>
          <cell r="FO33">
            <v>150.2443165183501</v>
          </cell>
          <cell r="FP33">
            <v>205.15602264483664</v>
          </cell>
          <cell r="FQ33">
            <v>85.835463502413262</v>
          </cell>
          <cell r="FR33">
            <v>2013</v>
          </cell>
          <cell r="FS33">
            <v>1085.1739496741727</v>
          </cell>
          <cell r="FT33">
            <v>1499.0065436293926</v>
          </cell>
          <cell r="FU33">
            <v>810.95152182214497</v>
          </cell>
          <cell r="FV33">
            <v>2013</v>
          </cell>
          <cell r="FW33">
            <v>1237.2514056556997</v>
          </cell>
          <cell r="FX33">
            <v>1637.5703911037874</v>
          </cell>
          <cell r="FY33">
            <v>780.80844916695378</v>
          </cell>
          <cell r="FZ33">
            <v>2017</v>
          </cell>
          <cell r="GA33">
            <v>1117.5357833286721</v>
          </cell>
          <cell r="GB33">
            <v>1660.0652932169701</v>
          </cell>
          <cell r="GC33">
            <v>1257.3195868955952</v>
          </cell>
          <cell r="GD33">
            <v>2017</v>
          </cell>
          <cell r="GE33">
            <v>4673.8816688482866</v>
          </cell>
          <cell r="GF33">
            <v>5834.9922292474275</v>
          </cell>
          <cell r="GG33">
            <v>2299.4626380126351</v>
          </cell>
          <cell r="GH33">
            <v>2011</v>
          </cell>
          <cell r="GI33">
            <v>386.96326404471955</v>
          </cell>
          <cell r="GJ33">
            <v>541.5290178933119</v>
          </cell>
          <cell r="GK33">
            <v>205.34416698232926</v>
          </cell>
          <cell r="GL33">
            <v>2014</v>
          </cell>
          <cell r="GM33">
            <v>0</v>
          </cell>
          <cell r="GN33">
            <v>0</v>
          </cell>
          <cell r="GO33">
            <v>0</v>
          </cell>
          <cell r="GP33">
            <v>0</v>
          </cell>
        </row>
        <row r="34">
          <cell r="B34" t="str">
            <v>60%</v>
          </cell>
          <cell r="C34">
            <v>1072.2223836226192</v>
          </cell>
          <cell r="D34">
            <v>1171.3988206446832</v>
          </cell>
          <cell r="E34">
            <v>267.41808303660611</v>
          </cell>
          <cell r="F34">
            <v>2020</v>
          </cell>
          <cell r="G34">
            <v>1.2396768622430369E-6</v>
          </cell>
          <cell r="H34">
            <v>4307.3161046138284</v>
          </cell>
          <cell r="I34">
            <v>3853.2078829548873</v>
          </cell>
          <cell r="J34">
            <v>2049</v>
          </cell>
          <cell r="K34">
            <v>625.28714160901109</v>
          </cell>
          <cell r="L34">
            <v>960.87700466882507</v>
          </cell>
          <cell r="M34">
            <v>629.63304587205926</v>
          </cell>
          <cell r="N34">
            <v>2012</v>
          </cell>
          <cell r="O34">
            <v>5533.352229753531</v>
          </cell>
          <cell r="P34">
            <v>6214.3398234711722</v>
          </cell>
          <cell r="Q34">
            <v>1885.2639543484906</v>
          </cell>
          <cell r="R34">
            <v>2021</v>
          </cell>
          <cell r="S34">
            <v>1053.1642204594168</v>
          </cell>
          <cell r="T34">
            <v>1253.1898150548413</v>
          </cell>
          <cell r="U34">
            <v>408.77625552985421</v>
          </cell>
          <cell r="V34">
            <v>2014</v>
          </cell>
          <cell r="W34">
            <v>41606.435727311939</v>
          </cell>
          <cell r="X34">
            <v>41420.131918380546</v>
          </cell>
          <cell r="Y34">
            <v>3533.4596213834525</v>
          </cell>
          <cell r="Z34">
            <v>2014</v>
          </cell>
          <cell r="AA34">
            <v>7524.4754148643015</v>
          </cell>
          <cell r="AB34">
            <v>9833.7869095731876</v>
          </cell>
          <cell r="AC34">
            <v>6145.9169848315414</v>
          </cell>
          <cell r="AD34">
            <v>2021</v>
          </cell>
          <cell r="AE34">
            <v>1190.1951093195992</v>
          </cell>
          <cell r="AF34">
            <v>1537.9364832483689</v>
          </cell>
          <cell r="AG34">
            <v>682.07233398824508</v>
          </cell>
          <cell r="AH34">
            <v>2013</v>
          </cell>
          <cell r="AI34">
            <v>1481.8081249815173</v>
          </cell>
          <cell r="AJ34">
            <v>1853.7364241901539</v>
          </cell>
          <cell r="AK34">
            <v>718.39474204160899</v>
          </cell>
          <cell r="AL34">
            <v>2018</v>
          </cell>
          <cell r="AM34">
            <v>151.97834722501119</v>
          </cell>
          <cell r="AN34">
            <v>196.44942067294147</v>
          </cell>
          <cell r="AO34">
            <v>86.95609292126079</v>
          </cell>
          <cell r="AP34">
            <v>2013</v>
          </cell>
          <cell r="AQ34">
            <v>3037.6524713723065</v>
          </cell>
          <cell r="AR34">
            <v>3849.5674331649675</v>
          </cell>
          <cell r="AS34">
            <v>985.86279300234992</v>
          </cell>
          <cell r="AT34">
            <v>2012</v>
          </cell>
          <cell r="AU34">
            <v>1139.9179365070888</v>
          </cell>
          <cell r="AV34">
            <v>1278.0733276552469</v>
          </cell>
          <cell r="AW34">
            <v>380.72958037917431</v>
          </cell>
          <cell r="AX34">
            <v>2020</v>
          </cell>
          <cell r="AY34">
            <v>1273.8698604942235</v>
          </cell>
          <cell r="AZ34">
            <v>1758.820873061992</v>
          </cell>
          <cell r="BA34">
            <v>994.49291426948605</v>
          </cell>
          <cell r="BB34">
            <v>2018</v>
          </cell>
          <cell r="BC34">
            <v>941.68238080534843</v>
          </cell>
          <cell r="BD34">
            <v>1301.0581059688102</v>
          </cell>
          <cell r="BE34">
            <v>842.52781510017553</v>
          </cell>
          <cell r="BF34">
            <v>2017</v>
          </cell>
          <cell r="BG34">
            <v>5834.6025064276237</v>
          </cell>
          <cell r="BH34">
            <v>8280.6216318688748</v>
          </cell>
          <cell r="BI34">
            <v>4604.62888987304</v>
          </cell>
          <cell r="BJ34">
            <v>2012</v>
          </cell>
          <cell r="BK34">
            <v>578.4144912403732</v>
          </cell>
          <cell r="BL34">
            <v>623.00566930485354</v>
          </cell>
          <cell r="BM34">
            <v>111.30487096015584</v>
          </cell>
          <cell r="BN34">
            <v>2017</v>
          </cell>
          <cell r="BO34">
            <v>1752.0644809825112</v>
          </cell>
          <cell r="BP34">
            <v>2834.0997370250907</v>
          </cell>
          <cell r="BQ34">
            <v>1839.6677027821611</v>
          </cell>
          <cell r="BR34">
            <v>2010</v>
          </cell>
          <cell r="BS34">
            <v>156.50303773891778</v>
          </cell>
          <cell r="BT34">
            <v>211.70487337421304</v>
          </cell>
          <cell r="BU34">
            <v>87.001594100716474</v>
          </cell>
          <cell r="BV34">
            <v>2013</v>
          </cell>
          <cell r="BW34">
            <v>1301.1289501905962</v>
          </cell>
          <cell r="BX34">
            <v>1336.7531552260632</v>
          </cell>
          <cell r="BY34">
            <v>95.618273105858862</v>
          </cell>
          <cell r="BZ34">
            <v>2020</v>
          </cell>
          <cell r="CA34">
            <v>10771.087527601418</v>
          </cell>
          <cell r="CB34">
            <v>14868.326701209584</v>
          </cell>
          <cell r="CC34">
            <v>3432.7921359490588</v>
          </cell>
          <cell r="CD34">
            <v>2021</v>
          </cell>
          <cell r="CE34">
            <v>5235.8318981272605</v>
          </cell>
          <cell r="CF34">
            <v>5872.9214334372573</v>
          </cell>
          <cell r="CG34">
            <v>1751.7185414477092</v>
          </cell>
          <cell r="CH34">
            <v>2021</v>
          </cell>
          <cell r="CI34">
            <v>177757.85062824836</v>
          </cell>
          <cell r="CJ34">
            <v>177975.08570054479</v>
          </cell>
          <cell r="CK34">
            <v>4357.3334325107007</v>
          </cell>
          <cell r="CL34">
            <v>2019</v>
          </cell>
          <cell r="CM34">
            <v>6285.454983846209</v>
          </cell>
          <cell r="CN34">
            <v>8305.4469013106482</v>
          </cell>
          <cell r="CO34">
            <v>5282.0626817143975</v>
          </cell>
          <cell r="CP34">
            <v>2021</v>
          </cell>
          <cell r="CQ34">
            <v>2107.9743282572726</v>
          </cell>
          <cell r="CR34">
            <v>2944.0860213253995</v>
          </cell>
          <cell r="CS34">
            <v>1979.6206968434624</v>
          </cell>
          <cell r="CT34">
            <v>2018</v>
          </cell>
          <cell r="CU34">
            <v>2536.2362399039203</v>
          </cell>
          <cell r="CV34">
            <v>2596.890518229804</v>
          </cell>
          <cell r="CW34">
            <v>162.46179884075372</v>
          </cell>
          <cell r="CX34">
            <v>2022</v>
          </cell>
          <cell r="CY34">
            <v>9304.0770898521496</v>
          </cell>
          <cell r="CZ34">
            <v>9929.1210630204732</v>
          </cell>
          <cell r="DA34">
            <v>1292.4152395741587</v>
          </cell>
          <cell r="DB34">
            <v>2016</v>
          </cell>
          <cell r="DC34">
            <v>408.83854200379096</v>
          </cell>
          <cell r="DD34">
            <v>619.73061202394047</v>
          </cell>
          <cell r="DE34">
            <v>566.97369850093253</v>
          </cell>
          <cell r="DF34">
            <v>2020</v>
          </cell>
          <cell r="DG34">
            <v>1045.855542140747</v>
          </cell>
          <cell r="DH34">
            <v>1414.2949479146332</v>
          </cell>
          <cell r="DI34">
            <v>728.84851581967109</v>
          </cell>
          <cell r="DJ34">
            <v>2013</v>
          </cell>
          <cell r="DK34">
            <v>264.4345399206191</v>
          </cell>
          <cell r="DL34">
            <v>334.63062138697455</v>
          </cell>
          <cell r="DM34">
            <v>193.14983395199511</v>
          </cell>
          <cell r="DN34">
            <v>2020</v>
          </cell>
          <cell r="DO34">
            <v>3715.2273952391088</v>
          </cell>
          <cell r="DP34">
            <v>3775.6728232848277</v>
          </cell>
          <cell r="DQ34">
            <v>171.80827636453279</v>
          </cell>
          <cell r="DR34">
            <v>2021</v>
          </cell>
          <cell r="DS34">
            <v>656.76244831358656</v>
          </cell>
          <cell r="DT34">
            <v>920.21704606662729</v>
          </cell>
          <cell r="DU34">
            <v>437.4833288654599</v>
          </cell>
          <cell r="DV34">
            <v>2016</v>
          </cell>
          <cell r="DW34">
            <v>924.59577243624483</v>
          </cell>
          <cell r="DX34">
            <v>1447.0080308276551</v>
          </cell>
          <cell r="DY34">
            <v>448.46101636905058</v>
          </cell>
          <cell r="DZ34">
            <v>2012</v>
          </cell>
          <cell r="EA34">
            <v>646.94765127072128</v>
          </cell>
          <cell r="EB34">
            <v>873.82021856962808</v>
          </cell>
          <cell r="EC34">
            <v>432.08309285951486</v>
          </cell>
          <cell r="ED34">
            <v>2012</v>
          </cell>
          <cell r="EE34">
            <v>578.21136062962125</v>
          </cell>
          <cell r="EF34">
            <v>883.55657712205755</v>
          </cell>
          <cell r="EG34">
            <v>573.11429063629123</v>
          </cell>
          <cell r="EH34">
            <v>2012</v>
          </cell>
          <cell r="EI34">
            <v>5166.5317960069369</v>
          </cell>
          <cell r="EJ34">
            <v>5793.4290719895753</v>
          </cell>
          <cell r="EK34">
            <v>1745.6817566009208</v>
          </cell>
          <cell r="EL34">
            <v>2021</v>
          </cell>
          <cell r="EM34">
            <v>301.63255613686414</v>
          </cell>
          <cell r="EN34">
            <v>399.03579146654289</v>
          </cell>
          <cell r="EO34">
            <v>83.203360981717367</v>
          </cell>
          <cell r="EP34">
            <v>2014</v>
          </cell>
          <cell r="EQ34">
            <v>201.16954434567242</v>
          </cell>
          <cell r="ER34">
            <v>268.58296329478844</v>
          </cell>
          <cell r="ES34">
            <v>182.21370865476177</v>
          </cell>
          <cell r="ET34">
            <v>2021</v>
          </cell>
          <cell r="EU34">
            <v>3852.6809068779567</v>
          </cell>
          <cell r="EV34">
            <v>4052.1630886051666</v>
          </cell>
          <cell r="EW34">
            <v>341.23378941402495</v>
          </cell>
          <cell r="EX34">
            <v>2019</v>
          </cell>
          <cell r="EY34">
            <v>3914.6387577996766</v>
          </cell>
          <cell r="EZ34">
            <v>4156.2876130125742</v>
          </cell>
          <cell r="FA34">
            <v>450.19181466616004</v>
          </cell>
          <cell r="FB34">
            <v>2019</v>
          </cell>
          <cell r="FC34">
            <v>5462.0575879764183</v>
          </cell>
          <cell r="FD34">
            <v>5678.8324704841207</v>
          </cell>
          <cell r="FE34">
            <v>498.09828860004188</v>
          </cell>
          <cell r="FF34">
            <v>2017</v>
          </cell>
          <cell r="FG34">
            <v>21599.629182019129</v>
          </cell>
          <cell r="FH34">
            <v>28388.840091437694</v>
          </cell>
          <cell r="FI34">
            <v>13848.706690840138</v>
          </cell>
          <cell r="FJ34">
            <v>2011</v>
          </cell>
          <cell r="FK34">
            <v>3.3042936497723035E-6</v>
          </cell>
          <cell r="FL34">
            <v>5248.8295316973008</v>
          </cell>
          <cell r="FM34">
            <v>1306.9642087379123</v>
          </cell>
          <cell r="FN34">
            <v>2039</v>
          </cell>
          <cell r="FO34">
            <v>152.4873279531175</v>
          </cell>
          <cell r="FP34">
            <v>207.24845485294668</v>
          </cell>
          <cell r="FQ34">
            <v>87.116227088482901</v>
          </cell>
          <cell r="FR34">
            <v>2013</v>
          </cell>
          <cell r="FS34">
            <v>1095.9759467956051</v>
          </cell>
          <cell r="FT34">
            <v>1511.7524187007775</v>
          </cell>
          <cell r="FU34">
            <v>818.0392483531665</v>
          </cell>
          <cell r="FV34">
            <v>2013</v>
          </cell>
          <cell r="FW34">
            <v>1248.0454710746376</v>
          </cell>
          <cell r="FX34">
            <v>1649.4775800939947</v>
          </cell>
          <cell r="FY34">
            <v>791.11040864930908</v>
          </cell>
          <cell r="FZ34">
            <v>2018</v>
          </cell>
          <cell r="GA34">
            <v>1131.6425409059957</v>
          </cell>
          <cell r="GB34">
            <v>1679.9920958127318</v>
          </cell>
          <cell r="GC34">
            <v>1274.1421545680132</v>
          </cell>
          <cell r="GD34">
            <v>2017</v>
          </cell>
          <cell r="GE34">
            <v>4806.3099004380674</v>
          </cell>
          <cell r="GF34">
            <v>5953.5353558820643</v>
          </cell>
          <cell r="GG34">
            <v>2340.0520329315309</v>
          </cell>
          <cell r="GH34">
            <v>2012</v>
          </cell>
          <cell r="GI34">
            <v>397.16308452483099</v>
          </cell>
          <cell r="GJ34">
            <v>552.1501605342238</v>
          </cell>
          <cell r="GK34">
            <v>208.69070519626402</v>
          </cell>
          <cell r="GL34">
            <v>2014</v>
          </cell>
          <cell r="GM34">
            <v>0</v>
          </cell>
          <cell r="GN34">
            <v>0</v>
          </cell>
          <cell r="GO34">
            <v>0</v>
          </cell>
          <cell r="GP34">
            <v>0</v>
          </cell>
        </row>
        <row r="35">
          <cell r="B35" t="str">
            <v>65%</v>
          </cell>
          <cell r="C35">
            <v>1081.9405841818082</v>
          </cell>
          <cell r="D35">
            <v>1180.9538792390488</v>
          </cell>
          <cell r="E35">
            <v>270.92096413250039</v>
          </cell>
          <cell r="F35">
            <v>2021</v>
          </cell>
          <cell r="G35">
            <v>1.6827957698497909E-6</v>
          </cell>
          <cell r="H35">
            <v>4889.247684347416</v>
          </cell>
          <cell r="I35">
            <v>13141.408060967437</v>
          </cell>
          <cell r="J35">
            <v>2110</v>
          </cell>
          <cell r="K35">
            <v>632.91031944287715</v>
          </cell>
          <cell r="L35">
            <v>972.2709142866571</v>
          </cell>
          <cell r="M35">
            <v>637.84249355891461</v>
          </cell>
          <cell r="N35">
            <v>2013</v>
          </cell>
          <cell r="O35">
            <v>5736.5240705917895</v>
          </cell>
          <cell r="P35">
            <v>6441.5417934603192</v>
          </cell>
          <cell r="Q35">
            <v>2026.7452401723967</v>
          </cell>
          <cell r="R35">
            <v>2022</v>
          </cell>
          <cell r="S35">
            <v>1067.6809176278236</v>
          </cell>
          <cell r="T35">
            <v>1267.4840563141843</v>
          </cell>
          <cell r="U35">
            <v>415.3628536421956</v>
          </cell>
          <cell r="V35">
            <v>2015</v>
          </cell>
          <cell r="W35">
            <v>41821.279980177525</v>
          </cell>
          <cell r="X35">
            <v>41657.852218874577</v>
          </cell>
          <cell r="Y35">
            <v>3570.3914576892262</v>
          </cell>
          <cell r="Z35">
            <v>2015</v>
          </cell>
          <cell r="AA35">
            <v>7697.4138326678085</v>
          </cell>
          <cell r="AB35">
            <v>10019.367258410466</v>
          </cell>
          <cell r="AC35">
            <v>6271.9338672949934</v>
          </cell>
          <cell r="AD35">
            <v>2022</v>
          </cell>
          <cell r="AE35">
            <v>1203.7175647545953</v>
          </cell>
          <cell r="AF35">
            <v>1553.5496198769906</v>
          </cell>
          <cell r="AG35">
            <v>688.45112506205044</v>
          </cell>
          <cell r="AH35">
            <v>2014</v>
          </cell>
          <cell r="AI35">
            <v>1514.8614196476958</v>
          </cell>
          <cell r="AJ35">
            <v>1887.9475801445628</v>
          </cell>
          <cell r="AK35">
            <v>729.19593614337134</v>
          </cell>
          <cell r="AL35">
            <v>2018</v>
          </cell>
          <cell r="AM35">
            <v>154.93774047414743</v>
          </cell>
          <cell r="AN35">
            <v>199.31421654443187</v>
          </cell>
          <cell r="AO35">
            <v>88.304608325552422</v>
          </cell>
          <cell r="AP35">
            <v>2013</v>
          </cell>
          <cell r="AQ35">
            <v>3117.8348074112164</v>
          </cell>
          <cell r="AR35">
            <v>3929.1569139800613</v>
          </cell>
          <cell r="AS35">
            <v>995.9290853334868</v>
          </cell>
          <cell r="AT35">
            <v>2013</v>
          </cell>
          <cell r="AU35">
            <v>1147.4438622374705</v>
          </cell>
          <cell r="AV35">
            <v>1287.2006962587088</v>
          </cell>
          <cell r="AW35">
            <v>385.4723935751046</v>
          </cell>
          <cell r="AX35">
            <v>2021</v>
          </cell>
          <cell r="AY35">
            <v>1288.2882913940248</v>
          </cell>
          <cell r="AZ35">
            <v>1775.1508163988149</v>
          </cell>
          <cell r="BA35">
            <v>1006.7213520865478</v>
          </cell>
          <cell r="BB35">
            <v>2018</v>
          </cell>
          <cell r="BC35">
            <v>956.91816933439225</v>
          </cell>
          <cell r="BD35">
            <v>1317.9040723666744</v>
          </cell>
          <cell r="BE35">
            <v>853.43998065934943</v>
          </cell>
          <cell r="BF35">
            <v>2018</v>
          </cell>
          <cell r="BG35">
            <v>5924.4517331121069</v>
          </cell>
          <cell r="BH35">
            <v>8384.280908565237</v>
          </cell>
          <cell r="BI35">
            <v>4693.2440228216774</v>
          </cell>
          <cell r="BJ35">
            <v>2013</v>
          </cell>
          <cell r="BK35">
            <v>584.38772077531871</v>
          </cell>
          <cell r="BL35">
            <v>630.91954547575483</v>
          </cell>
          <cell r="BM35">
            <v>112.85928758341609</v>
          </cell>
          <cell r="BN35">
            <v>2018</v>
          </cell>
          <cell r="BO35">
            <v>1772.1275133062438</v>
          </cell>
          <cell r="BP35">
            <v>2866.5532432050791</v>
          </cell>
          <cell r="BQ35">
            <v>1860.7338895624603</v>
          </cell>
          <cell r="BR35">
            <v>2010</v>
          </cell>
          <cell r="BS35">
            <v>158.81946900408897</v>
          </cell>
          <cell r="BT35">
            <v>214.54414127544496</v>
          </cell>
          <cell r="BU35">
            <v>88.404619939989104</v>
          </cell>
          <cell r="BV35">
            <v>2013</v>
          </cell>
          <cell r="BW35">
            <v>1342.3349777999233</v>
          </cell>
          <cell r="BX35">
            <v>1381.2512132869472</v>
          </cell>
          <cell r="BY35">
            <v>97.490011095664599</v>
          </cell>
          <cell r="BZ35">
            <v>2021</v>
          </cell>
          <cell r="CA35">
            <v>10962.617309348283</v>
          </cell>
          <cell r="CB35">
            <v>15093.695373841931</v>
          </cell>
          <cell r="CC35">
            <v>3497.4216499769695</v>
          </cell>
          <cell r="CD35">
            <v>2022</v>
          </cell>
          <cell r="CE35">
            <v>5474.6697360082653</v>
          </cell>
          <cell r="CF35">
            <v>6087.8570358917177</v>
          </cell>
          <cell r="CG35">
            <v>1859.1847071551279</v>
          </cell>
          <cell r="CH35">
            <v>2022</v>
          </cell>
          <cell r="CI35">
            <v>178601.70712121236</v>
          </cell>
          <cell r="CJ35">
            <v>178821.99696504523</v>
          </cell>
          <cell r="CK35">
            <v>4411.9270305478685</v>
          </cell>
          <cell r="CL35">
            <v>2020</v>
          </cell>
          <cell r="CM35">
            <v>6416.0430508320997</v>
          </cell>
          <cell r="CN35">
            <v>8427.5707010672631</v>
          </cell>
          <cell r="CO35">
            <v>5432.8434643913661</v>
          </cell>
          <cell r="CP35">
            <v>2022</v>
          </cell>
          <cell r="CQ35">
            <v>2147.2667970032035</v>
          </cell>
          <cell r="CR35">
            <v>3006.0535497254441</v>
          </cell>
          <cell r="CS35">
            <v>2037.6829566281303</v>
          </cell>
          <cell r="CT35">
            <v>2018</v>
          </cell>
          <cell r="CU35">
            <v>2628.335926916825</v>
          </cell>
          <cell r="CV35">
            <v>2683.4756040939678</v>
          </cell>
          <cell r="CW35">
            <v>168.46998057940783</v>
          </cell>
          <cell r="CX35">
            <v>2023</v>
          </cell>
          <cell r="CY35">
            <v>9669.4461110049215</v>
          </cell>
          <cell r="CZ35">
            <v>10325.824177162323</v>
          </cell>
          <cell r="DA35">
            <v>1309.7274878865735</v>
          </cell>
          <cell r="DB35">
            <v>2017</v>
          </cell>
          <cell r="DC35">
            <v>414.55774758690001</v>
          </cell>
          <cell r="DD35">
            <v>628.89110300966115</v>
          </cell>
          <cell r="DE35">
            <v>578.7699747173582</v>
          </cell>
          <cell r="DF35">
            <v>2021</v>
          </cell>
          <cell r="DG35">
            <v>1055.4292599412295</v>
          </cell>
          <cell r="DH35">
            <v>1426.7655379684518</v>
          </cell>
          <cell r="DI35">
            <v>735.74049066696648</v>
          </cell>
          <cell r="DJ35">
            <v>2014</v>
          </cell>
          <cell r="DK35">
            <v>266.59524179552142</v>
          </cell>
          <cell r="DL35">
            <v>336.97144837581698</v>
          </cell>
          <cell r="DM35">
            <v>195.58294645843054</v>
          </cell>
          <cell r="DN35">
            <v>2021</v>
          </cell>
          <cell r="DO35">
            <v>3911.6594084013186</v>
          </cell>
          <cell r="DP35">
            <v>3968.3005137828304</v>
          </cell>
          <cell r="DQ35">
            <v>177.98538007442326</v>
          </cell>
          <cell r="DR35">
            <v>2022</v>
          </cell>
          <cell r="DS35">
            <v>663.67066248286062</v>
          </cell>
          <cell r="DT35">
            <v>929.92621482963136</v>
          </cell>
          <cell r="DU35">
            <v>446.0039535995482</v>
          </cell>
          <cell r="DV35">
            <v>2017</v>
          </cell>
          <cell r="DW35">
            <v>940.17202768351342</v>
          </cell>
          <cell r="DX35">
            <v>1462.4285783588587</v>
          </cell>
          <cell r="DY35">
            <v>454.4760206978126</v>
          </cell>
          <cell r="DZ35">
            <v>2013</v>
          </cell>
          <cell r="EA35">
            <v>662.42119836712811</v>
          </cell>
          <cell r="EB35">
            <v>888.68400964004343</v>
          </cell>
          <cell r="EC35">
            <v>440.52794636371709</v>
          </cell>
          <cell r="ED35">
            <v>2013</v>
          </cell>
          <cell r="EE35">
            <v>586.08465931361172</v>
          </cell>
          <cell r="EF35">
            <v>895.94979597898703</v>
          </cell>
          <cell r="EG35">
            <v>581.62787626778834</v>
          </cell>
          <cell r="EH35">
            <v>2013</v>
          </cell>
          <cell r="EI35">
            <v>5375.1258414220993</v>
          </cell>
          <cell r="EJ35">
            <v>6015.2448635076662</v>
          </cell>
          <cell r="EK35">
            <v>1879.6544108856378</v>
          </cell>
          <cell r="EL35">
            <v>2022</v>
          </cell>
          <cell r="EM35">
            <v>314.29623866287392</v>
          </cell>
          <cell r="EN35">
            <v>410.71361613996709</v>
          </cell>
          <cell r="EO35">
            <v>84.423739323720355</v>
          </cell>
          <cell r="EP35">
            <v>2015</v>
          </cell>
          <cell r="EQ35">
            <v>207.35329385245589</v>
          </cell>
          <cell r="ER35">
            <v>273.90673189240312</v>
          </cell>
          <cell r="ES35">
            <v>190.07322721994663</v>
          </cell>
          <cell r="ET35">
            <v>2022</v>
          </cell>
          <cell r="EU35">
            <v>3875.2841363795956</v>
          </cell>
          <cell r="EV35">
            <v>4074.3469542668295</v>
          </cell>
          <cell r="EW35">
            <v>346.77916216908585</v>
          </cell>
          <cell r="EX35">
            <v>2020</v>
          </cell>
          <cell r="EY35">
            <v>3935.6713046945983</v>
          </cell>
          <cell r="EZ35">
            <v>4176.8183939334685</v>
          </cell>
          <cell r="FA35">
            <v>456.60674909997476</v>
          </cell>
          <cell r="FB35">
            <v>2020</v>
          </cell>
          <cell r="FC35">
            <v>5891.0374498799893</v>
          </cell>
          <cell r="FD35">
            <v>6116.8981819040118</v>
          </cell>
          <cell r="FE35">
            <v>510.18243153577498</v>
          </cell>
          <cell r="FF35">
            <v>2018</v>
          </cell>
          <cell r="FG35">
            <v>21776.283333681102</v>
          </cell>
          <cell r="FH35">
            <v>28604.547025702093</v>
          </cell>
          <cell r="FI35">
            <v>13887.03279776312</v>
          </cell>
          <cell r="FJ35">
            <v>2011</v>
          </cell>
          <cell r="FK35">
            <v>4425.3968209991299</v>
          </cell>
          <cell r="FL35">
            <v>5420.053685209281</v>
          </cell>
          <cell r="FM35">
            <v>1395.3870501860513</v>
          </cell>
          <cell r="FN35">
            <v>2042</v>
          </cell>
          <cell r="FO35">
            <v>154.67590564077844</v>
          </cell>
          <cell r="FP35">
            <v>209.67445638045376</v>
          </cell>
          <cell r="FQ35">
            <v>88.27565935214993</v>
          </cell>
          <cell r="FR35">
            <v>2013</v>
          </cell>
          <cell r="FS35">
            <v>1108.761721243791</v>
          </cell>
          <cell r="FT35">
            <v>1524.0209140891311</v>
          </cell>
          <cell r="FU35">
            <v>827.09768291060493</v>
          </cell>
          <cell r="FV35">
            <v>2014</v>
          </cell>
          <cell r="FW35">
            <v>1258.924815015052</v>
          </cell>
          <cell r="FX35">
            <v>1658.7077327395052</v>
          </cell>
          <cell r="FY35">
            <v>800.50005467328231</v>
          </cell>
          <cell r="FZ35">
            <v>2018</v>
          </cell>
          <cell r="GA35">
            <v>1147.3957409724858</v>
          </cell>
          <cell r="GB35">
            <v>1699.188226396948</v>
          </cell>
          <cell r="GC35">
            <v>1291.2500367485736</v>
          </cell>
          <cell r="GD35">
            <v>2018</v>
          </cell>
          <cell r="GE35">
            <v>4920.8828458438111</v>
          </cell>
          <cell r="GF35">
            <v>6098.0404065281318</v>
          </cell>
          <cell r="GG35">
            <v>2367.1271816129497</v>
          </cell>
          <cell r="GH35">
            <v>2013</v>
          </cell>
          <cell r="GI35">
            <v>408.17206729293946</v>
          </cell>
          <cell r="GJ35">
            <v>561.69211070187407</v>
          </cell>
          <cell r="GK35">
            <v>212.42487155712539</v>
          </cell>
          <cell r="GL35">
            <v>2015</v>
          </cell>
          <cell r="GM35">
            <v>0</v>
          </cell>
          <cell r="GN35">
            <v>0</v>
          </cell>
          <cell r="GO35">
            <v>0</v>
          </cell>
          <cell r="GP35">
            <v>0</v>
          </cell>
        </row>
        <row r="36">
          <cell r="B36" t="str">
            <v>70%</v>
          </cell>
          <cell r="C36">
            <v>1090.7367535220635</v>
          </cell>
          <cell r="D36">
            <v>1190.6121533086821</v>
          </cell>
          <cell r="E36">
            <v>274.67194741728684</v>
          </cell>
          <cell r="F36">
            <v>2021</v>
          </cell>
          <cell r="G36">
            <v>3.9454338137393481E-6</v>
          </cell>
          <cell r="H36">
            <v>5415.6297202239966</v>
          </cell>
          <cell r="I36">
            <v>13702.257690399038</v>
          </cell>
          <cell r="J36">
            <v>2110</v>
          </cell>
          <cell r="K36">
            <v>643.41995425117329</v>
          </cell>
          <cell r="L36">
            <v>988.52034623308271</v>
          </cell>
          <cell r="M36">
            <v>645.38515755559547</v>
          </cell>
          <cell r="N36">
            <v>2013</v>
          </cell>
          <cell r="O36">
            <v>5981.9556101701137</v>
          </cell>
          <cell r="P36">
            <v>6675.4946242533797</v>
          </cell>
          <cell r="Q36">
            <v>2161.3506735888177</v>
          </cell>
          <cell r="R36">
            <v>2023</v>
          </cell>
          <cell r="S36">
            <v>1083.9304201654052</v>
          </cell>
          <cell r="T36">
            <v>1286.8507504530123</v>
          </cell>
          <cell r="U36">
            <v>422.55341828626808</v>
          </cell>
          <cell r="V36">
            <v>2015</v>
          </cell>
          <cell r="W36">
            <v>42055.510563507836</v>
          </cell>
          <cell r="X36">
            <v>41915.669337224666</v>
          </cell>
          <cell r="Y36">
            <v>3612.0914383242357</v>
          </cell>
          <cell r="Z36">
            <v>2015</v>
          </cell>
          <cell r="AA36">
            <v>7947.3734273575437</v>
          </cell>
          <cell r="AB36">
            <v>10223.74200138921</v>
          </cell>
          <cell r="AC36">
            <v>6479.1082830108253</v>
          </cell>
          <cell r="AD36">
            <v>2023</v>
          </cell>
          <cell r="AE36">
            <v>1219.2236064512213</v>
          </cell>
          <cell r="AF36">
            <v>1568.1426470633298</v>
          </cell>
          <cell r="AG36">
            <v>695.21022942185823</v>
          </cell>
          <cell r="AH36">
            <v>2014</v>
          </cell>
          <cell r="AI36">
            <v>1559.4507293780971</v>
          </cell>
          <cell r="AJ36">
            <v>1938.3865172272517</v>
          </cell>
          <cell r="AK36">
            <v>739.02221706843193</v>
          </cell>
          <cell r="AL36">
            <v>2019</v>
          </cell>
          <cell r="AM36">
            <v>157.60957446102398</v>
          </cell>
          <cell r="AN36">
            <v>201.9188286836966</v>
          </cell>
          <cell r="AO36">
            <v>89.896861051648514</v>
          </cell>
          <cell r="AP36">
            <v>2013</v>
          </cell>
          <cell r="AQ36">
            <v>3197.1506834527222</v>
          </cell>
          <cell r="AR36">
            <v>3992.6153362755354</v>
          </cell>
          <cell r="AS36">
            <v>1006.7118801655148</v>
          </cell>
          <cell r="AT36">
            <v>2013</v>
          </cell>
          <cell r="AU36">
            <v>1156.5660573899188</v>
          </cell>
          <cell r="AV36">
            <v>1297.6297845318836</v>
          </cell>
          <cell r="AW36">
            <v>390.16891715446553</v>
          </cell>
          <cell r="AX36">
            <v>2021</v>
          </cell>
          <cell r="AY36">
            <v>1305.4742365686668</v>
          </cell>
          <cell r="AZ36">
            <v>1796.0009370809796</v>
          </cell>
          <cell r="BA36">
            <v>1022.2662145513498</v>
          </cell>
          <cell r="BB36">
            <v>2019</v>
          </cell>
          <cell r="BC36">
            <v>973.11839954100071</v>
          </cell>
          <cell r="BD36">
            <v>1340.4303287606724</v>
          </cell>
          <cell r="BE36">
            <v>864.43585365663944</v>
          </cell>
          <cell r="BF36">
            <v>2018</v>
          </cell>
          <cell r="BG36">
            <v>6052.6544324646848</v>
          </cell>
          <cell r="BH36">
            <v>8515.6865313581184</v>
          </cell>
          <cell r="BI36">
            <v>4790.80640264262</v>
          </cell>
          <cell r="BJ36">
            <v>2014</v>
          </cell>
          <cell r="BK36">
            <v>589.9697253606389</v>
          </cell>
          <cell r="BL36">
            <v>636.81658443539197</v>
          </cell>
          <cell r="BM36">
            <v>114.36593530347612</v>
          </cell>
          <cell r="BN36">
            <v>2018</v>
          </cell>
          <cell r="BO36">
            <v>1792.8593741427428</v>
          </cell>
          <cell r="BP36">
            <v>2900.0886309338298</v>
          </cell>
          <cell r="BQ36">
            <v>1882.5023440626096</v>
          </cell>
          <cell r="BR36">
            <v>2010</v>
          </cell>
          <cell r="BS36">
            <v>161.01261918303393</v>
          </cell>
          <cell r="BT36">
            <v>217.30964921741932</v>
          </cell>
          <cell r="BU36">
            <v>89.789159882372729</v>
          </cell>
          <cell r="BV36">
            <v>2013</v>
          </cell>
          <cell r="BW36">
            <v>1389.6777325455073</v>
          </cell>
          <cell r="BX36">
            <v>1423.031012538604</v>
          </cell>
          <cell r="BY36">
            <v>99.445319178812454</v>
          </cell>
          <cell r="BZ36">
            <v>2022</v>
          </cell>
          <cell r="CA36">
            <v>11175.632729437082</v>
          </cell>
          <cell r="CB36">
            <v>15347.697677314796</v>
          </cell>
          <cell r="CC36">
            <v>3609.199823941432</v>
          </cell>
          <cell r="CD36">
            <v>2023</v>
          </cell>
          <cell r="CE36">
            <v>5710.750020276233</v>
          </cell>
          <cell r="CF36">
            <v>6319.7663178341973</v>
          </cell>
          <cell r="CG36">
            <v>1977.2563941015571</v>
          </cell>
          <cell r="CH36">
            <v>2023</v>
          </cell>
          <cell r="CI36">
            <v>179848.25565350772</v>
          </cell>
          <cell r="CJ36">
            <v>180018.4150023468</v>
          </cell>
          <cell r="CK36">
            <v>4453.4061696543877</v>
          </cell>
          <cell r="CL36">
            <v>2020</v>
          </cell>
          <cell r="CM36">
            <v>6529.9025585653781</v>
          </cell>
          <cell r="CN36">
            <v>8570.2152456687581</v>
          </cell>
          <cell r="CO36">
            <v>5568.6509188802456</v>
          </cell>
          <cell r="CP36">
            <v>2023</v>
          </cell>
          <cell r="CQ36">
            <v>2188.7560362670088</v>
          </cell>
          <cell r="CR36">
            <v>3071.0848833286818</v>
          </cell>
          <cell r="CS36">
            <v>2092.3630370459068</v>
          </cell>
          <cell r="CT36">
            <v>2019</v>
          </cell>
          <cell r="CU36">
            <v>2721.8743126014742</v>
          </cell>
          <cell r="CV36">
            <v>2775.9216465737109</v>
          </cell>
          <cell r="CW36">
            <v>174.28094957706858</v>
          </cell>
          <cell r="CX36">
            <v>2023</v>
          </cell>
          <cell r="CY36">
            <v>9964.9106666345269</v>
          </cell>
          <cell r="CZ36">
            <v>10642.465771826732</v>
          </cell>
          <cell r="DA36">
            <v>1328.1772351641057</v>
          </cell>
          <cell r="DB36">
            <v>2017</v>
          </cell>
          <cell r="DC36">
            <v>421.56096391461477</v>
          </cell>
          <cell r="DD36">
            <v>640.55060973282002</v>
          </cell>
          <cell r="DE36">
            <v>593.73317067006201</v>
          </cell>
          <cell r="DF36">
            <v>2021</v>
          </cell>
          <cell r="DG36">
            <v>1064.5821949176623</v>
          </cell>
          <cell r="DH36">
            <v>1438.5902132662516</v>
          </cell>
          <cell r="DI36">
            <v>742.02042400372818</v>
          </cell>
          <cell r="DJ36">
            <v>2014</v>
          </cell>
          <cell r="DK36">
            <v>268.37395757921701</v>
          </cell>
          <cell r="DL36">
            <v>339.44211064865743</v>
          </cell>
          <cell r="DM36">
            <v>198.15240363613555</v>
          </cell>
          <cell r="DN36">
            <v>2021</v>
          </cell>
          <cell r="DO36">
            <v>4101.8906875947405</v>
          </cell>
          <cell r="DP36">
            <v>4162.5987343000106</v>
          </cell>
          <cell r="DQ36">
            <v>183.09533724991851</v>
          </cell>
          <cell r="DR36">
            <v>2023</v>
          </cell>
          <cell r="DS36">
            <v>672.89248936424065</v>
          </cell>
          <cell r="DT36">
            <v>939.90788593889829</v>
          </cell>
          <cell r="DU36">
            <v>452.56189227143761</v>
          </cell>
          <cell r="DV36">
            <v>2017</v>
          </cell>
          <cell r="DW36">
            <v>956.97627438179086</v>
          </cell>
          <cell r="DX36">
            <v>1477.2158311499011</v>
          </cell>
          <cell r="DY36">
            <v>459.62661187990807</v>
          </cell>
          <cell r="DZ36">
            <v>2013</v>
          </cell>
          <cell r="EA36">
            <v>674.57017997673495</v>
          </cell>
          <cell r="EB36">
            <v>904.58990960476683</v>
          </cell>
          <cell r="EC36">
            <v>451.0570056556212</v>
          </cell>
          <cell r="ED36">
            <v>2014</v>
          </cell>
          <cell r="EE36">
            <v>594.5016873841073</v>
          </cell>
          <cell r="EF36">
            <v>908.10970079711478</v>
          </cell>
          <cell r="EG36">
            <v>592.77785764319015</v>
          </cell>
          <cell r="EH36">
            <v>2013</v>
          </cell>
          <cell r="EI36">
            <v>5601.2780261065564</v>
          </cell>
          <cell r="EJ36">
            <v>6220.3947629120448</v>
          </cell>
          <cell r="EK36">
            <v>1976.0480938391931</v>
          </cell>
          <cell r="EL36">
            <v>2023</v>
          </cell>
          <cell r="EM36">
            <v>327.25995520946202</v>
          </cell>
          <cell r="EN36">
            <v>422.97986703326518</v>
          </cell>
          <cell r="EO36">
            <v>85.595670893875393</v>
          </cell>
          <cell r="EP36">
            <v>2015</v>
          </cell>
          <cell r="EQ36">
            <v>213.80386736008583</v>
          </cell>
          <cell r="ER36">
            <v>280.41210985402381</v>
          </cell>
          <cell r="ES36">
            <v>196.19319208397994</v>
          </cell>
          <cell r="ET36">
            <v>2023</v>
          </cell>
          <cell r="EU36">
            <v>3895.106275887948</v>
          </cell>
          <cell r="EV36">
            <v>4095.7952661742565</v>
          </cell>
          <cell r="EW36">
            <v>353.17461739901478</v>
          </cell>
          <cell r="EX36">
            <v>2020</v>
          </cell>
          <cell r="EY36">
            <v>3960.5157988450978</v>
          </cell>
          <cell r="EZ36">
            <v>4203.3194685980261</v>
          </cell>
          <cell r="FA36">
            <v>462.88457809315287</v>
          </cell>
          <cell r="FB36">
            <v>2020</v>
          </cell>
          <cell r="FC36">
            <v>6350.5085270056334</v>
          </cell>
          <cell r="FD36">
            <v>6562.83970816088</v>
          </cell>
          <cell r="FE36">
            <v>522.84035131879784</v>
          </cell>
          <cell r="FF36">
            <v>2019</v>
          </cell>
          <cell r="FG36">
            <v>22013.885685202375</v>
          </cell>
          <cell r="FH36">
            <v>28803.852525299073</v>
          </cell>
          <cell r="FI36">
            <v>13934.507891619232</v>
          </cell>
          <cell r="FJ36">
            <v>2011</v>
          </cell>
          <cell r="FK36">
            <v>4964.5722569128429</v>
          </cell>
          <cell r="FL36">
            <v>5700.8700160977105</v>
          </cell>
          <cell r="FM36">
            <v>1495.2312760945561</v>
          </cell>
          <cell r="FN36">
            <v>2044</v>
          </cell>
          <cell r="FO36">
            <v>156.63722117071626</v>
          </cell>
          <cell r="FP36">
            <v>212.10520618125415</v>
          </cell>
          <cell r="FQ36">
            <v>89.515843196850199</v>
          </cell>
          <cell r="FR36">
            <v>2013</v>
          </cell>
          <cell r="FS36">
            <v>1118.4725938618883</v>
          </cell>
          <cell r="FT36">
            <v>1536.2723988761122</v>
          </cell>
          <cell r="FU36">
            <v>835.71774453507464</v>
          </cell>
          <cell r="FV36">
            <v>2014</v>
          </cell>
          <cell r="FW36">
            <v>1268.3813982553243</v>
          </cell>
          <cell r="FX36">
            <v>1674.6710235613577</v>
          </cell>
          <cell r="FY36">
            <v>811.46775543803051</v>
          </cell>
          <cell r="FZ36">
            <v>2019</v>
          </cell>
          <cell r="GA36">
            <v>1159.8776919013785</v>
          </cell>
          <cell r="GB36">
            <v>1723.5055074068914</v>
          </cell>
          <cell r="GC36">
            <v>1309.0240752371919</v>
          </cell>
          <cell r="GD36">
            <v>2018</v>
          </cell>
          <cell r="GE36">
            <v>5023.0047144189884</v>
          </cell>
          <cell r="GF36">
            <v>6216.6930437785832</v>
          </cell>
          <cell r="GG36">
            <v>2415.7584596361994</v>
          </cell>
          <cell r="GH36">
            <v>2014</v>
          </cell>
          <cell r="GI36">
            <v>419.81590486023788</v>
          </cell>
          <cell r="GJ36">
            <v>573.22725710643078</v>
          </cell>
          <cell r="GK36">
            <v>216.2751247494962</v>
          </cell>
          <cell r="GL36">
            <v>2015</v>
          </cell>
          <cell r="GM36">
            <v>0</v>
          </cell>
          <cell r="GN36">
            <v>0</v>
          </cell>
          <cell r="GO36">
            <v>0</v>
          </cell>
          <cell r="GP36">
            <v>0</v>
          </cell>
        </row>
        <row r="37">
          <cell r="B37" t="str">
            <v>75%</v>
          </cell>
          <cell r="C37">
            <v>1100.8125754059186</v>
          </cell>
          <cell r="D37">
            <v>1197.3234812191922</v>
          </cell>
          <cell r="E37">
            <v>277.6289286449545</v>
          </cell>
          <cell r="F37">
            <v>2022</v>
          </cell>
          <cell r="G37">
            <v>3482.0214737704573</v>
          </cell>
          <cell r="H37">
            <v>5898.7026884036377</v>
          </cell>
          <cell r="I37">
            <v>14170.240317913684</v>
          </cell>
          <cell r="J37">
            <v>2110</v>
          </cell>
          <cell r="K37">
            <v>655.10304105555178</v>
          </cell>
          <cell r="L37">
            <v>1006.3023004037295</v>
          </cell>
          <cell r="M37">
            <v>655.04692630654961</v>
          </cell>
          <cell r="N37">
            <v>2013</v>
          </cell>
          <cell r="O37">
            <v>6210.8792891846078</v>
          </cell>
          <cell r="P37">
            <v>6972.1421990544204</v>
          </cell>
          <cell r="Q37">
            <v>2326.4143274824382</v>
          </cell>
          <cell r="R37">
            <v>2024</v>
          </cell>
          <cell r="S37">
            <v>1099.9089886410663</v>
          </cell>
          <cell r="T37">
            <v>1303.3491721842472</v>
          </cell>
          <cell r="U37">
            <v>430.2812394664133</v>
          </cell>
          <cell r="V37">
            <v>2015</v>
          </cell>
          <cell r="W37">
            <v>42339.627849650584</v>
          </cell>
          <cell r="X37">
            <v>42206.874044787153</v>
          </cell>
          <cell r="Y37">
            <v>3651.2837066411462</v>
          </cell>
          <cell r="Z37">
            <v>2015</v>
          </cell>
          <cell r="AA37">
            <v>8151.1750428663663</v>
          </cell>
          <cell r="AB37">
            <v>10456.808861486896</v>
          </cell>
          <cell r="AC37">
            <v>6638.4960903631936</v>
          </cell>
          <cell r="AD37">
            <v>2024</v>
          </cell>
          <cell r="AE37">
            <v>1234.5604595659033</v>
          </cell>
          <cell r="AF37">
            <v>1580.4045093138282</v>
          </cell>
          <cell r="AG37">
            <v>702.80191752826033</v>
          </cell>
          <cell r="AH37">
            <v>2014</v>
          </cell>
          <cell r="AI37">
            <v>1601.8071311639283</v>
          </cell>
          <cell r="AJ37">
            <v>1973.3883389675593</v>
          </cell>
          <cell r="AK37">
            <v>748.95715943580456</v>
          </cell>
          <cell r="AL37">
            <v>2019</v>
          </cell>
          <cell r="AM37">
            <v>160.48141033102885</v>
          </cell>
          <cell r="AN37">
            <v>204.58891604949974</v>
          </cell>
          <cell r="AO37">
            <v>91.218678739368656</v>
          </cell>
          <cell r="AP37">
            <v>2014</v>
          </cell>
          <cell r="AQ37">
            <v>3278.8342026313194</v>
          </cell>
          <cell r="AR37">
            <v>4082.724179247462</v>
          </cell>
          <cell r="AS37">
            <v>1019.3655079562026</v>
          </cell>
          <cell r="AT37">
            <v>2013</v>
          </cell>
          <cell r="AU37">
            <v>1165.0041148993239</v>
          </cell>
          <cell r="AV37">
            <v>1308.8104655340812</v>
          </cell>
          <cell r="AW37">
            <v>394.41023394577246</v>
          </cell>
          <cell r="AX37">
            <v>2022</v>
          </cell>
          <cell r="AY37">
            <v>1319.3914168583101</v>
          </cell>
          <cell r="AZ37">
            <v>1814.3945592020696</v>
          </cell>
          <cell r="BA37">
            <v>1036.4582060621276</v>
          </cell>
          <cell r="BB37">
            <v>2019</v>
          </cell>
          <cell r="BC37">
            <v>987.58806674638095</v>
          </cell>
          <cell r="BD37">
            <v>1360.6460708808859</v>
          </cell>
          <cell r="BE37">
            <v>881.25876078192823</v>
          </cell>
          <cell r="BF37">
            <v>2019</v>
          </cell>
          <cell r="BG37">
            <v>6147.3979207336351</v>
          </cell>
          <cell r="BH37">
            <v>8638.4457192363425</v>
          </cell>
          <cell r="BI37">
            <v>4929.1561092827969</v>
          </cell>
          <cell r="BJ37">
            <v>2015</v>
          </cell>
          <cell r="BK37">
            <v>597.16473852529793</v>
          </cell>
          <cell r="BL37">
            <v>643.17184702777672</v>
          </cell>
          <cell r="BM37">
            <v>116.30894495632174</v>
          </cell>
          <cell r="BN37">
            <v>2018</v>
          </cell>
          <cell r="BO37">
            <v>1816.4635056297395</v>
          </cell>
          <cell r="BP37">
            <v>2938.2701378987485</v>
          </cell>
          <cell r="BQ37">
            <v>1907.2866801090372</v>
          </cell>
          <cell r="BR37">
            <v>2010</v>
          </cell>
          <cell r="BS37">
            <v>163.0810062222711</v>
          </cell>
          <cell r="BT37">
            <v>220.17923981077962</v>
          </cell>
          <cell r="BU37">
            <v>91.311719176339835</v>
          </cell>
          <cell r="BV37">
            <v>2014</v>
          </cell>
          <cell r="BW37">
            <v>1435.2433180859057</v>
          </cell>
          <cell r="BX37">
            <v>1469.3913796352326</v>
          </cell>
          <cell r="BY37">
            <v>101.44844659234444</v>
          </cell>
          <cell r="BZ37">
            <v>2022</v>
          </cell>
          <cell r="CA37">
            <v>11420.95317739752</v>
          </cell>
          <cell r="CB37">
            <v>15595.923900480802</v>
          </cell>
          <cell r="CC37">
            <v>3701.6170715235194</v>
          </cell>
          <cell r="CD37">
            <v>2024</v>
          </cell>
          <cell r="CE37">
            <v>5905.9292408100901</v>
          </cell>
          <cell r="CF37">
            <v>6574.4559469126334</v>
          </cell>
          <cell r="CG37">
            <v>2083.6088427917907</v>
          </cell>
          <cell r="CH37">
            <v>2024</v>
          </cell>
          <cell r="CI37">
            <v>181262.28232731836</v>
          </cell>
          <cell r="CJ37">
            <v>181500.56109299525</v>
          </cell>
          <cell r="CK37">
            <v>4501.0761924151357</v>
          </cell>
          <cell r="CL37">
            <v>2020</v>
          </cell>
          <cell r="CM37">
            <v>6659.1478813496024</v>
          </cell>
          <cell r="CN37">
            <v>8747.9423117610677</v>
          </cell>
          <cell r="CO37">
            <v>5729.3544645270358</v>
          </cell>
          <cell r="CP37">
            <v>2024</v>
          </cell>
          <cell r="CQ37">
            <v>2251.9236389923976</v>
          </cell>
          <cell r="CR37">
            <v>3162.9033860054965</v>
          </cell>
          <cell r="CS37">
            <v>2171.2630399996633</v>
          </cell>
          <cell r="CT37">
            <v>2019</v>
          </cell>
          <cell r="CU37">
            <v>2823.7518499675543</v>
          </cell>
          <cell r="CV37">
            <v>2893.9036723233094</v>
          </cell>
          <cell r="CW37">
            <v>180.58671736435738</v>
          </cell>
          <cell r="CX37">
            <v>2024</v>
          </cell>
          <cell r="CY37">
            <v>10332.406722566158</v>
          </cell>
          <cell r="CZ37">
            <v>10967.722343099493</v>
          </cell>
          <cell r="DA37">
            <v>1353.9496124118984</v>
          </cell>
          <cell r="DB37">
            <v>2017</v>
          </cell>
          <cell r="DC37">
            <v>427.80826496148262</v>
          </cell>
          <cell r="DD37">
            <v>650.66012973927138</v>
          </cell>
          <cell r="DE37">
            <v>604.74551409305116</v>
          </cell>
          <cell r="DF37">
            <v>2022</v>
          </cell>
          <cell r="DG37">
            <v>1076.7296888276119</v>
          </cell>
          <cell r="DH37">
            <v>1452.940862634576</v>
          </cell>
          <cell r="DI37">
            <v>749.79777146723495</v>
          </cell>
          <cell r="DJ37">
            <v>2014</v>
          </cell>
          <cell r="DK37">
            <v>270.68107119366863</v>
          </cell>
          <cell r="DL37">
            <v>341.88560428394499</v>
          </cell>
          <cell r="DM37">
            <v>201.06583774973714</v>
          </cell>
          <cell r="DN37">
            <v>2022</v>
          </cell>
          <cell r="DO37">
            <v>4328.3889814187323</v>
          </cell>
          <cell r="DP37">
            <v>4387.5162004210488</v>
          </cell>
          <cell r="DQ37">
            <v>188.90977397530361</v>
          </cell>
          <cell r="DR37">
            <v>2024</v>
          </cell>
          <cell r="DS37">
            <v>680.98619134150022</v>
          </cell>
          <cell r="DT37">
            <v>948.97502526240999</v>
          </cell>
          <cell r="DU37">
            <v>462.13014613630338</v>
          </cell>
          <cell r="DV37">
            <v>2017</v>
          </cell>
          <cell r="DW37">
            <v>972.85640878552431</v>
          </cell>
          <cell r="DX37">
            <v>1494.9753361246817</v>
          </cell>
          <cell r="DY37">
            <v>464.59811163457147</v>
          </cell>
          <cell r="DZ37">
            <v>2013</v>
          </cell>
          <cell r="EA37">
            <v>689.11005480645372</v>
          </cell>
          <cell r="EB37">
            <v>921.48536408691507</v>
          </cell>
          <cell r="EC37">
            <v>459.53842609195004</v>
          </cell>
          <cell r="ED37">
            <v>2015</v>
          </cell>
          <cell r="EE37">
            <v>601.01462684080241</v>
          </cell>
          <cell r="EF37">
            <v>920.93836076195714</v>
          </cell>
          <cell r="EG37">
            <v>602.05645329339711</v>
          </cell>
          <cell r="EH37">
            <v>2013</v>
          </cell>
          <cell r="EI37">
            <v>5824.4176509834879</v>
          </cell>
          <cell r="EJ37">
            <v>6450.3568273530163</v>
          </cell>
          <cell r="EK37">
            <v>2090.2142654799704</v>
          </cell>
          <cell r="EL37">
            <v>2024</v>
          </cell>
          <cell r="EM37">
            <v>338.59429173739323</v>
          </cell>
          <cell r="EN37">
            <v>435.38704260101889</v>
          </cell>
          <cell r="EO37">
            <v>86.929698115394757</v>
          </cell>
          <cell r="EP37">
            <v>2016</v>
          </cell>
          <cell r="EQ37">
            <v>219.96745618379137</v>
          </cell>
          <cell r="ER37">
            <v>285.95539491814338</v>
          </cell>
          <cell r="ES37">
            <v>202.4987212462724</v>
          </cell>
          <cell r="ET37">
            <v>2024</v>
          </cell>
          <cell r="EU37">
            <v>3918.2192142853755</v>
          </cell>
          <cell r="EV37">
            <v>4118.4078163838803</v>
          </cell>
          <cell r="EW37">
            <v>358.5047271248169</v>
          </cell>
          <cell r="EX37">
            <v>2021</v>
          </cell>
          <cell r="EY37">
            <v>3986.2978008431887</v>
          </cell>
          <cell r="EZ37">
            <v>4234.7913331479767</v>
          </cell>
          <cell r="FA37">
            <v>472.16690736176014</v>
          </cell>
          <cell r="FB37">
            <v>2021</v>
          </cell>
          <cell r="FC37">
            <v>6732.5371596908853</v>
          </cell>
          <cell r="FD37">
            <v>6936.1907430039746</v>
          </cell>
          <cell r="FE37">
            <v>536.12239636119273</v>
          </cell>
          <cell r="FF37">
            <v>2020</v>
          </cell>
          <cell r="FG37">
            <v>22268.285457242579</v>
          </cell>
          <cell r="FH37">
            <v>29130.244987083272</v>
          </cell>
          <cell r="FI37">
            <v>13983.678716444274</v>
          </cell>
          <cell r="FJ37">
            <v>2012</v>
          </cell>
          <cell r="FK37">
            <v>5399.0336725436582</v>
          </cell>
          <cell r="FL37">
            <v>5897.671270266067</v>
          </cell>
          <cell r="FM37">
            <v>1620.3214009520084</v>
          </cell>
          <cell r="FN37">
            <v>2047</v>
          </cell>
          <cell r="FO37">
            <v>158.90559760847171</v>
          </cell>
          <cell r="FP37">
            <v>215.16593248270988</v>
          </cell>
          <cell r="FQ37">
            <v>91.073673463704793</v>
          </cell>
          <cell r="FR37">
            <v>2014</v>
          </cell>
          <cell r="FS37">
            <v>1128.3017219033554</v>
          </cell>
          <cell r="FT37">
            <v>1555.7419682975035</v>
          </cell>
          <cell r="FU37">
            <v>842.91574718319873</v>
          </cell>
          <cell r="FV37">
            <v>2014</v>
          </cell>
          <cell r="FW37">
            <v>1280.522300271916</v>
          </cell>
          <cell r="FX37">
            <v>1688.0887908754801</v>
          </cell>
          <cell r="FY37">
            <v>825.19303366268014</v>
          </cell>
          <cell r="FZ37">
            <v>2019</v>
          </cell>
          <cell r="GA37">
            <v>1171.7359596175745</v>
          </cell>
          <cell r="GB37">
            <v>1748.6397155057768</v>
          </cell>
          <cell r="GC37">
            <v>1326.8805130444282</v>
          </cell>
          <cell r="GD37">
            <v>2019</v>
          </cell>
          <cell r="GE37">
            <v>5127.8248912996178</v>
          </cell>
          <cell r="GF37">
            <v>6337.3672871482868</v>
          </cell>
          <cell r="GG37">
            <v>2461.0503565605072</v>
          </cell>
          <cell r="GH37">
            <v>2015</v>
          </cell>
          <cell r="GI37">
            <v>430.60560308212837</v>
          </cell>
          <cell r="GJ37">
            <v>586.31543454509949</v>
          </cell>
          <cell r="GK37">
            <v>220.79533444584737</v>
          </cell>
          <cell r="GL37">
            <v>2016</v>
          </cell>
          <cell r="GM37">
            <v>0</v>
          </cell>
          <cell r="GN37">
            <v>0</v>
          </cell>
          <cell r="GO37">
            <v>0</v>
          </cell>
          <cell r="GP37">
            <v>0</v>
          </cell>
        </row>
        <row r="38">
          <cell r="B38" t="str">
            <v>80%</v>
          </cell>
          <cell r="C38">
            <v>1108.7868822064884</v>
          </cell>
          <cell r="D38">
            <v>1207.6747270194185</v>
          </cell>
          <cell r="E38">
            <v>281.26033120655404</v>
          </cell>
          <cell r="F38">
            <v>2022</v>
          </cell>
          <cell r="G38">
            <v>4620.722526296915</v>
          </cell>
          <cell r="H38">
            <v>6627.9649943670629</v>
          </cell>
          <cell r="I38">
            <v>14586.220526073912</v>
          </cell>
          <cell r="J38">
            <v>2110</v>
          </cell>
          <cell r="K38">
            <v>667.45571634505143</v>
          </cell>
          <cell r="L38">
            <v>1028.8131938423601</v>
          </cell>
          <cell r="M38">
            <v>667.68719042211171</v>
          </cell>
          <cell r="N38">
            <v>2013</v>
          </cell>
          <cell r="O38">
            <v>6514.7654516540915</v>
          </cell>
          <cell r="P38">
            <v>7260.7891503341443</v>
          </cell>
          <cell r="Q38">
            <v>2478.9630485590442</v>
          </cell>
          <cell r="R38">
            <v>2025</v>
          </cell>
          <cell r="S38">
            <v>1116.8940692323549</v>
          </cell>
          <cell r="T38">
            <v>1321.5511851368265</v>
          </cell>
          <cell r="U38">
            <v>438.14768661321858</v>
          </cell>
          <cell r="V38">
            <v>2016</v>
          </cell>
          <cell r="W38">
            <v>42662.989572883016</v>
          </cell>
          <cell r="X38">
            <v>42519.681991270169</v>
          </cell>
          <cell r="Y38">
            <v>3699.5598440740246</v>
          </cell>
          <cell r="Z38">
            <v>2015</v>
          </cell>
          <cell r="AA38">
            <v>8327.1925349211397</v>
          </cell>
          <cell r="AB38">
            <v>10728.133992313993</v>
          </cell>
          <cell r="AC38">
            <v>6819.5918140149624</v>
          </cell>
          <cell r="AD38">
            <v>2025</v>
          </cell>
          <cell r="AE38">
            <v>1244.3906013058495</v>
          </cell>
          <cell r="AF38">
            <v>1599.9684896608569</v>
          </cell>
          <cell r="AG38">
            <v>711.3308150190511</v>
          </cell>
          <cell r="AH38">
            <v>2015</v>
          </cell>
          <cell r="AI38">
            <v>1643.1394498500592</v>
          </cell>
          <cell r="AJ38">
            <v>2014.4300596004466</v>
          </cell>
          <cell r="AK38">
            <v>760.03071542795453</v>
          </cell>
          <cell r="AL38">
            <v>2020</v>
          </cell>
          <cell r="AM38">
            <v>164.40944990197826</v>
          </cell>
          <cell r="AN38">
            <v>209.36053945913909</v>
          </cell>
          <cell r="AO38">
            <v>92.920537681853929</v>
          </cell>
          <cell r="AP38">
            <v>2014</v>
          </cell>
          <cell r="AQ38">
            <v>3367.3586549339311</v>
          </cell>
          <cell r="AR38">
            <v>4183.8961146424817</v>
          </cell>
          <cell r="AS38">
            <v>1030.1028911166998</v>
          </cell>
          <cell r="AT38">
            <v>2013</v>
          </cell>
          <cell r="AU38">
            <v>1175.9367538000381</v>
          </cell>
          <cell r="AV38">
            <v>1318.8664216314544</v>
          </cell>
          <cell r="AW38">
            <v>399.68632491528814</v>
          </cell>
          <cell r="AX38">
            <v>2022</v>
          </cell>
          <cell r="AY38">
            <v>1338.7267157017143</v>
          </cell>
          <cell r="AZ38">
            <v>1843.2617277444683</v>
          </cell>
          <cell r="BA38">
            <v>1053.2559529660598</v>
          </cell>
          <cell r="BB38">
            <v>2020</v>
          </cell>
          <cell r="BC38">
            <v>1009.8719125453789</v>
          </cell>
          <cell r="BD38">
            <v>1383.8940674992202</v>
          </cell>
          <cell r="BE38">
            <v>895.57227556843463</v>
          </cell>
          <cell r="BF38">
            <v>2019</v>
          </cell>
          <cell r="BG38">
            <v>6235.9796789040693</v>
          </cell>
          <cell r="BH38">
            <v>8751.2838913000378</v>
          </cell>
          <cell r="BI38">
            <v>5066.5497198893654</v>
          </cell>
          <cell r="BJ38">
            <v>2016</v>
          </cell>
          <cell r="BK38">
            <v>604.81546989858339</v>
          </cell>
          <cell r="BL38">
            <v>650.72368719494455</v>
          </cell>
          <cell r="BM38">
            <v>118.39369085600346</v>
          </cell>
          <cell r="BN38">
            <v>2018</v>
          </cell>
          <cell r="BO38">
            <v>1840.1069785698228</v>
          </cell>
          <cell r="BP38">
            <v>2976.5152833314251</v>
          </cell>
          <cell r="BQ38">
            <v>1932.1123277259044</v>
          </cell>
          <cell r="BR38">
            <v>2010</v>
          </cell>
          <cell r="BS38">
            <v>166.17640810004255</v>
          </cell>
          <cell r="BT38">
            <v>222.67006943875791</v>
          </cell>
          <cell r="BU38">
            <v>92.675512531771247</v>
          </cell>
          <cell r="BV38">
            <v>2014</v>
          </cell>
          <cell r="BW38">
            <v>1503.0084926900067</v>
          </cell>
          <cell r="BX38">
            <v>1534.875349450919</v>
          </cell>
          <cell r="BY38">
            <v>103.20247762129628</v>
          </cell>
          <cell r="BZ38">
            <v>2023</v>
          </cell>
          <cell r="CA38">
            <v>11726.049343469385</v>
          </cell>
          <cell r="CB38">
            <v>15925.811452179811</v>
          </cell>
          <cell r="CC38">
            <v>3797.9601422183805</v>
          </cell>
          <cell r="CD38">
            <v>2025</v>
          </cell>
          <cell r="CE38">
            <v>6153.274139736287</v>
          </cell>
          <cell r="CF38">
            <v>6841.3578701550114</v>
          </cell>
          <cell r="CG38">
            <v>2227.0552930371355</v>
          </cell>
          <cell r="CH38">
            <v>2025</v>
          </cell>
          <cell r="CI38">
            <v>182558.95568193603</v>
          </cell>
          <cell r="CJ38">
            <v>182799.81318519026</v>
          </cell>
          <cell r="CK38">
            <v>4558.9680735372676</v>
          </cell>
          <cell r="CL38">
            <v>2020</v>
          </cell>
          <cell r="CM38">
            <v>6788.6739272493351</v>
          </cell>
          <cell r="CN38">
            <v>8926.1090449799449</v>
          </cell>
          <cell r="CO38">
            <v>5844.6307880372824</v>
          </cell>
          <cell r="CP38">
            <v>2025</v>
          </cell>
          <cell r="CQ38">
            <v>2306.3832058880075</v>
          </cell>
          <cell r="CR38">
            <v>3263.8298655046747</v>
          </cell>
          <cell r="CS38">
            <v>2242.9830182281139</v>
          </cell>
          <cell r="CT38">
            <v>2020</v>
          </cell>
          <cell r="CU38">
            <v>2950.4347055308167</v>
          </cell>
          <cell r="CV38">
            <v>3005.0240243941589</v>
          </cell>
          <cell r="CW38">
            <v>189.59097032260749</v>
          </cell>
          <cell r="CX38">
            <v>2024</v>
          </cell>
          <cell r="CY38">
            <v>10694.321074136138</v>
          </cell>
          <cell r="CZ38">
            <v>11333.075357288608</v>
          </cell>
          <cell r="DA38">
            <v>1381.5781520578578</v>
          </cell>
          <cell r="DB38">
            <v>2017</v>
          </cell>
          <cell r="DC38">
            <v>434.9460082030634</v>
          </cell>
          <cell r="DD38">
            <v>662.50608676366687</v>
          </cell>
          <cell r="DE38">
            <v>620.30081116462316</v>
          </cell>
          <cell r="DF38">
            <v>2022</v>
          </cell>
          <cell r="DG38">
            <v>1090.10891733271</v>
          </cell>
          <cell r="DH38">
            <v>1469.377308742125</v>
          </cell>
          <cell r="DI38">
            <v>761.31256442032907</v>
          </cell>
          <cell r="DJ38">
            <v>2015</v>
          </cell>
          <cell r="DK38">
            <v>273.4951713190647</v>
          </cell>
          <cell r="DL38">
            <v>344.68503543223352</v>
          </cell>
          <cell r="DM38">
            <v>203.53093451040911</v>
          </cell>
          <cell r="DN38">
            <v>2022</v>
          </cell>
          <cell r="DO38">
            <v>4572.8612405418125</v>
          </cell>
          <cell r="DP38">
            <v>4639.4486157820847</v>
          </cell>
          <cell r="DQ38">
            <v>194.94507991610027</v>
          </cell>
          <cell r="DR38">
            <v>2025</v>
          </cell>
          <cell r="DS38">
            <v>688.58291351229286</v>
          </cell>
          <cell r="DT38">
            <v>958.20301364785541</v>
          </cell>
          <cell r="DU38">
            <v>468.0168040333495</v>
          </cell>
          <cell r="DV38">
            <v>2017</v>
          </cell>
          <cell r="DW38">
            <v>987.0032566655982</v>
          </cell>
          <cell r="DX38">
            <v>1515.2768230202048</v>
          </cell>
          <cell r="DY38">
            <v>470.55437743288257</v>
          </cell>
          <cell r="DZ38">
            <v>2013</v>
          </cell>
          <cell r="EA38">
            <v>703.84604827725002</v>
          </cell>
          <cell r="EB38">
            <v>936.55998473480827</v>
          </cell>
          <cell r="EC38">
            <v>472.55085271504754</v>
          </cell>
          <cell r="ED38">
            <v>2016</v>
          </cell>
          <cell r="EE38">
            <v>610.75131362031107</v>
          </cell>
          <cell r="EF38">
            <v>937.53185735370027</v>
          </cell>
          <cell r="EG38">
            <v>613.71526702259632</v>
          </cell>
          <cell r="EH38">
            <v>2013</v>
          </cell>
          <cell r="EI38">
            <v>6116.9023970495973</v>
          </cell>
          <cell r="EJ38">
            <v>6757.7463791085984</v>
          </cell>
          <cell r="EK38">
            <v>2268.6600236778513</v>
          </cell>
          <cell r="EL38">
            <v>2025</v>
          </cell>
          <cell r="EM38">
            <v>353.04150999883279</v>
          </cell>
          <cell r="EN38">
            <v>448.40421709294259</v>
          </cell>
          <cell r="EO38">
            <v>88.886931147904789</v>
          </cell>
          <cell r="EP38">
            <v>2016</v>
          </cell>
          <cell r="EQ38">
            <v>228.48967186781678</v>
          </cell>
          <cell r="ER38">
            <v>291.27658272719981</v>
          </cell>
          <cell r="ES38">
            <v>210.75567696969608</v>
          </cell>
          <cell r="ET38">
            <v>2025</v>
          </cell>
          <cell r="EU38">
            <v>3940.8422067036877</v>
          </cell>
          <cell r="EV38">
            <v>4145.3763110222471</v>
          </cell>
          <cell r="EW38">
            <v>364.52810925813912</v>
          </cell>
          <cell r="EX38">
            <v>2021</v>
          </cell>
          <cell r="EY38">
            <v>4010.7981861480221</v>
          </cell>
          <cell r="EZ38">
            <v>4260.6609616267642</v>
          </cell>
          <cell r="FA38">
            <v>480.33137611227392</v>
          </cell>
          <cell r="FB38">
            <v>2021</v>
          </cell>
          <cell r="FC38">
            <v>7262.9413378248237</v>
          </cell>
          <cell r="FD38">
            <v>7482.1264853359671</v>
          </cell>
          <cell r="FE38">
            <v>550.18119930824946</v>
          </cell>
          <cell r="FF38">
            <v>2021</v>
          </cell>
          <cell r="FG38">
            <v>22532.890996222322</v>
          </cell>
          <cell r="FH38">
            <v>29397.349881296628</v>
          </cell>
          <cell r="FI38">
            <v>14044.089737752352</v>
          </cell>
          <cell r="FJ38">
            <v>2012</v>
          </cell>
          <cell r="FK38">
            <v>5694.7070898389566</v>
          </cell>
          <cell r="FL38">
            <v>6177.1091314757814</v>
          </cell>
          <cell r="FM38">
            <v>2078.341372392942</v>
          </cell>
          <cell r="FN38">
            <v>2049</v>
          </cell>
          <cell r="FO38">
            <v>161.46306730586562</v>
          </cell>
          <cell r="FP38">
            <v>218.21181642992889</v>
          </cell>
          <cell r="FQ38">
            <v>92.726835166841227</v>
          </cell>
          <cell r="FR38">
            <v>2014</v>
          </cell>
          <cell r="FS38">
            <v>1139.0660198727567</v>
          </cell>
          <cell r="FT38">
            <v>1568.4140016425999</v>
          </cell>
          <cell r="FU38">
            <v>851.10242041512527</v>
          </cell>
          <cell r="FV38">
            <v>2015</v>
          </cell>
          <cell r="FW38">
            <v>1293.1199466109183</v>
          </cell>
          <cell r="FX38">
            <v>1704.4255272252969</v>
          </cell>
          <cell r="FY38">
            <v>836.12101420871591</v>
          </cell>
          <cell r="FZ38">
            <v>2020</v>
          </cell>
          <cell r="GA38">
            <v>1197.1834100762626</v>
          </cell>
          <cell r="GB38">
            <v>1779.7488103630224</v>
          </cell>
          <cell r="GC38">
            <v>1348.5517174194367</v>
          </cell>
          <cell r="GD38">
            <v>2019</v>
          </cell>
          <cell r="GE38">
            <v>5245.7333846843221</v>
          </cell>
          <cell r="GF38">
            <v>6468.921438040572</v>
          </cell>
          <cell r="GG38">
            <v>2522.572168912865</v>
          </cell>
          <cell r="GH38">
            <v>2016</v>
          </cell>
          <cell r="GI38">
            <v>444.0315811358538</v>
          </cell>
          <cell r="GJ38">
            <v>596.99035199374441</v>
          </cell>
          <cell r="GK38">
            <v>224.46799700347</v>
          </cell>
          <cell r="GL38">
            <v>2016</v>
          </cell>
          <cell r="GM38">
            <v>0</v>
          </cell>
          <cell r="GN38">
            <v>0</v>
          </cell>
          <cell r="GO38">
            <v>0</v>
          </cell>
          <cell r="GP38">
            <v>0</v>
          </cell>
        </row>
        <row r="39">
          <cell r="B39" t="str">
            <v>85%</v>
          </cell>
          <cell r="C39">
            <v>1119.3679213663647</v>
          </cell>
          <cell r="D39">
            <v>1219.7148889422963</v>
          </cell>
          <cell r="E39">
            <v>284.48814971139029</v>
          </cell>
          <cell r="F39">
            <v>2023</v>
          </cell>
          <cell r="G39">
            <v>5847.1336823559714</v>
          </cell>
          <cell r="H39">
            <v>7398.0312863187073</v>
          </cell>
          <cell r="I39">
            <v>14967.430525172835</v>
          </cell>
          <cell r="J39">
            <v>2110</v>
          </cell>
          <cell r="K39">
            <v>679.32829422820964</v>
          </cell>
          <cell r="L39">
            <v>1046.0241577275569</v>
          </cell>
          <cell r="M39">
            <v>683.52445531770161</v>
          </cell>
          <cell r="N39">
            <v>2014</v>
          </cell>
          <cell r="O39">
            <v>6880.0347615230266</v>
          </cell>
          <cell r="P39">
            <v>7646.4274533519065</v>
          </cell>
          <cell r="Q39">
            <v>2681.0219416282134</v>
          </cell>
          <cell r="R39">
            <v>2026</v>
          </cell>
          <cell r="S39">
            <v>1138.1933438118174</v>
          </cell>
          <cell r="T39">
            <v>1347.3514396692105</v>
          </cell>
          <cell r="U39">
            <v>445.21793596480268</v>
          </cell>
          <cell r="V39">
            <v>2016</v>
          </cell>
          <cell r="W39">
            <v>43014.817728015296</v>
          </cell>
          <cell r="X39">
            <v>42940.45287212007</v>
          </cell>
          <cell r="Y39">
            <v>3759.8849659908651</v>
          </cell>
          <cell r="Z39">
            <v>2015</v>
          </cell>
          <cell r="AA39">
            <v>8609.2478808454598</v>
          </cell>
          <cell r="AB39">
            <v>11051.839174166613</v>
          </cell>
          <cell r="AC39">
            <v>7033.5352025649872</v>
          </cell>
          <cell r="AD39">
            <v>2026</v>
          </cell>
          <cell r="AE39">
            <v>1262.7175567806123</v>
          </cell>
          <cell r="AF39">
            <v>1616.8262283126553</v>
          </cell>
          <cell r="AG39">
            <v>720.69307758197385</v>
          </cell>
          <cell r="AH39">
            <v>2015</v>
          </cell>
          <cell r="AI39">
            <v>1691.0621003290585</v>
          </cell>
          <cell r="AJ39">
            <v>2065.1543831000745</v>
          </cell>
          <cell r="AK39">
            <v>771.04015219076075</v>
          </cell>
          <cell r="AL39">
            <v>2020</v>
          </cell>
          <cell r="AM39">
            <v>167.9886606211185</v>
          </cell>
          <cell r="AN39">
            <v>213.16004381676291</v>
          </cell>
          <cell r="AO39">
            <v>94.449903279035382</v>
          </cell>
          <cell r="AP39">
            <v>2014</v>
          </cell>
          <cell r="AQ39">
            <v>3484.0463699518159</v>
          </cell>
          <cell r="AR39">
            <v>4300.1607415514382</v>
          </cell>
          <cell r="AS39">
            <v>1043.7546326258409</v>
          </cell>
          <cell r="AT39">
            <v>2014</v>
          </cell>
          <cell r="AU39">
            <v>1189.591058730874</v>
          </cell>
          <cell r="AV39">
            <v>1336.520385772815</v>
          </cell>
          <cell r="AW39">
            <v>404.96435865499245</v>
          </cell>
          <cell r="AX39">
            <v>2023</v>
          </cell>
          <cell r="AY39">
            <v>1365.6764091475941</v>
          </cell>
          <cell r="AZ39">
            <v>1866.4863949133467</v>
          </cell>
          <cell r="BA39">
            <v>1068.8859794535913</v>
          </cell>
          <cell r="BB39">
            <v>2020</v>
          </cell>
          <cell r="BC39">
            <v>1030.5216564313328</v>
          </cell>
          <cell r="BD39">
            <v>1410.1218229992737</v>
          </cell>
          <cell r="BE39">
            <v>910.21370868781742</v>
          </cell>
          <cell r="BF39">
            <v>2020</v>
          </cell>
          <cell r="BG39">
            <v>6346.0300329378288</v>
          </cell>
          <cell r="BH39">
            <v>8866.5804030402342</v>
          </cell>
          <cell r="BI39">
            <v>5190.2435781945005</v>
          </cell>
          <cell r="BJ39">
            <v>2017</v>
          </cell>
          <cell r="BK39">
            <v>610.87576448653988</v>
          </cell>
          <cell r="BL39">
            <v>658.84082473867647</v>
          </cell>
          <cell r="BM39">
            <v>120.84955908164115</v>
          </cell>
          <cell r="BN39">
            <v>2019</v>
          </cell>
          <cell r="BO39">
            <v>1871.1878803143516</v>
          </cell>
          <cell r="BP39">
            <v>3026.7910445341145</v>
          </cell>
          <cell r="BQ39">
            <v>1964.7472747814563</v>
          </cell>
          <cell r="BR39">
            <v>2010</v>
          </cell>
          <cell r="BS39">
            <v>169.28150171716868</v>
          </cell>
          <cell r="BT39">
            <v>226.46246438857185</v>
          </cell>
          <cell r="BU39">
            <v>94.302886216762204</v>
          </cell>
          <cell r="BV39">
            <v>2014</v>
          </cell>
          <cell r="BW39">
            <v>1559.9603722033532</v>
          </cell>
          <cell r="BX39">
            <v>1593.4449190256619</v>
          </cell>
          <cell r="BY39">
            <v>105.60174386071645</v>
          </cell>
          <cell r="BZ39">
            <v>2024</v>
          </cell>
          <cell r="CA39">
            <v>12001.270992203463</v>
          </cell>
          <cell r="CB39">
            <v>16263.034812394877</v>
          </cell>
          <cell r="CC39">
            <v>3875.476450225166</v>
          </cell>
          <cell r="CD39">
            <v>2026</v>
          </cell>
          <cell r="CE39">
            <v>6494.7087528536476</v>
          </cell>
          <cell r="CF39">
            <v>7178.2176308103162</v>
          </cell>
          <cell r="CG39">
            <v>2422.9977928936291</v>
          </cell>
          <cell r="CH39">
            <v>2026</v>
          </cell>
          <cell r="CI39">
            <v>184088.30274134112</v>
          </cell>
          <cell r="CJ39">
            <v>184410.4931357743</v>
          </cell>
          <cell r="CK39">
            <v>4619.0100330157175</v>
          </cell>
          <cell r="CL39">
            <v>2020</v>
          </cell>
          <cell r="CM39">
            <v>6969.962654613817</v>
          </cell>
          <cell r="CN39">
            <v>9133.7671221346936</v>
          </cell>
          <cell r="CO39">
            <v>5968.702265332694</v>
          </cell>
          <cell r="CP39">
            <v>2026</v>
          </cell>
          <cell r="CQ39">
            <v>2371.5899589747883</v>
          </cell>
          <cell r="CR39">
            <v>3367.1519395685168</v>
          </cell>
          <cell r="CS39">
            <v>2327.968886439714</v>
          </cell>
          <cell r="CT39">
            <v>2020</v>
          </cell>
          <cell r="CU39">
            <v>3075.5276911870642</v>
          </cell>
          <cell r="CV39">
            <v>3143.3729470089852</v>
          </cell>
          <cell r="CW39">
            <v>199.10688992767373</v>
          </cell>
          <cell r="CX39">
            <v>2025</v>
          </cell>
          <cell r="CY39">
            <v>11164.144271987296</v>
          </cell>
          <cell r="CZ39">
            <v>11769.369691192767</v>
          </cell>
          <cell r="DA39">
            <v>1408.7636374427236</v>
          </cell>
          <cell r="DB39">
            <v>2018</v>
          </cell>
          <cell r="DC39">
            <v>440.05440748116246</v>
          </cell>
          <cell r="DD39">
            <v>675.19972488254064</v>
          </cell>
          <cell r="DE39">
            <v>635.88571665521818</v>
          </cell>
          <cell r="DF39">
            <v>2023</v>
          </cell>
          <cell r="DG39">
            <v>1102.9231181920607</v>
          </cell>
          <cell r="DH39">
            <v>1488.1420773468319</v>
          </cell>
          <cell r="DI39">
            <v>772.44941997613194</v>
          </cell>
          <cell r="DJ39">
            <v>2015</v>
          </cell>
          <cell r="DK39">
            <v>276.34979445816128</v>
          </cell>
          <cell r="DL39">
            <v>347.20583347454067</v>
          </cell>
          <cell r="DM39">
            <v>206.06902875108005</v>
          </cell>
          <cell r="DN39">
            <v>2023</v>
          </cell>
          <cell r="DO39">
            <v>4797.3541231821209</v>
          </cell>
          <cell r="DP39">
            <v>4870.5014328710404</v>
          </cell>
          <cell r="DQ39">
            <v>201.04665690299979</v>
          </cell>
          <cell r="DR39">
            <v>2026</v>
          </cell>
          <cell r="DS39">
            <v>699.28095603358497</v>
          </cell>
          <cell r="DT39">
            <v>970.36672059920261</v>
          </cell>
          <cell r="DU39">
            <v>478.00162337295103</v>
          </cell>
          <cell r="DV39">
            <v>2018</v>
          </cell>
          <cell r="DW39">
            <v>1010.1711152773012</v>
          </cell>
          <cell r="DX39">
            <v>1535.9255625225703</v>
          </cell>
          <cell r="DY39">
            <v>477.09532135520868</v>
          </cell>
          <cell r="DZ39">
            <v>2014</v>
          </cell>
          <cell r="EA39">
            <v>716.91188093766311</v>
          </cell>
          <cell r="EB39">
            <v>950.01043315454513</v>
          </cell>
          <cell r="EC39">
            <v>482.60654388379874</v>
          </cell>
          <cell r="ED39">
            <v>2017</v>
          </cell>
          <cell r="EE39">
            <v>624.45098400808115</v>
          </cell>
          <cell r="EF39">
            <v>957.20738154461128</v>
          </cell>
          <cell r="EG39">
            <v>624.81895279847743</v>
          </cell>
          <cell r="EH39">
            <v>2014</v>
          </cell>
          <cell r="EI39">
            <v>6366.0968083488788</v>
          </cell>
          <cell r="EJ39">
            <v>7044.1588794029967</v>
          </cell>
          <cell r="EK39">
            <v>2411.4502887510175</v>
          </cell>
          <cell r="EL39">
            <v>2026</v>
          </cell>
          <cell r="EM39">
            <v>367.62598686626404</v>
          </cell>
          <cell r="EN39">
            <v>462.61000915332335</v>
          </cell>
          <cell r="EO39">
            <v>91.099639287526244</v>
          </cell>
          <cell r="EP39">
            <v>2017</v>
          </cell>
          <cell r="EQ39">
            <v>234.20523857203221</v>
          </cell>
          <cell r="ER39">
            <v>298.48645050390178</v>
          </cell>
          <cell r="ES39">
            <v>222.22522468246851</v>
          </cell>
          <cell r="ET39">
            <v>2026</v>
          </cell>
          <cell r="EU39">
            <v>3969.9417299927486</v>
          </cell>
          <cell r="EV39">
            <v>4172.8494013841919</v>
          </cell>
          <cell r="EW39">
            <v>371.60580347357853</v>
          </cell>
          <cell r="EX39">
            <v>2022</v>
          </cell>
          <cell r="EY39">
            <v>4044.0975399482572</v>
          </cell>
          <cell r="EZ39">
            <v>4289.8237241317938</v>
          </cell>
          <cell r="FA39">
            <v>489.41378908562336</v>
          </cell>
          <cell r="FB39">
            <v>2022</v>
          </cell>
          <cell r="FC39">
            <v>7814.3062228541858</v>
          </cell>
          <cell r="FD39">
            <v>8016.4124144542666</v>
          </cell>
          <cell r="FE39">
            <v>567.32413583473601</v>
          </cell>
          <cell r="FF39">
            <v>2022</v>
          </cell>
          <cell r="FG39">
            <v>22847.469558971814</v>
          </cell>
          <cell r="FH39">
            <v>29663.689202604164</v>
          </cell>
          <cell r="FI39">
            <v>14101.754159631153</v>
          </cell>
          <cell r="FJ39">
            <v>2012</v>
          </cell>
          <cell r="FK39">
            <v>6178.5731759491946</v>
          </cell>
          <cell r="FL39">
            <v>6501.8639971563916</v>
          </cell>
          <cell r="FM39">
            <v>6648.6524204099887</v>
          </cell>
          <cell r="FN39">
            <v>2110</v>
          </cell>
          <cell r="FO39">
            <v>163.87868544464857</v>
          </cell>
          <cell r="FP39">
            <v>221.94346126071238</v>
          </cell>
          <cell r="FQ39">
            <v>94.673161201672599</v>
          </cell>
          <cell r="FR39">
            <v>2014</v>
          </cell>
          <cell r="FS39">
            <v>1151.3369819060574</v>
          </cell>
          <cell r="FT39">
            <v>1585.0662686331652</v>
          </cell>
          <cell r="FU39">
            <v>862.91339022171064</v>
          </cell>
          <cell r="FV39">
            <v>2015</v>
          </cell>
          <cell r="FW39">
            <v>1307.3263649271807</v>
          </cell>
          <cell r="FX39">
            <v>1721.1924923980741</v>
          </cell>
          <cell r="FY39">
            <v>847.28881153429086</v>
          </cell>
          <cell r="FZ39">
            <v>2020</v>
          </cell>
          <cell r="GA39">
            <v>1219.9601926755781</v>
          </cell>
          <cell r="GB39">
            <v>1818.3907478898896</v>
          </cell>
          <cell r="GC39">
            <v>1373.3712296208505</v>
          </cell>
          <cell r="GD39">
            <v>2020</v>
          </cell>
          <cell r="GE39">
            <v>5426.9875479038737</v>
          </cell>
          <cell r="GF39">
            <v>6672.4778766385316</v>
          </cell>
          <cell r="GG39">
            <v>2593.2573665331433</v>
          </cell>
          <cell r="GH39">
            <v>2017</v>
          </cell>
          <cell r="GI39">
            <v>457.07922218580137</v>
          </cell>
          <cell r="GJ39">
            <v>609.65554965595607</v>
          </cell>
          <cell r="GK39">
            <v>229.04713343170394</v>
          </cell>
          <cell r="GL39">
            <v>2017</v>
          </cell>
          <cell r="GM39">
            <v>0</v>
          </cell>
          <cell r="GN39">
            <v>0</v>
          </cell>
          <cell r="GO39">
            <v>0</v>
          </cell>
          <cell r="GP39">
            <v>0</v>
          </cell>
        </row>
        <row r="40">
          <cell r="B40" t="str">
            <v>90%</v>
          </cell>
          <cell r="C40">
            <v>1136.23730406901</v>
          </cell>
          <cell r="D40">
            <v>1240.2006193289017</v>
          </cell>
          <cell r="E40">
            <v>287.90732666719407</v>
          </cell>
          <cell r="F40">
            <v>2023</v>
          </cell>
          <cell r="G40">
            <v>7234.8692092787423</v>
          </cell>
          <cell r="H40">
            <v>8549.5375967584423</v>
          </cell>
          <cell r="I40">
            <v>15519.970731810492</v>
          </cell>
          <cell r="J40">
            <v>2110</v>
          </cell>
          <cell r="K40">
            <v>690.89608682977951</v>
          </cell>
          <cell r="L40">
            <v>1063.5620060855815</v>
          </cell>
          <cell r="M40">
            <v>698.57994092764272</v>
          </cell>
          <cell r="N40">
            <v>2014</v>
          </cell>
          <cell r="O40">
            <v>7271.1066666723254</v>
          </cell>
          <cell r="P40">
            <v>8078.1527238267072</v>
          </cell>
          <cell r="Q40">
            <v>2921.6527400487225</v>
          </cell>
          <cell r="R40">
            <v>2027</v>
          </cell>
          <cell r="S40">
            <v>1169.3898978947673</v>
          </cell>
          <cell r="T40">
            <v>1379.6804994349791</v>
          </cell>
          <cell r="U40">
            <v>457.53862178604413</v>
          </cell>
          <cell r="V40">
            <v>2017</v>
          </cell>
          <cell r="W40">
            <v>43453.133437530887</v>
          </cell>
          <cell r="X40">
            <v>43327.544398672464</v>
          </cell>
          <cell r="Y40">
            <v>3826.1908345009901</v>
          </cell>
          <cell r="Z40">
            <v>2015</v>
          </cell>
          <cell r="AA40">
            <v>8907.0124740704141</v>
          </cell>
          <cell r="AB40">
            <v>11472.261938485641</v>
          </cell>
          <cell r="AC40">
            <v>7259.7588973985494</v>
          </cell>
          <cell r="AD40">
            <v>2027</v>
          </cell>
          <cell r="AE40">
            <v>1278.2282220570253</v>
          </cell>
          <cell r="AF40">
            <v>1638.3012319187462</v>
          </cell>
          <cell r="AG40">
            <v>735.19109971288265</v>
          </cell>
          <cell r="AH40">
            <v>2015</v>
          </cell>
          <cell r="AI40">
            <v>1755.648306739261</v>
          </cell>
          <cell r="AJ40">
            <v>2121.5929956297714</v>
          </cell>
          <cell r="AK40">
            <v>788.73509328007685</v>
          </cell>
          <cell r="AL40">
            <v>2021</v>
          </cell>
          <cell r="AM40">
            <v>172.50984551010123</v>
          </cell>
          <cell r="AN40">
            <v>218.63817743633916</v>
          </cell>
          <cell r="AO40">
            <v>96.827981257988895</v>
          </cell>
          <cell r="AP40">
            <v>2014</v>
          </cell>
          <cell r="AQ40">
            <v>3620.9366415424788</v>
          </cell>
          <cell r="AR40">
            <v>4440.2543285472593</v>
          </cell>
          <cell r="AS40">
            <v>1062.3150397683594</v>
          </cell>
          <cell r="AT40">
            <v>2014</v>
          </cell>
          <cell r="AU40">
            <v>1209.1383886294818</v>
          </cell>
          <cell r="AV40">
            <v>1353.2876190253955</v>
          </cell>
          <cell r="AW40">
            <v>410.29895791215984</v>
          </cell>
          <cell r="AX40">
            <v>2023</v>
          </cell>
          <cell r="AY40">
            <v>1388.6765016568618</v>
          </cell>
          <cell r="AZ40">
            <v>1896.5587686239187</v>
          </cell>
          <cell r="BA40">
            <v>1087.2079011592439</v>
          </cell>
          <cell r="BB40">
            <v>2021</v>
          </cell>
          <cell r="BC40">
            <v>1059.4111472362999</v>
          </cell>
          <cell r="BD40">
            <v>1450.2183952890464</v>
          </cell>
          <cell r="BE40">
            <v>931.19896818625784</v>
          </cell>
          <cell r="BF40">
            <v>2020</v>
          </cell>
          <cell r="BG40">
            <v>6477.8776932647379</v>
          </cell>
          <cell r="BH40">
            <v>9030.9367814840789</v>
          </cell>
          <cell r="BI40">
            <v>5299.1647056585671</v>
          </cell>
          <cell r="BJ40">
            <v>2018</v>
          </cell>
          <cell r="BK40">
            <v>622.04729657627331</v>
          </cell>
          <cell r="BL40">
            <v>668.6427133330568</v>
          </cell>
          <cell r="BM40">
            <v>123.92663702668304</v>
          </cell>
          <cell r="BN40">
            <v>2019</v>
          </cell>
          <cell r="BO40">
            <v>1905.3170765639254</v>
          </cell>
          <cell r="BP40">
            <v>3081.9976579909239</v>
          </cell>
          <cell r="BQ40">
            <v>2000.5829313702934</v>
          </cell>
          <cell r="BR40">
            <v>2010</v>
          </cell>
          <cell r="BS40">
            <v>172.1821355244837</v>
          </cell>
          <cell r="BT40">
            <v>230.44652091043346</v>
          </cell>
          <cell r="BU40">
            <v>96.818410863999546</v>
          </cell>
          <cell r="BV40">
            <v>2014</v>
          </cell>
          <cell r="BW40">
            <v>1644.7137148523304</v>
          </cell>
          <cell r="BX40">
            <v>1680.0964727017035</v>
          </cell>
          <cell r="BY40">
            <v>108.34093115438246</v>
          </cell>
          <cell r="BZ40">
            <v>2024</v>
          </cell>
          <cell r="CA40">
            <v>12390.017795513388</v>
          </cell>
          <cell r="CB40">
            <v>16604.678255294493</v>
          </cell>
          <cell r="CC40">
            <v>3988.6723939082985</v>
          </cell>
          <cell r="CD40">
            <v>2027</v>
          </cell>
          <cell r="CE40">
            <v>6871.1657587390728</v>
          </cell>
          <cell r="CF40">
            <v>7554.6567277598333</v>
          </cell>
          <cell r="CG40">
            <v>2664.4141024285559</v>
          </cell>
          <cell r="CH40">
            <v>2027</v>
          </cell>
          <cell r="CI40">
            <v>185786.82383527906</v>
          </cell>
          <cell r="CJ40">
            <v>186062.1092054577</v>
          </cell>
          <cell r="CK40">
            <v>4692.4379528726959</v>
          </cell>
          <cell r="CL40">
            <v>2020</v>
          </cell>
          <cell r="CM40">
            <v>7233.7287852634809</v>
          </cell>
          <cell r="CN40">
            <v>9353.9288517950135</v>
          </cell>
          <cell r="CO40">
            <v>6184.3609014654076</v>
          </cell>
          <cell r="CP40">
            <v>2027</v>
          </cell>
          <cell r="CQ40">
            <v>2462.4916449460138</v>
          </cell>
          <cell r="CR40">
            <v>3490.7191495091338</v>
          </cell>
          <cell r="CS40">
            <v>2432.6179886955624</v>
          </cell>
          <cell r="CT40">
            <v>2021</v>
          </cell>
          <cell r="CU40">
            <v>3222.0355150873006</v>
          </cell>
          <cell r="CV40">
            <v>3280.3263314001561</v>
          </cell>
          <cell r="CW40">
            <v>212.39095416817511</v>
          </cell>
          <cell r="CX40">
            <v>2026</v>
          </cell>
          <cell r="CY40">
            <v>11575.069954030321</v>
          </cell>
          <cell r="CZ40">
            <v>12193.890222970469</v>
          </cell>
          <cell r="DA40">
            <v>1440.9765129794539</v>
          </cell>
          <cell r="DB40">
            <v>2018</v>
          </cell>
          <cell r="DC40">
            <v>448.85584685888608</v>
          </cell>
          <cell r="DD40">
            <v>688.1552808315455</v>
          </cell>
          <cell r="DE40">
            <v>656.45939750106527</v>
          </cell>
          <cell r="DF40">
            <v>2023</v>
          </cell>
          <cell r="DG40">
            <v>1119.4633508250906</v>
          </cell>
          <cell r="DH40">
            <v>1511.1727712841302</v>
          </cell>
          <cell r="DI40">
            <v>785.12751616269156</v>
          </cell>
          <cell r="DJ40">
            <v>2015</v>
          </cell>
          <cell r="DK40">
            <v>280.14889649658789</v>
          </cell>
          <cell r="DL40">
            <v>350.64275353608781</v>
          </cell>
          <cell r="DM40">
            <v>208.85645812541412</v>
          </cell>
          <cell r="DN40">
            <v>2023</v>
          </cell>
          <cell r="DO40">
            <v>5103.9810306865529</v>
          </cell>
          <cell r="DP40">
            <v>5159.4994254308158</v>
          </cell>
          <cell r="DQ40">
            <v>208.87797736184874</v>
          </cell>
          <cell r="DR40">
            <v>2027</v>
          </cell>
          <cell r="DS40">
            <v>716.13158769805784</v>
          </cell>
          <cell r="DT40">
            <v>989.00527692564935</v>
          </cell>
          <cell r="DU40">
            <v>489.0703791985556</v>
          </cell>
          <cell r="DV40">
            <v>2018</v>
          </cell>
          <cell r="DW40">
            <v>1030.859616710422</v>
          </cell>
          <cell r="DX40">
            <v>1563.6186591171311</v>
          </cell>
          <cell r="DY40">
            <v>489.2164749174878</v>
          </cell>
          <cell r="DZ40">
            <v>2014</v>
          </cell>
          <cell r="EA40">
            <v>734.15343825007483</v>
          </cell>
          <cell r="EB40">
            <v>968.28598021135872</v>
          </cell>
          <cell r="EC40">
            <v>497.2218655880381</v>
          </cell>
          <cell r="ED40">
            <v>2018</v>
          </cell>
          <cell r="EE40">
            <v>635.40503918323179</v>
          </cell>
          <cell r="EF40">
            <v>974.39289500921723</v>
          </cell>
          <cell r="EG40">
            <v>639.03230798923892</v>
          </cell>
          <cell r="EH40">
            <v>2014</v>
          </cell>
          <cell r="EI40">
            <v>6673.8344128713807</v>
          </cell>
          <cell r="EJ40">
            <v>7466.919986098269</v>
          </cell>
          <cell r="EK40">
            <v>2660.8472496283966</v>
          </cell>
          <cell r="EL40">
            <v>2027</v>
          </cell>
          <cell r="EM40">
            <v>382.13548948923471</v>
          </cell>
          <cell r="EN40">
            <v>476.62299396103941</v>
          </cell>
          <cell r="EO40">
            <v>93.704057375296586</v>
          </cell>
          <cell r="EP40">
            <v>2017</v>
          </cell>
          <cell r="EQ40">
            <v>242.00151048264976</v>
          </cell>
          <cell r="ER40">
            <v>307.25498278792003</v>
          </cell>
          <cell r="ES40">
            <v>233.43172440329661</v>
          </cell>
          <cell r="ET40">
            <v>2027</v>
          </cell>
          <cell r="EU40">
            <v>4008.2207116866712</v>
          </cell>
          <cell r="EV40">
            <v>4215.3295122757681</v>
          </cell>
          <cell r="EW40">
            <v>381.6932419729107</v>
          </cell>
          <cell r="EX40">
            <v>2022</v>
          </cell>
          <cell r="EY40">
            <v>4072.1014621036802</v>
          </cell>
          <cell r="EZ40">
            <v>4319.441611973707</v>
          </cell>
          <cell r="FA40">
            <v>501.4740939492965</v>
          </cell>
          <cell r="FB40">
            <v>2022</v>
          </cell>
          <cell r="FC40">
            <v>8549.3296138044061</v>
          </cell>
          <cell r="FD40">
            <v>8759.9043333952668</v>
          </cell>
          <cell r="FE40">
            <v>585.56150003481855</v>
          </cell>
          <cell r="FF40">
            <v>2023</v>
          </cell>
          <cell r="FG40">
            <v>23253.35937872867</v>
          </cell>
          <cell r="FH40">
            <v>30033.44936242469</v>
          </cell>
          <cell r="FI40">
            <v>14189.994313967249</v>
          </cell>
          <cell r="FJ40">
            <v>2012</v>
          </cell>
          <cell r="FK40">
            <v>6551.3731813486193</v>
          </cell>
          <cell r="FL40">
            <v>6909.7396007128727</v>
          </cell>
          <cell r="FM40">
            <v>7290.0646758300782</v>
          </cell>
          <cell r="FN40">
            <v>2110</v>
          </cell>
          <cell r="FO40">
            <v>167.09336299027214</v>
          </cell>
          <cell r="FP40">
            <v>225.87553477757868</v>
          </cell>
          <cell r="FQ40">
            <v>97.110742710900979</v>
          </cell>
          <cell r="FR40">
            <v>2014</v>
          </cell>
          <cell r="FS40">
            <v>1167.395155835517</v>
          </cell>
          <cell r="FT40">
            <v>1609.3451297157412</v>
          </cell>
          <cell r="FU40">
            <v>880.24358934377915</v>
          </cell>
          <cell r="FV40">
            <v>2015</v>
          </cell>
          <cell r="FW40">
            <v>1325.6413132270532</v>
          </cell>
          <cell r="FX40">
            <v>1743.949628974613</v>
          </cell>
          <cell r="FY40">
            <v>861.82308360056891</v>
          </cell>
          <cell r="FZ40">
            <v>2021</v>
          </cell>
          <cell r="GA40">
            <v>1252.2777176639481</v>
          </cell>
          <cell r="GB40">
            <v>1865.1157237275743</v>
          </cell>
          <cell r="GC40">
            <v>1394.4175712819156</v>
          </cell>
          <cell r="GD40">
            <v>2020</v>
          </cell>
          <cell r="GE40">
            <v>5656.4528038307335</v>
          </cell>
          <cell r="GF40">
            <v>6895.5322635886268</v>
          </cell>
          <cell r="GG40">
            <v>2689.8908162992743</v>
          </cell>
          <cell r="GH40">
            <v>2018</v>
          </cell>
          <cell r="GI40">
            <v>470.89030575625651</v>
          </cell>
          <cell r="GJ40">
            <v>625.15682697047316</v>
          </cell>
          <cell r="GK40">
            <v>235.19036730934565</v>
          </cell>
          <cell r="GL40">
            <v>2017</v>
          </cell>
          <cell r="GM40">
            <v>0</v>
          </cell>
          <cell r="GN40">
            <v>0</v>
          </cell>
          <cell r="GO40">
            <v>0</v>
          </cell>
          <cell r="GP40">
            <v>0</v>
          </cell>
        </row>
        <row r="41">
          <cell r="B41" t="str">
            <v>95%</v>
          </cell>
          <cell r="C41">
            <v>1157.3442389459392</v>
          </cell>
          <cell r="D41">
            <v>1260.694883654219</v>
          </cell>
          <cell r="E41">
            <v>292.0769189339677</v>
          </cell>
          <cell r="F41">
            <v>2024</v>
          </cell>
          <cell r="G41">
            <v>9310.8298950940425</v>
          </cell>
          <cell r="H41">
            <v>9885.4488540831735</v>
          </cell>
          <cell r="I41">
            <v>16128.122110774479</v>
          </cell>
          <cell r="J41">
            <v>2110</v>
          </cell>
          <cell r="K41">
            <v>706.64715814593978</v>
          </cell>
          <cell r="L41">
            <v>1094.6216910092369</v>
          </cell>
          <cell r="M41">
            <v>720.38662803817829</v>
          </cell>
          <cell r="N41">
            <v>2014</v>
          </cell>
          <cell r="O41">
            <v>7836.8914020929624</v>
          </cell>
          <cell r="P41">
            <v>8811.2296333852264</v>
          </cell>
          <cell r="Q41">
            <v>3290.7301481841182</v>
          </cell>
          <cell r="R41">
            <v>2028</v>
          </cell>
          <cell r="S41">
            <v>1199.6096471601745</v>
          </cell>
          <cell r="T41">
            <v>1419.9660333327379</v>
          </cell>
          <cell r="U41">
            <v>475.03370082759125</v>
          </cell>
          <cell r="V41">
            <v>2017</v>
          </cell>
          <cell r="W41">
            <v>44017.993658890198</v>
          </cell>
          <cell r="X41">
            <v>43909.675562602199</v>
          </cell>
          <cell r="Y41">
            <v>3922.420154340401</v>
          </cell>
          <cell r="Z41">
            <v>2015</v>
          </cell>
          <cell r="AA41">
            <v>9422.2760109327992</v>
          </cell>
          <cell r="AB41">
            <v>11933.810327147592</v>
          </cell>
          <cell r="AC41">
            <v>7483.4037027778841</v>
          </cell>
          <cell r="AD41">
            <v>2028</v>
          </cell>
          <cell r="AE41">
            <v>1308.9267824158549</v>
          </cell>
          <cell r="AF41">
            <v>1675.402993486475</v>
          </cell>
          <cell r="AG41">
            <v>753.66968617869577</v>
          </cell>
          <cell r="AH41">
            <v>2016</v>
          </cell>
          <cell r="AI41">
            <v>1838.2043427905887</v>
          </cell>
          <cell r="AJ41">
            <v>2230.9051997050619</v>
          </cell>
          <cell r="AK41">
            <v>806.83474472944977</v>
          </cell>
          <cell r="AL41">
            <v>2021</v>
          </cell>
          <cell r="AM41">
            <v>179.71011047570511</v>
          </cell>
          <cell r="AN41">
            <v>226.14959509659241</v>
          </cell>
          <cell r="AO41">
            <v>100.52221804030795</v>
          </cell>
          <cell r="AP41">
            <v>2014</v>
          </cell>
          <cell r="AQ41">
            <v>3800.7581578077111</v>
          </cell>
          <cell r="AR41">
            <v>4601.5124461408723</v>
          </cell>
          <cell r="AS41">
            <v>1094.9694194001127</v>
          </cell>
          <cell r="AT41">
            <v>2014</v>
          </cell>
          <cell r="AU41">
            <v>1232.2403616489007</v>
          </cell>
          <cell r="AV41">
            <v>1377.7024598834219</v>
          </cell>
          <cell r="AW41">
            <v>416.5104003830877</v>
          </cell>
          <cell r="AX41">
            <v>2024</v>
          </cell>
          <cell r="AY41">
            <v>1434.5437984157968</v>
          </cell>
          <cell r="AZ41">
            <v>1946.9209060147041</v>
          </cell>
          <cell r="BA41">
            <v>1120.6837220592474</v>
          </cell>
          <cell r="BB41">
            <v>2021</v>
          </cell>
          <cell r="BC41">
            <v>1099.4832678445644</v>
          </cell>
          <cell r="BD41">
            <v>1505.5508364452198</v>
          </cell>
          <cell r="BE41">
            <v>961.41760827299356</v>
          </cell>
          <cell r="BF41">
            <v>2021</v>
          </cell>
          <cell r="BG41">
            <v>6686.6122844704414</v>
          </cell>
          <cell r="BH41">
            <v>9269.256738965516</v>
          </cell>
          <cell r="BI41">
            <v>5479.7116622819867</v>
          </cell>
          <cell r="BJ41">
            <v>2019</v>
          </cell>
          <cell r="BK41">
            <v>634.33810023294882</v>
          </cell>
          <cell r="BL41">
            <v>681.25026140823854</v>
          </cell>
          <cell r="BM41">
            <v>127.8559765729601</v>
          </cell>
          <cell r="BN41">
            <v>2019</v>
          </cell>
          <cell r="BO41">
            <v>1949.1635681902055</v>
          </cell>
          <cell r="BP41">
            <v>3152.9227477091035</v>
          </cell>
          <cell r="BQ41">
            <v>2046.6217480512994</v>
          </cell>
          <cell r="BR41">
            <v>2010</v>
          </cell>
          <cell r="BS41">
            <v>176.59650658054548</v>
          </cell>
          <cell r="BT41">
            <v>235.39401401933515</v>
          </cell>
          <cell r="BU41">
            <v>99.747653648979693</v>
          </cell>
          <cell r="BV41">
            <v>2014</v>
          </cell>
          <cell r="BW41">
            <v>1760.7888628573171</v>
          </cell>
          <cell r="BX41">
            <v>1797.9439072518664</v>
          </cell>
          <cell r="BY41">
            <v>113.11240913552408</v>
          </cell>
          <cell r="BZ41">
            <v>2025</v>
          </cell>
          <cell r="CA41">
            <v>12876.992899359351</v>
          </cell>
          <cell r="CB41">
            <v>17162.333008297785</v>
          </cell>
          <cell r="CC41">
            <v>4105.2518597038334</v>
          </cell>
          <cell r="CD41">
            <v>2028</v>
          </cell>
          <cell r="CE41">
            <v>7360.6973201365008</v>
          </cell>
          <cell r="CF41">
            <v>8148.375817909121</v>
          </cell>
          <cell r="CG41">
            <v>3015.6886986741515</v>
          </cell>
          <cell r="CH41">
            <v>2028</v>
          </cell>
          <cell r="CI41">
            <v>187825.19245113293</v>
          </cell>
          <cell r="CJ41">
            <v>188055.98506168491</v>
          </cell>
          <cell r="CK41">
            <v>4815.5537236413347</v>
          </cell>
          <cell r="CL41">
            <v>2020</v>
          </cell>
          <cell r="CM41">
            <v>7518.0665226739693</v>
          </cell>
          <cell r="CN41">
            <v>9740.1181151941128</v>
          </cell>
          <cell r="CO41">
            <v>6398.919831190663</v>
          </cell>
          <cell r="CP41">
            <v>2028</v>
          </cell>
          <cell r="CQ41">
            <v>2603.6969018749683</v>
          </cell>
          <cell r="CR41">
            <v>3716.1517635771343</v>
          </cell>
          <cell r="CS41">
            <v>2565.2269539120557</v>
          </cell>
          <cell r="CT41">
            <v>2021</v>
          </cell>
          <cell r="CU41">
            <v>3401.8891616428937</v>
          </cell>
          <cell r="CV41">
            <v>3465.1848973331994</v>
          </cell>
          <cell r="CW41">
            <v>235.2159663447093</v>
          </cell>
          <cell r="CX41">
            <v>2026</v>
          </cell>
          <cell r="CY41">
            <v>12201.76688665423</v>
          </cell>
          <cell r="CZ41">
            <v>12818.670058063304</v>
          </cell>
          <cell r="DA41">
            <v>1489.3935926765907</v>
          </cell>
          <cell r="DB41">
            <v>2018</v>
          </cell>
          <cell r="DC41">
            <v>459.46313614729519</v>
          </cell>
          <cell r="DD41">
            <v>708.79983271743049</v>
          </cell>
          <cell r="DE41">
            <v>686.52371260914401</v>
          </cell>
          <cell r="DF41">
            <v>2024</v>
          </cell>
          <cell r="DG41">
            <v>1146.7037558887139</v>
          </cell>
          <cell r="DH41">
            <v>1543.4792267353007</v>
          </cell>
          <cell r="DI41">
            <v>803.92047365412679</v>
          </cell>
          <cell r="DJ41">
            <v>2016</v>
          </cell>
          <cell r="DK41">
            <v>286.91751239112267</v>
          </cell>
          <cell r="DL41">
            <v>356.09613100896098</v>
          </cell>
          <cell r="DM41">
            <v>211.49839006573305</v>
          </cell>
          <cell r="DN41">
            <v>2024</v>
          </cell>
          <cell r="DO41">
            <v>5408.9760977496744</v>
          </cell>
          <cell r="DP41">
            <v>5478.71072564922</v>
          </cell>
          <cell r="DQ41">
            <v>219.22433888637491</v>
          </cell>
          <cell r="DR41">
            <v>2028</v>
          </cell>
          <cell r="DS41">
            <v>734.36841351776025</v>
          </cell>
          <cell r="DT41">
            <v>1011.4605595297252</v>
          </cell>
          <cell r="DU41">
            <v>509.0932943852784</v>
          </cell>
          <cell r="DV41">
            <v>2018</v>
          </cell>
          <cell r="DW41">
            <v>1065.3618180900046</v>
          </cell>
          <cell r="DX41">
            <v>1597.2100723339347</v>
          </cell>
          <cell r="DY41">
            <v>501.22431130172123</v>
          </cell>
          <cell r="DZ41">
            <v>2014</v>
          </cell>
          <cell r="EA41">
            <v>759.22978859476177</v>
          </cell>
          <cell r="EB41">
            <v>997.47724482562478</v>
          </cell>
          <cell r="EC41">
            <v>511.15622728732967</v>
          </cell>
          <cell r="ED41">
            <v>2019</v>
          </cell>
          <cell r="EE41">
            <v>651.54720005618447</v>
          </cell>
          <cell r="EF41">
            <v>1003.6706271095426</v>
          </cell>
          <cell r="EG41">
            <v>660.44052085291207</v>
          </cell>
          <cell r="EH41">
            <v>2014</v>
          </cell>
          <cell r="EI41">
            <v>7199.8514753997633</v>
          </cell>
          <cell r="EJ41">
            <v>8064.2253382760855</v>
          </cell>
          <cell r="EK41">
            <v>3022.5929336467852</v>
          </cell>
          <cell r="EL41">
            <v>2028</v>
          </cell>
          <cell r="EM41">
            <v>398.60039215357193</v>
          </cell>
          <cell r="EN41">
            <v>494.13508085311992</v>
          </cell>
          <cell r="EO41">
            <v>98.105505818568645</v>
          </cell>
          <cell r="EP41">
            <v>2017</v>
          </cell>
          <cell r="EQ41">
            <v>254.09108790371005</v>
          </cell>
          <cell r="ER41">
            <v>319.23215660206381</v>
          </cell>
          <cell r="ES41">
            <v>247.81485194032697</v>
          </cell>
          <cell r="ET41">
            <v>2028</v>
          </cell>
          <cell r="EU41">
            <v>4052.9220521885686</v>
          </cell>
          <cell r="EV41">
            <v>4258.831658466821</v>
          </cell>
          <cell r="EW41">
            <v>395.5486688920854</v>
          </cell>
          <cell r="EX41">
            <v>2022</v>
          </cell>
          <cell r="EY41">
            <v>4115.9565219310989</v>
          </cell>
          <cell r="EZ41">
            <v>4368.6306460161513</v>
          </cell>
          <cell r="FA41">
            <v>523.78175584519363</v>
          </cell>
          <cell r="FB41">
            <v>2022</v>
          </cell>
          <cell r="FC41">
            <v>9557.3708028963574</v>
          </cell>
          <cell r="FD41">
            <v>9789.5148308407497</v>
          </cell>
          <cell r="FE41">
            <v>611.42908500867293</v>
          </cell>
          <cell r="FF41">
            <v>2024</v>
          </cell>
          <cell r="FG41">
            <v>23704.088104865608</v>
          </cell>
          <cell r="FH41">
            <v>30604.951506396814</v>
          </cell>
          <cell r="FI41">
            <v>14324.652080383463</v>
          </cell>
          <cell r="FJ41">
            <v>2012</v>
          </cell>
          <cell r="FK41">
            <v>7069.2770501807481</v>
          </cell>
          <cell r="FL41">
            <v>7394.8023664370021</v>
          </cell>
          <cell r="FM41">
            <v>8142.7582853527674</v>
          </cell>
          <cell r="FN41">
            <v>2110</v>
          </cell>
          <cell r="FO41">
            <v>170.79388255380354</v>
          </cell>
          <cell r="FP41">
            <v>231.81802023037693</v>
          </cell>
          <cell r="FQ41">
            <v>100.05537014505509</v>
          </cell>
          <cell r="FR41">
            <v>2014</v>
          </cell>
          <cell r="FS41">
            <v>1195.8621055217409</v>
          </cell>
          <cell r="FT41">
            <v>1645.4464585300987</v>
          </cell>
          <cell r="FU41">
            <v>900.18257509280738</v>
          </cell>
          <cell r="FV41">
            <v>2016</v>
          </cell>
          <cell r="FW41">
            <v>1351.0157166987965</v>
          </cell>
          <cell r="FX41">
            <v>1772.2845561504746</v>
          </cell>
          <cell r="FY41">
            <v>880.77325273360327</v>
          </cell>
          <cell r="FZ41">
            <v>2021</v>
          </cell>
          <cell r="GA41">
            <v>1281.7340208886271</v>
          </cell>
          <cell r="GB41">
            <v>1906.8054318377895</v>
          </cell>
          <cell r="GC41">
            <v>1436.5128591621724</v>
          </cell>
          <cell r="GD41">
            <v>2021</v>
          </cell>
          <cell r="GE41">
            <v>5905.2847712906023</v>
          </cell>
          <cell r="GF41">
            <v>7174.1181459431582</v>
          </cell>
          <cell r="GG41">
            <v>2833.0176894489464</v>
          </cell>
          <cell r="GH41">
            <v>2019</v>
          </cell>
          <cell r="GI41">
            <v>490.83974209187608</v>
          </cell>
          <cell r="GJ41">
            <v>646.9530376409565</v>
          </cell>
          <cell r="GK41">
            <v>245.08010286067037</v>
          </cell>
          <cell r="GL41">
            <v>2017</v>
          </cell>
          <cell r="GM41">
            <v>0</v>
          </cell>
          <cell r="GN41">
            <v>0</v>
          </cell>
          <cell r="GO41">
            <v>0</v>
          </cell>
          <cell r="GP41">
            <v>0</v>
          </cell>
        </row>
        <row r="42">
          <cell r="B42" t="str">
            <v>100%</v>
          </cell>
          <cell r="C42">
            <v>1239.0486137977873</v>
          </cell>
          <cell r="D42">
            <v>1349.369698957408</v>
          </cell>
          <cell r="E42">
            <v>306.2703861491218</v>
          </cell>
          <cell r="F42">
            <v>2024</v>
          </cell>
          <cell r="G42">
            <v>13187.388109139885</v>
          </cell>
          <cell r="H42">
            <v>13935.040942697566</v>
          </cell>
          <cell r="I42">
            <v>17291.751954263447</v>
          </cell>
          <cell r="J42">
            <v>2110</v>
          </cell>
          <cell r="K42">
            <v>772.4739987626981</v>
          </cell>
          <cell r="L42">
            <v>1191.4781981959645</v>
          </cell>
          <cell r="M42">
            <v>785.39806373174565</v>
          </cell>
          <cell r="N42">
            <v>2014</v>
          </cell>
          <cell r="O42">
            <v>10211.094520240456</v>
          </cell>
          <cell r="P42">
            <v>11501.52283913487</v>
          </cell>
          <cell r="Q42">
            <v>4495.4876294189089</v>
          </cell>
          <cell r="R42">
            <v>2029</v>
          </cell>
          <cell r="S42">
            <v>1308.3072348951125</v>
          </cell>
          <cell r="T42">
            <v>1573.4423447186982</v>
          </cell>
          <cell r="U42">
            <v>521.10576167363331</v>
          </cell>
          <cell r="V42">
            <v>2017</v>
          </cell>
          <cell r="W42">
            <v>45446.391380517984</v>
          </cell>
          <cell r="X42">
            <v>45481.284343812142</v>
          </cell>
          <cell r="Y42">
            <v>4148.8728176934837</v>
          </cell>
          <cell r="Z42">
            <v>2015</v>
          </cell>
          <cell r="AA42">
            <v>10425.911614092647</v>
          </cell>
          <cell r="AB42">
            <v>13541.966312624427</v>
          </cell>
          <cell r="AC42">
            <v>8147.3196399472172</v>
          </cell>
          <cell r="AD42">
            <v>2029</v>
          </cell>
          <cell r="AE42">
            <v>1418.028935146383</v>
          </cell>
          <cell r="AF42">
            <v>1825.7095479543889</v>
          </cell>
          <cell r="AG42">
            <v>810.92469666035197</v>
          </cell>
          <cell r="AH42">
            <v>2016</v>
          </cell>
          <cell r="AI42">
            <v>2095.8804810414213</v>
          </cell>
          <cell r="AJ42">
            <v>2530.5682541842516</v>
          </cell>
          <cell r="AK42">
            <v>866.31738799173002</v>
          </cell>
          <cell r="AL42">
            <v>2021</v>
          </cell>
          <cell r="AM42">
            <v>195.91916262809534</v>
          </cell>
          <cell r="AN42">
            <v>245.61124831588248</v>
          </cell>
          <cell r="AO42">
            <v>107.58813369950504</v>
          </cell>
          <cell r="AP42">
            <v>2014</v>
          </cell>
          <cell r="AQ42">
            <v>4235.1476225169163</v>
          </cell>
          <cell r="AR42">
            <v>5093.3822922020918</v>
          </cell>
          <cell r="AS42">
            <v>1181.7762773173718</v>
          </cell>
          <cell r="AT42">
            <v>2014</v>
          </cell>
          <cell r="AU42">
            <v>1311.6024023522041</v>
          </cell>
          <cell r="AV42">
            <v>1469.6688524867957</v>
          </cell>
          <cell r="AW42">
            <v>435.68258051840985</v>
          </cell>
          <cell r="AX42">
            <v>2024</v>
          </cell>
          <cell r="AY42">
            <v>1555.9209055969163</v>
          </cell>
          <cell r="AZ42">
            <v>2124.3740420360764</v>
          </cell>
          <cell r="BA42">
            <v>1183.6870046926208</v>
          </cell>
          <cell r="BB42">
            <v>2021</v>
          </cell>
          <cell r="BC42">
            <v>1291.5158978948364</v>
          </cell>
          <cell r="BD42">
            <v>1737.2298029465057</v>
          </cell>
          <cell r="BE42">
            <v>1020.0706764668929</v>
          </cell>
          <cell r="BF42">
            <v>2021</v>
          </cell>
          <cell r="BG42">
            <v>7250.4240160619174</v>
          </cell>
          <cell r="BH42">
            <v>9897.2023383944907</v>
          </cell>
          <cell r="BI42">
            <v>5922.4842305330221</v>
          </cell>
          <cell r="BJ42">
            <v>2020</v>
          </cell>
          <cell r="BK42">
            <v>666.76272413180538</v>
          </cell>
          <cell r="BL42">
            <v>716.96323170310018</v>
          </cell>
          <cell r="BM42">
            <v>141.96048245502931</v>
          </cell>
          <cell r="BN42">
            <v>2019</v>
          </cell>
          <cell r="BO42">
            <v>2056.4339091132092</v>
          </cell>
          <cell r="BP42">
            <v>3326.4408158973388</v>
          </cell>
          <cell r="BQ42">
            <v>2159.2556031606082</v>
          </cell>
          <cell r="BR42">
            <v>2010</v>
          </cell>
          <cell r="BS42">
            <v>204.35413238784301</v>
          </cell>
          <cell r="BT42">
            <v>270.91186197161363</v>
          </cell>
          <cell r="BU42">
            <v>108.40955113253617</v>
          </cell>
          <cell r="BV42">
            <v>2014</v>
          </cell>
          <cell r="BW42">
            <v>2062.0724115464632</v>
          </cell>
          <cell r="BX42">
            <v>2103.0429560661937</v>
          </cell>
          <cell r="BY42">
            <v>127.37952000065256</v>
          </cell>
          <cell r="BZ42">
            <v>2025</v>
          </cell>
          <cell r="CA42">
            <v>14789.504696880982</v>
          </cell>
          <cell r="CB42">
            <v>19403.670181776655</v>
          </cell>
          <cell r="CC42">
            <v>4372.097847024279</v>
          </cell>
          <cell r="CD42">
            <v>2029</v>
          </cell>
          <cell r="CE42">
            <v>9671.7987462483743</v>
          </cell>
          <cell r="CF42">
            <v>11002.411228832312</v>
          </cell>
          <cell r="CG42">
            <v>4155.7529086043614</v>
          </cell>
          <cell r="CH42">
            <v>2029</v>
          </cell>
          <cell r="CI42">
            <v>196575.90729297313</v>
          </cell>
          <cell r="CJ42">
            <v>196927.20308725856</v>
          </cell>
          <cell r="CK42">
            <v>5120.6811500932936</v>
          </cell>
          <cell r="CL42">
            <v>2020</v>
          </cell>
          <cell r="CM42">
            <v>8506.1415756722381</v>
          </cell>
          <cell r="CN42">
            <v>10968.859960391253</v>
          </cell>
          <cell r="CO42">
            <v>7135.648874598035</v>
          </cell>
          <cell r="CP42">
            <v>2029</v>
          </cell>
          <cell r="CQ42">
            <v>3026.5193274384724</v>
          </cell>
          <cell r="CR42">
            <v>4331.2305502798399</v>
          </cell>
          <cell r="CS42">
            <v>3098.9421716159527</v>
          </cell>
          <cell r="CT42">
            <v>2021</v>
          </cell>
          <cell r="CU42">
            <v>4137.2845033548683</v>
          </cell>
          <cell r="CV42">
            <v>4215.6659397054182</v>
          </cell>
          <cell r="CW42">
            <v>278.5914435563181</v>
          </cell>
          <cell r="CX42">
            <v>2027</v>
          </cell>
          <cell r="CY42">
            <v>14115.695342873953</v>
          </cell>
          <cell r="CZ42">
            <v>14908.334413533019</v>
          </cell>
          <cell r="DA42">
            <v>1636.6740836922645</v>
          </cell>
          <cell r="DB42">
            <v>2018</v>
          </cell>
          <cell r="DC42">
            <v>495.4002742601611</v>
          </cell>
          <cell r="DD42">
            <v>764.76910548484193</v>
          </cell>
          <cell r="DE42">
            <v>759.1414916992469</v>
          </cell>
          <cell r="DF42">
            <v>2024</v>
          </cell>
          <cell r="DG42">
            <v>1231.3529725023304</v>
          </cell>
          <cell r="DH42">
            <v>1661.498514621602</v>
          </cell>
          <cell r="DI42">
            <v>873.5884616641556</v>
          </cell>
          <cell r="DJ42">
            <v>2016</v>
          </cell>
          <cell r="DK42">
            <v>305.81409258856274</v>
          </cell>
          <cell r="DL42">
            <v>370.05071794783987</v>
          </cell>
          <cell r="DM42">
            <v>221.93310329467911</v>
          </cell>
          <cell r="DN42">
            <v>2024</v>
          </cell>
          <cell r="DO42">
            <v>6667.4222581907434</v>
          </cell>
          <cell r="DP42">
            <v>6742.7476762576416</v>
          </cell>
          <cell r="DQ42">
            <v>253.41492374512677</v>
          </cell>
          <cell r="DR42">
            <v>2029</v>
          </cell>
          <cell r="DS42">
            <v>806.30365997596948</v>
          </cell>
          <cell r="DT42">
            <v>1103.6793862777256</v>
          </cell>
          <cell r="DU42">
            <v>552.20309360988506</v>
          </cell>
          <cell r="DV42">
            <v>2018</v>
          </cell>
          <cell r="DW42">
            <v>1152.2857388237437</v>
          </cell>
          <cell r="DX42">
            <v>1733.3834649179287</v>
          </cell>
          <cell r="DY42">
            <v>540.27414807657976</v>
          </cell>
          <cell r="DZ42">
            <v>2014</v>
          </cell>
          <cell r="EA42">
            <v>813.24190914166604</v>
          </cell>
          <cell r="EB42">
            <v>1055.764501207356</v>
          </cell>
          <cell r="EC42">
            <v>545.53456723535396</v>
          </cell>
          <cell r="ED42">
            <v>2020</v>
          </cell>
          <cell r="EE42">
            <v>724.07056767613449</v>
          </cell>
          <cell r="EF42">
            <v>1110.4291293855633</v>
          </cell>
          <cell r="EG42">
            <v>726.75669455387595</v>
          </cell>
          <cell r="EH42">
            <v>2014</v>
          </cell>
          <cell r="EI42">
            <v>9121.2132608065494</v>
          </cell>
          <cell r="EJ42">
            <v>10463.606079978714</v>
          </cell>
          <cell r="EK42">
            <v>3877.0667468538891</v>
          </cell>
          <cell r="EL42">
            <v>2029</v>
          </cell>
          <cell r="EM42">
            <v>464.41821117888679</v>
          </cell>
          <cell r="EN42">
            <v>557.7106747415271</v>
          </cell>
          <cell r="EO42">
            <v>109.20832969503164</v>
          </cell>
          <cell r="EP42">
            <v>2018</v>
          </cell>
          <cell r="EQ42">
            <v>276.03404991118771</v>
          </cell>
          <cell r="ER42">
            <v>342.66435040510117</v>
          </cell>
          <cell r="ES42">
            <v>286.85965975380469</v>
          </cell>
          <cell r="ET42">
            <v>2029</v>
          </cell>
          <cell r="EU42">
            <v>4170.7689763235967</v>
          </cell>
          <cell r="EV42">
            <v>4389.3199617846658</v>
          </cell>
          <cell r="EW42">
            <v>442.30219074661721</v>
          </cell>
          <cell r="EX42">
            <v>2023</v>
          </cell>
          <cell r="EY42">
            <v>4301.6886461027079</v>
          </cell>
          <cell r="EZ42">
            <v>4576.9328776212042</v>
          </cell>
          <cell r="FA42">
            <v>578.0360816695603</v>
          </cell>
          <cell r="FB42">
            <v>2023</v>
          </cell>
          <cell r="FC42">
            <v>12009.441030447977</v>
          </cell>
          <cell r="FD42">
            <v>12230.634465717689</v>
          </cell>
          <cell r="FE42">
            <v>701.37448330446477</v>
          </cell>
          <cell r="FF42">
            <v>2025</v>
          </cell>
          <cell r="FG42">
            <v>25273.908979325763</v>
          </cell>
          <cell r="FH42">
            <v>32945.17204773397</v>
          </cell>
          <cell r="FI42">
            <v>14761.269014331154</v>
          </cell>
          <cell r="FJ42">
            <v>2012</v>
          </cell>
          <cell r="FK42">
            <v>8465.690594822714</v>
          </cell>
          <cell r="FL42">
            <v>8812.413764163517</v>
          </cell>
          <cell r="FM42">
            <v>9537.4884721436902</v>
          </cell>
          <cell r="FN42">
            <v>2110</v>
          </cell>
          <cell r="FO42">
            <v>186.17624504932976</v>
          </cell>
          <cell r="FP42">
            <v>251.69404852721743</v>
          </cell>
          <cell r="FQ42">
            <v>108.32176129846292</v>
          </cell>
          <cell r="FR42">
            <v>2014</v>
          </cell>
          <cell r="FS42">
            <v>1294.7482625518724</v>
          </cell>
          <cell r="FT42">
            <v>1778.7457471163987</v>
          </cell>
          <cell r="FU42">
            <v>976.08054781534861</v>
          </cell>
          <cell r="FV42">
            <v>2016</v>
          </cell>
          <cell r="FW42">
            <v>1429.9842004277223</v>
          </cell>
          <cell r="FX42">
            <v>1884.5551326559441</v>
          </cell>
          <cell r="FY42">
            <v>945.09714164701859</v>
          </cell>
          <cell r="FZ42">
            <v>2021</v>
          </cell>
          <cell r="GA42">
            <v>1429.500199397748</v>
          </cell>
          <cell r="GB42">
            <v>2133.4270723648447</v>
          </cell>
          <cell r="GC42">
            <v>1585.876942078788</v>
          </cell>
          <cell r="GD42">
            <v>2021</v>
          </cell>
          <cell r="GE42">
            <v>6605.0749117840878</v>
          </cell>
          <cell r="GF42">
            <v>8066.3100107101563</v>
          </cell>
          <cell r="GG42">
            <v>3241.1671895051809</v>
          </cell>
          <cell r="GH42">
            <v>2020</v>
          </cell>
          <cell r="GI42">
            <v>563.89989064968415</v>
          </cell>
          <cell r="GJ42">
            <v>728.58763231572436</v>
          </cell>
          <cell r="GK42">
            <v>276.19952027396636</v>
          </cell>
          <cell r="GL42">
            <v>2018</v>
          </cell>
          <cell r="GM42">
            <v>0</v>
          </cell>
          <cell r="GN42">
            <v>0</v>
          </cell>
          <cell r="GO42">
            <v>0</v>
          </cell>
          <cell r="GP42">
            <v>0</v>
          </cell>
        </row>
        <row r="43">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B45" t="str">
            <v>Statistics</v>
          </cell>
          <cell r="C45" t="str">
            <v>IS-1-20 Yr NPV</v>
          </cell>
          <cell r="D45" t="str">
            <v>IS-1-40 Yr NPV</v>
          </cell>
          <cell r="E45" t="str">
            <v>IS-1-Capital Cost</v>
          </cell>
          <cell r="F45" t="str">
            <v>IS-1-Install Year</v>
          </cell>
          <cell r="G45" t="str">
            <v>IS-2-20 Yr NPV</v>
          </cell>
          <cell r="H45" t="str">
            <v>IS-2-40 Yr NPV</v>
          </cell>
          <cell r="I45" t="str">
            <v>IS-2-Capital Cost</v>
          </cell>
          <cell r="J45" t="str">
            <v>IS-2-Install Year</v>
          </cell>
          <cell r="K45" t="str">
            <v>IS-3-20 Yr NPV</v>
          </cell>
          <cell r="L45" t="str">
            <v>IS-3-40 Yr NPV</v>
          </cell>
          <cell r="M45" t="str">
            <v>IS-3-Capital Cost</v>
          </cell>
          <cell r="N45" t="str">
            <v>IS-3-Install Year</v>
          </cell>
          <cell r="O45" t="str">
            <v>IS-4-20 Yr NPV</v>
          </cell>
          <cell r="P45" t="str">
            <v>IS-4-40 Yr NPV</v>
          </cell>
          <cell r="Q45" t="str">
            <v>IS-4-Capital Cost</v>
          </cell>
          <cell r="R45" t="str">
            <v>IS-4-Install Year</v>
          </cell>
          <cell r="S45" t="str">
            <v>IS-5-20 Yr NPV</v>
          </cell>
          <cell r="T45" t="str">
            <v>IS-5-40 Yr NPV</v>
          </cell>
          <cell r="U45" t="str">
            <v>IS-5-Capital Cost</v>
          </cell>
          <cell r="V45" t="str">
            <v>IS-5-Install Year</v>
          </cell>
          <cell r="W45" t="str">
            <v>IS-6-20 Yr NPV</v>
          </cell>
          <cell r="X45" t="str">
            <v>IS-6-40 Yr NPV</v>
          </cell>
          <cell r="Y45" t="str">
            <v>IS-6-Capital Cost</v>
          </cell>
          <cell r="Z45" t="str">
            <v>IS-6-Install Year</v>
          </cell>
          <cell r="AA45" t="str">
            <v>MS-1-20 Yr NPV</v>
          </cell>
          <cell r="AB45" t="str">
            <v>MS-1-40 Yr NPV</v>
          </cell>
          <cell r="AC45" t="str">
            <v>MS-1-Capital Cost</v>
          </cell>
          <cell r="AD45" t="str">
            <v>MS-1-Install Year</v>
          </cell>
          <cell r="AE45" t="str">
            <v>MS-10-20 Yr NPV</v>
          </cell>
          <cell r="AF45" t="str">
            <v>MS-10-40 Yr NPV</v>
          </cell>
          <cell r="AG45" t="str">
            <v>MS-10-Capital Cost</v>
          </cell>
          <cell r="AH45" t="str">
            <v>MS-10-Install Year</v>
          </cell>
          <cell r="AI45" t="str">
            <v>MS-11-20 Yr NPV</v>
          </cell>
          <cell r="AJ45" t="str">
            <v>MS-11-40 Yr NPV</v>
          </cell>
          <cell r="AK45" t="str">
            <v>MS-11-Capital Cost</v>
          </cell>
          <cell r="AL45" t="str">
            <v>MS-11-Install Year</v>
          </cell>
          <cell r="AM45" t="str">
            <v>MS-2-20 Yr NPV</v>
          </cell>
          <cell r="AN45" t="str">
            <v>MS-2-40 Yr NPV</v>
          </cell>
          <cell r="AO45" t="str">
            <v>MS-2-Capital Cost</v>
          </cell>
          <cell r="AP45" t="str">
            <v>MS-2-Install Year</v>
          </cell>
          <cell r="AQ45" t="str">
            <v>MS-3-20 Yr NPV</v>
          </cell>
          <cell r="AR45" t="str">
            <v>MS-3-40 Yr NPV</v>
          </cell>
          <cell r="AS45" t="str">
            <v>MS-3-Capital Cost</v>
          </cell>
          <cell r="AT45" t="str">
            <v>MS-3-Install Year</v>
          </cell>
          <cell r="AU45" t="str">
            <v>MS-4-20 Yr NPV</v>
          </cell>
          <cell r="AV45" t="str">
            <v>MS-4-40 Yr NPV</v>
          </cell>
          <cell r="AW45" t="str">
            <v>MS-4-Capital Cost</v>
          </cell>
          <cell r="AX45" t="str">
            <v>MS-4-Install Year</v>
          </cell>
          <cell r="AY45" t="str">
            <v>MS-5-20 Yr NPV</v>
          </cell>
          <cell r="AZ45" t="str">
            <v>MS-5-40 Yr NPV</v>
          </cell>
          <cell r="BA45" t="str">
            <v>MS-5-Capital Cost</v>
          </cell>
          <cell r="BB45" t="str">
            <v>MS-5-Install Year</v>
          </cell>
          <cell r="BC45" t="str">
            <v>MS-6-20 Yr NPV</v>
          </cell>
          <cell r="BD45" t="str">
            <v>MS-6-40 Yr NPV</v>
          </cell>
          <cell r="BE45" t="str">
            <v>MS-6-Capital Cost</v>
          </cell>
          <cell r="BF45" t="str">
            <v>MS-6-Install Year</v>
          </cell>
          <cell r="BG45" t="str">
            <v>MS-7-20 Yr NPV</v>
          </cell>
          <cell r="BH45" t="str">
            <v>MS-7-40 Yr NPV</v>
          </cell>
          <cell r="BI45" t="str">
            <v>MS-7-Capital Cost</v>
          </cell>
          <cell r="BJ45" t="str">
            <v>MS-7-Install Year</v>
          </cell>
          <cell r="BK45" t="str">
            <v>MS-8-20 Yr NPV</v>
          </cell>
          <cell r="BL45" t="str">
            <v>MS-8-40 Yr NPV</v>
          </cell>
          <cell r="BM45" t="str">
            <v>MS-8-Capital Cost</v>
          </cell>
          <cell r="BN45" t="str">
            <v>MS-8-Install Year</v>
          </cell>
          <cell r="BO45" t="str">
            <v>MS-9-20 Yr NPV</v>
          </cell>
          <cell r="BP45" t="str">
            <v>MS-9-40 Yr NPV</v>
          </cell>
          <cell r="BQ45" t="str">
            <v>MS-9-Capital Cost</v>
          </cell>
          <cell r="BR45" t="str">
            <v>MS-9-Install Year</v>
          </cell>
          <cell r="BS45" t="str">
            <v>34-1-20 Yr NPV</v>
          </cell>
          <cell r="BT45" t="str">
            <v>34-1-40 Yr NPV</v>
          </cell>
          <cell r="BU45" t="str">
            <v>34-1-Capital Cost</v>
          </cell>
          <cell r="BV45" t="str">
            <v>34-1-Install Year</v>
          </cell>
          <cell r="BW45" t="str">
            <v>34-2-20 Yr NPV</v>
          </cell>
          <cell r="BX45" t="str">
            <v>34-2-40 Yr NPV</v>
          </cell>
          <cell r="BY45" t="str">
            <v>34-2-Capital Cost</v>
          </cell>
          <cell r="BZ45" t="str">
            <v>34-2-Install Year</v>
          </cell>
          <cell r="CA45" t="str">
            <v>56-1-20 Yr NPV</v>
          </cell>
          <cell r="CB45" t="str">
            <v>56-1-40 Yr NPV</v>
          </cell>
          <cell r="CC45" t="str">
            <v>56-1-Capital Cost</v>
          </cell>
          <cell r="CD45" t="str">
            <v>56-1-Install Year</v>
          </cell>
          <cell r="CE45" t="str">
            <v>56-2-20 Yr NPV</v>
          </cell>
          <cell r="CF45" t="str">
            <v>56-2-40 Yr NPV</v>
          </cell>
          <cell r="CG45" t="str">
            <v>56-2-Capital Cost</v>
          </cell>
          <cell r="CH45" t="str">
            <v>56-2-Install Year</v>
          </cell>
          <cell r="CI45" t="str">
            <v>78-1-20 Yr NPV</v>
          </cell>
          <cell r="CJ45" t="str">
            <v>78-1-40 Yr NPV</v>
          </cell>
          <cell r="CK45" t="str">
            <v>78-1-Capital Cost</v>
          </cell>
          <cell r="CL45" t="str">
            <v>78-1-Install Year</v>
          </cell>
          <cell r="CM45" t="str">
            <v>78-2-20 Yr NPV</v>
          </cell>
          <cell r="CN45" t="str">
            <v>78-2-40 Yr NPV</v>
          </cell>
          <cell r="CO45" t="str">
            <v>78-2-Capital Cost</v>
          </cell>
          <cell r="CP45" t="str">
            <v>78-2-Install Year</v>
          </cell>
          <cell r="CQ45" t="str">
            <v>WS-1-20 Yr NPV</v>
          </cell>
          <cell r="CR45" t="str">
            <v>WS-1-40 Yr NPV</v>
          </cell>
          <cell r="CS45" t="str">
            <v>WS-1-Capital Cost</v>
          </cell>
          <cell r="CT45" t="str">
            <v>WS-1-Install Year</v>
          </cell>
          <cell r="CU45" t="str">
            <v>WS-10-20 Yr NPV</v>
          </cell>
          <cell r="CV45" t="str">
            <v>WS-10-40 Yr NPV</v>
          </cell>
          <cell r="CW45" t="str">
            <v>WS-10-Capital Cost</v>
          </cell>
          <cell r="CX45" t="str">
            <v>WS-10-Install Year</v>
          </cell>
          <cell r="CY45" t="str">
            <v>WS-11-20 Yr NPV</v>
          </cell>
          <cell r="CZ45" t="str">
            <v>WS-11-40 Yr NPV</v>
          </cell>
          <cell r="DA45" t="str">
            <v>WS-11-Capital Cost</v>
          </cell>
          <cell r="DB45" t="str">
            <v>WS-11-Install Year</v>
          </cell>
          <cell r="DC45" t="str">
            <v>WS-12-20 Yr NPV</v>
          </cell>
          <cell r="DD45" t="str">
            <v>WS-12-40 Yr NPV</v>
          </cell>
          <cell r="DE45" t="str">
            <v>WS-12-Capital Cost</v>
          </cell>
          <cell r="DF45" t="str">
            <v>WS-12-Install Year</v>
          </cell>
          <cell r="DG45" t="str">
            <v>WS-2-20 Yr NPV</v>
          </cell>
          <cell r="DH45" t="str">
            <v>WS-2-40 Yr NPV</v>
          </cell>
          <cell r="DI45" t="str">
            <v>WS-2-Capital Cost</v>
          </cell>
          <cell r="DJ45" t="str">
            <v>WS-2-Install Year</v>
          </cell>
          <cell r="DK45" t="str">
            <v>WS-3-20 Yr NPV</v>
          </cell>
          <cell r="DL45" t="str">
            <v>WS-3-40 Yr NPV</v>
          </cell>
          <cell r="DM45" t="str">
            <v>WS-3-Capital Cost</v>
          </cell>
          <cell r="DN45" t="str">
            <v>WS-3-Install Year</v>
          </cell>
          <cell r="DO45" t="str">
            <v>WS-4-20 Yr NPV</v>
          </cell>
          <cell r="DP45" t="str">
            <v>WS-4-40 Yr NPV</v>
          </cell>
          <cell r="DQ45" t="str">
            <v>WS-4-Capital Cost</v>
          </cell>
          <cell r="DR45" t="str">
            <v>WS-4-Install Year</v>
          </cell>
          <cell r="DS45" t="str">
            <v>WS-5-20 Yr NPV</v>
          </cell>
          <cell r="DT45" t="str">
            <v>WS-5-40 Yr NPV</v>
          </cell>
          <cell r="DU45" t="str">
            <v>WS-5-Capital Cost</v>
          </cell>
          <cell r="DV45" t="str">
            <v>WS-5-Install Year</v>
          </cell>
          <cell r="DW45" t="str">
            <v>WS-6-20 Yr NPV</v>
          </cell>
          <cell r="DX45" t="str">
            <v>WS-6-40 Yr NPV</v>
          </cell>
          <cell r="DY45" t="str">
            <v>WS-6-Capital Cost</v>
          </cell>
          <cell r="DZ45" t="str">
            <v>WS-6-Install Year</v>
          </cell>
          <cell r="EA45" t="str">
            <v>WS-7-20 Yr NPV</v>
          </cell>
          <cell r="EB45" t="str">
            <v>WS-7-40 Yr NPV</v>
          </cell>
          <cell r="EC45" t="str">
            <v>WS-7-Capital Cost</v>
          </cell>
          <cell r="ED45" t="str">
            <v>WS-7-Install Year</v>
          </cell>
          <cell r="EE45" t="str">
            <v>WS-8-20 Yr NPV</v>
          </cell>
          <cell r="EF45" t="str">
            <v>WS-8-40 Yr NPV</v>
          </cell>
          <cell r="EG45" t="str">
            <v>WS-8-Capital Cost</v>
          </cell>
          <cell r="EH45" t="str">
            <v>WS-8-Install Year</v>
          </cell>
          <cell r="EI45" t="str">
            <v>WS-9-20 Yr NPV</v>
          </cell>
          <cell r="EJ45" t="str">
            <v>WS-9-40 Yr NPV</v>
          </cell>
          <cell r="EK45" t="str">
            <v>WS-9-Capital Cost</v>
          </cell>
          <cell r="EL45" t="str">
            <v>WS-9-Install Year</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row>
        <row r="46">
          <cell r="B46" t="str">
            <v>Trials</v>
          </cell>
          <cell r="C46">
            <v>1000</v>
          </cell>
          <cell r="D46">
            <v>1000</v>
          </cell>
          <cell r="E46">
            <v>1000</v>
          </cell>
          <cell r="F46">
            <v>1000</v>
          </cell>
          <cell r="G46">
            <v>1000</v>
          </cell>
          <cell r="H46">
            <v>1000</v>
          </cell>
          <cell r="I46">
            <v>1000</v>
          </cell>
          <cell r="J46">
            <v>1000</v>
          </cell>
          <cell r="K46">
            <v>1000</v>
          </cell>
          <cell r="L46">
            <v>1000</v>
          </cell>
          <cell r="M46">
            <v>1000</v>
          </cell>
          <cell r="N46">
            <v>1000</v>
          </cell>
          <cell r="O46">
            <v>1000</v>
          </cell>
          <cell r="P46">
            <v>1000</v>
          </cell>
          <cell r="Q46">
            <v>1000</v>
          </cell>
          <cell r="R46">
            <v>1000</v>
          </cell>
          <cell r="S46">
            <v>1000</v>
          </cell>
          <cell r="T46">
            <v>1000</v>
          </cell>
          <cell r="U46">
            <v>1000</v>
          </cell>
          <cell r="V46">
            <v>1000</v>
          </cell>
          <cell r="W46">
            <v>1000</v>
          </cell>
          <cell r="X46">
            <v>1000</v>
          </cell>
          <cell r="Y46">
            <v>1000</v>
          </cell>
          <cell r="Z46">
            <v>1000</v>
          </cell>
          <cell r="AA46">
            <v>1000</v>
          </cell>
          <cell r="AB46">
            <v>1000</v>
          </cell>
          <cell r="AC46">
            <v>1000</v>
          </cell>
          <cell r="AD46">
            <v>1000</v>
          </cell>
          <cell r="AE46">
            <v>1000</v>
          </cell>
          <cell r="AF46">
            <v>1000</v>
          </cell>
          <cell r="AG46">
            <v>1000</v>
          </cell>
          <cell r="AH46">
            <v>1000</v>
          </cell>
          <cell r="AI46">
            <v>1000</v>
          </cell>
          <cell r="AJ46">
            <v>1000</v>
          </cell>
          <cell r="AK46">
            <v>1000</v>
          </cell>
          <cell r="AL46">
            <v>1000</v>
          </cell>
          <cell r="AM46">
            <v>1000</v>
          </cell>
          <cell r="AN46">
            <v>1000</v>
          </cell>
          <cell r="AO46">
            <v>1000</v>
          </cell>
          <cell r="AP46">
            <v>1000</v>
          </cell>
          <cell r="AQ46">
            <v>1000</v>
          </cell>
          <cell r="AR46">
            <v>1000</v>
          </cell>
          <cell r="AS46">
            <v>1000</v>
          </cell>
          <cell r="AT46">
            <v>1000</v>
          </cell>
          <cell r="AU46">
            <v>1000</v>
          </cell>
          <cell r="AV46">
            <v>1000</v>
          </cell>
          <cell r="AW46">
            <v>1000</v>
          </cell>
          <cell r="AX46">
            <v>1000</v>
          </cell>
          <cell r="AY46">
            <v>1000</v>
          </cell>
          <cell r="AZ46">
            <v>1000</v>
          </cell>
          <cell r="BA46">
            <v>1000</v>
          </cell>
          <cell r="BB46">
            <v>1000</v>
          </cell>
          <cell r="BC46">
            <v>1000</v>
          </cell>
          <cell r="BD46">
            <v>1000</v>
          </cell>
          <cell r="BE46">
            <v>1000</v>
          </cell>
          <cell r="BF46">
            <v>1000</v>
          </cell>
          <cell r="BG46">
            <v>1000</v>
          </cell>
          <cell r="BH46">
            <v>1000</v>
          </cell>
          <cell r="BI46">
            <v>1000</v>
          </cell>
          <cell r="BJ46">
            <v>1000</v>
          </cell>
          <cell r="BK46">
            <v>1000</v>
          </cell>
          <cell r="BL46">
            <v>1000</v>
          </cell>
          <cell r="BM46">
            <v>1000</v>
          </cell>
          <cell r="BN46">
            <v>1000</v>
          </cell>
          <cell r="BO46">
            <v>1000</v>
          </cell>
          <cell r="BP46">
            <v>1000</v>
          </cell>
          <cell r="BQ46">
            <v>1000</v>
          </cell>
          <cell r="BR46">
            <v>1000</v>
          </cell>
          <cell r="BS46">
            <v>1000</v>
          </cell>
          <cell r="BT46">
            <v>1000</v>
          </cell>
          <cell r="BU46">
            <v>1000</v>
          </cell>
          <cell r="BV46">
            <v>1000</v>
          </cell>
          <cell r="BW46">
            <v>1000</v>
          </cell>
          <cell r="BX46">
            <v>1000</v>
          </cell>
          <cell r="BY46">
            <v>1000</v>
          </cell>
          <cell r="BZ46">
            <v>1000</v>
          </cell>
          <cell r="CA46">
            <v>1000</v>
          </cell>
          <cell r="CB46">
            <v>1000</v>
          </cell>
          <cell r="CC46">
            <v>1000</v>
          </cell>
          <cell r="CD46">
            <v>1000</v>
          </cell>
          <cell r="CE46">
            <v>1000</v>
          </cell>
          <cell r="CF46">
            <v>1000</v>
          </cell>
          <cell r="CG46">
            <v>1000</v>
          </cell>
          <cell r="CH46">
            <v>1000</v>
          </cell>
          <cell r="CI46">
            <v>1000</v>
          </cell>
          <cell r="CJ46">
            <v>1000</v>
          </cell>
          <cell r="CK46">
            <v>1000</v>
          </cell>
          <cell r="CL46">
            <v>1000</v>
          </cell>
          <cell r="CM46">
            <v>1000</v>
          </cell>
          <cell r="CN46">
            <v>1000</v>
          </cell>
          <cell r="CO46">
            <v>1000</v>
          </cell>
          <cell r="CP46">
            <v>1000</v>
          </cell>
          <cell r="CQ46">
            <v>1000</v>
          </cell>
          <cell r="CR46">
            <v>1000</v>
          </cell>
          <cell r="CS46">
            <v>1000</v>
          </cell>
          <cell r="CT46">
            <v>1000</v>
          </cell>
          <cell r="CU46">
            <v>1000</v>
          </cell>
          <cell r="CV46">
            <v>1000</v>
          </cell>
          <cell r="CW46">
            <v>1000</v>
          </cell>
          <cell r="CX46">
            <v>1000</v>
          </cell>
          <cell r="CY46">
            <v>1000</v>
          </cell>
          <cell r="CZ46">
            <v>1000</v>
          </cell>
          <cell r="DA46">
            <v>1000</v>
          </cell>
          <cell r="DB46">
            <v>1000</v>
          </cell>
          <cell r="DC46">
            <v>1000</v>
          </cell>
          <cell r="DD46">
            <v>1000</v>
          </cell>
          <cell r="DE46">
            <v>1000</v>
          </cell>
          <cell r="DF46">
            <v>1000</v>
          </cell>
          <cell r="DG46">
            <v>1000</v>
          </cell>
          <cell r="DH46">
            <v>1000</v>
          </cell>
          <cell r="DI46">
            <v>1000</v>
          </cell>
          <cell r="DJ46">
            <v>1000</v>
          </cell>
          <cell r="DK46">
            <v>1000</v>
          </cell>
          <cell r="DL46">
            <v>1000</v>
          </cell>
          <cell r="DM46">
            <v>1000</v>
          </cell>
          <cell r="DN46">
            <v>1000</v>
          </cell>
          <cell r="DO46">
            <v>1000</v>
          </cell>
          <cell r="DP46">
            <v>1000</v>
          </cell>
          <cell r="DQ46">
            <v>1000</v>
          </cell>
          <cell r="DR46">
            <v>1000</v>
          </cell>
          <cell r="DS46">
            <v>1000</v>
          </cell>
          <cell r="DT46">
            <v>1000</v>
          </cell>
          <cell r="DU46">
            <v>1000</v>
          </cell>
          <cell r="DV46">
            <v>1000</v>
          </cell>
          <cell r="DW46">
            <v>1000</v>
          </cell>
          <cell r="DX46">
            <v>1000</v>
          </cell>
          <cell r="DY46">
            <v>1000</v>
          </cell>
          <cell r="DZ46">
            <v>1000</v>
          </cell>
          <cell r="EA46">
            <v>1000</v>
          </cell>
          <cell r="EB46">
            <v>1000</v>
          </cell>
          <cell r="EC46">
            <v>1000</v>
          </cell>
          <cell r="ED46">
            <v>1000</v>
          </cell>
          <cell r="EE46">
            <v>1000</v>
          </cell>
          <cell r="EF46">
            <v>1000</v>
          </cell>
          <cell r="EG46">
            <v>1000</v>
          </cell>
          <cell r="EH46">
            <v>1000</v>
          </cell>
          <cell r="EI46">
            <v>1000</v>
          </cell>
          <cell r="EJ46">
            <v>1000</v>
          </cell>
          <cell r="EK46">
            <v>1000</v>
          </cell>
          <cell r="EL46">
            <v>1000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row>
        <row r="47">
          <cell r="B47" t="str">
            <v>Mean</v>
          </cell>
          <cell r="C47">
            <v>542.28052708719645</v>
          </cell>
          <cell r="D47">
            <v>710.55905226374648</v>
          </cell>
          <cell r="E47">
            <v>356.15279849351612</v>
          </cell>
          <cell r="F47">
            <v>2014.5</v>
          </cell>
          <cell r="G47">
            <v>173.51751872672347</v>
          </cell>
          <cell r="H47">
            <v>252.49663637084299</v>
          </cell>
          <cell r="I47">
            <v>167.16510443686113</v>
          </cell>
          <cell r="J47">
            <v>2014.5</v>
          </cell>
          <cell r="K47">
            <v>686.39567567820495</v>
          </cell>
          <cell r="L47">
            <v>706.23483365268498</v>
          </cell>
          <cell r="M47">
            <v>74.198848644620185</v>
          </cell>
          <cell r="N47">
            <v>2012</v>
          </cell>
          <cell r="O47">
            <v>428.35633287836288</v>
          </cell>
          <cell r="P47">
            <v>444.96558560468623</v>
          </cell>
          <cell r="Q47">
            <v>36.134101473078587</v>
          </cell>
          <cell r="R47">
            <v>2015.05</v>
          </cell>
          <cell r="S47">
            <v>2878.2440893249418</v>
          </cell>
          <cell r="T47">
            <v>3775.9748162727424</v>
          </cell>
          <cell r="U47">
            <v>1840.9580055995973</v>
          </cell>
          <cell r="V47">
            <v>2014.5</v>
          </cell>
          <cell r="W47">
            <v>3444.0032308593059</v>
          </cell>
          <cell r="X47">
            <v>5157.8201377541136</v>
          </cell>
          <cell r="Y47">
            <v>3324.9403211007188</v>
          </cell>
          <cell r="Z47">
            <v>2014.5</v>
          </cell>
          <cell r="AA47">
            <v>174.45355162349887</v>
          </cell>
          <cell r="AB47">
            <v>247.24341157200178</v>
          </cell>
          <cell r="AC47">
            <v>96.588209710221051</v>
          </cell>
          <cell r="AD47">
            <v>2015.23</v>
          </cell>
          <cell r="AE47">
            <v>409.96936437494981</v>
          </cell>
          <cell r="AF47">
            <v>429.3439166299421</v>
          </cell>
          <cell r="AG47">
            <v>42.165664135910468</v>
          </cell>
          <cell r="AH47">
            <v>2015.05</v>
          </cell>
          <cell r="AI47">
            <v>428.33856489694784</v>
          </cell>
          <cell r="AJ47">
            <v>444.94442673764615</v>
          </cell>
          <cell r="AK47">
            <v>36.137537287852929</v>
          </cell>
          <cell r="AL47">
            <v>2015.05</v>
          </cell>
          <cell r="AM47">
            <v>285.714389559442</v>
          </cell>
          <cell r="AN47">
            <v>521.66055196996274</v>
          </cell>
          <cell r="AO47">
            <v>56351.750611375704</v>
          </cell>
          <cell r="AP47">
            <v>2110</v>
          </cell>
          <cell r="AQ47">
            <v>234.32022792200021</v>
          </cell>
          <cell r="AR47">
            <v>314.99426183219424</v>
          </cell>
          <cell r="AS47">
            <v>113.91182861205465</v>
          </cell>
          <cell r="AT47">
            <v>2015.23</v>
          </cell>
          <cell r="AU47">
            <v>285.70681736521516</v>
          </cell>
          <cell r="AV47">
            <v>521.64672657276162</v>
          </cell>
          <cell r="AW47">
            <v>81397.135875963198</v>
          </cell>
          <cell r="AX47">
            <v>2110</v>
          </cell>
          <cell r="AY47">
            <v>764.98627797319955</v>
          </cell>
          <cell r="AZ47">
            <v>1074.1619268005331</v>
          </cell>
          <cell r="BA47">
            <v>593.79982411152366</v>
          </cell>
          <cell r="BB47">
            <v>2014.5</v>
          </cell>
          <cell r="BC47">
            <v>87.092113829784338</v>
          </cell>
          <cell r="BD47">
            <v>159.0137628090294</v>
          </cell>
          <cell r="BE47">
            <v>3130.8394316763756</v>
          </cell>
          <cell r="BF47">
            <v>2110</v>
          </cell>
          <cell r="BG47">
            <v>342.65770303298643</v>
          </cell>
          <cell r="BH47">
            <v>387.51330859577507</v>
          </cell>
          <cell r="BI47">
            <v>94.996802198021101</v>
          </cell>
          <cell r="BJ47">
            <v>2014.5</v>
          </cell>
          <cell r="BK47">
            <v>173.50008505393319</v>
          </cell>
          <cell r="BL47">
            <v>252.46527645172679</v>
          </cell>
          <cell r="BM47">
            <v>167.23775776474432</v>
          </cell>
          <cell r="BN47">
            <v>2014.5</v>
          </cell>
          <cell r="BO47">
            <v>1382.874234513059</v>
          </cell>
          <cell r="BP47">
            <v>1452.1134157415663</v>
          </cell>
          <cell r="BQ47">
            <v>150.53905480586619</v>
          </cell>
          <cell r="BR47">
            <v>2015.05</v>
          </cell>
          <cell r="BS47">
            <v>7.5781145996239925E-10</v>
          </cell>
          <cell r="BT47">
            <v>1.0434226292228514E-9</v>
          </cell>
          <cell r="BU47">
            <v>4770.0450266150037</v>
          </cell>
          <cell r="BV47">
            <v>2110</v>
          </cell>
          <cell r="BW47">
            <v>53303.609457169288</v>
          </cell>
          <cell r="BX47">
            <v>107139.84173813512</v>
          </cell>
          <cell r="BY47">
            <v>91588.358167079306</v>
          </cell>
          <cell r="BZ47">
            <v>2056.1489999999999</v>
          </cell>
          <cell r="CA47">
            <v>1202.2085056977201</v>
          </cell>
          <cell r="CB47">
            <v>1882.1280867532439</v>
          </cell>
          <cell r="CC47">
            <v>1811.9659181525897</v>
          </cell>
          <cell r="CD47">
            <v>2018.3119999999999</v>
          </cell>
          <cell r="CE47">
            <v>7.6711012720361911</v>
          </cell>
          <cell r="CF47">
            <v>14.424910947109476</v>
          </cell>
          <cell r="CG47">
            <v>87.542680081797755</v>
          </cell>
          <cell r="CH47">
            <v>2094.8969999999999</v>
          </cell>
          <cell r="CI47">
            <v>853.02017268960458</v>
          </cell>
          <cell r="CJ47">
            <v>1307.7728803516088</v>
          </cell>
          <cell r="CK47">
            <v>1169.6895337957942</v>
          </cell>
          <cell r="CL47">
            <v>2018.05</v>
          </cell>
          <cell r="CM47">
            <v>7.6437277507796226</v>
          </cell>
          <cell r="CN47">
            <v>14.072488960697395</v>
          </cell>
          <cell r="CO47">
            <v>87.54659709008115</v>
          </cell>
          <cell r="CP47">
            <v>2094.8910000000001</v>
          </cell>
          <cell r="CQ47">
            <v>590.46282167941899</v>
          </cell>
          <cell r="CR47">
            <v>1078.0736733278889</v>
          </cell>
          <cell r="CS47">
            <v>68874.204969069324</v>
          </cell>
          <cell r="CT47">
            <v>2110</v>
          </cell>
          <cell r="CU47">
            <v>1890.8594811684227</v>
          </cell>
          <cell r="CV47">
            <v>2840.2674020271256</v>
          </cell>
          <cell r="CW47">
            <v>1864.1897432561793</v>
          </cell>
          <cell r="CX47">
            <v>2016.3</v>
          </cell>
          <cell r="CY47">
            <v>251.44021570020411</v>
          </cell>
          <cell r="CZ47">
            <v>323.01803209614593</v>
          </cell>
          <cell r="DA47">
            <v>116.17047748004894</v>
          </cell>
          <cell r="DB47">
            <v>2013.64</v>
          </cell>
          <cell r="DC47">
            <v>2593.2457648054956</v>
          </cell>
          <cell r="DD47">
            <v>5721.5943078939326</v>
          </cell>
          <cell r="DE47">
            <v>29614.970467698418</v>
          </cell>
          <cell r="DF47">
            <v>2045.6</v>
          </cell>
          <cell r="DG47">
            <v>342.52336724051145</v>
          </cell>
          <cell r="DH47">
            <v>387.36736698782732</v>
          </cell>
          <cell r="DI47">
            <v>95.039320133317361</v>
          </cell>
          <cell r="DJ47">
            <v>2014.5</v>
          </cell>
          <cell r="DK47">
            <v>173.56569183876175</v>
          </cell>
          <cell r="DL47">
            <v>252.58038313138758</v>
          </cell>
          <cell r="DM47">
            <v>167.13163323995889</v>
          </cell>
          <cell r="DN47">
            <v>2014.5</v>
          </cell>
          <cell r="DO47">
            <v>725.92925237977317</v>
          </cell>
          <cell r="DP47">
            <v>779.66424951247825</v>
          </cell>
          <cell r="DQ47">
            <v>113.79135406866875</v>
          </cell>
          <cell r="DR47">
            <v>2014.5</v>
          </cell>
          <cell r="DS47">
            <v>409.65602058419165</v>
          </cell>
          <cell r="DT47">
            <v>429.03879409391089</v>
          </cell>
          <cell r="DU47">
            <v>42.147563574972594</v>
          </cell>
          <cell r="DV47">
            <v>2015.05</v>
          </cell>
          <cell r="DW47">
            <v>428.26336913618263</v>
          </cell>
          <cell r="DX47">
            <v>444.87763565182092</v>
          </cell>
          <cell r="DY47">
            <v>36.129778154858293</v>
          </cell>
          <cell r="DZ47">
            <v>2015.05</v>
          </cell>
          <cell r="EA47">
            <v>1582.0030076220403</v>
          </cell>
          <cell r="EB47">
            <v>2380.7846156886676</v>
          </cell>
          <cell r="EC47">
            <v>1690.8670109117911</v>
          </cell>
          <cell r="ED47">
            <v>2015.23</v>
          </cell>
          <cell r="EE47">
            <v>1561.0613605157716</v>
          </cell>
          <cell r="EF47">
            <v>2002.555223850605</v>
          </cell>
          <cell r="EG47">
            <v>905.64637653910393</v>
          </cell>
          <cell r="EH47">
            <v>2015.23</v>
          </cell>
          <cell r="EI47">
            <v>3902.7345655581794</v>
          </cell>
          <cell r="EJ47">
            <v>5658.4369234063897</v>
          </cell>
          <cell r="EK47">
            <v>3726.1832702858192</v>
          </cell>
          <cell r="EL47">
            <v>2016.3</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row>
        <row r="48">
          <cell r="B48" t="str">
            <v>Median</v>
          </cell>
          <cell r="C48">
            <v>541.18330325233944</v>
          </cell>
          <cell r="D48">
            <v>708.49761188885532</v>
          </cell>
          <cell r="E48">
            <v>354.63417774808551</v>
          </cell>
          <cell r="F48">
            <v>2014.5</v>
          </cell>
          <cell r="G48">
            <v>171.89183724402812</v>
          </cell>
          <cell r="H48">
            <v>249.30686310238099</v>
          </cell>
          <cell r="I48">
            <v>165.39344998047616</v>
          </cell>
          <cell r="J48">
            <v>2014.5</v>
          </cell>
          <cell r="K48">
            <v>608.48017831427364</v>
          </cell>
          <cell r="L48">
            <v>628.72962400628057</v>
          </cell>
          <cell r="M48">
            <v>74.285785747962819</v>
          </cell>
          <cell r="N48">
            <v>2012</v>
          </cell>
          <cell r="O48">
            <v>392.7239320318962</v>
          </cell>
          <cell r="P48">
            <v>407.95894708808362</v>
          </cell>
          <cell r="Q48">
            <v>35.88427948675578</v>
          </cell>
          <cell r="R48">
            <v>2015</v>
          </cell>
          <cell r="S48">
            <v>2711.8786108300956</v>
          </cell>
          <cell r="T48">
            <v>3596.7552930236243</v>
          </cell>
          <cell r="U48">
            <v>1837.8528953165937</v>
          </cell>
          <cell r="V48">
            <v>2014.5</v>
          </cell>
          <cell r="W48">
            <v>3442.0360778982895</v>
          </cell>
          <cell r="X48">
            <v>5154.8460710980289</v>
          </cell>
          <cell r="Y48">
            <v>3318.4197604205824</v>
          </cell>
          <cell r="Z48">
            <v>2014.5</v>
          </cell>
          <cell r="AA48">
            <v>175.56187135023356</v>
          </cell>
          <cell r="AB48">
            <v>248.38808182249142</v>
          </cell>
          <cell r="AC48">
            <v>97.014053900386472</v>
          </cell>
          <cell r="AD48">
            <v>2016</v>
          </cell>
          <cell r="AE48">
            <v>373.57195417925618</v>
          </cell>
          <cell r="AF48">
            <v>392.90037360779741</v>
          </cell>
          <cell r="AG48">
            <v>42.009439807617269</v>
          </cell>
          <cell r="AH48">
            <v>2015</v>
          </cell>
          <cell r="AI48">
            <v>389.18644848941307</v>
          </cell>
          <cell r="AJ48">
            <v>405.46348383373243</v>
          </cell>
          <cell r="AK48">
            <v>35.711574567892029</v>
          </cell>
          <cell r="AL48">
            <v>2015</v>
          </cell>
          <cell r="AM48">
            <v>285.7875458577829</v>
          </cell>
          <cell r="AN48">
            <v>521.79412116652577</v>
          </cell>
          <cell r="AO48">
            <v>56350.55290656026</v>
          </cell>
          <cell r="AP48">
            <v>2110</v>
          </cell>
          <cell r="AQ48">
            <v>229.0170470140506</v>
          </cell>
          <cell r="AR48">
            <v>310.2411465371294</v>
          </cell>
          <cell r="AS48">
            <v>114.5403720128913</v>
          </cell>
          <cell r="AT48">
            <v>2016</v>
          </cell>
          <cell r="AU48">
            <v>285.72342409863728</v>
          </cell>
          <cell r="AV48">
            <v>521.67704706410154</v>
          </cell>
          <cell r="AW48">
            <v>81397.799984233774</v>
          </cell>
          <cell r="AX48">
            <v>2110</v>
          </cell>
          <cell r="AY48">
            <v>727.48025007964293</v>
          </cell>
          <cell r="AZ48">
            <v>1041.9782734434061</v>
          </cell>
          <cell r="BA48">
            <v>591.81728910093716</v>
          </cell>
          <cell r="BB48">
            <v>2014.5</v>
          </cell>
          <cell r="BC48">
            <v>87.095020153017572</v>
          </cell>
          <cell r="BD48">
            <v>159.0190695362717</v>
          </cell>
          <cell r="BE48">
            <v>3130.8524141343082</v>
          </cell>
          <cell r="BF48">
            <v>2110</v>
          </cell>
          <cell r="BG48">
            <v>342.27251552987093</v>
          </cell>
          <cell r="BH48">
            <v>387.57531309437508</v>
          </cell>
          <cell r="BI48">
            <v>94.290709126002696</v>
          </cell>
          <cell r="BJ48">
            <v>2014.5</v>
          </cell>
          <cell r="BK48">
            <v>172.17313980496579</v>
          </cell>
          <cell r="BL48">
            <v>249.99992046870221</v>
          </cell>
          <cell r="BM48">
            <v>164.27149596684279</v>
          </cell>
          <cell r="BN48">
            <v>2014.5</v>
          </cell>
          <cell r="BO48">
            <v>1233.1072231143755</v>
          </cell>
          <cell r="BP48">
            <v>1297.8491586090463</v>
          </cell>
          <cell r="BQ48">
            <v>154.06301097318058</v>
          </cell>
          <cell r="BR48">
            <v>2015</v>
          </cell>
          <cell r="BS48">
            <v>-4.7087846943215486E-8</v>
          </cell>
          <cell r="BT48">
            <v>-6.483476122724698E-8</v>
          </cell>
          <cell r="BU48">
            <v>4749.6184372189327</v>
          </cell>
          <cell r="BV48">
            <v>2110</v>
          </cell>
          <cell r="BW48">
            <v>29881.389401487388</v>
          </cell>
          <cell r="BX48">
            <v>120196.20341307449</v>
          </cell>
          <cell r="BY48">
            <v>91373.248686275474</v>
          </cell>
          <cell r="BZ48">
            <v>2041.5</v>
          </cell>
          <cell r="CA48">
            <v>1133.433412276449</v>
          </cell>
          <cell r="CB48">
            <v>1768.3065685301117</v>
          </cell>
          <cell r="CC48">
            <v>1597.6716437899549</v>
          </cell>
          <cell r="CD48">
            <v>2018</v>
          </cell>
          <cell r="CE48">
            <v>1.8079064466914488E-7</v>
          </cell>
          <cell r="CF48">
            <v>5.7405474852870092E-7</v>
          </cell>
          <cell r="CG48">
            <v>87.796082770019382</v>
          </cell>
          <cell r="CH48">
            <v>2110</v>
          </cell>
          <cell r="CI48">
            <v>815.22300387683481</v>
          </cell>
          <cell r="CJ48">
            <v>1242.443994268335</v>
          </cell>
          <cell r="CK48">
            <v>1052.6419456815902</v>
          </cell>
          <cell r="CL48">
            <v>2018</v>
          </cell>
          <cell r="CM48">
            <v>1.8339054836489696E-7</v>
          </cell>
          <cell r="CN48">
            <v>5.4282173934333982E-7</v>
          </cell>
          <cell r="CO48">
            <v>87.470114457790643</v>
          </cell>
          <cell r="CP48">
            <v>2110</v>
          </cell>
          <cell r="CQ48">
            <v>590.47504307206577</v>
          </cell>
          <cell r="CR48">
            <v>1078.0959872579156</v>
          </cell>
          <cell r="CS48">
            <v>68875.054322590047</v>
          </cell>
          <cell r="CT48">
            <v>2110</v>
          </cell>
          <cell r="CU48">
            <v>1894.7270142024522</v>
          </cell>
          <cell r="CV48">
            <v>2836.0563058619209</v>
          </cell>
          <cell r="CW48">
            <v>1849.37134766389</v>
          </cell>
          <cell r="CX48">
            <v>2016.5</v>
          </cell>
          <cell r="CY48">
            <v>250.91926869226447</v>
          </cell>
          <cell r="CZ48">
            <v>322.77976041898285</v>
          </cell>
          <cell r="DA48">
            <v>115.9445328262133</v>
          </cell>
          <cell r="DB48">
            <v>2014</v>
          </cell>
          <cell r="DC48">
            <v>90.741080340129997</v>
          </cell>
          <cell r="DD48">
            <v>4479.5075639888273</v>
          </cell>
          <cell r="DE48">
            <v>14209.022017802457</v>
          </cell>
          <cell r="DF48">
            <v>2034.5</v>
          </cell>
          <cell r="DG48">
            <v>341.15216851557739</v>
          </cell>
          <cell r="DH48">
            <v>387.85129886307436</v>
          </cell>
          <cell r="DI48">
            <v>94.674442563456026</v>
          </cell>
          <cell r="DJ48">
            <v>2014.5</v>
          </cell>
          <cell r="DK48">
            <v>171.71456967587932</v>
          </cell>
          <cell r="DL48">
            <v>249.2306256673179</v>
          </cell>
          <cell r="DM48">
            <v>165.59169761980007</v>
          </cell>
          <cell r="DN48">
            <v>2014.5</v>
          </cell>
          <cell r="DO48">
            <v>647.0532895511526</v>
          </cell>
          <cell r="DP48">
            <v>700.11218107920899</v>
          </cell>
          <cell r="DQ48">
            <v>116.6783360676464</v>
          </cell>
          <cell r="DR48">
            <v>2014.5</v>
          </cell>
          <cell r="DS48">
            <v>369.54757739086142</v>
          </cell>
          <cell r="DT48">
            <v>388.79200397128182</v>
          </cell>
          <cell r="DU48">
            <v>41.966852442120249</v>
          </cell>
          <cell r="DV48">
            <v>2015</v>
          </cell>
          <cell r="DW48">
            <v>391.084265846015</v>
          </cell>
          <cell r="DX48">
            <v>408.57762770205284</v>
          </cell>
          <cell r="DY48">
            <v>36.0179030961488</v>
          </cell>
          <cell r="DZ48">
            <v>2015</v>
          </cell>
          <cell r="EA48">
            <v>1569.7435760222293</v>
          </cell>
          <cell r="EB48">
            <v>2369.7388120387914</v>
          </cell>
          <cell r="EC48">
            <v>1693.4688376137829</v>
          </cell>
          <cell r="ED48">
            <v>2016</v>
          </cell>
          <cell r="EE48">
            <v>1471.8766647349958</v>
          </cell>
          <cell r="EF48">
            <v>1916.8609329740088</v>
          </cell>
          <cell r="EG48">
            <v>904.02884686279549</v>
          </cell>
          <cell r="EH48">
            <v>2016</v>
          </cell>
          <cell r="EI48">
            <v>3893.1164493208616</v>
          </cell>
          <cell r="EJ48">
            <v>5675.5368876403209</v>
          </cell>
          <cell r="EK48">
            <v>3686.031709950782</v>
          </cell>
          <cell r="EL48">
            <v>2016.5</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row>
        <row r="49">
          <cell r="B49" t="str">
            <v>Mode</v>
          </cell>
          <cell r="C49" t="str">
            <v>---</v>
          </cell>
          <cell r="D49" t="str">
            <v>---</v>
          </cell>
          <cell r="E49" t="str">
            <v>---</v>
          </cell>
          <cell r="F49">
            <v>2010</v>
          </cell>
          <cell r="G49" t="str">
            <v>---</v>
          </cell>
          <cell r="H49" t="str">
            <v>---</v>
          </cell>
          <cell r="I49" t="str">
            <v>---</v>
          </cell>
          <cell r="J49">
            <v>2010</v>
          </cell>
          <cell r="K49" t="str">
            <v>---</v>
          </cell>
          <cell r="L49" t="str">
            <v>---</v>
          </cell>
          <cell r="M49" t="str">
            <v>---</v>
          </cell>
          <cell r="N49">
            <v>2010</v>
          </cell>
          <cell r="O49" t="str">
            <v>---</v>
          </cell>
          <cell r="P49" t="str">
            <v>---</v>
          </cell>
          <cell r="Q49" t="str">
            <v>---</v>
          </cell>
          <cell r="R49">
            <v>2020</v>
          </cell>
          <cell r="S49" t="str">
            <v>---</v>
          </cell>
          <cell r="T49" t="str">
            <v>---</v>
          </cell>
          <cell r="U49" t="str">
            <v>---</v>
          </cell>
          <cell r="V49">
            <v>2010</v>
          </cell>
          <cell r="W49" t="str">
            <v>---</v>
          </cell>
          <cell r="X49" t="str">
            <v>---</v>
          </cell>
          <cell r="Y49" t="str">
            <v>---</v>
          </cell>
          <cell r="Z49">
            <v>2010</v>
          </cell>
          <cell r="AA49" t="str">
            <v>---</v>
          </cell>
          <cell r="AB49" t="str">
            <v>---</v>
          </cell>
          <cell r="AC49" t="str">
            <v>---</v>
          </cell>
          <cell r="AD49">
            <v>2017</v>
          </cell>
          <cell r="AE49" t="str">
            <v>---</v>
          </cell>
          <cell r="AF49" t="str">
            <v>---</v>
          </cell>
          <cell r="AG49" t="str">
            <v>---</v>
          </cell>
          <cell r="AH49">
            <v>2020</v>
          </cell>
          <cell r="AI49" t="str">
            <v>---</v>
          </cell>
          <cell r="AJ49" t="str">
            <v>---</v>
          </cell>
          <cell r="AK49" t="str">
            <v>---</v>
          </cell>
          <cell r="AL49">
            <v>2020</v>
          </cell>
          <cell r="AM49" t="str">
            <v>---</v>
          </cell>
          <cell r="AN49" t="str">
            <v>---</v>
          </cell>
          <cell r="AO49" t="str">
            <v>---</v>
          </cell>
          <cell r="AP49">
            <v>2110</v>
          </cell>
          <cell r="AQ49" t="str">
            <v>---</v>
          </cell>
          <cell r="AR49" t="str">
            <v>---</v>
          </cell>
          <cell r="AS49" t="str">
            <v>---</v>
          </cell>
          <cell r="AT49">
            <v>2017</v>
          </cell>
          <cell r="AU49" t="str">
            <v>---</v>
          </cell>
          <cell r="AV49" t="str">
            <v>---</v>
          </cell>
          <cell r="AW49" t="str">
            <v>---</v>
          </cell>
          <cell r="AX49">
            <v>2110</v>
          </cell>
          <cell r="AY49" t="str">
            <v>---</v>
          </cell>
          <cell r="AZ49" t="str">
            <v>---</v>
          </cell>
          <cell r="BA49" t="str">
            <v>---</v>
          </cell>
          <cell r="BB49">
            <v>2010</v>
          </cell>
          <cell r="BC49" t="str">
            <v>---</v>
          </cell>
          <cell r="BD49" t="str">
            <v>---</v>
          </cell>
          <cell r="BE49" t="str">
            <v>---</v>
          </cell>
          <cell r="BF49">
            <v>2110</v>
          </cell>
          <cell r="BG49" t="str">
            <v>---</v>
          </cell>
          <cell r="BH49" t="str">
            <v>---</v>
          </cell>
          <cell r="BI49" t="str">
            <v>---</v>
          </cell>
          <cell r="BJ49">
            <v>2010</v>
          </cell>
          <cell r="BK49" t="str">
            <v>---</v>
          </cell>
          <cell r="BL49" t="str">
            <v>---</v>
          </cell>
          <cell r="BM49" t="str">
            <v>---</v>
          </cell>
          <cell r="BN49">
            <v>2010</v>
          </cell>
          <cell r="BO49" t="str">
            <v>---</v>
          </cell>
          <cell r="BP49" t="str">
            <v>---</v>
          </cell>
          <cell r="BQ49" t="str">
            <v>---</v>
          </cell>
          <cell r="BR49">
            <v>2020</v>
          </cell>
          <cell r="BS49" t="str">
            <v>---</v>
          </cell>
          <cell r="BT49" t="str">
            <v>---</v>
          </cell>
          <cell r="BU49" t="str">
            <v>---</v>
          </cell>
          <cell r="BV49">
            <v>2110</v>
          </cell>
          <cell r="BW49" t="str">
            <v>---</v>
          </cell>
          <cell r="BX49" t="str">
            <v>---</v>
          </cell>
          <cell r="BY49" t="str">
            <v>---</v>
          </cell>
          <cell r="BZ49">
            <v>2110</v>
          </cell>
          <cell r="CA49" t="str">
            <v>---</v>
          </cell>
          <cell r="CB49" t="str">
            <v>---</v>
          </cell>
          <cell r="CC49" t="str">
            <v>---</v>
          </cell>
          <cell r="CD49">
            <v>2021</v>
          </cell>
          <cell r="CE49" t="str">
            <v>---</v>
          </cell>
          <cell r="CF49" t="str">
            <v>---</v>
          </cell>
          <cell r="CG49" t="str">
            <v>---</v>
          </cell>
          <cell r="CH49">
            <v>2110</v>
          </cell>
          <cell r="CI49" t="str">
            <v>---</v>
          </cell>
          <cell r="CJ49" t="str">
            <v>---</v>
          </cell>
          <cell r="CK49" t="str">
            <v>---</v>
          </cell>
          <cell r="CL49">
            <v>2021</v>
          </cell>
          <cell r="CM49" t="str">
            <v>---</v>
          </cell>
          <cell r="CN49" t="str">
            <v>---</v>
          </cell>
          <cell r="CO49" t="str">
            <v>---</v>
          </cell>
          <cell r="CP49">
            <v>2110</v>
          </cell>
          <cell r="CQ49" t="str">
            <v>---</v>
          </cell>
          <cell r="CR49" t="str">
            <v>---</v>
          </cell>
          <cell r="CS49" t="str">
            <v>---</v>
          </cell>
          <cell r="CT49">
            <v>2110</v>
          </cell>
          <cell r="CU49" t="str">
            <v>---</v>
          </cell>
          <cell r="CV49" t="str">
            <v>---</v>
          </cell>
          <cell r="CW49" t="str">
            <v>---</v>
          </cell>
          <cell r="CX49">
            <v>2014</v>
          </cell>
          <cell r="CY49" t="str">
            <v>---</v>
          </cell>
          <cell r="CZ49" t="str">
            <v>---</v>
          </cell>
          <cell r="DA49" t="str">
            <v>---</v>
          </cell>
          <cell r="DB49">
            <v>2017</v>
          </cell>
          <cell r="DC49" t="str">
            <v>---</v>
          </cell>
          <cell r="DD49" t="str">
            <v>---</v>
          </cell>
          <cell r="DE49" t="str">
            <v>---</v>
          </cell>
          <cell r="DF49">
            <v>2110</v>
          </cell>
          <cell r="DG49" t="str">
            <v>---</v>
          </cell>
          <cell r="DH49" t="str">
            <v>---</v>
          </cell>
          <cell r="DI49" t="str">
            <v>---</v>
          </cell>
          <cell r="DJ49">
            <v>2010</v>
          </cell>
          <cell r="DK49" t="str">
            <v>---</v>
          </cell>
          <cell r="DL49" t="str">
            <v>---</v>
          </cell>
          <cell r="DM49" t="str">
            <v>---</v>
          </cell>
          <cell r="DN49">
            <v>2010</v>
          </cell>
          <cell r="DO49" t="str">
            <v>---</v>
          </cell>
          <cell r="DP49" t="str">
            <v>---</v>
          </cell>
          <cell r="DQ49" t="str">
            <v>---</v>
          </cell>
          <cell r="DR49">
            <v>2010</v>
          </cell>
          <cell r="DS49" t="str">
            <v>---</v>
          </cell>
          <cell r="DT49" t="str">
            <v>---</v>
          </cell>
          <cell r="DU49" t="str">
            <v>---</v>
          </cell>
          <cell r="DV49">
            <v>2020</v>
          </cell>
          <cell r="DW49" t="str">
            <v>---</v>
          </cell>
          <cell r="DX49" t="str">
            <v>---</v>
          </cell>
          <cell r="DY49" t="str">
            <v>---</v>
          </cell>
          <cell r="DZ49">
            <v>2020</v>
          </cell>
          <cell r="EA49" t="str">
            <v>---</v>
          </cell>
          <cell r="EB49" t="str">
            <v>---</v>
          </cell>
          <cell r="EC49" t="str">
            <v>---</v>
          </cell>
          <cell r="ED49">
            <v>2017</v>
          </cell>
          <cell r="EE49" t="str">
            <v>---</v>
          </cell>
          <cell r="EF49" t="str">
            <v>---</v>
          </cell>
          <cell r="EG49" t="str">
            <v>---</v>
          </cell>
          <cell r="EH49">
            <v>2017</v>
          </cell>
          <cell r="EI49" t="str">
            <v>---</v>
          </cell>
          <cell r="EJ49" t="str">
            <v>---</v>
          </cell>
          <cell r="EK49" t="str">
            <v>---</v>
          </cell>
          <cell r="EL49">
            <v>2014</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row>
        <row r="50">
          <cell r="B50" t="str">
            <v>Standard Deviation</v>
          </cell>
          <cell r="C50">
            <v>94.818370849771497</v>
          </cell>
          <cell r="D50">
            <v>98.735066486136731</v>
          </cell>
          <cell r="E50">
            <v>37.51942058926025</v>
          </cell>
          <cell r="F50">
            <v>2.8737185419345193</v>
          </cell>
          <cell r="G50">
            <v>21.986053261213812</v>
          </cell>
          <cell r="H50">
            <v>34.630035987422957</v>
          </cell>
          <cell r="I50">
            <v>26.479473814205257</v>
          </cell>
          <cell r="J50">
            <v>2.8737185419345193</v>
          </cell>
          <cell r="K50">
            <v>447.13853791097006</v>
          </cell>
          <cell r="L50">
            <v>447.18060536417647</v>
          </cell>
          <cell r="M50">
            <v>11.542060455434736</v>
          </cell>
          <cell r="N50">
            <v>1.4149211999266964</v>
          </cell>
          <cell r="O50">
            <v>220.16885600879806</v>
          </cell>
          <cell r="P50">
            <v>220.21821070229183</v>
          </cell>
          <cell r="Q50">
            <v>4.0936369730465136</v>
          </cell>
          <cell r="R50">
            <v>3.1871080398470255</v>
          </cell>
          <cell r="S50">
            <v>795.8723858213242</v>
          </cell>
          <cell r="T50">
            <v>829.29766053193157</v>
          </cell>
          <cell r="U50">
            <v>231.03700414345721</v>
          </cell>
          <cell r="V50">
            <v>2.8737185419345193</v>
          </cell>
          <cell r="W50">
            <v>338.85230758399553</v>
          </cell>
          <cell r="X50">
            <v>499.7700015691924</v>
          </cell>
          <cell r="Y50">
            <v>384.7316070494179</v>
          </cell>
          <cell r="Z50">
            <v>2.8737185419345193</v>
          </cell>
          <cell r="AA50">
            <v>15.738063510310546</v>
          </cell>
          <cell r="AB50">
            <v>15.203247463507351</v>
          </cell>
          <cell r="AC50">
            <v>5.8590359610608997</v>
          </cell>
          <cell r="AD50">
            <v>1.9185361035906732</v>
          </cell>
          <cell r="AE50">
            <v>220.9450372350106</v>
          </cell>
          <cell r="AF50">
            <v>221.12192903292839</v>
          </cell>
          <cell r="AG50">
            <v>4.2896143416190489</v>
          </cell>
          <cell r="AH50">
            <v>3.1871080398470255</v>
          </cell>
          <cell r="AI50">
            <v>220.07140211595257</v>
          </cell>
          <cell r="AJ50">
            <v>220.07126234369588</v>
          </cell>
          <cell r="AK50">
            <v>4.7159989621141207</v>
          </cell>
          <cell r="AL50">
            <v>3.1871080398470255</v>
          </cell>
          <cell r="AM50">
            <v>11.687902756044698</v>
          </cell>
          <cell r="AN50">
            <v>21.339904529607299</v>
          </cell>
          <cell r="AO50">
            <v>3447.1449545171995</v>
          </cell>
          <cell r="AP50">
            <v>0</v>
          </cell>
          <cell r="AQ50">
            <v>40.372062579571924</v>
          </cell>
          <cell r="AR50">
            <v>40.265432512975309</v>
          </cell>
          <cell r="AS50">
            <v>7.084751208363123</v>
          </cell>
          <cell r="AT50">
            <v>1.9185361035906732</v>
          </cell>
          <cell r="AU50">
            <v>11.694933659738853</v>
          </cell>
          <cell r="AV50">
            <v>21.352741647970831</v>
          </cell>
          <cell r="AW50">
            <v>4988.4503745892471</v>
          </cell>
          <cell r="AX50">
            <v>0</v>
          </cell>
          <cell r="AY50">
            <v>191.22839562845141</v>
          </cell>
          <cell r="AZ50">
            <v>204.99183781651277</v>
          </cell>
          <cell r="BA50">
            <v>73.554532063646718</v>
          </cell>
          <cell r="BB50">
            <v>2.8737185419345193</v>
          </cell>
          <cell r="BC50">
            <v>3.5548954355143478</v>
          </cell>
          <cell r="BD50">
            <v>6.4905681480454529</v>
          </cell>
          <cell r="BE50">
            <v>320.16456163658859</v>
          </cell>
          <cell r="BF50">
            <v>0</v>
          </cell>
          <cell r="BG50">
            <v>93.898501406899982</v>
          </cell>
          <cell r="BH50">
            <v>93.761477684243971</v>
          </cell>
          <cell r="BI50">
            <v>10.31774701253741</v>
          </cell>
          <cell r="BJ50">
            <v>2.8737185419345193</v>
          </cell>
          <cell r="BK50">
            <v>21.699376822475081</v>
          </cell>
          <cell r="BL50">
            <v>34.126223043419976</v>
          </cell>
          <cell r="BM50">
            <v>26.811599916167619</v>
          </cell>
          <cell r="BN50">
            <v>2.8737185419345193</v>
          </cell>
          <cell r="BO50">
            <v>868.90822244715764</v>
          </cell>
          <cell r="BP50">
            <v>870.59172998557688</v>
          </cell>
          <cell r="BQ50">
            <v>40.198472337624203</v>
          </cell>
          <cell r="BR50">
            <v>3.1871080398470255</v>
          </cell>
          <cell r="BS50">
            <v>1.26144921767972E-6</v>
          </cell>
          <cell r="BT50">
            <v>1.7368761610015811E-6</v>
          </cell>
          <cell r="BU50">
            <v>358.54303357239706</v>
          </cell>
          <cell r="BV50">
            <v>0</v>
          </cell>
          <cell r="BW50">
            <v>48461.165569968573</v>
          </cell>
          <cell r="BX50">
            <v>43108.276830612449</v>
          </cell>
          <cell r="BY50">
            <v>4732.9921535279263</v>
          </cell>
          <cell r="BZ50">
            <v>36.448968796474084</v>
          </cell>
          <cell r="CA50">
            <v>472.49355379336112</v>
          </cell>
          <cell r="CB50">
            <v>762.43217448297094</v>
          </cell>
          <cell r="CC50">
            <v>1729.9935894706073</v>
          </cell>
          <cell r="CD50">
            <v>7.7482056432886841</v>
          </cell>
          <cell r="CE50">
            <v>24.075880986803149</v>
          </cell>
          <cell r="CF50">
            <v>30.611308630804277</v>
          </cell>
          <cell r="CG50">
            <v>7.006766639102409</v>
          </cell>
          <cell r="CH50">
            <v>30.657956574130402</v>
          </cell>
          <cell r="CI50">
            <v>311.36088603396627</v>
          </cell>
          <cell r="CJ50">
            <v>502.04674672619154</v>
          </cell>
          <cell r="CK50">
            <v>831.90294183094352</v>
          </cell>
          <cell r="CL50">
            <v>5.8995172941779082</v>
          </cell>
          <cell r="CM50">
            <v>23.959535820067174</v>
          </cell>
          <cell r="CN50">
            <v>30.022697337222628</v>
          </cell>
          <cell r="CO50">
            <v>6.7851963993739037</v>
          </cell>
          <cell r="CP50">
            <v>30.675072601040512</v>
          </cell>
          <cell r="CQ50">
            <v>24.107479399412373</v>
          </cell>
          <cell r="CR50">
            <v>44.015707539985229</v>
          </cell>
          <cell r="CS50">
            <v>4222.7639213801694</v>
          </cell>
          <cell r="CT50">
            <v>0</v>
          </cell>
          <cell r="CU50">
            <v>179.69606675496442</v>
          </cell>
          <cell r="CV50">
            <v>269.19622721553947</v>
          </cell>
          <cell r="CW50">
            <v>246.08674911080215</v>
          </cell>
          <cell r="CX50">
            <v>3.1969079155052582</v>
          </cell>
          <cell r="CY50">
            <v>16.394814544050423</v>
          </cell>
          <cell r="CZ50">
            <v>21.696711094126147</v>
          </cell>
          <cell r="DA50">
            <v>13.762829882161149</v>
          </cell>
          <cell r="DB50">
            <v>2.3485987132577124</v>
          </cell>
          <cell r="DC50">
            <v>3139.0892816276832</v>
          </cell>
          <cell r="DD50">
            <v>4070.0820179606953</v>
          </cell>
          <cell r="DE50">
            <v>32987.241214633264</v>
          </cell>
          <cell r="DF50">
            <v>33.831709749650301</v>
          </cell>
          <cell r="DG50">
            <v>94.804294090892142</v>
          </cell>
          <cell r="DH50">
            <v>94.605534341216924</v>
          </cell>
          <cell r="DI50">
            <v>10.574373926471994</v>
          </cell>
          <cell r="DJ50">
            <v>2.8737185419345193</v>
          </cell>
          <cell r="DK50">
            <v>22.032619665503312</v>
          </cell>
          <cell r="DL50">
            <v>34.795129986667476</v>
          </cell>
          <cell r="DM50">
            <v>26.16245885750169</v>
          </cell>
          <cell r="DN50">
            <v>2.8737185419345193</v>
          </cell>
          <cell r="DO50">
            <v>438.17220888435025</v>
          </cell>
          <cell r="DP50">
            <v>439.66064095824396</v>
          </cell>
          <cell r="DQ50">
            <v>30.133756326053366</v>
          </cell>
          <cell r="DR50">
            <v>2.8737185419345193</v>
          </cell>
          <cell r="DS50">
            <v>220.0058858993234</v>
          </cell>
          <cell r="DT50">
            <v>220.15321483599055</v>
          </cell>
          <cell r="DU50">
            <v>4.0976459172835167</v>
          </cell>
          <cell r="DV50">
            <v>3.1871080398470255</v>
          </cell>
          <cell r="DW50">
            <v>219.85910979876942</v>
          </cell>
          <cell r="DX50">
            <v>219.76354055787408</v>
          </cell>
          <cell r="DY50">
            <v>4.606496557686321</v>
          </cell>
          <cell r="DZ50">
            <v>3.1871080398470255</v>
          </cell>
          <cell r="EA50">
            <v>243.88485244897601</v>
          </cell>
          <cell r="EB50">
            <v>303.42544980254598</v>
          </cell>
          <cell r="EC50">
            <v>193.96327205646398</v>
          </cell>
          <cell r="ED50">
            <v>1.9185361035906732</v>
          </cell>
          <cell r="EE50">
            <v>567.82645105036204</v>
          </cell>
          <cell r="EF50">
            <v>575.3385372513842</v>
          </cell>
          <cell r="EG50">
            <v>101.42701035304823</v>
          </cell>
          <cell r="EH50">
            <v>1.9185361035906732</v>
          </cell>
          <cell r="EI50">
            <v>430.3844643622985</v>
          </cell>
          <cell r="EJ50">
            <v>598.92367225539579</v>
          </cell>
          <cell r="EK50">
            <v>477.67777538731167</v>
          </cell>
          <cell r="EL50">
            <v>3.1969079155052582</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row>
        <row r="51">
          <cell r="B51" t="str">
            <v>Variance</v>
          </cell>
          <cell r="C51">
            <v>8990.5234506047982</v>
          </cell>
          <cell r="D51">
            <v>9748.6133540218416</v>
          </cell>
          <cell r="E51">
            <v>1407.7069213538057</v>
          </cell>
          <cell r="F51">
            <v>8.2582582582582589</v>
          </cell>
          <cell r="G51">
            <v>483.38653800493046</v>
          </cell>
          <cell r="H51">
            <v>1199.239392490209</v>
          </cell>
          <cell r="I51">
            <v>701.16253347718191</v>
          </cell>
          <cell r="J51">
            <v>8.2582582582582589</v>
          </cell>
          <cell r="K51">
            <v>199932.87208515999</v>
          </cell>
          <cell r="L51">
            <v>199970.49381387132</v>
          </cell>
          <cell r="M51">
            <v>133.21915955691031</v>
          </cell>
          <cell r="N51">
            <v>2.0020020020020022</v>
          </cell>
          <cell r="O51">
            <v>48474.325156222847</v>
          </cell>
          <cell r="P51">
            <v>48496.060324918995</v>
          </cell>
          <cell r="Q51">
            <v>16.757863667093424</v>
          </cell>
          <cell r="R51">
            <v>10.157657657657548</v>
          </cell>
          <cell r="S51">
            <v>633412.85451292677</v>
          </cell>
          <cell r="T51">
            <v>687734.60976373486</v>
          </cell>
          <cell r="U51">
            <v>53378.097283583869</v>
          </cell>
          <cell r="V51">
            <v>8.2582582582582589</v>
          </cell>
          <cell r="W51">
            <v>114820.8863549987</v>
          </cell>
          <cell r="X51">
            <v>249770.0544684706</v>
          </cell>
          <cell r="Y51">
            <v>148018.40946282769</v>
          </cell>
          <cell r="Z51">
            <v>8.2582582582582589</v>
          </cell>
          <cell r="AA51">
            <v>247.68664305456832</v>
          </cell>
          <cell r="AB51">
            <v>231.1387334366427</v>
          </cell>
          <cell r="AC51">
            <v>34.328302393004826</v>
          </cell>
          <cell r="AD51">
            <v>3.6807807807808826</v>
          </cell>
          <cell r="AE51">
            <v>48816.70947878022</v>
          </cell>
          <cell r="AF51">
            <v>48894.907499243418</v>
          </cell>
          <cell r="AG51">
            <v>18.400791199823825</v>
          </cell>
          <cell r="AH51">
            <v>10.157657657657548</v>
          </cell>
          <cell r="AI51">
            <v>48431.422029281297</v>
          </cell>
          <cell r="AJ51">
            <v>48431.360509547812</v>
          </cell>
          <cell r="AK51">
            <v>22.240646210661467</v>
          </cell>
          <cell r="AL51">
            <v>10.157657657657548</v>
          </cell>
          <cell r="AM51">
            <v>136.60707083475725</v>
          </cell>
          <cell r="AN51">
            <v>455.39152533275416</v>
          </cell>
          <cell r="AO51">
            <v>11882808.337453386</v>
          </cell>
          <cell r="AP51">
            <v>0</v>
          </cell>
          <cell r="AQ51">
            <v>1629.9034369288715</v>
          </cell>
          <cell r="AR51">
            <v>1621.3050554569691</v>
          </cell>
          <cell r="AS51">
            <v>50.193699684402738</v>
          </cell>
          <cell r="AT51">
            <v>3.6807807807808826</v>
          </cell>
          <cell r="AU51">
            <v>136.77147330569281</v>
          </cell>
          <cell r="AV51">
            <v>455.93957588498802</v>
          </cell>
          <cell r="AW51">
            <v>24884637.139739603</v>
          </cell>
          <cell r="AX51">
            <v>0</v>
          </cell>
          <cell r="AY51">
            <v>36568.299294631535</v>
          </cell>
          <cell r="AZ51">
            <v>42021.653571391478</v>
          </cell>
          <cell r="BA51">
            <v>5410.2691871020334</v>
          </cell>
          <cell r="BB51">
            <v>8.2582582582582589</v>
          </cell>
          <cell r="BC51">
            <v>12.637281557440746</v>
          </cell>
          <cell r="BD51">
            <v>42.127474884422185</v>
          </cell>
          <cell r="BE51">
            <v>102505.34652794892</v>
          </cell>
          <cell r="BF51">
            <v>0</v>
          </cell>
          <cell r="BG51">
            <v>8816.9285664615982</v>
          </cell>
          <cell r="BH51">
            <v>8791.2146975329797</v>
          </cell>
          <cell r="BI51">
            <v>106.45590341472466</v>
          </cell>
          <cell r="BJ51">
            <v>8.2582582582582589</v>
          </cell>
          <cell r="BK51">
            <v>470.8629544837687</v>
          </cell>
          <cell r="BL51">
            <v>1164.5990992092488</v>
          </cell>
          <cell r="BM51">
            <v>718.86189006463951</v>
          </cell>
          <cell r="BN51">
            <v>8.2582582582582589</v>
          </cell>
          <cell r="BO51">
            <v>755001.49903627916</v>
          </cell>
          <cell r="BP51">
            <v>757929.96031927969</v>
          </cell>
          <cell r="BQ51">
            <v>1615.917178278738</v>
          </cell>
          <cell r="BR51">
            <v>10.157657657657548</v>
          </cell>
          <cell r="BS51">
            <v>1.5912541287847779E-12</v>
          </cell>
          <cell r="BT51">
            <v>3.01673879865559E-12</v>
          </cell>
          <cell r="BU51">
            <v>128553.10692329706</v>
          </cell>
          <cell r="BV51">
            <v>0</v>
          </cell>
          <cell r="BW51">
            <v>2348484568.3999071</v>
          </cell>
          <cell r="BX51">
            <v>1858323531.304718</v>
          </cell>
          <cell r="BY51">
            <v>22401214.725356918</v>
          </cell>
          <cell r="BZ51">
            <v>1328.5273263263416</v>
          </cell>
          <cell r="CA51">
            <v>223250.15837627981</v>
          </cell>
          <cell r="CB51">
            <v>581302.82068683137</v>
          </cell>
          <cell r="CC51">
            <v>2992877.8196093957</v>
          </cell>
          <cell r="CD51">
            <v>60.03469069069061</v>
          </cell>
          <cell r="CE51">
            <v>579.64804529070943</v>
          </cell>
          <cell r="CF51">
            <v>937.05221609035254</v>
          </cell>
          <cell r="CG51">
            <v>49.094778734838464</v>
          </cell>
          <cell r="CH51">
            <v>939.91030130126558</v>
          </cell>
          <cell r="CI51">
            <v>96945.601351856531</v>
          </cell>
          <cell r="CJ51">
            <v>252050.93589835273</v>
          </cell>
          <cell r="CK51">
            <v>692062.50462697819</v>
          </cell>
          <cell r="CL51">
            <v>34.804304304304225</v>
          </cell>
          <cell r="CM51">
            <v>574.05935671308191</v>
          </cell>
          <cell r="CN51">
            <v>901.36235540247458</v>
          </cell>
          <cell r="CO51">
            <v>46.038890178076585</v>
          </cell>
          <cell r="CP51">
            <v>940.96007907910621</v>
          </cell>
          <cell r="CQ51">
            <v>581.17056299309195</v>
          </cell>
          <cell r="CR51">
            <v>1937.3825102455125</v>
          </cell>
          <cell r="CS51">
            <v>17831735.135710023</v>
          </cell>
          <cell r="CT51">
            <v>0</v>
          </cell>
          <cell r="CU51">
            <v>32290.676407204628</v>
          </cell>
          <cell r="CV51">
            <v>72466.608747080361</v>
          </cell>
          <cell r="CW51">
            <v>60558.688087922877</v>
          </cell>
          <cell r="CX51">
            <v>10.220220220220176</v>
          </cell>
          <cell r="CY51">
            <v>268.78994393380725</v>
          </cell>
          <cell r="CZ51">
            <v>470.74727230197669</v>
          </cell>
          <cell r="DA51">
            <v>189.41548636530786</v>
          </cell>
          <cell r="DB51">
            <v>5.5159159159157829</v>
          </cell>
          <cell r="DC51">
            <v>9853881.5180298034</v>
          </cell>
          <cell r="DD51">
            <v>16565567.632927006</v>
          </cell>
          <cell r="DE51">
            <v>1088158082.9523995</v>
          </cell>
          <cell r="DF51">
            <v>1144.5845845845834</v>
          </cell>
          <cell r="DG51">
            <v>8987.8541780723663</v>
          </cell>
          <cell r="DH51">
            <v>8950.2071279871743</v>
          </cell>
          <cell r="DI51">
            <v>111.81738393685072</v>
          </cell>
          <cell r="DJ51">
            <v>8.2582582582582589</v>
          </cell>
          <cell r="DK51">
            <v>485.4363293247232</v>
          </cell>
          <cell r="DL51">
            <v>1210.7010707890861</v>
          </cell>
          <cell r="DM51">
            <v>684.47425347046862</v>
          </cell>
          <cell r="DN51">
            <v>8.2582582582582589</v>
          </cell>
          <cell r="DO51">
            <v>191994.88463859065</v>
          </cell>
          <cell r="DP51">
            <v>193301.47920781389</v>
          </cell>
          <cell r="DQ51">
            <v>908.04327031796129</v>
          </cell>
          <cell r="DR51">
            <v>8.2582582582582589</v>
          </cell>
          <cell r="DS51">
            <v>48402.589830346107</v>
          </cell>
          <cell r="DT51">
            <v>48467.438002621806</v>
          </cell>
          <cell r="DU51">
            <v>16.790702063430274</v>
          </cell>
          <cell r="DV51">
            <v>10.157657657657548</v>
          </cell>
          <cell r="DW51">
            <v>48338.028161507347</v>
          </cell>
          <cell r="DX51">
            <v>48296.013758532361</v>
          </cell>
          <cell r="DY51">
            <v>21.219810535975927</v>
          </cell>
          <cell r="DZ51">
            <v>10.157657657657548</v>
          </cell>
          <cell r="EA51">
            <v>59479.821254058792</v>
          </cell>
          <cell r="EB51">
            <v>92067.003587877363</v>
          </cell>
          <cell r="EC51">
            <v>37621.750906849855</v>
          </cell>
          <cell r="ED51">
            <v>3.6807807807808826</v>
          </cell>
          <cell r="EE51">
            <v>322426.87851244916</v>
          </cell>
          <cell r="EF51">
            <v>331014.43244656239</v>
          </cell>
          <cell r="EG51">
            <v>10287.438429157353</v>
          </cell>
          <cell r="EH51">
            <v>3.6807807807808826</v>
          </cell>
          <cell r="EI51">
            <v>185230.78716442257</v>
          </cell>
          <cell r="EJ51">
            <v>358709.56518788874</v>
          </cell>
          <cell r="EK51">
            <v>228176.05709897095</v>
          </cell>
          <cell r="EL51">
            <v>10.220220220220176</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row>
        <row r="52">
          <cell r="B52" t="str">
            <v>Skewness</v>
          </cell>
          <cell r="C52">
            <v>-1.9343483354423371E-3</v>
          </cell>
          <cell r="D52">
            <v>2.0726836278686427E-2</v>
          </cell>
          <cell r="E52">
            <v>0.1927282799483814</v>
          </cell>
          <cell r="F52">
            <v>2.3980817331903381E-17</v>
          </cell>
          <cell r="G52">
            <v>0.42716593044571027</v>
          </cell>
          <cell r="H52">
            <v>0.44419144830584456</v>
          </cell>
          <cell r="I52">
            <v>0.33374599112555037</v>
          </cell>
          <cell r="J52">
            <v>2.3980817331903381E-17</v>
          </cell>
          <cell r="K52">
            <v>0.57394805364648249</v>
          </cell>
          <cell r="L52">
            <v>0.5741921931846623</v>
          </cell>
          <cell r="M52">
            <v>1.8808260025678154E-2</v>
          </cell>
          <cell r="N52">
            <v>-8.0824236192711394E-17</v>
          </cell>
          <cell r="O52">
            <v>0.55560253275538096</v>
          </cell>
          <cell r="P52">
            <v>0.55713980703641475</v>
          </cell>
          <cell r="Q52">
            <v>0.14998833634332129</v>
          </cell>
          <cell r="R52">
            <v>-8.4096424373315912E-3</v>
          </cell>
          <cell r="S52">
            <v>0.55911848148810883</v>
          </cell>
          <cell r="T52">
            <v>0.5485245881226205</v>
          </cell>
          <cell r="U52">
            <v>0.12348808872976216</v>
          </cell>
          <cell r="V52">
            <v>2.3980817331903381E-17</v>
          </cell>
          <cell r="W52">
            <v>-2.5003877350637184E-3</v>
          </cell>
          <cell r="X52">
            <v>-2.2707521167048883E-2</v>
          </cell>
          <cell r="Y52">
            <v>-1.4931193425231649E-2</v>
          </cell>
          <cell r="Z52">
            <v>2.3980817331903381E-17</v>
          </cell>
          <cell r="AA52">
            <v>-0.33376887434928471</v>
          </cell>
          <cell r="AB52">
            <v>-0.28938271374018959</v>
          </cell>
          <cell r="AC52">
            <v>-0.35571245318960615</v>
          </cell>
          <cell r="AD52">
            <v>-1.0591436258823572</v>
          </cell>
          <cell r="AE52">
            <v>0.58025887974546697</v>
          </cell>
          <cell r="AF52">
            <v>0.58145202943681396</v>
          </cell>
          <cell r="AG52">
            <v>0.19965757289747443</v>
          </cell>
          <cell r="AH52">
            <v>-8.4096424373315912E-3</v>
          </cell>
          <cell r="AI52">
            <v>0.5634306254261926</v>
          </cell>
          <cell r="AJ52">
            <v>0.56569740782489186</v>
          </cell>
          <cell r="AK52">
            <v>0.22760342078725726</v>
          </cell>
          <cell r="AL52">
            <v>-8.4096424373315912E-3</v>
          </cell>
          <cell r="AM52">
            <v>-2.6700507767456918E-3</v>
          </cell>
          <cell r="AN52">
            <v>-2.6700506849506684E-3</v>
          </cell>
          <cell r="AO52">
            <v>-6.3070642417267566E-5</v>
          </cell>
          <cell r="AP52" t="str">
            <v>---</v>
          </cell>
          <cell r="AQ52">
            <v>0.34077138470807739</v>
          </cell>
          <cell r="AR52">
            <v>0.36181092459537606</v>
          </cell>
          <cell r="AS52">
            <v>-0.40391657053622521</v>
          </cell>
          <cell r="AT52">
            <v>-1.0591436258823572</v>
          </cell>
          <cell r="AU52">
            <v>-5.8808170078368674E-3</v>
          </cell>
          <cell r="AV52">
            <v>-5.8808183754244202E-3</v>
          </cell>
          <cell r="AW52">
            <v>1.1935063329893048E-4</v>
          </cell>
          <cell r="AX52" t="str">
            <v>---</v>
          </cell>
          <cell r="AY52">
            <v>0.55329311300886741</v>
          </cell>
          <cell r="AZ52">
            <v>0.48517433710176144</v>
          </cell>
          <cell r="BA52">
            <v>0.14672879412159853</v>
          </cell>
          <cell r="BB52">
            <v>2.3980817331903381E-17</v>
          </cell>
          <cell r="BC52">
            <v>-5.412787823551193E-3</v>
          </cell>
          <cell r="BD52">
            <v>-5.4127879315259905E-3</v>
          </cell>
          <cell r="BE52">
            <v>6.5792609366793209E-3</v>
          </cell>
          <cell r="BF52" t="str">
            <v>---</v>
          </cell>
          <cell r="BG52">
            <v>1.0078103867960016E-2</v>
          </cell>
          <cell r="BH52">
            <v>1.518086987169533E-2</v>
          </cell>
          <cell r="BI52">
            <v>0.25190801664162799</v>
          </cell>
          <cell r="BJ52">
            <v>2.3980817331903381E-17</v>
          </cell>
          <cell r="BK52">
            <v>0.39320005756628024</v>
          </cell>
          <cell r="BL52">
            <v>0.3964002867882564</v>
          </cell>
          <cell r="BM52">
            <v>0.35548892753060585</v>
          </cell>
          <cell r="BN52">
            <v>2.3980817331903381E-17</v>
          </cell>
          <cell r="BO52">
            <v>0.55667645334014015</v>
          </cell>
          <cell r="BP52">
            <v>0.55076906305637752</v>
          </cell>
          <cell r="BQ52">
            <v>-0.21272877090131703</v>
          </cell>
          <cell r="BR52">
            <v>-8.4096424373315912E-3</v>
          </cell>
          <cell r="BS52">
            <v>9.6607322637109569E-2</v>
          </cell>
          <cell r="BT52">
            <v>9.6607322637109264E-2</v>
          </cell>
          <cell r="BU52">
            <v>4.3059263262867645E-2</v>
          </cell>
          <cell r="BV52" t="str">
            <v>---</v>
          </cell>
          <cell r="BW52">
            <v>1.1982868145505596</v>
          </cell>
          <cell r="BX52">
            <v>-0.52851903902756125</v>
          </cell>
          <cell r="BY52">
            <v>0.21050567725457586</v>
          </cell>
          <cell r="BZ52">
            <v>0.66169385134325875</v>
          </cell>
          <cell r="CA52">
            <v>0.41908945676484305</v>
          </cell>
          <cell r="CB52">
            <v>0.42908271366129708</v>
          </cell>
          <cell r="CC52">
            <v>11.618688242667352</v>
          </cell>
          <cell r="CD52">
            <v>9.8762150623597655</v>
          </cell>
          <cell r="CE52">
            <v>3.113674531372788</v>
          </cell>
          <cell r="CF52">
            <v>1.9427076001562833</v>
          </cell>
          <cell r="CG52">
            <v>-2.6454200359572203E-2</v>
          </cell>
          <cell r="CH52">
            <v>-1.6017362508757669</v>
          </cell>
          <cell r="CI52">
            <v>0.40248101075008491</v>
          </cell>
          <cell r="CJ52">
            <v>0.41517049450946913</v>
          </cell>
          <cell r="CK52">
            <v>12.13705122286661</v>
          </cell>
          <cell r="CL52">
            <v>11.24453439257341</v>
          </cell>
          <cell r="CM52">
            <v>3.0904053934682443</v>
          </cell>
          <cell r="CN52">
            <v>1.9739676253463778</v>
          </cell>
          <cell r="CO52">
            <v>4.982240937194591E-2</v>
          </cell>
          <cell r="CP52">
            <v>-1.6028113018181753</v>
          </cell>
          <cell r="CQ52">
            <v>-5.8597040003625584E-3</v>
          </cell>
          <cell r="CR52">
            <v>-5.8597026724055363E-3</v>
          </cell>
          <cell r="CS52">
            <v>5.2654561397319152E-3</v>
          </cell>
          <cell r="CT52" t="str">
            <v>---</v>
          </cell>
          <cell r="CU52">
            <v>4.0166313149016745E-2</v>
          </cell>
          <cell r="CV52">
            <v>6.431432702230358E-2</v>
          </cell>
          <cell r="CW52">
            <v>0.17294851476534484</v>
          </cell>
          <cell r="CX52">
            <v>-0.28206687385950185</v>
          </cell>
          <cell r="CY52">
            <v>8.7041579578612541E-2</v>
          </cell>
          <cell r="CZ52">
            <v>0.11581344454785855</v>
          </cell>
          <cell r="DA52">
            <v>0.16087047667294585</v>
          </cell>
          <cell r="DB52">
            <v>-4.6478363363802982E-2</v>
          </cell>
          <cell r="DC52">
            <v>0.54233369863504943</v>
          </cell>
          <cell r="DD52">
            <v>0.20651770047866097</v>
          </cell>
          <cell r="DE52">
            <v>1.5147073945794265</v>
          </cell>
          <cell r="DF52">
            <v>1.1603000264037935</v>
          </cell>
          <cell r="DG52">
            <v>-3.160217248331925E-2</v>
          </cell>
          <cell r="DH52">
            <v>-3.4371633821435481E-2</v>
          </cell>
          <cell r="DI52">
            <v>0.15047661343671967</v>
          </cell>
          <cell r="DJ52">
            <v>2.3980817331903381E-17</v>
          </cell>
          <cell r="DK52">
            <v>0.3140773812256189</v>
          </cell>
          <cell r="DL52">
            <v>0.34312118018155446</v>
          </cell>
          <cell r="DM52">
            <v>0.36545792379308767</v>
          </cell>
          <cell r="DN52">
            <v>2.3980817331903381E-17</v>
          </cell>
          <cell r="DO52">
            <v>0.57532384156438476</v>
          </cell>
          <cell r="DP52">
            <v>0.57482117563241542</v>
          </cell>
          <cell r="DQ52">
            <v>-0.31744159760487006</v>
          </cell>
          <cell r="DR52">
            <v>2.3980817331903381E-17</v>
          </cell>
          <cell r="DS52">
            <v>0.5620995182034455</v>
          </cell>
          <cell r="DT52">
            <v>0.5621389780475653</v>
          </cell>
          <cell r="DU52">
            <v>0.13294660449543375</v>
          </cell>
          <cell r="DV52">
            <v>-8.4096424373315912E-3</v>
          </cell>
          <cell r="DW52">
            <v>0.56177424676150267</v>
          </cell>
          <cell r="DX52">
            <v>0.56383753165493178</v>
          </cell>
          <cell r="DY52">
            <v>0.1908061174804512</v>
          </cell>
          <cell r="DZ52">
            <v>-8.4096424373315912E-3</v>
          </cell>
          <cell r="EA52">
            <v>0.30100114571264058</v>
          </cell>
          <cell r="EB52">
            <v>0.20861662034972961</v>
          </cell>
          <cell r="EC52">
            <v>-4.5097231891745117E-2</v>
          </cell>
          <cell r="ED52">
            <v>-1.0591436258823572</v>
          </cell>
          <cell r="EE52">
            <v>0.56389417973709244</v>
          </cell>
          <cell r="EF52">
            <v>0.55661425896084782</v>
          </cell>
          <cell r="EG52">
            <v>7.743640983159622E-2</v>
          </cell>
          <cell r="EH52">
            <v>-1.0591436258823572</v>
          </cell>
          <cell r="EI52">
            <v>6.7850684622268176E-3</v>
          </cell>
          <cell r="EJ52">
            <v>2.8356006267675905E-2</v>
          </cell>
          <cell r="EK52">
            <v>0.23667027616020733</v>
          </cell>
          <cell r="EL52">
            <v>-0.28206687385950185</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row>
        <row r="53">
          <cell r="B53" t="str">
            <v>Kurtosis</v>
          </cell>
          <cell r="C53">
            <v>2.4720397673189698</v>
          </cell>
          <cell r="D53">
            <v>2.5600293699032899</v>
          </cell>
          <cell r="E53">
            <v>2.606643398722249</v>
          </cell>
          <cell r="F53">
            <v>1.7722078363636351</v>
          </cell>
          <cell r="G53">
            <v>2.8011977101770542</v>
          </cell>
          <cell r="H53">
            <v>2.7760535528016637</v>
          </cell>
          <cell r="I53">
            <v>2.6503680794823485</v>
          </cell>
          <cell r="J53">
            <v>1.7722078363636351</v>
          </cell>
          <cell r="K53">
            <v>2.4264180958980406</v>
          </cell>
          <cell r="L53">
            <v>2.4271371241167512</v>
          </cell>
          <cell r="M53">
            <v>2.3797526747235764</v>
          </cell>
          <cell r="N53">
            <v>1.6966016999999807</v>
          </cell>
          <cell r="O53">
            <v>2.3967937340375789</v>
          </cell>
          <cell r="P53">
            <v>2.3977670844351922</v>
          </cell>
          <cell r="Q53">
            <v>2.5665162041517293</v>
          </cell>
          <cell r="R53">
            <v>1.7675494309123689</v>
          </cell>
          <cell r="S53">
            <v>2.4534720033220103</v>
          </cell>
          <cell r="T53">
            <v>2.5157596632962247</v>
          </cell>
          <cell r="U53">
            <v>2.6231837084248966</v>
          </cell>
          <cell r="V53">
            <v>1.7722078363636351</v>
          </cell>
          <cell r="W53">
            <v>2.6625116133406328</v>
          </cell>
          <cell r="X53">
            <v>2.5779714143090624</v>
          </cell>
          <cell r="Y53">
            <v>2.5027880771465996</v>
          </cell>
          <cell r="Z53">
            <v>1.7722078363636351</v>
          </cell>
          <cell r="AA53">
            <v>2.7426998358472141</v>
          </cell>
          <cell r="AB53">
            <v>2.7366937513233487</v>
          </cell>
          <cell r="AC53">
            <v>2.8050446749632036</v>
          </cell>
          <cell r="AD53">
            <v>3.2300436558282057</v>
          </cell>
          <cell r="AE53">
            <v>2.4637633398362269</v>
          </cell>
          <cell r="AF53">
            <v>2.4698755880298378</v>
          </cell>
          <cell r="AG53">
            <v>2.4005171755600294</v>
          </cell>
          <cell r="AH53">
            <v>1.7675494309123689</v>
          </cell>
          <cell r="AI53">
            <v>2.4204050584076557</v>
          </cell>
          <cell r="AJ53">
            <v>2.4211750101201055</v>
          </cell>
          <cell r="AK53">
            <v>2.6377033252741127</v>
          </cell>
          <cell r="AL53">
            <v>1.7675494309123689</v>
          </cell>
          <cell r="AM53">
            <v>2.4044547803782974</v>
          </cell>
          <cell r="AN53">
            <v>2.4044547778512855</v>
          </cell>
          <cell r="AO53">
            <v>2.3851798852649599</v>
          </cell>
          <cell r="AP53" t="str">
            <v>---</v>
          </cell>
          <cell r="AQ53">
            <v>2.4087009813199645</v>
          </cell>
          <cell r="AR53">
            <v>2.4284916971458705</v>
          </cell>
          <cell r="AS53">
            <v>2.8720505017517675</v>
          </cell>
          <cell r="AT53">
            <v>3.2300436558282057</v>
          </cell>
          <cell r="AU53">
            <v>2.4118599477673937</v>
          </cell>
          <cell r="AV53">
            <v>2.411859955156471</v>
          </cell>
          <cell r="AW53">
            <v>2.3950128598327485</v>
          </cell>
          <cell r="AX53" t="str">
            <v>---</v>
          </cell>
          <cell r="AY53">
            <v>2.5532759052926659</v>
          </cell>
          <cell r="AZ53">
            <v>2.6705135088654068</v>
          </cell>
          <cell r="BA53">
            <v>2.5306573427977903</v>
          </cell>
          <cell r="BB53">
            <v>1.7722078363636351</v>
          </cell>
          <cell r="BC53">
            <v>2.387477844479176</v>
          </cell>
          <cell r="BD53">
            <v>2.3874778499468872</v>
          </cell>
          <cell r="BE53">
            <v>2.4039270926982792</v>
          </cell>
          <cell r="BF53" t="str">
            <v>---</v>
          </cell>
          <cell r="BG53">
            <v>2.3748454324010604</v>
          </cell>
          <cell r="BH53">
            <v>2.3725032800481114</v>
          </cell>
          <cell r="BI53">
            <v>2.7206126662862129</v>
          </cell>
          <cell r="BJ53">
            <v>1.7722078363636351</v>
          </cell>
          <cell r="BK53">
            <v>2.7902200718801624</v>
          </cell>
          <cell r="BL53">
            <v>2.7524458338714211</v>
          </cell>
          <cell r="BM53">
            <v>2.6982152779044815</v>
          </cell>
          <cell r="BN53">
            <v>1.7722078363636351</v>
          </cell>
          <cell r="BO53">
            <v>2.3959210333852341</v>
          </cell>
          <cell r="BP53">
            <v>2.3929799119249453</v>
          </cell>
          <cell r="BQ53">
            <v>2.439557646136512</v>
          </cell>
          <cell r="BR53">
            <v>1.7675494309123689</v>
          </cell>
          <cell r="BS53">
            <v>3.0164975547202317</v>
          </cell>
          <cell r="BT53">
            <v>3.0164975547202286</v>
          </cell>
          <cell r="BU53">
            <v>2.7294784814736737</v>
          </cell>
          <cell r="BV53" t="str">
            <v>---</v>
          </cell>
          <cell r="BW53">
            <v>2.7812782952013193</v>
          </cell>
          <cell r="BX53">
            <v>2.0433113502535543</v>
          </cell>
          <cell r="BY53">
            <v>3.118287617342256</v>
          </cell>
          <cell r="BZ53">
            <v>1.7254545182300065</v>
          </cell>
          <cell r="CA53">
            <v>2.6333834309744284</v>
          </cell>
          <cell r="CB53">
            <v>2.6130216681547367</v>
          </cell>
          <cell r="CC53">
            <v>173.59716299406318</v>
          </cell>
          <cell r="CD53">
            <v>117.72209150262316</v>
          </cell>
          <cell r="CE53">
            <v>11.783652547395084</v>
          </cell>
          <cell r="CF53">
            <v>5.5874406768816298</v>
          </cell>
          <cell r="CG53">
            <v>2.8041017834922775</v>
          </cell>
          <cell r="CH53">
            <v>3.7283178310934537</v>
          </cell>
          <cell r="CI53">
            <v>2.5311176902724761</v>
          </cell>
          <cell r="CJ53">
            <v>2.4983285763949339</v>
          </cell>
          <cell r="CK53">
            <v>236.80156714715733</v>
          </cell>
          <cell r="CL53">
            <v>177.22760644233159</v>
          </cell>
          <cell r="CM53">
            <v>11.514570210195151</v>
          </cell>
          <cell r="CN53">
            <v>5.7143153367189727</v>
          </cell>
          <cell r="CO53">
            <v>2.9245421726299048</v>
          </cell>
          <cell r="CP53">
            <v>3.7331118035037623</v>
          </cell>
          <cell r="CQ53">
            <v>2.3936981418457521</v>
          </cell>
          <cell r="CR53">
            <v>2.3936981415957388</v>
          </cell>
          <cell r="CS53">
            <v>2.4128116793062264</v>
          </cell>
          <cell r="CT53" t="str">
            <v>---</v>
          </cell>
          <cell r="CU53">
            <v>2.9868291295835538</v>
          </cell>
          <cell r="CV53">
            <v>2.8942076550418281</v>
          </cell>
          <cell r="CW53">
            <v>2.5336853450503911</v>
          </cell>
          <cell r="CX53">
            <v>2.0874259803451785</v>
          </cell>
          <cell r="CY53">
            <v>2.6746190166298631</v>
          </cell>
          <cell r="CZ53">
            <v>2.7311452318419343</v>
          </cell>
          <cell r="DA53">
            <v>2.5945191275747028</v>
          </cell>
          <cell r="DB53">
            <v>1.7193331439832533</v>
          </cell>
          <cell r="DC53">
            <v>1.4804476355313159</v>
          </cell>
          <cell r="DD53">
            <v>1.8616369758995441</v>
          </cell>
          <cell r="DE53">
            <v>3.4614240980283566</v>
          </cell>
          <cell r="DF53">
            <v>2.8129774511350578</v>
          </cell>
          <cell r="DG53">
            <v>2.4543287294542462</v>
          </cell>
          <cell r="DH53">
            <v>2.4351260249470279</v>
          </cell>
          <cell r="DI53">
            <v>2.5182991186648387</v>
          </cell>
          <cell r="DJ53">
            <v>1.7722078363636351</v>
          </cell>
          <cell r="DK53">
            <v>2.6440474936428884</v>
          </cell>
          <cell r="DL53">
            <v>2.6237487831423256</v>
          </cell>
          <cell r="DM53">
            <v>2.7781794619142461</v>
          </cell>
          <cell r="DN53">
            <v>1.7722078363636351</v>
          </cell>
          <cell r="DO53">
            <v>2.42806865927027</v>
          </cell>
          <cell r="DP53">
            <v>2.4362734181806429</v>
          </cell>
          <cell r="DQ53">
            <v>2.4039665078610257</v>
          </cell>
          <cell r="DR53">
            <v>1.7722078363636351</v>
          </cell>
          <cell r="DS53">
            <v>2.4195771492600993</v>
          </cell>
          <cell r="DT53">
            <v>2.4222469060258818</v>
          </cell>
          <cell r="DU53">
            <v>2.496523899010556</v>
          </cell>
          <cell r="DV53">
            <v>1.7675494309123689</v>
          </cell>
          <cell r="DW53">
            <v>2.4161999316671752</v>
          </cell>
          <cell r="DX53">
            <v>2.4214122052789779</v>
          </cell>
          <cell r="DY53">
            <v>2.581111997450984</v>
          </cell>
          <cell r="DZ53">
            <v>1.7675494309123689</v>
          </cell>
          <cell r="EA53">
            <v>2.6332487607438297</v>
          </cell>
          <cell r="EB53">
            <v>2.774937465267997</v>
          </cell>
          <cell r="EC53">
            <v>2.6116448480659513</v>
          </cell>
          <cell r="ED53">
            <v>3.2300436558282057</v>
          </cell>
          <cell r="EE53">
            <v>2.4787517607452059</v>
          </cell>
          <cell r="EF53">
            <v>2.5555181884105864</v>
          </cell>
          <cell r="EG53">
            <v>2.5361449820904869</v>
          </cell>
          <cell r="EH53">
            <v>3.2300436558282057</v>
          </cell>
          <cell r="EI53">
            <v>2.6698041612733214</v>
          </cell>
          <cell r="EJ53">
            <v>2.6493730815472518</v>
          </cell>
          <cell r="EK53">
            <v>2.6701522323368301</v>
          </cell>
          <cell r="EL53">
            <v>2.0874259803451785</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row>
        <row r="54">
          <cell r="B54" t="str">
            <v>Coeff. of Variability</v>
          </cell>
          <cell r="C54">
            <v>0.17485114458945913</v>
          </cell>
          <cell r="D54">
            <v>0.13895406183564893</v>
          </cell>
          <cell r="E54">
            <v>0.10534641521269221</v>
          </cell>
          <cell r="F54">
            <v>1.4265170225537449E-3</v>
          </cell>
          <cell r="G54">
            <v>0.12670797405672984</v>
          </cell>
          <cell r="H54">
            <v>0.13715048439917299</v>
          </cell>
          <cell r="I54">
            <v>0.15840311830275947</v>
          </cell>
          <cell r="J54">
            <v>1.4265170225537449E-3</v>
          </cell>
          <cell r="K54">
            <v>0.65142971285354789</v>
          </cell>
          <cell r="L54">
            <v>0.63318967580703156</v>
          </cell>
          <cell r="M54">
            <v>0.15555578915673104</v>
          </cell>
          <cell r="N54">
            <v>7.0324115304507776E-4</v>
          </cell>
          <cell r="O54">
            <v>0.51398529474132404</v>
          </cell>
          <cell r="P54">
            <v>0.49491065787262217</v>
          </cell>
          <cell r="Q54">
            <v>0.11329012777850428</v>
          </cell>
          <cell r="R54">
            <v>1.5816520879616018E-3</v>
          </cell>
          <cell r="S54">
            <v>0.27651316605604032</v>
          </cell>
          <cell r="T54">
            <v>0.21962478588523257</v>
          </cell>
          <cell r="U54">
            <v>0.12549824789089026</v>
          </cell>
          <cell r="V54">
            <v>1.4265170225537449E-3</v>
          </cell>
          <cell r="W54">
            <v>9.8389079472335231E-2</v>
          </cell>
          <cell r="X54">
            <v>9.6895585387126129E-2</v>
          </cell>
          <cell r="Y54">
            <v>0.11571083084043229</v>
          </cell>
          <cell r="Z54">
            <v>1.4265170225537449E-3</v>
          </cell>
          <cell r="AA54">
            <v>9.0213488712892628E-2</v>
          </cell>
          <cell r="AB54">
            <v>6.1491011496902462E-2</v>
          </cell>
          <cell r="AC54">
            <v>6.0659949890766958E-2</v>
          </cell>
          <cell r="AD54">
            <v>9.5201843143992155E-4</v>
          </cell>
          <cell r="AE54">
            <v>0.53893060417299532</v>
          </cell>
          <cell r="AF54">
            <v>0.51502285340056808</v>
          </cell>
          <cell r="AG54">
            <v>0.10173240311815201</v>
          </cell>
          <cell r="AH54">
            <v>1.5816520879616018E-3</v>
          </cell>
          <cell r="AI54">
            <v>0.51377909941146349</v>
          </cell>
          <cell r="AJ54">
            <v>0.49460393055660662</v>
          </cell>
          <cell r="AK54">
            <v>0.13050139317875795</v>
          </cell>
          <cell r="AL54">
            <v>1.5816520879616018E-3</v>
          </cell>
          <cell r="AM54">
            <v>4.0907644777943765E-2</v>
          </cell>
          <cell r="AN54">
            <v>4.0907644729931684E-2</v>
          </cell>
          <cell r="AO54">
            <v>6.1171923092329376E-2</v>
          </cell>
          <cell r="AP54">
            <v>0</v>
          </cell>
          <cell r="AQ54">
            <v>0.17229439787422385</v>
          </cell>
          <cell r="AR54">
            <v>0.12782909846918344</v>
          </cell>
          <cell r="AS54">
            <v>6.2195044137965692E-2</v>
          </cell>
          <cell r="AT54">
            <v>9.5201843143992155E-4</v>
          </cell>
          <cell r="AU54">
            <v>4.0933337774678918E-2</v>
          </cell>
          <cell r="AV54">
            <v>4.0933337755724331E-2</v>
          </cell>
          <cell r="AW54">
            <v>6.1285330508322598E-2</v>
          </cell>
          <cell r="AX54">
            <v>0</v>
          </cell>
          <cell r="AY54">
            <v>0.24997624288778536</v>
          </cell>
          <cell r="AZ54">
            <v>0.19083886023320096</v>
          </cell>
          <cell r="BA54">
            <v>0.12387092261891977</v>
          </cell>
          <cell r="BB54">
            <v>1.4265170225537449E-3</v>
          </cell>
          <cell r="BC54">
            <v>4.0817650177398968E-2</v>
          </cell>
          <cell r="BD54">
            <v>4.0817650204532444E-2</v>
          </cell>
          <cell r="BE54">
            <v>0.10226157189580297</v>
          </cell>
          <cell r="BF54">
            <v>0</v>
          </cell>
          <cell r="BG54">
            <v>0.27403003223266431</v>
          </cell>
          <cell r="BH54">
            <v>0.24195679375246681</v>
          </cell>
          <cell r="BI54">
            <v>0.10861151927019645</v>
          </cell>
          <cell r="BJ54">
            <v>1.4265170225537449E-3</v>
          </cell>
          <cell r="BK54">
            <v>0.12506839299663594</v>
          </cell>
          <cell r="BL54">
            <v>0.13517194729923646</v>
          </cell>
          <cell r="BM54">
            <v>0.16032025467528613</v>
          </cell>
          <cell r="BN54">
            <v>1.4265170225537449E-3</v>
          </cell>
          <cell r="BO54">
            <v>0.62833495683222396</v>
          </cell>
          <cell r="BP54">
            <v>0.5995342516279849</v>
          </cell>
          <cell r="BQ54">
            <v>0.26703018953761726</v>
          </cell>
          <cell r="BR54">
            <v>1.5816520879616018E-3</v>
          </cell>
          <cell r="BS54">
            <v>1664.5950666176384</v>
          </cell>
          <cell r="BT54">
            <v>1664.595066617655</v>
          </cell>
          <cell r="BU54">
            <v>7.5165544889380667E-2</v>
          </cell>
          <cell r="BV54">
            <v>0</v>
          </cell>
          <cell r="BW54">
            <v>0.90915354632613132</v>
          </cell>
          <cell r="BX54">
            <v>0.40235524088205354</v>
          </cell>
          <cell r="BY54">
            <v>5.1676787839059247E-2</v>
          </cell>
          <cell r="BZ54">
            <v>1.7726812987032596E-2</v>
          </cell>
          <cell r="CA54">
            <v>0.39302130333801144</v>
          </cell>
          <cell r="CB54">
            <v>0.40509048233704481</v>
          </cell>
          <cell r="CC54">
            <v>0.95476055710498231</v>
          </cell>
          <cell r="CD54">
            <v>3.8389533646377189E-3</v>
          </cell>
          <cell r="CE54">
            <v>3.1385169003788325</v>
          </cell>
          <cell r="CF54">
            <v>2.1221142191479734</v>
          </cell>
          <cell r="CG54">
            <v>8.0038292551192811E-2</v>
          </cell>
          <cell r="CH54">
            <v>1.4634588991310982E-2</v>
          </cell>
          <cell r="CI54">
            <v>0.36500999156002806</v>
          </cell>
          <cell r="CJ54">
            <v>0.38389444701683284</v>
          </cell>
          <cell r="CK54">
            <v>0.71121688088574286</v>
          </cell>
          <cell r="CL54">
            <v>2.9233751860349884E-3</v>
          </cell>
          <cell r="CM54">
            <v>3.1345354781406782</v>
          </cell>
          <cell r="CN54">
            <v>2.1334319338300465</v>
          </cell>
          <cell r="CO54">
            <v>7.7503827960237789E-2</v>
          </cell>
          <cell r="CP54">
            <v>1.4642801272734721E-2</v>
          </cell>
          <cell r="CQ54">
            <v>4.0828107230942795E-2</v>
          </cell>
          <cell r="CR54">
            <v>4.0828107233259699E-2</v>
          </cell>
          <cell r="CS54">
            <v>6.1311254674759119E-2</v>
          </cell>
          <cell r="CT54">
            <v>0</v>
          </cell>
          <cell r="CU54">
            <v>9.5034067070877457E-2</v>
          </cell>
          <cell r="CV54">
            <v>9.4778480020371175E-2</v>
          </cell>
          <cell r="CW54">
            <v>0.13200735064713023</v>
          </cell>
          <cell r="CX54">
            <v>1.5855318729877787E-3</v>
          </cell>
          <cell r="CY54">
            <v>6.5203629015329043E-2</v>
          </cell>
          <cell r="CZ54">
            <v>6.716873034403277E-2</v>
          </cell>
          <cell r="DA54">
            <v>0.11847097628160107</v>
          </cell>
          <cell r="DB54">
            <v>1.1663448845164539E-3</v>
          </cell>
          <cell r="DC54">
            <v>1.2104866126574503</v>
          </cell>
          <cell r="DD54">
            <v>0.71135452794080678</v>
          </cell>
          <cell r="DE54">
            <v>1.1138704747523906</v>
          </cell>
          <cell r="DF54">
            <v>1.6538770898342929E-2</v>
          </cell>
          <cell r="DG54">
            <v>0.27678197506543517</v>
          </cell>
          <cell r="DH54">
            <v>0.24422690810759443</v>
          </cell>
          <cell r="DI54">
            <v>0.11126314783858601</v>
          </cell>
          <cell r="DJ54">
            <v>1.4265170225537449E-3</v>
          </cell>
          <cell r="DK54">
            <v>0.12694109897001457</v>
          </cell>
          <cell r="DL54">
            <v>0.13775863966667476</v>
          </cell>
          <cell r="DM54">
            <v>0.15653804339923486</v>
          </cell>
          <cell r="DN54">
            <v>1.4265170225537449E-3</v>
          </cell>
          <cell r="DO54">
            <v>0.60360180754242221</v>
          </cell>
          <cell r="DP54">
            <v>0.56391022319307638</v>
          </cell>
          <cell r="DQ54">
            <v>0.26481586912015115</v>
          </cell>
          <cell r="DR54">
            <v>1.4265170225537449E-3</v>
          </cell>
          <cell r="DS54">
            <v>0.53705029303751739</v>
          </cell>
          <cell r="DT54">
            <v>0.51313125495080969</v>
          </cell>
          <cell r="DU54">
            <v>9.7221418504881654E-2</v>
          </cell>
          <cell r="DV54">
            <v>1.5816520879616018E-3</v>
          </cell>
          <cell r="DW54">
            <v>0.51337360522388464</v>
          </cell>
          <cell r="DX54">
            <v>0.49398648739868289</v>
          </cell>
          <cell r="DY54">
            <v>0.12749861175294527</v>
          </cell>
          <cell r="DZ54">
            <v>1.5816520879616018E-3</v>
          </cell>
          <cell r="EA54">
            <v>0.15416206623751441</v>
          </cell>
          <cell r="EB54">
            <v>0.12744766905962929</v>
          </cell>
          <cell r="EC54">
            <v>0.11471231670187373</v>
          </cell>
          <cell r="ED54">
            <v>9.5201843143992155E-4</v>
          </cell>
          <cell r="EE54">
            <v>0.3637438382708757</v>
          </cell>
          <cell r="EF54">
            <v>0.28730220789871491</v>
          </cell>
          <cell r="EG54">
            <v>0.11199405527425398</v>
          </cell>
          <cell r="EH54">
            <v>9.5201843143992155E-4</v>
          </cell>
          <cell r="EI54">
            <v>0.11027766739774264</v>
          </cell>
          <cell r="EJ54">
            <v>0.10584613389926111</v>
          </cell>
          <cell r="EK54">
            <v>0.12819492245497391</v>
          </cell>
          <cell r="EL54">
            <v>1.5855318729877787E-3</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row>
        <row r="55">
          <cell r="B55" t="str">
            <v>Minimum</v>
          </cell>
          <cell r="C55">
            <v>292.14539515889351</v>
          </cell>
          <cell r="D55">
            <v>462.50010251600253</v>
          </cell>
          <cell r="E55">
            <v>266.4745101437685</v>
          </cell>
          <cell r="F55">
            <v>2010</v>
          </cell>
          <cell r="G55">
            <v>121.1493004441986</v>
          </cell>
          <cell r="H55">
            <v>173.40310747013572</v>
          </cell>
          <cell r="I55">
            <v>108.17315052991309</v>
          </cell>
          <cell r="J55">
            <v>2010</v>
          </cell>
          <cell r="K55">
            <v>45.527876454687949</v>
          </cell>
          <cell r="L55">
            <v>65.905543779499709</v>
          </cell>
          <cell r="M55">
            <v>45.727525560726377</v>
          </cell>
          <cell r="N55">
            <v>2010</v>
          </cell>
          <cell r="O55">
            <v>90.023977312288338</v>
          </cell>
          <cell r="P55">
            <v>106.89857228607849</v>
          </cell>
          <cell r="Q55">
            <v>25.711589469884306</v>
          </cell>
          <cell r="R55">
            <v>2010</v>
          </cell>
          <cell r="S55">
            <v>1439.4515158118832</v>
          </cell>
          <cell r="T55">
            <v>2109.8295868033629</v>
          </cell>
          <cell r="U55">
            <v>1282.8198961566259</v>
          </cell>
          <cell r="V55">
            <v>2010</v>
          </cell>
          <cell r="W55">
            <v>2408.8442287804655</v>
          </cell>
          <cell r="X55">
            <v>3635.5127969887271</v>
          </cell>
          <cell r="Y55">
            <v>2261.2714833674522</v>
          </cell>
          <cell r="Z55">
            <v>2010</v>
          </cell>
          <cell r="AA55">
            <v>114.86244980302072</v>
          </cell>
          <cell r="AB55">
            <v>190.98890654865852</v>
          </cell>
          <cell r="AC55">
            <v>78.723242839933178</v>
          </cell>
          <cell r="AD55">
            <v>2010</v>
          </cell>
          <cell r="AE55">
            <v>89.198215116408718</v>
          </cell>
          <cell r="AF55">
            <v>109.37538839949893</v>
          </cell>
          <cell r="AG55">
            <v>32.713857002042005</v>
          </cell>
          <cell r="AH55">
            <v>2010</v>
          </cell>
          <cell r="AI55">
            <v>85.700963202327017</v>
          </cell>
          <cell r="AJ55">
            <v>101.37913108418267</v>
          </cell>
          <cell r="AK55">
            <v>24.540716383452938</v>
          </cell>
          <cell r="AL55">
            <v>2010</v>
          </cell>
          <cell r="AM55">
            <v>257.79262237149607</v>
          </cell>
          <cell r="AN55">
            <v>470.68067439829258</v>
          </cell>
          <cell r="AO55">
            <v>48515.886516375416</v>
          </cell>
          <cell r="AP55">
            <v>2110</v>
          </cell>
          <cell r="AQ55">
            <v>149.15837318558533</v>
          </cell>
          <cell r="AR55">
            <v>233.49884837878901</v>
          </cell>
          <cell r="AS55">
            <v>91.607877733211538</v>
          </cell>
          <cell r="AT55">
            <v>2010</v>
          </cell>
          <cell r="AU55">
            <v>257.88983013470897</v>
          </cell>
          <cell r="AV55">
            <v>470.85815763858841</v>
          </cell>
          <cell r="AW55">
            <v>69581.327276723852</v>
          </cell>
          <cell r="AX55">
            <v>2110</v>
          </cell>
          <cell r="AY55">
            <v>422.1248809983245</v>
          </cell>
          <cell r="AZ55">
            <v>660.90129829368811</v>
          </cell>
          <cell r="BA55">
            <v>409.62537999779573</v>
          </cell>
          <cell r="BB55">
            <v>2010</v>
          </cell>
          <cell r="BC55">
            <v>78.575977405822925</v>
          </cell>
          <cell r="BD55">
            <v>143.46490490553759</v>
          </cell>
          <cell r="BE55">
            <v>2375.9314675328737</v>
          </cell>
          <cell r="BF55">
            <v>2110</v>
          </cell>
          <cell r="BG55">
            <v>115.37080273365486</v>
          </cell>
          <cell r="BH55">
            <v>159.90937033976243</v>
          </cell>
          <cell r="BI55">
            <v>69.16652395018032</v>
          </cell>
          <cell r="BJ55">
            <v>2010</v>
          </cell>
          <cell r="BK55">
            <v>124.05788100156833</v>
          </cell>
          <cell r="BL55">
            <v>177.26227995007571</v>
          </cell>
          <cell r="BM55">
            <v>109.88297600697018</v>
          </cell>
          <cell r="BN55">
            <v>2010</v>
          </cell>
          <cell r="BO55">
            <v>106.04008144305833</v>
          </cell>
          <cell r="BP55">
            <v>156.0905141199438</v>
          </cell>
          <cell r="BQ55">
            <v>43.449521104962002</v>
          </cell>
          <cell r="BR55">
            <v>2010</v>
          </cell>
          <cell r="BS55">
            <v>-4.1555675900173888E-6</v>
          </cell>
          <cell r="BT55">
            <v>-5.7217573100628426E-6</v>
          </cell>
          <cell r="BU55">
            <v>3699.2139726367113</v>
          </cell>
          <cell r="BV55">
            <v>2110</v>
          </cell>
          <cell r="BW55">
            <v>9253.1677979076303</v>
          </cell>
          <cell r="BX55">
            <v>17387.909151505679</v>
          </cell>
          <cell r="BY55">
            <v>77086.614950484829</v>
          </cell>
          <cell r="BZ55">
            <v>2010</v>
          </cell>
          <cell r="CA55">
            <v>-1.8338775520931607E-6</v>
          </cell>
          <cell r="CB55">
            <v>-2.5250467143539558E-6</v>
          </cell>
          <cell r="CC55">
            <v>420.59971208022546</v>
          </cell>
          <cell r="CD55">
            <v>2010</v>
          </cell>
          <cell r="CE55">
            <v>-4.538613378959685E-6</v>
          </cell>
          <cell r="CF55">
            <v>-6.2491690283162822E-6</v>
          </cell>
          <cell r="CG55">
            <v>66.053617796980021</v>
          </cell>
          <cell r="CH55">
            <v>2015</v>
          </cell>
          <cell r="CI55">
            <v>4.6757879477723795E-8</v>
          </cell>
          <cell r="CJ55">
            <v>6.4380432494321179E-8</v>
          </cell>
          <cell r="CK55">
            <v>274.31192125159276</v>
          </cell>
          <cell r="CL55">
            <v>2010</v>
          </cell>
          <cell r="CM55">
            <v>-4.3943274105534908E-6</v>
          </cell>
          <cell r="CN55">
            <v>-6.0505031958916459E-6</v>
          </cell>
          <cell r="CO55">
            <v>62.182017335137971</v>
          </cell>
          <cell r="CP55">
            <v>2015</v>
          </cell>
          <cell r="CQ55">
            <v>532.49989663267934</v>
          </cell>
          <cell r="CR55">
            <v>972.2443108205166</v>
          </cell>
          <cell r="CS55">
            <v>58876.523286084972</v>
          </cell>
          <cell r="CT55">
            <v>2110</v>
          </cell>
          <cell r="CU55">
            <v>1350.4628572958418</v>
          </cell>
          <cell r="CV55">
            <v>2045.8102433649058</v>
          </cell>
          <cell r="CW55">
            <v>1256.1040144870697</v>
          </cell>
          <cell r="CX55">
            <v>2010</v>
          </cell>
          <cell r="CY55">
            <v>204.6335795863431</v>
          </cell>
          <cell r="CZ55">
            <v>260.63321273122165</v>
          </cell>
          <cell r="DA55">
            <v>83.447765464256136</v>
          </cell>
          <cell r="DB55">
            <v>2010</v>
          </cell>
          <cell r="DC55">
            <v>79.010692520143593</v>
          </cell>
          <cell r="DD55">
            <v>144.54719171264915</v>
          </cell>
          <cell r="DE55">
            <v>6589.6929528015226</v>
          </cell>
          <cell r="DF55">
            <v>2010</v>
          </cell>
          <cell r="DG55">
            <v>104.46647555532046</v>
          </cell>
          <cell r="DH55">
            <v>150.34793828339309</v>
          </cell>
          <cell r="DI55">
            <v>69.352589067898165</v>
          </cell>
          <cell r="DJ55">
            <v>2010</v>
          </cell>
          <cell r="DK55">
            <v>122.17300766666206</v>
          </cell>
          <cell r="DL55">
            <v>173.31564416018327</v>
          </cell>
          <cell r="DM55">
            <v>106.3085711596953</v>
          </cell>
          <cell r="DN55">
            <v>2010</v>
          </cell>
          <cell r="DO55">
            <v>64.423644072294636</v>
          </cell>
          <cell r="DP55">
            <v>94.69122300947194</v>
          </cell>
          <cell r="DQ55">
            <v>33.174786600695903</v>
          </cell>
          <cell r="DR55">
            <v>2010</v>
          </cell>
          <cell r="DS55">
            <v>79.238339146015136</v>
          </cell>
          <cell r="DT55">
            <v>96.051979041392954</v>
          </cell>
          <cell r="DU55">
            <v>32.406536300538548</v>
          </cell>
          <cell r="DV55">
            <v>2010</v>
          </cell>
          <cell r="DW55">
            <v>94.855497495186228</v>
          </cell>
          <cell r="DX55">
            <v>114.37562315067657</v>
          </cell>
          <cell r="DY55">
            <v>25.261891288649792</v>
          </cell>
          <cell r="DZ55">
            <v>2010</v>
          </cell>
          <cell r="EA55">
            <v>995.92154614135745</v>
          </cell>
          <cell r="EB55">
            <v>1580.6447247021827</v>
          </cell>
          <cell r="EC55">
            <v>1138.9832530622905</v>
          </cell>
          <cell r="ED55">
            <v>2010</v>
          </cell>
          <cell r="EE55">
            <v>618.80520865281642</v>
          </cell>
          <cell r="EF55">
            <v>965.58193934178553</v>
          </cell>
          <cell r="EG55">
            <v>650.08787655446099</v>
          </cell>
          <cell r="EH55">
            <v>2010</v>
          </cell>
          <cell r="EI55">
            <v>2519.1907030230932</v>
          </cell>
          <cell r="EJ55">
            <v>3825.2537353760945</v>
          </cell>
          <cell r="EK55">
            <v>2479.5562466721685</v>
          </cell>
          <cell r="EL55">
            <v>2010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row>
        <row r="56">
          <cell r="B56" t="str">
            <v>Maximum</v>
          </cell>
          <cell r="C56">
            <v>784.22181458013517</v>
          </cell>
          <cell r="D56">
            <v>984.806458640713</v>
          </cell>
          <cell r="E56">
            <v>468.2945801600539</v>
          </cell>
          <cell r="F56">
            <v>2019</v>
          </cell>
          <cell r="G56">
            <v>241.6331807284042</v>
          </cell>
          <cell r="H56">
            <v>359.18361423464256</v>
          </cell>
          <cell r="I56">
            <v>244.41593676884719</v>
          </cell>
          <cell r="J56">
            <v>2019</v>
          </cell>
          <cell r="K56">
            <v>1930.3626931126075</v>
          </cell>
          <cell r="L56">
            <v>1951.0779939393533</v>
          </cell>
          <cell r="M56">
            <v>103.53751110300765</v>
          </cell>
          <cell r="N56">
            <v>2014</v>
          </cell>
          <cell r="O56">
            <v>1013.0240022426347</v>
          </cell>
          <cell r="P56">
            <v>1031.4639807984267</v>
          </cell>
          <cell r="Q56">
            <v>48.197453693720192</v>
          </cell>
          <cell r="R56">
            <v>2020</v>
          </cell>
          <cell r="S56">
            <v>5290.440841984183</v>
          </cell>
          <cell r="T56">
            <v>6510.8654577233165</v>
          </cell>
          <cell r="U56">
            <v>2503.600733437328</v>
          </cell>
          <cell r="V56">
            <v>2019</v>
          </cell>
          <cell r="W56">
            <v>4317.7975977278547</v>
          </cell>
          <cell r="X56">
            <v>6508.4944306337084</v>
          </cell>
          <cell r="Y56">
            <v>4259.4783573264731</v>
          </cell>
          <cell r="Z56">
            <v>2019</v>
          </cell>
          <cell r="AA56">
            <v>208.94774691721702</v>
          </cell>
          <cell r="AB56">
            <v>282.86175095234296</v>
          </cell>
          <cell r="AC56">
            <v>110.10152017093525</v>
          </cell>
          <cell r="AD56">
            <v>2017</v>
          </cell>
          <cell r="AE56">
            <v>1072.3250148214725</v>
          </cell>
          <cell r="AF56">
            <v>1094.7398018215522</v>
          </cell>
          <cell r="AG56">
            <v>53.182208261637712</v>
          </cell>
          <cell r="AH56">
            <v>2020</v>
          </cell>
          <cell r="AI56">
            <v>1039.2887977242278</v>
          </cell>
          <cell r="AJ56">
            <v>1054.2097103708418</v>
          </cell>
          <cell r="AK56">
            <v>49.580434796283271</v>
          </cell>
          <cell r="AL56">
            <v>2020</v>
          </cell>
          <cell r="AM56">
            <v>313.79458457440626</v>
          </cell>
          <cell r="AN56">
            <v>572.92968862884106</v>
          </cell>
          <cell r="AO56">
            <v>64505.743724503671</v>
          </cell>
          <cell r="AP56">
            <v>2110</v>
          </cell>
          <cell r="AQ56">
            <v>339.16690450746586</v>
          </cell>
          <cell r="AR56">
            <v>420.07755774236745</v>
          </cell>
          <cell r="AS56">
            <v>130.28686663085679</v>
          </cell>
          <cell r="AT56">
            <v>2017</v>
          </cell>
          <cell r="AU56">
            <v>313.36723428319107</v>
          </cell>
          <cell r="AV56">
            <v>572.14942730651967</v>
          </cell>
          <cell r="AW56">
            <v>93441.460573794422</v>
          </cell>
          <cell r="AX56">
            <v>2110</v>
          </cell>
          <cell r="AY56">
            <v>1334.9288347468957</v>
          </cell>
          <cell r="AZ56">
            <v>1724.3600015805653</v>
          </cell>
          <cell r="BA56">
            <v>798.95436643016217</v>
          </cell>
          <cell r="BB56">
            <v>2019</v>
          </cell>
          <cell r="BC56">
            <v>95.1078156215262</v>
          </cell>
          <cell r="BD56">
            <v>173.64892056872046</v>
          </cell>
          <cell r="BE56">
            <v>3886.9218032774384</v>
          </cell>
          <cell r="BF56">
            <v>2110</v>
          </cell>
          <cell r="BG56">
            <v>562.33619544340036</v>
          </cell>
          <cell r="BH56">
            <v>609.3171781903078</v>
          </cell>
          <cell r="BI56">
            <v>124.9457246973204</v>
          </cell>
          <cell r="BJ56">
            <v>2019</v>
          </cell>
          <cell r="BK56">
            <v>238.47318778054904</v>
          </cell>
          <cell r="BL56">
            <v>354.40623851845282</v>
          </cell>
          <cell r="BM56">
            <v>247.45906991094031</v>
          </cell>
          <cell r="BN56">
            <v>2019</v>
          </cell>
          <cell r="BO56">
            <v>3820.7493136801299</v>
          </cell>
          <cell r="BP56">
            <v>3900.69466640562</v>
          </cell>
          <cell r="BQ56">
            <v>241.78646048727751</v>
          </cell>
          <cell r="BR56">
            <v>2020</v>
          </cell>
          <cell r="BS56">
            <v>4.102492999222573E-6</v>
          </cell>
          <cell r="BT56">
            <v>5.6486794641896734E-6</v>
          </cell>
          <cell r="BU56">
            <v>5727.0104750718638</v>
          </cell>
          <cell r="BV56">
            <v>2110</v>
          </cell>
          <cell r="BW56">
            <v>180413.38634349493</v>
          </cell>
          <cell r="BX56">
            <v>195541.71315191998</v>
          </cell>
          <cell r="BY56">
            <v>107982.44487074637</v>
          </cell>
          <cell r="BZ56">
            <v>2110</v>
          </cell>
          <cell r="CA56">
            <v>2592.9183327523515</v>
          </cell>
          <cell r="CB56">
            <v>4146.0027301590344</v>
          </cell>
          <cell r="CC56">
            <v>31969.82375467477</v>
          </cell>
          <cell r="CD56">
            <v>2110</v>
          </cell>
          <cell r="CE56">
            <v>147.31124714674996</v>
          </cell>
          <cell r="CF56">
            <v>154.79328139975703</v>
          </cell>
          <cell r="CG56">
            <v>108.26628448927838</v>
          </cell>
          <cell r="CH56">
            <v>2110</v>
          </cell>
          <cell r="CI56">
            <v>1725.0520461426829</v>
          </cell>
          <cell r="CJ56">
            <v>2715.7876497432462</v>
          </cell>
          <cell r="CK56">
            <v>19047.092453677895</v>
          </cell>
          <cell r="CL56">
            <v>2110</v>
          </cell>
          <cell r="CM56">
            <v>127.72787649456319</v>
          </cell>
          <cell r="CN56">
            <v>134.33148463144991</v>
          </cell>
          <cell r="CO56">
            <v>107.8312142316837</v>
          </cell>
          <cell r="CP56">
            <v>2110</v>
          </cell>
          <cell r="CQ56">
            <v>645.20566790995144</v>
          </cell>
          <cell r="CR56">
            <v>1178.0237793741003</v>
          </cell>
          <cell r="CS56">
            <v>79033.054451721298</v>
          </cell>
          <cell r="CT56">
            <v>2110</v>
          </cell>
          <cell r="CU56">
            <v>2558.8566616708717</v>
          </cell>
          <cell r="CV56">
            <v>3817.5338241521963</v>
          </cell>
          <cell r="CW56">
            <v>2535.7340277133167</v>
          </cell>
          <cell r="CX56">
            <v>2021</v>
          </cell>
          <cell r="CY56">
            <v>299.24867800696438</v>
          </cell>
          <cell r="CZ56">
            <v>386.81845464405444</v>
          </cell>
          <cell r="DA56">
            <v>154.00092554881476</v>
          </cell>
          <cell r="DB56">
            <v>2017</v>
          </cell>
          <cell r="DC56">
            <v>9426.4985592213907</v>
          </cell>
          <cell r="DD56">
            <v>15107.180525215716</v>
          </cell>
          <cell r="DE56">
            <v>115150.27686373315</v>
          </cell>
          <cell r="DF56">
            <v>2110</v>
          </cell>
          <cell r="DG56">
            <v>568.19500917897085</v>
          </cell>
          <cell r="DH56">
            <v>610.23880632226883</v>
          </cell>
          <cell r="DI56">
            <v>125.05323599922967</v>
          </cell>
          <cell r="DJ56">
            <v>2019</v>
          </cell>
          <cell r="DK56">
            <v>234.71061438867039</v>
          </cell>
          <cell r="DL56">
            <v>350.87313936659905</v>
          </cell>
          <cell r="DM56">
            <v>256.77191001748884</v>
          </cell>
          <cell r="DN56">
            <v>2019</v>
          </cell>
          <cell r="DO56">
            <v>1958.2041815826474</v>
          </cell>
          <cell r="DP56">
            <v>1993.6725068001019</v>
          </cell>
          <cell r="DQ56">
            <v>180.69996864256817</v>
          </cell>
          <cell r="DR56">
            <v>2019</v>
          </cell>
          <cell r="DS56">
            <v>1038.9737048428801</v>
          </cell>
          <cell r="DT56">
            <v>1063.1527498656164</v>
          </cell>
          <cell r="DU56">
            <v>54.096828840700219</v>
          </cell>
          <cell r="DV56">
            <v>2020</v>
          </cell>
          <cell r="DW56">
            <v>1046.6402260547193</v>
          </cell>
          <cell r="DX56">
            <v>1067.6596955827099</v>
          </cell>
          <cell r="DY56">
            <v>49.804258663330153</v>
          </cell>
          <cell r="DZ56">
            <v>2020</v>
          </cell>
          <cell r="EA56">
            <v>2344.5034635893107</v>
          </cell>
          <cell r="EB56">
            <v>3422.2278326663795</v>
          </cell>
          <cell r="EC56">
            <v>2189.1321683060787</v>
          </cell>
          <cell r="ED56">
            <v>2017</v>
          </cell>
          <cell r="EE56">
            <v>3187.0676178948461</v>
          </cell>
          <cell r="EF56">
            <v>3727.1642869752295</v>
          </cell>
          <cell r="EG56">
            <v>1165.76039971056</v>
          </cell>
          <cell r="EH56">
            <v>2017</v>
          </cell>
          <cell r="EI56">
            <v>5129.5679951049815</v>
          </cell>
          <cell r="EJ56">
            <v>7423.3203923019837</v>
          </cell>
          <cell r="EK56">
            <v>5112.5372817927746</v>
          </cell>
          <cell r="EL56">
            <v>2021</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row>
        <row r="57">
          <cell r="B57" t="str">
            <v>Range Width</v>
          </cell>
          <cell r="C57">
            <v>492.07641942124167</v>
          </cell>
          <cell r="D57">
            <v>522.30635612471042</v>
          </cell>
          <cell r="E57">
            <v>201.8200700162854</v>
          </cell>
          <cell r="F57">
            <v>9</v>
          </cell>
          <cell r="G57">
            <v>120.4838802842056</v>
          </cell>
          <cell r="H57">
            <v>185.78050676450684</v>
          </cell>
          <cell r="I57">
            <v>136.24278623893412</v>
          </cell>
          <cell r="J57">
            <v>9</v>
          </cell>
          <cell r="K57">
            <v>1884.8348166579196</v>
          </cell>
          <cell r="L57">
            <v>1885.1724501598535</v>
          </cell>
          <cell r="M57">
            <v>57.809985542281268</v>
          </cell>
          <cell r="N57">
            <v>4</v>
          </cell>
          <cell r="O57">
            <v>923.00002493034629</v>
          </cell>
          <cell r="P57">
            <v>924.56540851234831</v>
          </cell>
          <cell r="Q57">
            <v>22.485864223835886</v>
          </cell>
          <cell r="R57">
            <v>10</v>
          </cell>
          <cell r="S57">
            <v>3850.9893261723</v>
          </cell>
          <cell r="T57">
            <v>4401.0358709199536</v>
          </cell>
          <cell r="U57">
            <v>1220.7808372807021</v>
          </cell>
          <cell r="V57">
            <v>9</v>
          </cell>
          <cell r="W57">
            <v>1908.9533689473892</v>
          </cell>
          <cell r="X57">
            <v>2872.9816336449812</v>
          </cell>
          <cell r="Y57">
            <v>1998.2068739590209</v>
          </cell>
          <cell r="Z57">
            <v>9</v>
          </cell>
          <cell r="AA57">
            <v>94.085297114196294</v>
          </cell>
          <cell r="AB57">
            <v>91.872844403684439</v>
          </cell>
          <cell r="AC57">
            <v>31.378277331002067</v>
          </cell>
          <cell r="AD57">
            <v>7</v>
          </cell>
          <cell r="AE57">
            <v>983.12679970506372</v>
          </cell>
          <cell r="AF57">
            <v>985.3644134220533</v>
          </cell>
          <cell r="AG57">
            <v>20.468351259595707</v>
          </cell>
          <cell r="AH57">
            <v>10</v>
          </cell>
          <cell r="AI57">
            <v>953.58783452190085</v>
          </cell>
          <cell r="AJ57">
            <v>952.83057928665914</v>
          </cell>
          <cell r="AK57">
            <v>25.039718412830332</v>
          </cell>
          <cell r="AL57">
            <v>10</v>
          </cell>
          <cell r="AM57">
            <v>56.001962202910192</v>
          </cell>
          <cell r="AN57">
            <v>102.24901423054848</v>
          </cell>
          <cell r="AO57">
            <v>15989.857208128255</v>
          </cell>
          <cell r="AP57">
            <v>0</v>
          </cell>
          <cell r="AQ57">
            <v>190.00853132188053</v>
          </cell>
          <cell r="AR57">
            <v>186.57870936357844</v>
          </cell>
          <cell r="AS57">
            <v>38.678988897645254</v>
          </cell>
          <cell r="AT57">
            <v>7</v>
          </cell>
          <cell r="AU57">
            <v>55.477404148482094</v>
          </cell>
          <cell r="AV57">
            <v>101.29126966793126</v>
          </cell>
          <cell r="AW57">
            <v>23860.13329707057</v>
          </cell>
          <cell r="AX57">
            <v>0</v>
          </cell>
          <cell r="AY57">
            <v>912.8039537485713</v>
          </cell>
          <cell r="AZ57">
            <v>1063.4587032868772</v>
          </cell>
          <cell r="BA57">
            <v>389.32898643236643</v>
          </cell>
          <cell r="BB57">
            <v>9</v>
          </cell>
          <cell r="BC57">
            <v>16.531838215703274</v>
          </cell>
          <cell r="BD57">
            <v>30.184015663182862</v>
          </cell>
          <cell r="BE57">
            <v>1510.9903357445646</v>
          </cell>
          <cell r="BF57">
            <v>0</v>
          </cell>
          <cell r="BG57">
            <v>446.96539270974552</v>
          </cell>
          <cell r="BH57">
            <v>449.4078078505454</v>
          </cell>
          <cell r="BI57">
            <v>55.779200747140081</v>
          </cell>
          <cell r="BJ57">
            <v>9</v>
          </cell>
          <cell r="BK57">
            <v>114.41530677898071</v>
          </cell>
          <cell r="BL57">
            <v>177.14395856837712</v>
          </cell>
          <cell r="BM57">
            <v>137.57609390397013</v>
          </cell>
          <cell r="BN57">
            <v>9</v>
          </cell>
          <cell r="BO57">
            <v>3714.7092322370718</v>
          </cell>
          <cell r="BP57">
            <v>3744.6041522856763</v>
          </cell>
          <cell r="BQ57">
            <v>198.33693938231551</v>
          </cell>
          <cell r="BR57">
            <v>10</v>
          </cell>
          <cell r="BS57">
            <v>8.2580605892399626E-6</v>
          </cell>
          <cell r="BT57">
            <v>1.1370436774252516E-5</v>
          </cell>
          <cell r="BU57">
            <v>2027.7965024351524</v>
          </cell>
          <cell r="BV57">
            <v>0</v>
          </cell>
          <cell r="BW57">
            <v>171160.2185455873</v>
          </cell>
          <cell r="BX57">
            <v>178153.8040004143</v>
          </cell>
          <cell r="BY57">
            <v>30895.829920261545</v>
          </cell>
          <cell r="BZ57">
            <v>100</v>
          </cell>
          <cell r="CA57">
            <v>2592.9183345862289</v>
          </cell>
          <cell r="CB57">
            <v>4146.0027326840809</v>
          </cell>
          <cell r="CC57">
            <v>31549.224042594546</v>
          </cell>
          <cell r="CD57">
            <v>100</v>
          </cell>
          <cell r="CE57">
            <v>147.31125168536335</v>
          </cell>
          <cell r="CF57">
            <v>154.79328764892605</v>
          </cell>
          <cell r="CG57">
            <v>42.212666692298356</v>
          </cell>
          <cell r="CH57">
            <v>95</v>
          </cell>
          <cell r="CI57">
            <v>1725.0520460959251</v>
          </cell>
          <cell r="CJ57">
            <v>2715.7876496788658</v>
          </cell>
          <cell r="CK57">
            <v>18772.780532426303</v>
          </cell>
          <cell r="CL57">
            <v>100</v>
          </cell>
          <cell r="CM57">
            <v>127.7278808888906</v>
          </cell>
          <cell r="CN57">
            <v>134.33149068195311</v>
          </cell>
          <cell r="CO57">
            <v>45.649196896545732</v>
          </cell>
          <cell r="CP57">
            <v>95</v>
          </cell>
          <cell r="CQ57">
            <v>112.70577127727211</v>
          </cell>
          <cell r="CR57">
            <v>205.77946855358368</v>
          </cell>
          <cell r="CS57">
            <v>20156.531165636326</v>
          </cell>
          <cell r="CT57">
            <v>0</v>
          </cell>
          <cell r="CU57">
            <v>1208.39380437503</v>
          </cell>
          <cell r="CV57">
            <v>1771.7235807872905</v>
          </cell>
          <cell r="CW57">
            <v>1279.630013226247</v>
          </cell>
          <cell r="CX57">
            <v>11</v>
          </cell>
          <cell r="CY57">
            <v>94.61509842062128</v>
          </cell>
          <cell r="CZ57">
            <v>126.18524191283279</v>
          </cell>
          <cell r="DA57">
            <v>70.553160084558627</v>
          </cell>
          <cell r="DB57">
            <v>7</v>
          </cell>
          <cell r="DC57">
            <v>9347.4878667012472</v>
          </cell>
          <cell r="DD57">
            <v>14962.633333503067</v>
          </cell>
          <cell r="DE57">
            <v>108560.58391093163</v>
          </cell>
          <cell r="DF57">
            <v>100</v>
          </cell>
          <cell r="DG57">
            <v>463.72853362365038</v>
          </cell>
          <cell r="DH57">
            <v>459.89086803887574</v>
          </cell>
          <cell r="DI57">
            <v>55.700646931331505</v>
          </cell>
          <cell r="DJ57">
            <v>9</v>
          </cell>
          <cell r="DK57">
            <v>112.53760672200833</v>
          </cell>
          <cell r="DL57">
            <v>177.55749520641578</v>
          </cell>
          <cell r="DM57">
            <v>150.46333885779353</v>
          </cell>
          <cell r="DN57">
            <v>9</v>
          </cell>
          <cell r="DO57">
            <v>1893.7805375103528</v>
          </cell>
          <cell r="DP57">
            <v>1898.98128379063</v>
          </cell>
          <cell r="DQ57">
            <v>147.52518204187226</v>
          </cell>
          <cell r="DR57">
            <v>9</v>
          </cell>
          <cell r="DS57">
            <v>959.73536569686496</v>
          </cell>
          <cell r="DT57">
            <v>967.10077082422345</v>
          </cell>
          <cell r="DU57">
            <v>21.690292540161671</v>
          </cell>
          <cell r="DV57">
            <v>10</v>
          </cell>
          <cell r="DW57">
            <v>951.78472855953305</v>
          </cell>
          <cell r="DX57">
            <v>953.28407243203333</v>
          </cell>
          <cell r="DY57">
            <v>24.54236737468036</v>
          </cell>
          <cell r="DZ57">
            <v>10</v>
          </cell>
          <cell r="EA57">
            <v>1348.5819174479534</v>
          </cell>
          <cell r="EB57">
            <v>1841.5831079641969</v>
          </cell>
          <cell r="EC57">
            <v>1050.1489152437882</v>
          </cell>
          <cell r="ED57">
            <v>7</v>
          </cell>
          <cell r="EE57">
            <v>2568.2624092420297</v>
          </cell>
          <cell r="EF57">
            <v>2761.582347633444</v>
          </cell>
          <cell r="EG57">
            <v>515.67252315609903</v>
          </cell>
          <cell r="EH57">
            <v>7</v>
          </cell>
          <cell r="EI57">
            <v>2610.3772920818883</v>
          </cell>
          <cell r="EJ57">
            <v>3598.0666569258892</v>
          </cell>
          <cell r="EK57">
            <v>2632.9810351206061</v>
          </cell>
          <cell r="EL57">
            <v>11</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row>
        <row r="58">
          <cell r="B58" t="str">
            <v>Mean Std. Error</v>
          </cell>
          <cell r="C58">
            <v>2.9984201591179307</v>
          </cell>
          <cell r="D58">
            <v>3.1222769502434984</v>
          </cell>
          <cell r="E58">
            <v>1.1864682555187922</v>
          </cell>
          <cell r="F58">
            <v>9.0874959467711777E-2</v>
          </cell>
          <cell r="G58">
            <v>0.69526005063208574</v>
          </cell>
          <cell r="H58">
            <v>1.0950978917385463</v>
          </cell>
          <cell r="I58">
            <v>0.83735448495674869</v>
          </cell>
          <cell r="J58">
            <v>9.0874959467711777E-2</v>
          </cell>
          <cell r="K58">
            <v>14.139762094362126</v>
          </cell>
          <cell r="L58">
            <v>14.141092384037075</v>
          </cell>
          <cell r="M58">
            <v>0.36499199930534137</v>
          </cell>
          <cell r="N58">
            <v>4.4743737014268294E-2</v>
          </cell>
          <cell r="O58">
            <v>6.9623505482145074</v>
          </cell>
          <cell r="P58">
            <v>6.9639112806611054</v>
          </cell>
          <cell r="Q58">
            <v>0.12945216748704297</v>
          </cell>
          <cell r="R58">
            <v>0.10078520554951281</v>
          </cell>
          <cell r="S58">
            <v>25.167694660276826</v>
          </cell>
          <cell r="T58">
            <v>26.224694655300276</v>
          </cell>
          <cell r="U58">
            <v>7.3060315687508401</v>
          </cell>
          <cell r="V58">
            <v>9.0874959467711777E-2</v>
          </cell>
          <cell r="W58">
            <v>10.715450823693734</v>
          </cell>
          <cell r="X58">
            <v>15.80411511184573</v>
          </cell>
          <cell r="Y58">
            <v>12.166281661330537</v>
          </cell>
          <cell r="Z58">
            <v>9.0874959467711777E-2</v>
          </cell>
          <cell r="AA58">
            <v>0.49768126652966183</v>
          </cell>
          <cell r="AB58">
            <v>0.48076889815860874</v>
          </cell>
          <cell r="AC58">
            <v>0.18527898529786055</v>
          </cell>
          <cell r="AD58">
            <v>6.0669438606112736E-2</v>
          </cell>
          <cell r="AE58">
            <v>6.9868955537334481</v>
          </cell>
          <cell r="AF58">
            <v>6.9924893635416723</v>
          </cell>
          <cell r="AG58">
            <v>0.13564951603239808</v>
          </cell>
          <cell r="AH58">
            <v>0.10078520554951281</v>
          </cell>
          <cell r="AI58">
            <v>6.9592687855320898</v>
          </cell>
          <cell r="AJ58">
            <v>6.9592643655452422</v>
          </cell>
          <cell r="AK58">
            <v>0.14913298163270747</v>
          </cell>
          <cell r="AL58">
            <v>0.10078520554951281</v>
          </cell>
          <cell r="AM58">
            <v>0.36960393779660583</v>
          </cell>
          <cell r="AN58">
            <v>0.67482703364103169</v>
          </cell>
          <cell r="AO58">
            <v>109.00829481031884</v>
          </cell>
          <cell r="AP58">
            <v>0</v>
          </cell>
          <cell r="AQ58">
            <v>1.2766767159030008</v>
          </cell>
          <cell r="AR58">
            <v>1.2733047771279935</v>
          </cell>
          <cell r="AS58">
            <v>0.22403950474057635</v>
          </cell>
          <cell r="AT58">
            <v>6.0669438606112736E-2</v>
          </cell>
          <cell r="AU58">
            <v>0.36982627449343403</v>
          </cell>
          <cell r="AV58">
            <v>0.67523297896725099</v>
          </cell>
          <cell r="AW58">
            <v>157.74865178422161</v>
          </cell>
          <cell r="AX58">
            <v>0</v>
          </cell>
          <cell r="AY58">
            <v>6.0471728348569247</v>
          </cell>
          <cell r="AZ58">
            <v>6.482411092440179</v>
          </cell>
          <cell r="BA58">
            <v>2.3259985354900876</v>
          </cell>
          <cell r="BB58">
            <v>9.0874959467711777E-2</v>
          </cell>
          <cell r="BC58">
            <v>0.11241566419961564</v>
          </cell>
          <cell r="BD58">
            <v>0.20524978656364587</v>
          </cell>
          <cell r="BE58">
            <v>10.124492408409862</v>
          </cell>
          <cell r="BF58">
            <v>0</v>
          </cell>
          <cell r="BG58">
            <v>2.9693313332232893</v>
          </cell>
          <cell r="BH58">
            <v>2.9649982626526072</v>
          </cell>
          <cell r="BI58">
            <v>0.32627580881016088</v>
          </cell>
          <cell r="BJ58">
            <v>9.0874959467711777E-2</v>
          </cell>
          <cell r="BK58">
            <v>0.68619454565288462</v>
          </cell>
          <cell r="BL58">
            <v>1.0791659275613035</v>
          </cell>
          <cell r="BM58">
            <v>0.84785723448269257</v>
          </cell>
          <cell r="BN58">
            <v>9.0874959467711777E-2</v>
          </cell>
          <cell r="BO58">
            <v>27.477290605812634</v>
          </cell>
          <cell r="BP58">
            <v>27.530527788607316</v>
          </cell>
          <cell r="BQ58">
            <v>1.2711873104616558</v>
          </cell>
          <cell r="BR58">
            <v>0.10078520554951281</v>
          </cell>
          <cell r="BS58">
            <v>3.9890526805054574E-8</v>
          </cell>
          <cell r="BT58">
            <v>5.4924846824143173E-8</v>
          </cell>
          <cell r="BU58">
            <v>11.338126252749925</v>
          </cell>
          <cell r="BV58">
            <v>0</v>
          </cell>
          <cell r="BW58">
            <v>1532.4766126763263</v>
          </cell>
          <cell r="BX58">
            <v>1363.2034078979989</v>
          </cell>
          <cell r="BY58">
            <v>149.67035352853591</v>
          </cell>
          <cell r="BZ58">
            <v>1.1526175976126434</v>
          </cell>
          <cell r="CA58">
            <v>14.941558097343123</v>
          </cell>
          <cell r="CB58">
            <v>24.110222327610987</v>
          </cell>
          <cell r="CC58">
            <v>54.707200802174079</v>
          </cell>
          <cell r="CD58">
            <v>0.24501977612162373</v>
          </cell>
          <cell r="CE58">
            <v>0.76134620593440239</v>
          </cell>
          <cell r="CF58">
            <v>0.96801457431711868</v>
          </cell>
          <cell r="CG58">
            <v>0.22157341612846626</v>
          </cell>
          <cell r="CH58">
            <v>0.96948971180784871</v>
          </cell>
          <cell r="CI58">
            <v>9.8460957415544428</v>
          </cell>
          <cell r="CJ58">
            <v>15.87611211532448</v>
          </cell>
          <cell r="CK58">
            <v>26.307080883803476</v>
          </cell>
          <cell r="CL58">
            <v>0.18655911745155804</v>
          </cell>
          <cell r="CM58">
            <v>0.75766704871802493</v>
          </cell>
          <cell r="CN58">
            <v>0.94940105087495807</v>
          </cell>
          <cell r="CO58">
            <v>0.21456674993595021</v>
          </cell>
          <cell r="CP58">
            <v>0.97003096810313549</v>
          </cell>
          <cell r="CQ58">
            <v>0.76234543547731171</v>
          </cell>
          <cell r="CR58">
            <v>1.3918988865020019</v>
          </cell>
          <cell r="CS58">
            <v>133.53552012745533</v>
          </cell>
          <cell r="CT58">
            <v>0</v>
          </cell>
          <cell r="CU58">
            <v>5.6824885751934975</v>
          </cell>
          <cell r="CV58">
            <v>8.512732155253115</v>
          </cell>
          <cell r="CW58">
            <v>7.7819462917655038</v>
          </cell>
          <cell r="CX58">
            <v>0.10109510482817739</v>
          </cell>
          <cell r="CY58">
            <v>0.51844955775254287</v>
          </cell>
          <cell r="CZ58">
            <v>0.68611024792082553</v>
          </cell>
          <cell r="DA58">
            <v>0.43521889477056014</v>
          </cell>
          <cell r="DB58">
            <v>7.4269212436350651E-2</v>
          </cell>
          <cell r="DC58">
            <v>99.266719085652284</v>
          </cell>
          <cell r="DD58">
            <v>128.70729440450143</v>
          </cell>
          <cell r="DE58">
            <v>1043.1481596362041</v>
          </cell>
          <cell r="DF58">
            <v>1.0698525994661989</v>
          </cell>
          <cell r="DG58">
            <v>2.9979750129166134</v>
          </cell>
          <cell r="DH58">
            <v>2.9916896777552271</v>
          </cell>
          <cell r="DI58">
            <v>0.33439106437949373</v>
          </cell>
          <cell r="DJ58">
            <v>9.0874959467711777E-2</v>
          </cell>
          <cell r="DK58">
            <v>0.69673260963207628</v>
          </cell>
          <cell r="DL58">
            <v>1.1003186223949344</v>
          </cell>
          <cell r="DM58">
            <v>0.82732959180151933</v>
          </cell>
          <cell r="DN58">
            <v>9.0874959467711777E-2</v>
          </cell>
          <cell r="DO58">
            <v>13.856221874616136</v>
          </cell>
          <cell r="DP58">
            <v>13.903290229575656</v>
          </cell>
          <cell r="DQ58">
            <v>0.95291304446836134</v>
          </cell>
          <cell r="DR58">
            <v>9.0874959467711777E-2</v>
          </cell>
          <cell r="DS58">
            <v>6.9571969808498384</v>
          </cell>
          <cell r="DT58">
            <v>6.9618559309010273</v>
          </cell>
          <cell r="DU58">
            <v>0.12957894143505833</v>
          </cell>
          <cell r="DV58">
            <v>0.10078520554951281</v>
          </cell>
          <cell r="DW58">
            <v>6.9525555130115535</v>
          </cell>
          <cell r="DX58">
            <v>6.9495333482567281</v>
          </cell>
          <cell r="DY58">
            <v>0.14567021156013993</v>
          </cell>
          <cell r="DZ58">
            <v>0.10078520554951281</v>
          </cell>
          <cell r="EA58">
            <v>7.712316205528583</v>
          </cell>
          <cell r="EB58">
            <v>9.5951552143713315</v>
          </cell>
          <cell r="EC58">
            <v>6.133657221173177</v>
          </cell>
          <cell r="ED58">
            <v>6.0669438606112736E-2</v>
          </cell>
          <cell r="EE58">
            <v>17.956249010092538</v>
          </cell>
          <cell r="EF58">
            <v>18.193802033840051</v>
          </cell>
          <cell r="EG58">
            <v>3.2074036897711133</v>
          </cell>
          <cell r="EH58">
            <v>6.0669438606112736E-2</v>
          </cell>
          <cell r="EI58">
            <v>13.609951769364306</v>
          </cell>
          <cell r="EJ58">
            <v>18.939629489192463</v>
          </cell>
          <cell r="EK58">
            <v>15.105497578662247</v>
          </cell>
          <cell r="EL58">
            <v>0.10109510482817739</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row>
        <row r="61">
          <cell r="B61" t="str">
            <v>Percentiles</v>
          </cell>
          <cell r="C61" t="str">
            <v>IS-1-20 Yr NPV</v>
          </cell>
          <cell r="D61" t="str">
            <v>IS-1-40 Yr NPV</v>
          </cell>
          <cell r="E61" t="str">
            <v>IS-1-Capital Cost</v>
          </cell>
          <cell r="F61" t="str">
            <v>IS-1-Install Year</v>
          </cell>
          <cell r="G61" t="str">
            <v>IS-2-20 Yr NPV</v>
          </cell>
          <cell r="H61" t="str">
            <v>IS-2-40 Yr NPV</v>
          </cell>
          <cell r="I61" t="str">
            <v>IS-2-Capital Cost</v>
          </cell>
          <cell r="J61" t="str">
            <v>IS-2-Install Year</v>
          </cell>
          <cell r="K61" t="str">
            <v>IS-3-20 Yr NPV</v>
          </cell>
          <cell r="L61" t="str">
            <v>IS-3-40 Yr NPV</v>
          </cell>
          <cell r="M61" t="str">
            <v>IS-3-Capital Cost</v>
          </cell>
          <cell r="N61" t="str">
            <v>IS-3-Install Year</v>
          </cell>
          <cell r="O61" t="str">
            <v>IS-4-20 Yr NPV</v>
          </cell>
          <cell r="P61" t="str">
            <v>IS-4-40 Yr NPV</v>
          </cell>
          <cell r="Q61" t="str">
            <v>IS-4-Capital Cost</v>
          </cell>
          <cell r="R61" t="str">
            <v>IS-4-Install Year</v>
          </cell>
          <cell r="S61" t="str">
            <v>IS-5-20 Yr NPV</v>
          </cell>
          <cell r="T61" t="str">
            <v>IS-5-40 Yr NPV</v>
          </cell>
          <cell r="U61" t="str">
            <v>IS-5-Capital Cost</v>
          </cell>
          <cell r="V61" t="str">
            <v>IS-5-Install Year</v>
          </cell>
          <cell r="W61" t="str">
            <v>IS-6-20 Yr NPV</v>
          </cell>
          <cell r="X61" t="str">
            <v>IS-6-40 Yr NPV</v>
          </cell>
          <cell r="Y61" t="str">
            <v>IS-6-Capital Cost</v>
          </cell>
          <cell r="Z61" t="str">
            <v>IS-6-Install Year</v>
          </cell>
          <cell r="AA61" t="str">
            <v>MS-1-20 Yr NPV</v>
          </cell>
          <cell r="AB61" t="str">
            <v>MS-1-40 Yr NPV</v>
          </cell>
          <cell r="AC61" t="str">
            <v>MS-1-Capital Cost</v>
          </cell>
          <cell r="AD61" t="str">
            <v>MS-1-Install Year</v>
          </cell>
          <cell r="AE61" t="str">
            <v>MS-10-20 Yr NPV</v>
          </cell>
          <cell r="AF61" t="str">
            <v>MS-10-40 Yr NPV</v>
          </cell>
          <cell r="AG61" t="str">
            <v>MS-10-Capital Cost</v>
          </cell>
          <cell r="AH61" t="str">
            <v>MS-10-Install Year</v>
          </cell>
          <cell r="AI61" t="str">
            <v>MS-11-20 Yr NPV</v>
          </cell>
          <cell r="AJ61" t="str">
            <v>MS-11-40 Yr NPV</v>
          </cell>
          <cell r="AK61" t="str">
            <v>MS-11-Capital Cost</v>
          </cell>
          <cell r="AL61" t="str">
            <v>MS-11-Install Year</v>
          </cell>
          <cell r="AM61" t="str">
            <v>MS-2-20 Yr NPV</v>
          </cell>
          <cell r="AN61" t="str">
            <v>MS-2-40 Yr NPV</v>
          </cell>
          <cell r="AO61" t="str">
            <v>MS-2-Capital Cost</v>
          </cell>
          <cell r="AP61" t="str">
            <v>MS-2-Install Year</v>
          </cell>
          <cell r="AQ61" t="str">
            <v>MS-3-20 Yr NPV</v>
          </cell>
          <cell r="AR61" t="str">
            <v>MS-3-40 Yr NPV</v>
          </cell>
          <cell r="AS61" t="str">
            <v>MS-3-Capital Cost</v>
          </cell>
          <cell r="AT61" t="str">
            <v>MS-3-Install Year</v>
          </cell>
          <cell r="AU61" t="str">
            <v>MS-4-20 Yr NPV</v>
          </cell>
          <cell r="AV61" t="str">
            <v>MS-4-40 Yr NPV</v>
          </cell>
          <cell r="AW61" t="str">
            <v>MS-4-Capital Cost</v>
          </cell>
          <cell r="AX61" t="str">
            <v>MS-4-Install Year</v>
          </cell>
          <cell r="AY61" t="str">
            <v>MS-5-20 Yr NPV</v>
          </cell>
          <cell r="AZ61" t="str">
            <v>MS-5-40 Yr NPV</v>
          </cell>
          <cell r="BA61" t="str">
            <v>MS-5-Capital Cost</v>
          </cell>
          <cell r="BB61" t="str">
            <v>MS-5-Install Year</v>
          </cell>
          <cell r="BC61" t="str">
            <v>MS-6-20 Yr NPV</v>
          </cell>
          <cell r="BD61" t="str">
            <v>MS-6-40 Yr NPV</v>
          </cell>
          <cell r="BE61" t="str">
            <v>MS-6-Capital Cost</v>
          </cell>
          <cell r="BF61" t="str">
            <v>MS-6-Install Year</v>
          </cell>
          <cell r="BG61" t="str">
            <v>MS-7-20 Yr NPV</v>
          </cell>
          <cell r="BH61" t="str">
            <v>MS-7-40 Yr NPV</v>
          </cell>
          <cell r="BI61" t="str">
            <v>MS-7-Capital Cost</v>
          </cell>
          <cell r="BJ61" t="str">
            <v>MS-7-Install Year</v>
          </cell>
          <cell r="BK61" t="str">
            <v>MS-8-20 Yr NPV</v>
          </cell>
          <cell r="BL61" t="str">
            <v>MS-8-40 Yr NPV</v>
          </cell>
          <cell r="BM61" t="str">
            <v>MS-8-Capital Cost</v>
          </cell>
          <cell r="BN61" t="str">
            <v>MS-8-Install Year</v>
          </cell>
          <cell r="BO61" t="str">
            <v>MS-9-20 Yr NPV</v>
          </cell>
          <cell r="BP61" t="str">
            <v>MS-9-40 Yr NPV</v>
          </cell>
          <cell r="BQ61" t="str">
            <v>MS-9-Capital Cost</v>
          </cell>
          <cell r="BR61" t="str">
            <v>MS-9-Install Year</v>
          </cell>
          <cell r="BS61" t="str">
            <v>34-1-20 Yr NPV</v>
          </cell>
          <cell r="BT61" t="str">
            <v>34-1-40 Yr NPV</v>
          </cell>
          <cell r="BU61" t="str">
            <v>34-1-Capital Cost</v>
          </cell>
          <cell r="BV61" t="str">
            <v>34-1-Install Year</v>
          </cell>
          <cell r="BW61" t="str">
            <v>34-2-20 Yr NPV</v>
          </cell>
          <cell r="BX61" t="str">
            <v>34-2-40 Yr NPV</v>
          </cell>
          <cell r="BY61" t="str">
            <v>34-2-Capital Cost</v>
          </cell>
          <cell r="BZ61" t="str">
            <v>34-2-Install Year</v>
          </cell>
          <cell r="CA61" t="str">
            <v>56-1-20 Yr NPV</v>
          </cell>
          <cell r="CB61" t="str">
            <v>56-1-40 Yr NPV</v>
          </cell>
          <cell r="CC61" t="str">
            <v>56-1-Capital Cost</v>
          </cell>
          <cell r="CD61" t="str">
            <v>56-1-Install Year</v>
          </cell>
          <cell r="CE61" t="str">
            <v>56-2-20 Yr NPV</v>
          </cell>
          <cell r="CF61" t="str">
            <v>56-2-40 Yr NPV</v>
          </cell>
          <cell r="CG61" t="str">
            <v>56-2-Capital Cost</v>
          </cell>
          <cell r="CH61" t="str">
            <v>56-2-Install Year</v>
          </cell>
          <cell r="CI61" t="str">
            <v>78-1-20 Yr NPV</v>
          </cell>
          <cell r="CJ61" t="str">
            <v>78-1-40 Yr NPV</v>
          </cell>
          <cell r="CK61" t="str">
            <v>78-1-Capital Cost</v>
          </cell>
          <cell r="CL61" t="str">
            <v>78-1-Install Year</v>
          </cell>
          <cell r="CM61" t="str">
            <v>78-2-20 Yr NPV</v>
          </cell>
          <cell r="CN61" t="str">
            <v>78-2-40 Yr NPV</v>
          </cell>
          <cell r="CO61" t="str">
            <v>78-2-Capital Cost</v>
          </cell>
          <cell r="CP61" t="str">
            <v>78-2-Install Year</v>
          </cell>
          <cell r="CQ61" t="str">
            <v>WS-1-20 Yr NPV</v>
          </cell>
          <cell r="CR61" t="str">
            <v>WS-1-40 Yr NPV</v>
          </cell>
          <cell r="CS61" t="str">
            <v>WS-1-Capital Cost</v>
          </cell>
          <cell r="CT61" t="str">
            <v>WS-1-Install Year</v>
          </cell>
          <cell r="CU61" t="str">
            <v>WS-10-20 Yr NPV</v>
          </cell>
          <cell r="CV61" t="str">
            <v>WS-10-40 Yr NPV</v>
          </cell>
          <cell r="CW61" t="str">
            <v>WS-10-Capital Cost</v>
          </cell>
          <cell r="CX61" t="str">
            <v>WS-10-Install Year</v>
          </cell>
          <cell r="CY61" t="str">
            <v>WS-11-20 Yr NPV</v>
          </cell>
          <cell r="CZ61" t="str">
            <v>WS-11-40 Yr NPV</v>
          </cell>
          <cell r="DA61" t="str">
            <v>WS-11-Capital Cost</v>
          </cell>
          <cell r="DB61" t="str">
            <v>WS-11-Install Year</v>
          </cell>
          <cell r="DC61" t="str">
            <v>WS-12-20 Yr NPV</v>
          </cell>
          <cell r="DD61" t="str">
            <v>WS-12-40 Yr NPV</v>
          </cell>
          <cell r="DE61" t="str">
            <v>WS-12-Capital Cost</v>
          </cell>
          <cell r="DF61" t="str">
            <v>WS-12-Install Year</v>
          </cell>
          <cell r="DG61" t="str">
            <v>WS-2-20 Yr NPV</v>
          </cell>
          <cell r="DH61" t="str">
            <v>WS-2-40 Yr NPV</v>
          </cell>
          <cell r="DI61" t="str">
            <v>WS-2-Capital Cost</v>
          </cell>
          <cell r="DJ61" t="str">
            <v>WS-2-Install Year</v>
          </cell>
          <cell r="DK61" t="str">
            <v>WS-3-20 Yr NPV</v>
          </cell>
          <cell r="DL61" t="str">
            <v>WS-3-40 Yr NPV</v>
          </cell>
          <cell r="DM61" t="str">
            <v>WS-3-Capital Cost</v>
          </cell>
          <cell r="DN61" t="str">
            <v>WS-3-Install Year</v>
          </cell>
          <cell r="DO61" t="str">
            <v>WS-4-20 Yr NPV</v>
          </cell>
          <cell r="DP61" t="str">
            <v>WS-4-40 Yr NPV</v>
          </cell>
          <cell r="DQ61" t="str">
            <v>WS-4-Capital Cost</v>
          </cell>
          <cell r="DR61" t="str">
            <v>WS-4-Install Year</v>
          </cell>
          <cell r="DS61" t="str">
            <v>WS-5-20 Yr NPV</v>
          </cell>
          <cell r="DT61" t="str">
            <v>WS-5-40 Yr NPV</v>
          </cell>
          <cell r="DU61" t="str">
            <v>WS-5-Capital Cost</v>
          </cell>
          <cell r="DV61" t="str">
            <v>WS-5-Install Year</v>
          </cell>
          <cell r="DW61" t="str">
            <v>WS-6-20 Yr NPV</v>
          </cell>
          <cell r="DX61" t="str">
            <v>WS-6-40 Yr NPV</v>
          </cell>
          <cell r="DY61" t="str">
            <v>WS-6-Capital Cost</v>
          </cell>
          <cell r="DZ61" t="str">
            <v>WS-6-Install Year</v>
          </cell>
          <cell r="EA61" t="str">
            <v>WS-7-20 Yr NPV</v>
          </cell>
          <cell r="EB61" t="str">
            <v>WS-7-40 Yr NPV</v>
          </cell>
          <cell r="EC61" t="str">
            <v>WS-7-Capital Cost</v>
          </cell>
          <cell r="ED61" t="str">
            <v>WS-7-Install Year</v>
          </cell>
          <cell r="EE61" t="str">
            <v>WS-8-20 Yr NPV</v>
          </cell>
          <cell r="EF61" t="str">
            <v>WS-8-40 Yr NPV</v>
          </cell>
          <cell r="EG61" t="str">
            <v>WS-8-Capital Cost</v>
          </cell>
          <cell r="EH61" t="str">
            <v>WS-8-Install Year</v>
          </cell>
          <cell r="EI61" t="str">
            <v>WS-9-20 Yr NPV</v>
          </cell>
          <cell r="EJ61" t="str">
            <v>WS-9-40 Yr NPV</v>
          </cell>
          <cell r="EK61" t="str">
            <v>WS-9-Capital Cost</v>
          </cell>
          <cell r="EL61" t="str">
            <v>WS-9-Install Year</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row>
        <row r="62">
          <cell r="B62" t="str">
            <v>0%</v>
          </cell>
          <cell r="C62">
            <v>292.14539515889351</v>
          </cell>
          <cell r="D62">
            <v>462.50010251600247</v>
          </cell>
          <cell r="E62">
            <v>266.4745101437685</v>
          </cell>
          <cell r="F62">
            <v>2010</v>
          </cell>
          <cell r="G62">
            <v>121.1493004441986</v>
          </cell>
          <cell r="H62">
            <v>173.40310747013572</v>
          </cell>
          <cell r="I62">
            <v>108.17315052991309</v>
          </cell>
          <cell r="J62">
            <v>2010</v>
          </cell>
          <cell r="K62">
            <v>45.527876454687949</v>
          </cell>
          <cell r="L62">
            <v>65.905543779499709</v>
          </cell>
          <cell r="M62">
            <v>45.727525560726377</v>
          </cell>
          <cell r="N62">
            <v>2010</v>
          </cell>
          <cell r="O62">
            <v>90.023977312288338</v>
          </cell>
          <cell r="P62">
            <v>106.89857228607849</v>
          </cell>
          <cell r="Q62">
            <v>25.711589469884306</v>
          </cell>
          <cell r="R62">
            <v>2010</v>
          </cell>
          <cell r="S62">
            <v>1439.4515158118832</v>
          </cell>
          <cell r="T62">
            <v>2109.8295868033629</v>
          </cell>
          <cell r="U62">
            <v>1282.8198961566259</v>
          </cell>
          <cell r="V62">
            <v>2010</v>
          </cell>
          <cell r="W62">
            <v>2408.8442287804655</v>
          </cell>
          <cell r="X62">
            <v>3635.5127969887271</v>
          </cell>
          <cell r="Y62">
            <v>2261.2714833674522</v>
          </cell>
          <cell r="Z62">
            <v>2010</v>
          </cell>
          <cell r="AA62">
            <v>114.86244980302072</v>
          </cell>
          <cell r="AB62">
            <v>190.98890654865852</v>
          </cell>
          <cell r="AC62">
            <v>78.723242839933178</v>
          </cell>
          <cell r="AD62">
            <v>2010</v>
          </cell>
          <cell r="AE62">
            <v>89.198215116408718</v>
          </cell>
          <cell r="AF62">
            <v>109.37538839949893</v>
          </cell>
          <cell r="AG62">
            <v>32.713857002042005</v>
          </cell>
          <cell r="AH62">
            <v>2010</v>
          </cell>
          <cell r="AI62">
            <v>85.700963202327017</v>
          </cell>
          <cell r="AJ62">
            <v>101.37913108418267</v>
          </cell>
          <cell r="AK62">
            <v>24.540716383452938</v>
          </cell>
          <cell r="AL62">
            <v>2010</v>
          </cell>
          <cell r="AM62">
            <v>257.79262237149607</v>
          </cell>
          <cell r="AN62">
            <v>470.68067439829258</v>
          </cell>
          <cell r="AO62">
            <v>48515.886516375416</v>
          </cell>
          <cell r="AP62">
            <v>2110</v>
          </cell>
          <cell r="AQ62">
            <v>149.15837318558533</v>
          </cell>
          <cell r="AR62">
            <v>233.49884837878901</v>
          </cell>
          <cell r="AS62">
            <v>91.607877733211538</v>
          </cell>
          <cell r="AT62">
            <v>2010</v>
          </cell>
          <cell r="AU62">
            <v>257.88983013470897</v>
          </cell>
          <cell r="AV62">
            <v>470.85815763858841</v>
          </cell>
          <cell r="AW62">
            <v>69581.327276723852</v>
          </cell>
          <cell r="AX62">
            <v>2110</v>
          </cell>
          <cell r="AY62">
            <v>422.1248809983245</v>
          </cell>
          <cell r="AZ62">
            <v>660.90129829368811</v>
          </cell>
          <cell r="BA62">
            <v>409.62537999779573</v>
          </cell>
          <cell r="BB62">
            <v>2010</v>
          </cell>
          <cell r="BC62">
            <v>78.575977405822925</v>
          </cell>
          <cell r="BD62">
            <v>143.46490490553759</v>
          </cell>
          <cell r="BE62">
            <v>2375.9314675328737</v>
          </cell>
          <cell r="BF62">
            <v>2110</v>
          </cell>
          <cell r="BG62">
            <v>115.37080273365484</v>
          </cell>
          <cell r="BH62">
            <v>159.90937033976243</v>
          </cell>
          <cell r="BI62">
            <v>69.16652395018032</v>
          </cell>
          <cell r="BJ62">
            <v>2010</v>
          </cell>
          <cell r="BK62">
            <v>124.05788100156833</v>
          </cell>
          <cell r="BL62">
            <v>177.26227995007571</v>
          </cell>
          <cell r="BM62">
            <v>109.88297600697018</v>
          </cell>
          <cell r="BN62">
            <v>2010</v>
          </cell>
          <cell r="BO62">
            <v>106.04008144305833</v>
          </cell>
          <cell r="BP62">
            <v>156.0905141199438</v>
          </cell>
          <cell r="BQ62">
            <v>43.449521104962002</v>
          </cell>
          <cell r="BR62">
            <v>2010</v>
          </cell>
          <cell r="BS62">
            <v>-4.1555675900173888E-6</v>
          </cell>
          <cell r="BT62">
            <v>-5.7217573100628426E-6</v>
          </cell>
          <cell r="BU62">
            <v>3699.2139726367113</v>
          </cell>
          <cell r="BV62">
            <v>2110</v>
          </cell>
          <cell r="BW62">
            <v>9253.1677979076303</v>
          </cell>
          <cell r="BX62">
            <v>17387.909151505679</v>
          </cell>
          <cell r="BY62">
            <v>77086.614950484844</v>
          </cell>
          <cell r="BZ62">
            <v>2010</v>
          </cell>
          <cell r="CA62">
            <v>-1.8338775520931607E-6</v>
          </cell>
          <cell r="CB62">
            <v>-2.5250467143539558E-6</v>
          </cell>
          <cell r="CC62">
            <v>420.59971208022546</v>
          </cell>
          <cell r="CD62">
            <v>2010</v>
          </cell>
          <cell r="CE62">
            <v>-4.538613378959685E-6</v>
          </cell>
          <cell r="CF62">
            <v>-6.2491690283162822E-6</v>
          </cell>
          <cell r="CG62">
            <v>66.053617796980021</v>
          </cell>
          <cell r="CH62">
            <v>2015</v>
          </cell>
          <cell r="CI62">
            <v>4.6757879477723795E-8</v>
          </cell>
          <cell r="CJ62">
            <v>6.4380432494321179E-8</v>
          </cell>
          <cell r="CK62">
            <v>274.31192125159276</v>
          </cell>
          <cell r="CL62">
            <v>2010</v>
          </cell>
          <cell r="CM62">
            <v>-4.3943274105534908E-6</v>
          </cell>
          <cell r="CN62">
            <v>-6.0505031958916459E-6</v>
          </cell>
          <cell r="CO62">
            <v>62.182017335137971</v>
          </cell>
          <cell r="CP62">
            <v>2015</v>
          </cell>
          <cell r="CQ62">
            <v>532.49989663267934</v>
          </cell>
          <cell r="CR62">
            <v>972.2443108205166</v>
          </cell>
          <cell r="CS62">
            <v>58876.523286084972</v>
          </cell>
          <cell r="CT62">
            <v>2110</v>
          </cell>
          <cell r="CU62">
            <v>1350.4628572958418</v>
          </cell>
          <cell r="CV62">
            <v>2045.8102433649058</v>
          </cell>
          <cell r="CW62">
            <v>1256.1040144870697</v>
          </cell>
          <cell r="CX62">
            <v>2010</v>
          </cell>
          <cell r="CY62">
            <v>204.6335795863431</v>
          </cell>
          <cell r="CZ62">
            <v>260.63321273122165</v>
          </cell>
          <cell r="DA62">
            <v>83.44776546425615</v>
          </cell>
          <cell r="DB62">
            <v>2010</v>
          </cell>
          <cell r="DC62">
            <v>79.010692520143607</v>
          </cell>
          <cell r="DD62">
            <v>144.54719171264915</v>
          </cell>
          <cell r="DE62">
            <v>6589.6929528015226</v>
          </cell>
          <cell r="DF62">
            <v>2010</v>
          </cell>
          <cell r="DG62">
            <v>104.46647555532046</v>
          </cell>
          <cell r="DH62">
            <v>150.34793828339309</v>
          </cell>
          <cell r="DI62">
            <v>69.352589067898165</v>
          </cell>
          <cell r="DJ62">
            <v>2010</v>
          </cell>
          <cell r="DK62">
            <v>122.17300766666206</v>
          </cell>
          <cell r="DL62">
            <v>173.31564416018327</v>
          </cell>
          <cell r="DM62">
            <v>106.30857115969532</v>
          </cell>
          <cell r="DN62">
            <v>2010</v>
          </cell>
          <cell r="DO62">
            <v>64.423644072294636</v>
          </cell>
          <cell r="DP62">
            <v>94.69122300947194</v>
          </cell>
          <cell r="DQ62">
            <v>33.174786600695903</v>
          </cell>
          <cell r="DR62">
            <v>2010</v>
          </cell>
          <cell r="DS62">
            <v>79.238339146015136</v>
          </cell>
          <cell r="DT62">
            <v>96.051979041392954</v>
          </cell>
          <cell r="DU62">
            <v>32.406536300538548</v>
          </cell>
          <cell r="DV62">
            <v>2010</v>
          </cell>
          <cell r="DW62">
            <v>94.855497495186228</v>
          </cell>
          <cell r="DX62">
            <v>114.37562315067657</v>
          </cell>
          <cell r="DY62">
            <v>25.261891288649792</v>
          </cell>
          <cell r="DZ62">
            <v>2010</v>
          </cell>
          <cell r="EA62">
            <v>995.92154614135745</v>
          </cell>
          <cell r="EB62">
            <v>1580.6447247021827</v>
          </cell>
          <cell r="EC62">
            <v>1138.9832530622905</v>
          </cell>
          <cell r="ED62">
            <v>2010</v>
          </cell>
          <cell r="EE62">
            <v>618.80520865281642</v>
          </cell>
          <cell r="EF62">
            <v>965.58193934178553</v>
          </cell>
          <cell r="EG62">
            <v>650.08787655446088</v>
          </cell>
          <cell r="EH62">
            <v>2010</v>
          </cell>
          <cell r="EI62">
            <v>2519.1907030230932</v>
          </cell>
          <cell r="EJ62">
            <v>3825.2537353760949</v>
          </cell>
          <cell r="EK62">
            <v>2479.5562466721685</v>
          </cell>
          <cell r="EL62">
            <v>2010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row>
        <row r="63">
          <cell r="B63" t="str">
            <v>5%</v>
          </cell>
          <cell r="C63">
            <v>382.65529091491447</v>
          </cell>
          <cell r="D63">
            <v>545.71906355965803</v>
          </cell>
          <cell r="E63">
            <v>296.0745300822233</v>
          </cell>
          <cell r="F63">
            <v>2010</v>
          </cell>
          <cell r="G63">
            <v>140.56504517387287</v>
          </cell>
          <cell r="H63">
            <v>201.85679085071268</v>
          </cell>
          <cell r="I63">
            <v>127.25983484868986</v>
          </cell>
          <cell r="J63">
            <v>2010</v>
          </cell>
          <cell r="K63">
            <v>101.86675101399655</v>
          </cell>
          <cell r="L63">
            <v>120.61601537485289</v>
          </cell>
          <cell r="M63">
            <v>54.706894967346408</v>
          </cell>
          <cell r="N63">
            <v>2010</v>
          </cell>
          <cell r="O63">
            <v>139.8569743937754</v>
          </cell>
          <cell r="P63">
            <v>156.61894627739807</v>
          </cell>
          <cell r="Q63">
            <v>29.686435865615433</v>
          </cell>
          <cell r="R63">
            <v>2010</v>
          </cell>
          <cell r="S63">
            <v>1838.8368774567239</v>
          </cell>
          <cell r="T63">
            <v>2655.6121528628169</v>
          </cell>
          <cell r="U63">
            <v>1457.8081255362063</v>
          </cell>
          <cell r="V63">
            <v>2010</v>
          </cell>
          <cell r="W63">
            <v>2897.3137445083689</v>
          </cell>
          <cell r="X63">
            <v>4351.9311664142242</v>
          </cell>
          <cell r="Y63">
            <v>2678.7173773171567</v>
          </cell>
          <cell r="Z63">
            <v>2010</v>
          </cell>
          <cell r="AA63">
            <v>147.19374580688796</v>
          </cell>
          <cell r="AB63">
            <v>220.71777208528235</v>
          </cell>
          <cell r="AC63">
            <v>85.896775844087969</v>
          </cell>
          <cell r="AD63">
            <v>2011</v>
          </cell>
          <cell r="AE63">
            <v>121.57020099775471</v>
          </cell>
          <cell r="AF63">
            <v>140.56781182813629</v>
          </cell>
          <cell r="AG63">
            <v>35.511672147974465</v>
          </cell>
          <cell r="AH63">
            <v>2010</v>
          </cell>
          <cell r="AI63">
            <v>141.96723789514041</v>
          </cell>
          <cell r="AJ63">
            <v>158.90740946900578</v>
          </cell>
          <cell r="AK63">
            <v>28.835086316918339</v>
          </cell>
          <cell r="AL63">
            <v>2010</v>
          </cell>
          <cell r="AM63">
            <v>266.05781213863253</v>
          </cell>
          <cell r="AN63">
            <v>485.7713509138822</v>
          </cell>
          <cell r="AO63">
            <v>50526.56631372244</v>
          </cell>
          <cell r="AP63">
            <v>2110</v>
          </cell>
          <cell r="AQ63">
            <v>175.25774594111817</v>
          </cell>
          <cell r="AR63">
            <v>255.38504752649044</v>
          </cell>
          <cell r="AS63">
            <v>101.02680700591323</v>
          </cell>
          <cell r="AT63">
            <v>2011</v>
          </cell>
          <cell r="AU63">
            <v>266.12607070927533</v>
          </cell>
          <cell r="AV63">
            <v>485.8959795799064</v>
          </cell>
          <cell r="AW63">
            <v>72952.841732183108</v>
          </cell>
          <cell r="AX63">
            <v>2110</v>
          </cell>
          <cell r="AY63">
            <v>501.06665440952224</v>
          </cell>
          <cell r="AZ63">
            <v>771.51084760256572</v>
          </cell>
          <cell r="BA63">
            <v>478.69382419375904</v>
          </cell>
          <cell r="BB63">
            <v>2010</v>
          </cell>
          <cell r="BC63">
            <v>81.10955482556551</v>
          </cell>
          <cell r="BD63">
            <v>148.09073929617048</v>
          </cell>
          <cell r="BE63">
            <v>2591.9216526231821</v>
          </cell>
          <cell r="BF63">
            <v>2110</v>
          </cell>
          <cell r="BG63">
            <v>187.10686866293631</v>
          </cell>
          <cell r="BH63">
            <v>232.08247216646205</v>
          </cell>
          <cell r="BI63">
            <v>78.911246833275996</v>
          </cell>
          <cell r="BJ63">
            <v>2010</v>
          </cell>
          <cell r="BK63">
            <v>141.22358722963997</v>
          </cell>
          <cell r="BL63">
            <v>201.33882173638003</v>
          </cell>
          <cell r="BM63">
            <v>125.894964943681</v>
          </cell>
          <cell r="BN63">
            <v>2010</v>
          </cell>
          <cell r="BO63">
            <v>247.19261652015928</v>
          </cell>
          <cell r="BP63">
            <v>309.29084086530355</v>
          </cell>
          <cell r="BQ63">
            <v>80.756158506629049</v>
          </cell>
          <cell r="BR63">
            <v>2010</v>
          </cell>
          <cell r="BS63">
            <v>-1.9500068432818874E-6</v>
          </cell>
          <cell r="BT63">
            <v>-2.6849439140452101E-6</v>
          </cell>
          <cell r="BU63">
            <v>4190.6087984500609</v>
          </cell>
          <cell r="BV63">
            <v>2110</v>
          </cell>
          <cell r="BW63">
            <v>13891.368083262938</v>
          </cell>
          <cell r="BX63">
            <v>31113.929214636169</v>
          </cell>
          <cell r="BY63">
            <v>83968.92497189132</v>
          </cell>
          <cell r="BZ63">
            <v>2014</v>
          </cell>
          <cell r="CA63">
            <v>538.29082229994788</v>
          </cell>
          <cell r="CB63">
            <v>810.05832152849621</v>
          </cell>
          <cell r="CC63">
            <v>700.93035920843249</v>
          </cell>
          <cell r="CD63">
            <v>2012</v>
          </cell>
          <cell r="CE63">
            <v>-2.1227288785382106E-6</v>
          </cell>
          <cell r="CF63">
            <v>-2.7561520602705721E-6</v>
          </cell>
          <cell r="CG63">
            <v>76.113642267121307</v>
          </cell>
          <cell r="CH63">
            <v>2024</v>
          </cell>
          <cell r="CI63">
            <v>414.39056916341713</v>
          </cell>
          <cell r="CJ63">
            <v>596.23060783502501</v>
          </cell>
          <cell r="CK63">
            <v>475.33383702696403</v>
          </cell>
          <cell r="CL63">
            <v>2012</v>
          </cell>
          <cell r="CM63">
            <v>-2.0170947801286163E-6</v>
          </cell>
          <cell r="CN63">
            <v>-2.620236217045489E-6</v>
          </cell>
          <cell r="CO63">
            <v>76.614846306056833</v>
          </cell>
          <cell r="CP63">
            <v>2024</v>
          </cell>
          <cell r="CQ63">
            <v>550.06635905421479</v>
          </cell>
          <cell r="CR63">
            <v>1004.3173566650055</v>
          </cell>
          <cell r="CS63">
            <v>61767.940212856825</v>
          </cell>
          <cell r="CT63">
            <v>2110</v>
          </cell>
          <cell r="CU63">
            <v>1593.1240552427998</v>
          </cell>
          <cell r="CV63">
            <v>2388.3388223542156</v>
          </cell>
          <cell r="CW63">
            <v>1471.3494967106244</v>
          </cell>
          <cell r="CX63">
            <v>2010</v>
          </cell>
          <cell r="CY63">
            <v>224.67354023841412</v>
          </cell>
          <cell r="CZ63">
            <v>287.97869959170515</v>
          </cell>
          <cell r="DA63">
            <v>94.101869244698975</v>
          </cell>
          <cell r="DB63">
            <v>2010</v>
          </cell>
          <cell r="DC63">
            <v>81.927206102522931</v>
          </cell>
          <cell r="DD63">
            <v>154.66572085765242</v>
          </cell>
          <cell r="DE63">
            <v>7984.3667007973063</v>
          </cell>
          <cell r="DF63">
            <v>2012</v>
          </cell>
          <cell r="DG63">
            <v>183.21975009951979</v>
          </cell>
          <cell r="DH63">
            <v>228.76207449260298</v>
          </cell>
          <cell r="DI63">
            <v>78.22589716294523</v>
          </cell>
          <cell r="DJ63">
            <v>2010</v>
          </cell>
          <cell r="DK63">
            <v>140.47349397727012</v>
          </cell>
          <cell r="DL63">
            <v>199.99268210437572</v>
          </cell>
          <cell r="DM63">
            <v>128.89152833651974</v>
          </cell>
          <cell r="DN63">
            <v>2010</v>
          </cell>
          <cell r="DO63">
            <v>158.00024048396745</v>
          </cell>
          <cell r="DP63">
            <v>209.68922182782316</v>
          </cell>
          <cell r="DQ63">
            <v>61.075100667146273</v>
          </cell>
          <cell r="DR63">
            <v>2010</v>
          </cell>
          <cell r="DS63">
            <v>123.67646212996856</v>
          </cell>
          <cell r="DT63">
            <v>144.4505231667267</v>
          </cell>
          <cell r="DU63">
            <v>35.699915769945257</v>
          </cell>
          <cell r="DV63">
            <v>2010</v>
          </cell>
          <cell r="DW63">
            <v>138.46762901337198</v>
          </cell>
          <cell r="DX63">
            <v>156.33343034132889</v>
          </cell>
          <cell r="DY63">
            <v>28.609744931459552</v>
          </cell>
          <cell r="DZ63">
            <v>2010</v>
          </cell>
          <cell r="EA63">
            <v>1206.9532443794026</v>
          </cell>
          <cell r="EB63">
            <v>1901.2080990791244</v>
          </cell>
          <cell r="EC63">
            <v>1364.9507960415858</v>
          </cell>
          <cell r="ED63">
            <v>2011</v>
          </cell>
          <cell r="EE63">
            <v>812.7189414101781</v>
          </cell>
          <cell r="EF63">
            <v>1227.3628134536682</v>
          </cell>
          <cell r="EG63">
            <v>743.40311523151502</v>
          </cell>
          <cell r="EH63">
            <v>2011</v>
          </cell>
          <cell r="EI63">
            <v>3192.5173473180585</v>
          </cell>
          <cell r="EJ63">
            <v>4685.3864681050964</v>
          </cell>
          <cell r="EK63">
            <v>2962.1656364666078</v>
          </cell>
          <cell r="EL63">
            <v>2010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row>
        <row r="64">
          <cell r="B64" t="str">
            <v>10%</v>
          </cell>
          <cell r="C64">
            <v>419.44804485611712</v>
          </cell>
          <cell r="D64">
            <v>580.35020436596926</v>
          </cell>
          <cell r="E64">
            <v>307.14382603943329</v>
          </cell>
          <cell r="F64">
            <v>2010</v>
          </cell>
          <cell r="G64">
            <v>146.89663517947864</v>
          </cell>
          <cell r="H64">
            <v>211.34525524481185</v>
          </cell>
          <cell r="I64">
            <v>133.31017704733833</v>
          </cell>
          <cell r="J64">
            <v>2010</v>
          </cell>
          <cell r="K64">
            <v>153.85856704656834</v>
          </cell>
          <cell r="L64">
            <v>172.25482913479345</v>
          </cell>
          <cell r="M64">
            <v>58.732800657003125</v>
          </cell>
          <cell r="N64">
            <v>2010</v>
          </cell>
          <cell r="O64">
            <v>164.86699764546896</v>
          </cell>
          <cell r="P64">
            <v>181.71909268306587</v>
          </cell>
          <cell r="Q64">
            <v>31.052673435540793</v>
          </cell>
          <cell r="R64">
            <v>2011</v>
          </cell>
          <cell r="S64">
            <v>1954.6910908058089</v>
          </cell>
          <cell r="T64">
            <v>2821.8802213170275</v>
          </cell>
          <cell r="U64">
            <v>1540.3852185282988</v>
          </cell>
          <cell r="V64">
            <v>2010</v>
          </cell>
          <cell r="W64">
            <v>3007.0118536281871</v>
          </cell>
          <cell r="X64">
            <v>4498.4636233217652</v>
          </cell>
          <cell r="Y64">
            <v>2815.7499819966683</v>
          </cell>
          <cell r="Z64">
            <v>2010</v>
          </cell>
          <cell r="AA64">
            <v>153.43917205595287</v>
          </cell>
          <cell r="AB64">
            <v>227.17525269946933</v>
          </cell>
          <cell r="AC64">
            <v>88.380259916270489</v>
          </cell>
          <cell r="AD64">
            <v>2012</v>
          </cell>
          <cell r="AE64">
            <v>148.15286019445344</v>
          </cell>
          <cell r="AF64">
            <v>165.9367623681662</v>
          </cell>
          <cell r="AG64">
            <v>36.675585941242119</v>
          </cell>
          <cell r="AH64">
            <v>2011</v>
          </cell>
          <cell r="AI64">
            <v>165.05459012066501</v>
          </cell>
          <cell r="AJ64">
            <v>180.9266175178295</v>
          </cell>
          <cell r="AK64">
            <v>30.209413183176419</v>
          </cell>
          <cell r="AL64">
            <v>2011</v>
          </cell>
          <cell r="AM64">
            <v>269.77043499587614</v>
          </cell>
          <cell r="AN64">
            <v>492.54990030281488</v>
          </cell>
          <cell r="AO64">
            <v>51665.953728929875</v>
          </cell>
          <cell r="AP64">
            <v>2110</v>
          </cell>
          <cell r="AQ64">
            <v>184.86470261902383</v>
          </cell>
          <cell r="AR64">
            <v>265.55903083009827</v>
          </cell>
          <cell r="AS64">
            <v>104.23817695137846</v>
          </cell>
          <cell r="AT64">
            <v>2012</v>
          </cell>
          <cell r="AU64">
            <v>269.90251302630617</v>
          </cell>
          <cell r="AV64">
            <v>492.79104860571215</v>
          </cell>
          <cell r="AW64">
            <v>74625.793940956457</v>
          </cell>
          <cell r="AX64">
            <v>2110</v>
          </cell>
          <cell r="AY64">
            <v>540.86889073165662</v>
          </cell>
          <cell r="AZ64">
            <v>826.77312032769441</v>
          </cell>
          <cell r="BA64">
            <v>499.37282132788027</v>
          </cell>
          <cell r="BB64">
            <v>2010</v>
          </cell>
          <cell r="BC64">
            <v>82.258677087686451</v>
          </cell>
          <cell r="BD64">
            <v>150.18881970295692</v>
          </cell>
          <cell r="BE64">
            <v>2692.4239988121676</v>
          </cell>
          <cell r="BF64">
            <v>2110</v>
          </cell>
          <cell r="BG64">
            <v>213.817989196653</v>
          </cell>
          <cell r="BH64">
            <v>260.44448446735606</v>
          </cell>
          <cell r="BI64">
            <v>81.82514640213094</v>
          </cell>
          <cell r="BJ64">
            <v>2010</v>
          </cell>
          <cell r="BK64">
            <v>147.24370803618285</v>
          </cell>
          <cell r="BL64">
            <v>210.62942138666224</v>
          </cell>
          <cell r="BM64">
            <v>133.59212870689572</v>
          </cell>
          <cell r="BN64">
            <v>2010</v>
          </cell>
          <cell r="BO64">
            <v>338.5444554048504</v>
          </cell>
          <cell r="BP64">
            <v>395.91448592261662</v>
          </cell>
          <cell r="BQ64">
            <v>94.011699135135501</v>
          </cell>
          <cell r="BR64">
            <v>2011</v>
          </cell>
          <cell r="BS64">
            <v>-1.6135806730121054E-6</v>
          </cell>
          <cell r="BT64">
            <v>-2.221722258437506E-6</v>
          </cell>
          <cell r="BU64">
            <v>4302.2219532587105</v>
          </cell>
          <cell r="BV64">
            <v>2110</v>
          </cell>
          <cell r="BW64">
            <v>15991.823520397931</v>
          </cell>
          <cell r="BX64">
            <v>39023.986738378248</v>
          </cell>
          <cell r="BY64">
            <v>85609.416538125093</v>
          </cell>
          <cell r="BZ64">
            <v>2019</v>
          </cell>
          <cell r="CA64">
            <v>639.55182970864428</v>
          </cell>
          <cell r="CB64">
            <v>971.46204942049144</v>
          </cell>
          <cell r="CC64">
            <v>845.52794514744494</v>
          </cell>
          <cell r="CD64">
            <v>2013</v>
          </cell>
          <cell r="CE64">
            <v>-1.5927718474292687E-6</v>
          </cell>
          <cell r="CF64">
            <v>-2.1412164450666566E-6</v>
          </cell>
          <cell r="CG64">
            <v>78.503372916481055</v>
          </cell>
          <cell r="CH64">
            <v>2034</v>
          </cell>
          <cell r="CI64">
            <v>478.35849397519593</v>
          </cell>
          <cell r="CJ64">
            <v>707.89429638239881</v>
          </cell>
          <cell r="CK64">
            <v>558.06649412147294</v>
          </cell>
          <cell r="CL64">
            <v>2013</v>
          </cell>
          <cell r="CM64">
            <v>-1.5695782661332848E-6</v>
          </cell>
          <cell r="CN64">
            <v>-2.0220756740067794E-6</v>
          </cell>
          <cell r="CO64">
            <v>78.795801377022599</v>
          </cell>
          <cell r="CP64">
            <v>2034</v>
          </cell>
          <cell r="CQ64">
            <v>557.24327239506374</v>
          </cell>
          <cell r="CR64">
            <v>1017.4210468255801</v>
          </cell>
          <cell r="CS64">
            <v>63161.839667351684</v>
          </cell>
          <cell r="CT64">
            <v>2110</v>
          </cell>
          <cell r="CU64">
            <v>1644.464757388959</v>
          </cell>
          <cell r="CV64">
            <v>2465.8076245509988</v>
          </cell>
          <cell r="CW64">
            <v>1556.4451841330128</v>
          </cell>
          <cell r="CX64">
            <v>2011</v>
          </cell>
          <cell r="CY64">
            <v>230.15539148898756</v>
          </cell>
          <cell r="CZ64">
            <v>295.24404894410469</v>
          </cell>
          <cell r="DA64">
            <v>98.769234098961462</v>
          </cell>
          <cell r="DB64">
            <v>2010</v>
          </cell>
          <cell r="DC64">
            <v>83.401922411948775</v>
          </cell>
          <cell r="DD64">
            <v>158.72326996726295</v>
          </cell>
          <cell r="DE64">
            <v>8825.3514590345239</v>
          </cell>
          <cell r="DF64">
            <v>2014</v>
          </cell>
          <cell r="DG64">
            <v>216.15326653921031</v>
          </cell>
          <cell r="DH64">
            <v>261.82970974402076</v>
          </cell>
          <cell r="DI64">
            <v>81.361617934110029</v>
          </cell>
          <cell r="DJ64">
            <v>2010</v>
          </cell>
          <cell r="DK64">
            <v>146.4237642016071</v>
          </cell>
          <cell r="DL64">
            <v>210.70462658811113</v>
          </cell>
          <cell r="DM64">
            <v>135.86537138859012</v>
          </cell>
          <cell r="DN64">
            <v>2010</v>
          </cell>
          <cell r="DO64">
            <v>210.38221147552539</v>
          </cell>
          <cell r="DP64">
            <v>266.10970334228625</v>
          </cell>
          <cell r="DQ64">
            <v>69.796703142993792</v>
          </cell>
          <cell r="DR64">
            <v>2010</v>
          </cell>
          <cell r="DS64">
            <v>145.42642412747261</v>
          </cell>
          <cell r="DT64">
            <v>164.70404204710493</v>
          </cell>
          <cell r="DU64">
            <v>36.781553944702125</v>
          </cell>
          <cell r="DV64">
            <v>2011</v>
          </cell>
          <cell r="DW64">
            <v>166.09903570719445</v>
          </cell>
          <cell r="DX64">
            <v>182.8034102588168</v>
          </cell>
          <cell r="DY64">
            <v>30.186819327663162</v>
          </cell>
          <cell r="DZ64">
            <v>2011</v>
          </cell>
          <cell r="EA64">
            <v>1270.4971560375643</v>
          </cell>
          <cell r="EB64">
            <v>1982.5051450538394</v>
          </cell>
          <cell r="EC64">
            <v>1424.8345795405921</v>
          </cell>
          <cell r="ED64">
            <v>2012</v>
          </cell>
          <cell r="EE64">
            <v>882.33544658702772</v>
          </cell>
          <cell r="EF64">
            <v>1311.7979980078692</v>
          </cell>
          <cell r="EG64">
            <v>770.89363409186819</v>
          </cell>
          <cell r="EH64">
            <v>2012</v>
          </cell>
          <cell r="EI64">
            <v>3350.8222826513197</v>
          </cell>
          <cell r="EJ64">
            <v>4864.3550726084795</v>
          </cell>
          <cell r="EK64">
            <v>3144.1713767528395</v>
          </cell>
          <cell r="EL64">
            <v>2011</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row>
        <row r="65">
          <cell r="B65" t="str">
            <v>15%</v>
          </cell>
          <cell r="C65">
            <v>438.65567102353884</v>
          </cell>
          <cell r="D65">
            <v>603.78057588778506</v>
          </cell>
          <cell r="E65">
            <v>316.05105583674379</v>
          </cell>
          <cell r="F65">
            <v>2011</v>
          </cell>
          <cell r="G65">
            <v>150.67595936874866</v>
          </cell>
          <cell r="H65">
            <v>216.76425845372995</v>
          </cell>
          <cell r="I65">
            <v>138.90654384500007</v>
          </cell>
          <cell r="J65">
            <v>2011</v>
          </cell>
          <cell r="K65">
            <v>204.00685500598934</v>
          </cell>
          <cell r="L65">
            <v>223.908957379236</v>
          </cell>
          <cell r="M65">
            <v>61.341037634878099</v>
          </cell>
          <cell r="N65">
            <v>2010</v>
          </cell>
          <cell r="O65">
            <v>192.02274793919199</v>
          </cell>
          <cell r="P65">
            <v>207.92253086797297</v>
          </cell>
          <cell r="Q65">
            <v>31.623889021971529</v>
          </cell>
          <cell r="R65">
            <v>2011</v>
          </cell>
          <cell r="S65">
            <v>2045.3560796790746</v>
          </cell>
          <cell r="T65">
            <v>2924.2370655252762</v>
          </cell>
          <cell r="U65">
            <v>1594.5117486716481</v>
          </cell>
          <cell r="V65">
            <v>2011</v>
          </cell>
          <cell r="W65">
            <v>3083.7548442054431</v>
          </cell>
          <cell r="X65">
            <v>4623.474140853984</v>
          </cell>
          <cell r="Y65">
            <v>2895.3931481556774</v>
          </cell>
          <cell r="Z65">
            <v>2011</v>
          </cell>
          <cell r="AA65">
            <v>157.0406835201758</v>
          </cell>
          <cell r="AB65">
            <v>230.18311055413278</v>
          </cell>
          <cell r="AC65">
            <v>90.284423479489561</v>
          </cell>
          <cell r="AD65">
            <v>2013</v>
          </cell>
          <cell r="AE65">
            <v>170.44737171559311</v>
          </cell>
          <cell r="AF65">
            <v>190.1371089721753</v>
          </cell>
          <cell r="AG65">
            <v>37.47091468451903</v>
          </cell>
          <cell r="AH65">
            <v>2011</v>
          </cell>
          <cell r="AI65">
            <v>192.82387865179444</v>
          </cell>
          <cell r="AJ65">
            <v>209.85461667556811</v>
          </cell>
          <cell r="AK65">
            <v>31.136127627630945</v>
          </cell>
          <cell r="AL65">
            <v>2011</v>
          </cell>
          <cell r="AM65">
            <v>272.7574764523477</v>
          </cell>
          <cell r="AN65">
            <v>498.00367467061517</v>
          </cell>
          <cell r="AO65">
            <v>52518.983301693675</v>
          </cell>
          <cell r="AP65">
            <v>2110</v>
          </cell>
          <cell r="AQ65">
            <v>192.51289159616255</v>
          </cell>
          <cell r="AR65">
            <v>273.27952561824128</v>
          </cell>
          <cell r="AS65">
            <v>106.18581657617398</v>
          </cell>
          <cell r="AT65">
            <v>2013</v>
          </cell>
          <cell r="AU65">
            <v>272.75679203376455</v>
          </cell>
          <cell r="AV65">
            <v>498.00242504341503</v>
          </cell>
          <cell r="AW65">
            <v>75869.766867897837</v>
          </cell>
          <cell r="AX65">
            <v>2110</v>
          </cell>
          <cell r="AY65">
            <v>569.54543908249855</v>
          </cell>
          <cell r="AZ65">
            <v>863.6404174590092</v>
          </cell>
          <cell r="BA65">
            <v>514.98145821710682</v>
          </cell>
          <cell r="BB65">
            <v>2011</v>
          </cell>
          <cell r="BC65">
            <v>83.149455661054333</v>
          </cell>
          <cell r="BD65">
            <v>151.8152133462097</v>
          </cell>
          <cell r="BE65">
            <v>2776.5382248098977</v>
          </cell>
          <cell r="BF65">
            <v>2110</v>
          </cell>
          <cell r="BG65">
            <v>238.36392817398271</v>
          </cell>
          <cell r="BH65">
            <v>285.13091973509938</v>
          </cell>
          <cell r="BI65">
            <v>84.330327067197459</v>
          </cell>
          <cell r="BJ65">
            <v>2011</v>
          </cell>
          <cell r="BK65">
            <v>150.37542407087</v>
          </cell>
          <cell r="BL65">
            <v>216.20249761489649</v>
          </cell>
          <cell r="BM65">
            <v>139.0953434838882</v>
          </cell>
          <cell r="BN65">
            <v>2011</v>
          </cell>
          <cell r="BO65">
            <v>426.46368435228641</v>
          </cell>
          <cell r="BP65">
            <v>499.12565645333257</v>
          </cell>
          <cell r="BQ65">
            <v>104.69017922199659</v>
          </cell>
          <cell r="BR65">
            <v>2011</v>
          </cell>
          <cell r="BS65">
            <v>-1.304773870100816E-6</v>
          </cell>
          <cell r="BT65">
            <v>-1.7965294192693158E-6</v>
          </cell>
          <cell r="BU65">
            <v>4398.3931750896299</v>
          </cell>
          <cell r="BV65">
            <v>2110</v>
          </cell>
          <cell r="BW65">
            <v>17522.676580067538</v>
          </cell>
          <cell r="BX65">
            <v>47180.769856899991</v>
          </cell>
          <cell r="BY65">
            <v>86783.641985059163</v>
          </cell>
          <cell r="BZ65">
            <v>2023</v>
          </cell>
          <cell r="CA65">
            <v>725.14409610197868</v>
          </cell>
          <cell r="CB65">
            <v>1108.2924960939592</v>
          </cell>
          <cell r="CC65">
            <v>954.19555794357586</v>
          </cell>
          <cell r="CD65">
            <v>2014</v>
          </cell>
          <cell r="CE65">
            <v>-1.2758055872316586E-6</v>
          </cell>
          <cell r="CF65">
            <v>-1.6289574559794588E-6</v>
          </cell>
          <cell r="CG65">
            <v>79.927009027638903</v>
          </cell>
          <cell r="CH65">
            <v>2044</v>
          </cell>
          <cell r="CI65">
            <v>530.50673814993036</v>
          </cell>
          <cell r="CJ65">
            <v>783.79704145706876</v>
          </cell>
          <cell r="CK65">
            <v>632.00321463718365</v>
          </cell>
          <cell r="CL65">
            <v>2014</v>
          </cell>
          <cell r="CM65">
            <v>-1.2892902336731152E-6</v>
          </cell>
          <cell r="CN65">
            <v>-1.6607008425059471E-6</v>
          </cell>
          <cell r="CO65">
            <v>80.604400944085441</v>
          </cell>
          <cell r="CP65">
            <v>2044</v>
          </cell>
          <cell r="CQ65">
            <v>563.69316073339303</v>
          </cell>
          <cell r="CR65">
            <v>1029.1973244676044</v>
          </cell>
          <cell r="CS65">
            <v>64160.963724614208</v>
          </cell>
          <cell r="CT65">
            <v>2110</v>
          </cell>
          <cell r="CU65">
            <v>1701.0083272417867</v>
          </cell>
          <cell r="CV65">
            <v>2557.1400109780993</v>
          </cell>
          <cell r="CW65">
            <v>1599.1524300958697</v>
          </cell>
          <cell r="CX65">
            <v>2012</v>
          </cell>
          <cell r="CY65">
            <v>234.28637991054327</v>
          </cell>
          <cell r="CZ65">
            <v>299.89075908451446</v>
          </cell>
          <cell r="DA65">
            <v>101.44452457164024</v>
          </cell>
          <cell r="DB65">
            <v>2011</v>
          </cell>
          <cell r="DC65">
            <v>84.547611025084365</v>
          </cell>
          <cell r="DD65">
            <v>162.93593785941735</v>
          </cell>
          <cell r="DE65">
            <v>9472.7985831272126</v>
          </cell>
          <cell r="DF65">
            <v>2017</v>
          </cell>
          <cell r="DG65">
            <v>239.13836382900479</v>
          </cell>
          <cell r="DH65">
            <v>282.09423785268797</v>
          </cell>
          <cell r="DI65">
            <v>83.501161048817153</v>
          </cell>
          <cell r="DJ65">
            <v>2011</v>
          </cell>
          <cell r="DK65">
            <v>150.50461186679215</v>
          </cell>
          <cell r="DL65">
            <v>215.81850129588756</v>
          </cell>
          <cell r="DM65">
            <v>139.70549580325573</v>
          </cell>
          <cell r="DN65">
            <v>2011</v>
          </cell>
          <cell r="DO65">
            <v>247.58720096075479</v>
          </cell>
          <cell r="DP65">
            <v>305.31085626235807</v>
          </cell>
          <cell r="DQ65">
            <v>77.607750383623454</v>
          </cell>
          <cell r="DR65">
            <v>2011</v>
          </cell>
          <cell r="DS65">
            <v>172.82959905044265</v>
          </cell>
          <cell r="DT65">
            <v>191.40171118891169</v>
          </cell>
          <cell r="DU65">
            <v>37.705167967024394</v>
          </cell>
          <cell r="DV65">
            <v>2011</v>
          </cell>
          <cell r="DW65">
            <v>191.28795304230707</v>
          </cell>
          <cell r="DX65">
            <v>207.33146602635313</v>
          </cell>
          <cell r="DY65">
            <v>31.20883492451264</v>
          </cell>
          <cell r="DZ65">
            <v>2011</v>
          </cell>
          <cell r="EA65">
            <v>1320.5297132007008</v>
          </cell>
          <cell r="EB65">
            <v>2054.1451792638995</v>
          </cell>
          <cell r="EC65">
            <v>1485.3199900601335</v>
          </cell>
          <cell r="ED65">
            <v>2013</v>
          </cell>
          <cell r="EE65">
            <v>958.18502201890112</v>
          </cell>
          <cell r="EF65">
            <v>1387.5604253921417</v>
          </cell>
          <cell r="EG65">
            <v>797.0518606044767</v>
          </cell>
          <cell r="EH65">
            <v>2013</v>
          </cell>
          <cell r="EI65">
            <v>3419.5439958157212</v>
          </cell>
          <cell r="EJ65">
            <v>4989.7662809243075</v>
          </cell>
          <cell r="EK65">
            <v>3237.0107888988277</v>
          </cell>
          <cell r="EL65">
            <v>2012</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row>
        <row r="66">
          <cell r="B66" t="str">
            <v>20%</v>
          </cell>
          <cell r="C66">
            <v>453.82299319538475</v>
          </cell>
          <cell r="D66">
            <v>623.35149189002436</v>
          </cell>
          <cell r="E66">
            <v>322.96966114469086</v>
          </cell>
          <cell r="F66">
            <v>2011</v>
          </cell>
          <cell r="G66">
            <v>154.01312922251677</v>
          </cell>
          <cell r="H66">
            <v>221.78400020385459</v>
          </cell>
          <cell r="I66">
            <v>143.10815393603443</v>
          </cell>
          <cell r="J66">
            <v>2011</v>
          </cell>
          <cell r="K66">
            <v>252.19378001520204</v>
          </cell>
          <cell r="L66">
            <v>273.23690333655213</v>
          </cell>
          <cell r="M66">
            <v>63.877299054608059</v>
          </cell>
          <cell r="N66">
            <v>2010</v>
          </cell>
          <cell r="O66">
            <v>214.09821040812338</v>
          </cell>
          <cell r="P66">
            <v>232.04073853734428</v>
          </cell>
          <cell r="Q66">
            <v>32.617081495976073</v>
          </cell>
          <cell r="R66">
            <v>2012</v>
          </cell>
          <cell r="S66">
            <v>2134.7491830837439</v>
          </cell>
          <cell r="T66">
            <v>3017.7481032720184</v>
          </cell>
          <cell r="U66">
            <v>1637.9815548798078</v>
          </cell>
          <cell r="V66">
            <v>2011</v>
          </cell>
          <cell r="W66">
            <v>3146.6290861447601</v>
          </cell>
          <cell r="X66">
            <v>4709.4047772294161</v>
          </cell>
          <cell r="Y66">
            <v>2987.6637938049012</v>
          </cell>
          <cell r="Z66">
            <v>2011</v>
          </cell>
          <cell r="AA66">
            <v>160.47126953087445</v>
          </cell>
          <cell r="AB66">
            <v>234.03731150756118</v>
          </cell>
          <cell r="AC66">
            <v>91.791865700656373</v>
          </cell>
          <cell r="AD66">
            <v>2014</v>
          </cell>
          <cell r="AE66">
            <v>199.27523422769841</v>
          </cell>
          <cell r="AF66">
            <v>219.8872657701923</v>
          </cell>
          <cell r="AG66">
            <v>38.222731599788375</v>
          </cell>
          <cell r="AH66">
            <v>2012</v>
          </cell>
          <cell r="AI66">
            <v>216.64079369078016</v>
          </cell>
          <cell r="AJ66">
            <v>233.80023015827055</v>
          </cell>
          <cell r="AK66">
            <v>32.018985881113345</v>
          </cell>
          <cell r="AL66">
            <v>2012</v>
          </cell>
          <cell r="AM66">
            <v>275.18789239787793</v>
          </cell>
          <cell r="AN66">
            <v>502.44115449757442</v>
          </cell>
          <cell r="AO66">
            <v>53235.267380668331</v>
          </cell>
          <cell r="AP66">
            <v>2110</v>
          </cell>
          <cell r="AQ66">
            <v>199.8061937961732</v>
          </cell>
          <cell r="AR66">
            <v>280.20317172507998</v>
          </cell>
          <cell r="AS66">
            <v>108.16046691651123</v>
          </cell>
          <cell r="AT66">
            <v>2014</v>
          </cell>
          <cell r="AU66">
            <v>275.15510600465404</v>
          </cell>
          <cell r="AV66">
            <v>502.38129364265455</v>
          </cell>
          <cell r="AW66">
            <v>76898.665825309014</v>
          </cell>
          <cell r="AX66">
            <v>2110</v>
          </cell>
          <cell r="AY66">
            <v>593.16591777494455</v>
          </cell>
          <cell r="AZ66">
            <v>897.04457073343781</v>
          </cell>
          <cell r="BA66">
            <v>528.06557730729241</v>
          </cell>
          <cell r="BB66">
            <v>2011</v>
          </cell>
          <cell r="BC66">
            <v>83.84181382621081</v>
          </cell>
          <cell r="BD66">
            <v>153.0793291216591</v>
          </cell>
          <cell r="BE66">
            <v>2840.7632890859286</v>
          </cell>
          <cell r="BF66">
            <v>2110</v>
          </cell>
          <cell r="BG66">
            <v>261.41395981384682</v>
          </cell>
          <cell r="BH66">
            <v>303.89180258303185</v>
          </cell>
          <cell r="BI66">
            <v>85.663384904856429</v>
          </cell>
          <cell r="BJ66">
            <v>2011</v>
          </cell>
          <cell r="BK66">
            <v>153.6049134058635</v>
          </cell>
          <cell r="BL66">
            <v>221.26739628569769</v>
          </cell>
          <cell r="BM66">
            <v>144.43002442160193</v>
          </cell>
          <cell r="BN66">
            <v>2011</v>
          </cell>
          <cell r="BO66">
            <v>545.15477607818752</v>
          </cell>
          <cell r="BP66">
            <v>603.53468321200614</v>
          </cell>
          <cell r="BQ66">
            <v>113.35969796823359</v>
          </cell>
          <cell r="BR66">
            <v>2012</v>
          </cell>
          <cell r="BS66">
            <v>-1.0626313648098176E-6</v>
          </cell>
          <cell r="BT66">
            <v>-1.4631259503776199E-6</v>
          </cell>
          <cell r="BU66">
            <v>4469.4163893645073</v>
          </cell>
          <cell r="BV66">
            <v>2110</v>
          </cell>
          <cell r="BW66">
            <v>19083.227524512953</v>
          </cell>
          <cell r="BX66">
            <v>54421.978886178564</v>
          </cell>
          <cell r="BY66">
            <v>87545.508362141642</v>
          </cell>
          <cell r="BZ66">
            <v>2026</v>
          </cell>
          <cell r="CA66">
            <v>775.05447443605033</v>
          </cell>
          <cell r="CB66">
            <v>1190.9587892716168</v>
          </cell>
          <cell r="CC66">
            <v>1029.5343766042834</v>
          </cell>
          <cell r="CD66">
            <v>2015</v>
          </cell>
          <cell r="CE66">
            <v>-9.8128850324388613E-7</v>
          </cell>
          <cell r="CF66">
            <v>-1.2371332354126255E-6</v>
          </cell>
          <cell r="CG66">
            <v>81.386862867345727</v>
          </cell>
          <cell r="CH66">
            <v>2054</v>
          </cell>
          <cell r="CI66">
            <v>576.23708117918329</v>
          </cell>
          <cell r="CJ66">
            <v>860.18545943146557</v>
          </cell>
          <cell r="CK66">
            <v>698.45181445261221</v>
          </cell>
          <cell r="CL66">
            <v>2015</v>
          </cell>
          <cell r="CM66">
            <v>-1.0641713415555444E-6</v>
          </cell>
          <cell r="CN66">
            <v>-1.2411756066298007E-6</v>
          </cell>
          <cell r="CO66">
            <v>81.914589880509766</v>
          </cell>
          <cell r="CP66">
            <v>2054</v>
          </cell>
          <cell r="CQ66">
            <v>568.75394831714107</v>
          </cell>
          <cell r="CR66">
            <v>1038.4373668778348</v>
          </cell>
          <cell r="CS66">
            <v>65058.736958991016</v>
          </cell>
          <cell r="CT66">
            <v>2110</v>
          </cell>
          <cell r="CU66">
            <v>1736.8062114992331</v>
          </cell>
          <cell r="CV66">
            <v>2611.3301027736388</v>
          </cell>
          <cell r="CW66">
            <v>1644.3099750226447</v>
          </cell>
          <cell r="CX66">
            <v>2013</v>
          </cell>
          <cell r="CY66">
            <v>237.49968934675704</v>
          </cell>
          <cell r="CZ66">
            <v>304.42585457179104</v>
          </cell>
          <cell r="DA66">
            <v>103.95357627847532</v>
          </cell>
          <cell r="DB66">
            <v>2011</v>
          </cell>
          <cell r="DC66">
            <v>85.550961086164406</v>
          </cell>
          <cell r="DD66">
            <v>173.61109314426625</v>
          </cell>
          <cell r="DE66">
            <v>9957.080136156168</v>
          </cell>
          <cell r="DF66">
            <v>2019</v>
          </cell>
          <cell r="DG66">
            <v>257.58227897869318</v>
          </cell>
          <cell r="DH66">
            <v>302.14541292298554</v>
          </cell>
          <cell r="DI66">
            <v>85.546123988574394</v>
          </cell>
          <cell r="DJ66">
            <v>2011</v>
          </cell>
          <cell r="DK66">
            <v>154.24623333860339</v>
          </cell>
          <cell r="DL66">
            <v>222.22865230673116</v>
          </cell>
          <cell r="DM66">
            <v>143.1910292808156</v>
          </cell>
          <cell r="DN66">
            <v>2011</v>
          </cell>
          <cell r="DO66">
            <v>301.94186296166379</v>
          </cell>
          <cell r="DP66">
            <v>352.26645297056444</v>
          </cell>
          <cell r="DQ66">
            <v>86.372273973380146</v>
          </cell>
          <cell r="DR66">
            <v>2011</v>
          </cell>
          <cell r="DS66">
            <v>198.70962332776489</v>
          </cell>
          <cell r="DT66">
            <v>217.67710883985893</v>
          </cell>
          <cell r="DU66">
            <v>38.449060333648895</v>
          </cell>
          <cell r="DV66">
            <v>2012</v>
          </cell>
          <cell r="DW66">
            <v>216.0105779549109</v>
          </cell>
          <cell r="DX66">
            <v>232.17815512713466</v>
          </cell>
          <cell r="DY66">
            <v>32.008717743755881</v>
          </cell>
          <cell r="DZ66">
            <v>2012</v>
          </cell>
          <cell r="EA66">
            <v>1358.4570446576313</v>
          </cell>
          <cell r="EB66">
            <v>2104.2395007273526</v>
          </cell>
          <cell r="EC66">
            <v>1522.0588834552091</v>
          </cell>
          <cell r="ED66">
            <v>2014</v>
          </cell>
          <cell r="EE66">
            <v>1013.0054928502148</v>
          </cell>
          <cell r="EF66">
            <v>1466.9926586135341</v>
          </cell>
          <cell r="EG66">
            <v>815.87888143758892</v>
          </cell>
          <cell r="EH66">
            <v>2014</v>
          </cell>
          <cell r="EI66">
            <v>3514.1110677054016</v>
          </cell>
          <cell r="EJ66">
            <v>5099.9211907796634</v>
          </cell>
          <cell r="EK66">
            <v>3306.4374217625314</v>
          </cell>
          <cell r="EL66">
            <v>2013</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row>
        <row r="67">
          <cell r="B67" t="str">
            <v>25%</v>
          </cell>
          <cell r="C67">
            <v>477.25558117764842</v>
          </cell>
          <cell r="D67">
            <v>643.87602413011211</v>
          </cell>
          <cell r="E67">
            <v>327.83970984832439</v>
          </cell>
          <cell r="F67">
            <v>2012</v>
          </cell>
          <cell r="G67">
            <v>157.42146050214049</v>
          </cell>
          <cell r="H67">
            <v>226.30696928485503</v>
          </cell>
          <cell r="I67">
            <v>147.31848618233687</v>
          </cell>
          <cell r="J67">
            <v>2012</v>
          </cell>
          <cell r="K67">
            <v>309.66738218757774</v>
          </cell>
          <cell r="L67">
            <v>329.23688495218403</v>
          </cell>
          <cell r="M67">
            <v>65.560905071364004</v>
          </cell>
          <cell r="N67">
            <v>2011</v>
          </cell>
          <cell r="O67">
            <v>242.05783123272732</v>
          </cell>
          <cell r="P67">
            <v>258.93730417499398</v>
          </cell>
          <cell r="Q67">
            <v>33.149144064834182</v>
          </cell>
          <cell r="R67">
            <v>2012</v>
          </cell>
          <cell r="S67">
            <v>2219.4696366606231</v>
          </cell>
          <cell r="T67">
            <v>3096.4353977420519</v>
          </cell>
          <cell r="U67">
            <v>1676.1757415832715</v>
          </cell>
          <cell r="V67">
            <v>2012</v>
          </cell>
          <cell r="W67">
            <v>3208.8821816708873</v>
          </cell>
          <cell r="X67">
            <v>4809.211533749266</v>
          </cell>
          <cell r="Y67">
            <v>3061.7131378873355</v>
          </cell>
          <cell r="Z67">
            <v>2012</v>
          </cell>
          <cell r="AA67">
            <v>163.45256113644513</v>
          </cell>
          <cell r="AB67">
            <v>237.22616948901546</v>
          </cell>
          <cell r="AC67">
            <v>93.022892567438035</v>
          </cell>
          <cell r="AD67">
            <v>2014</v>
          </cell>
          <cell r="AE67">
            <v>224.32850522142101</v>
          </cell>
          <cell r="AF67">
            <v>242.09820408437139</v>
          </cell>
          <cell r="AG67">
            <v>38.927510285632067</v>
          </cell>
          <cell r="AH67">
            <v>2012</v>
          </cell>
          <cell r="AI67">
            <v>242.16701322750154</v>
          </cell>
          <cell r="AJ67">
            <v>258.92633762937896</v>
          </cell>
          <cell r="AK67">
            <v>32.864971514619064</v>
          </cell>
          <cell r="AL67">
            <v>2012</v>
          </cell>
          <cell r="AM67">
            <v>277.33918738877372</v>
          </cell>
          <cell r="AN67">
            <v>506.36901313000226</v>
          </cell>
          <cell r="AO67">
            <v>53853.952238319383</v>
          </cell>
          <cell r="AP67">
            <v>2110</v>
          </cell>
          <cell r="AQ67">
            <v>203.40266644340412</v>
          </cell>
          <cell r="AR67">
            <v>284.15915642274547</v>
          </cell>
          <cell r="AS67">
            <v>109.27602364870945</v>
          </cell>
          <cell r="AT67">
            <v>2014</v>
          </cell>
          <cell r="AU67">
            <v>277.34376389875393</v>
          </cell>
          <cell r="AV67">
            <v>506.37736995672583</v>
          </cell>
          <cell r="AW67">
            <v>77813.574128472828</v>
          </cell>
          <cell r="AX67">
            <v>2110</v>
          </cell>
          <cell r="AY67">
            <v>618.86851385729028</v>
          </cell>
          <cell r="AZ67">
            <v>929.28224097332748</v>
          </cell>
          <cell r="BA67">
            <v>539.38829766717777</v>
          </cell>
          <cell r="BB67">
            <v>2012</v>
          </cell>
          <cell r="BC67">
            <v>84.527623349156144</v>
          </cell>
          <cell r="BD67">
            <v>154.33148700336272</v>
          </cell>
          <cell r="BE67">
            <v>2898.3228392151477</v>
          </cell>
          <cell r="BF67">
            <v>2110</v>
          </cell>
          <cell r="BG67">
            <v>275.83744267865876</v>
          </cell>
          <cell r="BH67">
            <v>321.51576281215017</v>
          </cell>
          <cell r="BI67">
            <v>87.633923806740796</v>
          </cell>
          <cell r="BJ67">
            <v>2012</v>
          </cell>
          <cell r="BK67">
            <v>156.97855671224414</v>
          </cell>
          <cell r="BL67">
            <v>226.38611841550866</v>
          </cell>
          <cell r="BM67">
            <v>148.10367513414164</v>
          </cell>
          <cell r="BN67">
            <v>2012</v>
          </cell>
          <cell r="BO67">
            <v>645.38754089281144</v>
          </cell>
          <cell r="BP67">
            <v>713.42143987979955</v>
          </cell>
          <cell r="BQ67">
            <v>121.57840747217327</v>
          </cell>
          <cell r="BR67">
            <v>2012</v>
          </cell>
          <cell r="BS67">
            <v>-8.5586965288480909E-7</v>
          </cell>
          <cell r="BT67">
            <v>-1.178437923767259E-6</v>
          </cell>
          <cell r="BU67">
            <v>4525.0744030394326</v>
          </cell>
          <cell r="BV67">
            <v>2110</v>
          </cell>
          <cell r="BW67">
            <v>20619.33704469314</v>
          </cell>
          <cell r="BX67">
            <v>65463.690569387079</v>
          </cell>
          <cell r="BY67">
            <v>88218.04602287733</v>
          </cell>
          <cell r="BZ67">
            <v>2029</v>
          </cell>
          <cell r="CA67">
            <v>831.04792206244952</v>
          </cell>
          <cell r="CB67">
            <v>1286.7712834339202</v>
          </cell>
          <cell r="CC67">
            <v>1133.9364023383989</v>
          </cell>
          <cell r="CD67">
            <v>2016</v>
          </cell>
          <cell r="CE67">
            <v>-7.7997907094532682E-7</v>
          </cell>
          <cell r="CF67">
            <v>-9.4527119661811837E-7</v>
          </cell>
          <cell r="CG67">
            <v>82.392051012266478</v>
          </cell>
          <cell r="CH67">
            <v>2110</v>
          </cell>
          <cell r="CI67">
            <v>607.02133330763195</v>
          </cell>
          <cell r="CJ67">
            <v>913.62857500121686</v>
          </cell>
          <cell r="CK67">
            <v>756.82628784671317</v>
          </cell>
          <cell r="CL67">
            <v>2016</v>
          </cell>
          <cell r="CM67">
            <v>-8.0986991426690643E-7</v>
          </cell>
          <cell r="CN67">
            <v>-9.3151775967027034E-7</v>
          </cell>
          <cell r="CO67">
            <v>82.827787181377744</v>
          </cell>
          <cell r="CP67">
            <v>2110</v>
          </cell>
          <cell r="CQ67">
            <v>573.15115131247899</v>
          </cell>
          <cell r="CR67">
            <v>1046.4658298037764</v>
          </cell>
          <cell r="CS67">
            <v>65816.916864894607</v>
          </cell>
          <cell r="CT67">
            <v>2110</v>
          </cell>
          <cell r="CU67">
            <v>1772.5985262123143</v>
          </cell>
          <cell r="CV67">
            <v>2659.0349730115176</v>
          </cell>
          <cell r="CW67">
            <v>1683.4340193218402</v>
          </cell>
          <cell r="CX67">
            <v>2014</v>
          </cell>
          <cell r="CY67">
            <v>239.79620410285025</v>
          </cell>
          <cell r="CZ67">
            <v>307.42092017856118</v>
          </cell>
          <cell r="DA67">
            <v>106.32117406015678</v>
          </cell>
          <cell r="DB67">
            <v>2012</v>
          </cell>
          <cell r="DC67">
            <v>86.399495616434081</v>
          </cell>
          <cell r="DD67">
            <v>3314.1060652771621</v>
          </cell>
          <cell r="DE67">
            <v>10620.492980889341</v>
          </cell>
          <cell r="DF67">
            <v>2022</v>
          </cell>
          <cell r="DG67">
            <v>271.20167373129078</v>
          </cell>
          <cell r="DH67">
            <v>315.63929924001769</v>
          </cell>
          <cell r="DI67">
            <v>87.231004542332073</v>
          </cell>
          <cell r="DJ67">
            <v>2012</v>
          </cell>
          <cell r="DK67">
            <v>157.59875126359299</v>
          </cell>
          <cell r="DL67">
            <v>226.85935979033709</v>
          </cell>
          <cell r="DM67">
            <v>146.8361298393331</v>
          </cell>
          <cell r="DN67">
            <v>2012</v>
          </cell>
          <cell r="DO67">
            <v>348.47207973853182</v>
          </cell>
          <cell r="DP67">
            <v>408.94551930443811</v>
          </cell>
          <cell r="DQ67">
            <v>92.346821009058814</v>
          </cell>
          <cell r="DR67">
            <v>2012</v>
          </cell>
          <cell r="DS67">
            <v>223.52741939690569</v>
          </cell>
          <cell r="DT67">
            <v>243.61688408404927</v>
          </cell>
          <cell r="DU67">
            <v>39.173325068894819</v>
          </cell>
          <cell r="DV67">
            <v>2012</v>
          </cell>
          <cell r="DW67">
            <v>244.05671149264336</v>
          </cell>
          <cell r="DX67">
            <v>261.48452731773614</v>
          </cell>
          <cell r="DY67">
            <v>32.673355716641304</v>
          </cell>
          <cell r="DZ67">
            <v>2012</v>
          </cell>
          <cell r="EA67">
            <v>1391.8312249574788</v>
          </cell>
          <cell r="EB67">
            <v>2164.2854443849983</v>
          </cell>
          <cell r="EC67">
            <v>1557.1870130743998</v>
          </cell>
          <cell r="ED67">
            <v>2014</v>
          </cell>
          <cell r="EE67">
            <v>1096.2871473925063</v>
          </cell>
          <cell r="EF67">
            <v>1546.4173942624659</v>
          </cell>
          <cell r="EG67">
            <v>829.78784711992114</v>
          </cell>
          <cell r="EH67">
            <v>2014</v>
          </cell>
          <cell r="EI67">
            <v>3603.045666153625</v>
          </cell>
          <cell r="EJ67">
            <v>5224.3102016423636</v>
          </cell>
          <cell r="EK67">
            <v>3373.7081353794142</v>
          </cell>
          <cell r="EL67">
            <v>2014</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row>
        <row r="68">
          <cell r="B68" t="str">
            <v>30%</v>
          </cell>
          <cell r="C68">
            <v>490.88100031296506</v>
          </cell>
          <cell r="D68">
            <v>657.99699926759365</v>
          </cell>
          <cell r="E68">
            <v>333.71548063180472</v>
          </cell>
          <cell r="F68">
            <v>2012</v>
          </cell>
          <cell r="G68">
            <v>160.0956085224087</v>
          </cell>
          <cell r="H68">
            <v>230.69272798625082</v>
          </cell>
          <cell r="I68">
            <v>150.73950038980877</v>
          </cell>
          <cell r="J68">
            <v>2012</v>
          </cell>
          <cell r="K68">
            <v>366.1104670956625</v>
          </cell>
          <cell r="L68">
            <v>385.5940800916365</v>
          </cell>
          <cell r="M68">
            <v>67.620986465158126</v>
          </cell>
          <cell r="N68">
            <v>2011</v>
          </cell>
          <cell r="O68">
            <v>271.21615337288239</v>
          </cell>
          <cell r="P68">
            <v>286.68887451001916</v>
          </cell>
          <cell r="Q68">
            <v>33.650493492244955</v>
          </cell>
          <cell r="R68">
            <v>2013</v>
          </cell>
          <cell r="S68">
            <v>2318.3736962728376</v>
          </cell>
          <cell r="T68">
            <v>3196.855684303076</v>
          </cell>
          <cell r="U68">
            <v>1715.7004574545851</v>
          </cell>
          <cell r="V68">
            <v>2012</v>
          </cell>
          <cell r="W68">
            <v>3260.9739518180786</v>
          </cell>
          <cell r="X68">
            <v>4881.2783567800916</v>
          </cell>
          <cell r="Y68">
            <v>3112.3665697818474</v>
          </cell>
          <cell r="Z68">
            <v>2012</v>
          </cell>
          <cell r="AA68">
            <v>166.28810384605475</v>
          </cell>
          <cell r="AB68">
            <v>238.9983131312438</v>
          </cell>
          <cell r="AC68">
            <v>93.747156413869106</v>
          </cell>
          <cell r="AD68">
            <v>2014</v>
          </cell>
          <cell r="AE68">
            <v>253.88723939226168</v>
          </cell>
          <cell r="AF68">
            <v>271.54889243809026</v>
          </cell>
          <cell r="AG68">
            <v>39.592697695798208</v>
          </cell>
          <cell r="AH68">
            <v>2013</v>
          </cell>
          <cell r="AI68">
            <v>270.94141965775913</v>
          </cell>
          <cell r="AJ68">
            <v>287.15376530840877</v>
          </cell>
          <cell r="AK68">
            <v>33.481395643516244</v>
          </cell>
          <cell r="AL68">
            <v>2013</v>
          </cell>
          <cell r="AM68">
            <v>279.25517951485102</v>
          </cell>
          <cell r="AN68">
            <v>509.86725289692691</v>
          </cell>
          <cell r="AO68">
            <v>54442.209217048134</v>
          </cell>
          <cell r="AP68">
            <v>2110</v>
          </cell>
          <cell r="AQ68">
            <v>207.59728960315704</v>
          </cell>
          <cell r="AR68">
            <v>288.6248137170553</v>
          </cell>
          <cell r="AS68">
            <v>110.41277402127037</v>
          </cell>
          <cell r="AT68">
            <v>2014</v>
          </cell>
          <cell r="AU68">
            <v>279.26427555809687</v>
          </cell>
          <cell r="AV68">
            <v>509.88386133206905</v>
          </cell>
          <cell r="AW68">
            <v>78620.194405029193</v>
          </cell>
          <cell r="AX68">
            <v>2110</v>
          </cell>
          <cell r="AY68">
            <v>640.80805378793104</v>
          </cell>
          <cell r="AZ68">
            <v>949.44291834408568</v>
          </cell>
          <cell r="BA68">
            <v>550.92264985436134</v>
          </cell>
          <cell r="BB68">
            <v>2012</v>
          </cell>
          <cell r="BC68">
            <v>85.10597682463488</v>
          </cell>
          <cell r="BD68">
            <v>155.38745132406868</v>
          </cell>
          <cell r="BE68">
            <v>2954.2013245953244</v>
          </cell>
          <cell r="BF68">
            <v>2110</v>
          </cell>
          <cell r="BG68">
            <v>289.54731261297383</v>
          </cell>
          <cell r="BH68">
            <v>334.45030990605159</v>
          </cell>
          <cell r="BI68">
            <v>89.330498274958899</v>
          </cell>
          <cell r="BJ68">
            <v>2012</v>
          </cell>
          <cell r="BK68">
            <v>159.78034353252778</v>
          </cell>
          <cell r="BL68">
            <v>230.57321913388165</v>
          </cell>
          <cell r="BM68">
            <v>151.75639885456681</v>
          </cell>
          <cell r="BN68">
            <v>2012</v>
          </cell>
          <cell r="BO68">
            <v>761.53528155724848</v>
          </cell>
          <cell r="BP68">
            <v>838.74803077489821</v>
          </cell>
          <cell r="BQ68">
            <v>130.02309739516326</v>
          </cell>
          <cell r="BR68">
            <v>2013</v>
          </cell>
          <cell r="BS68">
            <v>-6.6264032552478506E-7</v>
          </cell>
          <cell r="BT68">
            <v>-9.1238249514261797E-7</v>
          </cell>
          <cell r="BU68">
            <v>4569.6246192344033</v>
          </cell>
          <cell r="BV68">
            <v>2110</v>
          </cell>
          <cell r="BW68">
            <v>22449.872288692473</v>
          </cell>
          <cell r="BX68">
            <v>86475.521233186766</v>
          </cell>
          <cell r="BY68">
            <v>89080.147031132816</v>
          </cell>
          <cell r="BZ68">
            <v>2032</v>
          </cell>
          <cell r="CA68">
            <v>884.4957585850774</v>
          </cell>
          <cell r="CB68">
            <v>1366.9009290819329</v>
          </cell>
          <cell r="CC68">
            <v>1240.7444940489306</v>
          </cell>
          <cell r="CD68">
            <v>2016</v>
          </cell>
          <cell r="CE68">
            <v>-5.6776527900359167E-7</v>
          </cell>
          <cell r="CF68">
            <v>-5.9509378352684923E-7</v>
          </cell>
          <cell r="CG68">
            <v>83.462828946569346</v>
          </cell>
          <cell r="CH68">
            <v>2110</v>
          </cell>
          <cell r="CI68">
            <v>644.58035715543531</v>
          </cell>
          <cell r="CJ68">
            <v>977.75078869662582</v>
          </cell>
          <cell r="CK68">
            <v>822.49107656104206</v>
          </cell>
          <cell r="CL68">
            <v>2016</v>
          </cell>
          <cell r="CM68">
            <v>-5.7284722920440637E-7</v>
          </cell>
          <cell r="CN68">
            <v>-5.9125221483590785E-7</v>
          </cell>
          <cell r="CO68">
            <v>83.691634458035779</v>
          </cell>
          <cell r="CP68">
            <v>2110</v>
          </cell>
          <cell r="CQ68">
            <v>577.06470693605206</v>
          </cell>
          <cell r="CR68">
            <v>1053.6112444279438</v>
          </cell>
          <cell r="CS68">
            <v>66543.096274873227</v>
          </cell>
          <cell r="CT68">
            <v>2110</v>
          </cell>
          <cell r="CU68">
            <v>1802.2517681401714</v>
          </cell>
          <cell r="CV68">
            <v>2704.5895698697805</v>
          </cell>
          <cell r="CW68">
            <v>1722.1633317801657</v>
          </cell>
          <cell r="CX68">
            <v>2014</v>
          </cell>
          <cell r="CY68">
            <v>242.24205881519254</v>
          </cell>
          <cell r="CZ68">
            <v>310.72975634126323</v>
          </cell>
          <cell r="DA68">
            <v>108.2731860866768</v>
          </cell>
          <cell r="DB68">
            <v>2012</v>
          </cell>
          <cell r="DC68">
            <v>87.120596222752411</v>
          </cell>
          <cell r="DD68">
            <v>3564.977016650791</v>
          </cell>
          <cell r="DE68">
            <v>11377.804936766985</v>
          </cell>
          <cell r="DF68">
            <v>2024</v>
          </cell>
          <cell r="DG68">
            <v>292.67067907401895</v>
          </cell>
          <cell r="DH68">
            <v>336.10945027647386</v>
          </cell>
          <cell r="DI68">
            <v>88.841415476046052</v>
          </cell>
          <cell r="DJ68">
            <v>2012</v>
          </cell>
          <cell r="DK68">
            <v>160.55202390616208</v>
          </cell>
          <cell r="DL68">
            <v>231.76493021424997</v>
          </cell>
          <cell r="DM68">
            <v>150.86458109694078</v>
          </cell>
          <cell r="DN68">
            <v>2012</v>
          </cell>
          <cell r="DO68">
            <v>412.45576192826923</v>
          </cell>
          <cell r="DP68">
            <v>467.15475141485683</v>
          </cell>
          <cell r="DQ68">
            <v>98.4588296814687</v>
          </cell>
          <cell r="DR68">
            <v>2012</v>
          </cell>
          <cell r="DS68">
            <v>251.3937723658793</v>
          </cell>
          <cell r="DT68">
            <v>271.92333540265662</v>
          </cell>
          <cell r="DU68">
            <v>39.811090862060787</v>
          </cell>
          <cell r="DV68">
            <v>2013</v>
          </cell>
          <cell r="DW68">
            <v>269.20949524019829</v>
          </cell>
          <cell r="DX68">
            <v>285.91188443911204</v>
          </cell>
          <cell r="DY68">
            <v>33.408706375442009</v>
          </cell>
          <cell r="DZ68">
            <v>2013</v>
          </cell>
          <cell r="EA68">
            <v>1437.2137285988831</v>
          </cell>
          <cell r="EB68">
            <v>2211.2784608878674</v>
          </cell>
          <cell r="EC68">
            <v>1586.5735957830302</v>
          </cell>
          <cell r="ED68">
            <v>2014</v>
          </cell>
          <cell r="EE68">
            <v>1169.2977427122325</v>
          </cell>
          <cell r="EF68">
            <v>1620.6770303004055</v>
          </cell>
          <cell r="EG68">
            <v>846.07394869556936</v>
          </cell>
          <cell r="EH68">
            <v>2014</v>
          </cell>
          <cell r="EI68">
            <v>3657.6830263550628</v>
          </cell>
          <cell r="EJ68">
            <v>5326.7074321060827</v>
          </cell>
          <cell r="EK68">
            <v>3448.2030746410678</v>
          </cell>
          <cell r="EL68">
            <v>2014</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row>
        <row r="69">
          <cell r="B69" t="str">
            <v>35%</v>
          </cell>
          <cell r="C69">
            <v>505.30495737770298</v>
          </cell>
          <cell r="D69">
            <v>668.07963022337321</v>
          </cell>
          <cell r="E69">
            <v>340.64442470400576</v>
          </cell>
          <cell r="F69">
            <v>2013</v>
          </cell>
          <cell r="G69">
            <v>162.45331065540174</v>
          </cell>
          <cell r="H69">
            <v>235.04431874264372</v>
          </cell>
          <cell r="I69">
            <v>154.50561174335309</v>
          </cell>
          <cell r="J69">
            <v>2013</v>
          </cell>
          <cell r="K69">
            <v>421.35357406985429</v>
          </cell>
          <cell r="L69">
            <v>441.66447088248282</v>
          </cell>
          <cell r="M69">
            <v>69.48599094595491</v>
          </cell>
          <cell r="N69">
            <v>2011</v>
          </cell>
          <cell r="O69">
            <v>298.45761123390872</v>
          </cell>
          <cell r="P69">
            <v>315.25457823451183</v>
          </cell>
          <cell r="Q69">
            <v>34.2888793374578</v>
          </cell>
          <cell r="R69">
            <v>2013</v>
          </cell>
          <cell r="S69">
            <v>2405.0133878532924</v>
          </cell>
          <cell r="T69">
            <v>3313.6639799771847</v>
          </cell>
          <cell r="U69">
            <v>1742.1683664903378</v>
          </cell>
          <cell r="V69">
            <v>2013</v>
          </cell>
          <cell r="W69">
            <v>3311.5149369703854</v>
          </cell>
          <cell r="X69">
            <v>4954.6913036089582</v>
          </cell>
          <cell r="Y69">
            <v>3181.5888077807381</v>
          </cell>
          <cell r="Z69">
            <v>2013</v>
          </cell>
          <cell r="AA69">
            <v>168.54457015789851</v>
          </cell>
          <cell r="AB69">
            <v>241.29256628182185</v>
          </cell>
          <cell r="AC69">
            <v>94.628894689283726</v>
          </cell>
          <cell r="AD69">
            <v>2015</v>
          </cell>
          <cell r="AE69">
            <v>279.62718915498351</v>
          </cell>
          <cell r="AF69">
            <v>299.11775327200127</v>
          </cell>
          <cell r="AG69">
            <v>40.179945891864662</v>
          </cell>
          <cell r="AH69">
            <v>2013</v>
          </cell>
          <cell r="AI69">
            <v>299.02079038083298</v>
          </cell>
          <cell r="AJ69">
            <v>315.54587983529109</v>
          </cell>
          <cell r="AK69">
            <v>34.059565101661157</v>
          </cell>
          <cell r="AL69">
            <v>2013</v>
          </cell>
          <cell r="AM69">
            <v>281.04587477474388</v>
          </cell>
          <cell r="AN69">
            <v>513.13672497093432</v>
          </cell>
          <cell r="AO69">
            <v>54940.080687790309</v>
          </cell>
          <cell r="AP69">
            <v>2110</v>
          </cell>
          <cell r="AQ69">
            <v>213.7362348021561</v>
          </cell>
          <cell r="AR69">
            <v>294.43741662573842</v>
          </cell>
          <cell r="AS69">
            <v>111.44158213494815</v>
          </cell>
          <cell r="AT69">
            <v>2015</v>
          </cell>
          <cell r="AU69">
            <v>281.04586321101374</v>
          </cell>
          <cell r="AV69">
            <v>513.13670418982349</v>
          </cell>
          <cell r="AW69">
            <v>79392.002747751438</v>
          </cell>
          <cell r="AX69">
            <v>2110</v>
          </cell>
          <cell r="AY69">
            <v>657.66262576604254</v>
          </cell>
          <cell r="AZ69">
            <v>968.91589178150946</v>
          </cell>
          <cell r="BA69">
            <v>561.1000480548995</v>
          </cell>
          <cell r="BB69">
            <v>2013</v>
          </cell>
          <cell r="BC69">
            <v>85.668011752575438</v>
          </cell>
          <cell r="BD69">
            <v>156.41362048307923</v>
          </cell>
          <cell r="BE69">
            <v>3002.1953402047748</v>
          </cell>
          <cell r="BF69">
            <v>2110</v>
          </cell>
          <cell r="BG69">
            <v>303.80260274698861</v>
          </cell>
          <cell r="BH69">
            <v>346.35155639209972</v>
          </cell>
          <cell r="BI69">
            <v>90.521879948135307</v>
          </cell>
          <cell r="BJ69">
            <v>2013</v>
          </cell>
          <cell r="BK69">
            <v>163.22840075461423</v>
          </cell>
          <cell r="BL69">
            <v>235.41194982450904</v>
          </cell>
          <cell r="BM69">
            <v>154.68647180333798</v>
          </cell>
          <cell r="BN69">
            <v>2013</v>
          </cell>
          <cell r="BO69">
            <v>874.19803190127163</v>
          </cell>
          <cell r="BP69">
            <v>946.83138814436802</v>
          </cell>
          <cell r="BQ69">
            <v>135.61070125963528</v>
          </cell>
          <cell r="BR69">
            <v>2013</v>
          </cell>
          <cell r="BS69">
            <v>-4.8698074847946067E-7</v>
          </cell>
          <cell r="BT69">
            <v>-6.7051867094299113E-7</v>
          </cell>
          <cell r="BU69">
            <v>4624.788558017679</v>
          </cell>
          <cell r="BV69">
            <v>2110</v>
          </cell>
          <cell r="BW69">
            <v>24137.288804251286</v>
          </cell>
          <cell r="BX69">
            <v>103560.01235412202</v>
          </cell>
          <cell r="BY69">
            <v>89585.358540470435</v>
          </cell>
          <cell r="BZ69">
            <v>2034</v>
          </cell>
          <cell r="CA69">
            <v>952.20520286463602</v>
          </cell>
          <cell r="CB69">
            <v>1473.4721347127579</v>
          </cell>
          <cell r="CC69">
            <v>1318.4246688169626</v>
          </cell>
          <cell r="CD69">
            <v>2017</v>
          </cell>
          <cell r="CE69">
            <v>-3.8338566602367351E-7</v>
          </cell>
          <cell r="CF69">
            <v>-3.0039358037180577E-7</v>
          </cell>
          <cell r="CG69">
            <v>85.018024696210887</v>
          </cell>
          <cell r="CH69">
            <v>2110</v>
          </cell>
          <cell r="CI69">
            <v>688.40230831723329</v>
          </cell>
          <cell r="CJ69">
            <v>1030.8336248718283</v>
          </cell>
          <cell r="CK69">
            <v>871.26268092987948</v>
          </cell>
          <cell r="CL69">
            <v>2017</v>
          </cell>
          <cell r="CM69">
            <v>-3.6756273910627958E-7</v>
          </cell>
          <cell r="CN69">
            <v>-2.9133747903807241E-7</v>
          </cell>
          <cell r="CO69">
            <v>84.647061579814718</v>
          </cell>
          <cell r="CP69">
            <v>2110</v>
          </cell>
          <cell r="CQ69">
            <v>580.78808831934384</v>
          </cell>
          <cell r="CR69">
            <v>1060.4094363693955</v>
          </cell>
          <cell r="CS69">
            <v>67184.221563770858</v>
          </cell>
          <cell r="CT69">
            <v>2110</v>
          </cell>
          <cell r="CU69">
            <v>1828.9955998095138</v>
          </cell>
          <cell r="CV69">
            <v>2752.3374594938996</v>
          </cell>
          <cell r="CW69">
            <v>1757.2202416919688</v>
          </cell>
          <cell r="CX69">
            <v>2015</v>
          </cell>
          <cell r="CY69">
            <v>244.17789604784463</v>
          </cell>
          <cell r="CZ69">
            <v>313.87409246536458</v>
          </cell>
          <cell r="DA69">
            <v>110.34972788602859</v>
          </cell>
          <cell r="DB69">
            <v>2012</v>
          </cell>
          <cell r="DC69">
            <v>87.810664806957931</v>
          </cell>
          <cell r="DD69">
            <v>3771.1570014477506</v>
          </cell>
          <cell r="DE69">
            <v>11972.071776383074</v>
          </cell>
          <cell r="DF69">
            <v>2027</v>
          </cell>
          <cell r="DG69">
            <v>307.08771896393665</v>
          </cell>
          <cell r="DH69">
            <v>351.18759219849181</v>
          </cell>
          <cell r="DI69">
            <v>90.493309627656956</v>
          </cell>
          <cell r="DJ69">
            <v>2013</v>
          </cell>
          <cell r="DK69">
            <v>163.26524964322888</v>
          </cell>
          <cell r="DL69">
            <v>235.79986121908024</v>
          </cell>
          <cell r="DM69">
            <v>154.52372025526208</v>
          </cell>
          <cell r="DN69">
            <v>2013</v>
          </cell>
          <cell r="DO69">
            <v>464.78010611168196</v>
          </cell>
          <cell r="DP69">
            <v>525.14857024104663</v>
          </cell>
          <cell r="DQ69">
            <v>103.90233517165038</v>
          </cell>
          <cell r="DR69">
            <v>2013</v>
          </cell>
          <cell r="DS69">
            <v>278.89705736888988</v>
          </cell>
          <cell r="DT69">
            <v>297.99841080004296</v>
          </cell>
          <cell r="DU69">
            <v>40.426304322408662</v>
          </cell>
          <cell r="DV69">
            <v>2013</v>
          </cell>
          <cell r="DW69">
            <v>300.51143982571222</v>
          </cell>
          <cell r="DX69">
            <v>317.06921830600953</v>
          </cell>
          <cell r="DY69">
            <v>33.954378466737602</v>
          </cell>
          <cell r="DZ69">
            <v>2013</v>
          </cell>
          <cell r="EA69">
            <v>1470.1536127019244</v>
          </cell>
          <cell r="EB69">
            <v>2257.288870532791</v>
          </cell>
          <cell r="EC69">
            <v>1617.5002070906723</v>
          </cell>
          <cell r="ED69">
            <v>2015</v>
          </cell>
          <cell r="EE69">
            <v>1243.6114155678699</v>
          </cell>
          <cell r="EF69">
            <v>1687.0428723037455</v>
          </cell>
          <cell r="EG69">
            <v>860.65383258150689</v>
          </cell>
          <cell r="EH69">
            <v>2015</v>
          </cell>
          <cell r="EI69">
            <v>3729.3027470074562</v>
          </cell>
          <cell r="EJ69">
            <v>5421.9508382317308</v>
          </cell>
          <cell r="EK69">
            <v>3516.9545475632654</v>
          </cell>
          <cell r="EL69">
            <v>2015</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row>
        <row r="70">
          <cell r="B70" t="str">
            <v>40%</v>
          </cell>
          <cell r="C70">
            <v>516.34538881088815</v>
          </cell>
          <cell r="D70">
            <v>684.22960963014793</v>
          </cell>
          <cell r="E70">
            <v>345.16021734415665</v>
          </cell>
          <cell r="F70">
            <v>2013</v>
          </cell>
          <cell r="G70">
            <v>165.59494710931529</v>
          </cell>
          <cell r="H70">
            <v>239.69214160329952</v>
          </cell>
          <cell r="I70">
            <v>158.51376899143807</v>
          </cell>
          <cell r="J70">
            <v>2013</v>
          </cell>
          <cell r="K70">
            <v>478.24907653189683</v>
          </cell>
          <cell r="L70">
            <v>498.08054925666681</v>
          </cell>
          <cell r="M70">
            <v>70.929204018495724</v>
          </cell>
          <cell r="N70">
            <v>2011</v>
          </cell>
          <cell r="O70">
            <v>327.51816807957698</v>
          </cell>
          <cell r="P70">
            <v>343.10627333448713</v>
          </cell>
          <cell r="Q70">
            <v>34.823244231681599</v>
          </cell>
          <cell r="R70">
            <v>2014</v>
          </cell>
          <cell r="S70">
            <v>2512.1665092245112</v>
          </cell>
          <cell r="T70">
            <v>3403.4137278906887</v>
          </cell>
          <cell r="U70">
            <v>1776.822607069842</v>
          </cell>
          <cell r="V70">
            <v>2013</v>
          </cell>
          <cell r="W70">
            <v>3350.7105731873598</v>
          </cell>
          <cell r="X70">
            <v>5016.3085960978979</v>
          </cell>
          <cell r="Y70">
            <v>3224.5046129533025</v>
          </cell>
          <cell r="Z70">
            <v>2013</v>
          </cell>
          <cell r="AA70">
            <v>171.40729465298713</v>
          </cell>
          <cell r="AB70">
            <v>243.6792019798375</v>
          </cell>
          <cell r="AC70">
            <v>95.462745699596994</v>
          </cell>
          <cell r="AD70">
            <v>2015</v>
          </cell>
          <cell r="AE70">
            <v>310.55692949742644</v>
          </cell>
          <cell r="AF70">
            <v>330.30892414523237</v>
          </cell>
          <cell r="AG70">
            <v>40.635613187571536</v>
          </cell>
          <cell r="AH70">
            <v>2014</v>
          </cell>
          <cell r="AI70">
            <v>329.17755900209295</v>
          </cell>
          <cell r="AJ70">
            <v>345.28016764831312</v>
          </cell>
          <cell r="AK70">
            <v>34.63242373132563</v>
          </cell>
          <cell r="AL70">
            <v>2014</v>
          </cell>
          <cell r="AM70">
            <v>282.67347405614584</v>
          </cell>
          <cell r="AN70">
            <v>516.10841437784688</v>
          </cell>
          <cell r="AO70">
            <v>55451.071529782341</v>
          </cell>
          <cell r="AP70">
            <v>2110</v>
          </cell>
          <cell r="AQ70">
            <v>218.2127928469036</v>
          </cell>
          <cell r="AR70">
            <v>299.18633692196443</v>
          </cell>
          <cell r="AS70">
            <v>112.68026593553591</v>
          </cell>
          <cell r="AT70">
            <v>2015</v>
          </cell>
          <cell r="AU70">
            <v>282.65310614916388</v>
          </cell>
          <cell r="AV70">
            <v>516.0712253398666</v>
          </cell>
          <cell r="AW70">
            <v>80101.136719443879</v>
          </cell>
          <cell r="AX70">
            <v>2110</v>
          </cell>
          <cell r="AY70">
            <v>684.22464054773479</v>
          </cell>
          <cell r="AZ70">
            <v>992.48008411041883</v>
          </cell>
          <cell r="BA70">
            <v>571.38889095894899</v>
          </cell>
          <cell r="BB70">
            <v>2013</v>
          </cell>
          <cell r="BC70">
            <v>86.172463951502678</v>
          </cell>
          <cell r="BD70">
            <v>157.33465539364286</v>
          </cell>
          <cell r="BE70">
            <v>3047.1957595697454</v>
          </cell>
          <cell r="BF70">
            <v>2110</v>
          </cell>
          <cell r="BG70">
            <v>317.09304203128295</v>
          </cell>
          <cell r="BH70">
            <v>362.7303738279233</v>
          </cell>
          <cell r="BI70">
            <v>91.905650569572771</v>
          </cell>
          <cell r="BJ70">
            <v>2013</v>
          </cell>
          <cell r="BK70">
            <v>166.59840670219074</v>
          </cell>
          <cell r="BL70">
            <v>241.83043084777142</v>
          </cell>
          <cell r="BM70">
            <v>157.7576602055469</v>
          </cell>
          <cell r="BN70">
            <v>2013</v>
          </cell>
          <cell r="BO70">
            <v>987.00530366650219</v>
          </cell>
          <cell r="BP70">
            <v>1056.7590925993597</v>
          </cell>
          <cell r="BQ70">
            <v>142.39751568616146</v>
          </cell>
          <cell r="BR70">
            <v>2014</v>
          </cell>
          <cell r="BS70">
            <v>-3.4023685816442224E-7</v>
          </cell>
          <cell r="BT70">
            <v>-4.6846855169234567E-7</v>
          </cell>
          <cell r="BU70">
            <v>4667.763958305889</v>
          </cell>
          <cell r="BV70">
            <v>2110</v>
          </cell>
          <cell r="BW70">
            <v>26126.308821769868</v>
          </cell>
          <cell r="BX70">
            <v>110031.59475165237</v>
          </cell>
          <cell r="BY70">
            <v>90252.928963236365</v>
          </cell>
          <cell r="BZ70">
            <v>2037</v>
          </cell>
          <cell r="CA70">
            <v>1013.9123372693006</v>
          </cell>
          <cell r="CB70">
            <v>1573.8418280045325</v>
          </cell>
          <cell r="CC70">
            <v>1411.8074650226192</v>
          </cell>
          <cell r="CD70">
            <v>2017</v>
          </cell>
          <cell r="CE70">
            <v>-1.8748613950174377E-7</v>
          </cell>
          <cell r="CF70">
            <v>9.0488966497391104E-9</v>
          </cell>
          <cell r="CG70">
            <v>86.125396631926307</v>
          </cell>
          <cell r="CH70">
            <v>2110</v>
          </cell>
          <cell r="CI70">
            <v>720.96714360025976</v>
          </cell>
          <cell r="CJ70">
            <v>1095.6644129023875</v>
          </cell>
          <cell r="CK70">
            <v>936.82057709358901</v>
          </cell>
          <cell r="CL70">
            <v>2017</v>
          </cell>
          <cell r="CM70">
            <v>-1.9019768425204269E-7</v>
          </cell>
          <cell r="CN70">
            <v>-6.1760287653931287E-8</v>
          </cell>
          <cell r="CO70">
            <v>85.454682607442649</v>
          </cell>
          <cell r="CP70">
            <v>2110</v>
          </cell>
          <cell r="CQ70">
            <v>584.22403786289306</v>
          </cell>
          <cell r="CR70">
            <v>1066.6828312379228</v>
          </cell>
          <cell r="CS70">
            <v>67779.006299041022</v>
          </cell>
          <cell r="CT70">
            <v>2110</v>
          </cell>
          <cell r="CU70">
            <v>1850.8572850472979</v>
          </cell>
          <cell r="CV70">
            <v>2781.4411899665479</v>
          </cell>
          <cell r="CW70">
            <v>1782.7975278949659</v>
          </cell>
          <cell r="CX70">
            <v>2015</v>
          </cell>
          <cell r="CY70">
            <v>246.53993297747462</v>
          </cell>
          <cell r="CZ70">
            <v>316.58550706092092</v>
          </cell>
          <cell r="DA70">
            <v>111.96701433593363</v>
          </cell>
          <cell r="DB70">
            <v>2013</v>
          </cell>
          <cell r="DC70">
            <v>88.652561780455642</v>
          </cell>
          <cell r="DD70">
            <v>3989.8680307456511</v>
          </cell>
          <cell r="DE70">
            <v>12704.355051340817</v>
          </cell>
          <cell r="DF70">
            <v>2029</v>
          </cell>
          <cell r="DG70">
            <v>319.05631665015505</v>
          </cell>
          <cell r="DH70">
            <v>363.93884318057127</v>
          </cell>
          <cell r="DI70">
            <v>91.912545488774612</v>
          </cell>
          <cell r="DJ70">
            <v>2013</v>
          </cell>
          <cell r="DK70">
            <v>166.22645050383289</v>
          </cell>
          <cell r="DL70">
            <v>239.93946826642332</v>
          </cell>
          <cell r="DM70">
            <v>158.48184531571019</v>
          </cell>
          <cell r="DN70">
            <v>2013</v>
          </cell>
          <cell r="DO70">
            <v>523.58054011211152</v>
          </cell>
          <cell r="DP70">
            <v>578.5796773928256</v>
          </cell>
          <cell r="DQ70">
            <v>108.1676168515371</v>
          </cell>
          <cell r="DR70">
            <v>2013</v>
          </cell>
          <cell r="DS70">
            <v>307.28507329847685</v>
          </cell>
          <cell r="DT70">
            <v>326.19825460598332</v>
          </cell>
          <cell r="DU70">
            <v>40.919982302840886</v>
          </cell>
          <cell r="DV70">
            <v>2014</v>
          </cell>
          <cell r="DW70">
            <v>326.92565065791291</v>
          </cell>
          <cell r="DX70">
            <v>344.20434116746247</v>
          </cell>
          <cell r="DY70">
            <v>34.764313006424047</v>
          </cell>
          <cell r="DZ70">
            <v>2014</v>
          </cell>
          <cell r="EA70">
            <v>1502.4437101512708</v>
          </cell>
          <cell r="EB70">
            <v>2303.4103717029388</v>
          </cell>
          <cell r="EC70">
            <v>1644.6398035259449</v>
          </cell>
          <cell r="ED70">
            <v>2015</v>
          </cell>
          <cell r="EE70">
            <v>1306.7108987854313</v>
          </cell>
          <cell r="EF70">
            <v>1752.5402392304873</v>
          </cell>
          <cell r="EG70">
            <v>876.04946151403124</v>
          </cell>
          <cell r="EH70">
            <v>2015</v>
          </cell>
          <cell r="EI70">
            <v>3791.2666221847689</v>
          </cell>
          <cell r="EJ70">
            <v>5499.0932119167956</v>
          </cell>
          <cell r="EK70">
            <v>3574.8000434057253</v>
          </cell>
          <cell r="EL70">
            <v>2015</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row>
        <row r="71">
          <cell r="B71" t="str">
            <v>45%</v>
          </cell>
          <cell r="C71">
            <v>528.57862450386108</v>
          </cell>
          <cell r="D71">
            <v>697.08851380148121</v>
          </cell>
          <cell r="E71">
            <v>349.90923657317171</v>
          </cell>
          <cell r="F71">
            <v>2014</v>
          </cell>
          <cell r="G71">
            <v>168.81983922436791</v>
          </cell>
          <cell r="H71">
            <v>244.66696811717836</v>
          </cell>
          <cell r="I71">
            <v>162.16832798000075</v>
          </cell>
          <cell r="J71">
            <v>2014</v>
          </cell>
          <cell r="K71">
            <v>541.68945222352158</v>
          </cell>
          <cell r="L71">
            <v>562.26189688313616</v>
          </cell>
          <cell r="M71">
            <v>72.543669460993428</v>
          </cell>
          <cell r="N71">
            <v>2012</v>
          </cell>
          <cell r="O71">
            <v>358.58475451681193</v>
          </cell>
          <cell r="P71">
            <v>374.67925281139964</v>
          </cell>
          <cell r="Q71">
            <v>35.357391516872489</v>
          </cell>
          <cell r="R71">
            <v>2014</v>
          </cell>
          <cell r="S71">
            <v>2607.6912825967383</v>
          </cell>
          <cell r="T71">
            <v>3488.7429195160153</v>
          </cell>
          <cell r="U71">
            <v>1806.6743048122341</v>
          </cell>
          <cell r="V71">
            <v>2014</v>
          </cell>
          <cell r="W71">
            <v>3397.6591227706449</v>
          </cell>
          <cell r="X71">
            <v>5082.8864058231302</v>
          </cell>
          <cell r="Y71">
            <v>3263.3269340738379</v>
          </cell>
          <cell r="Z71">
            <v>2014</v>
          </cell>
          <cell r="AA71">
            <v>173.34604189781479</v>
          </cell>
          <cell r="AB71">
            <v>245.72012891671204</v>
          </cell>
          <cell r="AC71">
            <v>96.296990189161406</v>
          </cell>
          <cell r="AD71">
            <v>2016</v>
          </cell>
          <cell r="AE71">
            <v>340.76510293878994</v>
          </cell>
          <cell r="AF71">
            <v>358.89980351151132</v>
          </cell>
          <cell r="AG71">
            <v>41.335667147735293</v>
          </cell>
          <cell r="AH71">
            <v>2014</v>
          </cell>
          <cell r="AI71">
            <v>359.40356968692765</v>
          </cell>
          <cell r="AJ71">
            <v>377.03721409815739</v>
          </cell>
          <cell r="AK71">
            <v>35.210211448580843</v>
          </cell>
          <cell r="AL71">
            <v>2014</v>
          </cell>
          <cell r="AM71">
            <v>284.24638122013903</v>
          </cell>
          <cell r="AN71">
            <v>518.9802462702055</v>
          </cell>
          <cell r="AO71">
            <v>55912.316575920922</v>
          </cell>
          <cell r="AP71">
            <v>2110</v>
          </cell>
          <cell r="AQ71">
            <v>223.3417805478073</v>
          </cell>
          <cell r="AR71">
            <v>303.60469429126363</v>
          </cell>
          <cell r="AS71">
            <v>113.56406547077468</v>
          </cell>
          <cell r="AT71">
            <v>2016</v>
          </cell>
          <cell r="AU71">
            <v>284.22787008393919</v>
          </cell>
          <cell r="AV71">
            <v>518.94644854913588</v>
          </cell>
          <cell r="AW71">
            <v>80768.081070684391</v>
          </cell>
          <cell r="AX71">
            <v>2110</v>
          </cell>
          <cell r="AY71">
            <v>702.09526835906229</v>
          </cell>
          <cell r="AZ71">
            <v>1015.771456048448</v>
          </cell>
          <cell r="BA71">
            <v>581.15579202073275</v>
          </cell>
          <cell r="BB71">
            <v>2014</v>
          </cell>
          <cell r="BC71">
            <v>86.635037742957735</v>
          </cell>
          <cell r="BD71">
            <v>158.17922871482671</v>
          </cell>
          <cell r="BE71">
            <v>3087.7898008303387</v>
          </cell>
          <cell r="BF71">
            <v>2110</v>
          </cell>
          <cell r="BG71">
            <v>329.13610684558819</v>
          </cell>
          <cell r="BH71">
            <v>372.52969689777905</v>
          </cell>
          <cell r="BI71">
            <v>93.174652852612155</v>
          </cell>
          <cell r="BJ71">
            <v>2014</v>
          </cell>
          <cell r="BK71">
            <v>169.68071512403381</v>
          </cell>
          <cell r="BL71">
            <v>246.1586592231348</v>
          </cell>
          <cell r="BM71">
            <v>161.09302101099473</v>
          </cell>
          <cell r="BN71">
            <v>2014</v>
          </cell>
          <cell r="BO71">
            <v>1112.7095395352655</v>
          </cell>
          <cell r="BP71">
            <v>1181.3845772454933</v>
          </cell>
          <cell r="BQ71">
            <v>149.1190029790003</v>
          </cell>
          <cell r="BR71">
            <v>2014</v>
          </cell>
          <cell r="BS71">
            <v>-1.961823091318184E-7</v>
          </cell>
          <cell r="BT71">
            <v>-2.7012135816934051E-7</v>
          </cell>
          <cell r="BU71">
            <v>4705.5035016282309</v>
          </cell>
          <cell r="BV71">
            <v>2110</v>
          </cell>
          <cell r="BW71">
            <v>27869.373477291228</v>
          </cell>
          <cell r="BX71">
            <v>115768.55817963205</v>
          </cell>
          <cell r="BY71">
            <v>90789.3596023711</v>
          </cell>
          <cell r="BZ71">
            <v>2039</v>
          </cell>
          <cell r="CA71">
            <v>1070.3789857237639</v>
          </cell>
          <cell r="CB71">
            <v>1672.9598800852291</v>
          </cell>
          <cell r="CC71">
            <v>1493.3632340604427</v>
          </cell>
          <cell r="CD71">
            <v>2018</v>
          </cell>
          <cell r="CE71">
            <v>1.4545996742736717E-8</v>
          </cell>
          <cell r="CF71">
            <v>2.5562094533720275E-7</v>
          </cell>
          <cell r="CG71">
            <v>86.916855185679054</v>
          </cell>
          <cell r="CH71">
            <v>2110</v>
          </cell>
          <cell r="CI71">
            <v>763.02805384889029</v>
          </cell>
          <cell r="CJ71">
            <v>1161.8072867138424</v>
          </cell>
          <cell r="CK71">
            <v>990.25553776971128</v>
          </cell>
          <cell r="CL71">
            <v>2018</v>
          </cell>
          <cell r="CM71">
            <v>-4.4136204642972716E-8</v>
          </cell>
          <cell r="CN71">
            <v>2.7300470579535154E-7</v>
          </cell>
          <cell r="CO71">
            <v>86.304397694288781</v>
          </cell>
          <cell r="CP71">
            <v>2110</v>
          </cell>
          <cell r="CQ71">
            <v>587.4280398702806</v>
          </cell>
          <cell r="CR71">
            <v>1072.5327333594082</v>
          </cell>
          <cell r="CS71">
            <v>68339.37725379855</v>
          </cell>
          <cell r="CT71">
            <v>2110</v>
          </cell>
          <cell r="CU71">
            <v>1876.9016721824707</v>
          </cell>
          <cell r="CV71">
            <v>2808.0760643003327</v>
          </cell>
          <cell r="CW71">
            <v>1814.9745947981717</v>
          </cell>
          <cell r="CX71">
            <v>2016</v>
          </cell>
          <cell r="CY71">
            <v>248.68586132006416</v>
          </cell>
          <cell r="CZ71">
            <v>320.05022930661823</v>
          </cell>
          <cell r="DA71">
            <v>114.06179500277172</v>
          </cell>
          <cell r="DB71">
            <v>2013</v>
          </cell>
          <cell r="DC71">
            <v>89.65410201369393</v>
          </cell>
          <cell r="DD71">
            <v>4214.6847324988748</v>
          </cell>
          <cell r="DE71">
            <v>13496.550715416264</v>
          </cell>
          <cell r="DF71">
            <v>2032</v>
          </cell>
          <cell r="DG71">
            <v>332.60088567944041</v>
          </cell>
          <cell r="DH71">
            <v>376.46655012772004</v>
          </cell>
          <cell r="DI71">
            <v>93.316420610435102</v>
          </cell>
          <cell r="DJ71">
            <v>2014</v>
          </cell>
          <cell r="DK71">
            <v>169.01765704684649</v>
          </cell>
          <cell r="DL71">
            <v>244.99308324081437</v>
          </cell>
          <cell r="DM71">
            <v>161.57343793648255</v>
          </cell>
          <cell r="DN71">
            <v>2014</v>
          </cell>
          <cell r="DO71">
            <v>590.03730744305324</v>
          </cell>
          <cell r="DP71">
            <v>641.69044163768967</v>
          </cell>
          <cell r="DQ71">
            <v>112.39537634768678</v>
          </cell>
          <cell r="DR71">
            <v>2014</v>
          </cell>
          <cell r="DS71">
            <v>338.77396059884586</v>
          </cell>
          <cell r="DT71">
            <v>359.22315246650891</v>
          </cell>
          <cell r="DU71">
            <v>41.456187564244352</v>
          </cell>
          <cell r="DV71">
            <v>2014</v>
          </cell>
          <cell r="DW71">
            <v>359.57830333549862</v>
          </cell>
          <cell r="DX71">
            <v>376.06532533159162</v>
          </cell>
          <cell r="DY71">
            <v>35.45386916791734</v>
          </cell>
          <cell r="DZ71">
            <v>2014</v>
          </cell>
          <cell r="EA71">
            <v>1537.6254817982763</v>
          </cell>
          <cell r="EB71">
            <v>2335.301910061316</v>
          </cell>
          <cell r="EC71">
            <v>1668.3058038521406</v>
          </cell>
          <cell r="ED71">
            <v>2016</v>
          </cell>
          <cell r="EE71">
            <v>1376.1177136840533</v>
          </cell>
          <cell r="EF71">
            <v>1826.4894913896167</v>
          </cell>
          <cell r="EG71">
            <v>893.05672867729004</v>
          </cell>
          <cell r="EH71">
            <v>2016</v>
          </cell>
          <cell r="EI71">
            <v>3841.6439306865732</v>
          </cell>
          <cell r="EJ71">
            <v>5578.6051708768009</v>
          </cell>
          <cell r="EK71">
            <v>3630.9194603029168</v>
          </cell>
          <cell r="EL71">
            <v>2016</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row>
        <row r="72">
          <cell r="B72" t="str">
            <v>50%</v>
          </cell>
          <cell r="C72">
            <v>541.13788417943078</v>
          </cell>
          <cell r="D72">
            <v>708.4684129374732</v>
          </cell>
          <cell r="E72">
            <v>354.58713223828795</v>
          </cell>
          <cell r="F72">
            <v>2014</v>
          </cell>
          <cell r="G72">
            <v>171.88369484966614</v>
          </cell>
          <cell r="H72">
            <v>249.29442380826072</v>
          </cell>
          <cell r="I72">
            <v>165.33577176562139</v>
          </cell>
          <cell r="J72">
            <v>2014</v>
          </cell>
          <cell r="K72">
            <v>606.41991603746214</v>
          </cell>
          <cell r="L72">
            <v>626.66650068960757</v>
          </cell>
          <cell r="M72">
            <v>74.265087341394093</v>
          </cell>
          <cell r="N72">
            <v>2012</v>
          </cell>
          <cell r="O72">
            <v>392.35548631218063</v>
          </cell>
          <cell r="P72">
            <v>407.42805721286879</v>
          </cell>
          <cell r="Q72">
            <v>35.882290005999238</v>
          </cell>
          <cell r="R72">
            <v>2015</v>
          </cell>
          <cell r="S72">
            <v>2707.8337261233924</v>
          </cell>
          <cell r="T72">
            <v>3596.4781920032278</v>
          </cell>
          <cell r="U72">
            <v>1837.7742159751244</v>
          </cell>
          <cell r="V72">
            <v>2014</v>
          </cell>
          <cell r="W72">
            <v>3441.8121074498063</v>
          </cell>
          <cell r="X72">
            <v>5154.8444751334373</v>
          </cell>
          <cell r="Y72">
            <v>3317.1653698049122</v>
          </cell>
          <cell r="Z72">
            <v>2014</v>
          </cell>
          <cell r="AA72">
            <v>175.48609295522826</v>
          </cell>
          <cell r="AB72">
            <v>248.38506719573928</v>
          </cell>
          <cell r="AC72">
            <v>96.990712599670118</v>
          </cell>
          <cell r="AD72">
            <v>2016</v>
          </cell>
          <cell r="AE72">
            <v>373.52186517179274</v>
          </cell>
          <cell r="AF72">
            <v>392.56856625734059</v>
          </cell>
          <cell r="AG72">
            <v>42.008074936009258</v>
          </cell>
          <cell r="AH72">
            <v>2015</v>
          </cell>
          <cell r="AI72">
            <v>389.01177540634239</v>
          </cell>
          <cell r="AJ72">
            <v>404.80885507636037</v>
          </cell>
          <cell r="AK72">
            <v>35.709745453508255</v>
          </cell>
          <cell r="AL72">
            <v>2015</v>
          </cell>
          <cell r="AM72">
            <v>285.702783384057</v>
          </cell>
          <cell r="AN72">
            <v>521.63936077561596</v>
          </cell>
          <cell r="AO72">
            <v>56348.700249587026</v>
          </cell>
          <cell r="AP72">
            <v>2110</v>
          </cell>
          <cell r="AQ72">
            <v>228.81309668197451</v>
          </cell>
          <cell r="AR72">
            <v>310.20823405440001</v>
          </cell>
          <cell r="AS72">
            <v>114.5382924292864</v>
          </cell>
          <cell r="AT72">
            <v>2016</v>
          </cell>
          <cell r="AU72">
            <v>285.70412176266683</v>
          </cell>
          <cell r="AV72">
            <v>521.64180414203042</v>
          </cell>
          <cell r="AW72">
            <v>81389.184599338085</v>
          </cell>
          <cell r="AX72">
            <v>2110</v>
          </cell>
          <cell r="AY72">
            <v>727.39236971712251</v>
          </cell>
          <cell r="AZ72">
            <v>1041.738614485683</v>
          </cell>
          <cell r="BA72">
            <v>591.70955022347562</v>
          </cell>
          <cell r="BB72">
            <v>2014</v>
          </cell>
          <cell r="BC72">
            <v>87.094227669257307</v>
          </cell>
          <cell r="BD72">
            <v>159.01762244220018</v>
          </cell>
          <cell r="BE72">
            <v>3130.4715458299142</v>
          </cell>
          <cell r="BF72">
            <v>2110</v>
          </cell>
          <cell r="BG72">
            <v>342.2462763508272</v>
          </cell>
          <cell r="BH72">
            <v>387.46233350991025</v>
          </cell>
          <cell r="BI72">
            <v>94.27395241754256</v>
          </cell>
          <cell r="BJ72">
            <v>2014</v>
          </cell>
          <cell r="BK72">
            <v>172.14781973650739</v>
          </cell>
          <cell r="BL72">
            <v>249.98979006459291</v>
          </cell>
          <cell r="BM72">
            <v>164.23235324631281</v>
          </cell>
          <cell r="BN72">
            <v>2014</v>
          </cell>
          <cell r="BO72">
            <v>1230.132599939782</v>
          </cell>
          <cell r="BP72">
            <v>1297.4354867559234</v>
          </cell>
          <cell r="BQ72">
            <v>154.03884987934296</v>
          </cell>
          <cell r="BR72">
            <v>2015</v>
          </cell>
          <cell r="BS72">
            <v>-4.8547322452452814E-8</v>
          </cell>
          <cell r="BT72">
            <v>-6.6844297706426581E-8</v>
          </cell>
          <cell r="BU72">
            <v>4748.835722728586</v>
          </cell>
          <cell r="BV72">
            <v>2110</v>
          </cell>
          <cell r="BW72">
            <v>29877.468230681825</v>
          </cell>
          <cell r="BX72">
            <v>120188.79090685459</v>
          </cell>
          <cell r="BY72">
            <v>91372.75886737874</v>
          </cell>
          <cell r="BZ72">
            <v>2041</v>
          </cell>
          <cell r="CA72">
            <v>1133.3883571849256</v>
          </cell>
          <cell r="CB72">
            <v>1766.8281668888819</v>
          </cell>
          <cell r="CC72">
            <v>1597.0009164236478</v>
          </cell>
          <cell r="CD72">
            <v>2018</v>
          </cell>
          <cell r="CE72">
            <v>1.7985167551672464E-7</v>
          </cell>
          <cell r="CF72">
            <v>5.6480642975761856E-7</v>
          </cell>
          <cell r="CG72">
            <v>87.778760835850122</v>
          </cell>
          <cell r="CH72">
            <v>2110</v>
          </cell>
          <cell r="CI72">
            <v>814.98247260188441</v>
          </cell>
          <cell r="CJ72">
            <v>1241.6884168056492</v>
          </cell>
          <cell r="CK72">
            <v>1051.9048458079292</v>
          </cell>
          <cell r="CL72">
            <v>2018</v>
          </cell>
          <cell r="CM72">
            <v>1.8270765941371117E-7</v>
          </cell>
          <cell r="CN72">
            <v>5.3968840149107091E-7</v>
          </cell>
          <cell r="CO72">
            <v>87.469079516071773</v>
          </cell>
          <cell r="CP72">
            <v>2110</v>
          </cell>
          <cell r="CQ72">
            <v>590.43236488763887</v>
          </cell>
          <cell r="CR72">
            <v>1078.0180651759981</v>
          </cell>
          <cell r="CS72">
            <v>68873.925598027781</v>
          </cell>
          <cell r="CT72">
            <v>2110</v>
          </cell>
          <cell r="CU72">
            <v>1894.6199396628215</v>
          </cell>
          <cell r="CV72">
            <v>2835.4347674104765</v>
          </cell>
          <cell r="CW72">
            <v>1849.3670987062403</v>
          </cell>
          <cell r="CX72">
            <v>2016</v>
          </cell>
          <cell r="CY72">
            <v>250.90105609982282</v>
          </cell>
          <cell r="CZ72">
            <v>322.75905494223247</v>
          </cell>
          <cell r="DA72">
            <v>115.92986819937572</v>
          </cell>
          <cell r="DB72">
            <v>2014</v>
          </cell>
          <cell r="DC72">
            <v>90.736020708649917</v>
          </cell>
          <cell r="DD72">
            <v>4478.1382854873691</v>
          </cell>
          <cell r="DE72">
            <v>14197.121303976566</v>
          </cell>
          <cell r="DF72">
            <v>2034</v>
          </cell>
          <cell r="DG72">
            <v>340.99264619073728</v>
          </cell>
          <cell r="DH72">
            <v>387.55291073566991</v>
          </cell>
          <cell r="DI72">
            <v>94.653956097867024</v>
          </cell>
          <cell r="DJ72">
            <v>2014</v>
          </cell>
          <cell r="DK72">
            <v>171.70855391256922</v>
          </cell>
          <cell r="DL72">
            <v>249.22700334705897</v>
          </cell>
          <cell r="DM72">
            <v>165.55450331670991</v>
          </cell>
          <cell r="DN72">
            <v>2014</v>
          </cell>
          <cell r="DO72">
            <v>646.4099637251478</v>
          </cell>
          <cell r="DP72">
            <v>700.06431859054453</v>
          </cell>
          <cell r="DQ72">
            <v>116.62802365804727</v>
          </cell>
          <cell r="DR72">
            <v>2014</v>
          </cell>
          <cell r="DS72">
            <v>369.30701127485599</v>
          </cell>
          <cell r="DT72">
            <v>388.74722259966421</v>
          </cell>
          <cell r="DU72">
            <v>41.965987246328879</v>
          </cell>
          <cell r="DV72">
            <v>2015</v>
          </cell>
          <cell r="DW72">
            <v>390.78608102155965</v>
          </cell>
          <cell r="DX72">
            <v>408.40064700115357</v>
          </cell>
          <cell r="DY72">
            <v>36.01473556070151</v>
          </cell>
          <cell r="DZ72">
            <v>2015</v>
          </cell>
          <cell r="EA72">
            <v>1569.5813976558261</v>
          </cell>
          <cell r="EB72">
            <v>2369.6799421115561</v>
          </cell>
          <cell r="EC72">
            <v>1693.468192899669</v>
          </cell>
          <cell r="ED72">
            <v>2016</v>
          </cell>
          <cell r="EE72">
            <v>1471.8339470672549</v>
          </cell>
          <cell r="EF72">
            <v>1911.0447650222641</v>
          </cell>
          <cell r="EG72">
            <v>904.00995216977174</v>
          </cell>
          <cell r="EH72">
            <v>2016</v>
          </cell>
          <cell r="EI72">
            <v>3893.0239290499439</v>
          </cell>
          <cell r="EJ72">
            <v>5675.1483999422662</v>
          </cell>
          <cell r="EK72">
            <v>3685.7689409582895</v>
          </cell>
          <cell r="EL72">
            <v>2016</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row>
        <row r="73">
          <cell r="B73" t="str">
            <v>55%</v>
          </cell>
          <cell r="C73">
            <v>554.16608203961459</v>
          </cell>
          <cell r="D73">
            <v>721.32666713127924</v>
          </cell>
          <cell r="E73">
            <v>360.11542921509772</v>
          </cell>
          <cell r="F73">
            <v>2015</v>
          </cell>
          <cell r="G73">
            <v>174.44664948155847</v>
          </cell>
          <cell r="H73">
            <v>253.98447557634776</v>
          </cell>
          <cell r="I73">
            <v>168.95309443228135</v>
          </cell>
          <cell r="J73">
            <v>2015</v>
          </cell>
          <cell r="K73">
            <v>674.79479148094958</v>
          </cell>
          <cell r="L73">
            <v>693.48009656249451</v>
          </cell>
          <cell r="M73">
            <v>75.48361379659768</v>
          </cell>
          <cell r="N73">
            <v>2012</v>
          </cell>
          <cell r="O73">
            <v>424.8863799123489</v>
          </cell>
          <cell r="P73">
            <v>441.61864011896745</v>
          </cell>
          <cell r="Q73">
            <v>36.453647358497747</v>
          </cell>
          <cell r="R73">
            <v>2016</v>
          </cell>
          <cell r="S73">
            <v>2848.635688847688</v>
          </cell>
          <cell r="T73">
            <v>3730.1162730177457</v>
          </cell>
          <cell r="U73">
            <v>1869.4358327042553</v>
          </cell>
          <cell r="V73">
            <v>2015</v>
          </cell>
          <cell r="W73">
            <v>3488.8389100359118</v>
          </cell>
          <cell r="X73">
            <v>5211.6102779723178</v>
          </cell>
          <cell r="Y73">
            <v>3374.8497173803303</v>
          </cell>
          <cell r="Z73">
            <v>2015</v>
          </cell>
          <cell r="AA73">
            <v>177.91555804776894</v>
          </cell>
          <cell r="AB73">
            <v>250.46905373647058</v>
          </cell>
          <cell r="AC73">
            <v>97.723139094820823</v>
          </cell>
          <cell r="AD73">
            <v>2016</v>
          </cell>
          <cell r="AE73">
            <v>405.51076337532578</v>
          </cell>
          <cell r="AF73">
            <v>424.92729921505946</v>
          </cell>
          <cell r="AG73">
            <v>42.556422814449725</v>
          </cell>
          <cell r="AH73">
            <v>2016</v>
          </cell>
          <cell r="AI73">
            <v>421.6283476299086</v>
          </cell>
          <cell r="AJ73">
            <v>438.04866382460375</v>
          </cell>
          <cell r="AK73">
            <v>36.497326829322489</v>
          </cell>
          <cell r="AL73">
            <v>2016</v>
          </cell>
          <cell r="AM73">
            <v>287.16825315913223</v>
          </cell>
          <cell r="AN73">
            <v>524.31503251320021</v>
          </cell>
          <cell r="AO73">
            <v>56782.935318575539</v>
          </cell>
          <cell r="AP73">
            <v>2110</v>
          </cell>
          <cell r="AQ73">
            <v>235.33969932160434</v>
          </cell>
          <cell r="AR73">
            <v>316.04335066609968</v>
          </cell>
          <cell r="AS73">
            <v>115.3873002033432</v>
          </cell>
          <cell r="AT73">
            <v>2016</v>
          </cell>
          <cell r="AU73">
            <v>287.17051225099664</v>
          </cell>
          <cell r="AV73">
            <v>524.31915634852703</v>
          </cell>
          <cell r="AW73">
            <v>82019.386651232577</v>
          </cell>
          <cell r="AX73">
            <v>2110</v>
          </cell>
          <cell r="AY73">
            <v>761.59987499709962</v>
          </cell>
          <cell r="AZ73">
            <v>1067.861367813955</v>
          </cell>
          <cell r="BA73">
            <v>601.53201806806146</v>
          </cell>
          <cell r="BB73">
            <v>2015</v>
          </cell>
          <cell r="BC73">
            <v>87.532505112351387</v>
          </cell>
          <cell r="BD73">
            <v>159.81783450337801</v>
          </cell>
          <cell r="BE73">
            <v>3169.5741821774527</v>
          </cell>
          <cell r="BF73">
            <v>2110</v>
          </cell>
          <cell r="BG73">
            <v>353.48548938822921</v>
          </cell>
          <cell r="BH73">
            <v>398.55626272191734</v>
          </cell>
          <cell r="BI73">
            <v>95.990132480147935</v>
          </cell>
          <cell r="BJ73">
            <v>2015</v>
          </cell>
          <cell r="BK73">
            <v>174.99164841642101</v>
          </cell>
          <cell r="BL73">
            <v>254.77805815509799</v>
          </cell>
          <cell r="BM73">
            <v>167.92575601848176</v>
          </cell>
          <cell r="BN73">
            <v>2015</v>
          </cell>
          <cell r="BO73">
            <v>1377.6988033569228</v>
          </cell>
          <cell r="BP73">
            <v>1451.457301498572</v>
          </cell>
          <cell r="BQ73">
            <v>159.38428316340452</v>
          </cell>
          <cell r="BR73">
            <v>2016</v>
          </cell>
          <cell r="BS73">
            <v>1.2773067392530377E-7</v>
          </cell>
          <cell r="BT73">
            <v>1.7587102156803133E-7</v>
          </cell>
          <cell r="BU73">
            <v>4803.5599635573926</v>
          </cell>
          <cell r="BV73">
            <v>2110</v>
          </cell>
          <cell r="BW73">
            <v>32440.241893003025</v>
          </cell>
          <cell r="BX73">
            <v>123697.13049669946</v>
          </cell>
          <cell r="BY73">
            <v>91952.304275943286</v>
          </cell>
          <cell r="BZ73">
            <v>2043</v>
          </cell>
          <cell r="CA73">
            <v>1205.2483992781099</v>
          </cell>
          <cell r="CB73">
            <v>1892.8548590047549</v>
          </cell>
          <cell r="CC73">
            <v>1707.7520534705113</v>
          </cell>
          <cell r="CD73">
            <v>2019</v>
          </cell>
          <cell r="CE73">
            <v>3.6034857975320531E-7</v>
          </cell>
          <cell r="CF73">
            <v>9.3620592164187862E-7</v>
          </cell>
          <cell r="CG73">
            <v>88.653755320805644</v>
          </cell>
          <cell r="CH73">
            <v>2110</v>
          </cell>
          <cell r="CI73">
            <v>861.66117632818225</v>
          </cell>
          <cell r="CJ73">
            <v>1323.2457034008803</v>
          </cell>
          <cell r="CK73">
            <v>1126.2508552868994</v>
          </cell>
          <cell r="CL73">
            <v>2019</v>
          </cell>
          <cell r="CM73">
            <v>3.4532282163267542E-7</v>
          </cell>
          <cell r="CN73">
            <v>8.9457682366827498E-7</v>
          </cell>
          <cell r="CO73">
            <v>88.506811566421419</v>
          </cell>
          <cell r="CP73">
            <v>2110</v>
          </cell>
          <cell r="CQ73">
            <v>593.44576152718321</v>
          </cell>
          <cell r="CR73">
            <v>1083.5199587680884</v>
          </cell>
          <cell r="CS73">
            <v>69403.326089100417</v>
          </cell>
          <cell r="CT73">
            <v>2110</v>
          </cell>
          <cell r="CU73">
            <v>1909.9646662036146</v>
          </cell>
          <cell r="CV73">
            <v>2869.0012552323205</v>
          </cell>
          <cell r="CW73">
            <v>1887.3950725707825</v>
          </cell>
          <cell r="CX73">
            <v>2017</v>
          </cell>
          <cell r="CY73">
            <v>252.79610500489807</v>
          </cell>
          <cell r="CZ73">
            <v>325.35691084063319</v>
          </cell>
          <cell r="DA73">
            <v>117.5133526378976</v>
          </cell>
          <cell r="DB73">
            <v>2014</v>
          </cell>
          <cell r="DC73">
            <v>92.317499612933346</v>
          </cell>
          <cell r="DD73">
            <v>4857.9226465719703</v>
          </cell>
          <cell r="DE73">
            <v>15251.512533676107</v>
          </cell>
          <cell r="DF73">
            <v>2037</v>
          </cell>
          <cell r="DG73">
            <v>354.09014496747574</v>
          </cell>
          <cell r="DH73">
            <v>398.13227374654139</v>
          </cell>
          <cell r="DI73">
            <v>96.044664769484569</v>
          </cell>
          <cell r="DJ73">
            <v>2015</v>
          </cell>
          <cell r="DK73">
            <v>174.47061530891781</v>
          </cell>
          <cell r="DL73">
            <v>253.79943108698998</v>
          </cell>
          <cell r="DM73">
            <v>168.61266810807916</v>
          </cell>
          <cell r="DN73">
            <v>2015</v>
          </cell>
          <cell r="DO73">
            <v>717.11261766979896</v>
          </cell>
          <cell r="DP73">
            <v>768.79209895066936</v>
          </cell>
          <cell r="DQ73">
            <v>120.70586257901984</v>
          </cell>
          <cell r="DR73">
            <v>2015</v>
          </cell>
          <cell r="DS73">
            <v>408.13233469837724</v>
          </cell>
          <cell r="DT73">
            <v>429.24158398383133</v>
          </cell>
          <cell r="DU73">
            <v>42.39079802839931</v>
          </cell>
          <cell r="DV73">
            <v>2016</v>
          </cell>
          <cell r="DW73">
            <v>424.9510000330647</v>
          </cell>
          <cell r="DX73">
            <v>441.24396293142848</v>
          </cell>
          <cell r="DY73">
            <v>36.661847590294308</v>
          </cell>
          <cell r="DZ73">
            <v>2016</v>
          </cell>
          <cell r="EA73">
            <v>1597.8142664685781</v>
          </cell>
          <cell r="EB73">
            <v>2414.9208868333312</v>
          </cell>
          <cell r="EC73">
            <v>1717.7757837366169</v>
          </cell>
          <cell r="ED73">
            <v>2016</v>
          </cell>
          <cell r="EE73">
            <v>1554.8807532225367</v>
          </cell>
          <cell r="EF73">
            <v>2005.8685186631242</v>
          </cell>
          <cell r="EG73">
            <v>920.66519265643274</v>
          </cell>
          <cell r="EH73">
            <v>2016</v>
          </cell>
          <cell r="EI73">
            <v>3966.345496293482</v>
          </cell>
          <cell r="EJ73">
            <v>5741.6517421287181</v>
          </cell>
          <cell r="EK73">
            <v>3757.7876711771055</v>
          </cell>
          <cell r="EL73">
            <v>2017</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row>
        <row r="74">
          <cell r="B74" t="str">
            <v>60%</v>
          </cell>
          <cell r="C74">
            <v>567.06078544136415</v>
          </cell>
          <cell r="D74">
            <v>733.48139346206131</v>
          </cell>
          <cell r="E74">
            <v>364.43036908836501</v>
          </cell>
          <cell r="F74">
            <v>2015</v>
          </cell>
          <cell r="G74">
            <v>177.48909700090869</v>
          </cell>
          <cell r="H74">
            <v>258.44856352571674</v>
          </cell>
          <cell r="I74">
            <v>172.73406685418908</v>
          </cell>
          <cell r="J74">
            <v>2015</v>
          </cell>
          <cell r="K74">
            <v>753.21191112803024</v>
          </cell>
          <cell r="L74">
            <v>771.5728717834869</v>
          </cell>
          <cell r="M74">
            <v>77.188211267233868</v>
          </cell>
          <cell r="N74">
            <v>2012</v>
          </cell>
          <cell r="O74">
            <v>459.75395330227934</v>
          </cell>
          <cell r="P74">
            <v>475.86055547746088</v>
          </cell>
          <cell r="Q74">
            <v>37.198219650503795</v>
          </cell>
          <cell r="R74">
            <v>2016</v>
          </cell>
          <cell r="S74">
            <v>3004.4319363615655</v>
          </cell>
          <cell r="T74">
            <v>3882.9481445568522</v>
          </cell>
          <cell r="U74">
            <v>1895.9009232407163</v>
          </cell>
          <cell r="V74">
            <v>2015</v>
          </cell>
          <cell r="W74">
            <v>3524.7847817589541</v>
          </cell>
          <cell r="X74">
            <v>5285.1252208662518</v>
          </cell>
          <cell r="Y74">
            <v>3422.0620366924181</v>
          </cell>
          <cell r="Z74">
            <v>2015</v>
          </cell>
          <cell r="AA74">
            <v>179.43173370374612</v>
          </cell>
          <cell r="AB74">
            <v>252.44609845941696</v>
          </cell>
          <cell r="AC74">
            <v>98.439067797403723</v>
          </cell>
          <cell r="AD74">
            <v>2016</v>
          </cell>
          <cell r="AE74">
            <v>441.61931005386867</v>
          </cell>
          <cell r="AF74">
            <v>462.12793943957081</v>
          </cell>
          <cell r="AG74">
            <v>43.142270249411403</v>
          </cell>
          <cell r="AH74">
            <v>2016</v>
          </cell>
          <cell r="AI74">
            <v>460.93474127465663</v>
          </cell>
          <cell r="AJ74">
            <v>478.35613700118211</v>
          </cell>
          <cell r="AK74">
            <v>37.108837081809725</v>
          </cell>
          <cell r="AL74">
            <v>2016</v>
          </cell>
          <cell r="AM74">
            <v>288.67289658162974</v>
          </cell>
          <cell r="AN74">
            <v>527.06222805348523</v>
          </cell>
          <cell r="AO74">
            <v>57212.621204264826</v>
          </cell>
          <cell r="AP74">
            <v>2110</v>
          </cell>
          <cell r="AQ74">
            <v>240.74331434337967</v>
          </cell>
          <cell r="AR74">
            <v>320.41687090056041</v>
          </cell>
          <cell r="AS74">
            <v>116.35060865307155</v>
          </cell>
          <cell r="AT74">
            <v>2016</v>
          </cell>
          <cell r="AU74">
            <v>288.67284208799538</v>
          </cell>
          <cell r="AV74">
            <v>527.06212802075277</v>
          </cell>
          <cell r="AW74">
            <v>82659.58103929022</v>
          </cell>
          <cell r="AX74">
            <v>2110</v>
          </cell>
          <cell r="AY74">
            <v>791.39556000715993</v>
          </cell>
          <cell r="AZ74">
            <v>1103.0015706064182</v>
          </cell>
          <cell r="BA74">
            <v>610.63360418654543</v>
          </cell>
          <cell r="BB74">
            <v>2015</v>
          </cell>
          <cell r="BC74">
            <v>88.005880436193536</v>
          </cell>
          <cell r="BD74">
            <v>160.68212774370522</v>
          </cell>
          <cell r="BE74">
            <v>3212.963828504513</v>
          </cell>
          <cell r="BF74">
            <v>2110</v>
          </cell>
          <cell r="BG74">
            <v>365.14052694465619</v>
          </cell>
          <cell r="BH74">
            <v>411.1171210792732</v>
          </cell>
          <cell r="BI74">
            <v>97.289483869819279</v>
          </cell>
          <cell r="BJ74">
            <v>2015</v>
          </cell>
          <cell r="BK74">
            <v>177.97241582548364</v>
          </cell>
          <cell r="BL74">
            <v>259.34146325523176</v>
          </cell>
          <cell r="BM74">
            <v>172.11873332152771</v>
          </cell>
          <cell r="BN74">
            <v>2015</v>
          </cell>
          <cell r="BO74">
            <v>1492.8340211833545</v>
          </cell>
          <cell r="BP74">
            <v>1569.5544131988697</v>
          </cell>
          <cell r="BQ74">
            <v>164.31928872163246</v>
          </cell>
          <cell r="BR74">
            <v>2016</v>
          </cell>
          <cell r="BS74">
            <v>2.7925866405439561E-7</v>
          </cell>
          <cell r="BT74">
            <v>3.8450831753766182E-7</v>
          </cell>
          <cell r="BU74">
            <v>4859.0681671048042</v>
          </cell>
          <cell r="BV74">
            <v>2110</v>
          </cell>
          <cell r="BW74">
            <v>34993.27735914541</v>
          </cell>
          <cell r="BX74">
            <v>128185.48725731064</v>
          </cell>
          <cell r="BY74">
            <v>92675.231833241531</v>
          </cell>
          <cell r="BZ74">
            <v>2045</v>
          </cell>
          <cell r="CA74">
            <v>1272.7076763361706</v>
          </cell>
          <cell r="CB74">
            <v>2002.9153015150109</v>
          </cell>
          <cell r="CC74">
            <v>1812.3888872940563</v>
          </cell>
          <cell r="CD74">
            <v>2019</v>
          </cell>
          <cell r="CE74">
            <v>5.7170611704555547E-7</v>
          </cell>
          <cell r="CF74">
            <v>1.2386870786858667E-6</v>
          </cell>
          <cell r="CG74">
            <v>89.328607192152617</v>
          </cell>
          <cell r="CH74">
            <v>2110</v>
          </cell>
          <cell r="CI74">
            <v>903.63073741647918</v>
          </cell>
          <cell r="CJ74">
            <v>1385.3352567816428</v>
          </cell>
          <cell r="CK74">
            <v>1213.4488767567891</v>
          </cell>
          <cell r="CL74">
            <v>2019</v>
          </cell>
          <cell r="CM74">
            <v>5.3896361226957478E-7</v>
          </cell>
          <cell r="CN74">
            <v>1.1593196855643935E-6</v>
          </cell>
          <cell r="CO74">
            <v>89.228504474539619</v>
          </cell>
          <cell r="CP74">
            <v>2110</v>
          </cell>
          <cell r="CQ74">
            <v>596.55924073429435</v>
          </cell>
          <cell r="CR74">
            <v>1089.2045835522335</v>
          </cell>
          <cell r="CS74">
            <v>69963.394390429487</v>
          </cell>
          <cell r="CT74">
            <v>2110</v>
          </cell>
          <cell r="CU74">
            <v>1931.198391155591</v>
          </cell>
          <cell r="CV74">
            <v>2902.4710684117044</v>
          </cell>
          <cell r="CW74">
            <v>1923.6189000037364</v>
          </cell>
          <cell r="CX74">
            <v>2017</v>
          </cell>
          <cell r="CY74">
            <v>255.36139625128453</v>
          </cell>
          <cell r="CZ74">
            <v>328.46196886721572</v>
          </cell>
          <cell r="DA74">
            <v>119.55600863501527</v>
          </cell>
          <cell r="DB74">
            <v>2014</v>
          </cell>
          <cell r="DC74">
            <v>95.197839672662226</v>
          </cell>
          <cell r="DD74">
            <v>5978.3019607006227</v>
          </cell>
          <cell r="DE74">
            <v>16422.737412198636</v>
          </cell>
          <cell r="DF74">
            <v>2039</v>
          </cell>
          <cell r="DG74">
            <v>367.19164645455993</v>
          </cell>
          <cell r="DH74">
            <v>412.85073884160022</v>
          </cell>
          <cell r="DI74">
            <v>97.530654930646961</v>
          </cell>
          <cell r="DJ74">
            <v>2015</v>
          </cell>
          <cell r="DK74">
            <v>177.46954138333712</v>
          </cell>
          <cell r="DL74">
            <v>258.52445671001323</v>
          </cell>
          <cell r="DM74">
            <v>172.22588624967617</v>
          </cell>
          <cell r="DN74">
            <v>2015</v>
          </cell>
          <cell r="DO74">
            <v>785.7534104523105</v>
          </cell>
          <cell r="DP74">
            <v>838.5524374866211</v>
          </cell>
          <cell r="DQ74">
            <v>125.19866810946237</v>
          </cell>
          <cell r="DR74">
            <v>2015</v>
          </cell>
          <cell r="DS74">
            <v>443.76923996830061</v>
          </cell>
          <cell r="DT74">
            <v>463.23854029300838</v>
          </cell>
          <cell r="DU74">
            <v>43.020403147735408</v>
          </cell>
          <cell r="DV74">
            <v>2016</v>
          </cell>
          <cell r="DW74">
            <v>458.36819276079899</v>
          </cell>
          <cell r="DX74">
            <v>474.66820761613781</v>
          </cell>
          <cell r="DY74">
            <v>37.170854904119558</v>
          </cell>
          <cell r="DZ74">
            <v>2016</v>
          </cell>
          <cell r="EA74">
            <v>1633.2316172570556</v>
          </cell>
          <cell r="EB74">
            <v>2452.5934038980649</v>
          </cell>
          <cell r="EC74">
            <v>1739.0732473408825</v>
          </cell>
          <cell r="ED74">
            <v>2016</v>
          </cell>
          <cell r="EE74">
            <v>1638.4878148722785</v>
          </cell>
          <cell r="EF74">
            <v>2078.3378512958056</v>
          </cell>
          <cell r="EG74">
            <v>932.93336185297471</v>
          </cell>
          <cell r="EH74">
            <v>2016</v>
          </cell>
          <cell r="EI74">
            <v>4026.4354782789264</v>
          </cell>
          <cell r="EJ74">
            <v>5810.7147343985043</v>
          </cell>
          <cell r="EK74">
            <v>3821.622833783746</v>
          </cell>
          <cell r="EL74">
            <v>2017</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row>
        <row r="75">
          <cell r="B75" t="str">
            <v>65%</v>
          </cell>
          <cell r="C75">
            <v>578.51529358648179</v>
          </cell>
          <cell r="D75">
            <v>750.02424200381995</v>
          </cell>
          <cell r="E75">
            <v>370.37924569614773</v>
          </cell>
          <cell r="F75">
            <v>2016</v>
          </cell>
          <cell r="G75">
            <v>180.49670046614423</v>
          </cell>
          <cell r="H75">
            <v>263.17624350658508</v>
          </cell>
          <cell r="I75">
            <v>176.34985975291818</v>
          </cell>
          <cell r="J75">
            <v>2016</v>
          </cell>
          <cell r="K75">
            <v>829.42285873434867</v>
          </cell>
          <cell r="L75">
            <v>849.39135896683342</v>
          </cell>
          <cell r="M75">
            <v>78.936006147253494</v>
          </cell>
          <cell r="N75">
            <v>2013</v>
          </cell>
          <cell r="O75">
            <v>499.39523960926772</v>
          </cell>
          <cell r="P75">
            <v>516.09455529586523</v>
          </cell>
          <cell r="Q75">
            <v>37.756848179452021</v>
          </cell>
          <cell r="R75">
            <v>2017</v>
          </cell>
          <cell r="S75">
            <v>3144.6520080425894</v>
          </cell>
          <cell r="T75">
            <v>4048.1825493800402</v>
          </cell>
          <cell r="U75">
            <v>1924.934629876602</v>
          </cell>
          <cell r="V75">
            <v>2016</v>
          </cell>
          <cell r="W75">
            <v>3578.9641319263383</v>
          </cell>
          <cell r="X75">
            <v>5364.308676583436</v>
          </cell>
          <cell r="Y75">
            <v>3468.9059538873958</v>
          </cell>
          <cell r="Z75">
            <v>2016</v>
          </cell>
          <cell r="AA75">
            <v>181.86875763340319</v>
          </cell>
          <cell r="AB75">
            <v>254.22712862068752</v>
          </cell>
          <cell r="AC75">
            <v>99.178713182449926</v>
          </cell>
          <cell r="AD75">
            <v>2016</v>
          </cell>
          <cell r="AE75">
            <v>479.06568831253219</v>
          </cell>
          <cell r="AF75">
            <v>497.0316029263517</v>
          </cell>
          <cell r="AG75">
            <v>43.85978344916996</v>
          </cell>
          <cell r="AH75">
            <v>2017</v>
          </cell>
          <cell r="AI75">
            <v>498.21161150650789</v>
          </cell>
          <cell r="AJ75">
            <v>515.6942087843928</v>
          </cell>
          <cell r="AK75">
            <v>37.904085835988234</v>
          </cell>
          <cell r="AL75">
            <v>2017</v>
          </cell>
          <cell r="AM75">
            <v>290.3594961810623</v>
          </cell>
          <cell r="AN75">
            <v>530.14163994668138</v>
          </cell>
          <cell r="AO75">
            <v>57710.438836273446</v>
          </cell>
          <cell r="AP75">
            <v>2110</v>
          </cell>
          <cell r="AQ75">
            <v>248.76512871378463</v>
          </cell>
          <cell r="AR75">
            <v>328.77746424443183</v>
          </cell>
          <cell r="AS75">
            <v>117.28732035746394</v>
          </cell>
          <cell r="AT75">
            <v>2016</v>
          </cell>
          <cell r="AU75">
            <v>290.32088514087371</v>
          </cell>
          <cell r="AV75">
            <v>530.07114432579203</v>
          </cell>
          <cell r="AW75">
            <v>83381.893730974742</v>
          </cell>
          <cell r="AX75">
            <v>2110</v>
          </cell>
          <cell r="AY75">
            <v>819.623093922208</v>
          </cell>
          <cell r="AZ75">
            <v>1133.215453797188</v>
          </cell>
          <cell r="BA75">
            <v>620.17379634956694</v>
          </cell>
          <cell r="BB75">
            <v>2016</v>
          </cell>
          <cell r="BC75">
            <v>88.509534909232599</v>
          </cell>
          <cell r="BD75">
            <v>161.60170596343474</v>
          </cell>
          <cell r="BE75">
            <v>3258.3267308926215</v>
          </cell>
          <cell r="BF75">
            <v>2110</v>
          </cell>
          <cell r="BG75">
            <v>382.57515407748139</v>
          </cell>
          <cell r="BH75">
            <v>427.3507000197593</v>
          </cell>
          <cell r="BI75">
            <v>98.575580844465861</v>
          </cell>
          <cell r="BJ75">
            <v>2016</v>
          </cell>
          <cell r="BK75">
            <v>180.63295579154351</v>
          </cell>
          <cell r="BL75">
            <v>264.37201717620019</v>
          </cell>
          <cell r="BM75">
            <v>177.10172199148485</v>
          </cell>
          <cell r="BN75">
            <v>2016</v>
          </cell>
          <cell r="BO75">
            <v>1671.5830889913486</v>
          </cell>
          <cell r="BP75">
            <v>1746.8612224568249</v>
          </cell>
          <cell r="BQ75">
            <v>168.15640976889236</v>
          </cell>
          <cell r="BR75">
            <v>2017</v>
          </cell>
          <cell r="BS75">
            <v>4.5744748770425829E-7</v>
          </cell>
          <cell r="BT75">
            <v>6.2985463478666985E-7</v>
          </cell>
          <cell r="BU75">
            <v>4913.5153129749433</v>
          </cell>
          <cell r="BV75">
            <v>2110</v>
          </cell>
          <cell r="BW75">
            <v>38031.16851319273</v>
          </cell>
          <cell r="BX75">
            <v>132728.81944888268</v>
          </cell>
          <cell r="BY75">
            <v>93275.027256295696</v>
          </cell>
          <cell r="BZ75">
            <v>2047</v>
          </cell>
          <cell r="CA75">
            <v>1351.0077240651742</v>
          </cell>
          <cell r="CB75">
            <v>2123.5373748455795</v>
          </cell>
          <cell r="CC75">
            <v>1931.2373538211755</v>
          </cell>
          <cell r="CD75">
            <v>2020</v>
          </cell>
          <cell r="CE75">
            <v>7.8336728625208294E-7</v>
          </cell>
          <cell r="CF75">
            <v>1.5912697728369634E-6</v>
          </cell>
          <cell r="CG75">
            <v>90.214298105300614</v>
          </cell>
          <cell r="CH75">
            <v>2110</v>
          </cell>
          <cell r="CI75">
            <v>958.10639620539769</v>
          </cell>
          <cell r="CJ75">
            <v>1473.5020110450425</v>
          </cell>
          <cell r="CK75">
            <v>1309.1635864375069</v>
          </cell>
          <cell r="CL75">
            <v>2020</v>
          </cell>
          <cell r="CM75">
            <v>7.2926909142905729E-7</v>
          </cell>
          <cell r="CN75">
            <v>1.5124589629083655E-6</v>
          </cell>
          <cell r="CO75">
            <v>90.311426815625452</v>
          </cell>
          <cell r="CP75">
            <v>2110</v>
          </cell>
          <cell r="CQ75">
            <v>600.10912423730258</v>
          </cell>
          <cell r="CR75">
            <v>1095.6860008708325</v>
          </cell>
          <cell r="CS75">
            <v>70540.940477886164</v>
          </cell>
          <cell r="CT75">
            <v>2110</v>
          </cell>
          <cell r="CU75">
            <v>1954.6457506479728</v>
          </cell>
          <cell r="CV75">
            <v>2935.7100595098455</v>
          </cell>
          <cell r="CW75">
            <v>1957.4314143918518</v>
          </cell>
          <cell r="CX75">
            <v>2018</v>
          </cell>
          <cell r="CY75">
            <v>257.84976519256878</v>
          </cell>
          <cell r="CZ75">
            <v>330.5514048017219</v>
          </cell>
          <cell r="DA75">
            <v>121.46020470449052</v>
          </cell>
          <cell r="DB75">
            <v>2015</v>
          </cell>
          <cell r="DC75">
            <v>5142.4634945877679</v>
          </cell>
          <cell r="DD75">
            <v>8251.1494410528649</v>
          </cell>
          <cell r="DE75">
            <v>17451.772734919927</v>
          </cell>
          <cell r="DF75">
            <v>2042</v>
          </cell>
          <cell r="DG75">
            <v>380.79247209679409</v>
          </cell>
          <cell r="DH75">
            <v>425.60914856774195</v>
          </cell>
          <cell r="DI75">
            <v>99.135954405920842</v>
          </cell>
          <cell r="DJ75">
            <v>2016</v>
          </cell>
          <cell r="DK75">
            <v>180.55267099759067</v>
          </cell>
          <cell r="DL75">
            <v>263.60403869985015</v>
          </cell>
          <cell r="DM75">
            <v>175.89265325966645</v>
          </cell>
          <cell r="DN75">
            <v>2016</v>
          </cell>
          <cell r="DO75">
            <v>865.25410279260791</v>
          </cell>
          <cell r="DP75">
            <v>920.68198718931387</v>
          </cell>
          <cell r="DQ75">
            <v>129.33200054056812</v>
          </cell>
          <cell r="DR75">
            <v>2016</v>
          </cell>
          <cell r="DS75">
            <v>484.85207356695832</v>
          </cell>
          <cell r="DT75">
            <v>506.03050051350675</v>
          </cell>
          <cell r="DU75">
            <v>43.600340096297408</v>
          </cell>
          <cell r="DV75">
            <v>2017</v>
          </cell>
          <cell r="DW75">
            <v>499.4889865639031</v>
          </cell>
          <cell r="DX75">
            <v>515.07080354109223</v>
          </cell>
          <cell r="DY75">
            <v>37.936659299476609</v>
          </cell>
          <cell r="DZ75">
            <v>2017</v>
          </cell>
          <cell r="EA75">
            <v>1665.7430657713967</v>
          </cell>
          <cell r="EB75">
            <v>2494.6738237010859</v>
          </cell>
          <cell r="EC75">
            <v>1764.3554686126693</v>
          </cell>
          <cell r="ED75">
            <v>2016</v>
          </cell>
          <cell r="EE75">
            <v>1728.3513002610089</v>
          </cell>
          <cell r="EF75">
            <v>2161.4930919516337</v>
          </cell>
          <cell r="EG75">
            <v>942.59675802678612</v>
          </cell>
          <cell r="EH75">
            <v>2016</v>
          </cell>
          <cell r="EI75">
            <v>4085.2159353102088</v>
          </cell>
          <cell r="EJ75">
            <v>5913.4928217325905</v>
          </cell>
          <cell r="EK75">
            <v>3891.966435171697</v>
          </cell>
          <cell r="EL75">
            <v>2018</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row>
        <row r="76">
          <cell r="B76" t="str">
            <v>70%</v>
          </cell>
          <cell r="C76">
            <v>591.58723936444619</v>
          </cell>
          <cell r="D76">
            <v>764.26514086397287</v>
          </cell>
          <cell r="E76">
            <v>375.34539569763228</v>
          </cell>
          <cell r="F76">
            <v>2016</v>
          </cell>
          <cell r="G76">
            <v>183.73076659939306</v>
          </cell>
          <cell r="H76">
            <v>268.39435248869495</v>
          </cell>
          <cell r="I76">
            <v>179.98399558078938</v>
          </cell>
          <cell r="J76">
            <v>2016</v>
          </cell>
          <cell r="K76">
            <v>913.58669538792446</v>
          </cell>
          <cell r="L76">
            <v>933.94909199196172</v>
          </cell>
          <cell r="M76">
            <v>80.632638741071744</v>
          </cell>
          <cell r="N76">
            <v>2013</v>
          </cell>
          <cell r="O76">
            <v>540.22245122354309</v>
          </cell>
          <cell r="P76">
            <v>557.7895428367226</v>
          </cell>
          <cell r="Q76">
            <v>38.346672750271381</v>
          </cell>
          <cell r="R76">
            <v>2017</v>
          </cell>
          <cell r="S76">
            <v>3288.113334583692</v>
          </cell>
          <cell r="T76">
            <v>4230.7314652400337</v>
          </cell>
          <cell r="U76">
            <v>1967.4708617064573</v>
          </cell>
          <cell r="V76">
            <v>2016</v>
          </cell>
          <cell r="W76">
            <v>3625.0373473252685</v>
          </cell>
          <cell r="X76">
            <v>5443.9526122332654</v>
          </cell>
          <cell r="Y76">
            <v>3530.3069931476816</v>
          </cell>
          <cell r="Z76">
            <v>2016</v>
          </cell>
          <cell r="AA76">
            <v>184.11261188058134</v>
          </cell>
          <cell r="AB76">
            <v>256.37600680247414</v>
          </cell>
          <cell r="AC76">
            <v>100.04108199390478</v>
          </cell>
          <cell r="AD76">
            <v>2017</v>
          </cell>
          <cell r="AE76">
            <v>518.49785291183525</v>
          </cell>
          <cell r="AF76">
            <v>537.55235746135725</v>
          </cell>
          <cell r="AG76">
            <v>44.596384990938375</v>
          </cell>
          <cell r="AH76">
            <v>2017</v>
          </cell>
          <cell r="AI76">
            <v>538.44042803608045</v>
          </cell>
          <cell r="AJ76">
            <v>553.83323990917597</v>
          </cell>
          <cell r="AK76">
            <v>38.605322325401367</v>
          </cell>
          <cell r="AL76">
            <v>2017</v>
          </cell>
          <cell r="AM76">
            <v>292.08938974321563</v>
          </cell>
          <cell r="AN76">
            <v>533.30009909638022</v>
          </cell>
          <cell r="AO76">
            <v>58254.394560271532</v>
          </cell>
          <cell r="AP76">
            <v>2110</v>
          </cell>
          <cell r="AQ76">
            <v>255.75341823855902</v>
          </cell>
          <cell r="AR76">
            <v>335.98632826609548</v>
          </cell>
          <cell r="AS76">
            <v>118.19906096890971</v>
          </cell>
          <cell r="AT76">
            <v>2017</v>
          </cell>
          <cell r="AU76">
            <v>292.1463375287538</v>
          </cell>
          <cell r="AV76">
            <v>533.40407405776864</v>
          </cell>
          <cell r="AW76">
            <v>84127.800596662681</v>
          </cell>
          <cell r="AX76">
            <v>2110</v>
          </cell>
          <cell r="AY76">
            <v>853.12679964068172</v>
          </cell>
          <cell r="AZ76">
            <v>1163.8283999476478</v>
          </cell>
          <cell r="BA76">
            <v>632.65779838768071</v>
          </cell>
          <cell r="BB76">
            <v>2016</v>
          </cell>
          <cell r="BC76">
            <v>89.056745416297659</v>
          </cell>
          <cell r="BD76">
            <v>162.60080790510253</v>
          </cell>
          <cell r="BE76">
            <v>3306.975197364985</v>
          </cell>
          <cell r="BF76">
            <v>2110</v>
          </cell>
          <cell r="BG76">
            <v>396.04607282456561</v>
          </cell>
          <cell r="BH76">
            <v>439.61111790028048</v>
          </cell>
          <cell r="BI76">
            <v>100.03581004976544</v>
          </cell>
          <cell r="BJ76">
            <v>2016</v>
          </cell>
          <cell r="BK76">
            <v>184.02799872836255</v>
          </cell>
          <cell r="BL76">
            <v>268.66536335284076</v>
          </cell>
          <cell r="BM76">
            <v>180.46125203361916</v>
          </cell>
          <cell r="BN76">
            <v>2016</v>
          </cell>
          <cell r="BO76">
            <v>1815.588478291055</v>
          </cell>
          <cell r="BP76">
            <v>1884.1577676813399</v>
          </cell>
          <cell r="BQ76">
            <v>172.85275566965333</v>
          </cell>
          <cell r="BR76">
            <v>2017</v>
          </cell>
          <cell r="BS76">
            <v>6.2860371659954573E-7</v>
          </cell>
          <cell r="BT76">
            <v>8.6551784628079455E-7</v>
          </cell>
          <cell r="BU76">
            <v>4964.125480648333</v>
          </cell>
          <cell r="BV76">
            <v>2110</v>
          </cell>
          <cell r="BW76">
            <v>41962.429981268993</v>
          </cell>
          <cell r="BX76">
            <v>135907.11028356914</v>
          </cell>
          <cell r="BY76">
            <v>93967.429150969896</v>
          </cell>
          <cell r="BZ76">
            <v>2049</v>
          </cell>
          <cell r="CA76">
            <v>1443.5081119571043</v>
          </cell>
          <cell r="CB76">
            <v>2270.9587381466849</v>
          </cell>
          <cell r="CC76">
            <v>2061.4622450654342</v>
          </cell>
          <cell r="CD76">
            <v>2020</v>
          </cell>
          <cell r="CE76">
            <v>1.024522521280471E-6</v>
          </cell>
          <cell r="CF76">
            <v>2.021701826004655E-6</v>
          </cell>
          <cell r="CG76">
            <v>91.183139674472585</v>
          </cell>
          <cell r="CH76">
            <v>2110</v>
          </cell>
          <cell r="CI76">
            <v>1016.2142091964689</v>
          </cell>
          <cell r="CJ76">
            <v>1571.6504237897507</v>
          </cell>
          <cell r="CK76">
            <v>1370.3431508234646</v>
          </cell>
          <cell r="CL76">
            <v>2020</v>
          </cell>
          <cell r="CM76">
            <v>9.5064149926304188E-7</v>
          </cell>
          <cell r="CN76">
            <v>2.0185413585207403E-6</v>
          </cell>
          <cell r="CO76">
            <v>91.180155541749684</v>
          </cell>
          <cell r="CP76">
            <v>2110</v>
          </cell>
          <cell r="CQ76">
            <v>603.74834489747877</v>
          </cell>
          <cell r="CR76">
            <v>1102.3305318198993</v>
          </cell>
          <cell r="CS76">
            <v>71194.321909398001</v>
          </cell>
          <cell r="CT76">
            <v>2110</v>
          </cell>
          <cell r="CU76">
            <v>1973.6526870066232</v>
          </cell>
          <cell r="CV76">
            <v>2968.6418940736544</v>
          </cell>
          <cell r="CW76">
            <v>1995.1184637375081</v>
          </cell>
          <cell r="CX76">
            <v>2018</v>
          </cell>
          <cell r="CY76">
            <v>260.20210643590127</v>
          </cell>
          <cell r="CZ76">
            <v>334.02422500195286</v>
          </cell>
          <cell r="DA76">
            <v>123.27695761881843</v>
          </cell>
          <cell r="DB76">
            <v>2015</v>
          </cell>
          <cell r="DC76">
            <v>5553.6795915216044</v>
          </cell>
          <cell r="DD76">
            <v>8897.2887036347711</v>
          </cell>
          <cell r="DE76">
            <v>18810.958942322086</v>
          </cell>
          <cell r="DF76">
            <v>2044</v>
          </cell>
          <cell r="DG76">
            <v>395.43394229061528</v>
          </cell>
          <cell r="DH76">
            <v>439.82677395264693</v>
          </cell>
          <cell r="DI76">
            <v>100.67066541260473</v>
          </cell>
          <cell r="DJ76">
            <v>2016</v>
          </cell>
          <cell r="DK76">
            <v>183.70056075205176</v>
          </cell>
          <cell r="DL76">
            <v>269.62069179985411</v>
          </cell>
          <cell r="DM76">
            <v>180.22193197900361</v>
          </cell>
          <cell r="DN76">
            <v>2016</v>
          </cell>
          <cell r="DO76">
            <v>949.06090108304818</v>
          </cell>
          <cell r="DP76">
            <v>995.56641908247445</v>
          </cell>
          <cell r="DQ76">
            <v>132.90663862077341</v>
          </cell>
          <cell r="DR76">
            <v>2016</v>
          </cell>
          <cell r="DS76">
            <v>521.80745179524649</v>
          </cell>
          <cell r="DT76">
            <v>541.49039142230481</v>
          </cell>
          <cell r="DU76">
            <v>44.569133731840182</v>
          </cell>
          <cell r="DV76">
            <v>2017</v>
          </cell>
          <cell r="DW76">
            <v>537.5214130523841</v>
          </cell>
          <cell r="DX76">
            <v>552.95684187336224</v>
          </cell>
          <cell r="DY76">
            <v>38.578711770565199</v>
          </cell>
          <cell r="DZ76">
            <v>2017</v>
          </cell>
          <cell r="EA76">
            <v>1704.9469630775804</v>
          </cell>
          <cell r="EB76">
            <v>2535.6295609864424</v>
          </cell>
          <cell r="EC76">
            <v>1790.3230681247746</v>
          </cell>
          <cell r="ED76">
            <v>2017</v>
          </cell>
          <cell r="EE76">
            <v>1840.4920805667284</v>
          </cell>
          <cell r="EF76">
            <v>2290.7104145966473</v>
          </cell>
          <cell r="EG76">
            <v>958.25669192470343</v>
          </cell>
          <cell r="EH76">
            <v>2017</v>
          </cell>
          <cell r="EI76">
            <v>4150.9998002208777</v>
          </cell>
          <cell r="EJ76">
            <v>6001.0187936820148</v>
          </cell>
          <cell r="EK76">
            <v>3959.3386611127153</v>
          </cell>
          <cell r="EL76">
            <v>2018</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row>
        <row r="77">
          <cell r="B77" t="str">
            <v>75%</v>
          </cell>
          <cell r="C77">
            <v>608.51201601478306</v>
          </cell>
          <cell r="D77">
            <v>781.24350402750554</v>
          </cell>
          <cell r="E77">
            <v>382.41269750959748</v>
          </cell>
          <cell r="F77">
            <v>2017</v>
          </cell>
          <cell r="G77">
            <v>188.06771363140112</v>
          </cell>
          <cell r="H77">
            <v>274.98318749549696</v>
          </cell>
          <cell r="I77">
            <v>184.83060981044216</v>
          </cell>
          <cell r="J77">
            <v>2017</v>
          </cell>
          <cell r="K77">
            <v>1004.2014167546548</v>
          </cell>
          <cell r="L77">
            <v>1023.4656674816538</v>
          </cell>
          <cell r="M77">
            <v>82.455121456366683</v>
          </cell>
          <cell r="N77">
            <v>2013</v>
          </cell>
          <cell r="O77">
            <v>582.63463225890689</v>
          </cell>
          <cell r="P77">
            <v>599.38707325290943</v>
          </cell>
          <cell r="Q77">
            <v>39.038548622678483</v>
          </cell>
          <cell r="R77">
            <v>2018</v>
          </cell>
          <cell r="S77">
            <v>3462.1011097112173</v>
          </cell>
          <cell r="T77">
            <v>4400.9286373782106</v>
          </cell>
          <cell r="U77">
            <v>1996.3966625402079</v>
          </cell>
          <cell r="V77">
            <v>2017</v>
          </cell>
          <cell r="W77">
            <v>3684.3568829417127</v>
          </cell>
          <cell r="X77">
            <v>5521.5963025086958</v>
          </cell>
          <cell r="Y77">
            <v>3596.5546629793612</v>
          </cell>
          <cell r="Z77">
            <v>2017</v>
          </cell>
          <cell r="AA77">
            <v>186.32823719966788</v>
          </cell>
          <cell r="AB77">
            <v>258.79580821748812</v>
          </cell>
          <cell r="AC77">
            <v>100.87075626754643</v>
          </cell>
          <cell r="AD77">
            <v>2017</v>
          </cell>
          <cell r="AE77">
            <v>561.20132016987577</v>
          </cell>
          <cell r="AF77">
            <v>581.56433873679691</v>
          </cell>
          <cell r="AG77">
            <v>45.19890071260469</v>
          </cell>
          <cell r="AH77">
            <v>2018</v>
          </cell>
          <cell r="AI77">
            <v>581.18002621412893</v>
          </cell>
          <cell r="AJ77">
            <v>598.63319863109371</v>
          </cell>
          <cell r="AK77">
            <v>39.211408830513442</v>
          </cell>
          <cell r="AL77">
            <v>2018</v>
          </cell>
          <cell r="AM77">
            <v>293.98195910686934</v>
          </cell>
          <cell r="AN77">
            <v>536.75557327853448</v>
          </cell>
          <cell r="AO77">
            <v>58819.990622235629</v>
          </cell>
          <cell r="AP77">
            <v>2110</v>
          </cell>
          <cell r="AQ77">
            <v>262.88318472563441</v>
          </cell>
          <cell r="AR77">
            <v>343.06695267588202</v>
          </cell>
          <cell r="AS77">
            <v>118.96696792552092</v>
          </cell>
          <cell r="AT77">
            <v>2017</v>
          </cell>
          <cell r="AU77">
            <v>294.08032783217368</v>
          </cell>
          <cell r="AV77">
            <v>536.9351756456889</v>
          </cell>
          <cell r="AW77">
            <v>84945.980207221946</v>
          </cell>
          <cell r="AX77">
            <v>2110</v>
          </cell>
          <cell r="AY77">
            <v>891.82297127709489</v>
          </cell>
          <cell r="AZ77">
            <v>1209.290146735874</v>
          </cell>
          <cell r="BA77">
            <v>646.23998391512669</v>
          </cell>
          <cell r="BB77">
            <v>2017</v>
          </cell>
          <cell r="BC77">
            <v>89.638842334447645</v>
          </cell>
          <cell r="BD77">
            <v>163.66360839241005</v>
          </cell>
          <cell r="BE77">
            <v>3357.8702751247411</v>
          </cell>
          <cell r="BF77">
            <v>2110</v>
          </cell>
          <cell r="BG77">
            <v>411.85943843446159</v>
          </cell>
          <cell r="BH77">
            <v>455.4024924936603</v>
          </cell>
          <cell r="BI77">
            <v>101.58986383600578</v>
          </cell>
          <cell r="BJ77">
            <v>2017</v>
          </cell>
          <cell r="BK77">
            <v>187.31183431436529</v>
          </cell>
          <cell r="BL77">
            <v>274.20930953426796</v>
          </cell>
          <cell r="BM77">
            <v>185.4319183662364</v>
          </cell>
          <cell r="BN77">
            <v>2017</v>
          </cell>
          <cell r="BO77">
            <v>1979.6725809328727</v>
          </cell>
          <cell r="BP77">
            <v>2048.144994302038</v>
          </cell>
          <cell r="BQ77">
            <v>179.67347496868496</v>
          </cell>
          <cell r="BR77">
            <v>2018</v>
          </cell>
          <cell r="BS77">
            <v>7.9571660697040632E-7</v>
          </cell>
          <cell r="BT77">
            <v>1.0956138274849412E-6</v>
          </cell>
          <cell r="BU77">
            <v>5021.8110818941068</v>
          </cell>
          <cell r="BV77">
            <v>2110</v>
          </cell>
          <cell r="BW77">
            <v>50753.822346157853</v>
          </cell>
          <cell r="BX77">
            <v>139805.55078016274</v>
          </cell>
          <cell r="BY77">
            <v>94637.829695100678</v>
          </cell>
          <cell r="BZ77">
            <v>2110</v>
          </cell>
          <cell r="CA77">
            <v>1523.0260157587009</v>
          </cell>
          <cell r="CB77">
            <v>2405.8804171694392</v>
          </cell>
          <cell r="CC77">
            <v>2219.3325760485955</v>
          </cell>
          <cell r="CD77">
            <v>2020</v>
          </cell>
          <cell r="CE77">
            <v>1.2406499209386818E-6</v>
          </cell>
          <cell r="CF77">
            <v>2.7455759064918547E-6</v>
          </cell>
          <cell r="CG77">
            <v>92.337664248298012</v>
          </cell>
          <cell r="CH77">
            <v>2110</v>
          </cell>
          <cell r="CI77">
            <v>1064.8690018282377</v>
          </cell>
          <cell r="CJ77">
            <v>1649.8474800154852</v>
          </cell>
          <cell r="CK77">
            <v>1462.7169112817385</v>
          </cell>
          <cell r="CL77">
            <v>2020</v>
          </cell>
          <cell r="CM77">
            <v>1.2312041215753117E-6</v>
          </cell>
          <cell r="CN77">
            <v>2.7464291347010507E-6</v>
          </cell>
          <cell r="CO77">
            <v>92.081975447137694</v>
          </cell>
          <cell r="CP77">
            <v>2110</v>
          </cell>
          <cell r="CQ77">
            <v>607.76186098010476</v>
          </cell>
          <cell r="CR77">
            <v>1109.6584540002623</v>
          </cell>
          <cell r="CS77">
            <v>71877.040737694188</v>
          </cell>
          <cell r="CT77">
            <v>2110</v>
          </cell>
          <cell r="CU77">
            <v>2006.0780886042821</v>
          </cell>
          <cell r="CV77">
            <v>3012.6999214902885</v>
          </cell>
          <cell r="CW77">
            <v>2035.1867566796129</v>
          </cell>
          <cell r="CX77">
            <v>2019</v>
          </cell>
          <cell r="CY77">
            <v>263.36816404995449</v>
          </cell>
          <cell r="CZ77">
            <v>337.94757661597993</v>
          </cell>
          <cell r="DA77">
            <v>125.1139115524055</v>
          </cell>
          <cell r="DB77">
            <v>2016</v>
          </cell>
          <cell r="DC77">
            <v>5887.1825496596039</v>
          </cell>
          <cell r="DD77">
            <v>9478.640298590748</v>
          </cell>
          <cell r="DE77">
            <v>20277.997157583643</v>
          </cell>
          <cell r="DF77">
            <v>2047</v>
          </cell>
          <cell r="DG77">
            <v>410.59728950035009</v>
          </cell>
          <cell r="DH77">
            <v>456.87316242088872</v>
          </cell>
          <cell r="DI77">
            <v>102.11277176497664</v>
          </cell>
          <cell r="DJ77">
            <v>2017</v>
          </cell>
          <cell r="DK77">
            <v>188.55320371366338</v>
          </cell>
          <cell r="DL77">
            <v>276.53243541154137</v>
          </cell>
          <cell r="DM77">
            <v>184.59134658943785</v>
          </cell>
          <cell r="DN77">
            <v>2017</v>
          </cell>
          <cell r="DO77">
            <v>1038.0271114167288</v>
          </cell>
          <cell r="DP77">
            <v>1091.3118975283394</v>
          </cell>
          <cell r="DQ77">
            <v>136.59302045217899</v>
          </cell>
          <cell r="DR77">
            <v>2017</v>
          </cell>
          <cell r="DS77">
            <v>565.67175736347485</v>
          </cell>
          <cell r="DT77">
            <v>585.09277770159406</v>
          </cell>
          <cell r="DU77">
            <v>45.09671806144668</v>
          </cell>
          <cell r="DV77">
            <v>2018</v>
          </cell>
          <cell r="DW77">
            <v>587.55129353907944</v>
          </cell>
          <cell r="DX77">
            <v>602.8644856692282</v>
          </cell>
          <cell r="DY77">
            <v>39.274919245750574</v>
          </cell>
          <cell r="DZ77">
            <v>2018</v>
          </cell>
          <cell r="EA77">
            <v>1741.8747895036543</v>
          </cell>
          <cell r="EB77">
            <v>2577.1447810867412</v>
          </cell>
          <cell r="EC77">
            <v>1828.3237706221526</v>
          </cell>
          <cell r="ED77">
            <v>2017</v>
          </cell>
          <cell r="EE77">
            <v>1954.1949745049628</v>
          </cell>
          <cell r="EF77">
            <v>2392.6988601872617</v>
          </cell>
          <cell r="EG77">
            <v>973.93232273435717</v>
          </cell>
          <cell r="EH77">
            <v>2017</v>
          </cell>
          <cell r="EI77">
            <v>4209.2138131059874</v>
          </cell>
          <cell r="EJ77">
            <v>6089.742214667388</v>
          </cell>
          <cell r="EK77">
            <v>4048.6463263087135</v>
          </cell>
          <cell r="EL77">
            <v>2019</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row>
        <row r="78">
          <cell r="B78" t="str">
            <v>80%</v>
          </cell>
          <cell r="C78">
            <v>627.92198478808348</v>
          </cell>
          <cell r="D78">
            <v>799.40022881682717</v>
          </cell>
          <cell r="E78">
            <v>388.99012221103362</v>
          </cell>
          <cell r="F78">
            <v>2017</v>
          </cell>
          <cell r="G78">
            <v>191.84495743499068</v>
          </cell>
          <cell r="H78">
            <v>281.51494321816307</v>
          </cell>
          <cell r="I78">
            <v>190.01888605271478</v>
          </cell>
          <cell r="J78">
            <v>2017</v>
          </cell>
          <cell r="K78">
            <v>1103.3043507555249</v>
          </cell>
          <cell r="L78">
            <v>1123.5556265567527</v>
          </cell>
          <cell r="M78">
            <v>84.68045102590311</v>
          </cell>
          <cell r="N78">
            <v>2013</v>
          </cell>
          <cell r="O78">
            <v>629.84243090176903</v>
          </cell>
          <cell r="P78">
            <v>646.10066043873974</v>
          </cell>
          <cell r="Q78">
            <v>39.772138567390215</v>
          </cell>
          <cell r="R78">
            <v>2018</v>
          </cell>
          <cell r="S78">
            <v>3619.8993198937023</v>
          </cell>
          <cell r="T78">
            <v>4537.4868243128858</v>
          </cell>
          <cell r="U78">
            <v>2029.2576204542488</v>
          </cell>
          <cell r="V78">
            <v>2017</v>
          </cell>
          <cell r="W78">
            <v>3750.4293694389467</v>
          </cell>
          <cell r="X78">
            <v>5601.7151843586162</v>
          </cell>
          <cell r="Y78">
            <v>3678.4807964050824</v>
          </cell>
          <cell r="Z78">
            <v>2017</v>
          </cell>
          <cell r="AA78">
            <v>188.69037245909988</v>
          </cell>
          <cell r="AB78">
            <v>260.56835275355917</v>
          </cell>
          <cell r="AC78">
            <v>101.65640399895433</v>
          </cell>
          <cell r="AD78">
            <v>2017</v>
          </cell>
          <cell r="AE78">
            <v>614.3245792797868</v>
          </cell>
          <cell r="AF78">
            <v>634.08444082561971</v>
          </cell>
          <cell r="AG78">
            <v>46.087878284157341</v>
          </cell>
          <cell r="AH78">
            <v>2018</v>
          </cell>
          <cell r="AI78">
            <v>632.46373968884052</v>
          </cell>
          <cell r="AJ78">
            <v>649.19699335471398</v>
          </cell>
          <cell r="AK78">
            <v>40.117220473785338</v>
          </cell>
          <cell r="AL78">
            <v>2018</v>
          </cell>
          <cell r="AM78">
            <v>296.19830245718475</v>
          </cell>
          <cell r="AN78">
            <v>540.80219780382106</v>
          </cell>
          <cell r="AO78">
            <v>59440.129645026813</v>
          </cell>
          <cell r="AP78">
            <v>2110</v>
          </cell>
          <cell r="AQ78">
            <v>271.38222212290003</v>
          </cell>
          <cell r="AR78">
            <v>352.53778308961898</v>
          </cell>
          <cell r="AS78">
            <v>120.02954558528555</v>
          </cell>
          <cell r="AT78">
            <v>2017</v>
          </cell>
          <cell r="AU78">
            <v>296.16238635199801</v>
          </cell>
          <cell r="AV78">
            <v>540.73662256327543</v>
          </cell>
          <cell r="AW78">
            <v>85872.56514224394</v>
          </cell>
          <cell r="AX78">
            <v>2110</v>
          </cell>
          <cell r="AY78">
            <v>939.87476297368585</v>
          </cell>
          <cell r="AZ78">
            <v>1264.1988421222636</v>
          </cell>
          <cell r="BA78">
            <v>659.46386995320734</v>
          </cell>
          <cell r="BB78">
            <v>2017</v>
          </cell>
          <cell r="BC78">
            <v>90.289210705113646</v>
          </cell>
          <cell r="BD78">
            <v>164.85105885911452</v>
          </cell>
          <cell r="BE78">
            <v>3416.1736327831927</v>
          </cell>
          <cell r="BF78">
            <v>2110</v>
          </cell>
          <cell r="BG78">
            <v>428.19331515911779</v>
          </cell>
          <cell r="BH78">
            <v>473.25535343046278</v>
          </cell>
          <cell r="BI78">
            <v>102.90854234449316</v>
          </cell>
          <cell r="BJ78">
            <v>2017</v>
          </cell>
          <cell r="BK78">
            <v>191.10562613318888</v>
          </cell>
          <cell r="BL78">
            <v>279.76359504860852</v>
          </cell>
          <cell r="BM78">
            <v>190.51946808130828</v>
          </cell>
          <cell r="BN78">
            <v>2017</v>
          </cell>
          <cell r="BO78">
            <v>2205.9475830005599</v>
          </cell>
          <cell r="BP78">
            <v>2277.8966016219074</v>
          </cell>
          <cell r="BQ78">
            <v>186.19870651631527</v>
          </cell>
          <cell r="BR78">
            <v>2018</v>
          </cell>
          <cell r="BS78">
            <v>1.0376126692880064E-6</v>
          </cell>
          <cell r="BT78">
            <v>1.4286779716384367E-6</v>
          </cell>
          <cell r="BU78">
            <v>5081.141606373425</v>
          </cell>
          <cell r="BV78">
            <v>2110</v>
          </cell>
          <cell r="BW78">
            <v>116942.72191649282</v>
          </cell>
          <cell r="BX78">
            <v>143076.48542894059</v>
          </cell>
          <cell r="BY78">
            <v>95335.501795733959</v>
          </cell>
          <cell r="BZ78">
            <v>2110</v>
          </cell>
          <cell r="CA78">
            <v>1626.3209869660327</v>
          </cell>
          <cell r="CB78">
            <v>2569.8794454782019</v>
          </cell>
          <cell r="CC78">
            <v>2374.3437132958989</v>
          </cell>
          <cell r="CD78">
            <v>2021</v>
          </cell>
          <cell r="CE78">
            <v>1.5901309134059359E-6</v>
          </cell>
          <cell r="CF78">
            <v>5.6316172194069785E-6</v>
          </cell>
          <cell r="CG78">
            <v>93.449479503175411</v>
          </cell>
          <cell r="CH78">
            <v>2110</v>
          </cell>
          <cell r="CI78">
            <v>1129.1235597515133</v>
          </cell>
          <cell r="CJ78">
            <v>1752.424363049046</v>
          </cell>
          <cell r="CK78">
            <v>1554.894165259303</v>
          </cell>
          <cell r="CL78">
            <v>2021</v>
          </cell>
          <cell r="CM78">
            <v>1.5496762481736396E-6</v>
          </cell>
          <cell r="CN78">
            <v>5.6243548166948121E-6</v>
          </cell>
          <cell r="CO78">
            <v>93.384930053251622</v>
          </cell>
          <cell r="CP78">
            <v>2110</v>
          </cell>
          <cell r="CQ78">
            <v>612.16967615445333</v>
          </cell>
          <cell r="CR78">
            <v>1117.7062918634476</v>
          </cell>
          <cell r="CS78">
            <v>72641.756638198844</v>
          </cell>
          <cell r="CT78">
            <v>2110</v>
          </cell>
          <cell r="CU78">
            <v>2045.8395958625983</v>
          </cell>
          <cell r="CV78">
            <v>3062.4116742705623</v>
          </cell>
          <cell r="CW78">
            <v>2074.4691096412957</v>
          </cell>
          <cell r="CX78">
            <v>2019</v>
          </cell>
          <cell r="CY78">
            <v>266.0185402576077</v>
          </cell>
          <cell r="CZ78">
            <v>342.67216720705215</v>
          </cell>
          <cell r="DA78">
            <v>127.50287688290869</v>
          </cell>
          <cell r="DB78">
            <v>2016</v>
          </cell>
          <cell r="DC78">
            <v>6283.9756735486008</v>
          </cell>
          <cell r="DD78">
            <v>10079.455996139446</v>
          </cell>
          <cell r="DE78">
            <v>25065.638937608874</v>
          </cell>
          <cell r="DF78">
            <v>2049</v>
          </cell>
          <cell r="DG78">
            <v>427.44155305986885</v>
          </cell>
          <cell r="DH78">
            <v>475.11045316065474</v>
          </cell>
          <cell r="DI78">
            <v>104.14139736685783</v>
          </cell>
          <cell r="DJ78">
            <v>2017</v>
          </cell>
          <cell r="DK78">
            <v>192.79300519825134</v>
          </cell>
          <cell r="DL78">
            <v>282.64667535993391</v>
          </cell>
          <cell r="DM78">
            <v>189.4608904139842</v>
          </cell>
          <cell r="DN78">
            <v>2017</v>
          </cell>
          <cell r="DO78">
            <v>1139.5465979829976</v>
          </cell>
          <cell r="DP78">
            <v>1184.8676440792501</v>
          </cell>
          <cell r="DQ78">
            <v>141.12777086217093</v>
          </cell>
          <cell r="DR78">
            <v>2017</v>
          </cell>
          <cell r="DS78">
            <v>614.30930427886562</v>
          </cell>
          <cell r="DT78">
            <v>632.71687734496459</v>
          </cell>
          <cell r="DU78">
            <v>45.787128924651526</v>
          </cell>
          <cell r="DV78">
            <v>2018</v>
          </cell>
          <cell r="DW78">
            <v>630.91758788016227</v>
          </cell>
          <cell r="DX78">
            <v>647.03984029289359</v>
          </cell>
          <cell r="DY78">
            <v>40.125197674073355</v>
          </cell>
          <cell r="DZ78">
            <v>2018</v>
          </cell>
          <cell r="EA78">
            <v>1793.8796334434332</v>
          </cell>
          <cell r="EB78">
            <v>2640.005320236558</v>
          </cell>
          <cell r="EC78">
            <v>1859.5036764421509</v>
          </cell>
          <cell r="ED78">
            <v>2017</v>
          </cell>
          <cell r="EE78">
            <v>2077.5653469213062</v>
          </cell>
          <cell r="EF78">
            <v>2520.1666923392245</v>
          </cell>
          <cell r="EG78">
            <v>992.4160397023918</v>
          </cell>
          <cell r="EH78">
            <v>2017</v>
          </cell>
          <cell r="EI78">
            <v>4275.5204150962581</v>
          </cell>
          <cell r="EJ78">
            <v>6165.249533872523</v>
          </cell>
          <cell r="EK78">
            <v>4137.589758068174</v>
          </cell>
          <cell r="EL78">
            <v>2019</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row>
        <row r="79">
          <cell r="B79" t="str">
            <v>85%</v>
          </cell>
          <cell r="C79">
            <v>648.52383440061067</v>
          </cell>
          <cell r="D79">
            <v>816.17494253956613</v>
          </cell>
          <cell r="E79">
            <v>394.99236229786032</v>
          </cell>
          <cell r="F79">
            <v>2018</v>
          </cell>
          <cell r="G79">
            <v>196.97448719392693</v>
          </cell>
          <cell r="H79">
            <v>289.98705333068182</v>
          </cell>
          <cell r="I79">
            <v>195.61912657874836</v>
          </cell>
          <cell r="J79">
            <v>2018</v>
          </cell>
          <cell r="K79">
            <v>1210.0931202328627</v>
          </cell>
          <cell r="L79">
            <v>1227.0735629894477</v>
          </cell>
          <cell r="M79">
            <v>87.110880630632735</v>
          </cell>
          <cell r="N79">
            <v>2014</v>
          </cell>
          <cell r="O79">
            <v>687.38485586079537</v>
          </cell>
          <cell r="P79">
            <v>704.96380297338158</v>
          </cell>
          <cell r="Q79">
            <v>40.659982369578202</v>
          </cell>
          <cell r="R79">
            <v>2019</v>
          </cell>
          <cell r="S79">
            <v>3805.0559581097691</v>
          </cell>
          <cell r="T79">
            <v>4698.7539505364412</v>
          </cell>
          <cell r="U79">
            <v>2077.4501591130352</v>
          </cell>
          <cell r="V79">
            <v>2018</v>
          </cell>
          <cell r="W79">
            <v>3809.1253366822721</v>
          </cell>
          <cell r="X79">
            <v>5700.0748672182581</v>
          </cell>
          <cell r="Y79">
            <v>3747.7354921070937</v>
          </cell>
          <cell r="Z79">
            <v>2018</v>
          </cell>
          <cell r="AA79">
            <v>190.93520787529528</v>
          </cell>
          <cell r="AB79">
            <v>263.11228455012525</v>
          </cell>
          <cell r="AC79">
            <v>102.77026026012285</v>
          </cell>
          <cell r="AD79">
            <v>2017</v>
          </cell>
          <cell r="AE79">
            <v>666.79092335212079</v>
          </cell>
          <cell r="AF79">
            <v>685.4008656126797</v>
          </cell>
          <cell r="AG79">
            <v>47.048387268752549</v>
          </cell>
          <cell r="AH79">
            <v>2019</v>
          </cell>
          <cell r="AI79">
            <v>685.95143656891571</v>
          </cell>
          <cell r="AJ79">
            <v>702.51335490739359</v>
          </cell>
          <cell r="AK79">
            <v>41.155706393659393</v>
          </cell>
          <cell r="AL79">
            <v>2019</v>
          </cell>
          <cell r="AM79">
            <v>298.62086701092568</v>
          </cell>
          <cell r="AN79">
            <v>545.22534346743339</v>
          </cell>
          <cell r="AO79">
            <v>60169.93123286216</v>
          </cell>
          <cell r="AP79">
            <v>2110</v>
          </cell>
          <cell r="AQ79">
            <v>282.28440690340886</v>
          </cell>
          <cell r="AR79">
            <v>362.39459043397335</v>
          </cell>
          <cell r="AS79">
            <v>121.23759069178011</v>
          </cell>
          <cell r="AT79">
            <v>2017</v>
          </cell>
          <cell r="AU79">
            <v>298.44510712991047</v>
          </cell>
          <cell r="AV79">
            <v>544.90443878289886</v>
          </cell>
          <cell r="AW79">
            <v>86911.781560760588</v>
          </cell>
          <cell r="AX79">
            <v>2110</v>
          </cell>
          <cell r="AY79">
            <v>992.03025862061259</v>
          </cell>
          <cell r="AZ79">
            <v>1313.3366452932135</v>
          </cell>
          <cell r="BA79">
            <v>673.98738109503086</v>
          </cell>
          <cell r="BB79">
            <v>2018</v>
          </cell>
          <cell r="BC79">
            <v>91.022468962568354</v>
          </cell>
          <cell r="BD79">
            <v>166.18984983105415</v>
          </cell>
          <cell r="BE79">
            <v>3481.905176582176</v>
          </cell>
          <cell r="BF79">
            <v>2110</v>
          </cell>
          <cell r="BG79">
            <v>444.64085401808984</v>
          </cell>
          <cell r="BH79">
            <v>490.73276674220131</v>
          </cell>
          <cell r="BI79">
            <v>105.98253079439027</v>
          </cell>
          <cell r="BJ79">
            <v>2018</v>
          </cell>
          <cell r="BK79">
            <v>195.62254576839945</v>
          </cell>
          <cell r="BL79">
            <v>287.45750331987193</v>
          </cell>
          <cell r="BM79">
            <v>196.98590036090675</v>
          </cell>
          <cell r="BN79">
            <v>2018</v>
          </cell>
          <cell r="BO79">
            <v>2423.5359458912635</v>
          </cell>
          <cell r="BP79">
            <v>2492.4388435348073</v>
          </cell>
          <cell r="BQ79">
            <v>193.82441058477161</v>
          </cell>
          <cell r="BR79">
            <v>2019</v>
          </cell>
          <cell r="BS79">
            <v>1.3103599891072104E-6</v>
          </cell>
          <cell r="BT79">
            <v>1.8042208877792975E-6</v>
          </cell>
          <cell r="BU79">
            <v>5143.4134083895406</v>
          </cell>
          <cell r="BV79">
            <v>2110</v>
          </cell>
          <cell r="BW79">
            <v>127740.0608007149</v>
          </cell>
          <cell r="BX79">
            <v>148717.5110758605</v>
          </cell>
          <cell r="BY79">
            <v>96496.068916021643</v>
          </cell>
          <cell r="BZ79">
            <v>2110</v>
          </cell>
          <cell r="CA79">
            <v>1722.2644759688412</v>
          </cell>
          <cell r="CB79">
            <v>2715.3165821214202</v>
          </cell>
          <cell r="CC79">
            <v>2538.0674212065928</v>
          </cell>
          <cell r="CD79">
            <v>2021</v>
          </cell>
          <cell r="CE79">
            <v>2.067620059502498E-6</v>
          </cell>
          <cell r="CF79">
            <v>54.188649906532383</v>
          </cell>
          <cell r="CG79">
            <v>94.691932752035285</v>
          </cell>
          <cell r="CH79">
            <v>2110</v>
          </cell>
          <cell r="CI79">
            <v>1214.9208350497004</v>
          </cell>
          <cell r="CJ79">
            <v>1894.664485479623</v>
          </cell>
          <cell r="CK79">
            <v>1670.7114339128816</v>
          </cell>
          <cell r="CL79">
            <v>2021</v>
          </cell>
          <cell r="CM79">
            <v>2.156968766430088E-6</v>
          </cell>
          <cell r="CN79">
            <v>51.508480147998362</v>
          </cell>
          <cell r="CO79">
            <v>94.845731614167363</v>
          </cell>
          <cell r="CP79">
            <v>2110</v>
          </cell>
          <cell r="CQ79">
            <v>616.94164233820425</v>
          </cell>
          <cell r="CR79">
            <v>1126.4190022730616</v>
          </cell>
          <cell r="CS79">
            <v>73535.835439174669</v>
          </cell>
          <cell r="CT79">
            <v>2110</v>
          </cell>
          <cell r="CU79">
            <v>2086.9908890212996</v>
          </cell>
          <cell r="CV79">
            <v>3139.3313607033001</v>
          </cell>
          <cell r="CW79">
            <v>2131.2899735165956</v>
          </cell>
          <cell r="CX79">
            <v>2020</v>
          </cell>
          <cell r="CY79">
            <v>269.17253823421504</v>
          </cell>
          <cell r="CZ79">
            <v>346.30783312208263</v>
          </cell>
          <cell r="DA79">
            <v>130.37769010294576</v>
          </cell>
          <cell r="DB79">
            <v>2017</v>
          </cell>
          <cell r="DC79">
            <v>6659.4150706369619</v>
          </cell>
          <cell r="DD79">
            <v>10664.106711283601</v>
          </cell>
          <cell r="DE79">
            <v>88153.081600107849</v>
          </cell>
          <cell r="DF79">
            <v>2110</v>
          </cell>
          <cell r="DG79">
            <v>444.65364311948144</v>
          </cell>
          <cell r="DH79">
            <v>488.50041571065907</v>
          </cell>
          <cell r="DI79">
            <v>106.45756996216429</v>
          </cell>
          <cell r="DJ79">
            <v>2018</v>
          </cell>
          <cell r="DK79">
            <v>197.86653634637335</v>
          </cell>
          <cell r="DL79">
            <v>292.04166766771294</v>
          </cell>
          <cell r="DM79">
            <v>194.29082731415218</v>
          </cell>
          <cell r="DN79">
            <v>2018</v>
          </cell>
          <cell r="DO79">
            <v>1234.1257909487779</v>
          </cell>
          <cell r="DP79">
            <v>1294.9679478389096</v>
          </cell>
          <cell r="DQ79">
            <v>145.27400237425402</v>
          </cell>
          <cell r="DR79">
            <v>2018</v>
          </cell>
          <cell r="DS79">
            <v>673.44752302144127</v>
          </cell>
          <cell r="DT79">
            <v>691.86601029921349</v>
          </cell>
          <cell r="DU79">
            <v>46.677814281037925</v>
          </cell>
          <cell r="DV79">
            <v>2019</v>
          </cell>
          <cell r="DW79">
            <v>688.36217361411695</v>
          </cell>
          <cell r="DX79">
            <v>704.3509690192983</v>
          </cell>
          <cell r="DY79">
            <v>41.042786368021901</v>
          </cell>
          <cell r="DZ79">
            <v>2019</v>
          </cell>
          <cell r="EA79">
            <v>1852.0292108869978</v>
          </cell>
          <cell r="EB79">
            <v>2698.4388236990499</v>
          </cell>
          <cell r="EC79">
            <v>1898.3470181633802</v>
          </cell>
          <cell r="ED79">
            <v>2017</v>
          </cell>
          <cell r="EE79">
            <v>2200.0976824420463</v>
          </cell>
          <cell r="EF79">
            <v>2635.4825617766351</v>
          </cell>
          <cell r="EG79">
            <v>1013.1558782447089</v>
          </cell>
          <cell r="EH79">
            <v>2017</v>
          </cell>
          <cell r="EI79">
            <v>4347.4012074846123</v>
          </cell>
          <cell r="EJ79">
            <v>6283.6617827081554</v>
          </cell>
          <cell r="EK79">
            <v>4249.299836088232</v>
          </cell>
          <cell r="EL79">
            <v>2020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row>
        <row r="80">
          <cell r="B80" t="str">
            <v>90%</v>
          </cell>
          <cell r="C80">
            <v>670.89935295312318</v>
          </cell>
          <cell r="D80">
            <v>840.21226813659996</v>
          </cell>
          <cell r="E80">
            <v>405.48030152231058</v>
          </cell>
          <cell r="F80">
            <v>2018</v>
          </cell>
          <cell r="G80">
            <v>204.92301030541597</v>
          </cell>
          <cell r="H80">
            <v>302.07143026241187</v>
          </cell>
          <cell r="I80">
            <v>203.34278582826249</v>
          </cell>
          <cell r="J80">
            <v>2018</v>
          </cell>
          <cell r="K80">
            <v>1351.8395728588639</v>
          </cell>
          <cell r="L80">
            <v>1371.5616708810251</v>
          </cell>
          <cell r="M80">
            <v>89.755725921876675</v>
          </cell>
          <cell r="N80">
            <v>2014</v>
          </cell>
          <cell r="O80">
            <v>753.22372486870017</v>
          </cell>
          <cell r="P80">
            <v>771.36937059173999</v>
          </cell>
          <cell r="Q80">
            <v>41.60503295373487</v>
          </cell>
          <cell r="R80">
            <v>2019</v>
          </cell>
          <cell r="S80">
            <v>4036.6412361880189</v>
          </cell>
          <cell r="T80">
            <v>4994.0795647265286</v>
          </cell>
          <cell r="U80">
            <v>2149.2307399946089</v>
          </cell>
          <cell r="V80">
            <v>2018</v>
          </cell>
          <cell r="W80">
            <v>3894.8795900813511</v>
          </cell>
          <cell r="X80">
            <v>5829.1185133159615</v>
          </cell>
          <cell r="Y80">
            <v>3841.3164702583176</v>
          </cell>
          <cell r="Z80">
            <v>2018</v>
          </cell>
          <cell r="AA80">
            <v>194.25014893866921</v>
          </cell>
          <cell r="AB80">
            <v>266.09978964754453</v>
          </cell>
          <cell r="AC80">
            <v>103.89328773303136</v>
          </cell>
          <cell r="AD80">
            <v>2017</v>
          </cell>
          <cell r="AE80">
            <v>734.12168871743779</v>
          </cell>
          <cell r="AF80">
            <v>753.83323175205282</v>
          </cell>
          <cell r="AG80">
            <v>47.875311430177064</v>
          </cell>
          <cell r="AH80">
            <v>2019</v>
          </cell>
          <cell r="AI80">
            <v>756.43976716847556</v>
          </cell>
          <cell r="AJ80">
            <v>774.56705496310087</v>
          </cell>
          <cell r="AK80">
            <v>42.678528892369989</v>
          </cell>
          <cell r="AL80">
            <v>2019</v>
          </cell>
          <cell r="AM80">
            <v>301.38817835310533</v>
          </cell>
          <cell r="AN80">
            <v>550.27793284682775</v>
          </cell>
          <cell r="AO80">
            <v>61007.889523739592</v>
          </cell>
          <cell r="AP80">
            <v>2110</v>
          </cell>
          <cell r="AQ80">
            <v>291.68102770842978</v>
          </cell>
          <cell r="AR80">
            <v>371.96225156293559</v>
          </cell>
          <cell r="AS80">
            <v>122.66454211190492</v>
          </cell>
          <cell r="AT80">
            <v>2017</v>
          </cell>
          <cell r="AU80">
            <v>301.44398598934015</v>
          </cell>
          <cell r="AV80">
            <v>550.37982747945671</v>
          </cell>
          <cell r="AW80">
            <v>88104.194000587901</v>
          </cell>
          <cell r="AX80">
            <v>2110</v>
          </cell>
          <cell r="AY80">
            <v>1049.0883104297532</v>
          </cell>
          <cell r="AZ80">
            <v>1373.5607896580334</v>
          </cell>
          <cell r="BA80">
            <v>691.1407989351062</v>
          </cell>
          <cell r="BB80">
            <v>2018</v>
          </cell>
          <cell r="BC80">
            <v>91.904510427365906</v>
          </cell>
          <cell r="BD80">
            <v>167.80029059170008</v>
          </cell>
          <cell r="BE80">
            <v>3560.9120106077703</v>
          </cell>
          <cell r="BF80">
            <v>2110</v>
          </cell>
          <cell r="BG80">
            <v>471.94096685722315</v>
          </cell>
          <cell r="BH80">
            <v>517.81621845540883</v>
          </cell>
          <cell r="BI80">
            <v>108.9631593032521</v>
          </cell>
          <cell r="BJ80">
            <v>2018</v>
          </cell>
          <cell r="BK80">
            <v>204.06125464997999</v>
          </cell>
          <cell r="BL80">
            <v>299.68003953394674</v>
          </cell>
          <cell r="BM80">
            <v>203.83882843475843</v>
          </cell>
          <cell r="BN80">
            <v>2018</v>
          </cell>
          <cell r="BO80">
            <v>2637.180596092961</v>
          </cell>
          <cell r="BP80">
            <v>2716.0695841987981</v>
          </cell>
          <cell r="BQ80">
            <v>200.17359329114043</v>
          </cell>
          <cell r="BR80">
            <v>2019</v>
          </cell>
          <cell r="BS80">
            <v>1.7051012589638929E-6</v>
          </cell>
          <cell r="BT80">
            <v>2.3477359907008964E-6</v>
          </cell>
          <cell r="BU80">
            <v>5235.3772322620107</v>
          </cell>
          <cell r="BV80">
            <v>2110</v>
          </cell>
          <cell r="BW80">
            <v>138741.74780067895</v>
          </cell>
          <cell r="BX80">
            <v>154402.15398033534</v>
          </cell>
          <cell r="BY80">
            <v>97667.185363515004</v>
          </cell>
          <cell r="BZ80">
            <v>2110</v>
          </cell>
          <cell r="CA80">
            <v>1895.7272734596274</v>
          </cell>
          <cell r="CB80">
            <v>3012.5843141134455</v>
          </cell>
          <cell r="CC80">
            <v>2752.7706237153825</v>
          </cell>
          <cell r="CD80">
            <v>2021</v>
          </cell>
          <cell r="CE80">
            <v>4.0901011224634495E-6</v>
          </cell>
          <cell r="CF80">
            <v>67.88272297618856</v>
          </cell>
          <cell r="CG80">
            <v>96.565961465296013</v>
          </cell>
          <cell r="CH80">
            <v>2110</v>
          </cell>
          <cell r="CI80">
            <v>1304.209596351347</v>
          </cell>
          <cell r="CJ80">
            <v>2039.4116058629293</v>
          </cell>
          <cell r="CK80">
            <v>1833.4528839704985</v>
          </cell>
          <cell r="CL80">
            <v>2021</v>
          </cell>
          <cell r="CM80">
            <v>4.0848266230918573E-6</v>
          </cell>
          <cell r="CN80">
            <v>65.708416741286825</v>
          </cell>
          <cell r="CO80">
            <v>96.214868816153214</v>
          </cell>
          <cell r="CP80">
            <v>2110</v>
          </cell>
          <cell r="CQ80">
            <v>623.04896776263831</v>
          </cell>
          <cell r="CR80">
            <v>1137.5698264632017</v>
          </cell>
          <cell r="CS80">
            <v>74526.586731364907</v>
          </cell>
          <cell r="CT80">
            <v>2110</v>
          </cell>
          <cell r="CU80">
            <v>2125.4594745093536</v>
          </cell>
          <cell r="CV80">
            <v>3196.9196316076759</v>
          </cell>
          <cell r="CW80">
            <v>2191.3007586450562</v>
          </cell>
          <cell r="CX80">
            <v>2020</v>
          </cell>
          <cell r="CY80">
            <v>272.36521028263513</v>
          </cell>
          <cell r="CZ80">
            <v>350.80492170717787</v>
          </cell>
          <cell r="DA80">
            <v>135.10903968230167</v>
          </cell>
          <cell r="DB80">
            <v>2017</v>
          </cell>
          <cell r="DC80">
            <v>6989.2459202668806</v>
          </cell>
          <cell r="DD80">
            <v>11215.907850971387</v>
          </cell>
          <cell r="DE80">
            <v>95570.901678954964</v>
          </cell>
          <cell r="DF80">
            <v>2110</v>
          </cell>
          <cell r="DG80">
            <v>467.03104272505567</v>
          </cell>
          <cell r="DH80">
            <v>511.8988478979673</v>
          </cell>
          <cell r="DI80">
            <v>109.40424455619622</v>
          </cell>
          <cell r="DJ80">
            <v>2018</v>
          </cell>
          <cell r="DK80">
            <v>204.286786740097</v>
          </cell>
          <cell r="DL80">
            <v>301.26457497864777</v>
          </cell>
          <cell r="DM80">
            <v>203.3530546132362</v>
          </cell>
          <cell r="DN80">
            <v>2018</v>
          </cell>
          <cell r="DO80">
            <v>1373.0043566757161</v>
          </cell>
          <cell r="DP80">
            <v>1426.6613883239393</v>
          </cell>
          <cell r="DQ80">
            <v>150.03008881237679</v>
          </cell>
          <cell r="DR80">
            <v>2018</v>
          </cell>
          <cell r="DS80">
            <v>729.1915336899807</v>
          </cell>
          <cell r="DT80">
            <v>748.18082094118859</v>
          </cell>
          <cell r="DU80">
            <v>47.735453938424456</v>
          </cell>
          <cell r="DV80">
            <v>2019</v>
          </cell>
          <cell r="DW80">
            <v>751.82810597579328</v>
          </cell>
          <cell r="DX80">
            <v>767.55852462056919</v>
          </cell>
          <cell r="DY80">
            <v>42.167302310666066</v>
          </cell>
          <cell r="DZ80">
            <v>2019</v>
          </cell>
          <cell r="EA80">
            <v>1919.7131902808119</v>
          </cell>
          <cell r="EB80">
            <v>2777.5718404776817</v>
          </cell>
          <cell r="EC80">
            <v>1954.6124182394055</v>
          </cell>
          <cell r="ED80">
            <v>2017</v>
          </cell>
          <cell r="EE80">
            <v>2401.0824497831891</v>
          </cell>
          <cell r="EF80">
            <v>2847.258706792305</v>
          </cell>
          <cell r="EG80">
            <v>1041.8719607726575</v>
          </cell>
          <cell r="EH80">
            <v>2017</v>
          </cell>
          <cell r="EI80">
            <v>4468.7942831495229</v>
          </cell>
          <cell r="EJ80">
            <v>6428.3237942560254</v>
          </cell>
          <cell r="EK80">
            <v>4390.41689178872</v>
          </cell>
          <cell r="EL80">
            <v>2020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row>
        <row r="81">
          <cell r="B81" t="str">
            <v>95%</v>
          </cell>
          <cell r="C81">
            <v>697.98293686566626</v>
          </cell>
          <cell r="D81">
            <v>875.78248375549583</v>
          </cell>
          <cell r="E81">
            <v>422.66222111573342</v>
          </cell>
          <cell r="F81">
            <v>2019</v>
          </cell>
          <cell r="G81">
            <v>213.4706304519469</v>
          </cell>
          <cell r="H81">
            <v>314.7015581630161</v>
          </cell>
          <cell r="I81">
            <v>215.21496656624257</v>
          </cell>
          <cell r="J81">
            <v>2019</v>
          </cell>
          <cell r="K81">
            <v>1515.2721096650764</v>
          </cell>
          <cell r="L81">
            <v>1534.7323069799006</v>
          </cell>
          <cell r="M81">
            <v>93.392136240362149</v>
          </cell>
          <cell r="N81">
            <v>2014</v>
          </cell>
          <cell r="O81">
            <v>843.72839569628991</v>
          </cell>
          <cell r="P81">
            <v>858.57110241329315</v>
          </cell>
          <cell r="Q81">
            <v>42.936328202568411</v>
          </cell>
          <cell r="R81">
            <v>2020</v>
          </cell>
          <cell r="S81">
            <v>4381.5460114067582</v>
          </cell>
          <cell r="T81">
            <v>5285.0946577445256</v>
          </cell>
          <cell r="U81">
            <v>2251.7694225556143</v>
          </cell>
          <cell r="V81">
            <v>2019</v>
          </cell>
          <cell r="W81">
            <v>4006.0036538224381</v>
          </cell>
          <cell r="X81">
            <v>5988.0083229447846</v>
          </cell>
          <cell r="Y81">
            <v>3946.5921147699892</v>
          </cell>
          <cell r="Z81">
            <v>2019</v>
          </cell>
          <cell r="AA81">
            <v>198.17052520593307</v>
          </cell>
          <cell r="AB81">
            <v>270.39206790704634</v>
          </cell>
          <cell r="AC81">
            <v>105.34728345043459</v>
          </cell>
          <cell r="AD81">
            <v>2017</v>
          </cell>
          <cell r="AE81">
            <v>824.67156382601877</v>
          </cell>
          <cell r="AF81">
            <v>845.05102871686495</v>
          </cell>
          <cell r="AG81">
            <v>49.615477781417049</v>
          </cell>
          <cell r="AH81">
            <v>2020</v>
          </cell>
          <cell r="AI81">
            <v>839.53877163070638</v>
          </cell>
          <cell r="AJ81">
            <v>858.27232781343719</v>
          </cell>
          <cell r="AK81">
            <v>44.677017664134631</v>
          </cell>
          <cell r="AL81">
            <v>2020</v>
          </cell>
          <cell r="AM81">
            <v>305.21385293951681</v>
          </cell>
          <cell r="AN81">
            <v>557.26289168882681</v>
          </cell>
          <cell r="AO81">
            <v>62122.980460751416</v>
          </cell>
          <cell r="AP81">
            <v>2110</v>
          </cell>
          <cell r="AQ81">
            <v>305.08061660648542</v>
          </cell>
          <cell r="AR81">
            <v>386.39041722676382</v>
          </cell>
          <cell r="AS81">
            <v>124.43949016405179</v>
          </cell>
          <cell r="AT81">
            <v>2017</v>
          </cell>
          <cell r="AU81">
            <v>305.21283002391129</v>
          </cell>
          <cell r="AV81">
            <v>557.26102415054379</v>
          </cell>
          <cell r="AW81">
            <v>89700.673375850572</v>
          </cell>
          <cell r="AX81">
            <v>2110</v>
          </cell>
          <cell r="AY81">
            <v>1117.8664544289948</v>
          </cell>
          <cell r="AZ81">
            <v>1454.486652579955</v>
          </cell>
          <cell r="BA81">
            <v>720.13063351136168</v>
          </cell>
          <cell r="BB81">
            <v>2019</v>
          </cell>
          <cell r="BC81">
            <v>93.009324861087521</v>
          </cell>
          <cell r="BD81">
            <v>169.81747286197643</v>
          </cell>
          <cell r="BE81">
            <v>3664.283469468241</v>
          </cell>
          <cell r="BF81">
            <v>2110</v>
          </cell>
          <cell r="BG81">
            <v>496.12712844808783</v>
          </cell>
          <cell r="BH81">
            <v>540.46108507455983</v>
          </cell>
          <cell r="BI81">
            <v>113.95276032383244</v>
          </cell>
          <cell r="BJ81">
            <v>2019</v>
          </cell>
          <cell r="BK81">
            <v>212.85943469611183</v>
          </cell>
          <cell r="BL81">
            <v>314.65328055241514</v>
          </cell>
          <cell r="BM81">
            <v>216.75875225385258</v>
          </cell>
          <cell r="BN81">
            <v>2019</v>
          </cell>
          <cell r="BO81">
            <v>2993.9731000735133</v>
          </cell>
          <cell r="BP81">
            <v>3062.5074398289457</v>
          </cell>
          <cell r="BQ81">
            <v>213.51680579233755</v>
          </cell>
          <cell r="BR81">
            <v>2020</v>
          </cell>
          <cell r="BS81">
            <v>2.086315928684589E-6</v>
          </cell>
          <cell r="BT81">
            <v>2.8726264601562268E-6</v>
          </cell>
          <cell r="BU81">
            <v>5392.7333457709601</v>
          </cell>
          <cell r="BV81">
            <v>2110</v>
          </cell>
          <cell r="BW81">
            <v>152292.94294445074</v>
          </cell>
          <cell r="BX81">
            <v>164160.43182721321</v>
          </cell>
          <cell r="BY81">
            <v>99671.335605526605</v>
          </cell>
          <cell r="BZ81">
            <v>2110</v>
          </cell>
          <cell r="CA81">
            <v>2085.5870169124073</v>
          </cell>
          <cell r="CB81">
            <v>3298.6175527079208</v>
          </cell>
          <cell r="CC81">
            <v>3024.4909827197812</v>
          </cell>
          <cell r="CD81">
            <v>2022</v>
          </cell>
          <cell r="CE81">
            <v>72.213837166094919</v>
          </cell>
          <cell r="CF81">
            <v>85.997145217808125</v>
          </cell>
          <cell r="CG81">
            <v>98.945968124154689</v>
          </cell>
          <cell r="CH81">
            <v>2110</v>
          </cell>
          <cell r="CI81">
            <v>1419.0456790223498</v>
          </cell>
          <cell r="CJ81">
            <v>2218.1988514981031</v>
          </cell>
          <cell r="CK81">
            <v>2051.1937659230298</v>
          </cell>
          <cell r="CL81">
            <v>2022</v>
          </cell>
          <cell r="CM81">
            <v>73.413361020639712</v>
          </cell>
          <cell r="CN81">
            <v>85.915867794783779</v>
          </cell>
          <cell r="CO81">
            <v>98.754177216260445</v>
          </cell>
          <cell r="CP81">
            <v>2110</v>
          </cell>
          <cell r="CQ81">
            <v>630.61911691855607</v>
          </cell>
          <cell r="CR81">
            <v>1151.3914898268624</v>
          </cell>
          <cell r="CS81">
            <v>75906.687576727098</v>
          </cell>
          <cell r="CT81">
            <v>2110</v>
          </cell>
          <cell r="CU81">
            <v>2181.0068039590537</v>
          </cell>
          <cell r="CV81">
            <v>3291.1794052151245</v>
          </cell>
          <cell r="CW81">
            <v>2302.4836063541211</v>
          </cell>
          <cell r="CX81">
            <v>2021</v>
          </cell>
          <cell r="CY81">
            <v>279.71224606289803</v>
          </cell>
          <cell r="CZ81">
            <v>359.60263401704879</v>
          </cell>
          <cell r="DA81">
            <v>140.65925819708735</v>
          </cell>
          <cell r="DB81">
            <v>2017</v>
          </cell>
          <cell r="DC81">
            <v>7608.8025188681931</v>
          </cell>
          <cell r="DD81">
            <v>12188.512842545979</v>
          </cell>
          <cell r="DE81">
            <v>100957.96450851949</v>
          </cell>
          <cell r="DF81">
            <v>2110</v>
          </cell>
          <cell r="DG81">
            <v>497.95170754716395</v>
          </cell>
          <cell r="DH81">
            <v>544.10480267232811</v>
          </cell>
          <cell r="DI81">
            <v>113.45954564398522</v>
          </cell>
          <cell r="DJ81">
            <v>2019</v>
          </cell>
          <cell r="DK81">
            <v>211.85023560594502</v>
          </cell>
          <cell r="DL81">
            <v>312.99963026403356</v>
          </cell>
          <cell r="DM81">
            <v>214.14060299005604</v>
          </cell>
          <cell r="DN81">
            <v>2019</v>
          </cell>
          <cell r="DO81">
            <v>1548.5723196445085</v>
          </cell>
          <cell r="DP81">
            <v>1607.3207329614772</v>
          </cell>
          <cell r="DQ81">
            <v>157.92427889763633</v>
          </cell>
          <cell r="DR81">
            <v>2019</v>
          </cell>
          <cell r="DS81">
            <v>817.3973824485812</v>
          </cell>
          <cell r="DT81">
            <v>837.72551766960146</v>
          </cell>
          <cell r="DU81">
            <v>49.087861303582528</v>
          </cell>
          <cell r="DV81">
            <v>2020</v>
          </cell>
          <cell r="DW81">
            <v>838.14979975236599</v>
          </cell>
          <cell r="DX81">
            <v>853.782685315962</v>
          </cell>
          <cell r="DY81">
            <v>44.03447291720056</v>
          </cell>
          <cell r="DZ81">
            <v>2020</v>
          </cell>
          <cell r="EA81">
            <v>2006.6680543262</v>
          </cell>
          <cell r="EB81">
            <v>2895.7497506767941</v>
          </cell>
          <cell r="EC81">
            <v>2006.6797481643148</v>
          </cell>
          <cell r="ED81">
            <v>2017</v>
          </cell>
          <cell r="EE81">
            <v>2660.8873731154936</v>
          </cell>
          <cell r="EF81">
            <v>3098.8590076239439</v>
          </cell>
          <cell r="EG81">
            <v>1080.2808560266458</v>
          </cell>
          <cell r="EH81">
            <v>2017</v>
          </cell>
          <cell r="EI81">
            <v>4593.7883131385242</v>
          </cell>
          <cell r="EJ81">
            <v>6654.2350433592264</v>
          </cell>
          <cell r="EK81">
            <v>4558.611220415276</v>
          </cell>
          <cell r="EL81">
            <v>2021</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row>
        <row r="82">
          <cell r="B82" t="str">
            <v>100%</v>
          </cell>
          <cell r="C82">
            <v>784.22181458013517</v>
          </cell>
          <cell r="D82">
            <v>984.806458640713</v>
          </cell>
          <cell r="E82">
            <v>468.2945801600539</v>
          </cell>
          <cell r="F82">
            <v>2019</v>
          </cell>
          <cell r="G82">
            <v>241.6331807284042</v>
          </cell>
          <cell r="H82">
            <v>359.18361423464256</v>
          </cell>
          <cell r="I82">
            <v>244.41593676884719</v>
          </cell>
          <cell r="J82">
            <v>2019</v>
          </cell>
          <cell r="K82">
            <v>1930.3626931126075</v>
          </cell>
          <cell r="L82">
            <v>1951.0779939393533</v>
          </cell>
          <cell r="M82">
            <v>103.53751110300765</v>
          </cell>
          <cell r="N82">
            <v>2014</v>
          </cell>
          <cell r="O82">
            <v>1013.0240022426347</v>
          </cell>
          <cell r="P82">
            <v>1031.4639807984267</v>
          </cell>
          <cell r="Q82">
            <v>48.197453693720192</v>
          </cell>
          <cell r="R82">
            <v>2020</v>
          </cell>
          <cell r="S82">
            <v>5290.440841984183</v>
          </cell>
          <cell r="T82">
            <v>6510.8654577233165</v>
          </cell>
          <cell r="U82">
            <v>2503.600733437328</v>
          </cell>
          <cell r="V82">
            <v>2019</v>
          </cell>
          <cell r="W82">
            <v>4317.7975977278547</v>
          </cell>
          <cell r="X82">
            <v>6508.4944306337084</v>
          </cell>
          <cell r="Y82">
            <v>4259.4783573264731</v>
          </cell>
          <cell r="Z82">
            <v>2019</v>
          </cell>
          <cell r="AA82">
            <v>208.94774691721702</v>
          </cell>
          <cell r="AB82">
            <v>282.86175095234296</v>
          </cell>
          <cell r="AC82">
            <v>110.10152017093525</v>
          </cell>
          <cell r="AD82">
            <v>2017</v>
          </cell>
          <cell r="AE82">
            <v>1072.3250148214725</v>
          </cell>
          <cell r="AF82">
            <v>1094.7398018215522</v>
          </cell>
          <cell r="AG82">
            <v>53.182208261637712</v>
          </cell>
          <cell r="AH82">
            <v>2020</v>
          </cell>
          <cell r="AI82">
            <v>1039.2887977242278</v>
          </cell>
          <cell r="AJ82">
            <v>1054.2097103708418</v>
          </cell>
          <cell r="AK82">
            <v>49.580434796283271</v>
          </cell>
          <cell r="AL82">
            <v>2020</v>
          </cell>
          <cell r="AM82">
            <v>313.79458457440626</v>
          </cell>
          <cell r="AN82">
            <v>572.92968862884106</v>
          </cell>
          <cell r="AO82">
            <v>64505.743724503671</v>
          </cell>
          <cell r="AP82">
            <v>2110</v>
          </cell>
          <cell r="AQ82">
            <v>339.16690450746586</v>
          </cell>
          <cell r="AR82">
            <v>420.07755774236745</v>
          </cell>
          <cell r="AS82">
            <v>130.28686663085679</v>
          </cell>
          <cell r="AT82">
            <v>2017</v>
          </cell>
          <cell r="AU82">
            <v>313.36723428319107</v>
          </cell>
          <cell r="AV82">
            <v>572.14942730651967</v>
          </cell>
          <cell r="AW82">
            <v>93441.460573794422</v>
          </cell>
          <cell r="AX82">
            <v>2110</v>
          </cell>
          <cell r="AY82">
            <v>1334.928834746896</v>
          </cell>
          <cell r="AZ82">
            <v>1724.3600015805653</v>
          </cell>
          <cell r="BA82">
            <v>798.95436643016217</v>
          </cell>
          <cell r="BB82">
            <v>2019</v>
          </cell>
          <cell r="BC82">
            <v>95.107815621526186</v>
          </cell>
          <cell r="BD82">
            <v>173.64892056872046</v>
          </cell>
          <cell r="BE82">
            <v>3886.9218032774384</v>
          </cell>
          <cell r="BF82">
            <v>2110</v>
          </cell>
          <cell r="BG82">
            <v>562.33619544340036</v>
          </cell>
          <cell r="BH82">
            <v>609.3171781903078</v>
          </cell>
          <cell r="BI82">
            <v>124.9457246973204</v>
          </cell>
          <cell r="BJ82">
            <v>2019</v>
          </cell>
          <cell r="BK82">
            <v>238.47318778054901</v>
          </cell>
          <cell r="BL82">
            <v>354.40623851845282</v>
          </cell>
          <cell r="BM82">
            <v>247.45906991094031</v>
          </cell>
          <cell r="BN82">
            <v>2019</v>
          </cell>
          <cell r="BO82">
            <v>3820.7493136801299</v>
          </cell>
          <cell r="BP82">
            <v>3900.6946664056195</v>
          </cell>
          <cell r="BQ82">
            <v>241.78646048727751</v>
          </cell>
          <cell r="BR82">
            <v>2020</v>
          </cell>
          <cell r="BS82">
            <v>4.102492999222573E-6</v>
          </cell>
          <cell r="BT82">
            <v>5.6486794641896734E-6</v>
          </cell>
          <cell r="BU82">
            <v>5727.0104750718638</v>
          </cell>
          <cell r="BV82">
            <v>2110</v>
          </cell>
          <cell r="BW82">
            <v>180413.38634349493</v>
          </cell>
          <cell r="BX82">
            <v>195541.71315191998</v>
          </cell>
          <cell r="BY82">
            <v>107982.44487074637</v>
          </cell>
          <cell r="BZ82">
            <v>2110</v>
          </cell>
          <cell r="CA82">
            <v>2592.9183327523519</v>
          </cell>
          <cell r="CB82">
            <v>4146.0027301590344</v>
          </cell>
          <cell r="CC82">
            <v>31969.82375467477</v>
          </cell>
          <cell r="CD82">
            <v>2110</v>
          </cell>
          <cell r="CE82">
            <v>147.31124714674996</v>
          </cell>
          <cell r="CF82">
            <v>154.79328139975703</v>
          </cell>
          <cell r="CG82">
            <v>108.26628448927839</v>
          </cell>
          <cell r="CH82">
            <v>2110</v>
          </cell>
          <cell r="CI82">
            <v>1725.0520461426829</v>
          </cell>
          <cell r="CJ82">
            <v>2715.7876497432462</v>
          </cell>
          <cell r="CK82">
            <v>19047.092453677895</v>
          </cell>
          <cell r="CL82">
            <v>2110</v>
          </cell>
          <cell r="CM82">
            <v>127.72787649456319</v>
          </cell>
          <cell r="CN82">
            <v>134.33148463144991</v>
          </cell>
          <cell r="CO82">
            <v>107.8312142316837</v>
          </cell>
          <cell r="CP82">
            <v>2110</v>
          </cell>
          <cell r="CQ82">
            <v>645.20566790995144</v>
          </cell>
          <cell r="CR82">
            <v>1178.0237793741003</v>
          </cell>
          <cell r="CS82">
            <v>79033.054451721313</v>
          </cell>
          <cell r="CT82">
            <v>2110</v>
          </cell>
          <cell r="CU82">
            <v>2558.8566616708717</v>
          </cell>
          <cell r="CV82">
            <v>3817.5338241521963</v>
          </cell>
          <cell r="CW82">
            <v>2535.7340277133167</v>
          </cell>
          <cell r="CX82">
            <v>2021</v>
          </cell>
          <cell r="CY82">
            <v>299.24867800696433</v>
          </cell>
          <cell r="CZ82">
            <v>386.81845464405444</v>
          </cell>
          <cell r="DA82">
            <v>154.00092554881476</v>
          </cell>
          <cell r="DB82">
            <v>2017</v>
          </cell>
          <cell r="DC82">
            <v>9426.4985592213907</v>
          </cell>
          <cell r="DD82">
            <v>15107.180525215716</v>
          </cell>
          <cell r="DE82">
            <v>115150.27686373316</v>
          </cell>
          <cell r="DF82">
            <v>2110</v>
          </cell>
          <cell r="DG82">
            <v>568.19500917897085</v>
          </cell>
          <cell r="DH82">
            <v>610.23880632226883</v>
          </cell>
          <cell r="DI82">
            <v>125.05323599922967</v>
          </cell>
          <cell r="DJ82">
            <v>2019</v>
          </cell>
          <cell r="DK82">
            <v>234.71061438867039</v>
          </cell>
          <cell r="DL82">
            <v>350.87313936659905</v>
          </cell>
          <cell r="DM82">
            <v>256.77191001748884</v>
          </cell>
          <cell r="DN82">
            <v>2019</v>
          </cell>
          <cell r="DO82">
            <v>1958.2041815826474</v>
          </cell>
          <cell r="DP82">
            <v>1993.6725068001019</v>
          </cell>
          <cell r="DQ82">
            <v>180.69996864256817</v>
          </cell>
          <cell r="DR82">
            <v>2019</v>
          </cell>
          <cell r="DS82">
            <v>1038.9737048428801</v>
          </cell>
          <cell r="DT82">
            <v>1063.1527498656164</v>
          </cell>
          <cell r="DU82">
            <v>54.096828840700219</v>
          </cell>
          <cell r="DV82">
            <v>2020</v>
          </cell>
          <cell r="DW82">
            <v>1046.6402260547193</v>
          </cell>
          <cell r="DX82">
            <v>1067.6596955827099</v>
          </cell>
          <cell r="DY82">
            <v>49.804258663330153</v>
          </cell>
          <cell r="DZ82">
            <v>2020</v>
          </cell>
          <cell r="EA82">
            <v>2344.5034635893112</v>
          </cell>
          <cell r="EB82">
            <v>3422.22783266638</v>
          </cell>
          <cell r="EC82">
            <v>2189.1321683060787</v>
          </cell>
          <cell r="ED82">
            <v>2017</v>
          </cell>
          <cell r="EE82">
            <v>3187.0676178948461</v>
          </cell>
          <cell r="EF82">
            <v>3727.1642869752295</v>
          </cell>
          <cell r="EG82">
            <v>1165.76039971056</v>
          </cell>
          <cell r="EH82">
            <v>2017</v>
          </cell>
          <cell r="EI82">
            <v>5129.5679951049806</v>
          </cell>
          <cell r="EJ82">
            <v>7423.3203923019837</v>
          </cell>
          <cell r="EK82">
            <v>5112.5372817927746</v>
          </cell>
          <cell r="EL82">
            <v>2021</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Home"/>
      <sheetName val="TBL"/>
      <sheetName val="Lookups"/>
      <sheetName val="Social Criteria"/>
      <sheetName val="TBL ORG Chart"/>
      <sheetName val="TBL ORG Charts"/>
      <sheetName val="TBL ORG Charts w Percentages"/>
      <sheetName val="Results Summary"/>
      <sheetName val="Assumptions Charts"/>
      <sheetName val="Results Charts"/>
      <sheetName val="Assumptions"/>
      <sheetName val="1X"/>
      <sheetName val="1Y"/>
      <sheetName val="1Y (2)"/>
      <sheetName val="Generator Costs"/>
      <sheetName val="Pretreatment Costs"/>
      <sheetName val="Cake Loadout Costs"/>
      <sheetName val="Anaerobic Digestion Costs"/>
      <sheetName val="Incineration Capital Costs"/>
      <sheetName val="Ash Loadout Facility Costs"/>
      <sheetName val="FOG Receiving Facility Costs"/>
    </sheetNames>
    <sheetDataSet>
      <sheetData sheetId="0"/>
      <sheetData sheetId="1">
        <row r="2">
          <cell r="I2" t="str">
            <v>1X:AnaDig+CHP,
Prtmt,LandApp</v>
          </cell>
          <cell r="L2" t="str">
            <v>1Y:AnaDig+CHP,
Prtmt,Landfill</v>
          </cell>
          <cell r="O2" t="str">
            <v>2X:AnaDig+CHP,
Codig,LandApp</v>
          </cell>
          <cell r="R2" t="str">
            <v>2Y:AnaDig+CHP,
Codig,Landfill</v>
          </cell>
          <cell r="U2" t="str">
            <v>3X:Incin,Landfill</v>
          </cell>
          <cell r="X2" t="str">
            <v>4X:Gasif,Landfill</v>
          </cell>
        </row>
      </sheetData>
      <sheetData sheetId="2">
        <row r="4">
          <cell r="B4" t="str">
            <v>As-Is</v>
          </cell>
        </row>
        <row r="5">
          <cell r="B5" t="str">
            <v>Normalize to Max</v>
          </cell>
        </row>
        <row r="6">
          <cell r="B6" t="str">
            <v>0-5</v>
          </cell>
        </row>
        <row r="7">
          <cell r="B7" t="str">
            <v>+/-5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Home"/>
      <sheetName val="TBL"/>
      <sheetName val="Lookups"/>
      <sheetName val="TBL ORG Chart"/>
      <sheetName val="TBL ORG Charts w Percentages"/>
      <sheetName val="Results Charts"/>
      <sheetName val="Results Summary"/>
      <sheetName val="Assumptions"/>
      <sheetName val="1X"/>
      <sheetName val="1Y"/>
      <sheetName val="2X"/>
      <sheetName val="2Y"/>
      <sheetName val="3X"/>
      <sheetName val="4X"/>
      <sheetName val="Capital Cost Summary"/>
      <sheetName val="O&amp;M Cost Summary"/>
      <sheetName val="Engineering Criteria"/>
      <sheetName val="Social Criteria"/>
      <sheetName val="Env - RC - Nutrients"/>
      <sheetName val="Env - RC - Fixed Carbon"/>
      <sheetName val="Env - RC - Water Conservation"/>
      <sheetName val="Env - Land Impacts"/>
      <sheetName val="Env - Air Impacts"/>
      <sheetName val="Env - Water Impacts"/>
      <sheetName val="Env - Regulatory Flexibility"/>
      <sheetName val="Survey 09-12"/>
    </sheetNames>
    <sheetDataSet>
      <sheetData sheetId="0" refreshError="1"/>
      <sheetData sheetId="1">
        <row r="2">
          <cell r="H2" t="str">
            <v>1X:AnaDig+CHP,
Prtmt,LandApp</v>
          </cell>
          <cell r="K2" t="str">
            <v>1Y:AnaDig+CHP,
Prtmt,Landfill</v>
          </cell>
          <cell r="N2" t="str">
            <v>2X:AnaDig+CHP,
Codig,LandApp</v>
          </cell>
          <cell r="Q2" t="str">
            <v>2Y:AnaDig+CHP,
Codig,Landfill</v>
          </cell>
          <cell r="T2" t="str">
            <v>3X:Incin,Landfill</v>
          </cell>
          <cell r="W2" t="str">
            <v>4X:Gasif,Landfill</v>
          </cell>
        </row>
      </sheetData>
      <sheetData sheetId="2">
        <row r="30">
          <cell r="B30" t="str">
            <v>1X</v>
          </cell>
        </row>
      </sheetData>
      <sheetData sheetId="3" refreshError="1"/>
      <sheetData sheetId="4" refreshError="1"/>
      <sheetData sheetId="5" refreshError="1"/>
      <sheetData sheetId="6" refreshError="1"/>
      <sheetData sheetId="7">
        <row r="11">
          <cell r="I11">
            <v>2013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mailto:PatilAA@bv.com" TargetMode="External"/><Relationship Id="rId7" Type="http://schemas.openxmlformats.org/officeDocument/2006/relationships/hyperlink" Target="mailto:KasarabadaAN@bv.com" TargetMode="External"/><Relationship Id="rId2" Type="http://schemas.openxmlformats.org/officeDocument/2006/relationships/hyperlink" Target="mailto:ElenbaasM@bv.com" TargetMode="External"/><Relationship Id="rId1" Type="http://schemas.openxmlformats.org/officeDocument/2006/relationships/hyperlink" Target="mailto:ScanlanP@bv.com" TargetMode="External"/><Relationship Id="rId6" Type="http://schemas.openxmlformats.org/officeDocument/2006/relationships/hyperlink" Target="mailto:slb@u.washington.edu" TargetMode="External"/><Relationship Id="rId5" Type="http://schemas.openxmlformats.org/officeDocument/2006/relationships/hyperlink" Target="mailto:andrew@northerntilth.com" TargetMode="External"/><Relationship Id="rId4" Type="http://schemas.openxmlformats.org/officeDocument/2006/relationships/hyperlink" Target="mailto:ned.beecher@nebiosolids.org"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4" enableFormatConditionsCalculation="0"/>
  <dimension ref="B7:G116"/>
  <sheetViews>
    <sheetView showGridLines="0" view="pageBreakPreview" topLeftCell="A73" zoomScaleNormal="100" zoomScaleSheetLayoutView="100" workbookViewId="0">
      <selection activeCell="K94" sqref="K94"/>
    </sheetView>
  </sheetViews>
  <sheetFormatPr defaultColWidth="9.140625" defaultRowHeight="12.75"/>
  <cols>
    <col min="1" max="1" width="2.140625" style="66" customWidth="1"/>
    <col min="2" max="2" width="9.140625" style="66"/>
    <col min="3" max="3" width="6.42578125" style="66" customWidth="1"/>
    <col min="4" max="5" width="6.28515625" style="66" customWidth="1"/>
    <col min="6" max="6" width="43.85546875" style="66" customWidth="1"/>
    <col min="7" max="7" width="32.7109375" style="66" bestFit="1" customWidth="1"/>
    <col min="8" max="8" width="2.42578125" style="66" customWidth="1"/>
    <col min="9" max="16384" width="9.140625" style="66"/>
  </cols>
  <sheetData>
    <row r="7" spans="2:7" ht="15.75">
      <c r="F7" s="718"/>
    </row>
    <row r="8" spans="2:7" ht="26.25">
      <c r="B8" s="995" t="s">
        <v>774</v>
      </c>
      <c r="C8" s="995"/>
      <c r="D8" s="995"/>
      <c r="E8" s="995"/>
      <c r="F8" s="995"/>
      <c r="G8" s="995"/>
    </row>
    <row r="9" spans="2:7" ht="24.75" customHeight="1">
      <c r="B9" s="998" t="s">
        <v>773</v>
      </c>
      <c r="C9" s="998"/>
      <c r="D9" s="998"/>
      <c r="E9" s="998"/>
      <c r="F9" s="998"/>
      <c r="G9" s="998"/>
    </row>
    <row r="10" spans="2:7" ht="19.5" customHeight="1">
      <c r="B10" s="998" t="s">
        <v>772</v>
      </c>
      <c r="C10" s="998"/>
      <c r="D10" s="998"/>
      <c r="E10" s="998"/>
      <c r="F10" s="998"/>
      <c r="G10" s="998"/>
    </row>
    <row r="11" spans="2:7" ht="14.25">
      <c r="F11" s="854"/>
    </row>
    <row r="12" spans="2:7" ht="15">
      <c r="B12" s="996" t="s">
        <v>729</v>
      </c>
      <c r="C12" s="996"/>
      <c r="D12" s="996"/>
      <c r="E12" s="996"/>
      <c r="F12" s="996"/>
      <c r="G12" s="996"/>
    </row>
    <row r="13" spans="2:7" ht="14.25">
      <c r="F13" s="853"/>
    </row>
    <row r="14" spans="2:7">
      <c r="B14" s="997" t="s">
        <v>726</v>
      </c>
      <c r="C14" s="997"/>
      <c r="D14" s="997"/>
      <c r="E14" s="997"/>
      <c r="F14" s="997"/>
      <c r="G14" s="997"/>
    </row>
    <row r="16" spans="2:7">
      <c r="B16" s="721" t="s">
        <v>727</v>
      </c>
      <c r="C16" s="719" t="s">
        <v>728</v>
      </c>
      <c r="D16" s="719"/>
      <c r="E16" s="719"/>
      <c r="G16" s="719" t="s">
        <v>737</v>
      </c>
    </row>
    <row r="17" spans="2:7" ht="15">
      <c r="B17" s="722">
        <v>1</v>
      </c>
      <c r="C17" s="66" t="s">
        <v>734</v>
      </c>
      <c r="G17" s="720"/>
    </row>
    <row r="18" spans="2:7" ht="15">
      <c r="B18" s="722">
        <v>1.1000000000000001</v>
      </c>
      <c r="E18" s="66" t="s">
        <v>738</v>
      </c>
      <c r="G18" s="720" t="s">
        <v>731</v>
      </c>
    </row>
    <row r="19" spans="2:7" ht="15">
      <c r="B19" s="722">
        <v>1.2</v>
      </c>
      <c r="E19" s="66" t="s">
        <v>732</v>
      </c>
      <c r="G19" s="720" t="s">
        <v>730</v>
      </c>
    </row>
    <row r="20" spans="2:7" ht="15">
      <c r="B20" s="722">
        <v>1.3</v>
      </c>
      <c r="E20" s="66" t="s">
        <v>733</v>
      </c>
      <c r="G20" s="720" t="s">
        <v>733</v>
      </c>
    </row>
    <row r="21" spans="2:7" ht="15">
      <c r="B21" s="722">
        <v>2</v>
      </c>
      <c r="C21" s="66" t="s">
        <v>823</v>
      </c>
      <c r="G21" s="720"/>
    </row>
    <row r="22" spans="2:7">
      <c r="B22" s="722">
        <v>2.1</v>
      </c>
      <c r="E22" s="66" t="s">
        <v>751</v>
      </c>
    </row>
    <row r="23" spans="2:7" ht="15">
      <c r="B23" s="722" t="s">
        <v>752</v>
      </c>
      <c r="F23" s="66" t="s">
        <v>736</v>
      </c>
      <c r="G23" s="720" t="s">
        <v>735</v>
      </c>
    </row>
    <row r="24" spans="2:7" ht="15">
      <c r="B24" s="722" t="s">
        <v>753</v>
      </c>
      <c r="F24" s="66" t="s">
        <v>739</v>
      </c>
      <c r="G24" s="720" t="s">
        <v>740</v>
      </c>
    </row>
    <row r="25" spans="2:7">
      <c r="B25" s="722">
        <v>2.2000000000000002</v>
      </c>
      <c r="E25" s="66" t="s">
        <v>754</v>
      </c>
    </row>
    <row r="26" spans="2:7" ht="15">
      <c r="B26" s="722" t="s">
        <v>755</v>
      </c>
      <c r="F26" s="66" t="s">
        <v>690</v>
      </c>
      <c r="G26" s="720" t="s">
        <v>741</v>
      </c>
    </row>
    <row r="27" spans="2:7" ht="15">
      <c r="B27" s="722" t="s">
        <v>756</v>
      </c>
      <c r="F27" s="66" t="s">
        <v>691</v>
      </c>
      <c r="G27" s="720" t="s">
        <v>742</v>
      </c>
    </row>
    <row r="28" spans="2:7" ht="15">
      <c r="B28" s="722" t="s">
        <v>757</v>
      </c>
      <c r="F28" s="66" t="s">
        <v>339</v>
      </c>
      <c r="G28" s="720" t="s">
        <v>743</v>
      </c>
    </row>
    <row r="29" spans="2:7" ht="15">
      <c r="B29" s="722" t="s">
        <v>759</v>
      </c>
      <c r="F29" s="66" t="s">
        <v>758</v>
      </c>
      <c r="G29" s="720" t="s">
        <v>744</v>
      </c>
    </row>
    <row r="30" spans="2:7" ht="15">
      <c r="B30" s="722" t="s">
        <v>760</v>
      </c>
      <c r="F30" s="66" t="s">
        <v>568</v>
      </c>
      <c r="G30" s="720" t="s">
        <v>745</v>
      </c>
    </row>
    <row r="31" spans="2:7" ht="15">
      <c r="B31" s="722" t="s">
        <v>761</v>
      </c>
      <c r="F31" s="66" t="s">
        <v>368</v>
      </c>
      <c r="G31" s="720" t="s">
        <v>746</v>
      </c>
    </row>
    <row r="32" spans="2:7" ht="15">
      <c r="B32" s="722" t="s">
        <v>762</v>
      </c>
      <c r="F32" s="66" t="s">
        <v>699</v>
      </c>
      <c r="G32" s="720" t="s">
        <v>747</v>
      </c>
    </row>
    <row r="33" spans="2:7">
      <c r="B33" s="722">
        <v>2.2999999999999998</v>
      </c>
      <c r="E33" s="66" t="s">
        <v>763</v>
      </c>
    </row>
    <row r="34" spans="2:7" ht="15">
      <c r="B34" s="722" t="s">
        <v>764</v>
      </c>
      <c r="F34" s="66" t="s">
        <v>55</v>
      </c>
      <c r="G34" s="720" t="s">
        <v>748</v>
      </c>
    </row>
    <row r="35" spans="2:7" ht="15">
      <c r="B35" s="722" t="s">
        <v>765</v>
      </c>
      <c r="F35" s="66" t="s">
        <v>807</v>
      </c>
      <c r="G35" s="720" t="s">
        <v>749</v>
      </c>
    </row>
    <row r="36" spans="2:7" ht="15">
      <c r="B36" s="722" t="s">
        <v>766</v>
      </c>
      <c r="F36" s="66" t="s">
        <v>809</v>
      </c>
      <c r="G36" s="720" t="s">
        <v>750</v>
      </c>
    </row>
    <row r="37" spans="2:7" ht="15">
      <c r="B37" s="722">
        <v>3</v>
      </c>
      <c r="C37" s="66" t="s">
        <v>776</v>
      </c>
      <c r="G37" s="720"/>
    </row>
    <row r="38" spans="2:7" ht="15">
      <c r="B38" s="722">
        <v>3.1</v>
      </c>
      <c r="E38" s="66" t="s">
        <v>767</v>
      </c>
      <c r="G38" s="720" t="s">
        <v>767</v>
      </c>
    </row>
    <row r="39" spans="2:7" ht="15">
      <c r="B39" s="722">
        <v>3.2</v>
      </c>
      <c r="E39" s="66" t="s">
        <v>777</v>
      </c>
      <c r="G39" s="720"/>
    </row>
    <row r="40" spans="2:7" ht="15">
      <c r="B40" s="722" t="s">
        <v>778</v>
      </c>
      <c r="F40" s="66" t="s">
        <v>712</v>
      </c>
      <c r="G40" s="720" t="s">
        <v>296</v>
      </c>
    </row>
    <row r="41" spans="2:7" ht="15">
      <c r="B41" s="722" t="s">
        <v>779</v>
      </c>
      <c r="F41" s="66" t="s">
        <v>713</v>
      </c>
      <c r="G41" s="720" t="s">
        <v>299</v>
      </c>
    </row>
    <row r="42" spans="2:7" ht="15">
      <c r="B42" s="722" t="s">
        <v>780</v>
      </c>
      <c r="F42" s="66" t="s">
        <v>714</v>
      </c>
      <c r="G42" s="720" t="s">
        <v>300</v>
      </c>
    </row>
    <row r="43" spans="2:7" ht="15">
      <c r="B43" s="722" t="s">
        <v>781</v>
      </c>
      <c r="F43" s="66" t="s">
        <v>775</v>
      </c>
      <c r="G43" s="720" t="s">
        <v>301</v>
      </c>
    </row>
    <row r="44" spans="2:7" ht="15">
      <c r="B44" s="722" t="s">
        <v>782</v>
      </c>
      <c r="F44" s="66" t="s">
        <v>715</v>
      </c>
      <c r="G44" s="720" t="s">
        <v>619</v>
      </c>
    </row>
    <row r="45" spans="2:7" ht="15">
      <c r="B45" s="722" t="s">
        <v>783</v>
      </c>
      <c r="F45" s="66" t="s">
        <v>716</v>
      </c>
      <c r="G45" s="720" t="s">
        <v>620</v>
      </c>
    </row>
    <row r="46" spans="2:7" ht="15">
      <c r="B46" s="722" t="s">
        <v>784</v>
      </c>
      <c r="F46" s="66" t="s">
        <v>528</v>
      </c>
      <c r="G46" s="720" t="s">
        <v>528</v>
      </c>
    </row>
    <row r="47" spans="2:7" ht="15">
      <c r="B47" s="722">
        <v>3.3</v>
      </c>
      <c r="E47" s="66" t="s">
        <v>489</v>
      </c>
      <c r="G47" s="720" t="s">
        <v>489</v>
      </c>
    </row>
    <row r="48" spans="2:7" ht="15">
      <c r="B48" s="722">
        <v>3.4</v>
      </c>
      <c r="E48" s="66" t="s">
        <v>768</v>
      </c>
      <c r="G48" s="720" t="s">
        <v>768</v>
      </c>
    </row>
    <row r="54" spans="2:7">
      <c r="B54" s="997" t="s">
        <v>785</v>
      </c>
      <c r="C54" s="997"/>
      <c r="D54" s="997"/>
      <c r="E54" s="997"/>
      <c r="F54" s="997"/>
      <c r="G54" s="997"/>
    </row>
    <row r="55" spans="2:7">
      <c r="B55" s="891"/>
      <c r="C55" s="891"/>
      <c r="D55" s="891"/>
      <c r="E55" s="891"/>
      <c r="F55" s="891"/>
      <c r="G55" s="891"/>
    </row>
    <row r="56" spans="2:7" s="719" customFormat="1">
      <c r="B56" s="719" t="s">
        <v>786</v>
      </c>
      <c r="F56" s="719" t="s">
        <v>787</v>
      </c>
      <c r="G56" s="719" t="s">
        <v>788</v>
      </c>
    </row>
    <row r="58" spans="2:7" ht="15">
      <c r="B58" s="999" t="s">
        <v>792</v>
      </c>
      <c r="C58" s="999"/>
      <c r="D58" s="999"/>
      <c r="F58" s="66" t="s">
        <v>793</v>
      </c>
      <c r="G58" s="720" t="s">
        <v>801</v>
      </c>
    </row>
    <row r="60" spans="2:7" ht="15">
      <c r="B60" s="999" t="s">
        <v>796</v>
      </c>
      <c r="C60" s="999"/>
      <c r="D60" s="999"/>
      <c r="F60" s="66" t="s">
        <v>800</v>
      </c>
      <c r="G60" s="720" t="s">
        <v>799</v>
      </c>
    </row>
    <row r="61" spans="2:7" ht="15">
      <c r="G61" s="720"/>
    </row>
    <row r="62" spans="2:7" ht="15">
      <c r="B62" s="999" t="s">
        <v>804</v>
      </c>
      <c r="C62" s="999"/>
      <c r="D62" s="999"/>
      <c r="F62" s="66" t="s">
        <v>802</v>
      </c>
      <c r="G62" s="720" t="s">
        <v>803</v>
      </c>
    </row>
    <row r="64" spans="2:7" ht="15">
      <c r="B64" s="999" t="s">
        <v>789</v>
      </c>
      <c r="C64" s="999"/>
      <c r="D64" s="999"/>
      <c r="F64" s="66" t="s">
        <v>790</v>
      </c>
      <c r="G64" s="720" t="s">
        <v>797</v>
      </c>
    </row>
    <row r="65" spans="2:7" ht="15">
      <c r="F65" s="66" t="s">
        <v>791</v>
      </c>
      <c r="G65" s="720" t="s">
        <v>798</v>
      </c>
    </row>
    <row r="66" spans="2:7" ht="15">
      <c r="F66" s="66" t="s">
        <v>794</v>
      </c>
      <c r="G66" s="720" t="s">
        <v>795</v>
      </c>
    </row>
    <row r="67" spans="2:7" ht="15">
      <c r="F67" s="66" t="s">
        <v>806</v>
      </c>
      <c r="G67" s="720" t="s">
        <v>805</v>
      </c>
    </row>
    <row r="72" spans="2:7">
      <c r="B72" s="997" t="s">
        <v>822</v>
      </c>
      <c r="C72" s="997"/>
      <c r="D72" s="997"/>
      <c r="E72" s="997"/>
      <c r="F72" s="997"/>
      <c r="G72" s="997"/>
    </row>
    <row r="73" spans="2:7">
      <c r="B73" s="891"/>
      <c r="C73" s="891"/>
      <c r="D73" s="891"/>
      <c r="E73" s="891"/>
      <c r="F73" s="891"/>
      <c r="G73" s="891"/>
    </row>
    <row r="74" spans="2:7">
      <c r="B74" s="722">
        <v>1</v>
      </c>
      <c r="C74" s="66" t="s">
        <v>833</v>
      </c>
    </row>
    <row r="75" spans="2:7">
      <c r="B75" s="722"/>
      <c r="C75" s="897"/>
      <c r="F75" s="66" t="s">
        <v>734</v>
      </c>
    </row>
    <row r="76" spans="2:7">
      <c r="B76" s="722"/>
      <c r="C76" s="898"/>
      <c r="F76" s="66" t="s">
        <v>823</v>
      </c>
    </row>
    <row r="77" spans="2:7">
      <c r="B77" s="722"/>
      <c r="C77" s="899"/>
      <c r="F77" s="66" t="s">
        <v>776</v>
      </c>
    </row>
    <row r="78" spans="2:7">
      <c r="B78" s="722"/>
    </row>
    <row r="79" spans="2:7">
      <c r="B79" s="722">
        <v>2</v>
      </c>
      <c r="C79" s="66" t="s">
        <v>834</v>
      </c>
    </row>
    <row r="80" spans="2:7" ht="15">
      <c r="B80" s="722"/>
      <c r="C80" s="858">
        <v>4</v>
      </c>
    </row>
    <row r="81" spans="2:7">
      <c r="B81" s="722"/>
    </row>
    <row r="82" spans="2:7">
      <c r="B82" s="722">
        <v>3</v>
      </c>
      <c r="C82" s="66" t="s">
        <v>837</v>
      </c>
    </row>
    <row r="83" spans="2:7">
      <c r="B83" s="722"/>
      <c r="C83" s="66" t="s">
        <v>840</v>
      </c>
    </row>
    <row r="84" spans="2:7">
      <c r="B84" s="722"/>
      <c r="C84" s="66" t="s">
        <v>841</v>
      </c>
    </row>
    <row r="85" spans="2:7">
      <c r="B85" s="722"/>
    </row>
    <row r="86" spans="2:7">
      <c r="B86" s="722"/>
      <c r="C86" s="721" t="s">
        <v>727</v>
      </c>
      <c r="F86" s="719" t="s">
        <v>835</v>
      </c>
    </row>
    <row r="87" spans="2:7">
      <c r="B87" s="722"/>
      <c r="C87" s="722">
        <v>1</v>
      </c>
      <c r="F87" s="900" t="s">
        <v>712</v>
      </c>
      <c r="G87" s="967"/>
    </row>
    <row r="88" spans="2:7">
      <c r="B88" s="722"/>
      <c r="C88" s="722">
        <v>2</v>
      </c>
      <c r="F88" s="900" t="s">
        <v>713</v>
      </c>
      <c r="G88" s="967"/>
    </row>
    <row r="89" spans="2:7">
      <c r="B89" s="722"/>
      <c r="C89" s="722">
        <v>3</v>
      </c>
      <c r="F89" s="900" t="s">
        <v>714</v>
      </c>
      <c r="G89" s="967"/>
    </row>
    <row r="90" spans="2:7">
      <c r="B90" s="722"/>
      <c r="C90" s="722">
        <v>4</v>
      </c>
      <c r="F90" s="900" t="s">
        <v>775</v>
      </c>
      <c r="G90" s="967"/>
    </row>
    <row r="91" spans="2:7">
      <c r="B91" s="722"/>
      <c r="C91" s="722">
        <v>5</v>
      </c>
      <c r="F91" s="900" t="s">
        <v>715</v>
      </c>
      <c r="G91" s="967"/>
    </row>
    <row r="92" spans="2:7">
      <c r="B92" s="722"/>
      <c r="C92" s="722">
        <v>6</v>
      </c>
      <c r="F92" s="900" t="s">
        <v>716</v>
      </c>
      <c r="G92" s="967"/>
    </row>
    <row r="93" spans="2:7">
      <c r="B93" s="722"/>
      <c r="C93" s="722">
        <v>7</v>
      </c>
      <c r="D93" s="926" t="s">
        <v>507</v>
      </c>
      <c r="F93" s="900" t="s">
        <v>836</v>
      </c>
      <c r="G93" s="967"/>
    </row>
    <row r="94" spans="2:7">
      <c r="B94" s="722"/>
    </row>
    <row r="95" spans="2:7">
      <c r="B95" s="722">
        <v>4</v>
      </c>
      <c r="C95" s="66" t="s">
        <v>857</v>
      </c>
    </row>
    <row r="97" spans="2:4">
      <c r="B97" s="722">
        <v>5</v>
      </c>
      <c r="C97" s="66" t="s">
        <v>838</v>
      </c>
    </row>
    <row r="98" spans="2:4">
      <c r="B98" s="722"/>
      <c r="C98" s="66" t="s">
        <v>839</v>
      </c>
    </row>
    <row r="99" spans="2:4">
      <c r="B99" s="722"/>
      <c r="C99" s="66" t="s">
        <v>842</v>
      </c>
    </row>
    <row r="100" spans="2:4">
      <c r="B100" s="722"/>
    </row>
    <row r="101" spans="2:4">
      <c r="B101" s="722">
        <v>6</v>
      </c>
      <c r="C101" s="66" t="s">
        <v>843</v>
      </c>
    </row>
    <row r="102" spans="2:4">
      <c r="B102" s="722"/>
      <c r="C102" s="66" t="s">
        <v>844</v>
      </c>
    </row>
    <row r="103" spans="2:4">
      <c r="B103" s="722"/>
      <c r="C103" s="66" t="s">
        <v>845</v>
      </c>
    </row>
    <row r="104" spans="2:4">
      <c r="B104" s="722"/>
    </row>
    <row r="105" spans="2:4">
      <c r="B105" s="722">
        <v>7</v>
      </c>
      <c r="C105" s="66" t="s">
        <v>848</v>
      </c>
    </row>
    <row r="106" spans="2:4">
      <c r="B106" s="722"/>
      <c r="C106" s="66" t="s">
        <v>849</v>
      </c>
    </row>
    <row r="107" spans="2:4">
      <c r="B107" s="722"/>
    </row>
    <row r="108" spans="2:4">
      <c r="B108" s="722">
        <v>8</v>
      </c>
      <c r="C108" s="66" t="s">
        <v>854</v>
      </c>
    </row>
    <row r="109" spans="2:4">
      <c r="B109" s="722"/>
      <c r="C109" s="66" t="s">
        <v>850</v>
      </c>
    </row>
    <row r="110" spans="2:4">
      <c r="D110" s="966" t="s">
        <v>852</v>
      </c>
    </row>
    <row r="111" spans="2:4">
      <c r="D111" s="966" t="s">
        <v>851</v>
      </c>
    </row>
    <row r="112" spans="2:4">
      <c r="D112" s="966" t="s">
        <v>853</v>
      </c>
    </row>
    <row r="113" spans="2:4">
      <c r="D113" s="966" t="s">
        <v>855</v>
      </c>
    </row>
    <row r="114" spans="2:4">
      <c r="C114" s="66" t="s">
        <v>856</v>
      </c>
    </row>
    <row r="116" spans="2:4">
      <c r="B116" s="722">
        <v>9</v>
      </c>
      <c r="C116" s="66" t="s">
        <v>858</v>
      </c>
    </row>
  </sheetData>
  <mergeCells count="11">
    <mergeCell ref="B8:G8"/>
    <mergeCell ref="B12:G12"/>
    <mergeCell ref="B72:G72"/>
    <mergeCell ref="B54:G54"/>
    <mergeCell ref="B14:G14"/>
    <mergeCell ref="B10:G10"/>
    <mergeCell ref="B9:G9"/>
    <mergeCell ref="B58:D58"/>
    <mergeCell ref="B60:D60"/>
    <mergeCell ref="B62:D62"/>
    <mergeCell ref="B64:D64"/>
  </mergeCells>
  <dataValidations count="1">
    <dataValidation type="list" allowBlank="1" showInputMessage="1" showErrorMessage="1" sqref="D93">
      <formula1>OnOff</formula1>
    </dataValidation>
  </dataValidations>
  <hyperlinks>
    <hyperlink ref="G19" location="'TBL ORG Chart'!A1" display="TBL ORG Chart"/>
    <hyperlink ref="G18" location="Home!A1" display="Home"/>
    <hyperlink ref="G20" location="'TBL Scoring Summary'!A1" display="TBL Scoring Summary"/>
    <hyperlink ref="G23" location="'Econ - NPV Results Summary'!A1" display="Econ - NPV Results Summary"/>
    <hyperlink ref="G24" location="'Econ - Engineering Criteria'!A1" display="Econ - Engineering Criteria"/>
    <hyperlink ref="G26" location="'Env - RC - Nutrients'!A1" display="Env - RC - Nutrients"/>
    <hyperlink ref="G27" location="'Env - RC - Fixed Carbon'!A1" display="Env - RC - Fixed Carbon"/>
    <hyperlink ref="G28" location="'Env - RC - Water Conservation'!A1" display="Env - RC - Water Conservation"/>
    <hyperlink ref="G29" location="'Env - Land Impacts'!A1" display="Env - Land Impacts"/>
    <hyperlink ref="G30" location="'Env - Air Impacts'!A1" display="Env - Air Impacts"/>
    <hyperlink ref="G31" location="'Env - Water Impacts'!A1" display="Env - Water Impacts"/>
    <hyperlink ref="G32" location="'Env - Regulatory Flexibility'!A1" display="Env - Regulatory Flexibility"/>
    <hyperlink ref="G34" location="'Soc - Nuisance'!A1" display="Soc - Nuisance"/>
    <hyperlink ref="G35" location="'Soc - Public'!A1" display="Soc - Workplace"/>
    <hyperlink ref="G36" location="'Soc - Public'!A1" display="Soc - Public"/>
    <hyperlink ref="G38" location="Assumptions!A1" display="Assumptions"/>
    <hyperlink ref="G40" location="'1X'!A1" display="1X"/>
    <hyperlink ref="G41" location="'1Y'!A1" display="1Y"/>
    <hyperlink ref="G42" location="'2X'!A1" display="2X"/>
    <hyperlink ref="G43" location="'2Y'!A1" display="2Y"/>
    <hyperlink ref="G44" location="'3Y'!A1" display="3Y"/>
    <hyperlink ref="G45" location="'4Y'!A1" display="4Y"/>
    <hyperlink ref="G46" location="Custom!A1" display="Custom"/>
    <hyperlink ref="G47" location="'Capital Cost Summary'!A1" display="Capital Cost Summary"/>
    <hyperlink ref="G48" location="'O&amp;M Cost Summary'!A1" display="O&amp;M Cost Summary"/>
    <hyperlink ref="G66" r:id="rId1"/>
    <hyperlink ref="G64" r:id="rId2"/>
    <hyperlink ref="G65" r:id="rId3"/>
    <hyperlink ref="G60" r:id="rId4"/>
    <hyperlink ref="G58" r:id="rId5"/>
    <hyperlink ref="G62" r:id="rId6"/>
    <hyperlink ref="G67" r:id="rId7"/>
  </hyperlinks>
  <pageMargins left="0.75" right="0.75" top="1" bottom="1" header="0.5" footer="0.5"/>
  <pageSetup scale="82" orientation="portrait" r:id="rId8"/>
  <headerFooter alignWithMargins="0"/>
  <rowBreaks count="2" manualBreakCount="2">
    <brk id="52" max="7" man="1"/>
    <brk id="70" max="16383" man="1"/>
  </rowBreaks>
  <drawing r:id="rId9"/>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sheetPr codeName="Sheet11" enableFormatConditionsCalculation="0">
    <tabColor rgb="FFFFFF00"/>
    <pageSetUpPr fitToPage="1"/>
  </sheetPr>
  <dimension ref="A1:T95"/>
  <sheetViews>
    <sheetView view="pageBreakPreview" zoomScale="85" zoomScaleNormal="100" zoomScaleSheetLayoutView="85" zoomScalePageLayoutView="80" workbookViewId="0">
      <selection activeCell="C13" sqref="C13:H13"/>
    </sheetView>
  </sheetViews>
  <sheetFormatPr defaultColWidth="9.140625" defaultRowHeight="15"/>
  <cols>
    <col min="1" max="1" width="11.85546875" style="437" customWidth="1"/>
    <col min="2" max="2" width="35.42578125" style="437" customWidth="1"/>
    <col min="3" max="8" width="16.7109375" style="437" customWidth="1"/>
    <col min="9" max="9" width="16.7109375" style="896" customWidth="1"/>
    <col min="10" max="16384" width="9.140625" style="437"/>
  </cols>
  <sheetData>
    <row r="1" spans="1:15" ht="18.75">
      <c r="B1" s="1013" t="s">
        <v>568</v>
      </c>
      <c r="C1" s="1013"/>
      <c r="D1" s="1013"/>
      <c r="E1" s="1013"/>
      <c r="F1" s="1013"/>
      <c r="G1" s="1013"/>
      <c r="H1" s="1013"/>
      <c r="I1" s="892"/>
    </row>
    <row r="2" spans="1:15" ht="30">
      <c r="A2" s="500" t="s">
        <v>555</v>
      </c>
      <c r="B2" s="269"/>
      <c r="C2" s="574" t="str">
        <f>scenario_1</f>
        <v>1X: AnaDig + CHP, Prtmt, LandApp</v>
      </c>
      <c r="D2" s="270" t="str">
        <f>scenario_2</f>
        <v>1Y: AnaDig + CHP, Prtmt, Landfill</v>
      </c>
      <c r="E2" s="565" t="str">
        <f>scenario_3</f>
        <v>2X: AnaDig + CHP, Codig, LandApp</v>
      </c>
      <c r="F2" s="558" t="str">
        <f>scenario_4</f>
        <v>2Y: AnaDig + CHP, Codig, Landfill</v>
      </c>
      <c r="G2" s="271" t="str">
        <f>scenario_5</f>
        <v>3Y: Incin, Landfill</v>
      </c>
      <c r="H2" s="736" t="str">
        <f>scenario_6</f>
        <v>4Y: Gasif, Landfill</v>
      </c>
      <c r="I2" s="736" t="str">
        <f>scenario_7</f>
        <v>Custom Scenario</v>
      </c>
    </row>
    <row r="3" spans="1:15">
      <c r="B3" s="269"/>
      <c r="C3" s="1023" t="s">
        <v>348</v>
      </c>
      <c r="D3" s="1024"/>
      <c r="E3" s="1024"/>
      <c r="F3" s="1024"/>
      <c r="G3" s="1024"/>
      <c r="H3" s="1024"/>
      <c r="I3" s="1025"/>
      <c r="J3" s="549"/>
    </row>
    <row r="4" spans="1:15">
      <c r="A4" s="544">
        <v>0.7</v>
      </c>
      <c r="B4" s="279" t="s">
        <v>569</v>
      </c>
      <c r="C4" s="830">
        <f t="shared" ref="C4:F6" si="0">+C40</f>
        <v>9.9649719332910891</v>
      </c>
      <c r="D4" s="830">
        <f t="shared" si="0"/>
        <v>9.9649719332910891</v>
      </c>
      <c r="E4" s="830">
        <f t="shared" si="0"/>
        <v>9.8246202159207918</v>
      </c>
      <c r="F4" s="831">
        <f t="shared" si="0"/>
        <v>9.8246202159207918</v>
      </c>
      <c r="G4" s="804">
        <f>+A56</f>
        <v>2.1547554377689524</v>
      </c>
      <c r="H4" s="804">
        <f>+A83</f>
        <v>1.512</v>
      </c>
      <c r="I4" s="804"/>
    </row>
    <row r="5" spans="1:15">
      <c r="A5" s="544">
        <v>0.15</v>
      </c>
      <c r="B5" s="269" t="s">
        <v>570</v>
      </c>
      <c r="C5" s="832">
        <f t="shared" si="0"/>
        <v>6.9178317553425734E-3</v>
      </c>
      <c r="D5" s="832">
        <f t="shared" si="0"/>
        <v>6.9178317553425734E-3</v>
      </c>
      <c r="E5" s="832">
        <f t="shared" si="0"/>
        <v>6.8203975052673269E-3</v>
      </c>
      <c r="F5" s="833">
        <f t="shared" si="0"/>
        <v>6.8203975052673269E-3</v>
      </c>
      <c r="G5" s="834">
        <f>+A62</f>
        <v>0.10000263228535761</v>
      </c>
      <c r="H5" s="834">
        <f t="shared" ref="H5:H6" si="1">+A84</f>
        <v>0</v>
      </c>
      <c r="I5" s="834"/>
    </row>
    <row r="6" spans="1:15">
      <c r="A6" s="544">
        <f>1-(A4+A5)</f>
        <v>0.15000000000000002</v>
      </c>
      <c r="B6" s="269" t="s">
        <v>423</v>
      </c>
      <c r="C6" s="804">
        <f t="shared" si="0"/>
        <v>9.0708304138930685E-4</v>
      </c>
      <c r="D6" s="804">
        <f t="shared" si="0"/>
        <v>9.0708304138930685E-4</v>
      </c>
      <c r="E6" s="804">
        <f t="shared" si="0"/>
        <v>8.9430722390495057E-4</v>
      </c>
      <c r="F6" s="835">
        <f t="shared" si="0"/>
        <v>8.9430722390495057E-4</v>
      </c>
      <c r="G6" s="804">
        <f>+A66</f>
        <v>0.36641678399999994</v>
      </c>
      <c r="H6" s="804">
        <f t="shared" si="1"/>
        <v>0.38556000000000001</v>
      </c>
      <c r="I6" s="804"/>
      <c r="M6" s="546"/>
      <c r="N6" s="546"/>
      <c r="O6" s="546"/>
    </row>
    <row r="7" spans="1:15" s="539" customFormat="1">
      <c r="B7" s="269" t="s">
        <v>653</v>
      </c>
      <c r="C7" s="613">
        <f>+C4/MAX($C4:$I4)</f>
        <v>1</v>
      </c>
      <c r="D7" s="617">
        <f t="shared" ref="D7:I7" si="2">+D4/MAX($C4:$I4)</f>
        <v>1</v>
      </c>
      <c r="E7" s="621">
        <f t="shared" si="2"/>
        <v>0.9859154929577465</v>
      </c>
      <c r="F7" s="784">
        <f t="shared" si="2"/>
        <v>0.9859154929577465</v>
      </c>
      <c r="G7" s="790">
        <f t="shared" si="2"/>
        <v>0.21623296605285172</v>
      </c>
      <c r="H7" s="786">
        <f t="shared" si="2"/>
        <v>0.15173148606156064</v>
      </c>
      <c r="I7" s="786">
        <f t="shared" si="2"/>
        <v>0</v>
      </c>
      <c r="J7" s="545"/>
      <c r="M7" s="547"/>
      <c r="N7" s="547"/>
      <c r="O7" s="547"/>
    </row>
    <row r="8" spans="1:15" s="539" customFormat="1">
      <c r="B8" s="269" t="s">
        <v>654</v>
      </c>
      <c r="C8" s="612">
        <f>5-(5*C$7)</f>
        <v>0</v>
      </c>
      <c r="D8" s="616">
        <f t="shared" ref="D8:H8" si="3">5-(5*D$7)</f>
        <v>0</v>
      </c>
      <c r="E8" s="620">
        <f t="shared" si="3"/>
        <v>7.0422535211267956E-2</v>
      </c>
      <c r="F8" s="782">
        <f t="shared" si="3"/>
        <v>7.0422535211267956E-2</v>
      </c>
      <c r="G8" s="791">
        <f t="shared" si="3"/>
        <v>3.9188351697357415</v>
      </c>
      <c r="H8" s="787">
        <f t="shared" si="3"/>
        <v>4.2413425696921969</v>
      </c>
      <c r="I8" s="787" t="str">
        <f>IF(CustomON="Off","",5-(5*I$7))</f>
        <v/>
      </c>
      <c r="J8" s="545"/>
      <c r="M8" s="546"/>
      <c r="N8" s="546"/>
      <c r="O8" s="546"/>
    </row>
    <row r="9" spans="1:15" s="539" customFormat="1">
      <c r="B9" s="269" t="s">
        <v>655</v>
      </c>
      <c r="C9" s="613">
        <f>+C5/MAX($C5:$I5)</f>
        <v>6.9176496630634021E-2</v>
      </c>
      <c r="D9" s="617">
        <f t="shared" ref="D9:I9" si="4">+D5/MAX($C5:$I5)</f>
        <v>6.9176496630634021E-2</v>
      </c>
      <c r="E9" s="621">
        <f t="shared" si="4"/>
        <v>6.8202179776681443E-2</v>
      </c>
      <c r="F9" s="784">
        <f t="shared" si="4"/>
        <v>6.8202179776681443E-2</v>
      </c>
      <c r="G9" s="790">
        <f t="shared" si="4"/>
        <v>1</v>
      </c>
      <c r="H9" s="786">
        <f t="shared" si="4"/>
        <v>0</v>
      </c>
      <c r="I9" s="786">
        <f t="shared" si="4"/>
        <v>0</v>
      </c>
      <c r="J9" s="545"/>
      <c r="M9" s="546"/>
      <c r="N9" s="546"/>
      <c r="O9" s="546"/>
    </row>
    <row r="10" spans="1:15" s="539" customFormat="1">
      <c r="B10" s="269" t="s">
        <v>656</v>
      </c>
      <c r="C10" s="612">
        <f>5-(5*C$9)</f>
        <v>4.6541175168468296</v>
      </c>
      <c r="D10" s="616">
        <f t="shared" ref="D10:H10" si="5">5-(5*D$9)</f>
        <v>4.6541175168468296</v>
      </c>
      <c r="E10" s="620">
        <f t="shared" si="5"/>
        <v>4.6589891011165925</v>
      </c>
      <c r="F10" s="782">
        <f t="shared" si="5"/>
        <v>4.6589891011165925</v>
      </c>
      <c r="G10" s="791">
        <f t="shared" si="5"/>
        <v>0</v>
      </c>
      <c r="H10" s="787">
        <f t="shared" si="5"/>
        <v>5</v>
      </c>
      <c r="I10" s="787" t="str">
        <f>IF(CustomON="Off","",5-(5*I$9))</f>
        <v/>
      </c>
      <c r="J10" s="545"/>
      <c r="L10" s="702">
        <v>1.4463531491551964</v>
      </c>
      <c r="M10" s="546">
        <v>5</v>
      </c>
      <c r="N10" s="546"/>
      <c r="O10" s="546"/>
    </row>
    <row r="11" spans="1:15" s="539" customFormat="1">
      <c r="B11" s="269" t="s">
        <v>657</v>
      </c>
      <c r="C11" s="613">
        <f>+C6/MAX($C6:$I6)</f>
        <v>2.3526378291039186E-3</v>
      </c>
      <c r="D11" s="617">
        <f t="shared" ref="D11:I11" si="6">+D6/MAX($C6:$I6)</f>
        <v>2.3526378291039186E-3</v>
      </c>
      <c r="E11" s="621">
        <f t="shared" si="6"/>
        <v>2.3195020850320328E-3</v>
      </c>
      <c r="F11" s="784">
        <f t="shared" si="6"/>
        <v>2.3195020850320328E-3</v>
      </c>
      <c r="G11" s="790">
        <f t="shared" si="6"/>
        <v>0.95034957983193258</v>
      </c>
      <c r="H11" s="786">
        <f t="shared" si="6"/>
        <v>1</v>
      </c>
      <c r="I11" s="786">
        <f t="shared" si="6"/>
        <v>0</v>
      </c>
      <c r="J11" s="545"/>
      <c r="L11" s="702">
        <v>1.4463531491551964</v>
      </c>
      <c r="M11" s="546">
        <v>5</v>
      </c>
      <c r="N11" s="546"/>
      <c r="O11" s="546"/>
    </row>
    <row r="12" spans="1:15" s="539" customFormat="1">
      <c r="B12" s="269" t="s">
        <v>658</v>
      </c>
      <c r="C12" s="612">
        <f>5-(5*C$11)</f>
        <v>4.9882368108544801</v>
      </c>
      <c r="D12" s="616">
        <f t="shared" ref="D12:H12" si="7">5-(5*D$11)</f>
        <v>4.9882368108544801</v>
      </c>
      <c r="E12" s="620">
        <f t="shared" si="7"/>
        <v>4.98840248957484</v>
      </c>
      <c r="F12" s="782">
        <f t="shared" si="7"/>
        <v>4.98840248957484</v>
      </c>
      <c r="G12" s="791">
        <f t="shared" si="7"/>
        <v>0.24825210084033689</v>
      </c>
      <c r="H12" s="787">
        <f t="shared" si="7"/>
        <v>0</v>
      </c>
      <c r="I12" s="787" t="str">
        <f>IF(CustomON="Off","",5-(5*I$11))</f>
        <v/>
      </c>
      <c r="J12" s="545"/>
      <c r="L12" s="702">
        <v>1.4964045132516026</v>
      </c>
      <c r="M12" s="546">
        <v>3</v>
      </c>
      <c r="N12" s="546"/>
      <c r="O12" s="546"/>
    </row>
    <row r="13" spans="1:15">
      <c r="B13" s="269" t="s">
        <v>659</v>
      </c>
      <c r="C13" s="986">
        <f t="shared" ref="C13" si="8">+C8*$A$4+C10*$A$5+C12*$A$6</f>
        <v>1.4463531491551964</v>
      </c>
      <c r="D13" s="987">
        <f t="shared" ref="D13:H13" si="9">+D8*$A$4+D10*$A$5+D12*$A$6</f>
        <v>1.4463531491551964</v>
      </c>
      <c r="E13" s="988">
        <f t="shared" si="9"/>
        <v>1.4964045132516026</v>
      </c>
      <c r="F13" s="989">
        <f t="shared" si="9"/>
        <v>1.4964045132516026</v>
      </c>
      <c r="G13" s="990">
        <f t="shared" si="9"/>
        <v>2.7804224339410695</v>
      </c>
      <c r="H13" s="991">
        <f t="shared" si="9"/>
        <v>3.7189397987845378</v>
      </c>
      <c r="I13" s="788" t="str">
        <f>IF(CustomON="Off","",I8*$A$4+I10*$A$5+I12*$A$6)</f>
        <v/>
      </c>
      <c r="L13" s="702">
        <v>1.4964045132516026</v>
      </c>
      <c r="M13" s="437">
        <v>3</v>
      </c>
    </row>
    <row r="14" spans="1:15">
      <c r="B14" s="68"/>
      <c r="C14" s="513">
        <f>RANK(C13,$C$13:$I$13,0)</f>
        <v>5</v>
      </c>
      <c r="D14" s="513">
        <f t="shared" ref="D14:H14" si="10">RANK(D13,$C$13:$I$13,0)</f>
        <v>5</v>
      </c>
      <c r="E14" s="513">
        <f t="shared" si="10"/>
        <v>3</v>
      </c>
      <c r="F14" s="513">
        <f t="shared" si="10"/>
        <v>3</v>
      </c>
      <c r="G14" s="513">
        <f t="shared" si="10"/>
        <v>2</v>
      </c>
      <c r="H14" s="513">
        <f t="shared" si="10"/>
        <v>1</v>
      </c>
      <c r="I14" s="513"/>
      <c r="L14" s="702">
        <v>2.7804224339410695</v>
      </c>
      <c r="M14" s="437">
        <v>2</v>
      </c>
    </row>
    <row r="15" spans="1:15" ht="30" customHeight="1">
      <c r="B15" s="844" t="s">
        <v>539</v>
      </c>
      <c r="C15" s="1039" t="s">
        <v>571</v>
      </c>
      <c r="D15" s="1039"/>
      <c r="E15" s="1039"/>
      <c r="F15" s="1039"/>
      <c r="G15" s="1039"/>
      <c r="H15" s="1039"/>
      <c r="I15" s="895"/>
      <c r="L15" s="702">
        <v>3.7189397987845378</v>
      </c>
      <c r="M15" s="437">
        <v>1</v>
      </c>
    </row>
    <row r="16" spans="1:15" ht="53.25" customHeight="1">
      <c r="B16" s="845" t="s">
        <v>541</v>
      </c>
      <c r="C16" s="1039" t="s">
        <v>660</v>
      </c>
      <c r="D16" s="1039"/>
      <c r="E16" s="1039"/>
      <c r="F16" s="1039"/>
      <c r="G16" s="1039"/>
      <c r="H16" s="1039"/>
      <c r="I16" s="895"/>
    </row>
    <row r="17" spans="1:12">
      <c r="B17" s="447" t="s">
        <v>543</v>
      </c>
      <c r="C17" s="514" t="s">
        <v>544</v>
      </c>
      <c r="D17" s="513"/>
      <c r="E17" s="513"/>
      <c r="F17" s="513"/>
      <c r="G17" s="513"/>
      <c r="H17" s="513"/>
      <c r="I17" s="513"/>
    </row>
    <row r="18" spans="1:12">
      <c r="B18" s="447" t="s">
        <v>545</v>
      </c>
      <c r="C18" s="515">
        <v>5</v>
      </c>
      <c r="D18" s="513"/>
      <c r="E18" s="513"/>
      <c r="F18" s="513"/>
      <c r="G18" s="513"/>
      <c r="H18" s="513"/>
      <c r="I18" s="513"/>
    </row>
    <row r="19" spans="1:12">
      <c r="B19" s="447" t="s">
        <v>546</v>
      </c>
      <c r="C19" s="514" t="s">
        <v>572</v>
      </c>
      <c r="D19" s="513"/>
      <c r="E19" s="513"/>
      <c r="F19" s="513"/>
      <c r="G19" s="513"/>
      <c r="H19" s="513"/>
      <c r="I19" s="513"/>
    </row>
    <row r="20" spans="1:12">
      <c r="B20" s="447" t="s">
        <v>548</v>
      </c>
      <c r="C20" s="515">
        <v>0</v>
      </c>
      <c r="D20" s="513"/>
      <c r="E20" s="513"/>
      <c r="F20" s="513"/>
      <c r="G20" s="513"/>
      <c r="H20" s="513"/>
      <c r="I20" s="513"/>
    </row>
    <row r="21" spans="1:12">
      <c r="B21" s="447" t="s">
        <v>549</v>
      </c>
      <c r="C21" s="514" t="s">
        <v>573</v>
      </c>
      <c r="D21" s="513"/>
      <c r="E21" s="513"/>
      <c r="F21" s="513"/>
      <c r="G21" s="513"/>
      <c r="H21" s="513"/>
      <c r="I21" s="513"/>
    </row>
    <row r="22" spans="1:12">
      <c r="B22" s="449"/>
      <c r="C22" s="516"/>
      <c r="D22" s="513"/>
      <c r="E22" s="513"/>
      <c r="F22" s="513"/>
      <c r="G22" s="513"/>
      <c r="H22" s="513"/>
      <c r="I22" s="513"/>
    </row>
    <row r="23" spans="1:12">
      <c r="C23" s="517"/>
      <c r="D23" s="517"/>
      <c r="E23" s="517"/>
      <c r="F23" s="517"/>
      <c r="G23" s="517"/>
      <c r="H23" s="517"/>
      <c r="I23" s="517"/>
    </row>
    <row r="24" spans="1:12" ht="18.75">
      <c r="A24" s="625" t="s">
        <v>538</v>
      </c>
    </row>
    <row r="25" spans="1:12">
      <c r="A25" s="281">
        <v>1</v>
      </c>
      <c r="B25" s="269" t="s">
        <v>424</v>
      </c>
      <c r="C25" s="281">
        <v>0.90720000000000001</v>
      </c>
      <c r="D25" s="269" t="s">
        <v>332</v>
      </c>
    </row>
    <row r="26" spans="1:12" ht="15.75">
      <c r="A26" s="278" t="s">
        <v>351</v>
      </c>
      <c r="B26" s="277"/>
      <c r="C26" s="277"/>
      <c r="D26" s="277"/>
      <c r="E26" s="277"/>
      <c r="F26" s="277"/>
      <c r="G26" s="277"/>
      <c r="H26" s="277"/>
      <c r="I26" s="277"/>
      <c r="J26" s="277"/>
      <c r="K26" s="277"/>
      <c r="L26" s="277"/>
    </row>
    <row r="27" spans="1:12" ht="15.75">
      <c r="A27" s="280" t="s">
        <v>432</v>
      </c>
      <c r="B27" s="277"/>
      <c r="C27" s="277"/>
      <c r="D27" s="277"/>
      <c r="E27" s="277"/>
      <c r="F27" s="277"/>
      <c r="G27" s="277"/>
      <c r="H27" s="277"/>
      <c r="I27" s="277"/>
      <c r="J27" s="277"/>
      <c r="K27" s="277"/>
      <c r="L27" s="277"/>
    </row>
    <row r="28" spans="1:12">
      <c r="A28" s="281">
        <v>0.70699999999999996</v>
      </c>
      <c r="B28" s="1026" t="s">
        <v>630</v>
      </c>
      <c r="C28" s="1026"/>
      <c r="D28" s="1026"/>
      <c r="E28" s="1026"/>
      <c r="F28" s="1026"/>
      <c r="G28" s="1026"/>
      <c r="H28" s="1026"/>
      <c r="I28" s="291"/>
    </row>
    <row r="29" spans="1:12">
      <c r="A29" s="281">
        <v>35380</v>
      </c>
      <c r="B29" s="1026" t="s">
        <v>353</v>
      </c>
      <c r="C29" s="1026"/>
      <c r="D29" s="1026"/>
      <c r="E29" s="1026"/>
      <c r="F29" s="1026"/>
      <c r="G29" s="1026"/>
      <c r="H29" s="1026"/>
      <c r="I29" s="291"/>
    </row>
    <row r="30" spans="1:12">
      <c r="A30" s="282">
        <v>0.84699999999999998</v>
      </c>
      <c r="B30" s="1026" t="s">
        <v>234</v>
      </c>
      <c r="C30" s="1026"/>
      <c r="D30" s="1026"/>
      <c r="E30" s="1026"/>
      <c r="F30" s="1026"/>
      <c r="G30" s="1026"/>
      <c r="H30" s="1026"/>
      <c r="I30" s="291"/>
    </row>
    <row r="31" spans="1:12">
      <c r="A31" s="282">
        <v>5.8799999999999998E-4</v>
      </c>
      <c r="B31" s="1026" t="s">
        <v>235</v>
      </c>
      <c r="C31" s="1026"/>
      <c r="D31" s="1026"/>
      <c r="E31" s="1026"/>
      <c r="F31" s="1026"/>
      <c r="G31" s="1026"/>
      <c r="H31" s="1026"/>
      <c r="I31" s="291"/>
    </row>
    <row r="32" spans="1:12">
      <c r="A32" s="282">
        <v>7.7100000000000004E-5</v>
      </c>
      <c r="B32" s="1026" t="s">
        <v>631</v>
      </c>
      <c r="C32" s="1026"/>
      <c r="D32" s="1026"/>
      <c r="E32" s="1026"/>
      <c r="F32" s="1026"/>
      <c r="G32" s="1026"/>
      <c r="H32" s="1026"/>
      <c r="I32" s="291"/>
      <c r="J32" s="541"/>
    </row>
    <row r="33" spans="1:9">
      <c r="A33" s="1057" t="s">
        <v>574</v>
      </c>
      <c r="B33" s="1058"/>
      <c r="C33" s="1058"/>
      <c r="D33" s="1058"/>
      <c r="E33" s="1058"/>
      <c r="F33" s="1058"/>
      <c r="G33" s="1058"/>
      <c r="H33" s="1059"/>
      <c r="I33" s="957"/>
    </row>
    <row r="34" spans="1:9">
      <c r="A34" s="281">
        <v>1.4999999999999999E-2</v>
      </c>
      <c r="B34" s="1026" t="s">
        <v>355</v>
      </c>
      <c r="C34" s="1026"/>
      <c r="D34" s="1026"/>
      <c r="E34" s="1026"/>
      <c r="F34" s="1026"/>
      <c r="G34" s="1026"/>
      <c r="H34" s="1026"/>
      <c r="I34" s="291"/>
    </row>
    <row r="35" spans="1:9">
      <c r="A35" s="281">
        <v>0.87</v>
      </c>
      <c r="B35" s="1026" t="s">
        <v>356</v>
      </c>
      <c r="C35" s="1026"/>
      <c r="D35" s="1026"/>
      <c r="E35" s="1026"/>
      <c r="F35" s="1026"/>
      <c r="G35" s="1026"/>
      <c r="H35" s="1026"/>
      <c r="I35" s="291"/>
    </row>
    <row r="36" spans="1:9">
      <c r="A36" s="281">
        <f>+(A34+A35)/2</f>
        <v>0.4425</v>
      </c>
      <c r="B36" s="1026" t="s">
        <v>233</v>
      </c>
      <c r="C36" s="1026"/>
      <c r="D36" s="1026"/>
      <c r="E36" s="1026"/>
      <c r="F36" s="1026"/>
      <c r="G36" s="1026"/>
      <c r="H36" s="1026"/>
      <c r="I36" s="291"/>
    </row>
    <row r="37" spans="1:9" ht="30">
      <c r="C37" s="574" t="str">
        <f>scenario_1</f>
        <v>1X: AnaDig + CHP, Prtmt, LandApp</v>
      </c>
      <c r="D37" s="270" t="str">
        <f>scenario_2</f>
        <v>1Y: AnaDig + CHP, Prtmt, Landfill</v>
      </c>
      <c r="E37" s="565" t="str">
        <f>scenario_3</f>
        <v>2X: AnaDig + CHP, Codig, LandApp</v>
      </c>
      <c r="F37" s="558" t="str">
        <f>scenario_4</f>
        <v>2Y: AnaDig + CHP, Codig, Landfill</v>
      </c>
      <c r="G37" s="269"/>
    </row>
    <row r="38" spans="1:9">
      <c r="C38" s="614">
        <v>1420</v>
      </c>
      <c r="D38" s="596">
        <v>1420</v>
      </c>
      <c r="E38" s="622">
        <v>1400</v>
      </c>
      <c r="F38" s="760">
        <v>1400</v>
      </c>
      <c r="G38" s="269" t="s">
        <v>352</v>
      </c>
      <c r="H38" s="437" t="s">
        <v>575</v>
      </c>
    </row>
    <row r="39" spans="1:9">
      <c r="C39" s="600">
        <f>+C38/$A$28*$A$29/1000000</f>
        <v>71.060254596888257</v>
      </c>
      <c r="D39" s="601">
        <f>+D38/$A$28*$A$29/1000000</f>
        <v>71.060254596888257</v>
      </c>
      <c r="E39" s="602">
        <f>+E38/$A$28*$A$29/1000000</f>
        <v>70.059405940594061</v>
      </c>
      <c r="F39" s="783">
        <f>+F38/$A$28*$A$29/1000000</f>
        <v>70.059405940594061</v>
      </c>
      <c r="G39" s="269" t="s">
        <v>354</v>
      </c>
    </row>
    <row r="40" spans="1:9">
      <c r="C40" s="600">
        <f>+C39*$A$30*365/2000*$C$25</f>
        <v>9.9649719332910891</v>
      </c>
      <c r="D40" s="601">
        <f>+D39*$A$30*365/2000*$C$25</f>
        <v>9.9649719332910891</v>
      </c>
      <c r="E40" s="602">
        <f>+E39*$A$30*365/2000*$C$25</f>
        <v>9.8246202159207918</v>
      </c>
      <c r="F40" s="783">
        <f>+F39*$A$30*365/2000*$C$25</f>
        <v>9.8246202159207918</v>
      </c>
      <c r="G40" s="269" t="s">
        <v>425</v>
      </c>
    </row>
    <row r="41" spans="1:9">
      <c r="C41" s="615">
        <f>+C39*$A$31*365/2000*$C$25</f>
        <v>6.9178317553425734E-3</v>
      </c>
      <c r="D41" s="618">
        <f>+D39*$A$31*365/2000*$C$25</f>
        <v>6.9178317553425734E-3</v>
      </c>
      <c r="E41" s="623">
        <f>+E39*$A$31*365/2000*$C$25</f>
        <v>6.8203975052673269E-3</v>
      </c>
      <c r="F41" s="792">
        <f>+F39*$A$31*365/2000*$C$25</f>
        <v>6.8203975052673269E-3</v>
      </c>
      <c r="G41" s="269" t="s">
        <v>426</v>
      </c>
    </row>
    <row r="42" spans="1:9">
      <c r="C42" s="600">
        <f>+C39*$A$32*365/2000*$C$25</f>
        <v>9.0708304138930685E-4</v>
      </c>
      <c r="D42" s="619">
        <f>+D39*$A$32*365/2000*$C$25</f>
        <v>9.0708304138930685E-4</v>
      </c>
      <c r="E42" s="624">
        <f>+E39*$A$32*365/2000*$C$25</f>
        <v>8.9430722390495057E-4</v>
      </c>
      <c r="F42" s="793">
        <f>+F39*$A$32*365/2000*$C$25</f>
        <v>8.9430722390495057E-4</v>
      </c>
      <c r="G42" s="284" t="s">
        <v>433</v>
      </c>
      <c r="H42" s="437" t="s">
        <v>576</v>
      </c>
    </row>
    <row r="43" spans="1:9">
      <c r="C43" s="600">
        <f t="shared" ref="C43:D43" si="11">+C39*$A$34*365/2000*$C$25</f>
        <v>0.17647529988118812</v>
      </c>
      <c r="D43" s="601">
        <f t="shared" si="11"/>
        <v>0.17647529988118812</v>
      </c>
      <c r="E43" s="602">
        <f>+E39*$A$34*365/2000*$C$25</f>
        <v>0.17398973227722775</v>
      </c>
      <c r="F43" s="783">
        <f t="shared" ref="F43" si="12">+F39*$A$34*365/2000*$C$25</f>
        <v>0.17398973227722775</v>
      </c>
      <c r="G43" s="269" t="s">
        <v>425</v>
      </c>
      <c r="H43" s="437" t="s">
        <v>429</v>
      </c>
    </row>
    <row r="44" spans="1:9">
      <c r="C44" s="600">
        <f t="shared" ref="C44:D44" si="13">+C39*$A$35*365/2000*$C$25</f>
        <v>10.23556739310891</v>
      </c>
      <c r="D44" s="601">
        <f t="shared" si="13"/>
        <v>10.23556739310891</v>
      </c>
      <c r="E44" s="602">
        <f>+E39*$A$35*365/2000*$C$25</f>
        <v>10.091404472079208</v>
      </c>
      <c r="F44" s="783">
        <f t="shared" ref="F44" si="14">+F39*$A$35*365/2000*$C$25</f>
        <v>10.091404472079208</v>
      </c>
      <c r="G44" s="269" t="s">
        <v>425</v>
      </c>
      <c r="H44" s="437" t="s">
        <v>430</v>
      </c>
    </row>
    <row r="45" spans="1:9">
      <c r="C45" s="600">
        <f t="shared" ref="C45:D45" si="15">+C39*$A$36*365/2000*$C$25</f>
        <v>5.2060213464950493</v>
      </c>
      <c r="D45" s="601">
        <f t="shared" si="15"/>
        <v>5.2060213464950493</v>
      </c>
      <c r="E45" s="602">
        <f>+E39*$A$36*365/2000*$C$25</f>
        <v>5.1326971021782182</v>
      </c>
      <c r="F45" s="783">
        <f t="shared" ref="F45" si="16">+F39*$A$36*365/2000*$C$25</f>
        <v>5.1326971021782182</v>
      </c>
      <c r="G45" s="269" t="s">
        <v>425</v>
      </c>
      <c r="H45" s="437" t="s">
        <v>431</v>
      </c>
    </row>
    <row r="46" spans="1:9">
      <c r="C46" s="285"/>
      <c r="D46" s="285"/>
      <c r="E46" s="285"/>
      <c r="F46" s="285"/>
      <c r="G46" s="68"/>
    </row>
    <row r="47" spans="1:9">
      <c r="A47" s="278" t="s">
        <v>434</v>
      </c>
    </row>
    <row r="48" spans="1:9" ht="18" customHeight="1">
      <c r="A48" s="1060" t="str">
        <f>scenario_5</f>
        <v>3Y: Incin, Landfill</v>
      </c>
      <c r="B48" s="1060"/>
      <c r="C48" s="1060"/>
      <c r="D48" s="1060"/>
      <c r="E48" s="1060"/>
      <c r="F48" s="1060"/>
      <c r="G48" s="1060"/>
      <c r="H48" s="1060"/>
      <c r="I48" s="958"/>
    </row>
    <row r="49" spans="1:20">
      <c r="A49" s="286">
        <v>104571</v>
      </c>
      <c r="B49" s="287" t="s">
        <v>435</v>
      </c>
      <c r="C49" s="1026" t="s">
        <v>436</v>
      </c>
      <c r="D49" s="1026"/>
      <c r="E49" s="1026"/>
      <c r="F49" s="1026"/>
      <c r="G49" s="1026"/>
      <c r="H49" s="1026"/>
      <c r="I49" s="291"/>
    </row>
    <row r="50" spans="1:20">
      <c r="A50" s="1051" t="s">
        <v>441</v>
      </c>
      <c r="B50" s="1051"/>
      <c r="C50" s="1051"/>
      <c r="D50" s="1051"/>
      <c r="E50" s="1051"/>
      <c r="F50" s="1051"/>
      <c r="G50" s="1051"/>
      <c r="H50" s="1051"/>
      <c r="I50" s="959"/>
    </row>
    <row r="51" spans="1:20" ht="29.85" customHeight="1">
      <c r="A51" s="288">
        <v>30</v>
      </c>
      <c r="B51" s="287" t="s">
        <v>437</v>
      </c>
      <c r="C51" s="1047" t="s">
        <v>651</v>
      </c>
      <c r="D51" s="1047"/>
      <c r="E51" s="1047"/>
      <c r="F51" s="1047"/>
      <c r="G51" s="1047"/>
      <c r="H51" s="1047"/>
      <c r="I51" s="960"/>
      <c r="J51" s="1047" t="s">
        <v>650</v>
      </c>
      <c r="K51" s="1047"/>
      <c r="L51" s="1047"/>
      <c r="M51" s="1047"/>
      <c r="N51" s="1047"/>
      <c r="O51" s="1047"/>
      <c r="P51" s="1047"/>
      <c r="Q51" s="1047"/>
      <c r="R51" s="1047"/>
    </row>
    <row r="52" spans="1:20">
      <c r="A52" s="281">
        <v>46.01</v>
      </c>
      <c r="B52" s="269" t="s">
        <v>439</v>
      </c>
      <c r="C52" s="1026"/>
      <c r="D52" s="1026"/>
      <c r="E52" s="1026"/>
      <c r="F52" s="1026"/>
      <c r="G52" s="1026"/>
      <c r="H52" s="1026"/>
      <c r="I52" s="291"/>
    </row>
    <row r="53" spans="1:20" s="539" customFormat="1">
      <c r="A53" s="543">
        <v>4.0899723480545921E-2</v>
      </c>
      <c r="B53" s="269" t="s">
        <v>633</v>
      </c>
      <c r="C53" s="1061"/>
      <c r="D53" s="1062"/>
      <c r="E53" s="1062"/>
      <c r="F53" s="1062"/>
      <c r="G53" s="1062"/>
      <c r="H53" s="1063"/>
      <c r="I53" s="893"/>
    </row>
    <row r="54" spans="1:20">
      <c r="A54" s="542">
        <f>+A51*A52*A53</f>
        <v>56.453888320197535</v>
      </c>
      <c r="B54" s="269" t="s">
        <v>440</v>
      </c>
      <c r="C54" s="1052"/>
      <c r="D54" s="1052"/>
      <c r="E54" s="1052"/>
      <c r="F54" s="1052"/>
      <c r="G54" s="1052"/>
      <c r="H54" s="1052"/>
      <c r="I54" s="961"/>
    </row>
    <row r="55" spans="1:20">
      <c r="A55" s="284">
        <f>+$A$49*A54/1000000</f>
        <v>5.9034395555313761</v>
      </c>
      <c r="B55" s="269" t="s">
        <v>238</v>
      </c>
      <c r="C55" s="1026"/>
      <c r="D55" s="1026"/>
      <c r="E55" s="1026"/>
      <c r="F55" s="1026"/>
      <c r="G55" s="1026"/>
      <c r="H55" s="1026"/>
      <c r="I55" s="291"/>
    </row>
    <row r="56" spans="1:20">
      <c r="A56" s="284">
        <f>+A55*0.365</f>
        <v>2.1547554377689524</v>
      </c>
      <c r="B56" s="269" t="s">
        <v>348</v>
      </c>
      <c r="C56" s="1026"/>
      <c r="D56" s="1026"/>
      <c r="E56" s="1026"/>
      <c r="F56" s="1026"/>
      <c r="G56" s="1026"/>
      <c r="H56" s="1026"/>
      <c r="I56" s="291"/>
    </row>
    <row r="57" spans="1:20">
      <c r="A57" s="1051" t="s">
        <v>442</v>
      </c>
      <c r="B57" s="1051"/>
      <c r="C57" s="1051"/>
      <c r="D57" s="1051"/>
      <c r="E57" s="1051"/>
      <c r="F57" s="1051"/>
      <c r="G57" s="1051"/>
      <c r="H57" s="1051"/>
      <c r="I57" s="959"/>
    </row>
    <row r="58" spans="1:20" ht="28.35" customHeight="1">
      <c r="A58" s="292">
        <v>1</v>
      </c>
      <c r="B58" s="287" t="s">
        <v>443</v>
      </c>
      <c r="C58" s="1047" t="s">
        <v>438</v>
      </c>
      <c r="D58" s="1047"/>
      <c r="E58" s="1047"/>
      <c r="F58" s="1047"/>
      <c r="G58" s="1047"/>
      <c r="H58" s="1047"/>
      <c r="I58" s="962"/>
      <c r="J58" s="1048"/>
      <c r="K58" s="1049"/>
      <c r="L58" s="1049"/>
      <c r="M58" s="1049"/>
      <c r="N58" s="1049"/>
      <c r="O58" s="1049"/>
      <c r="P58" s="1049"/>
      <c r="Q58" s="1049"/>
      <c r="R58" s="1049"/>
    </row>
    <row r="59" spans="1:20">
      <c r="A59" s="281">
        <v>64.06</v>
      </c>
      <c r="B59" s="269" t="s">
        <v>236</v>
      </c>
      <c r="C59" s="1026"/>
      <c r="D59" s="1026"/>
      <c r="E59" s="1026"/>
      <c r="F59" s="1026"/>
      <c r="G59" s="1026"/>
      <c r="H59" s="1026"/>
      <c r="I59" s="291"/>
    </row>
    <row r="60" spans="1:20">
      <c r="A60" s="542">
        <f>+A58*A59*A53</f>
        <v>2.6200362861637716</v>
      </c>
      <c r="B60" s="269" t="s">
        <v>237</v>
      </c>
      <c r="C60" s="1052"/>
      <c r="D60" s="1052"/>
      <c r="E60" s="1052"/>
      <c r="F60" s="1052"/>
      <c r="G60" s="1052"/>
      <c r="H60" s="1052"/>
      <c r="I60" s="961"/>
    </row>
    <row r="61" spans="1:20">
      <c r="A61" s="284">
        <f>+$A$49*A60/1000000</f>
        <v>0.27397981448043179</v>
      </c>
      <c r="B61" s="269" t="s">
        <v>238</v>
      </c>
      <c r="C61" s="1026"/>
      <c r="D61" s="1026"/>
      <c r="E61" s="1026"/>
      <c r="F61" s="1026"/>
      <c r="G61" s="1026"/>
      <c r="H61" s="1026"/>
      <c r="I61" s="291"/>
    </row>
    <row r="62" spans="1:20">
      <c r="A62" s="284">
        <f>+A61*0.365</f>
        <v>0.10000263228535761</v>
      </c>
      <c r="B62" s="269" t="s">
        <v>348</v>
      </c>
      <c r="C62" s="1026"/>
      <c r="D62" s="1026"/>
      <c r="E62" s="1026"/>
      <c r="F62" s="1026"/>
      <c r="G62" s="1026"/>
      <c r="H62" s="1026"/>
      <c r="I62" s="291"/>
    </row>
    <row r="63" spans="1:20">
      <c r="A63" s="1051" t="s">
        <v>632</v>
      </c>
      <c r="B63" s="1051"/>
      <c r="C63" s="1051"/>
      <c r="D63" s="1051"/>
      <c r="E63" s="1051"/>
      <c r="F63" s="1051"/>
      <c r="G63" s="1051"/>
      <c r="H63" s="1051"/>
      <c r="I63" s="959"/>
    </row>
    <row r="64" spans="1:20" ht="29.1" customHeight="1">
      <c r="A64" s="288">
        <v>9.6</v>
      </c>
      <c r="B64" s="287" t="s">
        <v>239</v>
      </c>
      <c r="C64" s="1047" t="s">
        <v>651</v>
      </c>
      <c r="D64" s="1047"/>
      <c r="E64" s="1047"/>
      <c r="F64" s="1047"/>
      <c r="G64" s="1047"/>
      <c r="H64" s="1047"/>
      <c r="I64" s="960"/>
      <c r="J64" s="1047" t="s">
        <v>652</v>
      </c>
      <c r="K64" s="1047"/>
      <c r="L64" s="1047"/>
      <c r="M64" s="1047"/>
      <c r="N64" s="1047"/>
      <c r="O64" s="1047"/>
      <c r="P64" s="1047"/>
      <c r="Q64" s="1047"/>
      <c r="R64" s="1047"/>
      <c r="S64" s="1047"/>
      <c r="T64" s="1047"/>
    </row>
    <row r="65" spans="1:9">
      <c r="A65" s="284">
        <f>+$A$49*A64/1000000</f>
        <v>1.0038815999999999</v>
      </c>
      <c r="B65" s="269" t="s">
        <v>238</v>
      </c>
      <c r="C65" s="1026"/>
      <c r="D65" s="1026"/>
      <c r="E65" s="1026"/>
      <c r="F65" s="1026"/>
      <c r="G65" s="1026"/>
      <c r="H65" s="1026"/>
      <c r="I65" s="291"/>
    </row>
    <row r="66" spans="1:9">
      <c r="A66" s="284">
        <f>+A65*0.365</f>
        <v>0.36641678399999994</v>
      </c>
      <c r="B66" s="269" t="s">
        <v>348</v>
      </c>
      <c r="C66" s="1026"/>
      <c r="D66" s="1026"/>
      <c r="E66" s="1026"/>
      <c r="F66" s="1026"/>
      <c r="G66" s="1026"/>
      <c r="H66" s="1026"/>
      <c r="I66" s="291"/>
    </row>
    <row r="67" spans="1:9">
      <c r="A67" s="290"/>
      <c r="B67" s="68"/>
      <c r="C67" s="291"/>
      <c r="D67" s="291"/>
      <c r="E67" s="291"/>
      <c r="F67" s="291"/>
      <c r="G67" s="291"/>
      <c r="H67" s="291"/>
      <c r="I67" s="291"/>
    </row>
    <row r="68" spans="1:9">
      <c r="A68" s="278" t="s">
        <v>444</v>
      </c>
    </row>
    <row r="69" spans="1:9">
      <c r="A69" s="1050" t="str">
        <f>scenario_6</f>
        <v>4Y: Gasif, Landfill</v>
      </c>
      <c r="B69" s="1050"/>
      <c r="C69" s="1050"/>
      <c r="D69" s="1050"/>
      <c r="E69" s="1050"/>
      <c r="F69" s="1050"/>
      <c r="G69" s="1050"/>
      <c r="H69" s="1050"/>
      <c r="I69" s="963"/>
    </row>
    <row r="70" spans="1:9">
      <c r="A70" s="1054" t="s">
        <v>717</v>
      </c>
      <c r="B70" s="1055"/>
      <c r="C70" s="1055"/>
      <c r="D70" s="1055"/>
      <c r="E70" s="1055"/>
      <c r="F70" s="1055"/>
      <c r="G70" s="1055"/>
      <c r="H70" s="1056"/>
      <c r="I70" s="964"/>
    </row>
    <row r="71" spans="1:9">
      <c r="A71" s="1051" t="s">
        <v>242</v>
      </c>
      <c r="B71" s="1051"/>
      <c r="C71" s="1051"/>
      <c r="D71" s="1051"/>
      <c r="E71" s="1051"/>
      <c r="F71" s="1051"/>
      <c r="G71" s="1051"/>
      <c r="H71" s="1051"/>
      <c r="I71" s="959"/>
    </row>
    <row r="72" spans="1:9">
      <c r="A72" s="281">
        <v>1000</v>
      </c>
      <c r="B72" s="269" t="s">
        <v>243</v>
      </c>
      <c r="C72" s="1035"/>
      <c r="D72" s="1035"/>
      <c r="E72" s="1035"/>
      <c r="F72" s="1035"/>
      <c r="G72" s="1035"/>
      <c r="H72" s="1035"/>
      <c r="I72" s="893"/>
    </row>
    <row r="73" spans="1:9">
      <c r="A73" s="299">
        <v>1</v>
      </c>
      <c r="B73" s="269" t="s">
        <v>244</v>
      </c>
      <c r="C73" s="1026"/>
      <c r="D73" s="1026"/>
      <c r="E73" s="1026"/>
      <c r="F73" s="1026"/>
      <c r="G73" s="1026"/>
      <c r="H73" s="1026"/>
      <c r="I73" s="291"/>
    </row>
    <row r="74" spans="1:9">
      <c r="A74" s="300">
        <v>0.9</v>
      </c>
      <c r="B74" s="269" t="s">
        <v>241</v>
      </c>
      <c r="C74" s="1026"/>
      <c r="D74" s="1026"/>
      <c r="E74" s="1026"/>
      <c r="F74" s="1026"/>
      <c r="G74" s="1026"/>
      <c r="H74" s="1026"/>
      <c r="I74" s="291"/>
    </row>
    <row r="75" spans="1:9">
      <c r="A75" s="301">
        <f>+A72*24*365*A74/2000</f>
        <v>3942</v>
      </c>
      <c r="B75" s="269" t="s">
        <v>240</v>
      </c>
      <c r="C75" s="1026"/>
      <c r="D75" s="1026"/>
      <c r="E75" s="1026"/>
      <c r="F75" s="1026"/>
      <c r="G75" s="1026"/>
      <c r="H75" s="1026"/>
      <c r="I75" s="291"/>
    </row>
    <row r="76" spans="1:9">
      <c r="A76" s="289">
        <v>1.8144</v>
      </c>
      <c r="B76" s="269" t="s">
        <v>425</v>
      </c>
      <c r="C76" s="1026" t="s">
        <v>460</v>
      </c>
      <c r="D76" s="1026"/>
      <c r="E76" s="1026"/>
      <c r="F76" s="1026"/>
      <c r="G76" s="1026"/>
      <c r="H76" s="1026"/>
      <c r="I76" s="291"/>
    </row>
    <row r="77" spans="1:9">
      <c r="A77" s="281">
        <v>0</v>
      </c>
      <c r="B77" s="269" t="s">
        <v>445</v>
      </c>
      <c r="C77" s="1026" t="s">
        <v>460</v>
      </c>
      <c r="D77" s="1026"/>
      <c r="E77" s="1026"/>
      <c r="F77" s="1026"/>
      <c r="G77" s="1026"/>
      <c r="H77" s="1026"/>
      <c r="I77" s="291"/>
    </row>
    <row r="78" spans="1:9">
      <c r="A78" s="289">
        <v>0.46267200000000003</v>
      </c>
      <c r="B78" s="269" t="s">
        <v>446</v>
      </c>
      <c r="C78" s="1026" t="s">
        <v>460</v>
      </c>
      <c r="D78" s="1026"/>
      <c r="E78" s="1026"/>
      <c r="F78" s="1026"/>
      <c r="G78" s="1026"/>
      <c r="H78" s="1026"/>
      <c r="I78" s="291"/>
    </row>
    <row r="79" spans="1:9">
      <c r="A79" s="1051" t="s">
        <v>718</v>
      </c>
      <c r="B79" s="1051"/>
      <c r="C79" s="1051"/>
      <c r="D79" s="1051"/>
      <c r="E79" s="1051"/>
      <c r="F79" s="1051"/>
      <c r="G79" s="1051"/>
      <c r="H79" s="1051"/>
      <c r="I79" s="959"/>
    </row>
    <row r="80" spans="1:9">
      <c r="A80" s="281">
        <v>9</v>
      </c>
      <c r="B80" s="269" t="s">
        <v>463</v>
      </c>
      <c r="C80" s="1026" t="s">
        <v>719</v>
      </c>
      <c r="D80" s="1026"/>
      <c r="E80" s="1026"/>
      <c r="F80" s="1026"/>
      <c r="G80" s="1026"/>
      <c r="H80" s="1026"/>
      <c r="I80" s="291"/>
    </row>
    <row r="81" spans="1:9">
      <c r="A81" s="295">
        <f>+A80*365</f>
        <v>3285</v>
      </c>
      <c r="B81" s="302" t="s">
        <v>240</v>
      </c>
      <c r="C81" s="1026"/>
      <c r="D81" s="1026"/>
      <c r="E81" s="1026"/>
      <c r="F81" s="1026"/>
      <c r="G81" s="1026"/>
      <c r="H81" s="1026"/>
      <c r="I81" s="291"/>
    </row>
    <row r="82" spans="1:9">
      <c r="A82" s="303">
        <f>+A81/A75</f>
        <v>0.83333333333333337</v>
      </c>
      <c r="B82" s="269" t="s">
        <v>464</v>
      </c>
      <c r="C82" s="1026" t="s">
        <v>720</v>
      </c>
      <c r="D82" s="1026"/>
      <c r="E82" s="1026"/>
      <c r="F82" s="1026"/>
      <c r="G82" s="1026"/>
      <c r="H82" s="1026"/>
      <c r="I82" s="291"/>
    </row>
    <row r="83" spans="1:9">
      <c r="A83" s="284">
        <f>+A76*$A$82</f>
        <v>1.512</v>
      </c>
      <c r="B83" s="269" t="s">
        <v>425</v>
      </c>
      <c r="C83" s="1026"/>
      <c r="D83" s="1026"/>
      <c r="E83" s="1026"/>
      <c r="F83" s="1026"/>
      <c r="G83" s="1026"/>
      <c r="H83" s="1026"/>
      <c r="I83" s="291"/>
    </row>
    <row r="84" spans="1:9">
      <c r="A84" s="284">
        <f t="shared" ref="A84:A85" si="17">+A77*$A$82</f>
        <v>0</v>
      </c>
      <c r="B84" s="269" t="s">
        <v>445</v>
      </c>
      <c r="C84" s="1026"/>
      <c r="D84" s="1026"/>
      <c r="E84" s="1026"/>
      <c r="F84" s="1026"/>
      <c r="G84" s="1026"/>
      <c r="H84" s="1026"/>
      <c r="I84" s="291"/>
    </row>
    <row r="85" spans="1:9">
      <c r="A85" s="284">
        <f t="shared" si="17"/>
        <v>0.38556000000000001</v>
      </c>
      <c r="B85" s="269" t="s">
        <v>446</v>
      </c>
      <c r="C85" s="1026"/>
      <c r="D85" s="1026"/>
      <c r="E85" s="1026"/>
      <c r="F85" s="1026"/>
      <c r="G85" s="1026"/>
      <c r="H85" s="1026"/>
      <c r="I85" s="291"/>
    </row>
    <row r="87" spans="1:9">
      <c r="C87" s="1053" t="s">
        <v>461</v>
      </c>
      <c r="D87" s="1053"/>
      <c r="E87" s="229" t="s">
        <v>462</v>
      </c>
    </row>
    <row r="88" spans="1:9" ht="60">
      <c r="C88" s="293" t="s">
        <v>447</v>
      </c>
      <c r="D88" s="293" t="s">
        <v>448</v>
      </c>
    </row>
    <row r="89" spans="1:9">
      <c r="C89" s="293" t="s">
        <v>449</v>
      </c>
      <c r="D89" s="293">
        <v>0</v>
      </c>
    </row>
    <row r="90" spans="1:9">
      <c r="C90" s="293" t="s">
        <v>349</v>
      </c>
      <c r="D90" s="293" t="s">
        <v>450</v>
      </c>
    </row>
    <row r="91" spans="1:9">
      <c r="C91" s="293" t="s">
        <v>451</v>
      </c>
      <c r="D91" s="293" t="s">
        <v>452</v>
      </c>
    </row>
    <row r="92" spans="1:9">
      <c r="C92" s="293" t="s">
        <v>453</v>
      </c>
      <c r="D92" s="293" t="s">
        <v>454</v>
      </c>
    </row>
    <row r="93" spans="1:9">
      <c r="C93" s="293" t="s">
        <v>350</v>
      </c>
      <c r="D93" s="293" t="s">
        <v>455</v>
      </c>
    </row>
    <row r="94" spans="1:9">
      <c r="C94" s="293" t="s">
        <v>456</v>
      </c>
      <c r="D94" s="293" t="s">
        <v>457</v>
      </c>
    </row>
    <row r="95" spans="1:9">
      <c r="C95" s="293" t="s">
        <v>458</v>
      </c>
      <c r="D95" s="293" t="s">
        <v>459</v>
      </c>
    </row>
  </sheetData>
  <mergeCells count="53">
    <mergeCell ref="B31:H31"/>
    <mergeCell ref="B1:H1"/>
    <mergeCell ref="B28:H28"/>
    <mergeCell ref="B29:H29"/>
    <mergeCell ref="B30:H30"/>
    <mergeCell ref="C15:H15"/>
    <mergeCell ref="C16:H16"/>
    <mergeCell ref="C3:I3"/>
    <mergeCell ref="C66:H66"/>
    <mergeCell ref="C55:H55"/>
    <mergeCell ref="B32:H32"/>
    <mergeCell ref="A33:H33"/>
    <mergeCell ref="B34:H34"/>
    <mergeCell ref="B35:H35"/>
    <mergeCell ref="B36:H36"/>
    <mergeCell ref="A48:H48"/>
    <mergeCell ref="C49:H49"/>
    <mergeCell ref="A50:H50"/>
    <mergeCell ref="C51:H51"/>
    <mergeCell ref="C52:H52"/>
    <mergeCell ref="C54:H54"/>
    <mergeCell ref="C53:H53"/>
    <mergeCell ref="C84:H84"/>
    <mergeCell ref="C85:H85"/>
    <mergeCell ref="C87:D87"/>
    <mergeCell ref="C81:H81"/>
    <mergeCell ref="A70:H70"/>
    <mergeCell ref="A71:H71"/>
    <mergeCell ref="C72:H72"/>
    <mergeCell ref="C73:H73"/>
    <mergeCell ref="C74:H74"/>
    <mergeCell ref="C75:H75"/>
    <mergeCell ref="C76:H76"/>
    <mergeCell ref="C77:H77"/>
    <mergeCell ref="C78:H78"/>
    <mergeCell ref="A79:H79"/>
    <mergeCell ref="C80:H80"/>
    <mergeCell ref="J51:R51"/>
    <mergeCell ref="J58:R58"/>
    <mergeCell ref="J64:T64"/>
    <mergeCell ref="C82:H82"/>
    <mergeCell ref="C83:H83"/>
    <mergeCell ref="A69:H69"/>
    <mergeCell ref="C56:H56"/>
    <mergeCell ref="A57:H57"/>
    <mergeCell ref="C58:H58"/>
    <mergeCell ref="C59:H59"/>
    <mergeCell ref="C60:H60"/>
    <mergeCell ref="C61:H61"/>
    <mergeCell ref="C62:H62"/>
    <mergeCell ref="A63:H63"/>
    <mergeCell ref="C64:H64"/>
    <mergeCell ref="C65:H65"/>
  </mergeCells>
  <phoneticPr fontId="75" type="noConversion"/>
  <pageMargins left="0.7" right="0.7" top="0.75" bottom="0.75" header="0.3" footer="0.3"/>
  <pageSetup scale="74" fitToHeight="0" orientation="landscape" r:id="rId1"/>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sheetPr codeName="Sheet12" enableFormatConditionsCalculation="0">
    <tabColor rgb="FFFFFF00"/>
    <pageSetUpPr fitToPage="1"/>
  </sheetPr>
  <dimension ref="A1:C19"/>
  <sheetViews>
    <sheetView view="pageBreakPreview" zoomScaleNormal="100" zoomScaleSheetLayoutView="100" workbookViewId="0">
      <selection activeCell="A10" sqref="A10:C10"/>
    </sheetView>
  </sheetViews>
  <sheetFormatPr defaultColWidth="9.140625" defaultRowHeight="15"/>
  <cols>
    <col min="1" max="1" width="30.42578125" style="437" customWidth="1"/>
    <col min="2" max="2" width="9.140625" style="437"/>
    <col min="3" max="3" width="86.7109375" style="437" customWidth="1"/>
    <col min="4" max="8" width="16.7109375" style="437" customWidth="1"/>
    <col min="9" max="16384" width="9.140625" style="437"/>
  </cols>
  <sheetData>
    <row r="1" spans="1:3" ht="18.75">
      <c r="A1" s="1013" t="s">
        <v>368</v>
      </c>
      <c r="B1" s="1013"/>
      <c r="C1" s="1013"/>
    </row>
    <row r="2" spans="1:3" ht="15.75">
      <c r="A2" s="230" t="s">
        <v>346</v>
      </c>
      <c r="B2" s="505" t="s">
        <v>577</v>
      </c>
      <c r="C2" s="230" t="s">
        <v>567</v>
      </c>
    </row>
    <row r="3" spans="1:3">
      <c r="A3" s="606" t="str">
        <f>scenario_1</f>
        <v>1X: AnaDig + CHP, Prtmt, LandApp</v>
      </c>
      <c r="B3" s="828">
        <v>2.5</v>
      </c>
      <c r="C3" s="607" t="s">
        <v>369</v>
      </c>
    </row>
    <row r="4" spans="1:3">
      <c r="A4" s="304" t="str">
        <f>scenario_2</f>
        <v>1Y: AnaDig + CHP, Prtmt, Landfill</v>
      </c>
      <c r="B4" s="828">
        <v>2.5</v>
      </c>
      <c r="C4" s="608" t="s">
        <v>369</v>
      </c>
    </row>
    <row r="5" spans="1:3">
      <c r="A5" s="609" t="str">
        <f>scenario_3</f>
        <v>2X: AnaDig + CHP, Codig, LandApp</v>
      </c>
      <c r="B5" s="828">
        <v>2.5</v>
      </c>
      <c r="C5" s="610" t="s">
        <v>369</v>
      </c>
    </row>
    <row r="6" spans="1:3">
      <c r="A6" s="611" t="str">
        <f>scenario_4</f>
        <v>2Y: AnaDig + CHP, Codig, Landfill</v>
      </c>
      <c r="B6" s="829">
        <v>2.5</v>
      </c>
      <c r="C6" s="794" t="s">
        <v>369</v>
      </c>
    </row>
    <row r="7" spans="1:3">
      <c r="A7" s="305" t="str">
        <f>scenario_5</f>
        <v>3Y: Incin, Landfill</v>
      </c>
      <c r="B7" s="828">
        <v>2.5</v>
      </c>
      <c r="C7" s="779" t="s">
        <v>369</v>
      </c>
    </row>
    <row r="8" spans="1:3">
      <c r="A8" s="780" t="str">
        <f>scenario_6</f>
        <v>4Y: Gasif, Landfill</v>
      </c>
      <c r="B8" s="828">
        <v>2.5</v>
      </c>
      <c r="C8" s="781" t="s">
        <v>369</v>
      </c>
    </row>
    <row r="9" spans="1:3" s="896" customFormat="1">
      <c r="A9" s="780" t="str">
        <f>scenario_7</f>
        <v>Custom Scenario</v>
      </c>
      <c r="B9" s="828"/>
      <c r="C9" s="781"/>
    </row>
    <row r="10" spans="1:3" ht="36.75" customHeight="1">
      <c r="A10" s="1064" t="s">
        <v>724</v>
      </c>
      <c r="B10" s="1064"/>
      <c r="C10" s="1064"/>
    </row>
    <row r="12" spans="1:3">
      <c r="A12" s="506" t="s">
        <v>578</v>
      </c>
      <c r="C12" s="446" t="s">
        <v>540</v>
      </c>
    </row>
    <row r="13" spans="1:3">
      <c r="A13" s="506"/>
      <c r="B13" s="447" t="s">
        <v>541</v>
      </c>
      <c r="C13" s="446" t="s">
        <v>542</v>
      </c>
    </row>
    <row r="14" spans="1:3">
      <c r="B14" s="507" t="s">
        <v>543</v>
      </c>
      <c r="C14" s="437" t="s">
        <v>544</v>
      </c>
    </row>
    <row r="15" spans="1:3">
      <c r="B15" s="507" t="s">
        <v>545</v>
      </c>
      <c r="C15" s="508">
        <v>5</v>
      </c>
    </row>
    <row r="16" spans="1:3">
      <c r="B16" s="509" t="s">
        <v>546</v>
      </c>
      <c r="C16" s="437" t="s">
        <v>579</v>
      </c>
    </row>
    <row r="17" spans="1:3">
      <c r="B17" s="509" t="s">
        <v>548</v>
      </c>
      <c r="C17" s="510">
        <v>0</v>
      </c>
    </row>
    <row r="18" spans="1:3">
      <c r="B18" s="509" t="s">
        <v>549</v>
      </c>
      <c r="C18" s="446" t="s">
        <v>580</v>
      </c>
    </row>
    <row r="19" spans="1:3">
      <c r="A19" s="449"/>
      <c r="B19" s="511"/>
    </row>
  </sheetData>
  <mergeCells count="2">
    <mergeCell ref="A1:C1"/>
    <mergeCell ref="A10:C10"/>
  </mergeCells>
  <phoneticPr fontId="75" type="noConversion"/>
  <pageMargins left="0.7" right="0.7" top="0.75" bottom="0.75" header="0.3" footer="0.3"/>
  <pageSetup scale="97" fitToHeight="0" orientation="landscape" r:id="rId1"/>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sheetPr codeName="Sheet13" enableFormatConditionsCalculation="0">
    <tabColor rgb="FFFFFF00"/>
    <pageSetUpPr fitToPage="1"/>
  </sheetPr>
  <dimension ref="A1:D18"/>
  <sheetViews>
    <sheetView view="pageBreakPreview" zoomScaleNormal="100" zoomScaleSheetLayoutView="100" workbookViewId="0">
      <selection activeCell="B3" sqref="B3:B8"/>
    </sheetView>
  </sheetViews>
  <sheetFormatPr defaultColWidth="9.140625" defaultRowHeight="15"/>
  <cols>
    <col min="1" max="1" width="30.42578125" style="437" customWidth="1"/>
    <col min="2" max="2" width="9.140625" style="437"/>
    <col min="3" max="3" width="9.140625" style="856"/>
    <col min="4" max="4" width="103.42578125" style="437" customWidth="1"/>
    <col min="5" max="9" width="16.7109375" style="437" customWidth="1"/>
    <col min="10" max="16384" width="9.140625" style="437"/>
  </cols>
  <sheetData>
    <row r="1" spans="1:4" ht="18.75">
      <c r="A1" s="1013" t="s">
        <v>370</v>
      </c>
      <c r="B1" s="1013"/>
      <c r="C1" s="1013"/>
      <c r="D1" s="1013"/>
    </row>
    <row r="2" spans="1:4" ht="15.75">
      <c r="A2" s="230" t="s">
        <v>346</v>
      </c>
      <c r="B2" s="505" t="s">
        <v>577</v>
      </c>
      <c r="C2" s="876" t="s">
        <v>826</v>
      </c>
      <c r="D2" s="230" t="s">
        <v>567</v>
      </c>
    </row>
    <row r="3" spans="1:4">
      <c r="A3" s="606" t="str">
        <f>scenario_1</f>
        <v>1X: AnaDig + CHP, Prtmt, LandApp</v>
      </c>
      <c r="B3" s="828">
        <v>4</v>
      </c>
      <c r="C3" s="877">
        <f>RANK(B3,$B$3:$B$9)</f>
        <v>1</v>
      </c>
      <c r="D3" s="607" t="s">
        <v>371</v>
      </c>
    </row>
    <row r="4" spans="1:4">
      <c r="A4" s="304" t="str">
        <f>scenario_2</f>
        <v>1Y: AnaDig + CHP, Prtmt, Landfill</v>
      </c>
      <c r="B4" s="828">
        <v>3</v>
      </c>
      <c r="C4" s="878">
        <f t="shared" ref="C4:C9" si="0">RANK(B4,$B$3:$B$9)</f>
        <v>2</v>
      </c>
      <c r="D4" s="608" t="s">
        <v>372</v>
      </c>
    </row>
    <row r="5" spans="1:4">
      <c r="A5" s="609" t="str">
        <f>scenario_3</f>
        <v>2X: AnaDig + CHP, Codig, LandApp</v>
      </c>
      <c r="B5" s="828">
        <v>2.5</v>
      </c>
      <c r="C5" s="879">
        <f t="shared" si="0"/>
        <v>4</v>
      </c>
      <c r="D5" s="610" t="s">
        <v>373</v>
      </c>
    </row>
    <row r="6" spans="1:4" ht="30">
      <c r="A6" s="611" t="str">
        <f>scenario_4</f>
        <v>2Y: AnaDig + CHP, Codig, Landfill</v>
      </c>
      <c r="B6" s="829">
        <v>2.5</v>
      </c>
      <c r="C6" s="880">
        <f t="shared" si="0"/>
        <v>4</v>
      </c>
      <c r="D6" s="794" t="s">
        <v>679</v>
      </c>
    </row>
    <row r="7" spans="1:4" ht="30">
      <c r="A7" s="305" t="str">
        <f>scenario_5</f>
        <v>3Y: Incin, Landfill</v>
      </c>
      <c r="B7" s="828">
        <v>3</v>
      </c>
      <c r="C7" s="881">
        <f t="shared" si="0"/>
        <v>2</v>
      </c>
      <c r="D7" s="779" t="s">
        <v>725</v>
      </c>
    </row>
    <row r="8" spans="1:4" ht="45">
      <c r="A8" s="780" t="str">
        <f>scenario_6</f>
        <v>4Y: Gasif, Landfill</v>
      </c>
      <c r="B8" s="828">
        <v>2</v>
      </c>
      <c r="C8" s="882">
        <f t="shared" si="0"/>
        <v>6</v>
      </c>
      <c r="D8" s="781" t="s">
        <v>680</v>
      </c>
    </row>
    <row r="9" spans="1:4" s="896" customFormat="1">
      <c r="A9" s="780" t="str">
        <f>scenario_7</f>
        <v>Custom Scenario</v>
      </c>
      <c r="B9" s="828"/>
      <c r="C9" s="882" t="e">
        <f t="shared" si="0"/>
        <v>#N/A</v>
      </c>
      <c r="D9" s="781"/>
    </row>
    <row r="11" spans="1:4">
      <c r="A11" s="506" t="s">
        <v>578</v>
      </c>
      <c r="D11" s="446" t="s">
        <v>540</v>
      </c>
    </row>
    <row r="12" spans="1:4">
      <c r="A12" s="506"/>
      <c r="B12" s="507" t="s">
        <v>541</v>
      </c>
      <c r="C12" s="507"/>
      <c r="D12" s="437" t="s">
        <v>542</v>
      </c>
    </row>
    <row r="13" spans="1:4">
      <c r="B13" s="507" t="s">
        <v>543</v>
      </c>
      <c r="C13" s="507"/>
      <c r="D13" s="437" t="s">
        <v>544</v>
      </c>
    </row>
    <row r="14" spans="1:4">
      <c r="B14" s="507" t="s">
        <v>545</v>
      </c>
      <c r="C14" s="507"/>
      <c r="D14" s="508">
        <v>5</v>
      </c>
    </row>
    <row r="15" spans="1:4">
      <c r="B15" s="509" t="s">
        <v>546</v>
      </c>
      <c r="C15" s="509"/>
      <c r="D15" s="437" t="s">
        <v>581</v>
      </c>
    </row>
    <row r="16" spans="1:4">
      <c r="B16" s="509" t="s">
        <v>548</v>
      </c>
      <c r="C16" s="509"/>
      <c r="D16" s="510">
        <v>0</v>
      </c>
    </row>
    <row r="17" spans="1:4">
      <c r="B17" s="509" t="s">
        <v>549</v>
      </c>
      <c r="C17" s="509"/>
      <c r="D17" s="437" t="s">
        <v>591</v>
      </c>
    </row>
    <row r="18" spans="1:4">
      <c r="A18" s="449"/>
      <c r="B18" s="511"/>
      <c r="C18" s="511"/>
    </row>
  </sheetData>
  <mergeCells count="1">
    <mergeCell ref="A1:D1"/>
  </mergeCells>
  <phoneticPr fontId="75" type="noConversion"/>
  <pageMargins left="0.7" right="0.7" top="0.75" bottom="0.75" header="0.3" footer="0.3"/>
  <pageSetup scale="80" fitToHeight="0" orientation="landscape" r:id="rId1"/>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sheetPr codeName="Sheet15">
    <tabColor rgb="FFFFFF00"/>
    <pageSetUpPr fitToPage="1"/>
  </sheetPr>
  <dimension ref="A1:V22"/>
  <sheetViews>
    <sheetView view="pageBreakPreview" topLeftCell="B1" zoomScaleNormal="100" zoomScaleSheetLayoutView="100" workbookViewId="0">
      <selection activeCell="A22" sqref="A22"/>
    </sheetView>
  </sheetViews>
  <sheetFormatPr defaultColWidth="11.42578125" defaultRowHeight="15"/>
  <cols>
    <col min="1" max="1" width="41.7109375" customWidth="1"/>
    <col min="2" max="2" width="8.28515625" customWidth="1"/>
    <col min="3" max="4" width="8.28515625" style="552" customWidth="1"/>
    <col min="5" max="5" width="8.28515625" customWidth="1"/>
    <col min="6" max="7" width="8.28515625" style="552" customWidth="1"/>
    <col min="8" max="8" width="8.28515625" customWidth="1"/>
    <col min="9" max="10" width="8.28515625" style="552" customWidth="1"/>
    <col min="11" max="11" width="8.28515625" customWidth="1"/>
    <col min="12" max="13" width="8.28515625" style="552" customWidth="1"/>
    <col min="14" max="14" width="8.28515625" customWidth="1"/>
    <col min="15" max="16" width="8.28515625" style="552" customWidth="1"/>
    <col min="17" max="17" width="8.28515625" customWidth="1"/>
    <col min="18" max="19" width="8.28515625" style="552" customWidth="1"/>
    <col min="20" max="22" width="8.28515625" customWidth="1"/>
  </cols>
  <sheetData>
    <row r="1" spans="1:22" ht="18.75">
      <c r="A1" s="1068" t="s">
        <v>662</v>
      </c>
      <c r="B1" s="1013"/>
      <c r="C1" s="1013"/>
      <c r="D1" s="1013"/>
      <c r="E1" s="1013"/>
      <c r="F1" s="1013"/>
      <c r="G1" s="1013"/>
      <c r="H1" s="1013"/>
      <c r="I1" s="1013"/>
      <c r="J1" s="1013"/>
      <c r="K1" s="1013"/>
      <c r="L1" s="1013"/>
      <c r="M1" s="1013"/>
      <c r="N1" s="1013"/>
      <c r="O1" s="1013"/>
      <c r="P1" s="1013"/>
      <c r="Q1" s="1013"/>
      <c r="R1" s="548"/>
      <c r="S1" s="548"/>
    </row>
    <row r="2" spans="1:22" ht="34.5" customHeight="1">
      <c r="A2" s="269"/>
      <c r="B2" s="1069" t="str">
        <f>scenario_1</f>
        <v>1X: AnaDig + CHP, Prtmt, LandApp</v>
      </c>
      <c r="C2" s="1070" t="str">
        <f>scenario_2</f>
        <v>1Y: AnaDig + CHP, Prtmt, Landfill</v>
      </c>
      <c r="D2" s="1071" t="str">
        <f>scenario_3</f>
        <v>2X: AnaDig + CHP, Codig, LandApp</v>
      </c>
      <c r="E2" s="1072" t="str">
        <f>scenario_2</f>
        <v>1Y: AnaDig + CHP, Prtmt, Landfill</v>
      </c>
      <c r="F2" s="1073" t="str">
        <f>scenario_5</f>
        <v>3Y: Incin, Landfill</v>
      </c>
      <c r="G2" s="1074" t="str">
        <f>scenario_6</f>
        <v>4Y: Gasif, Landfill</v>
      </c>
      <c r="H2" s="1081" t="str">
        <f>scenario_3</f>
        <v>2X: AnaDig + CHP, Codig, LandApp</v>
      </c>
      <c r="I2" s="1082" t="str">
        <f>scenario_2</f>
        <v>1Y: AnaDig + CHP, Prtmt, Landfill</v>
      </c>
      <c r="J2" s="1083" t="str">
        <f>scenario_3</f>
        <v>2X: AnaDig + CHP, Codig, LandApp</v>
      </c>
      <c r="K2" s="1078" t="str">
        <f>scenario_4</f>
        <v>2Y: AnaDig + CHP, Codig, Landfill</v>
      </c>
      <c r="L2" s="1079" t="str">
        <f>scenario_5</f>
        <v>3Y: Incin, Landfill</v>
      </c>
      <c r="M2" s="1080" t="str">
        <f>scenario_6</f>
        <v>4Y: Gasif, Landfill</v>
      </c>
      <c r="N2" s="1075" t="str">
        <f>scenario_5</f>
        <v>3Y: Incin, Landfill</v>
      </c>
      <c r="O2" s="1076" t="str">
        <f>scenario_2</f>
        <v>1Y: AnaDig + CHP, Prtmt, Landfill</v>
      </c>
      <c r="P2" s="1077" t="str">
        <f>scenario_3</f>
        <v>2X: AnaDig + CHP, Codig, LandApp</v>
      </c>
      <c r="Q2" s="1065" t="str">
        <f>scenario_6</f>
        <v>4Y: Gasif, Landfill</v>
      </c>
      <c r="R2" s="1066" t="str">
        <f>scenario_5</f>
        <v>3Y: Incin, Landfill</v>
      </c>
      <c r="S2" s="1067" t="str">
        <f>scenario_6</f>
        <v>4Y: Gasif, Landfill</v>
      </c>
      <c r="T2" s="1065" t="str">
        <f>scenario_7</f>
        <v>Custom Scenario</v>
      </c>
      <c r="U2" s="1066"/>
      <c r="V2" s="1067"/>
    </row>
    <row r="3" spans="1:22" ht="60">
      <c r="A3" s="269"/>
      <c r="B3" s="627" t="s">
        <v>394</v>
      </c>
      <c r="C3" s="628" t="s">
        <v>818</v>
      </c>
      <c r="D3" s="628" t="s">
        <v>663</v>
      </c>
      <c r="E3" s="627" t="s">
        <v>394</v>
      </c>
      <c r="F3" s="628" t="s">
        <v>819</v>
      </c>
      <c r="G3" s="628" t="s">
        <v>663</v>
      </c>
      <c r="H3" s="627" t="s">
        <v>394</v>
      </c>
      <c r="I3" s="628" t="s">
        <v>818</v>
      </c>
      <c r="J3" s="628" t="s">
        <v>663</v>
      </c>
      <c r="K3" s="627" t="s">
        <v>394</v>
      </c>
      <c r="L3" s="628" t="s">
        <v>819</v>
      </c>
      <c r="M3" s="628" t="s">
        <v>663</v>
      </c>
      <c r="N3" s="627"/>
      <c r="O3" s="628"/>
      <c r="P3" s="628" t="s">
        <v>663</v>
      </c>
      <c r="Q3" s="627"/>
      <c r="R3" s="628"/>
      <c r="S3" s="629" t="s">
        <v>663</v>
      </c>
      <c r="T3" s="627"/>
      <c r="U3" s="628"/>
      <c r="V3" s="629"/>
    </row>
    <row r="4" spans="1:22">
      <c r="A4" s="630" t="s">
        <v>664</v>
      </c>
      <c r="B4" s="795">
        <v>5</v>
      </c>
      <c r="C4" s="796">
        <v>3</v>
      </c>
      <c r="D4" s="633">
        <f>AVERAGE(B4,C4)</f>
        <v>4</v>
      </c>
      <c r="E4" s="802">
        <v>5</v>
      </c>
      <c r="F4" s="796">
        <v>4</v>
      </c>
      <c r="G4" s="642">
        <f>AVERAGE(E4,F4)</f>
        <v>4.5</v>
      </c>
      <c r="H4" s="802">
        <v>4</v>
      </c>
      <c r="I4" s="796">
        <v>2</v>
      </c>
      <c r="J4" s="643">
        <f>AVERAGE(H4,I4)</f>
        <v>3</v>
      </c>
      <c r="K4" s="802">
        <v>4</v>
      </c>
      <c r="L4" s="796">
        <v>3</v>
      </c>
      <c r="M4" s="644">
        <f>AVERAGE(K4,L4)</f>
        <v>3.5</v>
      </c>
      <c r="N4" s="772"/>
      <c r="O4" s="772"/>
      <c r="P4" s="804">
        <v>5</v>
      </c>
      <c r="Q4" s="775"/>
      <c r="R4" s="775"/>
      <c r="S4" s="804">
        <v>5</v>
      </c>
      <c r="T4" s="775"/>
      <c r="U4" s="775"/>
      <c r="V4" s="804"/>
    </row>
    <row r="5" spans="1:22">
      <c r="A5" s="630" t="s">
        <v>57</v>
      </c>
      <c r="B5" s="797">
        <v>5</v>
      </c>
      <c r="C5" s="798">
        <v>4</v>
      </c>
      <c r="D5" s="633">
        <f t="shared" ref="D5" si="0">AVERAGE(B5,C5)</f>
        <v>4.5</v>
      </c>
      <c r="E5" s="802">
        <v>5</v>
      </c>
      <c r="F5" s="796">
        <v>5</v>
      </c>
      <c r="G5" s="642">
        <f t="shared" ref="G5:G6" si="1">AVERAGE(E5,F5)</f>
        <v>5</v>
      </c>
      <c r="H5" s="802">
        <v>5</v>
      </c>
      <c r="I5" s="796">
        <v>4</v>
      </c>
      <c r="J5" s="643">
        <f t="shared" ref="J5:J6" si="2">AVERAGE(H5,I5)</f>
        <v>4.5</v>
      </c>
      <c r="K5" s="802">
        <v>5</v>
      </c>
      <c r="L5" s="796">
        <v>5</v>
      </c>
      <c r="M5" s="644">
        <f t="shared" ref="M5:M6" si="3">AVERAGE(K5,L5)</f>
        <v>5</v>
      </c>
      <c r="N5" s="789"/>
      <c r="O5" s="789"/>
      <c r="P5" s="804">
        <v>5</v>
      </c>
      <c r="Q5" s="785"/>
      <c r="R5" s="785"/>
      <c r="S5" s="804">
        <v>5</v>
      </c>
      <c r="T5" s="785"/>
      <c r="U5" s="785"/>
      <c r="V5" s="804"/>
    </row>
    <row r="6" spans="1:22">
      <c r="A6" s="552" t="s">
        <v>665</v>
      </c>
      <c r="B6" s="799">
        <v>4</v>
      </c>
      <c r="C6" s="800">
        <v>2</v>
      </c>
      <c r="D6" s="634">
        <f>AVERAGE(B6,C6)</f>
        <v>3</v>
      </c>
      <c r="E6" s="802">
        <v>4</v>
      </c>
      <c r="F6" s="796">
        <v>3</v>
      </c>
      <c r="G6" s="642">
        <f t="shared" si="1"/>
        <v>3.5</v>
      </c>
      <c r="H6" s="802">
        <v>4</v>
      </c>
      <c r="I6" s="796">
        <v>2</v>
      </c>
      <c r="J6" s="643">
        <f t="shared" si="2"/>
        <v>3</v>
      </c>
      <c r="K6" s="802">
        <v>4</v>
      </c>
      <c r="L6" s="796">
        <v>3</v>
      </c>
      <c r="M6" s="644">
        <f t="shared" si="3"/>
        <v>3.5</v>
      </c>
      <c r="N6" s="772"/>
      <c r="O6" s="772"/>
      <c r="P6" s="804">
        <v>2</v>
      </c>
      <c r="Q6" s="775"/>
      <c r="R6" s="775"/>
      <c r="S6" s="804">
        <v>2</v>
      </c>
      <c r="T6" s="775"/>
      <c r="U6" s="775"/>
      <c r="V6" s="804"/>
    </row>
    <row r="7" spans="1:22">
      <c r="A7" s="632" t="s">
        <v>667</v>
      </c>
      <c r="B7" s="576"/>
      <c r="C7" s="576"/>
      <c r="D7" s="801">
        <v>210</v>
      </c>
      <c r="E7" s="635"/>
      <c r="F7" s="635"/>
      <c r="G7" s="803">
        <v>210</v>
      </c>
      <c r="H7" s="636"/>
      <c r="I7" s="636"/>
      <c r="J7" s="803">
        <v>830</v>
      </c>
      <c r="K7" s="808"/>
      <c r="L7" s="808"/>
      <c r="M7" s="803">
        <v>830</v>
      </c>
      <c r="N7" s="810"/>
      <c r="O7" s="810"/>
      <c r="P7" s="803">
        <v>42</v>
      </c>
      <c r="Q7" s="805"/>
      <c r="R7" s="805"/>
      <c r="S7" s="803">
        <v>42</v>
      </c>
      <c r="T7" s="805"/>
      <c r="U7" s="805"/>
      <c r="V7" s="803"/>
    </row>
    <row r="8" spans="1:22" s="646" customFormat="1">
      <c r="A8" s="645" t="s">
        <v>636</v>
      </c>
      <c r="B8" s="575"/>
      <c r="C8" s="575"/>
      <c r="D8" s="575">
        <f>D7/MAX($E7:$V7)</f>
        <v>0.25301204819277107</v>
      </c>
      <c r="E8" s="583"/>
      <c r="F8" s="583"/>
      <c r="G8" s="583">
        <f>G7/MAX($E7:$V7)</f>
        <v>0.25301204819277107</v>
      </c>
      <c r="H8" s="588"/>
      <c r="I8" s="588"/>
      <c r="J8" s="588">
        <f>J7/MAX($E7:$V7)</f>
        <v>1</v>
      </c>
      <c r="K8" s="768"/>
      <c r="L8" s="768"/>
      <c r="M8" s="768">
        <f>M7/MAX($E7:$V7)</f>
        <v>1</v>
      </c>
      <c r="N8" s="811"/>
      <c r="O8" s="811"/>
      <c r="P8" s="811">
        <f>P7/MAX($E7:$V7)</f>
        <v>5.0602409638554217E-2</v>
      </c>
      <c r="Q8" s="806"/>
      <c r="R8" s="806"/>
      <c r="S8" s="806">
        <f>S7/MAX($E7:$V7)</f>
        <v>5.0602409638554217E-2</v>
      </c>
      <c r="T8" s="806"/>
      <c r="U8" s="806"/>
      <c r="V8" s="806" t="str">
        <f>IF(CustomON="Off","",V7/MAX($E7:$V7))</f>
        <v/>
      </c>
    </row>
    <row r="9" spans="1:22" s="640" customFormat="1">
      <c r="A9" s="641" t="s">
        <v>637</v>
      </c>
      <c r="B9" s="637"/>
      <c r="C9" s="637"/>
      <c r="D9" s="637">
        <f>5-(5*D8)</f>
        <v>3.7349397590361448</v>
      </c>
      <c r="E9" s="638"/>
      <c r="F9" s="638"/>
      <c r="G9" s="638">
        <f>5-(5*G8)</f>
        <v>3.7349397590361448</v>
      </c>
      <c r="H9" s="639"/>
      <c r="I9" s="639"/>
      <c r="J9" s="647">
        <f>5-(5*J8)</f>
        <v>0</v>
      </c>
      <c r="K9" s="809"/>
      <c r="L9" s="809"/>
      <c r="M9" s="809">
        <f>5-(5*M8)</f>
        <v>0</v>
      </c>
      <c r="N9" s="812"/>
      <c r="O9" s="812"/>
      <c r="P9" s="812">
        <f>5-(5*P8)</f>
        <v>4.7469879518072293</v>
      </c>
      <c r="Q9" s="807"/>
      <c r="R9" s="807"/>
      <c r="S9" s="807">
        <f>5-(5*S8)</f>
        <v>4.7469879518072293</v>
      </c>
      <c r="T9" s="807"/>
      <c r="U9" s="807"/>
      <c r="V9" s="807" t="str">
        <f>IF(CustomON="Off","",5-(5*V8))</f>
        <v/>
      </c>
    </row>
    <row r="10" spans="1:22">
      <c r="A10" s="68"/>
      <c r="B10" s="513"/>
      <c r="C10" s="513"/>
      <c r="D10" s="513"/>
      <c r="E10" s="513"/>
      <c r="F10" s="513"/>
      <c r="G10" s="513"/>
      <c r="H10" s="513"/>
      <c r="I10" s="513"/>
      <c r="J10" s="513"/>
      <c r="K10" s="513"/>
      <c r="L10" s="513"/>
      <c r="M10" s="513"/>
      <c r="N10" s="513"/>
      <c r="O10" s="513"/>
      <c r="P10" s="513"/>
      <c r="Q10" s="513"/>
      <c r="R10" s="513"/>
      <c r="S10" s="513"/>
    </row>
    <row r="11" spans="1:22">
      <c r="A11" s="445" t="s">
        <v>539</v>
      </c>
      <c r="B11" s="514"/>
      <c r="C11" s="514"/>
      <c r="D11" s="514"/>
      <c r="E11" s="513"/>
      <c r="F11" s="513"/>
      <c r="G11" s="513"/>
      <c r="H11" s="513"/>
      <c r="I11" s="513"/>
      <c r="J11" s="513"/>
      <c r="K11" s="513"/>
      <c r="L11" s="513"/>
      <c r="M11" s="513"/>
      <c r="N11" s="513"/>
      <c r="O11" s="513"/>
      <c r="P11" s="513"/>
      <c r="Q11" s="513"/>
      <c r="R11" s="513"/>
      <c r="S11" s="513"/>
    </row>
    <row r="12" spans="1:22">
      <c r="A12" s="447" t="s">
        <v>541</v>
      </c>
      <c r="B12" s="626" t="s">
        <v>641</v>
      </c>
      <c r="C12" s="626"/>
      <c r="D12" s="626"/>
      <c r="E12" s="513"/>
      <c r="F12" s="513"/>
      <c r="G12" s="513"/>
      <c r="H12" s="513"/>
      <c r="I12" s="513"/>
      <c r="J12" s="513"/>
      <c r="K12" s="513"/>
      <c r="L12" s="513"/>
      <c r="M12" s="513"/>
      <c r="N12" s="513"/>
      <c r="O12" s="513"/>
      <c r="P12" s="513"/>
      <c r="Q12" s="513"/>
      <c r="R12" s="513"/>
      <c r="S12" s="513"/>
    </row>
    <row r="13" spans="1:22">
      <c r="A13" s="447" t="s">
        <v>543</v>
      </c>
      <c r="B13" s="514" t="s">
        <v>544</v>
      </c>
      <c r="C13" s="514"/>
      <c r="D13" s="514"/>
      <c r="E13" s="513"/>
      <c r="F13" s="513"/>
      <c r="G13" s="513"/>
      <c r="H13" s="513"/>
      <c r="I13" s="513"/>
      <c r="J13" s="513"/>
      <c r="K13" s="513"/>
      <c r="L13" s="513"/>
      <c r="M13" s="513"/>
      <c r="N13" s="513"/>
      <c r="O13" s="513"/>
      <c r="P13" s="513"/>
      <c r="Q13" s="513"/>
      <c r="R13" s="513"/>
      <c r="S13" s="513"/>
    </row>
    <row r="14" spans="1:22">
      <c r="A14" s="447" t="s">
        <v>545</v>
      </c>
      <c r="B14" s="515">
        <v>5</v>
      </c>
      <c r="C14" s="515"/>
      <c r="D14" s="515"/>
      <c r="E14" s="513"/>
      <c r="F14" s="513"/>
      <c r="G14" s="513"/>
      <c r="H14" s="513"/>
      <c r="I14" s="513"/>
      <c r="J14" s="513"/>
      <c r="K14" s="513"/>
      <c r="L14" s="513"/>
      <c r="M14" s="513"/>
      <c r="N14" s="513"/>
      <c r="O14" s="513"/>
      <c r="P14" s="513"/>
      <c r="Q14" s="513"/>
      <c r="R14" s="513"/>
      <c r="S14" s="513"/>
    </row>
    <row r="15" spans="1:22">
      <c r="A15" s="447" t="s">
        <v>640</v>
      </c>
      <c r="B15" s="626" t="s">
        <v>646</v>
      </c>
      <c r="C15" s="514"/>
      <c r="D15" s="514"/>
      <c r="E15" s="513"/>
      <c r="F15" s="513"/>
      <c r="G15" s="513"/>
      <c r="H15" s="513"/>
      <c r="I15" s="513"/>
      <c r="J15" s="513"/>
      <c r="K15" s="513"/>
      <c r="L15" s="513"/>
      <c r="M15" s="513"/>
      <c r="N15" s="513"/>
      <c r="O15" s="513"/>
      <c r="P15" s="513"/>
      <c r="Q15" s="513"/>
      <c r="R15" s="513"/>
      <c r="S15" s="513"/>
    </row>
    <row r="16" spans="1:22" s="552" customFormat="1">
      <c r="A16" s="649" t="s">
        <v>639</v>
      </c>
      <c r="B16" s="626" t="s">
        <v>642</v>
      </c>
      <c r="C16" s="514"/>
      <c r="D16" s="514"/>
      <c r="E16" s="513"/>
      <c r="F16" s="513"/>
      <c r="G16" s="513"/>
      <c r="H16" s="513"/>
      <c r="I16" s="513"/>
      <c r="J16" s="513"/>
      <c r="K16" s="513"/>
      <c r="L16" s="513"/>
      <c r="M16" s="513"/>
      <c r="N16" s="513"/>
      <c r="O16" s="513"/>
      <c r="P16" s="513"/>
      <c r="Q16" s="513"/>
      <c r="R16" s="513"/>
      <c r="S16" s="513"/>
    </row>
    <row r="17" spans="1:19">
      <c r="A17" s="447" t="s">
        <v>548</v>
      </c>
      <c r="B17" s="515">
        <v>0</v>
      </c>
      <c r="C17" s="515"/>
      <c r="D17" s="515"/>
      <c r="E17" s="513"/>
      <c r="F17" s="513"/>
      <c r="G17" s="513"/>
      <c r="H17" s="513"/>
      <c r="I17" s="513"/>
      <c r="J17" s="513"/>
      <c r="K17" s="513"/>
      <c r="L17" s="513"/>
      <c r="M17" s="513"/>
      <c r="N17" s="513"/>
      <c r="O17" s="513"/>
      <c r="P17" s="513"/>
      <c r="Q17" s="513"/>
      <c r="R17" s="513"/>
      <c r="S17" s="513"/>
    </row>
    <row r="18" spans="1:19">
      <c r="A18" s="447" t="s">
        <v>638</v>
      </c>
      <c r="B18" s="626" t="s">
        <v>645</v>
      </c>
      <c r="C18" s="514"/>
      <c r="D18" s="514"/>
      <c r="E18" s="513"/>
      <c r="F18" s="513"/>
      <c r="G18" s="513"/>
      <c r="H18" s="513"/>
      <c r="I18" s="513"/>
      <c r="J18" s="513"/>
      <c r="K18" s="513"/>
      <c r="L18" s="513"/>
      <c r="M18" s="513"/>
      <c r="N18" s="513"/>
      <c r="O18" s="513"/>
      <c r="P18" s="513"/>
      <c r="Q18" s="513"/>
      <c r="R18" s="513"/>
      <c r="S18" s="513"/>
    </row>
    <row r="19" spans="1:19" s="552" customFormat="1">
      <c r="A19" s="649" t="s">
        <v>643</v>
      </c>
      <c r="B19" s="626" t="s">
        <v>644</v>
      </c>
      <c r="C19" s="514"/>
      <c r="D19" s="514"/>
      <c r="E19" s="513"/>
      <c r="F19" s="513"/>
      <c r="G19" s="513"/>
      <c r="H19" s="513"/>
      <c r="I19" s="513"/>
      <c r="J19" s="513"/>
      <c r="K19" s="513"/>
      <c r="L19" s="513"/>
      <c r="M19" s="513"/>
      <c r="N19" s="513"/>
      <c r="O19" s="513"/>
      <c r="P19" s="513"/>
      <c r="Q19" s="513"/>
      <c r="R19" s="513"/>
      <c r="S19" s="513"/>
    </row>
    <row r="20" spans="1:19">
      <c r="A20" s="449"/>
      <c r="B20" s="516"/>
      <c r="C20" s="516"/>
      <c r="D20" s="516"/>
      <c r="E20" s="513"/>
      <c r="F20" s="513"/>
      <c r="G20" s="513"/>
      <c r="H20" s="513"/>
      <c r="I20" s="513"/>
      <c r="J20" s="513"/>
      <c r="K20" s="513"/>
      <c r="L20" s="513"/>
      <c r="M20" s="513"/>
      <c r="N20" s="513"/>
      <c r="O20" s="513"/>
      <c r="P20" s="513"/>
      <c r="Q20" s="513"/>
      <c r="R20" s="513"/>
      <c r="S20" s="513"/>
    </row>
    <row r="22" spans="1:19">
      <c r="A22" s="662" t="s">
        <v>668</v>
      </c>
    </row>
  </sheetData>
  <mergeCells count="8">
    <mergeCell ref="T2:V2"/>
    <mergeCell ref="A1:Q1"/>
    <mergeCell ref="B2:D2"/>
    <mergeCell ref="E2:G2"/>
    <mergeCell ref="Q2:S2"/>
    <mergeCell ref="N2:P2"/>
    <mergeCell ref="K2:M2"/>
    <mergeCell ref="H2:J2"/>
  </mergeCells>
  <phoneticPr fontId="75" type="noConversion"/>
  <pageMargins left="0.75" right="0.75" top="1" bottom="1" header="0.5" footer="0.5"/>
  <pageSetup scale="56" fitToHeight="0" orientation="landscape" r:id="rId1"/>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sheetPr codeName="Sheet16">
    <tabColor rgb="FFFFFF00"/>
    <pageSetUpPr fitToPage="1"/>
  </sheetPr>
  <dimension ref="A1:E18"/>
  <sheetViews>
    <sheetView view="pageBreakPreview" zoomScaleNormal="100" zoomScaleSheetLayoutView="100" workbookViewId="0">
      <selection activeCell="A10" sqref="A10"/>
    </sheetView>
  </sheetViews>
  <sheetFormatPr defaultColWidth="11.42578125" defaultRowHeight="15"/>
  <cols>
    <col min="1" max="1" width="30.42578125" customWidth="1"/>
    <col min="2" max="2" width="8.140625" style="552" customWidth="1"/>
    <col min="3" max="3" width="8.28515625" style="552" customWidth="1"/>
    <col min="4" max="4" width="10.28515625" customWidth="1"/>
    <col min="5" max="5" width="80.7109375" customWidth="1"/>
  </cols>
  <sheetData>
    <row r="1" spans="1:5" ht="18.75">
      <c r="A1" s="1068" t="s">
        <v>649</v>
      </c>
      <c r="B1" s="1013"/>
      <c r="C1" s="1013"/>
      <c r="D1" s="1013"/>
      <c r="E1" s="1013"/>
    </row>
    <row r="2" spans="1:5" ht="31.5">
      <c r="A2" s="230" t="s">
        <v>346</v>
      </c>
      <c r="B2" s="237" t="s">
        <v>394</v>
      </c>
      <c r="C2" s="663" t="s">
        <v>817</v>
      </c>
      <c r="D2" s="650" t="s">
        <v>648</v>
      </c>
      <c r="E2" s="230" t="s">
        <v>567</v>
      </c>
    </row>
    <row r="3" spans="1:5" ht="30">
      <c r="A3" s="606" t="str">
        <f>scenario_1</f>
        <v>1X: AnaDig + CHP, Prtmt, LandApp</v>
      </c>
      <c r="B3" s="802">
        <v>4</v>
      </c>
      <c r="C3" s="796">
        <v>4</v>
      </c>
      <c r="D3" s="633">
        <f>AVERAGE(B3,C3)</f>
        <v>4</v>
      </c>
      <c r="E3" s="607" t="s">
        <v>669</v>
      </c>
    </row>
    <row r="4" spans="1:5">
      <c r="A4" s="304" t="str">
        <f>scenario_2</f>
        <v>1Y: AnaDig + CHP, Prtmt, Landfill</v>
      </c>
      <c r="B4" s="802">
        <v>4</v>
      </c>
      <c r="C4" s="796">
        <v>3</v>
      </c>
      <c r="D4" s="642">
        <f t="shared" ref="D4:D6" si="0">AVERAGE(B4,C4)</f>
        <v>3.5</v>
      </c>
      <c r="E4" s="608" t="s">
        <v>676</v>
      </c>
    </row>
    <row r="5" spans="1:5">
      <c r="A5" s="609" t="str">
        <f>scenario_3</f>
        <v>2X: AnaDig + CHP, Codig, LandApp</v>
      </c>
      <c r="B5" s="802">
        <v>3.5</v>
      </c>
      <c r="C5" s="796">
        <v>4</v>
      </c>
      <c r="D5" s="643">
        <f t="shared" si="0"/>
        <v>3.75</v>
      </c>
      <c r="E5" s="610" t="s">
        <v>635</v>
      </c>
    </row>
    <row r="6" spans="1:5" ht="30">
      <c r="A6" s="611" t="str">
        <f>scenario_4</f>
        <v>2Y: AnaDig + CHP, Codig, Landfill</v>
      </c>
      <c r="B6" s="802">
        <v>3.5</v>
      </c>
      <c r="C6" s="796">
        <v>3</v>
      </c>
      <c r="D6" s="644">
        <f t="shared" si="0"/>
        <v>3.25</v>
      </c>
      <c r="E6" s="794" t="s">
        <v>673</v>
      </c>
    </row>
    <row r="7" spans="1:5" ht="30">
      <c r="A7" s="305" t="str">
        <f>scenario_5</f>
        <v>3Y: Incin, Landfill</v>
      </c>
      <c r="B7" s="305"/>
      <c r="C7" s="813"/>
      <c r="D7" s="815">
        <v>3</v>
      </c>
      <c r="E7" s="779" t="s">
        <v>674</v>
      </c>
    </row>
    <row r="8" spans="1:5" ht="32.1" customHeight="1">
      <c r="A8" s="780" t="str">
        <f>scenario_6</f>
        <v>4Y: Gasif, Landfill</v>
      </c>
      <c r="B8" s="780"/>
      <c r="C8" s="814"/>
      <c r="D8" s="816">
        <v>3</v>
      </c>
      <c r="E8" s="781" t="s">
        <v>675</v>
      </c>
    </row>
    <row r="9" spans="1:5" s="896" customFormat="1" ht="32.1" customHeight="1">
      <c r="A9" s="780" t="str">
        <f>scenario_7</f>
        <v>Custom Scenario</v>
      </c>
      <c r="B9" s="780"/>
      <c r="C9" s="814"/>
      <c r="D9" s="816"/>
      <c r="E9" s="781"/>
    </row>
    <row r="10" spans="1:5">
      <c r="A10" s="552"/>
      <c r="D10" s="552"/>
      <c r="E10" s="552"/>
    </row>
    <row r="11" spans="1:5">
      <c r="A11" s="506" t="s">
        <v>677</v>
      </c>
      <c r="B11" s="446" t="s">
        <v>540</v>
      </c>
      <c r="C11" s="506"/>
      <c r="D11" s="552"/>
    </row>
    <row r="12" spans="1:5">
      <c r="A12" s="507" t="s">
        <v>541</v>
      </c>
      <c r="B12" s="552" t="s">
        <v>542</v>
      </c>
      <c r="C12" s="506"/>
    </row>
    <row r="13" spans="1:5">
      <c r="A13" s="507" t="s">
        <v>543</v>
      </c>
      <c r="B13" s="552" t="s">
        <v>544</v>
      </c>
    </row>
    <row r="14" spans="1:5">
      <c r="A14" s="507" t="s">
        <v>545</v>
      </c>
      <c r="B14" s="508">
        <v>5</v>
      </c>
    </row>
    <row r="15" spans="1:5">
      <c r="A15" s="509" t="s">
        <v>546</v>
      </c>
      <c r="B15" s="552" t="s">
        <v>670</v>
      </c>
    </row>
    <row r="16" spans="1:5">
      <c r="A16" s="509" t="s">
        <v>548</v>
      </c>
      <c r="B16" s="510">
        <v>0</v>
      </c>
    </row>
    <row r="17" spans="1:5">
      <c r="A17" s="509" t="s">
        <v>549</v>
      </c>
      <c r="B17" s="552" t="s">
        <v>671</v>
      </c>
    </row>
    <row r="18" spans="1:5">
      <c r="A18" s="449"/>
      <c r="B18" s="449"/>
      <c r="C18" s="449"/>
      <c r="D18" s="511"/>
      <c r="E18" s="552"/>
    </row>
  </sheetData>
  <mergeCells count="1">
    <mergeCell ref="A1:E1"/>
  </mergeCells>
  <phoneticPr fontId="75" type="noConversion"/>
  <pageMargins left="0.75" right="0.75" top="1" bottom="1" header="0.5" footer="0.5"/>
  <pageSetup scale="88" fitToHeight="0" orientation="landscape" r:id="rId1"/>
  <extLst>
    <ext xmlns:mx="http://schemas.microsoft.com/office/mac/excel/2008/main" uri="http://schemas.microsoft.com/office/mac/excel/2008/main">
      <mx:PLV Mode="0" OnePage="0" WScale="0"/>
    </ext>
  </extLst>
</worksheet>
</file>

<file path=xl/worksheets/sheet15.xml><?xml version="1.0" encoding="utf-8"?>
<worksheet xmlns="http://schemas.openxmlformats.org/spreadsheetml/2006/main" xmlns:r="http://schemas.openxmlformats.org/officeDocument/2006/relationships">
  <sheetPr codeName="Sheet17">
    <tabColor rgb="FFFFFF00"/>
    <pageSetUpPr fitToPage="1"/>
  </sheetPr>
  <dimension ref="A1:E19"/>
  <sheetViews>
    <sheetView zoomScaleNormal="100" zoomScaleSheetLayoutView="100" workbookViewId="0">
      <selection activeCell="D8" sqref="D8"/>
    </sheetView>
  </sheetViews>
  <sheetFormatPr defaultColWidth="11.42578125" defaultRowHeight="15"/>
  <cols>
    <col min="1" max="1" width="43.85546875" customWidth="1"/>
    <col min="2" max="2" width="7.140625" customWidth="1"/>
    <col min="3" max="3" width="6.7109375" customWidth="1"/>
    <col min="5" max="5" width="92" customWidth="1"/>
  </cols>
  <sheetData>
    <row r="1" spans="1:5" ht="18.75">
      <c r="A1" s="1085" t="s">
        <v>678</v>
      </c>
      <c r="B1" s="1085"/>
      <c r="C1" s="1085"/>
      <c r="D1" s="1085"/>
      <c r="E1" s="1085"/>
    </row>
    <row r="2" spans="1:5" ht="31.5">
      <c r="A2" s="651" t="s">
        <v>346</v>
      </c>
      <c r="B2" s="237" t="s">
        <v>394</v>
      </c>
      <c r="C2" s="663" t="s">
        <v>817</v>
      </c>
      <c r="D2" s="650" t="s">
        <v>647</v>
      </c>
      <c r="E2" s="651" t="s">
        <v>567</v>
      </c>
    </row>
    <row r="3" spans="1:5" ht="60">
      <c r="A3" s="652" t="str">
        <f>scenario_1</f>
        <v>1X: AnaDig + CHP, Prtmt, LandApp</v>
      </c>
      <c r="B3" s="802">
        <v>2</v>
      </c>
      <c r="C3" s="796">
        <v>3</v>
      </c>
      <c r="D3" s="633">
        <f t="shared" ref="D3:D6" si="0">AVERAGE(B3,C3)</f>
        <v>2.5</v>
      </c>
      <c r="E3" s="654" t="s">
        <v>2</v>
      </c>
    </row>
    <row r="4" spans="1:5" ht="45">
      <c r="A4" s="655" t="str">
        <f>scenario_2</f>
        <v>1Y: AnaDig + CHP, Prtmt, Landfill</v>
      </c>
      <c r="B4" s="802">
        <v>2</v>
      </c>
      <c r="C4" s="796">
        <v>1</v>
      </c>
      <c r="D4" s="642">
        <f t="shared" si="0"/>
        <v>1.5</v>
      </c>
      <c r="E4" s="656" t="s">
        <v>3</v>
      </c>
    </row>
    <row r="5" spans="1:5" ht="48" customHeight="1">
      <c r="A5" s="657" t="str">
        <f>scenario_3</f>
        <v>2X: AnaDig + CHP, Codig, LandApp</v>
      </c>
      <c r="B5" s="802">
        <v>4</v>
      </c>
      <c r="C5" s="796">
        <v>3</v>
      </c>
      <c r="D5" s="643">
        <f t="shared" si="0"/>
        <v>3.5</v>
      </c>
      <c r="E5" s="658" t="s">
        <v>0</v>
      </c>
    </row>
    <row r="6" spans="1:5" ht="45">
      <c r="A6" s="659" t="str">
        <f>scenario_4</f>
        <v>2Y: AnaDig + CHP, Codig, Landfill</v>
      </c>
      <c r="B6" s="802">
        <v>4</v>
      </c>
      <c r="C6" s="796">
        <v>2</v>
      </c>
      <c r="D6" s="644">
        <f t="shared" si="0"/>
        <v>3</v>
      </c>
      <c r="E6" s="660" t="s">
        <v>1</v>
      </c>
    </row>
    <row r="7" spans="1:5" ht="45">
      <c r="A7" s="661" t="str">
        <f>scenario_5</f>
        <v>3Y: Incin, Landfill</v>
      </c>
      <c r="B7" s="661"/>
      <c r="C7" s="819"/>
      <c r="D7" s="817">
        <v>1</v>
      </c>
      <c r="E7" s="820" t="s">
        <v>810</v>
      </c>
    </row>
    <row r="8" spans="1:5" ht="45">
      <c r="A8" s="821" t="str">
        <f>scenario_6</f>
        <v>4Y: Gasif, Landfill</v>
      </c>
      <c r="B8" s="821"/>
      <c r="C8" s="822"/>
      <c r="D8" s="818">
        <v>1</v>
      </c>
      <c r="E8" s="823" t="s">
        <v>810</v>
      </c>
    </row>
    <row r="9" spans="1:5" s="896" customFormat="1">
      <c r="A9" s="821" t="str">
        <f>scenario_7</f>
        <v>Custom Scenario</v>
      </c>
      <c r="B9" s="821"/>
      <c r="C9" s="822"/>
      <c r="D9" s="818"/>
      <c r="E9" s="823"/>
    </row>
    <row r="10" spans="1:5">
      <c r="A10" s="653"/>
      <c r="B10" s="653"/>
      <c r="C10" s="653"/>
      <c r="D10" s="653"/>
      <c r="E10" s="653"/>
    </row>
    <row r="11" spans="1:5">
      <c r="A11" s="849" t="s">
        <v>539</v>
      </c>
      <c r="B11" s="850" t="s">
        <v>540</v>
      </c>
      <c r="C11" s="847"/>
      <c r="D11" s="850" t="s">
        <v>540</v>
      </c>
      <c r="E11" s="847"/>
    </row>
    <row r="12" spans="1:5">
      <c r="A12" s="851" t="s">
        <v>541</v>
      </c>
      <c r="B12" s="850" t="s">
        <v>542</v>
      </c>
      <c r="C12" s="850" t="s">
        <v>542</v>
      </c>
      <c r="D12" s="847"/>
      <c r="E12" s="847"/>
    </row>
    <row r="13" spans="1:5">
      <c r="A13" s="851" t="s">
        <v>543</v>
      </c>
      <c r="B13" s="850" t="s">
        <v>544</v>
      </c>
      <c r="C13" s="850" t="s">
        <v>544</v>
      </c>
      <c r="D13" s="847"/>
      <c r="E13" s="847"/>
    </row>
    <row r="14" spans="1:5">
      <c r="A14" s="851" t="s">
        <v>545</v>
      </c>
      <c r="B14" s="852">
        <v>5</v>
      </c>
      <c r="C14" s="852">
        <v>5</v>
      </c>
      <c r="D14" s="847"/>
      <c r="E14" s="847"/>
    </row>
    <row r="15" spans="1:5" ht="33.75" customHeight="1">
      <c r="A15" s="851" t="s">
        <v>546</v>
      </c>
      <c r="B15" s="1086" t="s">
        <v>672</v>
      </c>
      <c r="C15" s="1086"/>
      <c r="D15" s="1086"/>
      <c r="E15" s="1086"/>
    </row>
    <row r="16" spans="1:5">
      <c r="A16" s="851" t="s">
        <v>548</v>
      </c>
      <c r="B16" s="852">
        <v>0</v>
      </c>
      <c r="C16" s="852">
        <v>0</v>
      </c>
      <c r="D16" s="847"/>
      <c r="E16" s="847"/>
    </row>
    <row r="17" spans="1:5" ht="46.5" customHeight="1">
      <c r="A17" s="851" t="s">
        <v>549</v>
      </c>
      <c r="B17" s="1086" t="s">
        <v>666</v>
      </c>
      <c r="C17" s="1086"/>
      <c r="D17" s="1086"/>
      <c r="E17" s="1086"/>
    </row>
    <row r="18" spans="1:5">
      <c r="A18" s="1084"/>
      <c r="B18" s="1084"/>
      <c r="C18" s="1084"/>
      <c r="D18" s="1084"/>
      <c r="E18" s="653"/>
    </row>
    <row r="19" spans="1:5">
      <c r="A19" s="653"/>
      <c r="B19" s="653"/>
      <c r="C19" s="653"/>
      <c r="D19" s="653"/>
      <c r="E19" s="653"/>
    </row>
  </sheetData>
  <mergeCells count="4">
    <mergeCell ref="A18:D18"/>
    <mergeCell ref="A1:E1"/>
    <mergeCell ref="B15:E15"/>
    <mergeCell ref="B17:E17"/>
  </mergeCells>
  <phoneticPr fontId="75" type="noConversion"/>
  <pageMargins left="0.75" right="0.75" top="1" bottom="1" header="0.5" footer="0.5"/>
  <pageSetup scale="75" fitToHeight="0" orientation="landscape" r:id="rId1"/>
  <extLst>
    <ext xmlns:mx="http://schemas.microsoft.com/office/mac/excel/2008/main" uri="http://schemas.microsoft.com/office/mac/excel/2008/main">
      <mx:PLV Mode="0" OnePage="0" WScale="0"/>
    </ext>
  </extLst>
</worksheet>
</file>

<file path=xl/worksheets/sheet16.xml><?xml version="1.0" encoding="utf-8"?>
<worksheet xmlns="http://schemas.openxmlformats.org/spreadsheetml/2006/main" xmlns:r="http://schemas.openxmlformats.org/officeDocument/2006/relationships">
  <sheetPr codeName="Sheet8" enableFormatConditionsCalculation="0">
    <tabColor rgb="FFC00000"/>
  </sheetPr>
  <dimension ref="A1:BR194"/>
  <sheetViews>
    <sheetView showGridLines="0" topLeftCell="A7" zoomScale="85" zoomScaleNormal="85" zoomScaleSheetLayoutView="85" zoomScalePageLayoutView="85" workbookViewId="0">
      <selection activeCell="I34" sqref="I34"/>
    </sheetView>
  </sheetViews>
  <sheetFormatPr defaultColWidth="8.85546875" defaultRowHeight="15" outlineLevelCol="1"/>
  <cols>
    <col min="1" max="1" width="3.140625" style="38" customWidth="1"/>
    <col min="2" max="2" width="1.7109375" style="38" customWidth="1"/>
    <col min="3" max="3" width="9.85546875" style="38" hidden="1" customWidth="1" outlineLevel="1"/>
    <col min="4" max="4" width="38.28515625" style="38" hidden="1" customWidth="1" outlineLevel="1"/>
    <col min="5" max="5" width="22.7109375" style="38" customWidth="1" collapsed="1"/>
    <col min="6" max="6" width="44.7109375" style="38" customWidth="1"/>
    <col min="7" max="7" width="27.28515625" style="38" customWidth="1"/>
    <col min="8" max="8" width="6.85546875" style="38" customWidth="1"/>
    <col min="9" max="12" width="14.85546875" style="38" customWidth="1"/>
    <col min="13" max="13" width="17.28515625" style="38" customWidth="1"/>
    <col min="14" max="42" width="14.28515625" style="38" customWidth="1"/>
    <col min="43" max="63" width="9.42578125" style="38" customWidth="1"/>
    <col min="64" max="16384" width="8.85546875" style="38"/>
  </cols>
  <sheetData>
    <row r="1" spans="2:42" s="28" customFormat="1"/>
    <row r="2" spans="2:42" s="28" customFormat="1" ht="18.75">
      <c r="E2" s="29" t="s">
        <v>17</v>
      </c>
      <c r="F2" s="29" t="s">
        <v>294</v>
      </c>
      <c r="L2" s="197"/>
      <c r="M2" s="197"/>
    </row>
    <row r="3" spans="2:42" s="28" customFormat="1" ht="18.75">
      <c r="E3" s="29" t="s">
        <v>18</v>
      </c>
      <c r="F3" s="29" t="s">
        <v>295</v>
      </c>
      <c r="L3" s="197"/>
      <c r="M3" s="197"/>
    </row>
    <row r="4" spans="2:42" s="28" customFormat="1">
      <c r="L4" s="197"/>
      <c r="M4" s="193"/>
    </row>
    <row r="5" spans="2:42" s="28" customFormat="1">
      <c r="E5" s="31" t="s">
        <v>78</v>
      </c>
    </row>
    <row r="6" spans="2:42" s="28" customFormat="1"/>
    <row r="7" spans="2:42" s="28" customFormat="1">
      <c r="B7" s="970"/>
      <c r="C7" s="325"/>
      <c r="D7" s="325"/>
      <c r="E7" s="325"/>
      <c r="F7" s="325"/>
      <c r="G7" s="325" t="s">
        <v>79</v>
      </c>
      <c r="H7" s="325"/>
      <c r="I7" s="325" t="s">
        <v>80</v>
      </c>
      <c r="J7" s="325"/>
      <c r="K7" s="325"/>
      <c r="L7" s="325"/>
      <c r="M7" s="325">
        <f>FirstYr</f>
        <v>2014</v>
      </c>
      <c r="N7" s="325">
        <f>M7+1</f>
        <v>2015</v>
      </c>
      <c r="O7" s="325">
        <f t="shared" ref="O7:AP7" si="0">N7+1</f>
        <v>2016</v>
      </c>
      <c r="P7" s="325">
        <f t="shared" si="0"/>
        <v>2017</v>
      </c>
      <c r="Q7" s="325">
        <f t="shared" si="0"/>
        <v>2018</v>
      </c>
      <c r="R7" s="325">
        <f t="shared" si="0"/>
        <v>2019</v>
      </c>
      <c r="S7" s="325">
        <f t="shared" si="0"/>
        <v>2020</v>
      </c>
      <c r="T7" s="325">
        <f t="shared" si="0"/>
        <v>2021</v>
      </c>
      <c r="U7" s="325">
        <f t="shared" si="0"/>
        <v>2022</v>
      </c>
      <c r="V7" s="325">
        <f t="shared" si="0"/>
        <v>2023</v>
      </c>
      <c r="W7" s="325">
        <f t="shared" si="0"/>
        <v>2024</v>
      </c>
      <c r="X7" s="325">
        <f t="shared" si="0"/>
        <v>2025</v>
      </c>
      <c r="Y7" s="325">
        <f t="shared" si="0"/>
        <v>2026</v>
      </c>
      <c r="Z7" s="325">
        <f t="shared" si="0"/>
        <v>2027</v>
      </c>
      <c r="AA7" s="325">
        <f t="shared" si="0"/>
        <v>2028</v>
      </c>
      <c r="AB7" s="325">
        <f t="shared" si="0"/>
        <v>2029</v>
      </c>
      <c r="AC7" s="325">
        <f t="shared" si="0"/>
        <v>2030</v>
      </c>
      <c r="AD7" s="325">
        <f t="shared" si="0"/>
        <v>2031</v>
      </c>
      <c r="AE7" s="325">
        <f t="shared" si="0"/>
        <v>2032</v>
      </c>
      <c r="AF7" s="325">
        <f t="shared" si="0"/>
        <v>2033</v>
      </c>
      <c r="AG7" s="325">
        <f t="shared" si="0"/>
        <v>2034</v>
      </c>
      <c r="AH7" s="325">
        <f t="shared" si="0"/>
        <v>2035</v>
      </c>
      <c r="AI7" s="325">
        <f t="shared" si="0"/>
        <v>2036</v>
      </c>
      <c r="AJ7" s="325">
        <f t="shared" si="0"/>
        <v>2037</v>
      </c>
      <c r="AK7" s="325">
        <f t="shared" si="0"/>
        <v>2038</v>
      </c>
      <c r="AL7" s="325">
        <f t="shared" si="0"/>
        <v>2039</v>
      </c>
      <c r="AM7" s="325">
        <f t="shared" si="0"/>
        <v>2040</v>
      </c>
      <c r="AN7" s="325">
        <f t="shared" si="0"/>
        <v>2041</v>
      </c>
      <c r="AO7" s="325">
        <f t="shared" si="0"/>
        <v>2042</v>
      </c>
      <c r="AP7" s="325">
        <f t="shared" si="0"/>
        <v>2043</v>
      </c>
    </row>
    <row r="8" spans="2:42" s="28" customFormat="1"/>
    <row r="9" spans="2:42">
      <c r="B9" s="41"/>
      <c r="D9" s="63"/>
      <c r="E9" s="63" t="s">
        <v>81</v>
      </c>
      <c r="F9" s="41"/>
      <c r="G9" s="41"/>
      <c r="H9" s="42"/>
      <c r="I9" s="41"/>
      <c r="J9" s="42"/>
      <c r="K9" s="28"/>
      <c r="L9" s="42"/>
      <c r="M9" s="64">
        <f>M7</f>
        <v>2014</v>
      </c>
      <c r="N9" s="64">
        <f t="shared" ref="N9:AP9" si="1">N7</f>
        <v>2015</v>
      </c>
      <c r="O9" s="64">
        <f t="shared" si="1"/>
        <v>2016</v>
      </c>
      <c r="P9" s="64">
        <f t="shared" si="1"/>
        <v>2017</v>
      </c>
      <c r="Q9" s="64">
        <f t="shared" si="1"/>
        <v>2018</v>
      </c>
      <c r="R9" s="64">
        <f t="shared" si="1"/>
        <v>2019</v>
      </c>
      <c r="S9" s="64">
        <f t="shared" si="1"/>
        <v>2020</v>
      </c>
      <c r="T9" s="64">
        <f t="shared" si="1"/>
        <v>2021</v>
      </c>
      <c r="U9" s="64">
        <f t="shared" si="1"/>
        <v>2022</v>
      </c>
      <c r="V9" s="64">
        <f t="shared" si="1"/>
        <v>2023</v>
      </c>
      <c r="W9" s="64">
        <f t="shared" si="1"/>
        <v>2024</v>
      </c>
      <c r="X9" s="64">
        <f t="shared" si="1"/>
        <v>2025</v>
      </c>
      <c r="Y9" s="64">
        <f t="shared" si="1"/>
        <v>2026</v>
      </c>
      <c r="Z9" s="64">
        <f t="shared" si="1"/>
        <v>2027</v>
      </c>
      <c r="AA9" s="64">
        <f t="shared" si="1"/>
        <v>2028</v>
      </c>
      <c r="AB9" s="64">
        <f t="shared" si="1"/>
        <v>2029</v>
      </c>
      <c r="AC9" s="64">
        <f t="shared" si="1"/>
        <v>2030</v>
      </c>
      <c r="AD9" s="64">
        <f t="shared" si="1"/>
        <v>2031</v>
      </c>
      <c r="AE9" s="64">
        <f t="shared" si="1"/>
        <v>2032</v>
      </c>
      <c r="AF9" s="64">
        <f t="shared" si="1"/>
        <v>2033</v>
      </c>
      <c r="AG9" s="64">
        <f t="shared" si="1"/>
        <v>2034</v>
      </c>
      <c r="AH9" s="64">
        <f t="shared" si="1"/>
        <v>2035</v>
      </c>
      <c r="AI9" s="64">
        <f t="shared" si="1"/>
        <v>2036</v>
      </c>
      <c r="AJ9" s="64">
        <f t="shared" si="1"/>
        <v>2037</v>
      </c>
      <c r="AK9" s="64">
        <f t="shared" si="1"/>
        <v>2038</v>
      </c>
      <c r="AL9" s="64">
        <f t="shared" si="1"/>
        <v>2039</v>
      </c>
      <c r="AM9" s="64">
        <f t="shared" si="1"/>
        <v>2040</v>
      </c>
      <c r="AN9" s="64">
        <f t="shared" si="1"/>
        <v>2041</v>
      </c>
      <c r="AO9" s="64">
        <f t="shared" si="1"/>
        <v>2042</v>
      </c>
      <c r="AP9" s="64">
        <f t="shared" si="1"/>
        <v>2043</v>
      </c>
    </row>
    <row r="10" spans="2:42">
      <c r="B10" s="41"/>
      <c r="E10" s="39"/>
      <c r="F10" s="28"/>
      <c r="G10" s="28"/>
      <c r="H10" s="28"/>
      <c r="I10" s="28"/>
      <c r="J10" s="28"/>
      <c r="K10" s="28"/>
      <c r="L10" s="28"/>
    </row>
    <row r="11" spans="2:42">
      <c r="B11" s="41"/>
      <c r="E11" s="28" t="s">
        <v>253</v>
      </c>
      <c r="F11" s="28"/>
      <c r="G11" s="43" t="s">
        <v>83</v>
      </c>
      <c r="H11" s="28"/>
      <c r="I11" s="57">
        <v>2014</v>
      </c>
      <c r="J11" s="28"/>
      <c r="K11" s="28"/>
      <c r="L11" s="28"/>
    </row>
    <row r="12" spans="2:42">
      <c r="B12" s="41"/>
      <c r="E12" s="28" t="s">
        <v>82</v>
      </c>
      <c r="F12" s="28"/>
      <c r="G12" s="43" t="s">
        <v>83</v>
      </c>
      <c r="H12" s="28"/>
      <c r="I12" s="57">
        <v>2014</v>
      </c>
      <c r="J12" s="28"/>
      <c r="K12" s="28"/>
      <c r="L12" s="28"/>
    </row>
    <row r="13" spans="2:42">
      <c r="B13" s="41"/>
      <c r="E13" s="28" t="s">
        <v>613</v>
      </c>
      <c r="F13" s="28"/>
      <c r="G13" s="43" t="s">
        <v>83</v>
      </c>
      <c r="H13" s="28"/>
      <c r="I13" s="57">
        <v>2013</v>
      </c>
      <c r="J13" s="28"/>
      <c r="K13" s="28"/>
      <c r="L13" s="28"/>
    </row>
    <row r="14" spans="2:42">
      <c r="B14" s="41"/>
      <c r="E14" s="28" t="s">
        <v>84</v>
      </c>
      <c r="F14" s="28"/>
      <c r="G14" s="43" t="s">
        <v>7</v>
      </c>
      <c r="H14" s="28"/>
      <c r="I14" s="56">
        <v>20</v>
      </c>
      <c r="J14" s="28"/>
      <c r="K14" s="28"/>
      <c r="L14" s="28"/>
    </row>
    <row r="15" spans="2:42">
      <c r="B15" s="41"/>
      <c r="E15" s="28" t="s">
        <v>86</v>
      </c>
      <c r="F15" s="28"/>
      <c r="G15" s="43" t="s">
        <v>85</v>
      </c>
      <c r="H15" s="28"/>
      <c r="I15" s="58">
        <v>0.06</v>
      </c>
      <c r="J15" s="28"/>
      <c r="K15" s="28"/>
      <c r="L15" s="28"/>
    </row>
    <row r="16" spans="2:42">
      <c r="B16" s="41"/>
      <c r="E16" s="28" t="s">
        <v>87</v>
      </c>
      <c r="F16" s="28"/>
      <c r="G16" s="43" t="s">
        <v>85</v>
      </c>
      <c r="H16" s="28"/>
      <c r="I16" s="58">
        <v>0.03</v>
      </c>
      <c r="J16" s="28"/>
      <c r="K16" s="28"/>
      <c r="L16" s="28"/>
    </row>
    <row r="17" spans="2:42">
      <c r="B17" s="41"/>
      <c r="E17" s="28" t="s">
        <v>247</v>
      </c>
      <c r="F17" s="28"/>
      <c r="G17" s="43" t="s">
        <v>85</v>
      </c>
      <c r="H17" s="28"/>
      <c r="I17" s="58">
        <v>0.02</v>
      </c>
      <c r="J17" s="28"/>
      <c r="K17" s="28"/>
      <c r="L17" s="28"/>
    </row>
    <row r="18" spans="2:42">
      <c r="B18" s="41"/>
      <c r="E18" s="28" t="s">
        <v>248</v>
      </c>
      <c r="F18" s="28"/>
      <c r="G18" s="43" t="s">
        <v>85</v>
      </c>
      <c r="H18" s="28"/>
      <c r="I18" s="58">
        <f>I17</f>
        <v>0.02</v>
      </c>
      <c r="J18" s="28"/>
      <c r="K18" s="28"/>
      <c r="L18" s="28"/>
    </row>
    <row r="19" spans="2:42">
      <c r="B19" s="41"/>
      <c r="E19" s="28" t="s">
        <v>24</v>
      </c>
      <c r="F19" s="28"/>
      <c r="G19" s="43" t="s">
        <v>25</v>
      </c>
      <c r="H19" s="28"/>
      <c r="I19" s="69">
        <v>10</v>
      </c>
      <c r="J19" s="28"/>
      <c r="K19" s="28"/>
      <c r="L19" s="28"/>
    </row>
    <row r="20" spans="2:42">
      <c r="B20" s="41"/>
      <c r="E20" s="28" t="s">
        <v>268</v>
      </c>
      <c r="F20" s="28"/>
      <c r="G20" s="43" t="s">
        <v>122</v>
      </c>
      <c r="H20" s="28"/>
      <c r="I20" s="95">
        <v>35</v>
      </c>
      <c r="J20" s="28"/>
      <c r="K20" s="17"/>
      <c r="L20" s="28"/>
      <c r="M20" s="44"/>
    </row>
    <row r="21" spans="2:42">
      <c r="B21" s="41"/>
      <c r="E21" s="28" t="s">
        <v>867</v>
      </c>
      <c r="F21" s="28"/>
      <c r="G21" s="43"/>
      <c r="H21" s="28"/>
      <c r="I21" s="971" t="s">
        <v>507</v>
      </c>
      <c r="J21" s="28"/>
      <c r="K21" s="17"/>
      <c r="L21" s="28"/>
      <c r="M21" s="44"/>
    </row>
    <row r="22" spans="2:42">
      <c r="B22" s="41"/>
      <c r="E22" s="36"/>
      <c r="F22" s="39"/>
      <c r="G22" s="43"/>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row>
    <row r="23" spans="2:42">
      <c r="B23" s="41"/>
      <c r="E23" s="60" t="s">
        <v>26</v>
      </c>
      <c r="G23" s="43"/>
      <c r="J23" s="28"/>
      <c r="K23" s="28"/>
      <c r="L23" s="28"/>
    </row>
    <row r="24" spans="2:42">
      <c r="B24" s="41"/>
      <c r="E24" s="36" t="s">
        <v>22</v>
      </c>
      <c r="F24" s="28"/>
      <c r="G24" s="43" t="s">
        <v>85</v>
      </c>
      <c r="H24" s="28"/>
      <c r="I24" s="58">
        <v>0.04</v>
      </c>
      <c r="J24" s="28"/>
      <c r="K24" s="64">
        <f>L24-1</f>
        <v>2012</v>
      </c>
      <c r="L24" s="64">
        <f>M24-1</f>
        <v>2013</v>
      </c>
      <c r="M24" s="64">
        <f>M$9</f>
        <v>2014</v>
      </c>
      <c r="N24" s="64">
        <f t="shared" ref="N24:AP24" si="2">N$9</f>
        <v>2015</v>
      </c>
      <c r="O24" s="64">
        <f t="shared" si="2"/>
        <v>2016</v>
      </c>
      <c r="P24" s="64">
        <f t="shared" si="2"/>
        <v>2017</v>
      </c>
      <c r="Q24" s="64">
        <f t="shared" si="2"/>
        <v>2018</v>
      </c>
      <c r="R24" s="64">
        <f t="shared" si="2"/>
        <v>2019</v>
      </c>
      <c r="S24" s="64">
        <f t="shared" si="2"/>
        <v>2020</v>
      </c>
      <c r="T24" s="64">
        <f t="shared" si="2"/>
        <v>2021</v>
      </c>
      <c r="U24" s="64">
        <f t="shared" si="2"/>
        <v>2022</v>
      </c>
      <c r="V24" s="64">
        <f t="shared" si="2"/>
        <v>2023</v>
      </c>
      <c r="W24" s="64">
        <f t="shared" si="2"/>
        <v>2024</v>
      </c>
      <c r="X24" s="64">
        <f t="shared" si="2"/>
        <v>2025</v>
      </c>
      <c r="Y24" s="64">
        <f t="shared" si="2"/>
        <v>2026</v>
      </c>
      <c r="Z24" s="64">
        <f t="shared" si="2"/>
        <v>2027</v>
      </c>
      <c r="AA24" s="64">
        <f t="shared" si="2"/>
        <v>2028</v>
      </c>
      <c r="AB24" s="64">
        <f t="shared" si="2"/>
        <v>2029</v>
      </c>
      <c r="AC24" s="64">
        <f t="shared" si="2"/>
        <v>2030</v>
      </c>
      <c r="AD24" s="64">
        <f t="shared" si="2"/>
        <v>2031</v>
      </c>
      <c r="AE24" s="64">
        <f t="shared" si="2"/>
        <v>2032</v>
      </c>
      <c r="AF24" s="64">
        <f t="shared" si="2"/>
        <v>2033</v>
      </c>
      <c r="AG24" s="64">
        <f t="shared" si="2"/>
        <v>2034</v>
      </c>
      <c r="AH24" s="64">
        <f t="shared" si="2"/>
        <v>2035</v>
      </c>
      <c r="AI24" s="64">
        <f t="shared" si="2"/>
        <v>2036</v>
      </c>
      <c r="AJ24" s="64">
        <f t="shared" si="2"/>
        <v>2037</v>
      </c>
      <c r="AK24" s="64">
        <f t="shared" si="2"/>
        <v>2038</v>
      </c>
      <c r="AL24" s="64">
        <f t="shared" si="2"/>
        <v>2039</v>
      </c>
      <c r="AM24" s="64">
        <f t="shared" si="2"/>
        <v>2040</v>
      </c>
      <c r="AN24" s="64">
        <f t="shared" si="2"/>
        <v>2041</v>
      </c>
      <c r="AO24" s="64">
        <f t="shared" si="2"/>
        <v>2042</v>
      </c>
      <c r="AP24" s="64">
        <f t="shared" si="2"/>
        <v>2043</v>
      </c>
    </row>
    <row r="25" spans="2:42">
      <c r="B25" s="41"/>
      <c r="E25" s="36" t="s">
        <v>20</v>
      </c>
      <c r="F25" s="28"/>
      <c r="G25" s="43" t="s">
        <v>21</v>
      </c>
      <c r="H25" s="28"/>
      <c r="J25" s="28"/>
      <c r="K25" s="329"/>
      <c r="L25" s="329"/>
      <c r="M25" s="329">
        <v>6.1903800000000002E-2</v>
      </c>
      <c r="N25" s="329">
        <v>6.1573330000000003E-2</v>
      </c>
      <c r="O25" s="329">
        <v>6.1021880000000001E-2</v>
      </c>
      <c r="P25" s="329">
        <v>6.2672000000000005E-2</v>
      </c>
      <c r="Q25" s="329">
        <v>6.3586980000000001E-2</v>
      </c>
      <c r="R25" s="329">
        <v>6.4087949999999991E-2</v>
      </c>
      <c r="S25" s="329">
        <v>6.3896980000000006E-2</v>
      </c>
      <c r="T25" s="329">
        <v>6.3873630000000001E-2</v>
      </c>
      <c r="U25" s="329">
        <v>6.4331349999999995E-2</v>
      </c>
      <c r="V25" s="329">
        <v>6.4696959999999998E-2</v>
      </c>
      <c r="W25" s="329">
        <v>6.5134579999999997E-2</v>
      </c>
      <c r="X25" s="329">
        <v>6.5369709999999998E-2</v>
      </c>
      <c r="Y25" s="329">
        <v>6.5448850000000003E-2</v>
      </c>
      <c r="Z25" s="329">
        <v>6.5764059999999999E-2</v>
      </c>
      <c r="AA25" s="329">
        <v>6.6064749999999992E-2</v>
      </c>
      <c r="AB25" s="329">
        <v>6.6421400000000005E-2</v>
      </c>
      <c r="AC25" s="329">
        <v>6.6910600000000001E-2</v>
      </c>
      <c r="AD25" s="329">
        <v>6.7306329999999998E-2</v>
      </c>
      <c r="AE25" s="329">
        <v>6.7785819999999997E-2</v>
      </c>
      <c r="AF25" s="329">
        <v>6.8340310000000001E-2</v>
      </c>
      <c r="AG25" s="329">
        <v>6.8938810000000003E-2</v>
      </c>
      <c r="AH25" s="329">
        <v>6.970266E-2</v>
      </c>
      <c r="AI25" s="329">
        <v>7.0952609999999999E-2</v>
      </c>
      <c r="AJ25" s="329">
        <v>7.255267E-2</v>
      </c>
      <c r="AK25" s="329">
        <v>7.3940809999999996E-2</v>
      </c>
      <c r="AL25" s="329">
        <v>7.5294159999999999E-2</v>
      </c>
      <c r="AM25" s="329">
        <v>7.6731259999999996E-2</v>
      </c>
      <c r="AN25" s="329">
        <v>7.7603989999999998E-2</v>
      </c>
      <c r="AO25" s="329">
        <f>(($AN$25/$AJ$25)^(1/($AN$7-$AJ$7))*AN25)/100</f>
        <v>7.8920842702187078E-4</v>
      </c>
      <c r="AP25" s="329">
        <f>(($AN$25/$AJ$25)^(1/($AN$7-$AJ$7))*AO25)/100</f>
        <v>8.0260040918300148E-6</v>
      </c>
    </row>
    <row r="26" spans="2:42">
      <c r="B26" s="41"/>
      <c r="E26" s="36" t="s">
        <v>88</v>
      </c>
      <c r="F26" s="28"/>
      <c r="G26" s="43" t="s">
        <v>83</v>
      </c>
      <c r="H26" s="28"/>
      <c r="I26" s="57">
        <v>2011</v>
      </c>
      <c r="J26" s="28"/>
      <c r="K26" s="17"/>
      <c r="L26" s="28"/>
      <c r="M26" s="44"/>
    </row>
    <row r="27" spans="2:42">
      <c r="B27" s="41"/>
      <c r="E27" s="36"/>
      <c r="F27" s="28"/>
      <c r="G27" s="43"/>
      <c r="H27" s="28"/>
      <c r="I27" s="57"/>
      <c r="J27" s="28"/>
      <c r="K27" s="859"/>
      <c r="L27" s="859"/>
      <c r="M27" s="859"/>
      <c r="N27" s="859"/>
      <c r="O27" s="859"/>
      <c r="P27" s="859"/>
      <c r="Q27" s="859"/>
      <c r="R27" s="859"/>
      <c r="S27" s="859"/>
      <c r="T27" s="859"/>
      <c r="U27" s="859"/>
      <c r="V27" s="859"/>
      <c r="W27" s="859"/>
      <c r="X27" s="859"/>
      <c r="Y27" s="859"/>
      <c r="Z27" s="859"/>
      <c r="AA27" s="859"/>
      <c r="AB27" s="859"/>
      <c r="AC27" s="859"/>
      <c r="AD27" s="859"/>
      <c r="AE27" s="859"/>
      <c r="AF27" s="859"/>
      <c r="AG27" s="859"/>
      <c r="AH27" s="859"/>
      <c r="AI27" s="859"/>
      <c r="AJ27" s="859"/>
      <c r="AK27" s="859"/>
      <c r="AL27" s="859"/>
      <c r="AM27" s="859"/>
    </row>
    <row r="28" spans="2:42">
      <c r="B28" s="41"/>
      <c r="E28" s="60" t="s">
        <v>28</v>
      </c>
      <c r="J28" s="28"/>
      <c r="K28" s="28"/>
      <c r="L28" s="28"/>
    </row>
    <row r="29" spans="2:42">
      <c r="B29" s="41"/>
      <c r="E29" s="36" t="s">
        <v>90</v>
      </c>
      <c r="G29" s="43" t="s">
        <v>15</v>
      </c>
      <c r="J29" s="28"/>
      <c r="K29" s="28"/>
      <c r="L29" s="28"/>
      <c r="M29" s="45">
        <f>M43/$I$46</f>
        <v>6.4581556062773368E-2</v>
      </c>
      <c r="N29" s="45">
        <f t="shared" ref="N29:AP29" si="3">N43/$I$46</f>
        <v>6.4984127212630846E-2</v>
      </c>
      <c r="O29" s="45">
        <f t="shared" si="3"/>
        <v>6.7785589135026608E-2</v>
      </c>
      <c r="P29" s="45">
        <f t="shared" si="3"/>
        <v>6.981898718592304E-2</v>
      </c>
      <c r="Q29" s="45">
        <f t="shared" si="3"/>
        <v>7.1503796868933267E-2</v>
      </c>
      <c r="R29" s="45">
        <f t="shared" si="3"/>
        <v>7.2418565164272669E-2</v>
      </c>
      <c r="S29" s="45">
        <f t="shared" si="3"/>
        <v>7.3596994326953685E-2</v>
      </c>
      <c r="T29" s="45">
        <f t="shared" si="3"/>
        <v>7.5410274370898506E-2</v>
      </c>
      <c r="U29" s="45">
        <f t="shared" si="3"/>
        <v>7.7215647759667966E-2</v>
      </c>
      <c r="V29" s="45">
        <f t="shared" si="3"/>
        <v>7.9146228607689051E-2</v>
      </c>
      <c r="W29" s="45">
        <f t="shared" si="3"/>
        <v>8.0860520329207805E-2</v>
      </c>
      <c r="X29" s="45">
        <f t="shared" si="3"/>
        <v>8.2417599515092449E-2</v>
      </c>
      <c r="Y29" s="45">
        <f t="shared" si="3"/>
        <v>8.4321429342628054E-2</v>
      </c>
      <c r="Z29" s="45">
        <f t="shared" si="3"/>
        <v>8.6243254567324276E-2</v>
      </c>
      <c r="AA29" s="45">
        <f t="shared" si="3"/>
        <v>8.829382632331699E-2</v>
      </c>
      <c r="AB29" s="45">
        <f t="shared" si="3"/>
        <v>9.0590950022257213E-2</v>
      </c>
      <c r="AC29" s="45">
        <f t="shared" si="3"/>
        <v>9.2811104018487828E-2</v>
      </c>
      <c r="AD29" s="45">
        <f t="shared" si="3"/>
        <v>9.521877087141481E-2</v>
      </c>
      <c r="AE29" s="45">
        <f t="shared" si="3"/>
        <v>9.776763578849744E-2</v>
      </c>
      <c r="AF29" s="45">
        <f t="shared" si="3"/>
        <v>0.10042723479216267</v>
      </c>
      <c r="AG29" s="45">
        <f t="shared" si="3"/>
        <v>0.10338391809597851</v>
      </c>
      <c r="AH29" s="45">
        <f t="shared" si="3"/>
        <v>0.10713549812003452</v>
      </c>
      <c r="AI29" s="45">
        <f t="shared" si="3"/>
        <v>0.11152585678161221</v>
      </c>
      <c r="AJ29" s="45">
        <f t="shared" si="3"/>
        <v>0.11570324377054081</v>
      </c>
      <c r="AK29" s="45">
        <f t="shared" si="3"/>
        <v>0.11992306893841188</v>
      </c>
      <c r="AL29" s="45">
        <f t="shared" si="3"/>
        <v>0.12437235076287895</v>
      </c>
      <c r="AM29" s="45">
        <f t="shared" si="3"/>
        <v>0.12798765946565488</v>
      </c>
      <c r="AN29" s="45">
        <f t="shared" si="3"/>
        <v>0.13080338797389929</v>
      </c>
      <c r="AO29" s="45">
        <f t="shared" si="3"/>
        <v>0.13368106250932507</v>
      </c>
      <c r="AP29" s="45">
        <f t="shared" si="3"/>
        <v>0.13662204588453022</v>
      </c>
    </row>
    <row r="30" spans="2:42">
      <c r="B30" s="41"/>
      <c r="E30" s="36" t="s">
        <v>4</v>
      </c>
      <c r="G30" s="43" t="s">
        <v>5</v>
      </c>
      <c r="J30" s="28"/>
      <c r="K30" s="46"/>
      <c r="L30" s="46"/>
      <c r="M30" s="47">
        <f t="shared" ref="M30:AP30" si="4">M33/$I$36</f>
        <v>4.3491623021773513</v>
      </c>
      <c r="N30" s="47">
        <f t="shared" si="4"/>
        <v>4.4637464839421517</v>
      </c>
      <c r="O30" s="47">
        <f t="shared" si="4"/>
        <v>4.9882201407370221</v>
      </c>
      <c r="P30" s="47">
        <f t="shared" si="4"/>
        <v>5.2740394177313492</v>
      </c>
      <c r="Q30" s="47">
        <f t="shared" si="4"/>
        <v>5.6269550228721332</v>
      </c>
      <c r="R30" s="47">
        <f t="shared" si="4"/>
        <v>5.8540511616013333</v>
      </c>
      <c r="S30" s="47">
        <f t="shared" si="4"/>
        <v>6.0384280261774643</v>
      </c>
      <c r="T30" s="47">
        <f t="shared" si="4"/>
        <v>6.2668036784831465</v>
      </c>
      <c r="U30" s="47">
        <f t="shared" si="4"/>
        <v>6.592205479841267</v>
      </c>
      <c r="V30" s="47">
        <f t="shared" si="4"/>
        <v>6.9223010408478309</v>
      </c>
      <c r="W30" s="47">
        <f t="shared" si="4"/>
        <v>7.1632208510517392</v>
      </c>
      <c r="X30" s="47">
        <f t="shared" si="4"/>
        <v>7.3414909032361937</v>
      </c>
      <c r="Y30" s="47">
        <f t="shared" si="4"/>
        <v>7.6021404150132108</v>
      </c>
      <c r="Z30" s="47">
        <f t="shared" si="4"/>
        <v>7.7884635419133019</v>
      </c>
      <c r="AA30" s="47">
        <f t="shared" si="4"/>
        <v>8.0591711100798396</v>
      </c>
      <c r="AB30" s="47">
        <f t="shared" si="4"/>
        <v>8.3231988786498334</v>
      </c>
      <c r="AC30" s="47">
        <f t="shared" si="4"/>
        <v>8.5753643914497051</v>
      </c>
      <c r="AD30" s="47">
        <f t="shared" si="4"/>
        <v>8.8888916249159458</v>
      </c>
      <c r="AE30" s="47">
        <f t="shared" si="4"/>
        <v>9.1809181054485869</v>
      </c>
      <c r="AF30" s="47">
        <f t="shared" si="4"/>
        <v>9.5487976739560736</v>
      </c>
      <c r="AG30" s="47">
        <f t="shared" si="4"/>
        <v>10.077524695274986</v>
      </c>
      <c r="AH30" s="47">
        <f t="shared" si="4"/>
        <v>10.655171564681257</v>
      </c>
      <c r="AI30" s="47">
        <f t="shared" si="4"/>
        <v>11.383030107873127</v>
      </c>
      <c r="AJ30" s="47">
        <f t="shared" si="4"/>
        <v>12.092621250722152</v>
      </c>
      <c r="AK30" s="47">
        <f t="shared" si="4"/>
        <v>12.829558563080681</v>
      </c>
      <c r="AL30" s="47">
        <f t="shared" si="4"/>
        <v>13.272130091772659</v>
      </c>
      <c r="AM30" s="47">
        <f t="shared" si="4"/>
        <v>13.88215689431464</v>
      </c>
      <c r="AN30" s="47">
        <f t="shared" si="4"/>
        <v>14.423561013192909</v>
      </c>
      <c r="AO30" s="47">
        <f t="shared" si="4"/>
        <v>14.986079892707432</v>
      </c>
      <c r="AP30" s="47">
        <f t="shared" si="4"/>
        <v>15.570537008523022</v>
      </c>
    </row>
    <row r="31" spans="2:42">
      <c r="B31" s="41"/>
      <c r="E31" s="36"/>
      <c r="G31" s="43"/>
      <c r="J31" s="28"/>
      <c r="K31" s="46"/>
      <c r="L31" s="46"/>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row>
    <row r="32" spans="2:42">
      <c r="B32" s="41"/>
      <c r="E32" s="60" t="s">
        <v>27</v>
      </c>
      <c r="F32" s="28"/>
      <c r="G32" s="43"/>
      <c r="H32" s="28"/>
      <c r="I32" s="44"/>
      <c r="J32" s="28"/>
      <c r="K32" s="28"/>
      <c r="L32" s="28"/>
      <c r="M32" s="44"/>
    </row>
    <row r="33" spans="2:43">
      <c r="B33" s="41"/>
      <c r="E33" s="36" t="s">
        <v>598</v>
      </c>
      <c r="F33" s="28"/>
      <c r="G33" s="43"/>
      <c r="I33" s="57">
        <v>2</v>
      </c>
      <c r="J33" s="28"/>
      <c r="K33"/>
      <c r="L33" s="28"/>
      <c r="M33" s="65">
        <f t="shared" ref="M33:AM33" si="5">CHOOSE($I$33,M$38,M$39,M$40)</f>
        <v>4.5921500000000002</v>
      </c>
      <c r="N33" s="65">
        <f t="shared" si="5"/>
        <v>4.7131360000000004</v>
      </c>
      <c r="O33" s="65">
        <f t="shared" si="5"/>
        <v>5.2669119999999996</v>
      </c>
      <c r="P33" s="65">
        <f t="shared" si="5"/>
        <v>5.5686999999999998</v>
      </c>
      <c r="Q33" s="65">
        <f t="shared" si="5"/>
        <v>5.9413330000000002</v>
      </c>
      <c r="R33" s="65">
        <f t="shared" si="5"/>
        <v>6.1811170000000004</v>
      </c>
      <c r="S33" s="65">
        <f t="shared" si="5"/>
        <v>6.3757950000000001</v>
      </c>
      <c r="T33" s="65">
        <f t="shared" si="5"/>
        <v>6.61693</v>
      </c>
      <c r="U33" s="65">
        <f t="shared" si="5"/>
        <v>6.9605119999999996</v>
      </c>
      <c r="V33" s="65">
        <f t="shared" si="5"/>
        <v>7.30905</v>
      </c>
      <c r="W33" s="65">
        <f t="shared" si="5"/>
        <v>7.5634300000000003</v>
      </c>
      <c r="X33" s="65">
        <f t="shared" si="5"/>
        <v>7.7516600000000002</v>
      </c>
      <c r="Y33" s="65">
        <f t="shared" si="5"/>
        <v>8.0268719999999991</v>
      </c>
      <c r="Z33" s="65">
        <f t="shared" si="5"/>
        <v>8.2236049999999992</v>
      </c>
      <c r="AA33" s="65">
        <f t="shared" si="5"/>
        <v>8.5094370000000001</v>
      </c>
      <c r="AB33" s="65">
        <f t="shared" si="5"/>
        <v>8.7882160000000002</v>
      </c>
      <c r="AC33" s="65">
        <f t="shared" si="5"/>
        <v>9.0544700000000002</v>
      </c>
      <c r="AD33" s="65">
        <f t="shared" si="5"/>
        <v>9.3855140000000006</v>
      </c>
      <c r="AE33" s="65">
        <f t="shared" si="5"/>
        <v>9.6938560000000003</v>
      </c>
      <c r="AF33" s="65">
        <f t="shared" si="5"/>
        <v>10.082288999999999</v>
      </c>
      <c r="AG33" s="65">
        <f t="shared" si="5"/>
        <v>10.640556</v>
      </c>
      <c r="AH33" s="65">
        <f t="shared" si="5"/>
        <v>11.250476000000001</v>
      </c>
      <c r="AI33" s="65">
        <f t="shared" si="5"/>
        <v>12.019</v>
      </c>
      <c r="AJ33" s="65">
        <f t="shared" si="5"/>
        <v>12.768236</v>
      </c>
      <c r="AK33" s="65">
        <f t="shared" si="5"/>
        <v>13.546346</v>
      </c>
      <c r="AL33" s="65">
        <f t="shared" si="5"/>
        <v>14.013643999999999</v>
      </c>
      <c r="AM33" s="65">
        <f t="shared" si="5"/>
        <v>14.657753</v>
      </c>
      <c r="AN33" s="65">
        <f>AM33*(1+$I$34)</f>
        <v>15.229405366999998</v>
      </c>
      <c r="AO33" s="65">
        <f t="shared" ref="AO33:AP33" si="6">AN33*(1+$I$34)</f>
        <v>15.823352176312998</v>
      </c>
      <c r="AP33" s="65">
        <f t="shared" si="6"/>
        <v>16.440462911189204</v>
      </c>
      <c r="AQ33" s="65"/>
    </row>
    <row r="34" spans="2:43">
      <c r="B34" s="41"/>
      <c r="E34" s="36" t="s">
        <v>110</v>
      </c>
      <c r="F34" s="28"/>
      <c r="G34" s="43" t="s">
        <v>85</v>
      </c>
      <c r="H34" s="28"/>
      <c r="I34" s="522">
        <f>CHOOSE($I$33,I$38,I$39,I$40)</f>
        <v>3.9E-2</v>
      </c>
      <c r="J34" s="28"/>
      <c r="K34" s="28"/>
      <c r="L34" s="28"/>
    </row>
    <row r="35" spans="2:43">
      <c r="B35" s="41"/>
      <c r="E35" s="36" t="s">
        <v>89</v>
      </c>
      <c r="F35" s="28"/>
      <c r="G35" s="43" t="s">
        <v>83</v>
      </c>
      <c r="H35" s="28"/>
      <c r="I35" s="57">
        <v>2011</v>
      </c>
      <c r="J35" s="28"/>
      <c r="K35" s="28"/>
      <c r="L35" s="28"/>
      <c r="AQ35" s="42"/>
    </row>
    <row r="36" spans="2:43">
      <c r="B36" s="41"/>
      <c r="E36" s="36" t="s">
        <v>596</v>
      </c>
      <c r="F36" s="28"/>
      <c r="G36" s="43"/>
      <c r="H36" s="28"/>
      <c r="I36" s="518">
        <v>1.0558700000000001</v>
      </c>
      <c r="J36" s="28"/>
      <c r="K36" s="28"/>
      <c r="L36" s="28"/>
      <c r="AQ36" s="42"/>
    </row>
    <row r="37" spans="2:43">
      <c r="B37" s="41"/>
      <c r="E37" s="60" t="s">
        <v>597</v>
      </c>
      <c r="K37" s="64">
        <f>L37-1</f>
        <v>2012</v>
      </c>
      <c r="L37" s="64">
        <f>M37-1</f>
        <v>2013</v>
      </c>
      <c r="M37" s="64">
        <f>M$9</f>
        <v>2014</v>
      </c>
      <c r="N37" s="64">
        <f t="shared" ref="N37:AP37" si="7">N$9</f>
        <v>2015</v>
      </c>
      <c r="O37" s="64">
        <f t="shared" si="7"/>
        <v>2016</v>
      </c>
      <c r="P37" s="64">
        <f t="shared" si="7"/>
        <v>2017</v>
      </c>
      <c r="Q37" s="64">
        <f t="shared" si="7"/>
        <v>2018</v>
      </c>
      <c r="R37" s="64">
        <f t="shared" si="7"/>
        <v>2019</v>
      </c>
      <c r="S37" s="64">
        <f t="shared" si="7"/>
        <v>2020</v>
      </c>
      <c r="T37" s="64">
        <f t="shared" si="7"/>
        <v>2021</v>
      </c>
      <c r="U37" s="64">
        <f t="shared" si="7"/>
        <v>2022</v>
      </c>
      <c r="V37" s="64">
        <f t="shared" si="7"/>
        <v>2023</v>
      </c>
      <c r="W37" s="64">
        <f t="shared" si="7"/>
        <v>2024</v>
      </c>
      <c r="X37" s="64">
        <f t="shared" si="7"/>
        <v>2025</v>
      </c>
      <c r="Y37" s="64">
        <f t="shared" si="7"/>
        <v>2026</v>
      </c>
      <c r="Z37" s="64">
        <f t="shared" si="7"/>
        <v>2027</v>
      </c>
      <c r="AA37" s="64">
        <f t="shared" si="7"/>
        <v>2028</v>
      </c>
      <c r="AB37" s="64">
        <f t="shared" si="7"/>
        <v>2029</v>
      </c>
      <c r="AC37" s="64">
        <f t="shared" si="7"/>
        <v>2030</v>
      </c>
      <c r="AD37" s="64">
        <f t="shared" si="7"/>
        <v>2031</v>
      </c>
      <c r="AE37" s="64">
        <f t="shared" si="7"/>
        <v>2032</v>
      </c>
      <c r="AF37" s="64">
        <f t="shared" si="7"/>
        <v>2033</v>
      </c>
      <c r="AG37" s="64">
        <f t="shared" si="7"/>
        <v>2034</v>
      </c>
      <c r="AH37" s="64">
        <f t="shared" si="7"/>
        <v>2035</v>
      </c>
      <c r="AI37" s="64">
        <f t="shared" si="7"/>
        <v>2036</v>
      </c>
      <c r="AJ37" s="64">
        <f t="shared" si="7"/>
        <v>2037</v>
      </c>
      <c r="AK37" s="64">
        <f t="shared" si="7"/>
        <v>2038</v>
      </c>
      <c r="AL37" s="64">
        <f t="shared" si="7"/>
        <v>2039</v>
      </c>
      <c r="AM37" s="64">
        <f t="shared" si="7"/>
        <v>2040</v>
      </c>
      <c r="AN37" s="64">
        <f t="shared" si="7"/>
        <v>2041</v>
      </c>
      <c r="AO37" s="64">
        <f t="shared" si="7"/>
        <v>2042</v>
      </c>
      <c r="AP37" s="64">
        <f t="shared" si="7"/>
        <v>2043</v>
      </c>
    </row>
    <row r="38" spans="2:43">
      <c r="B38" s="41"/>
      <c r="F38" s="38" t="s">
        <v>592</v>
      </c>
      <c r="G38" s="43" t="s">
        <v>595</v>
      </c>
      <c r="I38" s="58">
        <v>2.1000000000000001E-2</v>
      </c>
      <c r="K38" s="519">
        <v>3.7214649999999998</v>
      </c>
      <c r="L38" s="520">
        <v>4.2544890000000004</v>
      </c>
      <c r="M38" s="520">
        <v>4.0913459999999997</v>
      </c>
      <c r="N38" s="521">
        <v>3.9905620000000002</v>
      </c>
      <c r="O38" s="521">
        <v>4.2698549999999997</v>
      </c>
      <c r="P38" s="521">
        <v>4.3250149999999996</v>
      </c>
      <c r="Q38" s="520">
        <v>4.4419029999999999</v>
      </c>
      <c r="R38" s="520">
        <v>4.5249480000000002</v>
      </c>
      <c r="S38" s="520">
        <v>4.6121889999999999</v>
      </c>
      <c r="T38" s="520">
        <v>4.7219379999999997</v>
      </c>
      <c r="U38" s="520">
        <v>4.8481870000000002</v>
      </c>
      <c r="V38" s="520">
        <v>4.9957659999999997</v>
      </c>
      <c r="W38" s="520">
        <v>5.1514850000000001</v>
      </c>
      <c r="X38" s="520">
        <v>5.3185019999999996</v>
      </c>
      <c r="Y38" s="520">
        <v>5.4200220000000003</v>
      </c>
      <c r="Z38" s="520">
        <v>5.5580639999999999</v>
      </c>
      <c r="AA38" s="520">
        <v>5.6865889999999997</v>
      </c>
      <c r="AB38" s="520">
        <v>5.8097820000000002</v>
      </c>
      <c r="AC38" s="520">
        <v>6.0706129999999998</v>
      </c>
      <c r="AD38" s="520">
        <v>6.3122920000000002</v>
      </c>
      <c r="AE38" s="520">
        <v>6.5620659999999997</v>
      </c>
      <c r="AF38" s="520">
        <v>6.7994289999999999</v>
      </c>
      <c r="AG38" s="520">
        <v>7.0719469999999998</v>
      </c>
      <c r="AH38" s="520">
        <v>7.4337200000000001</v>
      </c>
      <c r="AI38" s="520">
        <v>7.7448449999999998</v>
      </c>
      <c r="AJ38" s="520">
        <v>8.0753520000000005</v>
      </c>
      <c r="AK38" s="520">
        <v>8.4378989999999998</v>
      </c>
      <c r="AL38" s="520">
        <v>8.7002830000000007</v>
      </c>
      <c r="AM38" s="520">
        <v>8.9346709999999998</v>
      </c>
      <c r="AN38" s="47"/>
      <c r="AO38" s="47"/>
      <c r="AP38" s="47"/>
    </row>
    <row r="39" spans="2:43">
      <c r="B39" s="41"/>
      <c r="F39" s="38" t="s">
        <v>593</v>
      </c>
      <c r="G39" s="43" t="s">
        <v>595</v>
      </c>
      <c r="I39" s="58">
        <v>3.9E-2</v>
      </c>
      <c r="K39" s="519">
        <v>3.8264330000000002</v>
      </c>
      <c r="L39" s="520">
        <v>4.4859660000000003</v>
      </c>
      <c r="M39" s="520">
        <v>4.5921500000000002</v>
      </c>
      <c r="N39" s="521">
        <v>4.7131360000000004</v>
      </c>
      <c r="O39" s="521">
        <v>5.2669119999999996</v>
      </c>
      <c r="P39" s="521">
        <v>5.5686999999999998</v>
      </c>
      <c r="Q39" s="520">
        <v>5.9413330000000002</v>
      </c>
      <c r="R39" s="520">
        <v>6.1811170000000004</v>
      </c>
      <c r="S39" s="520">
        <v>6.3757950000000001</v>
      </c>
      <c r="T39" s="520">
        <v>6.61693</v>
      </c>
      <c r="U39" s="520">
        <v>6.9605119999999996</v>
      </c>
      <c r="V39" s="520">
        <v>7.30905</v>
      </c>
      <c r="W39" s="520">
        <v>7.5634300000000003</v>
      </c>
      <c r="X39" s="520">
        <v>7.7516600000000002</v>
      </c>
      <c r="Y39" s="520">
        <v>8.0268719999999991</v>
      </c>
      <c r="Z39" s="520">
        <v>8.2236049999999992</v>
      </c>
      <c r="AA39" s="520">
        <v>8.5094370000000001</v>
      </c>
      <c r="AB39" s="520">
        <v>8.7882160000000002</v>
      </c>
      <c r="AC39" s="520">
        <v>9.0544700000000002</v>
      </c>
      <c r="AD39" s="520">
        <v>9.3855140000000006</v>
      </c>
      <c r="AE39" s="520">
        <v>9.6938560000000003</v>
      </c>
      <c r="AF39" s="520">
        <v>10.082288999999999</v>
      </c>
      <c r="AG39" s="520">
        <v>10.640556</v>
      </c>
      <c r="AH39" s="520">
        <v>11.250476000000001</v>
      </c>
      <c r="AI39" s="520">
        <v>12.019</v>
      </c>
      <c r="AJ39" s="520">
        <v>12.768236</v>
      </c>
      <c r="AK39" s="520">
        <v>13.546346</v>
      </c>
      <c r="AL39" s="520">
        <v>14.013643999999999</v>
      </c>
      <c r="AM39" s="520">
        <v>14.657753</v>
      </c>
      <c r="AN39" s="47"/>
      <c r="AO39" s="47"/>
      <c r="AP39" s="47"/>
    </row>
    <row r="40" spans="2:43">
      <c r="B40" s="41"/>
      <c r="F40" s="38" t="s">
        <v>594</v>
      </c>
      <c r="G40" s="43" t="s">
        <v>595</v>
      </c>
      <c r="I40" s="58">
        <v>4.7E-2</v>
      </c>
      <c r="K40" s="519">
        <v>3.7250040000000002</v>
      </c>
      <c r="L40" s="520">
        <v>4.2492099999999997</v>
      </c>
      <c r="M40" s="520">
        <v>6.2741889999999998</v>
      </c>
      <c r="N40" s="521">
        <v>6.2645090000000003</v>
      </c>
      <c r="O40" s="521">
        <v>7.1641899999999996</v>
      </c>
      <c r="P40" s="521">
        <v>7.2701539999999998</v>
      </c>
      <c r="Q40" s="520">
        <v>7.4578230000000003</v>
      </c>
      <c r="R40" s="520">
        <v>7.5860539999999999</v>
      </c>
      <c r="S40" s="520">
        <v>7.8229069999999998</v>
      </c>
      <c r="T40" s="520">
        <v>8.0707550000000001</v>
      </c>
      <c r="U40" s="520">
        <v>8.4239759999999997</v>
      </c>
      <c r="V40" s="520">
        <v>8.7659769999999995</v>
      </c>
      <c r="W40" s="520">
        <v>9.0917589999999997</v>
      </c>
      <c r="X40" s="520">
        <v>9.4541400000000007</v>
      </c>
      <c r="Y40" s="520">
        <v>9.7315439999999995</v>
      </c>
      <c r="Z40" s="520">
        <v>10.057505000000001</v>
      </c>
      <c r="AA40" s="520">
        <v>10.508668999999999</v>
      </c>
      <c r="AB40" s="520">
        <v>10.976912</v>
      </c>
      <c r="AC40" s="520">
        <v>11.468204999999999</v>
      </c>
      <c r="AD40" s="520">
        <v>11.950531</v>
      </c>
      <c r="AE40" s="520">
        <v>12.485469</v>
      </c>
      <c r="AF40" s="520">
        <v>13.026408</v>
      </c>
      <c r="AG40" s="520">
        <v>13.621401000000001</v>
      </c>
      <c r="AH40" s="520">
        <v>14.301581000000001</v>
      </c>
      <c r="AI40" s="520">
        <v>14.92306</v>
      </c>
      <c r="AJ40" s="520">
        <v>15.649527000000001</v>
      </c>
      <c r="AK40" s="520">
        <v>16.448048</v>
      </c>
      <c r="AL40" s="520">
        <v>17.382840999999999</v>
      </c>
      <c r="AM40" s="520">
        <v>18.307827</v>
      </c>
      <c r="AN40" s="47"/>
      <c r="AO40" s="47"/>
      <c r="AP40" s="47"/>
    </row>
    <row r="41" spans="2:43">
      <c r="B41" s="41"/>
      <c r="E41" s="60"/>
      <c r="F41" s="28"/>
      <c r="G41" s="43"/>
      <c r="H41" s="28"/>
      <c r="I41" s="44"/>
      <c r="J41" s="28"/>
      <c r="K41" s="46"/>
      <c r="L41" s="46"/>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row>
    <row r="42" spans="2:43">
      <c r="B42" s="41"/>
      <c r="E42" s="60" t="s">
        <v>599</v>
      </c>
      <c r="F42" s="28"/>
      <c r="G42" s="43"/>
      <c r="H42" s="28"/>
      <c r="I42" s="44"/>
      <c r="J42" s="28"/>
      <c r="K42" s="46"/>
      <c r="L42" s="46"/>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row>
    <row r="43" spans="2:43">
      <c r="B43" s="41"/>
      <c r="E43" s="36" t="s">
        <v>601</v>
      </c>
      <c r="F43" s="28"/>
      <c r="G43" s="43"/>
      <c r="H43" s="28"/>
      <c r="I43" s="57">
        <f>I33</f>
        <v>2</v>
      </c>
      <c r="J43" s="28"/>
      <c r="K43" s="46"/>
      <c r="L43" s="46"/>
      <c r="M43" s="47">
        <f>CHOOSE($I$43,M48,M49,M50)</f>
        <v>18.941590999999999</v>
      </c>
      <c r="N43" s="47">
        <f t="shared" ref="N43:AM43" si="8">CHOOSE($I$43,N48,N49,N50)</f>
        <v>19.059664000000001</v>
      </c>
      <c r="O43" s="47">
        <f t="shared" si="8"/>
        <v>19.881325</v>
      </c>
      <c r="P43" s="47">
        <f t="shared" si="8"/>
        <v>20.477715</v>
      </c>
      <c r="Q43" s="47">
        <f t="shared" si="8"/>
        <v>20.971865000000001</v>
      </c>
      <c r="R43" s="47">
        <f t="shared" si="8"/>
        <v>21.240164</v>
      </c>
      <c r="S43" s="47">
        <f t="shared" si="8"/>
        <v>21.585794</v>
      </c>
      <c r="T43" s="47">
        <f t="shared" si="8"/>
        <v>22.117623999999999</v>
      </c>
      <c r="U43" s="47">
        <f t="shared" si="8"/>
        <v>22.647134999999999</v>
      </c>
      <c r="V43" s="47">
        <f t="shared" si="8"/>
        <v>23.213369</v>
      </c>
      <c r="W43" s="47">
        <f t="shared" si="8"/>
        <v>23.716166000000001</v>
      </c>
      <c r="X43" s="47">
        <f t="shared" si="8"/>
        <v>24.172853</v>
      </c>
      <c r="Y43" s="47">
        <f t="shared" si="8"/>
        <v>24.731241000000001</v>
      </c>
      <c r="Z43" s="47">
        <f t="shared" si="8"/>
        <v>25.294906999999998</v>
      </c>
      <c r="AA43" s="47">
        <f t="shared" si="8"/>
        <v>25.896334</v>
      </c>
      <c r="AB43" s="47">
        <f t="shared" si="8"/>
        <v>26.570074000000002</v>
      </c>
      <c r="AC43" s="47">
        <f t="shared" si="8"/>
        <v>27.221239000000001</v>
      </c>
      <c r="AD43" s="47">
        <f t="shared" si="8"/>
        <v>27.927401</v>
      </c>
      <c r="AE43" s="47">
        <f t="shared" si="8"/>
        <v>28.674976000000001</v>
      </c>
      <c r="AF43" s="47">
        <f t="shared" si="8"/>
        <v>29.455029</v>
      </c>
      <c r="AG43" s="47">
        <f t="shared" si="8"/>
        <v>30.322216000000001</v>
      </c>
      <c r="AH43" s="47">
        <f t="shared" si="8"/>
        <v>31.422543999999998</v>
      </c>
      <c r="AI43" s="47">
        <f t="shared" si="8"/>
        <v>32.710223999999997</v>
      </c>
      <c r="AJ43" s="47">
        <f t="shared" si="8"/>
        <v>33.93544</v>
      </c>
      <c r="AK43" s="47">
        <f t="shared" si="8"/>
        <v>35.173102999999998</v>
      </c>
      <c r="AL43" s="47">
        <f t="shared" si="8"/>
        <v>36.478065000000001</v>
      </c>
      <c r="AM43" s="47">
        <f t="shared" si="8"/>
        <v>37.538424999999997</v>
      </c>
      <c r="AN43" s="47">
        <f>AM43*(1+$I$44)</f>
        <v>38.364270349999998</v>
      </c>
      <c r="AO43" s="47">
        <f t="shared" ref="AO43:AP43" si="9">AN43*(1+$I$44)</f>
        <v>39.208284297699997</v>
      </c>
      <c r="AP43" s="47">
        <f t="shared" si="9"/>
        <v>40.070866552249399</v>
      </c>
    </row>
    <row r="44" spans="2:43">
      <c r="B44" s="41"/>
      <c r="E44" s="36" t="s">
        <v>600</v>
      </c>
      <c r="F44" s="28"/>
      <c r="G44" s="43"/>
      <c r="I44" s="522">
        <f>CHOOSE($I$43,I48,I49,I50)</f>
        <v>2.1999999999999999E-2</v>
      </c>
      <c r="J44" s="28"/>
      <c r="K44" s="46"/>
      <c r="L44" s="46"/>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row>
    <row r="45" spans="2:43">
      <c r="B45" s="41"/>
      <c r="E45" s="36" t="s">
        <v>89</v>
      </c>
      <c r="F45" s="28"/>
      <c r="G45" s="43"/>
      <c r="H45" s="28"/>
      <c r="I45" s="57">
        <v>2011</v>
      </c>
      <c r="J45" s="28"/>
      <c r="K45" s="46"/>
      <c r="L45" s="46"/>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row>
    <row r="46" spans="2:43">
      <c r="B46" s="41"/>
      <c r="E46" s="36" t="s">
        <v>602</v>
      </c>
      <c r="F46" s="28"/>
      <c r="G46" s="43"/>
      <c r="H46" s="28"/>
      <c r="I46" s="518">
        <v>293.29722222222</v>
      </c>
      <c r="J46" s="28"/>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7"/>
      <c r="AO46" s="47"/>
      <c r="AP46" s="47"/>
    </row>
    <row r="47" spans="2:43" s="42" customFormat="1">
      <c r="E47" s="62"/>
      <c r="F47" s="197"/>
      <c r="G47" s="43"/>
      <c r="H47" s="197"/>
      <c r="I47" s="523"/>
      <c r="J47" s="197"/>
      <c r="K47" s="315"/>
      <c r="L47" s="315"/>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4"/>
      <c r="AP47" s="524"/>
    </row>
    <row r="48" spans="2:43">
      <c r="B48" s="41"/>
      <c r="E48" s="36"/>
      <c r="F48" s="38" t="s">
        <v>592</v>
      </c>
      <c r="G48" s="43" t="s">
        <v>595</v>
      </c>
      <c r="I48" s="58">
        <v>1.6E-2</v>
      </c>
      <c r="K48" s="519">
        <v>18.691535999999999</v>
      </c>
      <c r="L48" s="520">
        <v>18.611194999999999</v>
      </c>
      <c r="M48" s="520">
        <v>18.592392</v>
      </c>
      <c r="N48" s="521">
        <v>18.424910000000001</v>
      </c>
      <c r="O48" s="521">
        <v>19.065849</v>
      </c>
      <c r="P48" s="521">
        <v>19.400031999999999</v>
      </c>
      <c r="Q48" s="520">
        <v>19.574251</v>
      </c>
      <c r="R48" s="520">
        <v>19.676590000000001</v>
      </c>
      <c r="S48" s="520">
        <v>20.132657999999999</v>
      </c>
      <c r="T48" s="520">
        <v>20.748214999999998</v>
      </c>
      <c r="U48" s="520">
        <v>20.889420999999999</v>
      </c>
      <c r="V48" s="520">
        <v>21.027287000000001</v>
      </c>
      <c r="W48" s="520">
        <v>21.412929999999999</v>
      </c>
      <c r="X48" s="520">
        <v>21.845960999999999</v>
      </c>
      <c r="Y48" s="520">
        <v>22.255468</v>
      </c>
      <c r="Z48" s="520">
        <v>22.711749999999999</v>
      </c>
      <c r="AA48" s="520">
        <v>23.167141000000001</v>
      </c>
      <c r="AB48" s="520">
        <v>23.626698000000001</v>
      </c>
      <c r="AC48" s="520">
        <v>24.140647999999999</v>
      </c>
      <c r="AD48" s="520">
        <v>24.766459000000001</v>
      </c>
      <c r="AE48" s="520">
        <v>25.379971000000001</v>
      </c>
      <c r="AF48" s="520">
        <v>26.002856999999999</v>
      </c>
      <c r="AG48" s="520">
        <v>26.683672000000001</v>
      </c>
      <c r="AH48" s="520">
        <v>27.432884000000001</v>
      </c>
      <c r="AI48" s="520">
        <v>28.183783999999999</v>
      </c>
      <c r="AJ48" s="520">
        <v>28.927295999999998</v>
      </c>
      <c r="AK48" s="520">
        <v>29.733613999999999</v>
      </c>
      <c r="AL48" s="520">
        <v>30.577826999999999</v>
      </c>
      <c r="AM48" s="520">
        <v>31.272625000000001</v>
      </c>
      <c r="AN48" s="47"/>
      <c r="AO48" s="47"/>
      <c r="AP48" s="47"/>
    </row>
    <row r="49" spans="1:44">
      <c r="B49" s="41"/>
      <c r="E49" s="36"/>
      <c r="F49" s="38" t="s">
        <v>593</v>
      </c>
      <c r="G49" s="43" t="s">
        <v>595</v>
      </c>
      <c r="I49" s="58">
        <v>2.1999999999999999E-2</v>
      </c>
      <c r="K49" s="519">
        <v>18.763317000000001</v>
      </c>
      <c r="L49" s="520">
        <v>18.779178999999999</v>
      </c>
      <c r="M49" s="520">
        <v>18.941590999999999</v>
      </c>
      <c r="N49" s="521">
        <v>19.059664000000001</v>
      </c>
      <c r="O49" s="521">
        <v>19.881325</v>
      </c>
      <c r="P49" s="521">
        <v>20.477715</v>
      </c>
      <c r="Q49" s="520">
        <v>20.971865000000001</v>
      </c>
      <c r="R49" s="520">
        <v>21.240164</v>
      </c>
      <c r="S49" s="520">
        <v>21.585794</v>
      </c>
      <c r="T49" s="520">
        <v>22.117623999999999</v>
      </c>
      <c r="U49" s="520">
        <v>22.647134999999999</v>
      </c>
      <c r="V49" s="520">
        <v>23.213369</v>
      </c>
      <c r="W49" s="520">
        <v>23.716166000000001</v>
      </c>
      <c r="X49" s="520">
        <v>24.172853</v>
      </c>
      <c r="Y49" s="520">
        <v>24.731241000000001</v>
      </c>
      <c r="Z49" s="520">
        <v>25.294906999999998</v>
      </c>
      <c r="AA49" s="520">
        <v>25.896334</v>
      </c>
      <c r="AB49" s="520">
        <v>26.570074000000002</v>
      </c>
      <c r="AC49" s="520">
        <v>27.221239000000001</v>
      </c>
      <c r="AD49" s="520">
        <v>27.927401</v>
      </c>
      <c r="AE49" s="520">
        <v>28.674976000000001</v>
      </c>
      <c r="AF49" s="520">
        <v>29.455029</v>
      </c>
      <c r="AG49" s="520">
        <v>30.322216000000001</v>
      </c>
      <c r="AH49" s="520">
        <v>31.422543999999998</v>
      </c>
      <c r="AI49" s="520">
        <v>32.710223999999997</v>
      </c>
      <c r="AJ49" s="520">
        <v>33.93544</v>
      </c>
      <c r="AK49" s="520">
        <v>35.173102999999998</v>
      </c>
      <c r="AL49" s="520">
        <v>36.478065000000001</v>
      </c>
      <c r="AM49" s="520">
        <v>37.538424999999997</v>
      </c>
      <c r="AN49" s="47"/>
      <c r="AO49" s="47"/>
      <c r="AP49" s="47"/>
    </row>
    <row r="50" spans="1:44">
      <c r="B50" s="41"/>
      <c r="E50" s="36"/>
      <c r="F50" s="38" t="s">
        <v>594</v>
      </c>
      <c r="G50" s="43" t="s">
        <v>595</v>
      </c>
      <c r="I50" s="58">
        <v>3.1E-2</v>
      </c>
      <c r="K50" s="519">
        <v>18.690535000000001</v>
      </c>
      <c r="L50" s="520">
        <v>18.597054</v>
      </c>
      <c r="M50" s="520">
        <v>22.021758999999999</v>
      </c>
      <c r="N50" s="521">
        <v>24.647772</v>
      </c>
      <c r="O50" s="521">
        <v>26.456312</v>
      </c>
      <c r="P50" s="521">
        <v>27.013729000000001</v>
      </c>
      <c r="Q50" s="520">
        <v>27.142969000000001</v>
      </c>
      <c r="R50" s="520">
        <v>27.321664999999999</v>
      </c>
      <c r="S50" s="520">
        <v>27.527557000000002</v>
      </c>
      <c r="T50" s="520">
        <v>28.095175000000001</v>
      </c>
      <c r="U50" s="520">
        <v>28.809833999999999</v>
      </c>
      <c r="V50" s="520">
        <v>29.549994999999999</v>
      </c>
      <c r="W50" s="520">
        <v>30.224342</v>
      </c>
      <c r="X50" s="520">
        <v>31.028825999999999</v>
      </c>
      <c r="Y50" s="520">
        <v>31.638109</v>
      </c>
      <c r="Z50" s="520">
        <v>32.438107000000002</v>
      </c>
      <c r="AA50" s="520">
        <v>33.255833000000003</v>
      </c>
      <c r="AB50" s="520">
        <v>34.287208999999997</v>
      </c>
      <c r="AC50" s="520">
        <v>35.414417</v>
      </c>
      <c r="AD50" s="520">
        <v>36.509872000000001</v>
      </c>
      <c r="AE50" s="520">
        <v>37.706260999999998</v>
      </c>
      <c r="AF50" s="520">
        <v>38.990428999999999</v>
      </c>
      <c r="AG50" s="520">
        <v>40.149360999999999</v>
      </c>
      <c r="AH50" s="520">
        <v>41.395882</v>
      </c>
      <c r="AI50" s="520">
        <v>42.607761000000004</v>
      </c>
      <c r="AJ50" s="520">
        <v>43.767505999999997</v>
      </c>
      <c r="AK50" s="520">
        <v>45.305346999999998</v>
      </c>
      <c r="AL50" s="520">
        <v>46.837620000000001</v>
      </c>
      <c r="AM50" s="520">
        <v>48.537258000000001</v>
      </c>
      <c r="AN50" s="47"/>
      <c r="AO50" s="47"/>
      <c r="AP50" s="47"/>
    </row>
    <row r="51" spans="1:44">
      <c r="B51" s="41"/>
      <c r="E51" s="36"/>
      <c r="G51" s="43"/>
      <c r="J51" s="28"/>
      <c r="K51" s="46"/>
      <c r="L51" s="46"/>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row>
    <row r="52" spans="1:44">
      <c r="B52" s="41"/>
      <c r="E52" s="60" t="s">
        <v>865</v>
      </c>
      <c r="G52" s="43"/>
      <c r="J52" s="28"/>
      <c r="K52" s="46"/>
      <c r="L52" s="46"/>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row>
    <row r="53" spans="1:44">
      <c r="B53" s="41"/>
      <c r="E53" s="36" t="s">
        <v>870</v>
      </c>
      <c r="F53" s="28"/>
      <c r="G53" s="43" t="s">
        <v>83</v>
      </c>
      <c r="I53" s="57">
        <v>2020</v>
      </c>
      <c r="J53" s="28"/>
      <c r="K53" s="46"/>
      <c r="L53" s="46"/>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row>
    <row r="54" spans="1:44">
      <c r="B54" s="41"/>
      <c r="E54" s="36" t="s">
        <v>872</v>
      </c>
      <c r="F54" s="28"/>
      <c r="G54" s="43" t="s">
        <v>85</v>
      </c>
      <c r="I54" s="58">
        <v>0.02</v>
      </c>
      <c r="J54" s="28"/>
      <c r="K54" s="46"/>
      <c r="L54" s="46"/>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row>
    <row r="55" spans="1:44">
      <c r="B55" s="41"/>
      <c r="E55" s="36" t="s">
        <v>871</v>
      </c>
      <c r="F55" s="28"/>
      <c r="G55" s="43" t="s">
        <v>874</v>
      </c>
      <c r="I55" s="95">
        <v>25</v>
      </c>
      <c r="J55" s="28"/>
    </row>
    <row r="56" spans="1:44">
      <c r="B56" s="41"/>
      <c r="E56" s="36" t="s">
        <v>873</v>
      </c>
      <c r="G56" s="43" t="s">
        <v>874</v>
      </c>
      <c r="J56" s="28"/>
      <c r="K56" s="519">
        <f t="shared" ref="K56:AP56" si="10">IF(OR($I$21="Off",K$37&lt;$I$53),0,$I$55*(1+GHGEsc)^(K$37-$I$53))</f>
        <v>0</v>
      </c>
      <c r="L56" s="519">
        <f t="shared" si="10"/>
        <v>0</v>
      </c>
      <c r="M56" s="519">
        <f t="shared" si="10"/>
        <v>0</v>
      </c>
      <c r="N56" s="519">
        <f t="shared" si="10"/>
        <v>0</v>
      </c>
      <c r="O56" s="519">
        <f t="shared" si="10"/>
        <v>0</v>
      </c>
      <c r="P56" s="519">
        <f t="shared" si="10"/>
        <v>0</v>
      </c>
      <c r="Q56" s="519">
        <f t="shared" si="10"/>
        <v>0</v>
      </c>
      <c r="R56" s="519">
        <f t="shared" si="10"/>
        <v>0</v>
      </c>
      <c r="S56" s="519">
        <f t="shared" si="10"/>
        <v>0</v>
      </c>
      <c r="T56" s="519">
        <f t="shared" si="10"/>
        <v>0</v>
      </c>
      <c r="U56" s="519">
        <f t="shared" si="10"/>
        <v>0</v>
      </c>
      <c r="V56" s="519">
        <f t="shared" si="10"/>
        <v>0</v>
      </c>
      <c r="W56" s="519">
        <f t="shared" si="10"/>
        <v>0</v>
      </c>
      <c r="X56" s="519">
        <f t="shared" si="10"/>
        <v>0</v>
      </c>
      <c r="Y56" s="519">
        <f t="shared" si="10"/>
        <v>0</v>
      </c>
      <c r="Z56" s="519">
        <f t="shared" si="10"/>
        <v>0</v>
      </c>
      <c r="AA56" s="519">
        <f t="shared" si="10"/>
        <v>0</v>
      </c>
      <c r="AB56" s="519">
        <f t="shared" si="10"/>
        <v>0</v>
      </c>
      <c r="AC56" s="519">
        <f t="shared" si="10"/>
        <v>0</v>
      </c>
      <c r="AD56" s="519">
        <f t="shared" si="10"/>
        <v>0</v>
      </c>
      <c r="AE56" s="519">
        <f t="shared" si="10"/>
        <v>0</v>
      </c>
      <c r="AF56" s="519">
        <f t="shared" si="10"/>
        <v>0</v>
      </c>
      <c r="AG56" s="519">
        <f t="shared" si="10"/>
        <v>0</v>
      </c>
      <c r="AH56" s="519">
        <f t="shared" si="10"/>
        <v>0</v>
      </c>
      <c r="AI56" s="519">
        <f t="shared" si="10"/>
        <v>0</v>
      </c>
      <c r="AJ56" s="519">
        <f t="shared" si="10"/>
        <v>0</v>
      </c>
      <c r="AK56" s="519">
        <f t="shared" si="10"/>
        <v>0</v>
      </c>
      <c r="AL56" s="519">
        <f t="shared" si="10"/>
        <v>0</v>
      </c>
      <c r="AM56" s="519">
        <f t="shared" si="10"/>
        <v>0</v>
      </c>
      <c r="AN56" s="519">
        <f t="shared" si="10"/>
        <v>0</v>
      </c>
      <c r="AO56" s="519">
        <f t="shared" si="10"/>
        <v>0</v>
      </c>
      <c r="AP56" s="519">
        <f t="shared" si="10"/>
        <v>0</v>
      </c>
    </row>
    <row r="57" spans="1:44">
      <c r="G57" s="46"/>
      <c r="H57" s="46"/>
      <c r="I57" s="46"/>
      <c r="J57" s="46"/>
      <c r="K57" s="46"/>
      <c r="L57" s="46"/>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N57" s="48"/>
    </row>
    <row r="58" spans="1:44" s="28" customFormat="1">
      <c r="A58" s="859"/>
      <c r="B58" s="970"/>
      <c r="C58" s="325"/>
      <c r="D58" s="325"/>
      <c r="E58" s="325"/>
      <c r="F58" s="325"/>
      <c r="G58" s="325"/>
      <c r="H58" s="325"/>
      <c r="I58" s="325"/>
      <c r="J58" s="325"/>
      <c r="K58" s="325"/>
      <c r="L58" s="325"/>
      <c r="M58" s="325">
        <f t="shared" ref="M58:AP58" si="11">M7</f>
        <v>2014</v>
      </c>
      <c r="N58" s="325">
        <f t="shared" si="11"/>
        <v>2015</v>
      </c>
      <c r="O58" s="325">
        <f t="shared" si="11"/>
        <v>2016</v>
      </c>
      <c r="P58" s="325">
        <f t="shared" si="11"/>
        <v>2017</v>
      </c>
      <c r="Q58" s="325">
        <f t="shared" si="11"/>
        <v>2018</v>
      </c>
      <c r="R58" s="325">
        <f t="shared" si="11"/>
        <v>2019</v>
      </c>
      <c r="S58" s="325">
        <f t="shared" si="11"/>
        <v>2020</v>
      </c>
      <c r="T58" s="325">
        <f t="shared" si="11"/>
        <v>2021</v>
      </c>
      <c r="U58" s="325">
        <f t="shared" si="11"/>
        <v>2022</v>
      </c>
      <c r="V58" s="325">
        <f t="shared" si="11"/>
        <v>2023</v>
      </c>
      <c r="W58" s="325">
        <f t="shared" si="11"/>
        <v>2024</v>
      </c>
      <c r="X58" s="325">
        <f t="shared" si="11"/>
        <v>2025</v>
      </c>
      <c r="Y58" s="325">
        <f t="shared" si="11"/>
        <v>2026</v>
      </c>
      <c r="Z58" s="325">
        <f t="shared" si="11"/>
        <v>2027</v>
      </c>
      <c r="AA58" s="325">
        <f t="shared" si="11"/>
        <v>2028</v>
      </c>
      <c r="AB58" s="325">
        <f t="shared" si="11"/>
        <v>2029</v>
      </c>
      <c r="AC58" s="325">
        <f t="shared" si="11"/>
        <v>2030</v>
      </c>
      <c r="AD58" s="325">
        <f t="shared" si="11"/>
        <v>2031</v>
      </c>
      <c r="AE58" s="325">
        <f t="shared" si="11"/>
        <v>2032</v>
      </c>
      <c r="AF58" s="325">
        <f t="shared" si="11"/>
        <v>2033</v>
      </c>
      <c r="AG58" s="325">
        <f t="shared" si="11"/>
        <v>2034</v>
      </c>
      <c r="AH58" s="325">
        <f t="shared" si="11"/>
        <v>2035</v>
      </c>
      <c r="AI58" s="325">
        <f t="shared" si="11"/>
        <v>2036</v>
      </c>
      <c r="AJ58" s="325">
        <f t="shared" si="11"/>
        <v>2037</v>
      </c>
      <c r="AK58" s="325">
        <f t="shared" si="11"/>
        <v>2038</v>
      </c>
      <c r="AL58" s="325">
        <f t="shared" si="11"/>
        <v>2039</v>
      </c>
      <c r="AM58" s="325">
        <f t="shared" si="11"/>
        <v>2040</v>
      </c>
      <c r="AN58" s="325">
        <f t="shared" si="11"/>
        <v>2041</v>
      </c>
      <c r="AO58" s="325">
        <f t="shared" si="11"/>
        <v>2042</v>
      </c>
      <c r="AP58" s="325">
        <f t="shared" si="11"/>
        <v>2043</v>
      </c>
    </row>
    <row r="59" spans="1:44">
      <c r="B59" s="970"/>
      <c r="F59" s="39"/>
    </row>
    <row r="60" spans="1:44">
      <c r="B60" s="970"/>
      <c r="E60" s="36" t="s">
        <v>10</v>
      </c>
      <c r="F60" s="39"/>
      <c r="G60" s="43" t="s">
        <v>85</v>
      </c>
      <c r="M60" s="59">
        <f t="shared" ref="M60:AP60" si="12">IF(M$58&lt;&gt;$I$12,0,1)</f>
        <v>1</v>
      </c>
      <c r="N60" s="59">
        <f t="shared" si="12"/>
        <v>0</v>
      </c>
      <c r="O60" s="59">
        <f t="shared" si="12"/>
        <v>0</v>
      </c>
      <c r="P60" s="59">
        <f t="shared" si="12"/>
        <v>0</v>
      </c>
      <c r="Q60" s="59">
        <f t="shared" si="12"/>
        <v>0</v>
      </c>
      <c r="R60" s="59">
        <f t="shared" si="12"/>
        <v>0</v>
      </c>
      <c r="S60" s="59">
        <f t="shared" si="12"/>
        <v>0</v>
      </c>
      <c r="T60" s="59">
        <f t="shared" si="12"/>
        <v>0</v>
      </c>
      <c r="U60" s="59">
        <f t="shared" si="12"/>
        <v>0</v>
      </c>
      <c r="V60" s="59">
        <f t="shared" si="12"/>
        <v>0</v>
      </c>
      <c r="W60" s="59">
        <f t="shared" si="12"/>
        <v>0</v>
      </c>
      <c r="X60" s="59">
        <f t="shared" si="12"/>
        <v>0</v>
      </c>
      <c r="Y60" s="59">
        <f t="shared" si="12"/>
        <v>0</v>
      </c>
      <c r="Z60" s="59">
        <f t="shared" si="12"/>
        <v>0</v>
      </c>
      <c r="AA60" s="59">
        <f t="shared" si="12"/>
        <v>0</v>
      </c>
      <c r="AB60" s="59">
        <f t="shared" si="12"/>
        <v>0</v>
      </c>
      <c r="AC60" s="59">
        <f t="shared" si="12"/>
        <v>0</v>
      </c>
      <c r="AD60" s="59">
        <f t="shared" si="12"/>
        <v>0</v>
      </c>
      <c r="AE60" s="59">
        <f t="shared" si="12"/>
        <v>0</v>
      </c>
      <c r="AF60" s="59">
        <f t="shared" si="12"/>
        <v>0</v>
      </c>
      <c r="AG60" s="59">
        <f t="shared" si="12"/>
        <v>0</v>
      </c>
      <c r="AH60" s="59">
        <f t="shared" si="12"/>
        <v>0</v>
      </c>
      <c r="AI60" s="59">
        <f t="shared" si="12"/>
        <v>0</v>
      </c>
      <c r="AJ60" s="59">
        <f t="shared" si="12"/>
        <v>0</v>
      </c>
      <c r="AK60" s="59">
        <f t="shared" si="12"/>
        <v>0</v>
      </c>
      <c r="AL60" s="59">
        <f t="shared" si="12"/>
        <v>0</v>
      </c>
      <c r="AM60" s="59">
        <f t="shared" si="12"/>
        <v>0</v>
      </c>
      <c r="AN60" s="59">
        <f t="shared" si="12"/>
        <v>0</v>
      </c>
      <c r="AO60" s="59">
        <f t="shared" si="12"/>
        <v>0</v>
      </c>
      <c r="AP60" s="59">
        <f t="shared" si="12"/>
        <v>0</v>
      </c>
    </row>
    <row r="61" spans="1:44" s="42" customFormat="1">
      <c r="E61" s="62"/>
      <c r="F61" s="61"/>
      <c r="G61" s="43"/>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row>
    <row r="62" spans="1:44" s="28" customFormat="1">
      <c r="A62" s="859"/>
      <c r="B62" s="970"/>
      <c r="C62" s="325"/>
      <c r="D62" s="325"/>
      <c r="E62" s="325" t="s">
        <v>530</v>
      </c>
      <c r="F62" s="325"/>
      <c r="G62" s="325" t="s">
        <v>79</v>
      </c>
      <c r="H62" s="325"/>
      <c r="I62" s="325" t="s">
        <v>173</v>
      </c>
      <c r="J62" s="325" t="s">
        <v>171</v>
      </c>
      <c r="K62" s="325" t="s">
        <v>174</v>
      </c>
      <c r="L62" s="325" t="s">
        <v>172</v>
      </c>
      <c r="M62" s="325" t="s">
        <v>621</v>
      </c>
      <c r="N62" s="325" t="s">
        <v>622</v>
      </c>
      <c r="O62" s="325" t="s">
        <v>527</v>
      </c>
      <c r="P62" s="325" t="s">
        <v>307</v>
      </c>
      <c r="Q62" s="325"/>
      <c r="R62" s="325"/>
      <c r="S62" s="325"/>
      <c r="T62" s="325"/>
      <c r="U62" s="325"/>
      <c r="V62" s="325"/>
      <c r="W62" s="325"/>
      <c r="X62" s="325"/>
      <c r="Y62" s="325"/>
      <c r="Z62" s="325"/>
      <c r="AA62" s="325"/>
      <c r="AB62" s="325"/>
      <c r="AC62" s="325"/>
      <c r="AD62" s="325"/>
      <c r="AE62" s="325"/>
      <c r="AF62" s="325"/>
      <c r="AG62" s="325"/>
      <c r="AH62" s="325"/>
      <c r="AI62" s="325"/>
      <c r="AJ62" s="325"/>
      <c r="AK62" s="325"/>
      <c r="AL62" s="325"/>
      <c r="AM62" s="325"/>
      <c r="AN62" s="325"/>
      <c r="AO62" s="325"/>
      <c r="AP62" s="325"/>
    </row>
    <row r="63" spans="1:44" s="28" customFormat="1">
      <c r="A63" s="859"/>
      <c r="B63" s="970"/>
      <c r="C63" s="325"/>
      <c r="D63" s="325"/>
      <c r="E63" s="325"/>
      <c r="F63" s="325"/>
      <c r="G63" s="325"/>
      <c r="H63" s="325"/>
      <c r="I63" s="325" t="s">
        <v>251</v>
      </c>
      <c r="J63" s="325" t="s">
        <v>251</v>
      </c>
      <c r="K63" s="325" t="s">
        <v>288</v>
      </c>
      <c r="L63" s="325" t="s">
        <v>288</v>
      </c>
      <c r="M63" s="325" t="s">
        <v>621</v>
      </c>
      <c r="N63" s="325" t="s">
        <v>622</v>
      </c>
      <c r="O63" s="325" t="s">
        <v>527</v>
      </c>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row>
    <row r="64" spans="1:44">
      <c r="B64" s="970"/>
      <c r="E64" s="39"/>
      <c r="F64" s="39"/>
      <c r="G64" s="43"/>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row>
    <row r="65" spans="1:15">
      <c r="A65" s="38">
        <v>1</v>
      </c>
      <c r="B65" s="970"/>
      <c r="E65" s="36" t="s">
        <v>315</v>
      </c>
      <c r="F65" s="39"/>
      <c r="G65" s="43" t="s">
        <v>9</v>
      </c>
      <c r="I65" s="52">
        <f>SUMIF('Capital Cost Summary'!$A$6:$A$86,I$63&amp;$C65&amp;$E65,'Capital Cost Summary'!$J$6:$J$86)/10*$I$19*VLOOKUP($I$19,$E$187:$F$194,2,TRUE)</f>
        <v>4236000</v>
      </c>
      <c r="J65" s="52">
        <f>SUMIF('Capital Cost Summary'!$A$6:$A$86,J$63&amp;$C65&amp;$E65,'Capital Cost Summary'!$J$6:$J$86)/10*$I$19*VLOOKUP($I$19,$E$187:$F$194,2,TRUE)</f>
        <v>4236000</v>
      </c>
      <c r="K65" s="52">
        <f>SUMIF('Capital Cost Summary'!$A$6:$A$86,K$63&amp;$C65&amp;$E65,'Capital Cost Summary'!$J$6:$J$86)/10*$I$19*VLOOKUP($I$19,$E$187:$F$194,2,TRUE)</f>
        <v>8338000</v>
      </c>
      <c r="L65" s="52">
        <f>SUMIF('Capital Cost Summary'!$A$6:$A$86,L$63&amp;$C65&amp;$E65,'Capital Cost Summary'!$J$6:$J$86)/10*$I$19*VLOOKUP($I$19,$E$187:$F$194,2,TRUE)</f>
        <v>8338000</v>
      </c>
      <c r="M65" s="52">
        <f>SUMIF('Capital Cost Summary'!$A$6:$A$86,M$63&amp;$C65&amp;$E65,'Capital Cost Summary'!$J$6:$J$86)/10*$I$19*VLOOKUP($I$19,$E$187:$F$194,2,TRUE)</f>
        <v>0</v>
      </c>
      <c r="N65" s="52">
        <f>SUMIF('Capital Cost Summary'!$A$6:$A$86,N$63&amp;$C65&amp;$E65,'Capital Cost Summary'!$J$6:$J$86)/10*$I$19*VLOOKUP($I$19,$E$187:$F$194,2,TRUE)</f>
        <v>0</v>
      </c>
      <c r="O65" s="50">
        <f>K65</f>
        <v>8338000</v>
      </c>
    </row>
    <row r="66" spans="1:15">
      <c r="A66" s="38">
        <v>1</v>
      </c>
      <c r="B66" s="970"/>
      <c r="E66" s="36" t="s">
        <v>153</v>
      </c>
      <c r="F66" s="39"/>
      <c r="G66" s="43" t="s">
        <v>9</v>
      </c>
      <c r="I66" s="52">
        <f>SUMIF('Capital Cost Summary'!$A$6:$A$86,I$63&amp;$C66&amp;$E66,'Capital Cost Summary'!$J$6:$J$86)/10*$I$19*VLOOKUP($I$19,$E$187:$F$194,2,TRUE)</f>
        <v>0</v>
      </c>
      <c r="J66" s="52">
        <f>SUMIF('Capital Cost Summary'!$A$6:$A$86,J$63&amp;$C66&amp;$E66,'Capital Cost Summary'!$J$6:$J$86)/10*$I$19*VLOOKUP($I$19,$E$187:$F$194,2,TRUE)</f>
        <v>0</v>
      </c>
      <c r="K66" s="52">
        <f>SUMIF('Capital Cost Summary'!$A$6:$A$86,K$63&amp;$C66&amp;$E66,'Capital Cost Summary'!$J$6:$J$86)/10*$I$19*VLOOKUP($I$19,$E$187:$F$194,2,TRUE)</f>
        <v>0</v>
      </c>
      <c r="L66" s="52">
        <f>SUMIF('Capital Cost Summary'!$A$6:$A$86,L$63&amp;$C66&amp;$E66,'Capital Cost Summary'!$J$6:$J$86)/10*$I$19*VLOOKUP($I$19,$E$187:$F$194,2,TRUE)</f>
        <v>0</v>
      </c>
      <c r="M66" s="52">
        <f>SUMIF('Capital Cost Summary'!$A$6:$A$86,M$63&amp;$C66&amp;$E66,'Capital Cost Summary'!$J$6:$J$86)/10*$I$19*VLOOKUP($I$19,$E$187:$F$194,2,TRUE)</f>
        <v>350000</v>
      </c>
      <c r="N66" s="52">
        <f>SUMIF('Capital Cost Summary'!$A$6:$A$86,N$63&amp;$C66&amp;$E66,'Capital Cost Summary'!$J$6:$J$86)/10*$I$19*VLOOKUP($I$19,$E$187:$F$194,2,TRUE)</f>
        <v>963000</v>
      </c>
      <c r="O66" s="50">
        <f>N66</f>
        <v>963000</v>
      </c>
    </row>
    <row r="67" spans="1:15">
      <c r="A67" s="38">
        <v>1</v>
      </c>
      <c r="B67" s="970"/>
      <c r="E67" s="36" t="s">
        <v>143</v>
      </c>
      <c r="F67" s="39"/>
      <c r="G67" s="43" t="s">
        <v>9</v>
      </c>
      <c r="I67" s="52">
        <f>SUMIF('Capital Cost Summary'!$A$6:$A$86,I$63&amp;$C67&amp;$E67,'Capital Cost Summary'!$J$6:$J$86)/10*$I$19*VLOOKUP($I$19,$E$187:$F$194,2,TRUE)</f>
        <v>2603000</v>
      </c>
      <c r="J67" s="52">
        <f>SUMIF('Capital Cost Summary'!$A$6:$A$86,J$63&amp;$C67&amp;$E67,'Capital Cost Summary'!$J$6:$J$86)/10*$I$19*VLOOKUP($I$19,$E$187:$F$194,2,TRUE)</f>
        <v>2603000</v>
      </c>
      <c r="K67" s="52">
        <f>SUMIF('Capital Cost Summary'!$A$6:$A$86,K$63&amp;$C67&amp;$E67,'Capital Cost Summary'!$J$6:$J$86)/10*$I$19*VLOOKUP($I$19,$E$187:$F$194,2,TRUE)</f>
        <v>2782000</v>
      </c>
      <c r="L67" s="52">
        <f>SUMIF('Capital Cost Summary'!$A$6:$A$86,L$63&amp;$C67&amp;$E67,'Capital Cost Summary'!$J$6:$J$86)/10*$I$19*VLOOKUP($I$19,$E$187:$F$194,2,TRUE)</f>
        <v>2782000</v>
      </c>
      <c r="M67" s="52">
        <f>SUMIF('Capital Cost Summary'!$A$6:$A$86,M$63&amp;$C67&amp;$E67,'Capital Cost Summary'!$J$6:$J$86)/10*$I$19*VLOOKUP($I$19,$E$187:$F$194,2,TRUE)</f>
        <v>0</v>
      </c>
      <c r="N67" s="52">
        <f>SUMIF('Capital Cost Summary'!$A$6:$A$86,N$63&amp;$C67&amp;$E67,'Capital Cost Summary'!$J$6:$J$86)/10*$I$19*VLOOKUP($I$19,$E$187:$F$194,2,TRUE)</f>
        <v>0</v>
      </c>
      <c r="O67" s="50">
        <f>K67</f>
        <v>2782000</v>
      </c>
    </row>
    <row r="68" spans="1:15">
      <c r="A68" s="38">
        <v>1</v>
      </c>
      <c r="B68" s="970"/>
      <c r="E68" s="36" t="s">
        <v>316</v>
      </c>
      <c r="F68" s="39"/>
      <c r="G68" s="43" t="s">
        <v>9</v>
      </c>
      <c r="I68" s="52">
        <f>SUMIF('Capital Cost Summary'!$A$6:$A$86,I$63&amp;$C68&amp;$E68,'Capital Cost Summary'!$J$6:$J$86)/10*$I$19*VLOOKUP($I$19,$E$187:$F$194,2,TRUE)</f>
        <v>0</v>
      </c>
      <c r="J68" s="52">
        <f>SUMIF('Capital Cost Summary'!$A$6:$A$86,J$63&amp;$C68&amp;$E68,'Capital Cost Summary'!$J$6:$J$86)/10*$I$19*VLOOKUP($I$19,$E$187:$F$194,2,TRUE)</f>
        <v>0</v>
      </c>
      <c r="K68" s="52">
        <f>SUMIF('Capital Cost Summary'!$A$6:$A$86,K$63&amp;$C68&amp;$E68,'Capital Cost Summary'!$J$6:$J$86)/10*$I$19*VLOOKUP($I$19,$E$187:$F$194,2,TRUE)</f>
        <v>0</v>
      </c>
      <c r="L68" s="52">
        <f>SUMIF('Capital Cost Summary'!$A$6:$A$86,L$63&amp;$C68&amp;$E68,'Capital Cost Summary'!$J$6:$J$86)/10*$I$19*VLOOKUP($I$19,$E$187:$F$194,2,TRUE)</f>
        <v>0</v>
      </c>
      <c r="M68" s="52">
        <f>SUMIF('Capital Cost Summary'!$A$6:$A$86,M$63&amp;$C68&amp;$E68,'Capital Cost Summary'!$J$6:$J$86)/10*$I$19*VLOOKUP($I$19,$E$187:$F$194,2,TRUE)</f>
        <v>3325000</v>
      </c>
      <c r="N68" s="52">
        <f>SUMIF('Capital Cost Summary'!$A$6:$A$86,N$63&amp;$C68&amp;$E68,'Capital Cost Summary'!$J$6:$J$86)/10*$I$19*VLOOKUP($I$19,$E$187:$F$194,2,TRUE)</f>
        <v>0</v>
      </c>
      <c r="O68" s="50">
        <f>M68</f>
        <v>3325000</v>
      </c>
    </row>
    <row r="69" spans="1:15">
      <c r="A69" s="38">
        <v>1</v>
      </c>
      <c r="B69" s="970"/>
      <c r="E69" s="36" t="s">
        <v>317</v>
      </c>
      <c r="F69" s="39"/>
      <c r="G69" s="43" t="s">
        <v>9</v>
      </c>
      <c r="I69" s="52">
        <f>SUMIF('Capital Cost Summary'!$A$6:$A$86,I$63&amp;$C69&amp;$E69,'Capital Cost Summary'!$J$6:$J$86)/10*$I$19*VLOOKUP($I$19,$E$187:$F$194,2,TRUE)</f>
        <v>1338000</v>
      </c>
      <c r="J69" s="52">
        <f>SUMIF('Capital Cost Summary'!$A$6:$A$86,J$63&amp;$C69&amp;$E69,'Capital Cost Summary'!$J$6:$J$86)/10*$I$19*VLOOKUP($I$19,$E$187:$F$194,2,TRUE)</f>
        <v>1338000</v>
      </c>
      <c r="K69" s="52">
        <f>SUMIF('Capital Cost Summary'!$A$6:$A$86,K$63&amp;$C69&amp;$E69,'Capital Cost Summary'!$J$6:$J$86)/10*$I$19*VLOOKUP($I$19,$E$187:$F$194,2,TRUE)</f>
        <v>3325000</v>
      </c>
      <c r="L69" s="52">
        <f>SUMIF('Capital Cost Summary'!$A$6:$A$86,L$63&amp;$C69&amp;$E69,'Capital Cost Summary'!$J$6:$J$86)/10*$I$19*VLOOKUP($I$19,$E$187:$F$194,2,TRUE)</f>
        <v>3325000</v>
      </c>
      <c r="M69" s="52">
        <f>SUMIF('Capital Cost Summary'!$A$6:$A$86,M$63&amp;$C69&amp;$E69,'Capital Cost Summary'!$J$6:$J$86)/10*$I$19*VLOOKUP($I$19,$E$187:$F$194,2,TRUE)</f>
        <v>0</v>
      </c>
      <c r="N69" s="52">
        <f>SUMIF('Capital Cost Summary'!$A$6:$A$86,N$63&amp;$C69&amp;$E69,'Capital Cost Summary'!$J$6:$J$86)/10*$I$19*VLOOKUP($I$19,$E$187:$F$194,2,TRUE)</f>
        <v>0</v>
      </c>
      <c r="O69" s="50">
        <f>L69</f>
        <v>3325000</v>
      </c>
    </row>
    <row r="70" spans="1:15">
      <c r="A70" s="38">
        <v>1</v>
      </c>
      <c r="B70" s="970"/>
      <c r="E70" s="36" t="s">
        <v>318</v>
      </c>
      <c r="F70" s="39"/>
      <c r="G70" s="43" t="s">
        <v>9</v>
      </c>
      <c r="I70" s="52">
        <f>SUMIF('Capital Cost Summary'!$A$6:$A$86,I$63&amp;$C70&amp;$E70,'Capital Cost Summary'!$J$6:$J$86)/10*$I$19*VLOOKUP($I$19,$E$187:$F$194,2,TRUE)</f>
        <v>741000</v>
      </c>
      <c r="J70" s="52">
        <f>SUMIF('Capital Cost Summary'!$A$6:$A$86,J$63&amp;$C70&amp;$E70,'Capital Cost Summary'!$J$6:$J$86)/10*$I$19*VLOOKUP($I$19,$E$187:$F$194,2,TRUE)</f>
        <v>741000</v>
      </c>
      <c r="K70" s="52">
        <f>SUMIF('Capital Cost Summary'!$A$6:$A$86,K$63&amp;$C70&amp;$E70,'Capital Cost Summary'!$J$6:$J$86)/10*$I$19*VLOOKUP($I$19,$E$187:$F$194,2,TRUE)</f>
        <v>741000</v>
      </c>
      <c r="L70" s="52">
        <f>SUMIF('Capital Cost Summary'!$A$6:$A$86,L$63&amp;$C70&amp;$E70,'Capital Cost Summary'!$J$6:$J$86)/10*$I$19*VLOOKUP($I$19,$E$187:$F$194,2,TRUE)</f>
        <v>741000</v>
      </c>
      <c r="M70" s="52">
        <f>SUMIF('Capital Cost Summary'!$A$6:$A$86,M$63&amp;$C70&amp;$E70,'Capital Cost Summary'!$J$6:$J$86)/10*$I$19*VLOOKUP($I$19,$E$187:$F$194,2,TRUE)</f>
        <v>0</v>
      </c>
      <c r="N70" s="52">
        <f>SUMIF('Capital Cost Summary'!$A$6:$A$86,N$63&amp;$C70&amp;$E70,'Capital Cost Summary'!$J$6:$J$86)/10*$I$19*VLOOKUP($I$19,$E$187:$F$194,2,TRUE)</f>
        <v>0</v>
      </c>
      <c r="O70" s="50">
        <f>L70</f>
        <v>741000</v>
      </c>
    </row>
    <row r="71" spans="1:15">
      <c r="A71" s="38">
        <v>1</v>
      </c>
      <c r="B71" s="970"/>
      <c r="E71" s="36" t="s">
        <v>319</v>
      </c>
      <c r="F71" s="39"/>
      <c r="G71" s="43" t="s">
        <v>9</v>
      </c>
      <c r="I71" s="52">
        <f>SUMIF('Capital Cost Summary'!$A$6:$A$86,I$63&amp;$C71&amp;$E71,'Capital Cost Summary'!$J$6:$J$86)/10*$I$19*VLOOKUP($I$19,$E$187:$F$194,2,TRUE)</f>
        <v>0</v>
      </c>
      <c r="J71" s="52">
        <f>SUMIF('Capital Cost Summary'!$A$6:$A$86,J$63&amp;$C71&amp;$E71,'Capital Cost Summary'!$J$6:$J$86)/10*$I$19*VLOOKUP($I$19,$E$187:$F$194,2,TRUE)</f>
        <v>0</v>
      </c>
      <c r="K71" s="52">
        <f>SUMIF('Capital Cost Summary'!$A$6:$A$86,K$63&amp;$C71&amp;$E71,'Capital Cost Summary'!$J$6:$J$86)/10*$I$19*VLOOKUP($I$19,$E$187:$F$194,2,TRUE)</f>
        <v>0</v>
      </c>
      <c r="L71" s="52">
        <f>SUMIF('Capital Cost Summary'!$A$6:$A$86,L$63&amp;$C71&amp;$E71,'Capital Cost Summary'!$J$6:$J$86)/10*$I$19*VLOOKUP($I$19,$E$187:$F$194,2,TRUE)</f>
        <v>0</v>
      </c>
      <c r="M71" s="52">
        <f>SUMIF('Capital Cost Summary'!$A$6:$A$86,M$63&amp;$C71&amp;$E71,'Capital Cost Summary'!$J$6:$J$86)/10*$I$19*VLOOKUP($I$19,$E$187:$F$194,2,TRUE)</f>
        <v>4827000</v>
      </c>
      <c r="N71" s="52">
        <f>SUMIF('Capital Cost Summary'!$A$6:$A$86,N$63&amp;$C71&amp;$E71,'Capital Cost Summary'!$J$6:$J$86)/10*$I$19*VLOOKUP($I$19,$E$187:$F$194,2,TRUE)</f>
        <v>4827000</v>
      </c>
      <c r="O71" s="50">
        <f>N71</f>
        <v>4827000</v>
      </c>
    </row>
    <row r="72" spans="1:15">
      <c r="A72" s="38">
        <v>1</v>
      </c>
      <c r="B72" s="970"/>
      <c r="E72" s="36" t="s">
        <v>320</v>
      </c>
      <c r="F72" s="39"/>
      <c r="G72" s="43" t="s">
        <v>9</v>
      </c>
      <c r="I72" s="52">
        <f>SUMIF('Capital Cost Summary'!$A$6:$A$86,I$63&amp;$C72&amp;$E72,'Capital Cost Summary'!$J$6:$J$86)/10*$I$19*VLOOKUP($I$19,$E$187:$F$194,2,TRUE)</f>
        <v>0</v>
      </c>
      <c r="J72" s="52">
        <f>SUMIF('Capital Cost Summary'!$A$6:$A$86,J$63&amp;$C72&amp;$E72,'Capital Cost Summary'!$J$6:$J$86)/10*$I$19*VLOOKUP($I$19,$E$187:$F$194,2,TRUE)</f>
        <v>0</v>
      </c>
      <c r="K72" s="52">
        <f>SUMIF('Capital Cost Summary'!$A$6:$A$86,K$63&amp;$C72&amp;$E72,'Capital Cost Summary'!$J$6:$J$86)/10*$I$19*VLOOKUP($I$19,$E$187:$F$194,2,TRUE)</f>
        <v>0</v>
      </c>
      <c r="L72" s="52">
        <f>SUMIF('Capital Cost Summary'!$A$6:$A$86,L$63&amp;$C72&amp;$E72,'Capital Cost Summary'!$J$6:$J$86)/10*$I$19*VLOOKUP($I$19,$E$187:$F$194,2,TRUE)</f>
        <v>0</v>
      </c>
      <c r="M72" s="52">
        <f>SUMIF('Capital Cost Summary'!$A$6:$A$86,M$63&amp;$C72&amp;$E72,'Capital Cost Summary'!$J$6:$J$86)/10*$I$19*VLOOKUP($I$19,$E$187:$F$194,2,TRUE)</f>
        <v>0</v>
      </c>
      <c r="N72" s="52">
        <f>SUMIF('Capital Cost Summary'!$A$6:$A$86,N$63&amp;$C72&amp;$E72,'Capital Cost Summary'!$J$6:$J$86)/10*$I$19*VLOOKUP($I$19,$E$187:$F$194,2,TRUE)</f>
        <v>9970000</v>
      </c>
      <c r="O72" s="50">
        <f>N72</f>
        <v>9970000</v>
      </c>
    </row>
    <row r="73" spans="1:15">
      <c r="A73" s="38">
        <v>1</v>
      </c>
      <c r="B73" s="970"/>
      <c r="E73" s="36" t="s">
        <v>321</v>
      </c>
      <c r="F73" s="39"/>
      <c r="G73" s="43" t="s">
        <v>9</v>
      </c>
      <c r="I73" s="52">
        <f>SUMIF('Capital Cost Summary'!$A$6:$A$86,I$63&amp;$C73&amp;$E73,'Capital Cost Summary'!$J$6:$J$86)/10*$I$19*VLOOKUP($I$19,$E$187:$F$194,2,TRUE)</f>
        <v>0</v>
      </c>
      <c r="J73" s="52">
        <f>SUMIF('Capital Cost Summary'!$A$6:$A$86,J$63&amp;$C73&amp;$E73,'Capital Cost Summary'!$J$6:$J$86)/10*$I$19*VLOOKUP($I$19,$E$187:$F$194,2,TRUE)</f>
        <v>0</v>
      </c>
      <c r="K73" s="52">
        <f>SUMIF('Capital Cost Summary'!$A$6:$A$86,K$63&amp;$C73&amp;$E73,'Capital Cost Summary'!$J$6:$J$86)/10*$I$19*VLOOKUP($I$19,$E$187:$F$194,2,TRUE)</f>
        <v>0</v>
      </c>
      <c r="L73" s="52">
        <f>SUMIF('Capital Cost Summary'!$A$6:$A$86,L$63&amp;$C73&amp;$E73,'Capital Cost Summary'!$J$6:$J$86)/10*$I$19*VLOOKUP($I$19,$E$187:$F$194,2,TRUE)</f>
        <v>0</v>
      </c>
      <c r="M73" s="52">
        <f>SUMIF('Capital Cost Summary'!$A$6:$A$86,M$63&amp;$C73&amp;$E73,'Capital Cost Summary'!$J$6:$J$86)/10*$I$19*VLOOKUP($I$19,$E$187:$F$194,2,TRUE)</f>
        <v>940000</v>
      </c>
      <c r="N73" s="52">
        <f>SUMIF('Capital Cost Summary'!$A$6:$A$86,N$63&amp;$C73&amp;$E73,'Capital Cost Summary'!$J$6:$J$86)/10*$I$19*VLOOKUP($I$19,$E$187:$F$194,2,TRUE)</f>
        <v>0</v>
      </c>
      <c r="O73" s="50">
        <f>M73</f>
        <v>940000</v>
      </c>
    </row>
    <row r="74" spans="1:15">
      <c r="A74" s="38">
        <v>1</v>
      </c>
      <c r="B74" s="970"/>
      <c r="E74" s="36" t="s">
        <v>160</v>
      </c>
      <c r="F74" s="39"/>
      <c r="G74" s="43" t="s">
        <v>9</v>
      </c>
      <c r="I74" s="52">
        <f>SUMIF('Capital Cost Summary'!$A$6:$A$86,I$63&amp;$C74&amp;$E74,'Capital Cost Summary'!$J$6:$J$86)/10*$I$19*VLOOKUP($I$19,$E$187:$F$194,2,TRUE)</f>
        <v>0</v>
      </c>
      <c r="J74" s="52">
        <f>SUMIF('Capital Cost Summary'!$A$6:$A$86,J$63&amp;$C74&amp;$E74,'Capital Cost Summary'!$J$6:$J$86)/10*$I$19*VLOOKUP($I$19,$E$187:$F$194,2,TRUE)</f>
        <v>0</v>
      </c>
      <c r="K74" s="52">
        <f>SUMIF('Capital Cost Summary'!$A$6:$A$86,K$63&amp;$C74&amp;$E74,'Capital Cost Summary'!$J$6:$J$86)/10*$I$19*VLOOKUP($I$19,$E$187:$F$194,2,TRUE)</f>
        <v>0</v>
      </c>
      <c r="L74" s="52">
        <f>SUMIF('Capital Cost Summary'!$A$6:$A$86,L$63&amp;$C74&amp;$E74,'Capital Cost Summary'!$J$6:$J$86)/10*$I$19*VLOOKUP($I$19,$E$187:$F$194,2,TRUE)</f>
        <v>0</v>
      </c>
      <c r="M74" s="52">
        <f>SUMIF('Capital Cost Summary'!$A$6:$A$86,M$63&amp;$C74&amp;$E74,'Capital Cost Summary'!$J$6:$J$86)/10*$I$19*VLOOKUP($I$19,$E$187:$F$194,2,TRUE)</f>
        <v>4440000</v>
      </c>
      <c r="N74" s="52">
        <f>SUMIF('Capital Cost Summary'!$A$6:$A$86,N$63&amp;$C74&amp;$E74,'Capital Cost Summary'!$J$6:$J$86)/10*$I$19*VLOOKUP($I$19,$E$187:$F$194,2,TRUE)</f>
        <v>0</v>
      </c>
      <c r="O74" s="50">
        <f>M74</f>
        <v>4440000</v>
      </c>
    </row>
    <row r="75" spans="1:15">
      <c r="A75" s="38">
        <v>1</v>
      </c>
      <c r="B75" s="970"/>
      <c r="E75" s="36" t="s">
        <v>161</v>
      </c>
      <c r="F75" s="39"/>
      <c r="G75" s="43" t="s">
        <v>9</v>
      </c>
      <c r="I75" s="52">
        <f>SUMIF('Capital Cost Summary'!$A$6:$A$86,I$63&amp;$C75&amp;$E75,'Capital Cost Summary'!$J$6:$J$86)/10*$I$19*VLOOKUP($I$19,$E$187:$F$194,2,TRUE)</f>
        <v>0</v>
      </c>
      <c r="J75" s="52">
        <f>SUMIF('Capital Cost Summary'!$A$6:$A$86,J$63&amp;$C75&amp;$E75,'Capital Cost Summary'!$J$6:$J$86)/10*$I$19*VLOOKUP($I$19,$E$187:$F$194,2,TRUE)</f>
        <v>0</v>
      </c>
      <c r="K75" s="52">
        <f>SUMIF('Capital Cost Summary'!$A$6:$A$86,K$63&amp;$C75&amp;$E75,'Capital Cost Summary'!$J$6:$J$86)/10*$I$19*VLOOKUP($I$19,$E$187:$F$194,2,TRUE)</f>
        <v>600000</v>
      </c>
      <c r="L75" s="52">
        <f>SUMIF('Capital Cost Summary'!$A$6:$A$86,L$63&amp;$C75&amp;$E75,'Capital Cost Summary'!$J$6:$J$86)/10*$I$19*VLOOKUP($I$19,$E$187:$F$194,2,TRUE)</f>
        <v>600000</v>
      </c>
      <c r="M75" s="52">
        <f>SUMIF('Capital Cost Summary'!$A$6:$A$86,M$63&amp;$C75&amp;$E75,'Capital Cost Summary'!$J$6:$J$86)/10*$I$19*VLOOKUP($I$19,$E$187:$F$194,2,TRUE)</f>
        <v>0</v>
      </c>
      <c r="N75" s="52">
        <f>SUMIF('Capital Cost Summary'!$A$6:$A$86,N$63&amp;$C75&amp;$E75,'Capital Cost Summary'!$J$6:$J$86)/10*$I$19*VLOOKUP($I$19,$E$187:$F$194,2,TRUE)</f>
        <v>0</v>
      </c>
      <c r="O75" s="50">
        <f>K75</f>
        <v>600000</v>
      </c>
    </row>
    <row r="76" spans="1:15">
      <c r="A76" s="38">
        <v>1</v>
      </c>
      <c r="B76" s="970"/>
      <c r="E76" s="36" t="s">
        <v>162</v>
      </c>
      <c r="F76" s="39"/>
      <c r="G76" s="43" t="s">
        <v>9</v>
      </c>
      <c r="I76" s="52">
        <f>SUMIF('Capital Cost Summary'!$A$6:$A$86,I$63&amp;$C76&amp;$E76,'Capital Cost Summary'!$J$6:$J$86)/10*$I$19*VLOOKUP($I$19,$E$187:$F$194,2,TRUE)</f>
        <v>696000</v>
      </c>
      <c r="J76" s="52">
        <f>SUMIF('Capital Cost Summary'!$A$6:$A$86,J$63&amp;$C76&amp;$E76,'Capital Cost Summary'!$J$6:$J$86)/10*$I$19*VLOOKUP($I$19,$E$187:$F$194,2,TRUE)</f>
        <v>696000</v>
      </c>
      <c r="K76" s="52">
        <f>SUMIF('Capital Cost Summary'!$A$6:$A$86,K$63&amp;$C76&amp;$E76,'Capital Cost Summary'!$J$6:$J$86)/10*$I$19*VLOOKUP($I$19,$E$187:$F$194,2,TRUE)</f>
        <v>696000</v>
      </c>
      <c r="L76" s="52">
        <f>SUMIF('Capital Cost Summary'!$A$6:$A$86,L$63&amp;$C76&amp;$E76,'Capital Cost Summary'!$J$6:$J$86)/10*$I$19*VLOOKUP($I$19,$E$187:$F$194,2,TRUE)</f>
        <v>696000</v>
      </c>
      <c r="M76" s="52">
        <f>SUMIF('Capital Cost Summary'!$A$6:$A$86,M$63&amp;$C76&amp;$E76,'Capital Cost Summary'!$J$6:$J$86)/10*$I$19*VLOOKUP($I$19,$E$187:$F$194,2,TRUE)</f>
        <v>0</v>
      </c>
      <c r="N76" s="52">
        <f>SUMIF('Capital Cost Summary'!$A$6:$A$86,N$63&amp;$C76&amp;$E76,'Capital Cost Summary'!$J$6:$J$86)/10*$I$19*VLOOKUP($I$19,$E$187:$F$194,2,TRUE)</f>
        <v>0</v>
      </c>
      <c r="O76" s="50">
        <f>K76</f>
        <v>696000</v>
      </c>
    </row>
    <row r="77" spans="1:15">
      <c r="A77" s="38">
        <v>1</v>
      </c>
      <c r="B77" s="970"/>
      <c r="E77" s="36" t="s">
        <v>135</v>
      </c>
      <c r="F77" s="39"/>
      <c r="G77" s="43" t="s">
        <v>9</v>
      </c>
      <c r="I77" s="52">
        <f>SUMIF('Capital Cost Summary'!$A$6:$A$86,I$63&amp;$C77&amp;$E77,'Capital Cost Summary'!$J$6:$J$86)/10*$I$19*VLOOKUP($I$19,$E$187:$F$194,2,TRUE)</f>
        <v>2050000</v>
      </c>
      <c r="J77" s="52">
        <f>SUMIF('Capital Cost Summary'!$A$6:$A$86,J$63&amp;$C77&amp;$E77,'Capital Cost Summary'!$J$6:$J$86)/10*$I$19*VLOOKUP($I$19,$E$187:$F$194,2,TRUE)</f>
        <v>2050000</v>
      </c>
      <c r="K77" s="52">
        <f>SUMIF('Capital Cost Summary'!$A$6:$A$86,K$63&amp;$C77&amp;$E77,'Capital Cost Summary'!$J$6:$J$86)/10*$I$19*VLOOKUP($I$19,$E$187:$F$194,2,TRUE)</f>
        <v>2050000</v>
      </c>
      <c r="L77" s="52">
        <f>SUMIF('Capital Cost Summary'!$A$6:$A$86,L$63&amp;$C77&amp;$E77,'Capital Cost Summary'!$J$6:$J$86)/10*$I$19*VLOOKUP($I$19,$E$187:$F$194,2,TRUE)</f>
        <v>2050000</v>
      </c>
      <c r="M77" s="52">
        <f>SUMIF('Capital Cost Summary'!$A$6:$A$86,M$63&amp;$C77&amp;$E77,'Capital Cost Summary'!$J$6:$J$86)/10*$I$19*VLOOKUP($I$19,$E$187:$F$194,2,TRUE)</f>
        <v>2050000</v>
      </c>
      <c r="N77" s="52">
        <f>SUMIF('Capital Cost Summary'!$A$6:$A$86,N$63&amp;$C77&amp;$E77,'Capital Cost Summary'!$J$6:$J$86)/10*$I$19*VLOOKUP($I$19,$E$187:$F$194,2,TRUE)</f>
        <v>2050000</v>
      </c>
      <c r="O77" s="50">
        <f>K77</f>
        <v>2050000</v>
      </c>
    </row>
    <row r="78" spans="1:15">
      <c r="A78" s="38">
        <v>1</v>
      </c>
      <c r="B78" s="970"/>
      <c r="E78" s="36" t="s">
        <v>29</v>
      </c>
      <c r="F78" s="39"/>
      <c r="G78" s="43" t="s">
        <v>9</v>
      </c>
      <c r="I78" s="52">
        <f>SUMIF('Capital Cost Summary'!$A$6:$A$86,I$63&amp;$C78&amp;$E78,'Capital Cost Summary'!$J$6:$J$86)/10*$I$19*VLOOKUP($I$19,$E$187:$F$194,2,TRUE)</f>
        <v>1029000</v>
      </c>
      <c r="J78" s="52">
        <f>SUMIF('Capital Cost Summary'!$A$6:$A$86,J$63&amp;$C78&amp;$E78,'Capital Cost Summary'!$J$6:$J$86)/10*$I$19*VLOOKUP($I$19,$E$187:$F$194,2,TRUE)</f>
        <v>1029000</v>
      </c>
      <c r="K78" s="52">
        <f>SUMIF('Capital Cost Summary'!$A$6:$A$86,K$63&amp;$C78&amp;$E78,'Capital Cost Summary'!$J$6:$J$86)/10*$I$19*VLOOKUP($I$19,$E$187:$F$194,2,TRUE)</f>
        <v>1029000</v>
      </c>
      <c r="L78" s="52">
        <f>SUMIF('Capital Cost Summary'!$A$6:$A$86,L$63&amp;$C78&amp;$E78,'Capital Cost Summary'!$J$6:$J$86)/10*$I$19*VLOOKUP($I$19,$E$187:$F$194,2,TRUE)</f>
        <v>1029000</v>
      </c>
      <c r="M78" s="52">
        <f>SUMIF('Capital Cost Summary'!$A$6:$A$86,M$63&amp;$C78&amp;$E78,'Capital Cost Summary'!$J$6:$J$86)/10*$I$19*VLOOKUP($I$19,$E$187:$F$194,2,TRUE)</f>
        <v>1029000</v>
      </c>
      <c r="N78" s="52">
        <f>SUMIF('Capital Cost Summary'!$A$6:$A$86,N$63&amp;$C78&amp;$E78,'Capital Cost Summary'!$J$6:$J$86)/10*$I$19*VLOOKUP($I$19,$E$187:$F$194,2,TRUE)</f>
        <v>1029000</v>
      </c>
      <c r="O78" s="50">
        <f>K78</f>
        <v>1029000</v>
      </c>
    </row>
    <row r="79" spans="1:15">
      <c r="A79" s="38">
        <v>1</v>
      </c>
      <c r="B79" s="970"/>
      <c r="E79" s="36" t="s">
        <v>163</v>
      </c>
      <c r="F79" s="39"/>
      <c r="G79" s="43" t="s">
        <v>9</v>
      </c>
      <c r="I79" s="52">
        <f>SUMIF('Capital Cost Summary'!$A$6:$A$86,I$63&amp;$C79&amp;$E79,'Capital Cost Summary'!$J$6:$J$86)/10*$I$19*VLOOKUP($I$19,$E$187:$F$194,2,TRUE)</f>
        <v>4064000</v>
      </c>
      <c r="J79" s="52">
        <f>SUMIF('Capital Cost Summary'!$A$6:$A$86,J$63&amp;$C79&amp;$E79,'Capital Cost Summary'!$J$6:$J$86)/10*$I$19*VLOOKUP($I$19,$E$187:$F$194,2,TRUE)</f>
        <v>4064000</v>
      </c>
      <c r="K79" s="52">
        <f>SUMIF('Capital Cost Summary'!$A$6:$A$86,K$63&amp;$C79&amp;$E79,'Capital Cost Summary'!$J$6:$J$86)/10*$I$19*VLOOKUP($I$19,$E$187:$F$194,2,TRUE)</f>
        <v>0</v>
      </c>
      <c r="L79" s="52">
        <f>SUMIF('Capital Cost Summary'!$A$6:$A$86,L$63&amp;$C79&amp;$E79,'Capital Cost Summary'!$J$6:$J$86)/10*$I$19*VLOOKUP($I$19,$E$187:$F$194,2,TRUE)</f>
        <v>0</v>
      </c>
      <c r="M79" s="52">
        <f>SUMIF('Capital Cost Summary'!$A$6:$A$86,M$63&amp;$C79&amp;$E79,'Capital Cost Summary'!$J$6:$J$86)/10*$I$19*VLOOKUP($I$19,$E$187:$F$194,2,TRUE)</f>
        <v>0</v>
      </c>
      <c r="N79" s="52">
        <f>SUMIF('Capital Cost Summary'!$A$6:$A$86,N$63&amp;$C79&amp;$E79,'Capital Cost Summary'!$J$6:$J$86)/10*$I$19*VLOOKUP($I$19,$E$187:$F$194,2,TRUE)</f>
        <v>0</v>
      </c>
      <c r="O79" s="50">
        <f>I79</f>
        <v>4064000</v>
      </c>
    </row>
    <row r="80" spans="1:15">
      <c r="A80" s="38">
        <v>1</v>
      </c>
      <c r="B80" s="970"/>
      <c r="E80" s="36" t="s">
        <v>138</v>
      </c>
      <c r="F80" s="39"/>
      <c r="G80" s="43" t="s">
        <v>9</v>
      </c>
      <c r="I80" s="52">
        <f>SUMIF('Capital Cost Summary'!$A$6:$A$86,I$63&amp;$C80&amp;$E80,'Capital Cost Summary'!$J$6:$J$86)/10*$I$19*VLOOKUP($I$19,$E$187:$F$194,2,TRUE)</f>
        <v>5130000</v>
      </c>
      <c r="J80" s="52">
        <f>SUMIF('Capital Cost Summary'!$A$6:$A$86,J$63&amp;$C80&amp;$E80,'Capital Cost Summary'!$J$6:$J$86)/10*$I$19*VLOOKUP($I$19,$E$187:$F$194,2,TRUE)</f>
        <v>5130000</v>
      </c>
      <c r="K80" s="52">
        <f>SUMIF('Capital Cost Summary'!$A$6:$A$86,K$63&amp;$C80&amp;$E80,'Capital Cost Summary'!$J$6:$J$86)/10*$I$19*VLOOKUP($I$19,$E$187:$F$194,2,TRUE)</f>
        <v>0</v>
      </c>
      <c r="L80" s="52">
        <f>SUMIF('Capital Cost Summary'!$A$6:$A$86,L$63&amp;$C80&amp;$E80,'Capital Cost Summary'!$J$6:$J$86)/10*$I$19*VLOOKUP($I$19,$E$187:$F$194,2,TRUE)</f>
        <v>0</v>
      </c>
      <c r="M80" s="52">
        <f>SUMIF('Capital Cost Summary'!$A$6:$A$86,M$63&amp;$C80&amp;$E80,'Capital Cost Summary'!$J$6:$J$86)/10*$I$19*VLOOKUP($I$19,$E$187:$F$194,2,TRUE)</f>
        <v>0</v>
      </c>
      <c r="N80" s="52">
        <f>SUMIF('Capital Cost Summary'!$A$6:$A$86,N$63&amp;$C80&amp;$E80,'Capital Cost Summary'!$J$6:$J$86)/10*$I$19*VLOOKUP($I$19,$E$187:$F$194,2,TRUE)</f>
        <v>0</v>
      </c>
      <c r="O80" s="50">
        <f>I80</f>
        <v>5130000</v>
      </c>
    </row>
    <row r="81" spans="1:44">
      <c r="A81" s="38">
        <v>1</v>
      </c>
      <c r="B81" s="970"/>
      <c r="E81" s="36" t="s">
        <v>113</v>
      </c>
      <c r="F81" s="39"/>
      <c r="G81" s="43" t="s">
        <v>9</v>
      </c>
      <c r="I81" s="52">
        <f>SUMIF('Capital Cost Summary'!$A$6:$A$86,I$63&amp;$C81&amp;$E81,'Capital Cost Summary'!$J$6:$J$86)/10*$I$19*VLOOKUP($I$19,$E$187:$F$194,2,TRUE)</f>
        <v>1094000</v>
      </c>
      <c r="J81" s="52">
        <f>SUMIF('Capital Cost Summary'!$A$6:$A$86,J$63&amp;$C81&amp;$E81,'Capital Cost Summary'!$J$6:$J$86)/10*$I$19*VLOOKUP($I$19,$E$187:$F$194,2,TRUE)</f>
        <v>1094000</v>
      </c>
      <c r="K81" s="52">
        <f>SUMIF('Capital Cost Summary'!$A$6:$A$86,K$63&amp;$C81&amp;$E81,'Capital Cost Summary'!$J$6:$J$86)/10*$I$19*VLOOKUP($I$19,$E$187:$F$194,2,TRUE)</f>
        <v>978000</v>
      </c>
      <c r="L81" s="52">
        <f>SUMIF('Capital Cost Summary'!$A$6:$A$86,L$63&amp;$C81&amp;$E81,'Capital Cost Summary'!$J$6:$J$86)/10*$I$19*VLOOKUP($I$19,$E$187:$F$194,2,TRUE)</f>
        <v>978000</v>
      </c>
      <c r="M81" s="52">
        <f>SUMIF('Capital Cost Summary'!$A$6:$A$86,M$63&amp;$C81&amp;$E81,'Capital Cost Summary'!$J$6:$J$86)/10*$I$19*VLOOKUP($I$19,$E$187:$F$194,2,TRUE)</f>
        <v>848000</v>
      </c>
      <c r="N81" s="52">
        <f>SUMIF('Capital Cost Summary'!$A$6:$A$86,N$63&amp;$C81&amp;$E81,'Capital Cost Summary'!$J$6:$J$86)/10*$I$19*VLOOKUP($I$19,$E$187:$F$194,2,TRUE)</f>
        <v>942000</v>
      </c>
      <c r="O81" s="50">
        <f>K81</f>
        <v>978000</v>
      </c>
    </row>
    <row r="82" spans="1:44">
      <c r="A82" s="38">
        <v>1</v>
      </c>
      <c r="B82" s="970"/>
      <c r="E82" s="36" t="s">
        <v>115</v>
      </c>
      <c r="F82" s="39"/>
      <c r="G82" s="43" t="s">
        <v>9</v>
      </c>
      <c r="I82" s="52">
        <f>SUMIF('Capital Cost Summary'!$A$6:$A$86,I$63&amp;$C82&amp;$E82,'Capital Cost Summary'!$J$6:$J$86)/10*$I$19*VLOOKUP($I$19,$E$187:$F$194,2,TRUE)</f>
        <v>2189000</v>
      </c>
      <c r="J82" s="52">
        <f>SUMIF('Capital Cost Summary'!$A$6:$A$86,J$63&amp;$C82&amp;$E82,'Capital Cost Summary'!$J$6:$J$86)/10*$I$19*VLOOKUP($I$19,$E$187:$F$194,2,TRUE)</f>
        <v>2189000</v>
      </c>
      <c r="K82" s="52">
        <f>SUMIF('Capital Cost Summary'!$A$6:$A$86,K$63&amp;$C82&amp;$E82,'Capital Cost Summary'!$J$6:$J$86)/10*$I$19*VLOOKUP($I$19,$E$187:$F$194,2,TRUE)</f>
        <v>1956000</v>
      </c>
      <c r="L82" s="52">
        <f>SUMIF('Capital Cost Summary'!$A$6:$A$86,L$63&amp;$C82&amp;$E82,'Capital Cost Summary'!$J$6:$J$86)/10*$I$19*VLOOKUP($I$19,$E$187:$F$194,2,TRUE)</f>
        <v>1956000</v>
      </c>
      <c r="M82" s="52">
        <f>SUMIF('Capital Cost Summary'!$A$6:$A$86,M$63&amp;$C82&amp;$E82,'Capital Cost Summary'!$J$6:$J$86)/10*$I$19*VLOOKUP($I$19,$E$187:$F$194,2,TRUE)</f>
        <v>1696000</v>
      </c>
      <c r="N82" s="52">
        <f>SUMIF('Capital Cost Summary'!$A$6:$A$86,N$63&amp;$C82&amp;$E82,'Capital Cost Summary'!$J$6:$J$86)/10*$I$19*VLOOKUP($I$19,$E$187:$F$194,2,TRUE)</f>
        <v>1884000</v>
      </c>
      <c r="O82" s="50">
        <f t="shared" ref="O82:O84" si="13">K82</f>
        <v>1956000</v>
      </c>
    </row>
    <row r="83" spans="1:44">
      <c r="A83" s="38">
        <v>1</v>
      </c>
      <c r="B83" s="970"/>
      <c r="E83" s="36" t="s">
        <v>146</v>
      </c>
      <c r="F83" s="39"/>
      <c r="G83" s="43" t="s">
        <v>9</v>
      </c>
      <c r="I83" s="52">
        <f>SUMIF('Capital Cost Summary'!$A$6:$A$86,I$63&amp;$C83&amp;$E83,'Capital Cost Summary'!$J$6:$J$86)/10*$I$19*VLOOKUP($I$19,$E$187:$F$194,2,TRUE)</f>
        <v>7551000</v>
      </c>
      <c r="J83" s="52">
        <f>SUMIF('Capital Cost Summary'!$A$6:$A$86,J$63&amp;$C83&amp;$E83,'Capital Cost Summary'!$J$6:$J$86)/10*$I$19*VLOOKUP($I$19,$E$187:$F$194,2,TRUE)</f>
        <v>7551000</v>
      </c>
      <c r="K83" s="52">
        <f>SUMIF('Capital Cost Summary'!$A$6:$A$86,K$63&amp;$C83&amp;$E83,'Capital Cost Summary'!$J$6:$J$86)/10*$I$19*VLOOKUP($I$19,$E$187:$F$194,2,TRUE)</f>
        <v>6749000</v>
      </c>
      <c r="L83" s="52">
        <f>SUMIF('Capital Cost Summary'!$A$6:$A$86,L$63&amp;$C83&amp;$E83,'Capital Cost Summary'!$J$6:$J$86)/10*$I$19*VLOOKUP($I$19,$E$187:$F$194,2,TRUE)</f>
        <v>6749000</v>
      </c>
      <c r="M83" s="52">
        <f>SUMIF('Capital Cost Summary'!$A$6:$A$86,M$63&amp;$C83&amp;$E83,'Capital Cost Summary'!$J$6:$J$86)/10*$I$19*VLOOKUP($I$19,$E$187:$F$194,2,TRUE)</f>
        <v>5852000</v>
      </c>
      <c r="N83" s="52">
        <f>SUMIF('Capital Cost Summary'!$A$6:$A$86,N$63&amp;$C83&amp;$E83,'Capital Cost Summary'!$J$6:$J$86)/10*$I$19*VLOOKUP($I$19,$E$187:$F$194,2,TRUE)</f>
        <v>6500000</v>
      </c>
      <c r="O83" s="50">
        <f t="shared" si="13"/>
        <v>6749000</v>
      </c>
    </row>
    <row r="84" spans="1:44">
      <c r="A84" s="38">
        <v>1</v>
      </c>
      <c r="B84" s="970"/>
      <c r="E84" s="36" t="s">
        <v>147</v>
      </c>
      <c r="F84" s="39"/>
      <c r="G84" s="43" t="s">
        <v>9</v>
      </c>
      <c r="I84" s="52">
        <f>SUMIF('Capital Cost Summary'!$A$6:$A$86,I$63&amp;$C84&amp;$E84,'Capital Cost Summary'!$J$6:$J$86)/10*$I$19*VLOOKUP($I$19,$E$187:$F$194,2,TRUE)</f>
        <v>4908000</v>
      </c>
      <c r="J84" s="52">
        <f>SUMIF('Capital Cost Summary'!$A$6:$A$86,J$63&amp;$C84&amp;$E84,'Capital Cost Summary'!$J$6:$J$86)/10*$I$19*VLOOKUP($I$19,$E$187:$F$194,2,TRUE)</f>
        <v>4908000</v>
      </c>
      <c r="K84" s="52">
        <f>SUMIF('Capital Cost Summary'!$A$6:$A$86,K$63&amp;$C84&amp;$E84,'Capital Cost Summary'!$J$6:$J$86)/10*$I$19*VLOOKUP($I$19,$E$187:$F$194,2,TRUE)</f>
        <v>4387000</v>
      </c>
      <c r="L84" s="52">
        <f>SUMIF('Capital Cost Summary'!$A$6:$A$86,L$63&amp;$C84&amp;$E84,'Capital Cost Summary'!$J$6:$J$86)/10*$I$19*VLOOKUP($I$19,$E$187:$F$194,2,TRUE)</f>
        <v>4387000</v>
      </c>
      <c r="M84" s="52">
        <f>SUMIF('Capital Cost Summary'!$A$6:$A$86,M$63&amp;$C84&amp;$E84,'Capital Cost Summary'!$J$6:$J$86)/10*$I$19*VLOOKUP($I$19,$E$187:$F$194,2,TRUE)</f>
        <v>3804000</v>
      </c>
      <c r="N84" s="52">
        <f>SUMIF('Capital Cost Summary'!$A$6:$A$86,N$63&amp;$C84&amp;$E84,'Capital Cost Summary'!$J$6:$J$86)/10*$I$19*VLOOKUP($I$19,$E$187:$F$194,2,TRUE)</f>
        <v>4225000</v>
      </c>
      <c r="O84" s="50">
        <f t="shared" si="13"/>
        <v>4387000</v>
      </c>
    </row>
    <row r="85" spans="1:44">
      <c r="B85" s="970"/>
      <c r="E85" s="173" t="s">
        <v>114</v>
      </c>
      <c r="F85" s="39"/>
      <c r="G85" s="174" t="s">
        <v>9</v>
      </c>
      <c r="H85" s="60"/>
      <c r="I85" s="181">
        <f>SUM(I65:I84)</f>
        <v>37629000</v>
      </c>
      <c r="J85" s="181">
        <f t="shared" ref="J85:O85" si="14">SUM(J65:J84)</f>
        <v>37629000</v>
      </c>
      <c r="K85" s="181">
        <f t="shared" si="14"/>
        <v>33631000</v>
      </c>
      <c r="L85" s="181">
        <f t="shared" si="14"/>
        <v>33631000</v>
      </c>
      <c r="M85" s="181">
        <f t="shared" si="14"/>
        <v>29161000</v>
      </c>
      <c r="N85" s="181">
        <f t="shared" si="14"/>
        <v>32390000</v>
      </c>
      <c r="O85" s="181">
        <f t="shared" si="14"/>
        <v>67290000</v>
      </c>
    </row>
    <row r="86" spans="1:44">
      <c r="B86" s="42"/>
      <c r="E86" s="173"/>
      <c r="F86" s="39"/>
      <c r="G86" s="174"/>
      <c r="H86" s="60"/>
      <c r="I86" s="181"/>
      <c r="J86" s="181"/>
      <c r="K86" s="181"/>
      <c r="L86" s="181"/>
      <c r="M86" s="181"/>
      <c r="N86" s="181"/>
    </row>
    <row r="87" spans="1:44" s="28" customFormat="1">
      <c r="A87" s="859"/>
      <c r="B87" s="970"/>
      <c r="C87" s="325"/>
      <c r="D87" s="325"/>
      <c r="E87" s="325" t="s">
        <v>529</v>
      </c>
      <c r="F87" s="325"/>
      <c r="G87" s="325" t="s">
        <v>79</v>
      </c>
      <c r="H87" s="325"/>
      <c r="I87" s="325" t="s">
        <v>173</v>
      </c>
      <c r="J87" s="325" t="s">
        <v>171</v>
      </c>
      <c r="K87" s="325" t="s">
        <v>174</v>
      </c>
      <c r="L87" s="325" t="s">
        <v>172</v>
      </c>
      <c r="M87" s="325" t="s">
        <v>621</v>
      </c>
      <c r="N87" s="325" t="s">
        <v>622</v>
      </c>
      <c r="O87" s="325" t="s">
        <v>527</v>
      </c>
      <c r="P87" s="325" t="s">
        <v>307</v>
      </c>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row>
    <row r="88" spans="1:44">
      <c r="B88" s="970"/>
      <c r="E88" s="39"/>
      <c r="F88" s="39"/>
    </row>
    <row r="89" spans="1:44">
      <c r="B89" s="970"/>
      <c r="E89" s="39" t="s">
        <v>284</v>
      </c>
      <c r="F89" s="39"/>
    </row>
    <row r="90" spans="1:44">
      <c r="A90" s="38">
        <v>1</v>
      </c>
      <c r="B90" s="970"/>
      <c r="C90" s="38" t="s">
        <v>257</v>
      </c>
      <c r="D90" s="38" t="str">
        <f t="shared" ref="D90:D104" si="15">C90&amp;P90</f>
        <v>kWh-Anaerobic Digestion</v>
      </c>
      <c r="E90" s="36" t="s">
        <v>315</v>
      </c>
      <c r="F90" s="37"/>
      <c r="G90" s="43" t="s">
        <v>14</v>
      </c>
      <c r="I90" s="180">
        <f ca="1">SUMIF('O&amp;M Cost Summary'!$C$4:$C$199,I$63&amp;$C90&amp;$E90,'O&amp;M Cost Summary'!$J$4:$J$198)/10*$I$19</f>
        <v>166080</v>
      </c>
      <c r="J90" s="180">
        <f ca="1">SUMIF('O&amp;M Cost Summary'!$C$4:$C$199,J$63&amp;$C90&amp;$E90,'O&amp;M Cost Summary'!$J$4:$J$198)/10*$I$19</f>
        <v>166080</v>
      </c>
      <c r="K90" s="180">
        <f ca="1">SUMIF('O&amp;M Cost Summary'!$C$4:$C$199,K$63&amp;$C90&amp;$E90,'O&amp;M Cost Summary'!$J$4:$J$198)/10*$I$19</f>
        <v>574880</v>
      </c>
      <c r="L90" s="180">
        <f ca="1">SUMIF('O&amp;M Cost Summary'!$C$4:$C$199,L$63&amp;$C90&amp;$E90,'O&amp;M Cost Summary'!$J$4:$J$198)/10*$I$19</f>
        <v>574880</v>
      </c>
      <c r="M90" s="180">
        <f ca="1">SUMIF('O&amp;M Cost Summary'!$C$4:$C$199,M$63&amp;$C90&amp;$E90,'O&amp;M Cost Summary'!$J$4:$J$198)/10*$I$19</f>
        <v>0</v>
      </c>
      <c r="N90" s="180">
        <f ca="1">SUMIF('O&amp;M Cost Summary'!$C$4:$C$199,N$63&amp;$C90&amp;$E90,'O&amp;M Cost Summary'!$J$4:$J$198)/10*$I$19</f>
        <v>0</v>
      </c>
      <c r="O90" s="55">
        <f ca="1">K90</f>
        <v>574880</v>
      </c>
      <c r="P90" s="36" t="s">
        <v>315</v>
      </c>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row>
    <row r="91" spans="1:44">
      <c r="A91" s="38">
        <v>1</v>
      </c>
      <c r="B91" s="970"/>
      <c r="C91" s="38" t="s">
        <v>257</v>
      </c>
      <c r="D91" s="38" t="str">
        <f t="shared" si="15"/>
        <v>kWh-Belt Filter Press Dewatering</v>
      </c>
      <c r="E91" s="36" t="s">
        <v>143</v>
      </c>
      <c r="F91" s="37"/>
      <c r="G91" s="43" t="s">
        <v>14</v>
      </c>
      <c r="I91" s="180">
        <f ca="1">SUMIF('O&amp;M Cost Summary'!$C$4:$C$199,I$63&amp;$C91&amp;$E91,'O&amp;M Cost Summary'!$J$4:$J$198)/10*$I$19</f>
        <v>32490</v>
      </c>
      <c r="J91" s="180">
        <f ca="1">SUMIF('O&amp;M Cost Summary'!$C$4:$C$199,J$63&amp;$C91&amp;$E91,'O&amp;M Cost Summary'!$J$4:$J$198)/10*$I$19</f>
        <v>32490</v>
      </c>
      <c r="K91" s="180">
        <f ca="1">SUMIF('O&amp;M Cost Summary'!$C$4:$C$199,K$63&amp;$C91&amp;$E91,'O&amp;M Cost Summary'!$J$4:$J$198)/10*$I$19</f>
        <v>32490</v>
      </c>
      <c r="L91" s="180">
        <f ca="1">SUMIF('O&amp;M Cost Summary'!$C$4:$C$199,L$63&amp;$C91&amp;$E91,'O&amp;M Cost Summary'!$J$4:$J$198)/10*$I$19</f>
        <v>32490</v>
      </c>
      <c r="M91" s="180">
        <f ca="1">SUMIF('O&amp;M Cost Summary'!$C$4:$C$199,M$63&amp;$C91&amp;$E91,'O&amp;M Cost Summary'!$J$4:$J$198)/10*$I$19</f>
        <v>32490</v>
      </c>
      <c r="N91" s="180">
        <f ca="1">SUMIF('O&amp;M Cost Summary'!$C$4:$C$199,N$63&amp;$C91&amp;$E91,'O&amp;M Cost Summary'!$J$4:$J$198)/10*$I$19</f>
        <v>32490</v>
      </c>
      <c r="O91" s="55">
        <f ca="1">K91</f>
        <v>32490</v>
      </c>
      <c r="P91" s="36" t="s">
        <v>143</v>
      </c>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row>
    <row r="92" spans="1:44">
      <c r="A92" s="38">
        <v>1</v>
      </c>
      <c r="B92" s="970"/>
      <c r="C92" s="38" t="s">
        <v>257</v>
      </c>
      <c r="D92" s="38" t="str">
        <f t="shared" si="15"/>
        <v>kWh-Cake Storage/Load Out</v>
      </c>
      <c r="E92" s="36" t="s">
        <v>317</v>
      </c>
      <c r="F92" s="37"/>
      <c r="G92" s="43" t="s">
        <v>14</v>
      </c>
      <c r="I92" s="180">
        <f ca="1">SUMIF('O&amp;M Cost Summary'!$C$4:$C$199,I$63&amp;$C92&amp;$E92,'O&amp;M Cost Summary'!$J$4:$J$198)/10*$I$19</f>
        <v>16430</v>
      </c>
      <c r="J92" s="180">
        <f ca="1">SUMIF('O&amp;M Cost Summary'!$C$4:$C$199,J$63&amp;$C92&amp;$E92,'O&amp;M Cost Summary'!$J$4:$J$198)/10*$I$19</f>
        <v>16430</v>
      </c>
      <c r="K92" s="180">
        <f ca="1">SUMIF('O&amp;M Cost Summary'!$C$4:$C$199,K$63&amp;$C92&amp;$E92,'O&amp;M Cost Summary'!$J$4:$J$198)/10*$I$19</f>
        <v>0</v>
      </c>
      <c r="L92" s="180">
        <f ca="1">SUMIF('O&amp;M Cost Summary'!$C$4:$C$199,L$63&amp;$C92&amp;$E92,'O&amp;M Cost Summary'!$J$4:$J$198)/10*$I$19</f>
        <v>0</v>
      </c>
      <c r="M92" s="180">
        <f ca="1">SUMIF('O&amp;M Cost Summary'!$C$4:$C$199,M$63&amp;$C92&amp;$E92,'O&amp;M Cost Summary'!$J$4:$J$198)/10*$I$19</f>
        <v>0</v>
      </c>
      <c r="N92" s="180">
        <f ca="1">SUMIF('O&amp;M Cost Summary'!$C$4:$C$199,N$63&amp;$C92&amp;$E92,'O&amp;M Cost Summary'!$J$4:$J$198)/10*$I$19</f>
        <v>0</v>
      </c>
      <c r="O92" s="55">
        <f ca="1">I92</f>
        <v>16430</v>
      </c>
      <c r="P92" s="36" t="s">
        <v>316</v>
      </c>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row>
    <row r="93" spans="1:44">
      <c r="A93" s="38">
        <v>1</v>
      </c>
      <c r="B93" s="970"/>
      <c r="C93" s="38" t="s">
        <v>257</v>
      </c>
      <c r="D93" s="38" t="str">
        <f t="shared" si="15"/>
        <v>kWh-Cake Storage</v>
      </c>
      <c r="E93" s="36" t="s">
        <v>316</v>
      </c>
      <c r="F93" s="37"/>
      <c r="G93" s="43" t="s">
        <v>14</v>
      </c>
      <c r="I93" s="180">
        <f ca="1">SUMIF('O&amp;M Cost Summary'!$C$4:$C$199,I$63&amp;$C93&amp;$E93,'O&amp;M Cost Summary'!$J$4:$J$198)/10*$I$19</f>
        <v>0</v>
      </c>
      <c r="J93" s="180">
        <f ca="1">SUMIF('O&amp;M Cost Summary'!$C$4:$C$199,J$63&amp;$C93&amp;$E93,'O&amp;M Cost Summary'!$J$4:$J$198)/10*$I$19</f>
        <v>0</v>
      </c>
      <c r="K93" s="180">
        <f ca="1">SUMIF('O&amp;M Cost Summary'!$C$4:$C$199,K$63&amp;$C93&amp;$E93,'O&amp;M Cost Summary'!$J$4:$J$198)/10*$I$19</f>
        <v>32850</v>
      </c>
      <c r="L93" s="180">
        <f ca="1">SUMIF('O&amp;M Cost Summary'!$C$4:$C$199,L$63&amp;$C93&amp;$E93,'O&amp;M Cost Summary'!$J$4:$J$198)/10*$I$19</f>
        <v>32850</v>
      </c>
      <c r="M93" s="180">
        <f ca="1">SUMIF('O&amp;M Cost Summary'!$C$4:$C$199,M$63&amp;$C93&amp;$E93,'O&amp;M Cost Summary'!$J$4:$J$198)/10*$I$19</f>
        <v>32850</v>
      </c>
      <c r="N93" s="180">
        <f ca="1">SUMIF('O&amp;M Cost Summary'!$C$4:$C$199,N$63&amp;$C93&amp;$E93,'O&amp;M Cost Summary'!$J$4:$J$198)/10*$I$19</f>
        <v>0</v>
      </c>
      <c r="O93" s="55">
        <f ca="1">K93</f>
        <v>32850</v>
      </c>
      <c r="P93" s="36" t="s">
        <v>317</v>
      </c>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row>
    <row r="94" spans="1:44">
      <c r="A94" s="38">
        <v>1</v>
      </c>
      <c r="B94" s="970"/>
      <c r="C94" s="38" t="s">
        <v>257</v>
      </c>
      <c r="D94" s="38" t="str">
        <f t="shared" si="15"/>
        <v>kWh-CHP</v>
      </c>
      <c r="E94" s="36" t="s">
        <v>318</v>
      </c>
      <c r="F94" s="37"/>
      <c r="G94" s="43" t="s">
        <v>14</v>
      </c>
      <c r="I94" s="180">
        <f ca="1">SUMIF('O&amp;M Cost Summary'!$C$4:$C$199,I$63&amp;$C94&amp;$E94,'O&amp;M Cost Summary'!$J$4:$J$198)/10*$I$19</f>
        <v>0</v>
      </c>
      <c r="J94" s="180">
        <f ca="1">SUMIF('O&amp;M Cost Summary'!$C$4:$C$199,J$63&amp;$C94&amp;$E94,'O&amp;M Cost Summary'!$J$4:$J$198)/10*$I$19</f>
        <v>0</v>
      </c>
      <c r="K94" s="180">
        <f ca="1">SUMIF('O&amp;M Cost Summary'!$C$4:$C$199,K$63&amp;$C94&amp;$E94,'O&amp;M Cost Summary'!$J$4:$J$198)/10*$I$19</f>
        <v>0</v>
      </c>
      <c r="L94" s="180">
        <f ca="1">SUMIF('O&amp;M Cost Summary'!$C$4:$C$199,L$63&amp;$C94&amp;$E94,'O&amp;M Cost Summary'!$J$4:$J$198)/10*$I$19</f>
        <v>0</v>
      </c>
      <c r="M94" s="180">
        <f ca="1">SUMIF('O&amp;M Cost Summary'!$C$4:$C$199,M$63&amp;$C94&amp;$E94,'O&amp;M Cost Summary'!$J$4:$J$198)/10*$I$19</f>
        <v>0</v>
      </c>
      <c r="N94" s="180">
        <f ca="1">SUMIF('O&amp;M Cost Summary'!$C$4:$C$199,N$63&amp;$C94&amp;$E94,'O&amp;M Cost Summary'!$J$4:$J$198)/10*$I$19</f>
        <v>0</v>
      </c>
      <c r="O94" s="55">
        <f ca="1">K94</f>
        <v>0</v>
      </c>
      <c r="P94" s="36" t="s">
        <v>318</v>
      </c>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row>
    <row r="95" spans="1:44">
      <c r="A95" s="38">
        <v>1</v>
      </c>
      <c r="B95" s="970"/>
      <c r="C95" s="38" t="s">
        <v>257</v>
      </c>
      <c r="D95" s="38" t="str">
        <f t="shared" si="15"/>
        <v>kWh-Drying/Gasification/Energy Recovery</v>
      </c>
      <c r="E95" s="36" t="s">
        <v>320</v>
      </c>
      <c r="F95" s="37"/>
      <c r="G95" s="43" t="s">
        <v>14</v>
      </c>
      <c r="I95" s="180">
        <f ca="1">SUMIF('O&amp;M Cost Summary'!$C$4:$C$199,I$63&amp;$C95&amp;$E95,'O&amp;M Cost Summary'!$J$4:$J$198)/10*$I$19</f>
        <v>0</v>
      </c>
      <c r="J95" s="180">
        <f ca="1">SUMIF('O&amp;M Cost Summary'!$C$4:$C$199,J$63&amp;$C95&amp;$E95,'O&amp;M Cost Summary'!$J$4:$J$198)/10*$I$19</f>
        <v>0</v>
      </c>
      <c r="K95" s="180">
        <f ca="1">SUMIF('O&amp;M Cost Summary'!$C$4:$C$199,K$63&amp;$C95&amp;$E95,'O&amp;M Cost Summary'!$J$4:$J$198)/10*$I$19</f>
        <v>0</v>
      </c>
      <c r="L95" s="180">
        <f ca="1">SUMIF('O&amp;M Cost Summary'!$C$4:$C$199,L$63&amp;$C95&amp;$E95,'O&amp;M Cost Summary'!$J$4:$J$198)/10*$I$19</f>
        <v>0</v>
      </c>
      <c r="M95" s="180">
        <f ca="1">SUMIF('O&amp;M Cost Summary'!$C$4:$C$199,M$63&amp;$C95&amp;$E95,'O&amp;M Cost Summary'!$J$4:$J$198)/10*$I$19</f>
        <v>0</v>
      </c>
      <c r="N95" s="180">
        <f ca="1">SUMIF('O&amp;M Cost Summary'!$C$4:$C$199,N$63&amp;$C95&amp;$E95,'O&amp;M Cost Summary'!$J$4:$J$198)/10*$I$19</f>
        <v>485450</v>
      </c>
      <c r="O95" s="55">
        <f ca="1">N95</f>
        <v>485450</v>
      </c>
      <c r="P95" s="36" t="s">
        <v>320</v>
      </c>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row>
    <row r="96" spans="1:44">
      <c r="A96" s="38">
        <v>1</v>
      </c>
      <c r="B96" s="970"/>
      <c r="C96" s="38" t="s">
        <v>257</v>
      </c>
      <c r="D96" s="38" t="str">
        <f t="shared" si="15"/>
        <v>kWh-Energy Recovery</v>
      </c>
      <c r="E96" s="36" t="s">
        <v>321</v>
      </c>
      <c r="F96" s="37"/>
      <c r="G96" s="43" t="s">
        <v>14</v>
      </c>
      <c r="I96" s="180">
        <f ca="1">SUMIF('O&amp;M Cost Summary'!$C$4:$C$199,I$63&amp;$C96&amp;$E96,'O&amp;M Cost Summary'!$J$4:$J$198)/10*$I$19</f>
        <v>0</v>
      </c>
      <c r="J96" s="180">
        <f ca="1">SUMIF('O&amp;M Cost Summary'!$C$4:$C$199,J$63&amp;$C96&amp;$E96,'O&amp;M Cost Summary'!$J$4:$J$198)/10*$I$19</f>
        <v>0</v>
      </c>
      <c r="K96" s="180">
        <f ca="1">SUMIF('O&amp;M Cost Summary'!$C$4:$C$199,K$63&amp;$C96&amp;$E96,'O&amp;M Cost Summary'!$J$4:$J$198)/10*$I$19</f>
        <v>0</v>
      </c>
      <c r="L96" s="180">
        <f ca="1">SUMIF('O&amp;M Cost Summary'!$C$4:$C$199,L$63&amp;$C96&amp;$E96,'O&amp;M Cost Summary'!$J$4:$J$198)/10*$I$19</f>
        <v>0</v>
      </c>
      <c r="M96" s="180">
        <f ca="1">SUMIF('O&amp;M Cost Summary'!$C$4:$C$199,M$63&amp;$C96&amp;$E96,'O&amp;M Cost Summary'!$J$4:$J$198)/10*$I$19</f>
        <v>0</v>
      </c>
      <c r="N96" s="180">
        <f ca="1">SUMIF('O&amp;M Cost Summary'!$C$4:$C$199,N$63&amp;$C96&amp;$E96,'O&amp;M Cost Summary'!$J$4:$J$198)/10*$I$19</f>
        <v>0</v>
      </c>
      <c r="O96" s="55">
        <f t="shared" ref="O96:O99" ca="1" si="16">K96</f>
        <v>0</v>
      </c>
      <c r="P96" s="36" t="s">
        <v>321</v>
      </c>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row>
    <row r="97" spans="1:70">
      <c r="A97" s="38">
        <v>1</v>
      </c>
      <c r="B97" s="970"/>
      <c r="C97" s="38" t="s">
        <v>257</v>
      </c>
      <c r="D97" s="38" t="str">
        <f t="shared" si="15"/>
        <v>kWh-Fluid Bed Incineration</v>
      </c>
      <c r="E97" s="36" t="s">
        <v>164</v>
      </c>
      <c r="F97" s="37"/>
      <c r="G97" s="43" t="s">
        <v>14</v>
      </c>
      <c r="I97" s="180">
        <f ca="1">SUMIF('O&amp;M Cost Summary'!$C$4:$C$199,I$63&amp;$C97&amp;$E97,'O&amp;M Cost Summary'!$J$4:$J$198)/10*$I$19</f>
        <v>0</v>
      </c>
      <c r="J97" s="180">
        <f ca="1">SUMIF('O&amp;M Cost Summary'!$C$4:$C$199,J$63&amp;$C97&amp;$E97,'O&amp;M Cost Summary'!$J$4:$J$198)/10*$I$19</f>
        <v>0</v>
      </c>
      <c r="K97" s="180">
        <f ca="1">SUMIF('O&amp;M Cost Summary'!$C$4:$C$199,K$63&amp;$C97&amp;$E97,'O&amp;M Cost Summary'!$J$4:$J$198)/10*$I$19</f>
        <v>0</v>
      </c>
      <c r="L97" s="180">
        <f ca="1">SUMIF('O&amp;M Cost Summary'!$C$4:$C$199,L$63&amp;$C97&amp;$E97,'O&amp;M Cost Summary'!$J$4:$J$198)/10*$I$19</f>
        <v>0</v>
      </c>
      <c r="M97" s="180">
        <f ca="1">SUMIF('O&amp;M Cost Summary'!$C$4:$C$199,M$63&amp;$C97&amp;$E97,'O&amp;M Cost Summary'!$J$4:$J$198)/10*$I$19</f>
        <v>0</v>
      </c>
      <c r="N97" s="180">
        <f ca="1">SUMIF('O&amp;M Cost Summary'!$C$4:$C$199,N$63&amp;$C97&amp;$E97,'O&amp;M Cost Summary'!$J$4:$J$198)/10*$I$19</f>
        <v>0</v>
      </c>
      <c r="O97" s="55">
        <f t="shared" ca="1" si="16"/>
        <v>0</v>
      </c>
      <c r="P97" s="36" t="s">
        <v>160</v>
      </c>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row>
    <row r="98" spans="1:70">
      <c r="A98" s="38">
        <v>1</v>
      </c>
      <c r="B98" s="970"/>
      <c r="C98" s="38" t="s">
        <v>257</v>
      </c>
      <c r="D98" s="38" t="str">
        <f t="shared" si="15"/>
        <v>kWh-FOG Receiving</v>
      </c>
      <c r="E98" s="36" t="s">
        <v>161</v>
      </c>
      <c r="F98" s="37"/>
      <c r="G98" s="43" t="s">
        <v>14</v>
      </c>
      <c r="I98" s="180">
        <f ca="1">SUMIF('O&amp;M Cost Summary'!$C$4:$C$199,I$63&amp;$C98&amp;$E98,'O&amp;M Cost Summary'!$J$4:$J$198)/10*$I$19</f>
        <v>0</v>
      </c>
      <c r="J98" s="180">
        <f ca="1">SUMIF('O&amp;M Cost Summary'!$C$4:$C$199,J$63&amp;$C98&amp;$E98,'O&amp;M Cost Summary'!$J$4:$J$198)/10*$I$19</f>
        <v>0</v>
      </c>
      <c r="K98" s="180">
        <f ca="1">SUMIF('O&amp;M Cost Summary'!$C$4:$C$199,K$63&amp;$C98&amp;$E98,'O&amp;M Cost Summary'!$J$4:$J$198)/10*$I$19</f>
        <v>105850</v>
      </c>
      <c r="L98" s="180">
        <f ca="1">SUMIF('O&amp;M Cost Summary'!$C$4:$C$199,L$63&amp;$C98&amp;$E98,'O&amp;M Cost Summary'!$J$4:$J$198)/10*$I$19</f>
        <v>105850</v>
      </c>
      <c r="M98" s="180">
        <f ca="1">SUMIF('O&amp;M Cost Summary'!$C$4:$C$199,M$63&amp;$C98&amp;$E98,'O&amp;M Cost Summary'!$J$4:$J$198)/10*$I$19</f>
        <v>0</v>
      </c>
      <c r="N98" s="180">
        <f ca="1">SUMIF('O&amp;M Cost Summary'!$C$4:$C$199,N$63&amp;$C98&amp;$E98,'O&amp;M Cost Summary'!$J$4:$J$198)/10*$I$19</f>
        <v>0</v>
      </c>
      <c r="O98" s="55">
        <f t="shared" ca="1" si="16"/>
        <v>105850</v>
      </c>
      <c r="P98" s="36" t="s">
        <v>161</v>
      </c>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row>
    <row r="99" spans="1:70">
      <c r="A99" s="38">
        <v>1</v>
      </c>
      <c r="B99" s="970"/>
      <c r="C99" s="38" t="s">
        <v>257</v>
      </c>
      <c r="D99" s="38" t="str">
        <f t="shared" si="15"/>
        <v>kWh-Gas Cleaning</v>
      </c>
      <c r="E99" s="36" t="s">
        <v>162</v>
      </c>
      <c r="F99" s="37"/>
      <c r="G99" s="43" t="s">
        <v>14</v>
      </c>
      <c r="I99" s="180">
        <f ca="1">SUMIF('O&amp;M Cost Summary'!$C$4:$C$199,I$63&amp;$C99&amp;$E99,'O&amp;M Cost Summary'!$J$4:$J$198)/10*$I$19</f>
        <v>196010</v>
      </c>
      <c r="J99" s="180">
        <f ca="1">SUMIF('O&amp;M Cost Summary'!$C$4:$C$199,J$63&amp;$C99&amp;$E99,'O&amp;M Cost Summary'!$J$4:$J$198)/10*$I$19</f>
        <v>196010</v>
      </c>
      <c r="K99" s="180">
        <f ca="1">SUMIF('O&amp;M Cost Summary'!$C$4:$C$199,K$63&amp;$C99&amp;$E99,'O&amp;M Cost Summary'!$J$4:$J$198)/10*$I$19</f>
        <v>196010</v>
      </c>
      <c r="L99" s="180">
        <f ca="1">SUMIF('O&amp;M Cost Summary'!$C$4:$C$199,L$63&amp;$C99&amp;$E99,'O&amp;M Cost Summary'!$J$4:$J$198)/10*$I$19</f>
        <v>196010</v>
      </c>
      <c r="M99" s="180">
        <f ca="1">SUMIF('O&amp;M Cost Summary'!$C$4:$C$199,M$63&amp;$C99&amp;$E99,'O&amp;M Cost Summary'!$J$4:$J$198)/10*$I$19</f>
        <v>0</v>
      </c>
      <c r="N99" s="180">
        <f ca="1">SUMIF('O&amp;M Cost Summary'!$C$4:$C$199,N$63&amp;$C99&amp;$E99,'O&amp;M Cost Summary'!$J$4:$J$198)/10*$I$19</f>
        <v>0</v>
      </c>
      <c r="O99" s="55">
        <f t="shared" ca="1" si="16"/>
        <v>196010</v>
      </c>
      <c r="P99" s="36" t="s">
        <v>162</v>
      </c>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row>
    <row r="100" spans="1:70">
      <c r="A100" s="38">
        <v>1</v>
      </c>
      <c r="B100" s="970"/>
      <c r="C100" s="38" t="s">
        <v>257</v>
      </c>
      <c r="D100" s="38" t="str">
        <f t="shared" si="15"/>
        <v>kWh-Drying/Gasification/Energy Recovery</v>
      </c>
      <c r="E100" s="36" t="s">
        <v>165</v>
      </c>
      <c r="F100" s="37"/>
      <c r="G100" s="43" t="s">
        <v>14</v>
      </c>
      <c r="I100" s="180">
        <f ca="1">SUMIF('O&amp;M Cost Summary'!$C$4:$C$199,I$63&amp;$C100&amp;$E100,'O&amp;M Cost Summary'!$J$4:$J$198)/10*$I$19</f>
        <v>0</v>
      </c>
      <c r="J100" s="180">
        <f ca="1">SUMIF('O&amp;M Cost Summary'!$C$4:$C$199,J$63&amp;$C100&amp;$E100,'O&amp;M Cost Summary'!$J$4:$J$198)/10*$I$19</f>
        <v>0</v>
      </c>
      <c r="K100" s="180">
        <f ca="1">SUMIF('O&amp;M Cost Summary'!$C$4:$C$199,K$63&amp;$C100&amp;$E100,'O&amp;M Cost Summary'!$J$4:$J$198)/10*$I$19</f>
        <v>0</v>
      </c>
      <c r="L100" s="180">
        <f ca="1">SUMIF('O&amp;M Cost Summary'!$C$4:$C$199,L$63&amp;$C100&amp;$E100,'O&amp;M Cost Summary'!$J$4:$J$198)/10*$I$19</f>
        <v>0</v>
      </c>
      <c r="M100" s="180">
        <f ca="1">SUMIF('O&amp;M Cost Summary'!$C$4:$C$199,M$63&amp;$C100&amp;$E100,'O&amp;M Cost Summary'!$J$4:$J$198)/10*$I$19</f>
        <v>0</v>
      </c>
      <c r="N100" s="180">
        <f ca="1">SUMIF('O&amp;M Cost Summary'!$C$4:$C$199,N$63&amp;$C100&amp;$E100,'O&amp;M Cost Summary'!$J$4:$J$198)/10*$I$19</f>
        <v>0</v>
      </c>
      <c r="O100" s="55">
        <f ca="1">K100</f>
        <v>0</v>
      </c>
      <c r="P100" s="36" t="s">
        <v>320</v>
      </c>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row>
    <row r="101" spans="1:70">
      <c r="A101" s="38">
        <v>1</v>
      </c>
      <c r="B101" s="970"/>
      <c r="C101" s="38" t="s">
        <v>257</v>
      </c>
      <c r="D101" s="38" t="str">
        <f t="shared" si="15"/>
        <v>kWh-Gravity Belt Thickener</v>
      </c>
      <c r="E101" s="36" t="s">
        <v>135</v>
      </c>
      <c r="F101" s="37"/>
      <c r="G101" s="43" t="s">
        <v>14</v>
      </c>
      <c r="I101" s="180">
        <f ca="1">SUMIF('O&amp;M Cost Summary'!$C$4:$C$199,I$63&amp;$C101&amp;$E101,'O&amp;M Cost Summary'!$J$4:$J$198)/10*$I$19</f>
        <v>57670</v>
      </c>
      <c r="J101" s="180">
        <f ca="1">SUMIF('O&amp;M Cost Summary'!$C$4:$C$199,J$63&amp;$C101&amp;$E101,'O&amp;M Cost Summary'!$J$4:$J$198)/10*$I$19</f>
        <v>57670</v>
      </c>
      <c r="K101" s="180">
        <f ca="1">SUMIF('O&amp;M Cost Summary'!$C$4:$C$199,K$63&amp;$C101&amp;$E101,'O&amp;M Cost Summary'!$J$4:$J$198)/10*$I$19</f>
        <v>57670</v>
      </c>
      <c r="L101" s="180">
        <f ca="1">SUMIF('O&amp;M Cost Summary'!$C$4:$C$199,L$63&amp;$C101&amp;$E101,'O&amp;M Cost Summary'!$J$4:$J$198)/10*$I$19</f>
        <v>57670</v>
      </c>
      <c r="M101" s="180">
        <f ca="1">SUMIF('O&amp;M Cost Summary'!$C$4:$C$199,M$63&amp;$C101&amp;$E101,'O&amp;M Cost Summary'!$J$4:$J$198)/10*$I$19</f>
        <v>57310</v>
      </c>
      <c r="N101" s="180">
        <f ca="1">SUMIF('O&amp;M Cost Summary'!$C$4:$C$199,N$63&amp;$C101&amp;$E101,'O&amp;M Cost Summary'!$J$4:$J$198)/10*$I$19</f>
        <v>57310</v>
      </c>
      <c r="O101" s="55">
        <f t="shared" ref="O101:O102" ca="1" si="17">K101</f>
        <v>57670</v>
      </c>
      <c r="P101" s="36" t="s">
        <v>135</v>
      </c>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row>
    <row r="102" spans="1:70">
      <c r="A102" s="38">
        <v>1</v>
      </c>
      <c r="B102" s="970"/>
      <c r="C102" s="38" t="s">
        <v>257</v>
      </c>
      <c r="D102" s="38" t="str">
        <f t="shared" si="15"/>
        <v>kWh-Gravity Thickener</v>
      </c>
      <c r="E102" s="36" t="s">
        <v>29</v>
      </c>
      <c r="F102" s="37"/>
      <c r="G102" s="43" t="s">
        <v>14</v>
      </c>
      <c r="I102" s="180">
        <f ca="1">SUMIF('O&amp;M Cost Summary'!$C$4:$C$199,I$63&amp;$C102&amp;$E102,'O&amp;M Cost Summary'!$J$4:$J$198)/10*$I$19</f>
        <v>8400</v>
      </c>
      <c r="J102" s="180">
        <f ca="1">SUMIF('O&amp;M Cost Summary'!$C$4:$C$199,J$63&amp;$C102&amp;$E102,'O&amp;M Cost Summary'!$J$4:$J$198)/10*$I$19</f>
        <v>8400</v>
      </c>
      <c r="K102" s="180">
        <f ca="1">SUMIF('O&amp;M Cost Summary'!$C$4:$C$199,K$63&amp;$C102&amp;$E102,'O&amp;M Cost Summary'!$J$4:$J$198)/10*$I$19</f>
        <v>8400</v>
      </c>
      <c r="L102" s="180">
        <f ca="1">SUMIF('O&amp;M Cost Summary'!$C$4:$C$199,L$63&amp;$C102&amp;$E102,'O&amp;M Cost Summary'!$J$4:$J$198)/10*$I$19</f>
        <v>8400</v>
      </c>
      <c r="M102" s="180">
        <f ca="1">SUMIF('O&amp;M Cost Summary'!$C$4:$C$199,M$63&amp;$C102&amp;$E102,'O&amp;M Cost Summary'!$J$4:$J$198)/10*$I$19</f>
        <v>9130</v>
      </c>
      <c r="N102" s="180">
        <f ca="1">SUMIF('O&amp;M Cost Summary'!$C$4:$C$199,N$63&amp;$C102&amp;$E102,'O&amp;M Cost Summary'!$J$4:$J$198)/10*$I$19</f>
        <v>9130</v>
      </c>
      <c r="O102" s="55">
        <f t="shared" ca="1" si="17"/>
        <v>8400</v>
      </c>
      <c r="P102" s="36" t="s">
        <v>29</v>
      </c>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row>
    <row r="103" spans="1:70">
      <c r="A103" s="38">
        <v>1</v>
      </c>
      <c r="B103" s="970"/>
      <c r="C103" s="38" t="s">
        <v>257</v>
      </c>
      <c r="D103" s="38" t="str">
        <f t="shared" si="15"/>
        <v xml:space="preserve">kWh-Pre-Dewatering </v>
      </c>
      <c r="E103" s="36" t="s">
        <v>163</v>
      </c>
      <c r="F103" s="37"/>
      <c r="G103" s="43" t="s">
        <v>14</v>
      </c>
      <c r="I103" s="180">
        <f ca="1">SUMIF('O&amp;M Cost Summary'!$C$4:$C$199,I$63&amp;$C103&amp;$E103,'O&amp;M Cost Summary'!$J$4:$J$198)/10*$I$19</f>
        <v>98920</v>
      </c>
      <c r="J103" s="180">
        <f ca="1">SUMIF('O&amp;M Cost Summary'!$C$4:$C$199,J$63&amp;$C103&amp;$E103,'O&amp;M Cost Summary'!$J$4:$J$198)/10*$I$19</f>
        <v>98920</v>
      </c>
      <c r="K103" s="180">
        <f ca="1">SUMIF('O&amp;M Cost Summary'!$C$4:$C$199,K$63&amp;$C103&amp;$E103,'O&amp;M Cost Summary'!$J$4:$J$198)/10*$I$19</f>
        <v>0</v>
      </c>
      <c r="L103" s="180">
        <f ca="1">SUMIF('O&amp;M Cost Summary'!$C$4:$C$199,L$63&amp;$C103&amp;$E103,'O&amp;M Cost Summary'!$J$4:$J$198)/10*$I$19</f>
        <v>0</v>
      </c>
      <c r="M103" s="180">
        <f ca="1">SUMIF('O&amp;M Cost Summary'!$C$4:$C$199,M$63&amp;$C103&amp;$E103,'O&amp;M Cost Summary'!$J$4:$J$198)/10*$I$19</f>
        <v>0</v>
      </c>
      <c r="N103" s="180">
        <f ca="1">SUMIF('O&amp;M Cost Summary'!$C$4:$C$199,N$63&amp;$C103&amp;$E103,'O&amp;M Cost Summary'!$J$4:$J$198)/10*$I$19</f>
        <v>0</v>
      </c>
      <c r="O103" s="55">
        <f ca="1">I103</f>
        <v>98920</v>
      </c>
      <c r="P103" s="36" t="s">
        <v>163</v>
      </c>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row>
    <row r="104" spans="1:70">
      <c r="A104" s="38">
        <v>1</v>
      </c>
      <c r="B104" s="970"/>
      <c r="C104" s="38" t="s">
        <v>257</v>
      </c>
      <c r="D104" s="38" t="str">
        <f t="shared" si="15"/>
        <v>kWh-Pre-Treatment (CAMBI)</v>
      </c>
      <c r="E104" s="36" t="s">
        <v>138</v>
      </c>
      <c r="F104" s="37"/>
      <c r="G104" s="43" t="s">
        <v>14</v>
      </c>
      <c r="I104" s="180">
        <f ca="1">SUMIF('O&amp;M Cost Summary'!$C$4:$C$199,I$63&amp;$C104&amp;$E104,'O&amp;M Cost Summary'!$J$4:$J$198)/10*$I$19</f>
        <v>32850</v>
      </c>
      <c r="J104" s="180">
        <f ca="1">SUMIF('O&amp;M Cost Summary'!$C$4:$C$199,J$63&amp;$C104&amp;$E104,'O&amp;M Cost Summary'!$J$4:$J$198)/10*$I$19</f>
        <v>32850</v>
      </c>
      <c r="K104" s="180">
        <f ca="1">SUMIF('O&amp;M Cost Summary'!$C$4:$C$199,K$63&amp;$C104&amp;$E104,'O&amp;M Cost Summary'!$J$4:$J$198)/10*$I$19</f>
        <v>0</v>
      </c>
      <c r="L104" s="180">
        <f ca="1">SUMIF('O&amp;M Cost Summary'!$C$4:$C$199,L$63&amp;$C104&amp;$E104,'O&amp;M Cost Summary'!$J$4:$J$198)/10*$I$19</f>
        <v>0</v>
      </c>
      <c r="M104" s="180">
        <f ca="1">SUMIF('O&amp;M Cost Summary'!$C$4:$C$199,M$63&amp;$C104&amp;$E104,'O&amp;M Cost Summary'!$J$4:$J$198)/10*$I$19</f>
        <v>0</v>
      </c>
      <c r="N104" s="180">
        <f ca="1">SUMIF('O&amp;M Cost Summary'!$C$4:$C$199,N$63&amp;$C104&amp;$E104,'O&amp;M Cost Summary'!$J$4:$J$198)/10*$I$19</f>
        <v>0</v>
      </c>
      <c r="O104" s="55">
        <f ca="1">I104</f>
        <v>32850</v>
      </c>
      <c r="P104" s="36" t="s">
        <v>138</v>
      </c>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row>
    <row r="105" spans="1:70">
      <c r="A105" s="38">
        <v>1</v>
      </c>
      <c r="B105" s="970"/>
      <c r="E105" s="39" t="s">
        <v>108</v>
      </c>
      <c r="F105" s="37"/>
      <c r="G105" s="43"/>
      <c r="I105" s="180"/>
      <c r="J105" s="180"/>
      <c r="K105" s="180"/>
      <c r="L105" s="180"/>
      <c r="M105" s="180"/>
      <c r="N105" s="180"/>
      <c r="O105" s="55"/>
      <c r="P105" s="36"/>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row>
    <row r="106" spans="1:70">
      <c r="A106" s="38">
        <v>1</v>
      </c>
      <c r="B106" s="970"/>
      <c r="C106" s="38" t="s">
        <v>265</v>
      </c>
      <c r="D106" s="38" t="str">
        <f>C106&amp;P106</f>
        <v>kWhProd-CHP</v>
      </c>
      <c r="E106" s="36" t="s">
        <v>224</v>
      </c>
      <c r="F106" s="37"/>
      <c r="G106" s="43" t="s">
        <v>14</v>
      </c>
      <c r="I106" s="180">
        <f ca="1">SUMIF('O&amp;M Cost Summary'!$C$4:$C$199,I$63&amp;$C106&amp;$E106,'O&amp;M Cost Summary'!$J$4:$J$198)/10*$I$19</f>
        <v>2482000</v>
      </c>
      <c r="J106" s="180">
        <f ca="1">SUMIF('O&amp;M Cost Summary'!$C$4:$C$199,J$63&amp;$C106&amp;$E106,'O&amp;M Cost Summary'!$J$4:$J$198)/10*$I$19</f>
        <v>2482000</v>
      </c>
      <c r="K106" s="180">
        <f ca="1">SUMIF('O&amp;M Cost Summary'!$C$4:$C$199,K$63&amp;$C106&amp;$E106,'O&amp;M Cost Summary'!$J$4:$J$198)/10*$I$19</f>
        <v>2503900</v>
      </c>
      <c r="L106" s="180">
        <f ca="1">SUMIF('O&amp;M Cost Summary'!$C$4:$C$199,L$63&amp;$C106&amp;$E106,'O&amp;M Cost Summary'!$J$4:$J$198)/10*$I$19</f>
        <v>2503900</v>
      </c>
      <c r="M106" s="180">
        <f ca="1">SUMIF('O&amp;M Cost Summary'!$C$4:$C$199,M$63&amp;$C106&amp;$E106,'O&amp;M Cost Summary'!$J$4:$J$198)/10*$I$19</f>
        <v>0</v>
      </c>
      <c r="N106" s="180">
        <f ca="1">SUMIF('O&amp;M Cost Summary'!$C$4:$C$199,N$63&amp;$C106&amp;$E106,'O&amp;M Cost Summary'!$J$4:$J$198)/10*$I$19</f>
        <v>0</v>
      </c>
      <c r="O106" s="55">
        <f ca="1">K106</f>
        <v>2503900</v>
      </c>
      <c r="P106" s="36" t="s">
        <v>318</v>
      </c>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row>
    <row r="107" spans="1:70">
      <c r="A107" s="38">
        <v>1</v>
      </c>
      <c r="B107" s="970"/>
      <c r="C107" s="38" t="s">
        <v>265</v>
      </c>
      <c r="D107" s="38" t="str">
        <f>C107&amp;P107</f>
        <v>kWhProd-Fluid Bed Incineration</v>
      </c>
      <c r="E107" s="36" t="s">
        <v>108</v>
      </c>
      <c r="F107" s="37"/>
      <c r="G107" s="43" t="s">
        <v>14</v>
      </c>
      <c r="I107" s="180">
        <f ca="1">SUMIF('O&amp;M Cost Summary'!$C$4:$C$199,I$63&amp;$C107&amp;$E107,'O&amp;M Cost Summary'!$J$4:$J$198)/10*$I$19</f>
        <v>0</v>
      </c>
      <c r="J107" s="180">
        <f ca="1">SUMIF('O&amp;M Cost Summary'!$C$4:$C$199,J$63&amp;$C107&amp;$E107,'O&amp;M Cost Summary'!$J$4:$J$198)/10*$I$19</f>
        <v>0</v>
      </c>
      <c r="K107" s="180">
        <f ca="1">SUMIF('O&amp;M Cost Summary'!$C$4:$C$199,K$63&amp;$C107&amp;$E107,'O&amp;M Cost Summary'!$J$4:$J$198)/10*$I$19</f>
        <v>0</v>
      </c>
      <c r="L107" s="180">
        <f ca="1">SUMIF('O&amp;M Cost Summary'!$C$4:$C$199,L$63&amp;$C107&amp;$E107,'O&amp;M Cost Summary'!$J$4:$J$198)/10*$I$19</f>
        <v>0</v>
      </c>
      <c r="M107" s="180">
        <f ca="1">SUMIF('O&amp;M Cost Summary'!$C$4:$C$199,M$63&amp;$C107&amp;$E107,'O&amp;M Cost Summary'!$J$4:$J$198)/10*$I$19</f>
        <v>839500</v>
      </c>
      <c r="N107" s="180">
        <f ca="1">SUMIF('O&amp;M Cost Summary'!$C$4:$C$199,N$63&amp;$C107&amp;$E107,'O&amp;M Cost Summary'!$J$4:$J$198)/10*$I$19</f>
        <v>0</v>
      </c>
      <c r="O107" s="55">
        <f ca="1">M107</f>
        <v>839500</v>
      </c>
      <c r="P107" s="36" t="s">
        <v>160</v>
      </c>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row>
    <row r="108" spans="1:70">
      <c r="A108" s="38">
        <v>1</v>
      </c>
      <c r="B108" s="970"/>
      <c r="E108" s="39" t="s">
        <v>285</v>
      </c>
      <c r="F108" s="182"/>
      <c r="G108" s="174" t="s">
        <v>14</v>
      </c>
      <c r="H108" s="60"/>
      <c r="I108" s="183">
        <f ca="1">SUM(I90:I104,-I106,-I107)</f>
        <v>-1873150</v>
      </c>
      <c r="J108" s="183">
        <f t="shared" ref="J108:N108" ca="1" si="18">SUM(J90:J104,-J106,-J107)</f>
        <v>-1873150</v>
      </c>
      <c r="K108" s="183">
        <f t="shared" ca="1" si="18"/>
        <v>-1495750</v>
      </c>
      <c r="L108" s="183">
        <f t="shared" ca="1" si="18"/>
        <v>-1495750</v>
      </c>
      <c r="M108" s="183">
        <f t="shared" ca="1" si="18"/>
        <v>-707720</v>
      </c>
      <c r="N108" s="183">
        <f t="shared" ca="1" si="18"/>
        <v>584380</v>
      </c>
      <c r="O108" s="55"/>
      <c r="P108" s="36"/>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row>
    <row r="109" spans="1:70">
      <c r="A109" s="38">
        <v>1</v>
      </c>
      <c r="B109" s="970"/>
      <c r="E109" s="37"/>
      <c r="F109" s="37"/>
      <c r="G109" s="43"/>
      <c r="I109" s="43"/>
      <c r="J109" s="43"/>
      <c r="K109" s="43"/>
      <c r="L109" s="43"/>
      <c r="M109" s="43"/>
      <c r="N109" s="43"/>
      <c r="O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row>
    <row r="110" spans="1:70">
      <c r="A110" s="38">
        <v>1</v>
      </c>
      <c r="B110" s="970"/>
      <c r="E110" s="325" t="s">
        <v>529</v>
      </c>
      <c r="F110" s="325"/>
      <c r="G110" s="325" t="s">
        <v>79</v>
      </c>
      <c r="H110" s="325"/>
      <c r="I110" s="325" t="s">
        <v>173</v>
      </c>
      <c r="J110" s="325" t="s">
        <v>171</v>
      </c>
      <c r="K110" s="325" t="s">
        <v>174</v>
      </c>
      <c r="L110" s="325" t="s">
        <v>172</v>
      </c>
      <c r="M110" s="325" t="s">
        <v>621</v>
      </c>
      <c r="N110" s="325" t="s">
        <v>622</v>
      </c>
      <c r="O110" s="325" t="s">
        <v>527</v>
      </c>
      <c r="P110" s="325" t="s">
        <v>307</v>
      </c>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c r="BP110" s="50"/>
      <c r="BQ110" s="50"/>
      <c r="BR110" s="50"/>
    </row>
    <row r="111" spans="1:70">
      <c r="A111" s="38">
        <v>1</v>
      </c>
      <c r="B111" s="970"/>
      <c r="E111" s="39" t="s">
        <v>16</v>
      </c>
      <c r="F111" s="37"/>
      <c r="G111" s="43"/>
      <c r="I111" s="43"/>
      <c r="J111" s="43"/>
      <c r="K111" s="43"/>
      <c r="L111" s="43"/>
      <c r="M111" s="43"/>
      <c r="N111" s="43"/>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row>
    <row r="112" spans="1:70">
      <c r="A112" s="38">
        <v>1</v>
      </c>
      <c r="B112" s="970"/>
      <c r="C112" s="38" t="s">
        <v>274</v>
      </c>
      <c r="D112" s="38" t="str">
        <f>C112&amp;P112</f>
        <v>NG-Anaerobic Digestion</v>
      </c>
      <c r="E112" s="36" t="s">
        <v>315</v>
      </c>
      <c r="F112" s="37"/>
      <c r="G112" s="43" t="s">
        <v>275</v>
      </c>
      <c r="I112" s="180">
        <f ca="1">SUMIF('O&amp;M Cost Summary'!$C$4:$C$199,I$63&amp;$C112&amp;$E112,'O&amp;M Cost Summary'!$J$4:$J$198)/10*$I$19</f>
        <v>0</v>
      </c>
      <c r="J112" s="180">
        <f ca="1">SUMIF('O&amp;M Cost Summary'!$C$4:$C$199,J$63&amp;$C112&amp;$E112,'O&amp;M Cost Summary'!$J$4:$J$198)/10*$I$19</f>
        <v>0</v>
      </c>
      <c r="K112" s="180">
        <f ca="1">SUMIF('O&amp;M Cost Summary'!$C$4:$C$199,K$63&amp;$C112&amp;$E112,'O&amp;M Cost Summary'!$J$4:$J$198)/10*$I$19</f>
        <v>0</v>
      </c>
      <c r="L112" s="180">
        <f ca="1">SUMIF('O&amp;M Cost Summary'!$C$4:$C$199,L$63&amp;$C112&amp;$E112,'O&amp;M Cost Summary'!$J$4:$J$198)/10*$I$19</f>
        <v>0</v>
      </c>
      <c r="M112" s="180">
        <f ca="1">SUMIF('O&amp;M Cost Summary'!$C$4:$C$199,M$63&amp;$C112&amp;$E112,'O&amp;M Cost Summary'!$J$4:$J$198)/10*$I$19</f>
        <v>0</v>
      </c>
      <c r="N112" s="180">
        <f ca="1">SUMIF('O&amp;M Cost Summary'!$C$4:$C$199,N$63&amp;$C112&amp;$E112,'O&amp;M Cost Summary'!$J$4:$J$198)/10*$I$19</f>
        <v>0</v>
      </c>
      <c r="O112" s="51">
        <f ca="1">K112</f>
        <v>0</v>
      </c>
      <c r="P112" s="36" t="s">
        <v>315</v>
      </c>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row>
    <row r="113" spans="1:70">
      <c r="A113" s="38">
        <v>1</v>
      </c>
      <c r="B113" s="970"/>
      <c r="C113" s="38" t="s">
        <v>274</v>
      </c>
      <c r="D113" s="38" t="str">
        <f>C113&amp;P113</f>
        <v>NG-Dewatering</v>
      </c>
      <c r="E113" s="36" t="s">
        <v>101</v>
      </c>
      <c r="F113" s="37"/>
      <c r="G113" s="43" t="s">
        <v>275</v>
      </c>
      <c r="I113" s="180">
        <f ca="1">SUMIF('O&amp;M Cost Summary'!$C$4:$C$199,I$63&amp;$C113&amp;$E113,'O&amp;M Cost Summary'!$J$4:$J$198)/10*$I$19</f>
        <v>0</v>
      </c>
      <c r="J113" s="180">
        <f ca="1">SUMIF('O&amp;M Cost Summary'!$C$4:$C$199,J$63&amp;$C113&amp;$E113,'O&amp;M Cost Summary'!$J$4:$J$198)/10*$I$19</f>
        <v>0</v>
      </c>
      <c r="K113" s="180">
        <f ca="1">SUMIF('O&amp;M Cost Summary'!$C$4:$C$199,K$63&amp;$C113&amp;$E113,'O&amp;M Cost Summary'!$J$4:$J$198)/10*$I$19</f>
        <v>0</v>
      </c>
      <c r="L113" s="180">
        <f ca="1">SUMIF('O&amp;M Cost Summary'!$C$4:$C$199,L$63&amp;$C113&amp;$E113,'O&amp;M Cost Summary'!$J$4:$J$198)/10*$I$19</f>
        <v>0</v>
      </c>
      <c r="M113" s="180">
        <f ca="1">SUMIF('O&amp;M Cost Summary'!$C$4:$C$199,M$63&amp;$C113&amp;$E113,'O&amp;M Cost Summary'!$J$4:$J$198)/10*$I$19</f>
        <v>2281250</v>
      </c>
      <c r="N113" s="180">
        <f ca="1">SUMIF('O&amp;M Cost Summary'!$C$4:$C$199,N$63&amp;$C113&amp;$E113,'O&amp;M Cost Summary'!$J$4:$J$198)/10*$I$19</f>
        <v>1230050</v>
      </c>
      <c r="O113" s="51">
        <f ca="1">N113</f>
        <v>1230050</v>
      </c>
      <c r="P113" s="36" t="s">
        <v>319</v>
      </c>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row>
    <row r="114" spans="1:70">
      <c r="A114" s="38">
        <v>1</v>
      </c>
      <c r="B114" s="970"/>
      <c r="C114" s="38" t="s">
        <v>274</v>
      </c>
      <c r="D114" s="38" t="str">
        <f>C114&amp;P114</f>
        <v>NG-Drying/Gasification/Energy Recovery</v>
      </c>
      <c r="E114" s="36" t="s">
        <v>246</v>
      </c>
      <c r="F114" s="37"/>
      <c r="G114" s="43" t="s">
        <v>275</v>
      </c>
      <c r="I114" s="180">
        <f ca="1">SUMIF('O&amp;M Cost Summary'!$C$4:$C$199,I$63&amp;$C114&amp;$E114,'O&amp;M Cost Summary'!$J$4:$J$198)/10*$I$19</f>
        <v>0</v>
      </c>
      <c r="J114" s="180">
        <f ca="1">SUMIF('O&amp;M Cost Summary'!$C$4:$C$199,J$63&amp;$C114&amp;$E114,'O&amp;M Cost Summary'!$J$4:$J$198)/10*$I$19</f>
        <v>0</v>
      </c>
      <c r="K114" s="180">
        <f ca="1">SUMIF('O&amp;M Cost Summary'!$C$4:$C$199,K$63&amp;$C114&amp;$E114,'O&amp;M Cost Summary'!$J$4:$J$198)/10*$I$19</f>
        <v>0</v>
      </c>
      <c r="L114" s="180">
        <f ca="1">SUMIF('O&amp;M Cost Summary'!$C$4:$C$199,L$63&amp;$C114&amp;$E114,'O&amp;M Cost Summary'!$J$4:$J$198)/10*$I$19</f>
        <v>0</v>
      </c>
      <c r="M114" s="180">
        <f ca="1">SUMIF('O&amp;M Cost Summary'!$C$4:$C$199,M$63&amp;$C114&amp;$E114,'O&amp;M Cost Summary'!$J$4:$J$198)/10*$I$19</f>
        <v>0</v>
      </c>
      <c r="N114" s="180">
        <f ca="1">SUMIF('O&amp;M Cost Summary'!$C$4:$C$199,N$63&amp;$C114&amp;$E114,'O&amp;M Cost Summary'!$J$4:$J$198)/10*$I$19</f>
        <v>485450</v>
      </c>
      <c r="O114" s="51">
        <f ca="1">N114</f>
        <v>485450</v>
      </c>
      <c r="P114" s="36" t="s">
        <v>320</v>
      </c>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row>
    <row r="115" spans="1:70">
      <c r="A115" s="38">
        <v>1</v>
      </c>
      <c r="B115" s="970"/>
      <c r="C115" s="38" t="s">
        <v>274</v>
      </c>
      <c r="D115" s="38" t="str">
        <f>C115&amp;P115</f>
        <v>NG-Fluid Bed Incineration</v>
      </c>
      <c r="E115" s="36" t="s">
        <v>102</v>
      </c>
      <c r="F115" s="37"/>
      <c r="G115" s="43" t="s">
        <v>275</v>
      </c>
      <c r="I115" s="180">
        <f ca="1">SUMIF('O&amp;M Cost Summary'!$C$4:$C$199,I$63&amp;$C115&amp;$E115,'O&amp;M Cost Summary'!$J$4:$J$198)/10*$I$19</f>
        <v>0</v>
      </c>
      <c r="J115" s="180">
        <f ca="1">SUMIF('O&amp;M Cost Summary'!$C$4:$C$199,J$63&amp;$C115&amp;$E115,'O&amp;M Cost Summary'!$J$4:$J$198)/10*$I$19</f>
        <v>0</v>
      </c>
      <c r="K115" s="180">
        <f ca="1">SUMIF('O&amp;M Cost Summary'!$C$4:$C$199,K$63&amp;$C115&amp;$E115,'O&amp;M Cost Summary'!$J$4:$J$198)/10*$I$19</f>
        <v>0</v>
      </c>
      <c r="L115" s="180">
        <f ca="1">SUMIF('O&amp;M Cost Summary'!$C$4:$C$199,L$63&amp;$C115&amp;$E115,'O&amp;M Cost Summary'!$J$4:$J$198)/10*$I$19</f>
        <v>0</v>
      </c>
      <c r="M115" s="180">
        <f ca="1">SUMIF('O&amp;M Cost Summary'!$C$4:$C$199,M$63&amp;$C115&amp;$E115,'O&amp;M Cost Summary'!$J$4:$J$198)/10*$I$19</f>
        <v>7175540</v>
      </c>
      <c r="N115" s="180">
        <f ca="1">SUMIF('O&amp;M Cost Summary'!$C$4:$C$199,N$63&amp;$C115&amp;$E115,'O&amp;M Cost Summary'!$J$4:$J$198)/10*$I$19</f>
        <v>0</v>
      </c>
      <c r="O115" s="51">
        <f ca="1">M115</f>
        <v>7175540</v>
      </c>
      <c r="P115" s="36" t="s">
        <v>160</v>
      </c>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row>
    <row r="116" spans="1:70">
      <c r="A116" s="38">
        <v>1</v>
      </c>
      <c r="B116" s="970"/>
      <c r="C116" s="38" t="s">
        <v>274</v>
      </c>
      <c r="D116" s="38" t="str">
        <f>C116&amp;P116</f>
        <v>NG-Drying/Gasification/Energy Recovery</v>
      </c>
      <c r="E116" s="36" t="s">
        <v>245</v>
      </c>
      <c r="F116" s="37"/>
      <c r="G116" s="43" t="s">
        <v>275</v>
      </c>
      <c r="I116" s="180">
        <f ca="1">SUMIF('O&amp;M Cost Summary'!$C$4:$C$199,I$63&amp;$C116&amp;$E116,'O&amp;M Cost Summary'!$J$4:$J$198)/10*$I$19</f>
        <v>0</v>
      </c>
      <c r="J116" s="180">
        <f ca="1">SUMIF('O&amp;M Cost Summary'!$C$4:$C$199,J$63&amp;$C116&amp;$E116,'O&amp;M Cost Summary'!$J$4:$J$198)/10*$I$19</f>
        <v>0</v>
      </c>
      <c r="K116" s="180">
        <f ca="1">SUMIF('O&amp;M Cost Summary'!$C$4:$C$199,K$63&amp;$C116&amp;$E116,'O&amp;M Cost Summary'!$J$4:$J$198)/10*$I$19</f>
        <v>0</v>
      </c>
      <c r="L116" s="180">
        <f ca="1">SUMIF('O&amp;M Cost Summary'!$C$4:$C$199,L$63&amp;$C116&amp;$E116,'O&amp;M Cost Summary'!$J$4:$J$198)/10*$I$19</f>
        <v>0</v>
      </c>
      <c r="M116" s="180">
        <f ca="1">SUMIF('O&amp;M Cost Summary'!$C$4:$C$199,M$63&amp;$C116&amp;$E116,'O&amp;M Cost Summary'!$J$4:$J$198)/10*$I$19</f>
        <v>0</v>
      </c>
      <c r="N116" s="180">
        <f ca="1">SUMIF('O&amp;M Cost Summary'!$C$4:$C$199,N$63&amp;$C116&amp;$E116,'O&amp;M Cost Summary'!$J$4:$J$198)/10*$I$19</f>
        <v>748250</v>
      </c>
      <c r="O116" s="51">
        <f ca="1">N116</f>
        <v>748250</v>
      </c>
      <c r="P116" s="36" t="s">
        <v>320</v>
      </c>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c r="BP116" s="50"/>
      <c r="BQ116" s="50"/>
      <c r="BR116" s="50"/>
    </row>
    <row r="117" spans="1:70">
      <c r="A117" s="38">
        <v>1</v>
      </c>
      <c r="B117" s="970"/>
      <c r="E117" s="39" t="s">
        <v>290</v>
      </c>
      <c r="F117" s="37"/>
      <c r="G117" s="43" t="s">
        <v>275</v>
      </c>
      <c r="I117" s="183">
        <f ca="1">SUM(I113:I116)-I112</f>
        <v>0</v>
      </c>
      <c r="J117" s="183">
        <f t="shared" ref="J117:N117" ca="1" si="19">SUM(J113:J116)-J112</f>
        <v>0</v>
      </c>
      <c r="K117" s="183">
        <f t="shared" ca="1" si="19"/>
        <v>0</v>
      </c>
      <c r="L117" s="183">
        <f t="shared" ca="1" si="19"/>
        <v>0</v>
      </c>
      <c r="M117" s="183">
        <f t="shared" ca="1" si="19"/>
        <v>9456790</v>
      </c>
      <c r="N117" s="183">
        <f t="shared" ca="1" si="19"/>
        <v>2463750</v>
      </c>
      <c r="O117" s="51"/>
      <c r="P117" s="36"/>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0"/>
      <c r="BR117" s="50"/>
    </row>
    <row r="118" spans="1:70">
      <c r="A118" s="38">
        <v>1</v>
      </c>
      <c r="B118" s="970"/>
      <c r="E118" s="325" t="s">
        <v>529</v>
      </c>
      <c r="F118" s="325"/>
      <c r="G118" s="325" t="s">
        <v>79</v>
      </c>
      <c r="H118" s="325"/>
      <c r="I118" s="325" t="s">
        <v>173</v>
      </c>
      <c r="J118" s="325" t="s">
        <v>171</v>
      </c>
      <c r="K118" s="325" t="s">
        <v>174</v>
      </c>
      <c r="L118" s="325" t="s">
        <v>172</v>
      </c>
      <c r="M118" s="325" t="s">
        <v>621</v>
      </c>
      <c r="N118" s="325" t="s">
        <v>622</v>
      </c>
      <c r="O118" s="325" t="s">
        <v>527</v>
      </c>
      <c r="P118" s="325" t="s">
        <v>307</v>
      </c>
      <c r="Q118" s="325"/>
      <c r="R118" s="325"/>
      <c r="S118" s="325"/>
      <c r="T118" s="325"/>
      <c r="U118" s="325"/>
      <c r="V118" s="325"/>
      <c r="W118" s="325"/>
      <c r="X118" s="325"/>
      <c r="Y118" s="325"/>
      <c r="Z118" s="325"/>
      <c r="AA118" s="325"/>
      <c r="AB118" s="325"/>
      <c r="AC118" s="325"/>
      <c r="AD118" s="325"/>
      <c r="AE118" s="325"/>
      <c r="AF118" s="325"/>
      <c r="AG118" s="325"/>
      <c r="AH118" s="325"/>
      <c r="AI118" s="325"/>
      <c r="AJ118" s="325"/>
      <c r="AK118" s="325"/>
      <c r="AL118" s="325"/>
      <c r="AM118" s="325"/>
      <c r="AN118" s="325"/>
      <c r="AO118" s="325"/>
      <c r="AP118" s="325"/>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c r="BP118" s="50"/>
      <c r="BQ118" s="50"/>
      <c r="BR118" s="50"/>
    </row>
    <row r="119" spans="1:70">
      <c r="A119" s="38">
        <v>1</v>
      </c>
      <c r="B119" s="970"/>
      <c r="E119" s="39" t="s">
        <v>125</v>
      </c>
      <c r="F119" s="37"/>
      <c r="G119" s="43"/>
      <c r="I119" s="43"/>
      <c r="J119" s="43"/>
      <c r="K119" s="43"/>
      <c r="L119" s="43"/>
      <c r="M119" s="43"/>
      <c r="N119" s="43"/>
      <c r="O119" s="51"/>
      <c r="P119" s="36"/>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c r="BP119" s="50"/>
      <c r="BQ119" s="50"/>
      <c r="BR119" s="50"/>
    </row>
    <row r="120" spans="1:70">
      <c r="A120" s="38">
        <v>1</v>
      </c>
      <c r="B120" s="970"/>
      <c r="C120" s="38" t="s">
        <v>262</v>
      </c>
      <c r="D120" s="38" t="str">
        <f t="shared" ref="D120:D133" si="20">C120&amp;P120</f>
        <v>Hrs-Anaerobic Digestion</v>
      </c>
      <c r="E120" s="62" t="s">
        <v>315</v>
      </c>
      <c r="F120" s="37"/>
      <c r="G120" s="43" t="s">
        <v>266</v>
      </c>
      <c r="I120" s="180">
        <f ca="1">SUMIF('O&amp;M Cost Summary'!$C$4:$C$199,I$63&amp;$C120&amp;$E120,'O&amp;M Cost Summary'!$J$4:$J$198)</f>
        <v>2555</v>
      </c>
      <c r="J120" s="180">
        <f ca="1">SUMIF('O&amp;M Cost Summary'!$C$4:$C$199,J$63&amp;$C120&amp;$E120,'O&amp;M Cost Summary'!$J$4:$J$198)</f>
        <v>2555</v>
      </c>
      <c r="K120" s="180">
        <f ca="1">SUMIF('O&amp;M Cost Summary'!$C$4:$C$199,K$63&amp;$C120&amp;$E120,'O&amp;M Cost Summary'!$J$4:$J$198)</f>
        <v>2555</v>
      </c>
      <c r="L120" s="180">
        <f ca="1">SUMIF('O&amp;M Cost Summary'!$C$4:$C$199,L$63&amp;$C120&amp;$E120,'O&amp;M Cost Summary'!$J$4:$J$198)</f>
        <v>2555</v>
      </c>
      <c r="M120" s="180">
        <f ca="1">SUMIF('O&amp;M Cost Summary'!$C$4:$C$199,M$63&amp;$C120&amp;$E120,'O&amp;M Cost Summary'!$J$4:$J$198)</f>
        <v>0</v>
      </c>
      <c r="N120" s="180">
        <f ca="1">SUMIF('O&amp;M Cost Summary'!$C$4:$C$199,N$63&amp;$C120&amp;$E120,'O&amp;M Cost Summary'!$J$4:$J$198)</f>
        <v>0</v>
      </c>
      <c r="O120" s="51">
        <f ca="1">K120</f>
        <v>2555</v>
      </c>
      <c r="P120" s="36" t="s">
        <v>315</v>
      </c>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c r="BP120" s="50"/>
      <c r="BQ120" s="50"/>
      <c r="BR120" s="50"/>
    </row>
    <row r="121" spans="1:70">
      <c r="A121" s="38">
        <v>1</v>
      </c>
      <c r="B121" s="970"/>
      <c r="C121" s="38" t="s">
        <v>262</v>
      </c>
      <c r="D121" s="38" t="str">
        <f t="shared" si="20"/>
        <v>Hrs-Belt Filter Press Dewatering</v>
      </c>
      <c r="E121" s="62" t="s">
        <v>143</v>
      </c>
      <c r="F121" s="37"/>
      <c r="G121" s="43" t="s">
        <v>266</v>
      </c>
      <c r="I121" s="180">
        <f ca="1">SUMIF('O&amp;M Cost Summary'!$C$4:$C$199,I$63&amp;$C121&amp;$E121,'O&amp;M Cost Summary'!$J$4:$J$198)</f>
        <v>5110</v>
      </c>
      <c r="J121" s="180">
        <f ca="1">SUMIF('O&amp;M Cost Summary'!$C$4:$C$199,J$63&amp;$C121&amp;$E121,'O&amp;M Cost Summary'!$J$4:$J$198)</f>
        <v>5110</v>
      </c>
      <c r="K121" s="180">
        <f ca="1">SUMIF('O&amp;M Cost Summary'!$C$4:$C$199,K$63&amp;$C121&amp;$E121,'O&amp;M Cost Summary'!$J$4:$J$198)</f>
        <v>5110</v>
      </c>
      <c r="L121" s="180">
        <f ca="1">SUMIF('O&amp;M Cost Summary'!$C$4:$C$199,L$63&amp;$C121&amp;$E121,'O&amp;M Cost Summary'!$J$4:$J$198)</f>
        <v>5110</v>
      </c>
      <c r="M121" s="180">
        <f ca="1">SUMIF('O&amp;M Cost Summary'!$C$4:$C$199,M$63&amp;$C121&amp;$E121,'O&amp;M Cost Summary'!$J$4:$J$198)</f>
        <v>5110</v>
      </c>
      <c r="N121" s="180">
        <f ca="1">SUMIF('O&amp;M Cost Summary'!$C$4:$C$199,N$63&amp;$C121&amp;$E121,'O&amp;M Cost Summary'!$J$4:$J$198)</f>
        <v>5110</v>
      </c>
      <c r="O121" s="51">
        <f ca="1">K121</f>
        <v>5110</v>
      </c>
      <c r="P121" s="36" t="s">
        <v>143</v>
      </c>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c r="BP121" s="50"/>
      <c r="BQ121" s="50"/>
      <c r="BR121" s="50"/>
    </row>
    <row r="122" spans="1:70">
      <c r="A122" s="38">
        <v>1</v>
      </c>
      <c r="B122" s="970"/>
      <c r="C122" s="38" t="s">
        <v>262</v>
      </c>
      <c r="D122" s="38" t="str">
        <f t="shared" si="20"/>
        <v>Hrs-Cake Storage</v>
      </c>
      <c r="E122" s="62" t="s">
        <v>317</v>
      </c>
      <c r="F122" s="37"/>
      <c r="G122" s="43" t="s">
        <v>266</v>
      </c>
      <c r="I122" s="180">
        <f ca="1">SUMIF('O&amp;M Cost Summary'!$C$4:$C$199,I$63&amp;$C122&amp;$E122,'O&amp;M Cost Summary'!$J$4:$J$198)</f>
        <v>1277.5</v>
      </c>
      <c r="J122" s="180">
        <f ca="1">SUMIF('O&amp;M Cost Summary'!$C$4:$C$199,J$63&amp;$C122&amp;$E122,'O&amp;M Cost Summary'!$J$4:$J$198)</f>
        <v>1277.5</v>
      </c>
      <c r="K122" s="180">
        <f ca="1">SUMIF('O&amp;M Cost Summary'!$C$4:$C$199,K$63&amp;$C122&amp;$E122,'O&amp;M Cost Summary'!$J$4:$J$198)</f>
        <v>0</v>
      </c>
      <c r="L122" s="180">
        <f ca="1">SUMIF('O&amp;M Cost Summary'!$C$4:$C$199,L$63&amp;$C122&amp;$E122,'O&amp;M Cost Summary'!$J$4:$J$198)</f>
        <v>0</v>
      </c>
      <c r="M122" s="180">
        <f ca="1">SUMIF('O&amp;M Cost Summary'!$C$4:$C$199,M$63&amp;$C122&amp;$E122,'O&amp;M Cost Summary'!$J$4:$J$198)</f>
        <v>0</v>
      </c>
      <c r="N122" s="180">
        <f ca="1">SUMIF('O&amp;M Cost Summary'!$C$4:$C$199,N$63&amp;$C122&amp;$E122,'O&amp;M Cost Summary'!$J$4:$J$198)</f>
        <v>0</v>
      </c>
      <c r="O122" s="51">
        <f ca="1">J122</f>
        <v>1277.5</v>
      </c>
      <c r="P122" s="36" t="s">
        <v>317</v>
      </c>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c r="BP122" s="50"/>
      <c r="BQ122" s="50"/>
      <c r="BR122" s="50"/>
    </row>
    <row r="123" spans="1:70">
      <c r="A123" s="38">
        <v>1</v>
      </c>
      <c r="B123" s="970"/>
      <c r="C123" s="38" t="s">
        <v>262</v>
      </c>
      <c r="D123" s="38" t="str">
        <f t="shared" si="20"/>
        <v>Hrs-Cake Storage/Load Out</v>
      </c>
      <c r="E123" s="62" t="s">
        <v>316</v>
      </c>
      <c r="F123" s="37"/>
      <c r="G123" s="43" t="s">
        <v>266</v>
      </c>
      <c r="I123" s="180">
        <f ca="1">SUMIF('O&amp;M Cost Summary'!$C$4:$C$199,I$63&amp;$C123&amp;$E123,'O&amp;M Cost Summary'!$J$4:$J$198)</f>
        <v>0</v>
      </c>
      <c r="J123" s="180">
        <f ca="1">SUMIF('O&amp;M Cost Summary'!$C$4:$C$199,J$63&amp;$C123&amp;$E123,'O&amp;M Cost Summary'!$J$4:$J$198)</f>
        <v>0</v>
      </c>
      <c r="K123" s="180">
        <f ca="1">SUMIF('O&amp;M Cost Summary'!$C$4:$C$199,K$63&amp;$C123&amp;$E123,'O&amp;M Cost Summary'!$J$4:$J$198)</f>
        <v>1277.5</v>
      </c>
      <c r="L123" s="180">
        <f ca="1">SUMIF('O&amp;M Cost Summary'!$C$4:$C$199,L$63&amp;$C123&amp;$E123,'O&amp;M Cost Summary'!$J$4:$J$198)</f>
        <v>1277.5</v>
      </c>
      <c r="M123" s="180">
        <f ca="1">SUMIF('O&amp;M Cost Summary'!$C$4:$C$199,M$63&amp;$C123&amp;$E123,'O&amp;M Cost Summary'!$J$4:$J$198)</f>
        <v>1277.5</v>
      </c>
      <c r="N123" s="180">
        <f ca="1">SUMIF('O&amp;M Cost Summary'!$C$4:$C$199,N$63&amp;$C123&amp;$E123,'O&amp;M Cost Summary'!$J$4:$J$198)</f>
        <v>0</v>
      </c>
      <c r="O123" s="51">
        <f ca="1">K123</f>
        <v>1277.5</v>
      </c>
      <c r="P123" s="36" t="s">
        <v>316</v>
      </c>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row>
    <row r="124" spans="1:70">
      <c r="A124" s="38">
        <v>1</v>
      </c>
      <c r="B124" s="970"/>
      <c r="C124" s="38" t="s">
        <v>262</v>
      </c>
      <c r="D124" s="38" t="str">
        <f t="shared" si="20"/>
        <v>Hrs-CHP</v>
      </c>
      <c r="E124" s="62" t="s">
        <v>318</v>
      </c>
      <c r="F124" s="37"/>
      <c r="G124" s="43" t="s">
        <v>266</v>
      </c>
      <c r="I124" s="180">
        <f ca="1">SUMIF('O&amp;M Cost Summary'!$C$4:$C$199,I$63&amp;$C124&amp;$E124,'O&amp;M Cost Summary'!$J$4:$J$198)</f>
        <v>1460</v>
      </c>
      <c r="J124" s="180">
        <f ca="1">SUMIF('O&amp;M Cost Summary'!$C$4:$C$199,J$63&amp;$C124&amp;$E124,'O&amp;M Cost Summary'!$J$4:$J$198)</f>
        <v>1460</v>
      </c>
      <c r="K124" s="180">
        <f ca="1">SUMIF('O&amp;M Cost Summary'!$C$4:$C$199,K$63&amp;$C124&amp;$E124,'O&amp;M Cost Summary'!$J$4:$J$198)</f>
        <v>1460</v>
      </c>
      <c r="L124" s="180">
        <f ca="1">SUMIF('O&amp;M Cost Summary'!$C$4:$C$199,L$63&amp;$C124&amp;$E124,'O&amp;M Cost Summary'!$J$4:$J$198)</f>
        <v>1460</v>
      </c>
      <c r="M124" s="180">
        <f ca="1">SUMIF('O&amp;M Cost Summary'!$C$4:$C$199,M$63&amp;$C124&amp;$E124,'O&amp;M Cost Summary'!$J$4:$J$198)</f>
        <v>0</v>
      </c>
      <c r="N124" s="180">
        <f ca="1">SUMIF('O&amp;M Cost Summary'!$C$4:$C$199,N$63&amp;$C124&amp;$E124,'O&amp;M Cost Summary'!$J$4:$J$198)</f>
        <v>0</v>
      </c>
      <c r="O124" s="51">
        <f ca="1">K124</f>
        <v>1460</v>
      </c>
      <c r="P124" s="36" t="s">
        <v>318</v>
      </c>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c r="BP124" s="50"/>
      <c r="BQ124" s="50"/>
      <c r="BR124" s="50"/>
    </row>
    <row r="125" spans="1:70">
      <c r="A125" s="38">
        <v>1</v>
      </c>
      <c r="B125" s="970"/>
      <c r="C125" s="38" t="s">
        <v>262</v>
      </c>
      <c r="D125" s="38" t="str">
        <f t="shared" si="20"/>
        <v>Hrs-Energy Recovery</v>
      </c>
      <c r="E125" s="62" t="s">
        <v>321</v>
      </c>
      <c r="F125" s="37"/>
      <c r="G125" s="43" t="s">
        <v>266</v>
      </c>
      <c r="I125" s="180">
        <f ca="1">SUMIF('O&amp;M Cost Summary'!$C$4:$C$199,I$63&amp;$C125&amp;$E125,'O&amp;M Cost Summary'!$J$4:$J$198)</f>
        <v>0</v>
      </c>
      <c r="J125" s="180">
        <f ca="1">SUMIF('O&amp;M Cost Summary'!$C$4:$C$199,J$63&amp;$C125&amp;$E125,'O&amp;M Cost Summary'!$J$4:$J$198)</f>
        <v>0</v>
      </c>
      <c r="K125" s="180">
        <f ca="1">SUMIF('O&amp;M Cost Summary'!$C$4:$C$199,K$63&amp;$C125&amp;$E125,'O&amp;M Cost Summary'!$J$4:$J$198)</f>
        <v>0</v>
      </c>
      <c r="L125" s="180">
        <f ca="1">SUMIF('O&amp;M Cost Summary'!$C$4:$C$199,L$63&amp;$C125&amp;$E125,'O&amp;M Cost Summary'!$J$4:$J$198)</f>
        <v>0</v>
      </c>
      <c r="M125" s="180">
        <f ca="1">SUMIF('O&amp;M Cost Summary'!$C$4:$C$199,M$63&amp;$C125&amp;$E125,'O&amp;M Cost Summary'!$J$4:$J$198)</f>
        <v>2920</v>
      </c>
      <c r="N125" s="180">
        <f ca="1">SUMIF('O&amp;M Cost Summary'!$C$4:$C$199,N$63&amp;$C125&amp;$E125,'O&amp;M Cost Summary'!$J$4:$J$198)</f>
        <v>0</v>
      </c>
      <c r="O125" s="51">
        <f ca="1">M125</f>
        <v>2920</v>
      </c>
      <c r="P125" s="36" t="s">
        <v>321</v>
      </c>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c r="BP125" s="50"/>
      <c r="BQ125" s="50"/>
      <c r="BR125" s="50"/>
    </row>
    <row r="126" spans="1:70">
      <c r="A126" s="38">
        <v>1</v>
      </c>
      <c r="B126" s="970"/>
      <c r="C126" s="38" t="s">
        <v>262</v>
      </c>
      <c r="D126" s="38" t="str">
        <f t="shared" si="20"/>
        <v>Hrs-Fluid Bed Incineration</v>
      </c>
      <c r="E126" s="62" t="s">
        <v>166</v>
      </c>
      <c r="F126" s="37"/>
      <c r="G126" s="43" t="s">
        <v>266</v>
      </c>
      <c r="I126" s="180">
        <f ca="1">SUMIF('O&amp;M Cost Summary'!$C$4:$C$199,I$63&amp;$C126&amp;$E126,'O&amp;M Cost Summary'!$J$4:$J$198)</f>
        <v>0</v>
      </c>
      <c r="J126" s="180">
        <f ca="1">SUMIF('O&amp;M Cost Summary'!$C$4:$C$199,J$63&amp;$C126&amp;$E126,'O&amp;M Cost Summary'!$J$4:$J$198)</f>
        <v>0</v>
      </c>
      <c r="K126" s="180">
        <f ca="1">SUMIF('O&amp;M Cost Summary'!$C$4:$C$199,K$63&amp;$C126&amp;$E126,'O&amp;M Cost Summary'!$J$4:$J$198)</f>
        <v>0</v>
      </c>
      <c r="L126" s="180">
        <f ca="1">SUMIF('O&amp;M Cost Summary'!$C$4:$C$199,L$63&amp;$C126&amp;$E126,'O&amp;M Cost Summary'!$J$4:$J$198)</f>
        <v>0</v>
      </c>
      <c r="M126" s="180">
        <f ca="1">SUMIF('O&amp;M Cost Summary'!$C$4:$C$199,M$63&amp;$C126&amp;$E126,'O&amp;M Cost Summary'!$J$4:$J$198)</f>
        <v>3890</v>
      </c>
      <c r="N126" s="180">
        <f ca="1">SUMIF('O&amp;M Cost Summary'!$C$4:$C$199,N$63&amp;$C126&amp;$E126,'O&amp;M Cost Summary'!$J$4:$J$198)</f>
        <v>0</v>
      </c>
      <c r="O126" s="51">
        <f ca="1">M126</f>
        <v>3890</v>
      </c>
      <c r="P126" s="36" t="s">
        <v>160</v>
      </c>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c r="BP126" s="50"/>
      <c r="BQ126" s="50"/>
      <c r="BR126" s="50"/>
    </row>
    <row r="127" spans="1:70">
      <c r="A127" s="38">
        <v>1</v>
      </c>
      <c r="B127" s="970"/>
      <c r="C127" s="38" t="s">
        <v>262</v>
      </c>
      <c r="D127" s="38" t="str">
        <f t="shared" si="20"/>
        <v>Hrs-FOG Receiving</v>
      </c>
      <c r="E127" s="62" t="s">
        <v>161</v>
      </c>
      <c r="F127" s="37"/>
      <c r="G127" s="43" t="s">
        <v>266</v>
      </c>
      <c r="I127" s="180">
        <f ca="1">SUMIF('O&amp;M Cost Summary'!$C$4:$C$199,I$63&amp;$C127&amp;$E127,'O&amp;M Cost Summary'!$J$4:$J$198)</f>
        <v>0</v>
      </c>
      <c r="J127" s="180">
        <f ca="1">SUMIF('O&amp;M Cost Summary'!$C$4:$C$199,J$63&amp;$C127&amp;$E127,'O&amp;M Cost Summary'!$J$4:$J$198)</f>
        <v>0</v>
      </c>
      <c r="K127" s="180">
        <f ca="1">SUMIF('O&amp;M Cost Summary'!$C$4:$C$199,K$63&amp;$C127&amp;$E127,'O&amp;M Cost Summary'!$J$4:$J$198)</f>
        <v>3285</v>
      </c>
      <c r="L127" s="180">
        <f ca="1">SUMIF('O&amp;M Cost Summary'!$C$4:$C$199,L$63&amp;$C127&amp;$E127,'O&amp;M Cost Summary'!$J$4:$J$198)</f>
        <v>3285</v>
      </c>
      <c r="M127" s="180">
        <f ca="1">SUMIF('O&amp;M Cost Summary'!$C$4:$C$199,M$63&amp;$C127&amp;$E127,'O&amp;M Cost Summary'!$J$4:$J$198)</f>
        <v>0</v>
      </c>
      <c r="N127" s="180">
        <f ca="1">SUMIF('O&amp;M Cost Summary'!$C$4:$C$199,N$63&amp;$C127&amp;$E127,'O&amp;M Cost Summary'!$J$4:$J$198)</f>
        <v>0</v>
      </c>
      <c r="O127" s="51">
        <f ca="1">K127</f>
        <v>3285</v>
      </c>
      <c r="P127" s="36" t="s">
        <v>161</v>
      </c>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c r="BP127" s="50"/>
      <c r="BQ127" s="50"/>
      <c r="BR127" s="50"/>
    </row>
    <row r="128" spans="1:70">
      <c r="A128" s="38">
        <v>1</v>
      </c>
      <c r="B128" s="970"/>
      <c r="C128" s="38" t="s">
        <v>262</v>
      </c>
      <c r="D128" s="38" t="str">
        <f t="shared" si="20"/>
        <v>Hrs-Gas Cleaning</v>
      </c>
      <c r="E128" s="62" t="s">
        <v>162</v>
      </c>
      <c r="F128" s="37"/>
      <c r="G128" s="43" t="s">
        <v>266</v>
      </c>
      <c r="I128" s="180">
        <f ca="1">SUMIF('O&amp;M Cost Summary'!$C$4:$C$199,I$63&amp;$C128&amp;$E128,'O&amp;M Cost Summary'!$J$4:$J$198)</f>
        <v>1460</v>
      </c>
      <c r="J128" s="180">
        <f ca="1">SUMIF('O&amp;M Cost Summary'!$C$4:$C$199,J$63&amp;$C128&amp;$E128,'O&amp;M Cost Summary'!$J$4:$J$198)</f>
        <v>1460</v>
      </c>
      <c r="K128" s="180">
        <f ca="1">SUMIF('O&amp;M Cost Summary'!$C$4:$C$199,K$63&amp;$C128&amp;$E128,'O&amp;M Cost Summary'!$J$4:$J$198)</f>
        <v>1460</v>
      </c>
      <c r="L128" s="180">
        <f ca="1">SUMIF('O&amp;M Cost Summary'!$C$4:$C$199,L$63&amp;$C128&amp;$E128,'O&amp;M Cost Summary'!$J$4:$J$198)</f>
        <v>1460</v>
      </c>
      <c r="M128" s="180">
        <f ca="1">SUMIF('O&amp;M Cost Summary'!$C$4:$C$199,M$63&amp;$C128&amp;$E128,'O&amp;M Cost Summary'!$J$4:$J$198)</f>
        <v>0</v>
      </c>
      <c r="N128" s="180">
        <f ca="1">SUMIF('O&amp;M Cost Summary'!$C$4:$C$199,N$63&amp;$C128&amp;$E128,'O&amp;M Cost Summary'!$J$4:$J$198)</f>
        <v>0</v>
      </c>
      <c r="O128" s="51">
        <f ca="1">K128</f>
        <v>1460</v>
      </c>
      <c r="P128" s="36" t="s">
        <v>162</v>
      </c>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50"/>
      <c r="BQ128" s="50"/>
      <c r="BR128" s="50"/>
    </row>
    <row r="129" spans="1:70">
      <c r="A129" s="38">
        <v>1</v>
      </c>
      <c r="B129" s="970"/>
      <c r="C129" s="38" t="s">
        <v>262</v>
      </c>
      <c r="D129" s="38" t="str">
        <f t="shared" si="20"/>
        <v>Hrs-Drying/Gasification/Energy Recovery</v>
      </c>
      <c r="E129" s="62" t="s">
        <v>165</v>
      </c>
      <c r="F129" s="37"/>
      <c r="G129" s="43" t="s">
        <v>266</v>
      </c>
      <c r="I129" s="180">
        <f ca="1">SUMIF('O&amp;M Cost Summary'!$C$4:$C$199,I$63&amp;$C129&amp;$E129,'O&amp;M Cost Summary'!$J$4:$J$198)</f>
        <v>0</v>
      </c>
      <c r="J129" s="180">
        <f ca="1">SUMIF('O&amp;M Cost Summary'!$C$4:$C$199,J$63&amp;$C129&amp;$E129,'O&amp;M Cost Summary'!$J$4:$J$198)</f>
        <v>0</v>
      </c>
      <c r="K129" s="180">
        <f ca="1">SUMIF('O&amp;M Cost Summary'!$C$4:$C$199,K$63&amp;$C129&amp;$E129,'O&amp;M Cost Summary'!$J$4:$J$198)</f>
        <v>0</v>
      </c>
      <c r="L129" s="180">
        <f ca="1">SUMIF('O&amp;M Cost Summary'!$C$4:$C$199,L$63&amp;$C129&amp;$E129,'O&amp;M Cost Summary'!$J$4:$J$198)</f>
        <v>0</v>
      </c>
      <c r="M129" s="180">
        <f ca="1">SUMIF('O&amp;M Cost Summary'!$C$4:$C$199,M$63&amp;$C129&amp;$E129,'O&amp;M Cost Summary'!$J$4:$J$198)</f>
        <v>0</v>
      </c>
      <c r="N129" s="180">
        <f ca="1">SUMIF('O&amp;M Cost Summary'!$C$4:$C$199,N$63&amp;$C129&amp;$E129,'O&amp;M Cost Summary'!$J$4:$J$198)</f>
        <v>11680</v>
      </c>
      <c r="O129" s="51">
        <f ca="1">N129</f>
        <v>11680</v>
      </c>
      <c r="P129" s="36" t="s">
        <v>320</v>
      </c>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row>
    <row r="130" spans="1:70">
      <c r="A130" s="38">
        <v>1</v>
      </c>
      <c r="B130" s="970"/>
      <c r="C130" s="38" t="s">
        <v>262</v>
      </c>
      <c r="D130" s="38" t="str">
        <f t="shared" si="20"/>
        <v>Hrs-Gravity Belt Thickener</v>
      </c>
      <c r="E130" s="62" t="s">
        <v>135</v>
      </c>
      <c r="F130" s="37"/>
      <c r="G130" s="43" t="s">
        <v>266</v>
      </c>
      <c r="I130" s="180">
        <f ca="1">SUMIF('O&amp;M Cost Summary'!$C$4:$C$199,I$63&amp;$C130&amp;$E130,'O&amp;M Cost Summary'!$J$4:$J$198)</f>
        <v>5110</v>
      </c>
      <c r="J130" s="180">
        <f ca="1">SUMIF('O&amp;M Cost Summary'!$C$4:$C$199,J$63&amp;$C130&amp;$E130,'O&amp;M Cost Summary'!$J$4:$J$198)</f>
        <v>5110</v>
      </c>
      <c r="K130" s="180">
        <f ca="1">SUMIF('O&amp;M Cost Summary'!$C$4:$C$199,K$63&amp;$C130&amp;$E130,'O&amp;M Cost Summary'!$J$4:$J$198)</f>
        <v>5110</v>
      </c>
      <c r="L130" s="180">
        <f ca="1">SUMIF('O&amp;M Cost Summary'!$C$4:$C$199,L$63&amp;$C130&amp;$E130,'O&amp;M Cost Summary'!$J$4:$J$198)</f>
        <v>5110</v>
      </c>
      <c r="M130" s="180">
        <f ca="1">SUMIF('O&amp;M Cost Summary'!$C$4:$C$199,M$63&amp;$C130&amp;$E130,'O&amp;M Cost Summary'!$J$4:$J$198)</f>
        <v>5110</v>
      </c>
      <c r="N130" s="180">
        <f ca="1">SUMIF('O&amp;M Cost Summary'!$C$4:$C$199,N$63&amp;$C130&amp;$E130,'O&amp;M Cost Summary'!$J$4:$J$198)</f>
        <v>5110</v>
      </c>
      <c r="O130" s="51">
        <f ca="1">K130</f>
        <v>5110</v>
      </c>
      <c r="P130" s="36" t="s">
        <v>135</v>
      </c>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c r="BP130" s="50"/>
      <c r="BQ130" s="50"/>
      <c r="BR130" s="50"/>
    </row>
    <row r="131" spans="1:70">
      <c r="A131" s="38">
        <v>1</v>
      </c>
      <c r="B131" s="970"/>
      <c r="C131" s="38" t="s">
        <v>262</v>
      </c>
      <c r="D131" s="38" t="str">
        <f t="shared" si="20"/>
        <v>Hrs-Gravity Thickener</v>
      </c>
      <c r="E131" s="62" t="s">
        <v>29</v>
      </c>
      <c r="F131" s="37"/>
      <c r="G131" s="43" t="s">
        <v>266</v>
      </c>
      <c r="I131" s="180">
        <f ca="1">SUMIF('O&amp;M Cost Summary'!$C$4:$C$199,I$63&amp;$C131&amp;$E131,'O&amp;M Cost Summary'!$J$4:$J$198)</f>
        <v>1460</v>
      </c>
      <c r="J131" s="180">
        <f ca="1">SUMIF('O&amp;M Cost Summary'!$C$4:$C$199,J$63&amp;$C131&amp;$E131,'O&amp;M Cost Summary'!$J$4:$J$198)</f>
        <v>1460</v>
      </c>
      <c r="K131" s="180">
        <f ca="1">SUMIF('O&amp;M Cost Summary'!$C$4:$C$199,K$63&amp;$C131&amp;$E131,'O&amp;M Cost Summary'!$J$4:$J$198)</f>
        <v>1460</v>
      </c>
      <c r="L131" s="180">
        <f ca="1">SUMIF('O&amp;M Cost Summary'!$C$4:$C$199,L$63&amp;$C131&amp;$E131,'O&amp;M Cost Summary'!$J$4:$J$198)</f>
        <v>1460</v>
      </c>
      <c r="M131" s="180">
        <f ca="1">SUMIF('O&amp;M Cost Summary'!$C$4:$C$199,M$63&amp;$C131&amp;$E131,'O&amp;M Cost Summary'!$J$4:$J$198)</f>
        <v>1460</v>
      </c>
      <c r="N131" s="180">
        <f ca="1">SUMIF('O&amp;M Cost Summary'!$C$4:$C$199,N$63&amp;$C131&amp;$E131,'O&amp;M Cost Summary'!$J$4:$J$198)</f>
        <v>1460</v>
      </c>
      <c r="O131" s="51">
        <f ca="1">K131</f>
        <v>1460</v>
      </c>
      <c r="P131" s="36" t="s">
        <v>29</v>
      </c>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c r="BP131" s="50"/>
      <c r="BQ131" s="50"/>
      <c r="BR131" s="50"/>
    </row>
    <row r="132" spans="1:70">
      <c r="A132" s="38">
        <v>1</v>
      </c>
      <c r="B132" s="970"/>
      <c r="C132" s="38" t="s">
        <v>262</v>
      </c>
      <c r="D132" s="38" t="str">
        <f t="shared" si="20"/>
        <v xml:space="preserve">Hrs-Pre-Dewatering </v>
      </c>
      <c r="E132" s="62" t="s">
        <v>163</v>
      </c>
      <c r="F132" s="37"/>
      <c r="G132" s="43" t="s">
        <v>266</v>
      </c>
      <c r="I132" s="180">
        <f ca="1">SUMIF('O&amp;M Cost Summary'!$C$4:$C$199,I$63&amp;$C132&amp;$E132,'O&amp;M Cost Summary'!$J$4:$J$198)</f>
        <v>5110</v>
      </c>
      <c r="J132" s="180">
        <f ca="1">SUMIF('O&amp;M Cost Summary'!$C$4:$C$199,J$63&amp;$C132&amp;$E132,'O&amp;M Cost Summary'!$J$4:$J$198)</f>
        <v>5110</v>
      </c>
      <c r="K132" s="180">
        <f ca="1">SUMIF('O&amp;M Cost Summary'!$C$4:$C$199,K$63&amp;$C132&amp;$E132,'O&amp;M Cost Summary'!$J$4:$J$198)</f>
        <v>0</v>
      </c>
      <c r="L132" s="180">
        <f ca="1">SUMIF('O&amp;M Cost Summary'!$C$4:$C$199,L$63&amp;$C132&amp;$E132,'O&amp;M Cost Summary'!$J$4:$J$198)</f>
        <v>0</v>
      </c>
      <c r="M132" s="180">
        <f ca="1">SUMIF('O&amp;M Cost Summary'!$C$4:$C$199,M$63&amp;$C132&amp;$E132,'O&amp;M Cost Summary'!$J$4:$J$198)</f>
        <v>0</v>
      </c>
      <c r="N132" s="180">
        <f ca="1">SUMIF('O&amp;M Cost Summary'!$C$4:$C$199,N$63&amp;$C132&amp;$E132,'O&amp;M Cost Summary'!$J$4:$J$198)</f>
        <v>0</v>
      </c>
      <c r="O132" s="51">
        <f ca="1">I132</f>
        <v>5110</v>
      </c>
      <c r="P132" s="36" t="s">
        <v>163</v>
      </c>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c r="BP132" s="50"/>
      <c r="BQ132" s="50"/>
      <c r="BR132" s="50"/>
    </row>
    <row r="133" spans="1:70">
      <c r="A133" s="38">
        <v>1</v>
      </c>
      <c r="B133" s="970"/>
      <c r="C133" s="38" t="s">
        <v>262</v>
      </c>
      <c r="D133" s="38" t="str">
        <f t="shared" si="20"/>
        <v>Hrs-Pre-Treatment (CAMBI)</v>
      </c>
      <c r="E133" s="62" t="s">
        <v>138</v>
      </c>
      <c r="F133" s="37"/>
      <c r="G133" s="43" t="s">
        <v>266</v>
      </c>
      <c r="I133" s="180">
        <f ca="1">SUMIF('O&amp;M Cost Summary'!$C$4:$C$199,I$63&amp;$C133&amp;$E133,'O&amp;M Cost Summary'!$J$4:$J$198)</f>
        <v>10220</v>
      </c>
      <c r="J133" s="180">
        <f ca="1">SUMIF('O&amp;M Cost Summary'!$C$4:$C$199,J$63&amp;$C133&amp;$E133,'O&amp;M Cost Summary'!$J$4:$J$198)</f>
        <v>10220</v>
      </c>
      <c r="K133" s="180">
        <f ca="1">SUMIF('O&amp;M Cost Summary'!$C$4:$C$199,K$63&amp;$C133&amp;$E133,'O&amp;M Cost Summary'!$J$4:$J$198)</f>
        <v>0</v>
      </c>
      <c r="L133" s="180">
        <f ca="1">SUMIF('O&amp;M Cost Summary'!$C$4:$C$199,L$63&amp;$C133&amp;$E133,'O&amp;M Cost Summary'!$J$4:$J$198)</f>
        <v>0</v>
      </c>
      <c r="M133" s="180">
        <f ca="1">SUMIF('O&amp;M Cost Summary'!$C$4:$C$199,M$63&amp;$C133&amp;$E133,'O&amp;M Cost Summary'!$J$4:$J$198)</f>
        <v>0</v>
      </c>
      <c r="N133" s="180">
        <f ca="1">SUMIF('O&amp;M Cost Summary'!$C$4:$C$199,N$63&amp;$C133&amp;$E133,'O&amp;M Cost Summary'!$J$4:$J$198)</f>
        <v>0</v>
      </c>
      <c r="O133" s="51">
        <f ca="1">I133</f>
        <v>10220</v>
      </c>
      <c r="P133" s="36" t="s">
        <v>138</v>
      </c>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0"/>
      <c r="AP133" s="50"/>
      <c r="AQ133" s="50"/>
      <c r="AR133" s="50"/>
      <c r="AS133" s="50"/>
      <c r="AT133" s="50"/>
      <c r="AU133" s="50"/>
      <c r="AV133" s="50"/>
      <c r="AW133" s="50"/>
      <c r="AX133" s="50"/>
      <c r="AY133" s="50"/>
      <c r="AZ133" s="50"/>
      <c r="BA133" s="50"/>
      <c r="BB133" s="50"/>
      <c r="BC133" s="50"/>
      <c r="BD133" s="50"/>
      <c r="BE133" s="50"/>
      <c r="BF133" s="50"/>
      <c r="BG133" s="50"/>
      <c r="BH133" s="50"/>
      <c r="BI133" s="50"/>
      <c r="BJ133" s="50"/>
      <c r="BK133" s="50"/>
      <c r="BL133" s="50"/>
      <c r="BM133" s="50"/>
      <c r="BN133" s="50"/>
      <c r="BO133" s="50"/>
      <c r="BP133" s="50"/>
      <c r="BQ133" s="50"/>
      <c r="BR133" s="50"/>
    </row>
    <row r="134" spans="1:70" s="60" customFormat="1">
      <c r="A134" s="38">
        <v>1</v>
      </c>
      <c r="B134" s="970"/>
      <c r="E134" s="173" t="s">
        <v>267</v>
      </c>
      <c r="F134" s="182"/>
      <c r="G134" s="174" t="s">
        <v>266</v>
      </c>
      <c r="I134" s="183">
        <f ca="1">SUM(I120:I133)</f>
        <v>33762.5</v>
      </c>
      <c r="J134" s="183">
        <f t="shared" ref="J134:O134" ca="1" si="21">SUM(J120:J133)</f>
        <v>33762.5</v>
      </c>
      <c r="K134" s="183">
        <f t="shared" ca="1" si="21"/>
        <v>21717.5</v>
      </c>
      <c r="L134" s="183">
        <f t="shared" ca="1" si="21"/>
        <v>21717.5</v>
      </c>
      <c r="M134" s="183">
        <f t="shared" ca="1" si="21"/>
        <v>19767.5</v>
      </c>
      <c r="N134" s="183">
        <f t="shared" ca="1" si="21"/>
        <v>23360</v>
      </c>
      <c r="O134" s="183">
        <f t="shared" ca="1" si="21"/>
        <v>56815</v>
      </c>
      <c r="Q134" s="184"/>
      <c r="R134" s="51"/>
      <c r="S134" s="51"/>
      <c r="T134" s="51"/>
      <c r="U134" s="51"/>
      <c r="V134" s="51"/>
      <c r="W134" s="51"/>
      <c r="X134" s="184"/>
      <c r="Y134" s="184"/>
      <c r="Z134" s="184"/>
      <c r="AA134" s="184"/>
      <c r="AB134" s="184"/>
      <c r="AC134" s="184"/>
      <c r="AD134" s="184"/>
      <c r="AE134" s="184"/>
      <c r="AF134" s="184"/>
      <c r="AG134" s="184"/>
      <c r="AH134" s="184"/>
      <c r="AI134" s="184"/>
      <c r="AJ134" s="184"/>
      <c r="AK134" s="184"/>
      <c r="AL134" s="184"/>
      <c r="AM134" s="184"/>
      <c r="AN134" s="184"/>
      <c r="AO134" s="185"/>
      <c r="AP134" s="185"/>
      <c r="AQ134" s="185"/>
      <c r="AR134" s="185"/>
      <c r="AS134" s="185"/>
      <c r="AT134" s="185"/>
      <c r="AU134" s="185"/>
      <c r="AV134" s="185"/>
      <c r="AW134" s="185"/>
      <c r="AX134" s="185"/>
      <c r="AY134" s="185"/>
      <c r="AZ134" s="185"/>
      <c r="BA134" s="185"/>
      <c r="BB134" s="185"/>
      <c r="BC134" s="185"/>
      <c r="BD134" s="185"/>
      <c r="BE134" s="185"/>
      <c r="BF134" s="185"/>
      <c r="BG134" s="185"/>
      <c r="BH134" s="185"/>
      <c r="BI134" s="185"/>
      <c r="BJ134" s="185"/>
      <c r="BK134" s="185"/>
      <c r="BL134" s="185"/>
      <c r="BM134" s="185"/>
      <c r="BN134" s="185"/>
      <c r="BO134" s="185"/>
      <c r="BP134" s="185"/>
      <c r="BQ134" s="185"/>
      <c r="BR134" s="185"/>
    </row>
    <row r="135" spans="1:70">
      <c r="A135" s="38">
        <v>1</v>
      </c>
      <c r="B135" s="970"/>
      <c r="E135" s="325" t="s">
        <v>529</v>
      </c>
      <c r="F135" s="325"/>
      <c r="G135" s="325" t="s">
        <v>79</v>
      </c>
      <c r="H135" s="325"/>
      <c r="I135" s="325" t="s">
        <v>173</v>
      </c>
      <c r="J135" s="325" t="s">
        <v>171</v>
      </c>
      <c r="K135" s="325" t="s">
        <v>174</v>
      </c>
      <c r="L135" s="325" t="s">
        <v>172</v>
      </c>
      <c r="M135" s="325" t="s">
        <v>621</v>
      </c>
      <c r="N135" s="325" t="s">
        <v>622</v>
      </c>
      <c r="O135" s="325" t="s">
        <v>527</v>
      </c>
      <c r="P135" s="325" t="s">
        <v>307</v>
      </c>
      <c r="Q135" s="325"/>
      <c r="R135" s="325"/>
      <c r="S135" s="325"/>
      <c r="T135" s="325"/>
      <c r="U135" s="325"/>
      <c r="V135" s="325"/>
      <c r="W135" s="325"/>
      <c r="X135" s="325"/>
      <c r="Y135" s="325"/>
      <c r="Z135" s="325"/>
      <c r="AA135" s="325"/>
      <c r="AB135" s="325"/>
      <c r="AC135" s="325"/>
      <c r="AD135" s="325"/>
      <c r="AE135" s="325"/>
      <c r="AF135" s="325"/>
      <c r="AG135" s="325"/>
      <c r="AH135" s="325"/>
      <c r="AI135" s="325"/>
      <c r="AJ135" s="325"/>
      <c r="AK135" s="325"/>
      <c r="AL135" s="325"/>
      <c r="AM135" s="325"/>
      <c r="AN135" s="325"/>
      <c r="AO135" s="325"/>
      <c r="AP135" s="325"/>
      <c r="AQ135" s="50"/>
      <c r="AR135" s="50"/>
      <c r="AS135" s="50"/>
      <c r="AT135" s="50"/>
      <c r="AU135" s="50"/>
      <c r="AV135" s="50"/>
      <c r="AW135" s="50"/>
      <c r="AX135" s="50"/>
      <c r="AY135" s="50"/>
      <c r="AZ135" s="50"/>
      <c r="BA135" s="50"/>
      <c r="BB135" s="50"/>
      <c r="BC135" s="50"/>
      <c r="BD135" s="50"/>
      <c r="BE135" s="50"/>
      <c r="BF135" s="50"/>
      <c r="BG135" s="50"/>
      <c r="BH135" s="50"/>
      <c r="BI135" s="50"/>
      <c r="BJ135" s="50"/>
      <c r="BK135" s="50"/>
      <c r="BL135" s="50"/>
      <c r="BM135" s="50"/>
      <c r="BN135" s="50"/>
      <c r="BO135" s="50"/>
      <c r="BP135" s="50"/>
      <c r="BQ135" s="50"/>
      <c r="BR135" s="50"/>
    </row>
    <row r="136" spans="1:70">
      <c r="A136" s="38">
        <v>1</v>
      </c>
      <c r="B136" s="970"/>
      <c r="E136" s="39" t="s">
        <v>271</v>
      </c>
      <c r="F136" s="37"/>
      <c r="G136" s="43"/>
      <c r="I136" s="43"/>
      <c r="J136" s="43"/>
      <c r="K136" s="43"/>
      <c r="L136" s="43"/>
      <c r="M136" s="43"/>
      <c r="N136" s="43"/>
      <c r="O136" s="51"/>
      <c r="P136" s="36"/>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0"/>
      <c r="AP136" s="50"/>
      <c r="AQ136" s="50"/>
      <c r="AR136" s="50"/>
      <c r="AS136" s="50"/>
      <c r="AT136" s="50"/>
      <c r="AU136" s="50"/>
      <c r="AV136" s="50"/>
      <c r="AW136" s="50"/>
      <c r="AX136" s="50"/>
      <c r="AY136" s="50"/>
      <c r="AZ136" s="50"/>
      <c r="BA136" s="50"/>
      <c r="BB136" s="50"/>
      <c r="BC136" s="50"/>
      <c r="BD136" s="50"/>
      <c r="BE136" s="50"/>
      <c r="BF136" s="50"/>
      <c r="BG136" s="50"/>
      <c r="BH136" s="50"/>
      <c r="BI136" s="50"/>
      <c r="BJ136" s="50"/>
      <c r="BK136" s="50"/>
      <c r="BL136" s="50"/>
      <c r="BM136" s="50"/>
      <c r="BN136" s="50"/>
      <c r="BO136" s="50"/>
      <c r="BP136" s="50"/>
      <c r="BQ136" s="50"/>
      <c r="BR136" s="50"/>
    </row>
    <row r="137" spans="1:70">
      <c r="A137" s="38">
        <v>1</v>
      </c>
      <c r="B137" s="970"/>
      <c r="C137" s="38" t="s">
        <v>270</v>
      </c>
      <c r="D137" s="38" t="str">
        <f t="shared" ref="D137:D151" si="22">C137&amp;P137</f>
        <v>OMM-Anaerobic Digestion</v>
      </c>
      <c r="E137" s="36" t="s">
        <v>315</v>
      </c>
      <c r="F137" s="37"/>
      <c r="G137" s="43" t="s">
        <v>9</v>
      </c>
      <c r="I137" s="180">
        <f ca="1">SUMIF('O&amp;M Cost Summary'!$C$4:$C$199,I$63&amp;$C137&amp;$E137,'O&amp;M Cost Summary'!$J$4:$J$198)/10*$I$19*VLOOKUP($I$19,$E$187:$F$194,2,TRUE)</f>
        <v>55000</v>
      </c>
      <c r="J137" s="180">
        <f ca="1">SUMIF('O&amp;M Cost Summary'!$C$4:$C$199,J$63&amp;$C137&amp;$E137,'O&amp;M Cost Summary'!$J$4:$J$198)/10*$I$19*VLOOKUP($I$19,$E$187:$F$194,2,TRUE)</f>
        <v>55000</v>
      </c>
      <c r="K137" s="180">
        <f ca="1">SUMIF('O&amp;M Cost Summary'!$C$4:$C$199,K$63&amp;$C137&amp;$E137,'O&amp;M Cost Summary'!$J$4:$J$198)/10*$I$19*VLOOKUP($I$19,$E$187:$F$194,2,TRUE)</f>
        <v>95000</v>
      </c>
      <c r="L137" s="180">
        <f ca="1">SUMIF('O&amp;M Cost Summary'!$C$4:$C$199,L$63&amp;$C137&amp;$E137,'O&amp;M Cost Summary'!$J$4:$J$198)/10*$I$19*VLOOKUP($I$19,$E$187:$F$194,2,TRUE)</f>
        <v>95000</v>
      </c>
      <c r="M137" s="180">
        <f ca="1">SUMIF('O&amp;M Cost Summary'!$C$4:$C$199,M$63&amp;$C137&amp;$E137,'O&amp;M Cost Summary'!$J$4:$J$198)/10*$I$19*VLOOKUP($I$19,$E$187:$F$194,2,TRUE)</f>
        <v>0</v>
      </c>
      <c r="N137" s="180">
        <f ca="1">SUMIF('O&amp;M Cost Summary'!$C$4:$C$199,N$63&amp;$C137&amp;$E137,'O&amp;M Cost Summary'!$J$4:$J$198)/10*$I$19*VLOOKUP($I$19,$E$187:$F$194,2,TRUE)</f>
        <v>0</v>
      </c>
      <c r="O137" s="51">
        <f ca="1">K137</f>
        <v>95000</v>
      </c>
      <c r="P137" s="36" t="s">
        <v>315</v>
      </c>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row>
    <row r="138" spans="1:70">
      <c r="A138" s="38">
        <v>1</v>
      </c>
      <c r="B138" s="970"/>
      <c r="C138" s="38" t="s">
        <v>270</v>
      </c>
      <c r="D138" s="38" t="str">
        <f t="shared" si="22"/>
        <v>OMM-Ash Conveyance &amp; Storage</v>
      </c>
      <c r="E138" s="36" t="s">
        <v>97</v>
      </c>
      <c r="F138" s="37"/>
      <c r="G138" s="43" t="s">
        <v>9</v>
      </c>
      <c r="I138" s="180">
        <f ca="1">SUMIF('O&amp;M Cost Summary'!$C$4:$C$199,I$63&amp;$C138&amp;$E138,'O&amp;M Cost Summary'!$J$4:$J$198)/10*$I$19*VLOOKUP($I$19,$E$187:$F$194,2,TRUE)</f>
        <v>0</v>
      </c>
      <c r="J138" s="180">
        <f ca="1">SUMIF('O&amp;M Cost Summary'!$C$4:$C$199,J$63&amp;$C138&amp;$E138,'O&amp;M Cost Summary'!$J$4:$J$198)/10*$I$19*VLOOKUP($I$19,$E$187:$F$194,2,TRUE)</f>
        <v>0</v>
      </c>
      <c r="K138" s="180">
        <f ca="1">SUMIF('O&amp;M Cost Summary'!$C$4:$C$199,K$63&amp;$C138&amp;$E138,'O&amp;M Cost Summary'!$J$4:$J$198)/10*$I$19*VLOOKUP($I$19,$E$187:$F$194,2,TRUE)</f>
        <v>0</v>
      </c>
      <c r="L138" s="180">
        <f ca="1">SUMIF('O&amp;M Cost Summary'!$C$4:$C$199,L$63&amp;$C138&amp;$E138,'O&amp;M Cost Summary'!$J$4:$J$198)/10*$I$19*VLOOKUP($I$19,$E$187:$F$194,2,TRUE)</f>
        <v>0</v>
      </c>
      <c r="M138" s="180">
        <f ca="1">SUMIF('O&amp;M Cost Summary'!$C$4:$C$199,M$63&amp;$C138&amp;$E138,'O&amp;M Cost Summary'!$J$4:$J$198)/10*$I$19*VLOOKUP($I$19,$E$187:$F$194,2,TRUE)</f>
        <v>2000</v>
      </c>
      <c r="N138" s="180">
        <f ca="1">SUMIF('O&amp;M Cost Summary'!$C$4:$C$199,N$63&amp;$C138&amp;$E138,'O&amp;M Cost Summary'!$J$4:$J$198)/10*$I$19*VLOOKUP($I$19,$E$187:$F$194,2,TRUE)</f>
        <v>0</v>
      </c>
      <c r="O138" s="51">
        <f ca="1">M138</f>
        <v>2000</v>
      </c>
      <c r="P138" s="36" t="s">
        <v>153</v>
      </c>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50"/>
      <c r="BL138" s="50"/>
      <c r="BM138" s="50"/>
      <c r="BN138" s="50"/>
      <c r="BO138" s="50"/>
      <c r="BP138" s="50"/>
      <c r="BQ138" s="50"/>
      <c r="BR138" s="50"/>
    </row>
    <row r="139" spans="1:70">
      <c r="A139" s="38">
        <v>1</v>
      </c>
      <c r="B139" s="970"/>
      <c r="C139" s="38" t="s">
        <v>270</v>
      </c>
      <c r="D139" s="38" t="str">
        <f t="shared" si="22"/>
        <v>OMM-Belt Filter Press Dewatering</v>
      </c>
      <c r="E139" s="36" t="s">
        <v>143</v>
      </c>
      <c r="F139" s="37"/>
      <c r="G139" s="43" t="s">
        <v>9</v>
      </c>
      <c r="I139" s="180">
        <f ca="1">SUMIF('O&amp;M Cost Summary'!$C$4:$C$199,I$63&amp;$C139&amp;$E139,'O&amp;M Cost Summary'!$J$4:$J$198)/10*$I$19*VLOOKUP($I$19,$E$187:$F$194,2,TRUE)</f>
        <v>36000</v>
      </c>
      <c r="J139" s="180">
        <f ca="1">SUMIF('O&amp;M Cost Summary'!$C$4:$C$199,J$63&amp;$C139&amp;$E139,'O&amp;M Cost Summary'!$J$4:$J$198)/10*$I$19*VLOOKUP($I$19,$E$187:$F$194,2,TRUE)</f>
        <v>36000</v>
      </c>
      <c r="K139" s="180">
        <f ca="1">SUMIF('O&amp;M Cost Summary'!$C$4:$C$199,K$63&amp;$C139&amp;$E139,'O&amp;M Cost Summary'!$J$4:$J$198)/10*$I$19*VLOOKUP($I$19,$E$187:$F$194,2,TRUE)</f>
        <v>37000</v>
      </c>
      <c r="L139" s="180">
        <f ca="1">SUMIF('O&amp;M Cost Summary'!$C$4:$C$199,L$63&amp;$C139&amp;$E139,'O&amp;M Cost Summary'!$J$4:$J$198)/10*$I$19*VLOOKUP($I$19,$E$187:$F$194,2,TRUE)</f>
        <v>37000</v>
      </c>
      <c r="M139" s="180">
        <f ca="1">SUMIF('O&amp;M Cost Summary'!$C$4:$C$199,M$63&amp;$C139&amp;$E139,'O&amp;M Cost Summary'!$J$4:$J$198)/10*$I$19*VLOOKUP($I$19,$E$187:$F$194,2,TRUE)</f>
        <v>59000</v>
      </c>
      <c r="N139" s="180">
        <f ca="1">SUMIF('O&amp;M Cost Summary'!$C$4:$C$199,N$63&amp;$C139&amp;$E139,'O&amp;M Cost Summary'!$J$4:$J$198)/10*$I$19*VLOOKUP($I$19,$E$187:$F$194,2,TRUE)</f>
        <v>59000</v>
      </c>
      <c r="O139" s="51">
        <f ca="1">K139</f>
        <v>37000</v>
      </c>
      <c r="P139" s="36" t="s">
        <v>143</v>
      </c>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row>
    <row r="140" spans="1:70">
      <c r="A140" s="38">
        <v>1</v>
      </c>
      <c r="B140" s="970"/>
      <c r="C140" s="38" t="s">
        <v>270</v>
      </c>
      <c r="D140" s="38" t="str">
        <f t="shared" si="22"/>
        <v>OMM-Cake Storage</v>
      </c>
      <c r="E140" s="36" t="s">
        <v>317</v>
      </c>
      <c r="F140" s="37"/>
      <c r="G140" s="43" t="s">
        <v>9</v>
      </c>
      <c r="I140" s="180">
        <f ca="1">SUMIF('O&amp;M Cost Summary'!$C$4:$C$199,I$63&amp;$C140&amp;$E140,'O&amp;M Cost Summary'!$J$4:$J$198)/10*$I$19*VLOOKUP($I$19,$E$187:$F$194,2,TRUE)</f>
        <v>27000</v>
      </c>
      <c r="J140" s="180">
        <f ca="1">SUMIF('O&amp;M Cost Summary'!$C$4:$C$199,J$63&amp;$C140&amp;$E140,'O&amp;M Cost Summary'!$J$4:$J$198)/10*$I$19*VLOOKUP($I$19,$E$187:$F$194,2,TRUE)</f>
        <v>27000</v>
      </c>
      <c r="K140" s="180">
        <f ca="1">SUMIF('O&amp;M Cost Summary'!$C$4:$C$199,K$63&amp;$C140&amp;$E140,'O&amp;M Cost Summary'!$J$4:$J$198)/10*$I$19*VLOOKUP($I$19,$E$187:$F$194,2,TRUE)</f>
        <v>59000</v>
      </c>
      <c r="L140" s="180">
        <f ca="1">SUMIF('O&amp;M Cost Summary'!$C$4:$C$199,L$63&amp;$C140&amp;$E140,'O&amp;M Cost Summary'!$J$4:$J$198)/10*$I$19*VLOOKUP($I$19,$E$187:$F$194,2,TRUE)</f>
        <v>59000</v>
      </c>
      <c r="M140" s="180">
        <f ca="1">SUMIF('O&amp;M Cost Summary'!$C$4:$C$199,M$63&amp;$C140&amp;$E140,'O&amp;M Cost Summary'!$J$4:$J$198)/10*$I$19*VLOOKUP($I$19,$E$187:$F$194,2,TRUE)</f>
        <v>0</v>
      </c>
      <c r="N140" s="180">
        <f ca="1">SUMIF('O&amp;M Cost Summary'!$C$4:$C$199,N$63&amp;$C140&amp;$E140,'O&amp;M Cost Summary'!$J$4:$J$198)/10*$I$19*VLOOKUP($I$19,$E$187:$F$194,2,TRUE)</f>
        <v>0</v>
      </c>
      <c r="O140" s="51">
        <f ca="1">K140</f>
        <v>59000</v>
      </c>
      <c r="P140" s="36" t="s">
        <v>317</v>
      </c>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row>
    <row r="141" spans="1:70">
      <c r="A141" s="38">
        <v>1</v>
      </c>
      <c r="B141" s="970"/>
      <c r="C141" s="38" t="s">
        <v>270</v>
      </c>
      <c r="D141" s="38" t="str">
        <f t="shared" si="22"/>
        <v>OMM-Cake Storage/Load Out</v>
      </c>
      <c r="E141" s="36" t="s">
        <v>316</v>
      </c>
      <c r="F141" s="37"/>
      <c r="G141" s="43" t="s">
        <v>9</v>
      </c>
      <c r="I141" s="180">
        <f ca="1">SUMIF('O&amp;M Cost Summary'!$C$4:$C$199,I$63&amp;$C141&amp;$E141,'O&amp;M Cost Summary'!$J$4:$J$198)/10*$I$19*VLOOKUP($I$19,$E$187:$F$194,2,TRUE)</f>
        <v>0</v>
      </c>
      <c r="J141" s="180">
        <f ca="1">SUMIF('O&amp;M Cost Summary'!$C$4:$C$199,J$63&amp;$C141&amp;$E141,'O&amp;M Cost Summary'!$J$4:$J$198)/10*$I$19*VLOOKUP($I$19,$E$187:$F$194,2,TRUE)</f>
        <v>0</v>
      </c>
      <c r="K141" s="180">
        <f ca="1">SUMIF('O&amp;M Cost Summary'!$C$4:$C$199,K$63&amp;$C141&amp;$E141,'O&amp;M Cost Summary'!$J$4:$J$198)/10*$I$19*VLOOKUP($I$19,$E$187:$F$194,2,TRUE)</f>
        <v>0</v>
      </c>
      <c r="L141" s="180">
        <f ca="1">SUMIF('O&amp;M Cost Summary'!$C$4:$C$199,L$63&amp;$C141&amp;$E141,'O&amp;M Cost Summary'!$J$4:$J$198)/10*$I$19*VLOOKUP($I$19,$E$187:$F$194,2,TRUE)</f>
        <v>0</v>
      </c>
      <c r="M141" s="180">
        <f ca="1">SUMIF('O&amp;M Cost Summary'!$C$4:$C$199,M$63&amp;$C141&amp;$E141,'O&amp;M Cost Summary'!$J$4:$J$198)/10*$I$19*VLOOKUP($I$19,$E$187:$F$194,2,TRUE)</f>
        <v>59000</v>
      </c>
      <c r="N141" s="180">
        <f ca="1">SUMIF('O&amp;M Cost Summary'!$C$4:$C$199,N$63&amp;$C141&amp;$E141,'O&amp;M Cost Summary'!$J$4:$J$198)/10*$I$19*VLOOKUP($I$19,$E$187:$F$194,2,TRUE)</f>
        <v>0</v>
      </c>
      <c r="O141" s="51">
        <f ca="1">M141</f>
        <v>59000</v>
      </c>
      <c r="P141" s="36" t="s">
        <v>316</v>
      </c>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0"/>
      <c r="AP141" s="50"/>
      <c r="AQ141" s="50"/>
      <c r="AR141" s="50"/>
      <c r="AS141" s="50"/>
      <c r="AT141" s="50"/>
      <c r="AU141" s="50"/>
      <c r="AV141" s="50"/>
      <c r="AW141" s="50"/>
      <c r="AX141" s="50"/>
      <c r="AY141" s="50"/>
      <c r="AZ141" s="50"/>
      <c r="BA141" s="50"/>
      <c r="BB141" s="50"/>
      <c r="BC141" s="50"/>
      <c r="BD141" s="50"/>
      <c r="BE141" s="50"/>
      <c r="BF141" s="50"/>
      <c r="BG141" s="50"/>
      <c r="BH141" s="50"/>
      <c r="BI141" s="50"/>
      <c r="BJ141" s="50"/>
      <c r="BK141" s="50"/>
      <c r="BL141" s="50"/>
      <c r="BM141" s="50"/>
      <c r="BN141" s="50"/>
      <c r="BO141" s="50"/>
      <c r="BP141" s="50"/>
      <c r="BQ141" s="50"/>
      <c r="BR141" s="50"/>
    </row>
    <row r="142" spans="1:70">
      <c r="A142" s="38">
        <v>1</v>
      </c>
      <c r="B142" s="970"/>
      <c r="C142" s="38" t="s">
        <v>270</v>
      </c>
      <c r="D142" s="38" t="str">
        <f t="shared" si="22"/>
        <v>OMM-CHP</v>
      </c>
      <c r="E142" s="36" t="s">
        <v>318</v>
      </c>
      <c r="F142" s="37"/>
      <c r="G142" s="43" t="s">
        <v>9</v>
      </c>
      <c r="I142" s="180">
        <f ca="1">SUMIF('O&amp;M Cost Summary'!$C$4:$C$199,I$63&amp;$C142&amp;$E142,'O&amp;M Cost Summary'!$J$4:$J$198)/10*$I$19*VLOOKUP($I$19,$E$187:$F$194,2,TRUE)</f>
        <v>15000</v>
      </c>
      <c r="J142" s="180">
        <f ca="1">SUMIF('O&amp;M Cost Summary'!$C$4:$C$199,J$63&amp;$C142&amp;$E142,'O&amp;M Cost Summary'!$J$4:$J$198)/10*$I$19*VLOOKUP($I$19,$E$187:$F$194,2,TRUE)</f>
        <v>15000</v>
      </c>
      <c r="K142" s="180">
        <f ca="1">SUMIF('O&amp;M Cost Summary'!$C$4:$C$199,K$63&amp;$C142&amp;$E142,'O&amp;M Cost Summary'!$J$4:$J$198)/10*$I$19*VLOOKUP($I$19,$E$187:$F$194,2,TRUE)</f>
        <v>15000</v>
      </c>
      <c r="L142" s="180">
        <f ca="1">SUMIF('O&amp;M Cost Summary'!$C$4:$C$199,L$63&amp;$C142&amp;$E142,'O&amp;M Cost Summary'!$J$4:$J$198)/10*$I$19*VLOOKUP($I$19,$E$187:$F$194,2,TRUE)</f>
        <v>15000</v>
      </c>
      <c r="M142" s="180">
        <f ca="1">SUMIF('O&amp;M Cost Summary'!$C$4:$C$199,M$63&amp;$C142&amp;$E142,'O&amp;M Cost Summary'!$J$4:$J$198)/10*$I$19*VLOOKUP($I$19,$E$187:$F$194,2,TRUE)</f>
        <v>0</v>
      </c>
      <c r="N142" s="180">
        <f ca="1">SUMIF('O&amp;M Cost Summary'!$C$4:$C$199,N$63&amp;$C142&amp;$E142,'O&amp;M Cost Summary'!$J$4:$J$198)/10*$I$19*VLOOKUP($I$19,$E$187:$F$194,2,TRUE)</f>
        <v>0</v>
      </c>
      <c r="O142" s="51">
        <f ca="1">K142</f>
        <v>15000</v>
      </c>
      <c r="P142" s="36" t="s">
        <v>318</v>
      </c>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0"/>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row>
    <row r="143" spans="1:70">
      <c r="A143" s="38">
        <v>1</v>
      </c>
      <c r="B143" s="970"/>
      <c r="C143" s="38" t="s">
        <v>270</v>
      </c>
      <c r="D143" s="38" t="str">
        <f t="shared" si="22"/>
        <v>OMM-Energy Recovery</v>
      </c>
      <c r="E143" s="36" t="s">
        <v>321</v>
      </c>
      <c r="F143" s="37"/>
      <c r="G143" s="43" t="s">
        <v>9</v>
      </c>
      <c r="I143" s="180">
        <f ca="1">SUMIF('O&amp;M Cost Summary'!$C$4:$C$199,I$63&amp;$C143&amp;$E143,'O&amp;M Cost Summary'!$J$4:$J$198)/10*$I$19*VLOOKUP($I$19,$E$187:$F$194,2,TRUE)</f>
        <v>0</v>
      </c>
      <c r="J143" s="180">
        <f ca="1">SUMIF('O&amp;M Cost Summary'!$C$4:$C$199,J$63&amp;$C143&amp;$E143,'O&amp;M Cost Summary'!$J$4:$J$198)/10*$I$19*VLOOKUP($I$19,$E$187:$F$194,2,TRUE)</f>
        <v>0</v>
      </c>
      <c r="K143" s="180">
        <f ca="1">SUMIF('O&amp;M Cost Summary'!$C$4:$C$199,K$63&amp;$C143&amp;$E143,'O&amp;M Cost Summary'!$J$4:$J$198)/10*$I$19*VLOOKUP($I$19,$E$187:$F$194,2,TRUE)</f>
        <v>0</v>
      </c>
      <c r="L143" s="180">
        <f ca="1">SUMIF('O&amp;M Cost Summary'!$C$4:$C$199,L$63&amp;$C143&amp;$E143,'O&amp;M Cost Summary'!$J$4:$J$198)/10*$I$19*VLOOKUP($I$19,$E$187:$F$194,2,TRUE)</f>
        <v>0</v>
      </c>
      <c r="M143" s="180">
        <f ca="1">SUMIF('O&amp;M Cost Summary'!$C$4:$C$199,M$63&amp;$C143&amp;$E143,'O&amp;M Cost Summary'!$J$4:$J$198)/10*$I$19*VLOOKUP($I$19,$E$187:$F$194,2,TRUE)</f>
        <v>19000</v>
      </c>
      <c r="N143" s="180">
        <f ca="1">SUMIF('O&amp;M Cost Summary'!$C$4:$C$199,N$63&amp;$C143&amp;$E143,'O&amp;M Cost Summary'!$J$4:$J$198)/10*$I$19*VLOOKUP($I$19,$E$187:$F$194,2,TRUE)</f>
        <v>0</v>
      </c>
      <c r="O143" s="51">
        <f ca="1">M143</f>
        <v>19000</v>
      </c>
      <c r="P143" s="36" t="s">
        <v>321</v>
      </c>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0"/>
      <c r="AP143" s="50"/>
      <c r="AQ143" s="50"/>
      <c r="AR143" s="50"/>
      <c r="AS143" s="50"/>
      <c r="AT143" s="50"/>
      <c r="AU143" s="50"/>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row>
    <row r="144" spans="1:70">
      <c r="A144" s="38">
        <v>1</v>
      </c>
      <c r="B144" s="970"/>
      <c r="C144" s="38" t="s">
        <v>270</v>
      </c>
      <c r="D144" s="38" t="str">
        <f t="shared" si="22"/>
        <v>OMM-Fluid Bed Incineration</v>
      </c>
      <c r="E144" s="36" t="s">
        <v>167</v>
      </c>
      <c r="F144" s="37"/>
      <c r="G144" s="43" t="s">
        <v>9</v>
      </c>
      <c r="I144" s="180">
        <f ca="1">SUMIF('O&amp;M Cost Summary'!$C$4:$C$199,I$63&amp;$C144&amp;$E144,'O&amp;M Cost Summary'!$J$4:$J$198)/10*$I$19*VLOOKUP($I$19,$E$187:$F$194,2,TRUE)</f>
        <v>0</v>
      </c>
      <c r="J144" s="180">
        <f ca="1">SUMIF('O&amp;M Cost Summary'!$C$4:$C$199,J$63&amp;$C144&amp;$E144,'O&amp;M Cost Summary'!$J$4:$J$198)/10*$I$19*VLOOKUP($I$19,$E$187:$F$194,2,TRUE)</f>
        <v>0</v>
      </c>
      <c r="K144" s="180">
        <f ca="1">SUMIF('O&amp;M Cost Summary'!$C$4:$C$199,K$63&amp;$C144&amp;$E144,'O&amp;M Cost Summary'!$J$4:$J$198)/10*$I$19*VLOOKUP($I$19,$E$187:$F$194,2,TRUE)</f>
        <v>0</v>
      </c>
      <c r="L144" s="180">
        <f ca="1">SUMIF('O&amp;M Cost Summary'!$C$4:$C$199,L$63&amp;$C144&amp;$E144,'O&amp;M Cost Summary'!$J$4:$J$198)/10*$I$19*VLOOKUP($I$19,$E$187:$F$194,2,TRUE)</f>
        <v>0</v>
      </c>
      <c r="M144" s="180">
        <f ca="1">SUMIF('O&amp;M Cost Summary'!$C$4:$C$199,M$63&amp;$C144&amp;$E144,'O&amp;M Cost Summary'!$J$4:$J$198)/10*$I$19*VLOOKUP($I$19,$E$187:$F$194,2,TRUE)</f>
        <v>60000</v>
      </c>
      <c r="N144" s="180">
        <f ca="1">SUMIF('O&amp;M Cost Summary'!$C$4:$C$199,N$63&amp;$C144&amp;$E144,'O&amp;M Cost Summary'!$J$4:$J$198)/10*$I$19*VLOOKUP($I$19,$E$187:$F$194,2,TRUE)</f>
        <v>0</v>
      </c>
      <c r="O144" s="51">
        <f ca="1">M144</f>
        <v>60000</v>
      </c>
      <c r="P144" s="36" t="s">
        <v>160</v>
      </c>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row>
    <row r="145" spans="1:70">
      <c r="A145" s="38">
        <v>1</v>
      </c>
      <c r="B145" s="970"/>
      <c r="C145" s="38" t="s">
        <v>270</v>
      </c>
      <c r="D145" s="38" t="str">
        <f t="shared" si="22"/>
        <v>OMM-FOG Receiving</v>
      </c>
      <c r="E145" s="36" t="s">
        <v>161</v>
      </c>
      <c r="F145" s="37"/>
      <c r="G145" s="43" t="s">
        <v>9</v>
      </c>
      <c r="I145" s="180">
        <f ca="1">SUMIF('O&amp;M Cost Summary'!$C$4:$C$199,I$63&amp;$C145&amp;$E145,'O&amp;M Cost Summary'!$J$4:$J$198)/10*$I$19*VLOOKUP($I$19,$E$187:$F$194,2,TRUE)</f>
        <v>0</v>
      </c>
      <c r="J145" s="180">
        <f ca="1">SUMIF('O&amp;M Cost Summary'!$C$4:$C$199,J$63&amp;$C145&amp;$E145,'O&amp;M Cost Summary'!$J$4:$J$198)/10*$I$19*VLOOKUP($I$19,$E$187:$F$194,2,TRUE)</f>
        <v>0</v>
      </c>
      <c r="K145" s="180">
        <f ca="1">SUMIF('O&amp;M Cost Summary'!$C$4:$C$199,K$63&amp;$C145&amp;$E145,'O&amp;M Cost Summary'!$J$4:$J$198)/10*$I$19*VLOOKUP($I$19,$E$187:$F$194,2,TRUE)</f>
        <v>12000</v>
      </c>
      <c r="L145" s="180">
        <f ca="1">SUMIF('O&amp;M Cost Summary'!$C$4:$C$199,L$63&amp;$C145&amp;$E145,'O&amp;M Cost Summary'!$J$4:$J$198)/10*$I$19*VLOOKUP($I$19,$E$187:$F$194,2,TRUE)</f>
        <v>12000</v>
      </c>
      <c r="M145" s="180">
        <f ca="1">SUMIF('O&amp;M Cost Summary'!$C$4:$C$199,M$63&amp;$C145&amp;$E145,'O&amp;M Cost Summary'!$J$4:$J$198)/10*$I$19*VLOOKUP($I$19,$E$187:$F$194,2,TRUE)</f>
        <v>0</v>
      </c>
      <c r="N145" s="180">
        <f ca="1">SUMIF('O&amp;M Cost Summary'!$C$4:$C$199,N$63&amp;$C145&amp;$E145,'O&amp;M Cost Summary'!$J$4:$J$198)/10*$I$19*VLOOKUP($I$19,$E$187:$F$194,2,TRUE)</f>
        <v>0</v>
      </c>
      <c r="O145" s="51">
        <f ca="1">K145</f>
        <v>12000</v>
      </c>
      <c r="P145" s="36" t="s">
        <v>161</v>
      </c>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0"/>
      <c r="BR145" s="50"/>
    </row>
    <row r="146" spans="1:70">
      <c r="A146" s="38">
        <v>1</v>
      </c>
      <c r="B146" s="970"/>
      <c r="C146" s="38" t="s">
        <v>270</v>
      </c>
      <c r="D146" s="38" t="str">
        <f t="shared" si="22"/>
        <v>OMM-Gas Cleaning</v>
      </c>
      <c r="E146" s="36" t="s">
        <v>162</v>
      </c>
      <c r="F146" s="37"/>
      <c r="G146" s="43" t="s">
        <v>9</v>
      </c>
      <c r="I146" s="180">
        <f ca="1">SUMIF('O&amp;M Cost Summary'!$C$4:$C$199,I$63&amp;$C146&amp;$E146,'O&amp;M Cost Summary'!$J$4:$J$198)/10*$I$19*VLOOKUP($I$19,$E$187:$F$194,2,TRUE)</f>
        <v>13000</v>
      </c>
      <c r="J146" s="180">
        <f ca="1">SUMIF('O&amp;M Cost Summary'!$C$4:$C$199,J$63&amp;$C146&amp;$E146,'O&amp;M Cost Summary'!$J$4:$J$198)/10*$I$19*VLOOKUP($I$19,$E$187:$F$194,2,TRUE)</f>
        <v>13000</v>
      </c>
      <c r="K146" s="180">
        <f ca="1">SUMIF('O&amp;M Cost Summary'!$C$4:$C$199,K$63&amp;$C146&amp;$E146,'O&amp;M Cost Summary'!$J$4:$J$198)/10*$I$19*VLOOKUP($I$19,$E$187:$F$194,2,TRUE)</f>
        <v>13000</v>
      </c>
      <c r="L146" s="180">
        <f ca="1">SUMIF('O&amp;M Cost Summary'!$C$4:$C$199,L$63&amp;$C146&amp;$E146,'O&amp;M Cost Summary'!$J$4:$J$198)/10*$I$19*VLOOKUP($I$19,$E$187:$F$194,2,TRUE)</f>
        <v>13000</v>
      </c>
      <c r="M146" s="180">
        <f ca="1">SUMIF('O&amp;M Cost Summary'!$C$4:$C$199,M$63&amp;$C146&amp;$E146,'O&amp;M Cost Summary'!$J$4:$J$198)/10*$I$19*VLOOKUP($I$19,$E$187:$F$194,2,TRUE)</f>
        <v>0</v>
      </c>
      <c r="N146" s="180">
        <f ca="1">SUMIF('O&amp;M Cost Summary'!$C$4:$C$199,N$63&amp;$C146&amp;$E146,'O&amp;M Cost Summary'!$J$4:$J$198)/10*$I$19*VLOOKUP($I$19,$E$187:$F$194,2,TRUE)</f>
        <v>0</v>
      </c>
      <c r="O146" s="51">
        <f ca="1">K146</f>
        <v>13000</v>
      </c>
      <c r="P146" s="36" t="s">
        <v>162</v>
      </c>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row>
    <row r="147" spans="1:70">
      <c r="A147" s="38">
        <v>1</v>
      </c>
      <c r="B147" s="970"/>
      <c r="C147" s="38" t="s">
        <v>270</v>
      </c>
      <c r="D147" s="38" t="str">
        <f t="shared" si="22"/>
        <v>OMM-Drying/Gasification/Energy Recovery</v>
      </c>
      <c r="E147" s="36" t="s">
        <v>165</v>
      </c>
      <c r="F147" s="37"/>
      <c r="G147" s="43" t="s">
        <v>9</v>
      </c>
      <c r="I147" s="180">
        <f ca="1">SUMIF('O&amp;M Cost Summary'!$C$4:$C$199,I$63&amp;$C147&amp;$E147,'O&amp;M Cost Summary'!$J$4:$J$198)/10*$I$19*VLOOKUP($I$19,$E$187:$F$194,2,TRUE)</f>
        <v>0</v>
      </c>
      <c r="J147" s="180">
        <f ca="1">SUMIF('O&amp;M Cost Summary'!$C$4:$C$199,J$63&amp;$C147&amp;$E147,'O&amp;M Cost Summary'!$J$4:$J$198)/10*$I$19*VLOOKUP($I$19,$E$187:$F$194,2,TRUE)</f>
        <v>0</v>
      </c>
      <c r="K147" s="180">
        <f ca="1">SUMIF('O&amp;M Cost Summary'!$C$4:$C$199,K$63&amp;$C147&amp;$E147,'O&amp;M Cost Summary'!$J$4:$J$198)/10*$I$19*VLOOKUP($I$19,$E$187:$F$194,2,TRUE)</f>
        <v>0</v>
      </c>
      <c r="L147" s="180">
        <f ca="1">SUMIF('O&amp;M Cost Summary'!$C$4:$C$199,L$63&amp;$C147&amp;$E147,'O&amp;M Cost Summary'!$J$4:$J$198)/10*$I$19*VLOOKUP($I$19,$E$187:$F$194,2,TRUE)</f>
        <v>0</v>
      </c>
      <c r="M147" s="180">
        <f ca="1">SUMIF('O&amp;M Cost Summary'!$C$4:$C$199,M$63&amp;$C147&amp;$E147,'O&amp;M Cost Summary'!$J$4:$J$198)/10*$I$19*VLOOKUP($I$19,$E$187:$F$194,2,TRUE)</f>
        <v>0</v>
      </c>
      <c r="N147" s="180">
        <f ca="1">SUMIF('O&amp;M Cost Summary'!$C$4:$C$199,N$63&amp;$C147&amp;$E147,'O&amp;M Cost Summary'!$J$4:$J$198)/10*$I$19*VLOOKUP($I$19,$E$187:$F$194,2,TRUE)</f>
        <v>130000</v>
      </c>
      <c r="O147" s="51">
        <f ca="1">N147</f>
        <v>130000</v>
      </c>
      <c r="P147" s="36" t="s">
        <v>320</v>
      </c>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row>
    <row r="148" spans="1:70">
      <c r="A148" s="38">
        <v>1</v>
      </c>
      <c r="B148" s="970"/>
      <c r="C148" s="38" t="s">
        <v>270</v>
      </c>
      <c r="D148" s="38" t="str">
        <f t="shared" si="22"/>
        <v>OMM-Gravity Belt Thickener</v>
      </c>
      <c r="E148" s="36" t="s">
        <v>135</v>
      </c>
      <c r="F148" s="37"/>
      <c r="G148" s="43" t="s">
        <v>9</v>
      </c>
      <c r="I148" s="180">
        <f ca="1">SUMIF('O&amp;M Cost Summary'!$C$4:$C$199,I$63&amp;$C148&amp;$E148,'O&amp;M Cost Summary'!$J$4:$J$198)/10*$I$19*VLOOKUP($I$19,$E$187:$F$194,2,TRUE)</f>
        <v>25000</v>
      </c>
      <c r="J148" s="180">
        <f ca="1">SUMIF('O&amp;M Cost Summary'!$C$4:$C$199,J$63&amp;$C148&amp;$E148,'O&amp;M Cost Summary'!$J$4:$J$198)/10*$I$19*VLOOKUP($I$19,$E$187:$F$194,2,TRUE)</f>
        <v>25000</v>
      </c>
      <c r="K148" s="180">
        <f ca="1">SUMIF('O&amp;M Cost Summary'!$C$4:$C$199,K$63&amp;$C148&amp;$E148,'O&amp;M Cost Summary'!$J$4:$J$198)/10*$I$19*VLOOKUP($I$19,$E$187:$F$194,2,TRUE)</f>
        <v>25000</v>
      </c>
      <c r="L148" s="180">
        <f ca="1">SUMIF('O&amp;M Cost Summary'!$C$4:$C$199,L$63&amp;$C148&amp;$E148,'O&amp;M Cost Summary'!$J$4:$J$198)/10*$I$19*VLOOKUP($I$19,$E$187:$F$194,2,TRUE)</f>
        <v>25000</v>
      </c>
      <c r="M148" s="180">
        <f ca="1">SUMIF('O&amp;M Cost Summary'!$C$4:$C$199,M$63&amp;$C148&amp;$E148,'O&amp;M Cost Summary'!$J$4:$J$198)/10*$I$19*VLOOKUP($I$19,$E$187:$F$194,2,TRUE)</f>
        <v>25000</v>
      </c>
      <c r="N148" s="180">
        <f ca="1">SUMIF('O&amp;M Cost Summary'!$C$4:$C$199,N$63&amp;$C148&amp;$E148,'O&amp;M Cost Summary'!$J$4:$J$198)/10*$I$19*VLOOKUP($I$19,$E$187:$F$194,2,TRUE)</f>
        <v>25000</v>
      </c>
      <c r="O148" s="51">
        <f ca="1">K148</f>
        <v>25000</v>
      </c>
      <c r="P148" s="36" t="s">
        <v>135</v>
      </c>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0"/>
      <c r="AP148" s="50"/>
      <c r="AQ148" s="50"/>
      <c r="AR148" s="50"/>
      <c r="AS148" s="50"/>
      <c r="AT148" s="50"/>
      <c r="AU148" s="50"/>
      <c r="AV148" s="50"/>
      <c r="AW148" s="50"/>
      <c r="AX148" s="50"/>
      <c r="AY148" s="50"/>
      <c r="AZ148" s="50"/>
      <c r="BA148" s="50"/>
      <c r="BB148" s="50"/>
      <c r="BC148" s="50"/>
      <c r="BD148" s="50"/>
      <c r="BE148" s="50"/>
      <c r="BF148" s="50"/>
      <c r="BG148" s="50"/>
      <c r="BH148" s="50"/>
      <c r="BI148" s="50"/>
      <c r="BJ148" s="50"/>
      <c r="BK148" s="50"/>
      <c r="BL148" s="50"/>
      <c r="BM148" s="50"/>
      <c r="BN148" s="50"/>
      <c r="BO148" s="50"/>
      <c r="BP148" s="50"/>
      <c r="BQ148" s="50"/>
      <c r="BR148" s="50"/>
    </row>
    <row r="149" spans="1:70">
      <c r="A149" s="38">
        <v>1</v>
      </c>
      <c r="B149" s="970"/>
      <c r="C149" s="38" t="s">
        <v>270</v>
      </c>
      <c r="D149" s="38" t="str">
        <f t="shared" si="22"/>
        <v>OMM-Gravity Thickener</v>
      </c>
      <c r="E149" s="36" t="s">
        <v>29</v>
      </c>
      <c r="F149" s="37"/>
      <c r="G149" s="43" t="s">
        <v>9</v>
      </c>
      <c r="I149" s="180">
        <f ca="1">SUMIF('O&amp;M Cost Summary'!$C$4:$C$199,I$63&amp;$C149&amp;$E149,'O&amp;M Cost Summary'!$J$4:$J$198)/10*$I$19*VLOOKUP($I$19,$E$187:$F$194,2,TRUE)</f>
        <v>10000</v>
      </c>
      <c r="J149" s="180">
        <f ca="1">SUMIF('O&amp;M Cost Summary'!$C$4:$C$199,J$63&amp;$C149&amp;$E149,'O&amp;M Cost Summary'!$J$4:$J$198)/10*$I$19*VLOOKUP($I$19,$E$187:$F$194,2,TRUE)</f>
        <v>10000</v>
      </c>
      <c r="K149" s="180">
        <f ca="1">SUMIF('O&amp;M Cost Summary'!$C$4:$C$199,K$63&amp;$C149&amp;$E149,'O&amp;M Cost Summary'!$J$4:$J$198)/10*$I$19*VLOOKUP($I$19,$E$187:$F$194,2,TRUE)</f>
        <v>10000</v>
      </c>
      <c r="L149" s="180">
        <f ca="1">SUMIF('O&amp;M Cost Summary'!$C$4:$C$199,L$63&amp;$C149&amp;$E149,'O&amp;M Cost Summary'!$J$4:$J$198)/10*$I$19*VLOOKUP($I$19,$E$187:$F$194,2,TRUE)</f>
        <v>10000</v>
      </c>
      <c r="M149" s="180">
        <f ca="1">SUMIF('O&amp;M Cost Summary'!$C$4:$C$199,M$63&amp;$C149&amp;$E149,'O&amp;M Cost Summary'!$J$4:$J$198)/10*$I$19*VLOOKUP($I$19,$E$187:$F$194,2,TRUE)</f>
        <v>10000</v>
      </c>
      <c r="N149" s="180">
        <f ca="1">SUMIF('O&amp;M Cost Summary'!$C$4:$C$199,N$63&amp;$C149&amp;$E149,'O&amp;M Cost Summary'!$J$4:$J$198)/10*$I$19*VLOOKUP($I$19,$E$187:$F$194,2,TRUE)</f>
        <v>10000</v>
      </c>
      <c r="O149" s="51">
        <f ca="1">K149</f>
        <v>10000</v>
      </c>
      <c r="P149" s="36" t="s">
        <v>29</v>
      </c>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0"/>
      <c r="AP149" s="50"/>
      <c r="AQ149" s="50"/>
      <c r="AR149" s="50"/>
      <c r="AS149" s="50"/>
      <c r="AT149" s="50"/>
      <c r="AU149" s="50"/>
      <c r="AV149" s="50"/>
      <c r="AW149" s="50"/>
      <c r="AX149" s="50"/>
      <c r="AY149" s="50"/>
      <c r="AZ149" s="50"/>
      <c r="BA149" s="50"/>
      <c r="BB149" s="50"/>
      <c r="BC149" s="50"/>
      <c r="BD149" s="50"/>
      <c r="BE149" s="50"/>
      <c r="BF149" s="50"/>
      <c r="BG149" s="50"/>
      <c r="BH149" s="50"/>
      <c r="BI149" s="50"/>
      <c r="BJ149" s="50"/>
      <c r="BK149" s="50"/>
      <c r="BL149" s="50"/>
      <c r="BM149" s="50"/>
      <c r="BN149" s="50"/>
      <c r="BO149" s="50"/>
      <c r="BP149" s="50"/>
      <c r="BQ149" s="50"/>
      <c r="BR149" s="50"/>
    </row>
    <row r="150" spans="1:70">
      <c r="A150" s="38">
        <v>1</v>
      </c>
      <c r="B150" s="970"/>
      <c r="C150" s="38" t="s">
        <v>270</v>
      </c>
      <c r="D150" s="38" t="str">
        <f t="shared" si="22"/>
        <v xml:space="preserve">OMM-Pre-Dewatering </v>
      </c>
      <c r="E150" s="36" t="s">
        <v>163</v>
      </c>
      <c r="F150" s="37"/>
      <c r="G150" s="43" t="s">
        <v>9</v>
      </c>
      <c r="I150" s="180">
        <f ca="1">SUMIF('O&amp;M Cost Summary'!$C$4:$C$199,I$63&amp;$C150&amp;$E150,'O&amp;M Cost Summary'!$J$4:$J$198)/10*$I$19*VLOOKUP($I$19,$E$187:$F$194,2,TRUE)</f>
        <v>59000</v>
      </c>
      <c r="J150" s="180">
        <f ca="1">SUMIF('O&amp;M Cost Summary'!$C$4:$C$199,J$63&amp;$C150&amp;$E150,'O&amp;M Cost Summary'!$J$4:$J$198)/10*$I$19*VLOOKUP($I$19,$E$187:$F$194,2,TRUE)</f>
        <v>59000</v>
      </c>
      <c r="K150" s="180">
        <f ca="1">SUMIF('O&amp;M Cost Summary'!$C$4:$C$199,K$63&amp;$C150&amp;$E150,'O&amp;M Cost Summary'!$J$4:$J$198)/10*$I$19*VLOOKUP($I$19,$E$187:$F$194,2,TRUE)</f>
        <v>0</v>
      </c>
      <c r="L150" s="180">
        <f ca="1">SUMIF('O&amp;M Cost Summary'!$C$4:$C$199,L$63&amp;$C150&amp;$E150,'O&amp;M Cost Summary'!$J$4:$J$198)/10*$I$19*VLOOKUP($I$19,$E$187:$F$194,2,TRUE)</f>
        <v>0</v>
      </c>
      <c r="M150" s="180">
        <f ca="1">SUMIF('O&amp;M Cost Summary'!$C$4:$C$199,M$63&amp;$C150&amp;$E150,'O&amp;M Cost Summary'!$J$4:$J$198)/10*$I$19*VLOOKUP($I$19,$E$187:$F$194,2,TRUE)</f>
        <v>0</v>
      </c>
      <c r="N150" s="180">
        <f ca="1">SUMIF('O&amp;M Cost Summary'!$C$4:$C$199,N$63&amp;$C150&amp;$E150,'O&amp;M Cost Summary'!$J$4:$J$198)/10*$I$19*VLOOKUP($I$19,$E$187:$F$194,2,TRUE)</f>
        <v>0</v>
      </c>
      <c r="O150" s="51">
        <f ca="1">I150</f>
        <v>59000</v>
      </c>
      <c r="P150" s="36" t="s">
        <v>163</v>
      </c>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0"/>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50"/>
      <c r="BL150" s="50"/>
      <c r="BM150" s="50"/>
      <c r="BN150" s="50"/>
      <c r="BO150" s="50"/>
      <c r="BP150" s="50"/>
      <c r="BQ150" s="50"/>
      <c r="BR150" s="50"/>
    </row>
    <row r="151" spans="1:70">
      <c r="A151" s="38">
        <v>1</v>
      </c>
      <c r="B151" s="970"/>
      <c r="C151" s="38" t="s">
        <v>270</v>
      </c>
      <c r="D151" s="38" t="str">
        <f t="shared" si="22"/>
        <v>OMM-Pre-Treatment (CAMBI)</v>
      </c>
      <c r="E151" s="36" t="s">
        <v>138</v>
      </c>
      <c r="F151" s="37"/>
      <c r="G151" s="43" t="s">
        <v>9</v>
      </c>
      <c r="I151" s="180">
        <f ca="1">SUMIF('O&amp;M Cost Summary'!$C$4:$C$199,I$63&amp;$C151&amp;$E151,'O&amp;M Cost Summary'!$J$4:$J$198)/10*$I$19*VLOOKUP($I$19,$E$187:$F$194,2,TRUE)</f>
        <v>91000</v>
      </c>
      <c r="J151" s="180">
        <f ca="1">SUMIF('O&amp;M Cost Summary'!$C$4:$C$199,J$63&amp;$C151&amp;$E151,'O&amp;M Cost Summary'!$J$4:$J$198)/10*$I$19*VLOOKUP($I$19,$E$187:$F$194,2,TRUE)</f>
        <v>91000</v>
      </c>
      <c r="K151" s="180">
        <f ca="1">SUMIF('O&amp;M Cost Summary'!$C$4:$C$199,K$63&amp;$C151&amp;$E151,'O&amp;M Cost Summary'!$J$4:$J$198)/10*$I$19*VLOOKUP($I$19,$E$187:$F$194,2,TRUE)</f>
        <v>0</v>
      </c>
      <c r="L151" s="180">
        <f ca="1">SUMIF('O&amp;M Cost Summary'!$C$4:$C$199,L$63&amp;$C151&amp;$E151,'O&amp;M Cost Summary'!$J$4:$J$198)/10*$I$19*VLOOKUP($I$19,$E$187:$F$194,2,TRUE)</f>
        <v>0</v>
      </c>
      <c r="M151" s="180">
        <f ca="1">SUMIF('O&amp;M Cost Summary'!$C$4:$C$199,M$63&amp;$C151&amp;$E151,'O&amp;M Cost Summary'!$J$4:$J$198)/10*$I$19*VLOOKUP($I$19,$E$187:$F$194,2,TRUE)</f>
        <v>0</v>
      </c>
      <c r="N151" s="180">
        <f ca="1">SUMIF('O&amp;M Cost Summary'!$C$4:$C$199,N$63&amp;$C151&amp;$E151,'O&amp;M Cost Summary'!$J$4:$J$198)/10*$I$19*VLOOKUP($I$19,$E$187:$F$194,2,TRUE)</f>
        <v>0</v>
      </c>
      <c r="O151" s="51">
        <f ca="1">I151</f>
        <v>91000</v>
      </c>
      <c r="P151" s="36" t="s">
        <v>138</v>
      </c>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row>
    <row r="152" spans="1:70" s="60" customFormat="1">
      <c r="A152" s="38">
        <v>1</v>
      </c>
      <c r="B152" s="970"/>
      <c r="E152" s="173" t="s">
        <v>281</v>
      </c>
      <c r="F152" s="182"/>
      <c r="G152" s="174" t="s">
        <v>9</v>
      </c>
      <c r="I152" s="181">
        <f ca="1">SUM(I137:I151)</f>
        <v>331000</v>
      </c>
      <c r="J152" s="181">
        <f t="shared" ref="J152:N152" ca="1" si="23">SUM(J137:J151)</f>
        <v>331000</v>
      </c>
      <c r="K152" s="181">
        <f t="shared" ca="1" si="23"/>
        <v>266000</v>
      </c>
      <c r="L152" s="181">
        <f t="shared" ca="1" si="23"/>
        <v>266000</v>
      </c>
      <c r="M152" s="181">
        <f t="shared" ca="1" si="23"/>
        <v>234000</v>
      </c>
      <c r="N152" s="181">
        <f t="shared" ca="1" si="23"/>
        <v>224000</v>
      </c>
      <c r="O152" s="184"/>
      <c r="Q152" s="184"/>
      <c r="R152" s="51"/>
      <c r="S152" s="51"/>
      <c r="T152" s="51"/>
      <c r="U152" s="51"/>
      <c r="V152" s="51"/>
      <c r="W152" s="51"/>
      <c r="X152" s="184"/>
      <c r="Y152" s="184"/>
      <c r="Z152" s="184"/>
      <c r="AA152" s="184"/>
      <c r="AB152" s="184"/>
      <c r="AC152" s="184"/>
      <c r="AD152" s="184"/>
      <c r="AE152" s="184"/>
      <c r="AF152" s="184"/>
      <c r="AG152" s="184"/>
      <c r="AH152" s="184"/>
      <c r="AI152" s="184"/>
      <c r="AJ152" s="184"/>
      <c r="AK152" s="184"/>
      <c r="AL152" s="184"/>
      <c r="AM152" s="184"/>
      <c r="AN152" s="184"/>
      <c r="AO152" s="185"/>
      <c r="AP152" s="185"/>
      <c r="AQ152" s="185"/>
      <c r="AR152" s="185"/>
      <c r="AS152" s="185"/>
      <c r="AT152" s="185"/>
      <c r="AU152" s="185"/>
      <c r="AV152" s="185"/>
      <c r="AW152" s="185"/>
      <c r="AX152" s="185"/>
      <c r="AY152" s="185"/>
      <c r="AZ152" s="185"/>
      <c r="BA152" s="185"/>
      <c r="BB152" s="185"/>
      <c r="BC152" s="185"/>
      <c r="BD152" s="185"/>
      <c r="BE152" s="185"/>
      <c r="BF152" s="185"/>
      <c r="BG152" s="185"/>
      <c r="BH152" s="185"/>
      <c r="BI152" s="185"/>
      <c r="BJ152" s="185"/>
      <c r="BK152" s="185"/>
      <c r="BL152" s="185"/>
      <c r="BM152" s="185"/>
      <c r="BN152" s="185"/>
      <c r="BO152" s="185"/>
      <c r="BP152" s="185"/>
      <c r="BQ152" s="185"/>
      <c r="BR152" s="185"/>
    </row>
    <row r="153" spans="1:70">
      <c r="A153" s="38">
        <v>1</v>
      </c>
      <c r="B153" s="970"/>
      <c r="E153" s="325" t="s">
        <v>529</v>
      </c>
      <c r="F153" s="325"/>
      <c r="G153" s="325" t="s">
        <v>79</v>
      </c>
      <c r="H153" s="325"/>
      <c r="I153" s="325" t="s">
        <v>173</v>
      </c>
      <c r="J153" s="325" t="s">
        <v>171</v>
      </c>
      <c r="K153" s="325" t="s">
        <v>174</v>
      </c>
      <c r="L153" s="325" t="s">
        <v>172</v>
      </c>
      <c r="M153" s="325" t="s">
        <v>621</v>
      </c>
      <c r="N153" s="325" t="s">
        <v>622</v>
      </c>
      <c r="O153" s="325" t="s">
        <v>527</v>
      </c>
      <c r="P153" s="325" t="s">
        <v>307</v>
      </c>
      <c r="Q153" s="325"/>
      <c r="R153" s="325"/>
      <c r="S153" s="325"/>
      <c r="T153" s="325"/>
      <c r="U153" s="325"/>
      <c r="V153" s="325"/>
      <c r="W153" s="325"/>
      <c r="X153" s="325"/>
      <c r="Y153" s="325"/>
      <c r="Z153" s="325"/>
      <c r="AA153" s="325"/>
      <c r="AB153" s="325"/>
      <c r="AC153" s="325"/>
      <c r="AD153" s="325"/>
      <c r="AE153" s="325"/>
      <c r="AF153" s="325"/>
      <c r="AG153" s="325"/>
      <c r="AH153" s="325"/>
      <c r="AI153" s="325"/>
      <c r="AJ153" s="325"/>
      <c r="AK153" s="325"/>
      <c r="AL153" s="325"/>
      <c r="AM153" s="325"/>
      <c r="AN153" s="325"/>
      <c r="AO153" s="325"/>
      <c r="AP153" s="325"/>
      <c r="AQ153" s="50"/>
      <c r="AR153" s="50"/>
      <c r="AS153" s="50"/>
      <c r="AT153" s="50"/>
      <c r="AU153" s="50"/>
      <c r="AV153" s="50"/>
      <c r="AW153" s="50"/>
      <c r="AX153" s="50"/>
      <c r="AY153" s="50"/>
      <c r="AZ153" s="50"/>
      <c r="BA153" s="50"/>
      <c r="BB153" s="50"/>
      <c r="BC153" s="50"/>
      <c r="BD153" s="50"/>
      <c r="BE153" s="50"/>
      <c r="BF153" s="50"/>
      <c r="BG153" s="50"/>
      <c r="BH153" s="50"/>
      <c r="BI153" s="50"/>
      <c r="BJ153" s="50"/>
      <c r="BK153" s="50"/>
      <c r="BL153" s="50"/>
      <c r="BM153" s="50"/>
      <c r="BN153" s="50"/>
      <c r="BO153" s="50"/>
      <c r="BP153" s="50"/>
      <c r="BQ153" s="50"/>
      <c r="BR153" s="50"/>
    </row>
    <row r="154" spans="1:70">
      <c r="A154" s="38">
        <v>1</v>
      </c>
      <c r="B154" s="970"/>
      <c r="E154" s="39" t="s">
        <v>282</v>
      </c>
      <c r="F154" s="37"/>
      <c r="G154" s="43"/>
      <c r="I154" s="178"/>
      <c r="J154" s="178"/>
      <c r="K154" s="178"/>
      <c r="L154" s="178"/>
      <c r="M154" s="178"/>
      <c r="N154" s="178"/>
      <c r="O154" s="51"/>
      <c r="P154" s="36"/>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50"/>
      <c r="BL154" s="50"/>
      <c r="BM154" s="50"/>
      <c r="BN154" s="50"/>
      <c r="BO154" s="50"/>
      <c r="BP154" s="50"/>
      <c r="BQ154" s="50"/>
      <c r="BR154" s="50"/>
    </row>
    <row r="155" spans="1:70">
      <c r="A155" s="38">
        <v>1</v>
      </c>
      <c r="B155" s="970"/>
      <c r="C155" s="38" t="s">
        <v>263</v>
      </c>
      <c r="D155" s="38" t="str">
        <f t="shared" ref="D155:D160" si="24">C155&amp;P155</f>
        <v>Chem-Belt Filter Press Dewatering</v>
      </c>
      <c r="E155" s="36" t="s">
        <v>143</v>
      </c>
      <c r="F155" s="37"/>
      <c r="G155" s="43" t="s">
        <v>9</v>
      </c>
      <c r="I155" s="180">
        <f ca="1">SUMIF('O&amp;M Cost Summary'!$C$4:$C$199,I$63&amp;$C155&amp;$E155,'O&amp;M Cost Summary'!$J$4:$J$198)/10*$I$19</f>
        <v>91000</v>
      </c>
      <c r="J155" s="180">
        <f ca="1">SUMIF('O&amp;M Cost Summary'!$C$4:$C$199,J$63&amp;$C155&amp;$E155,'O&amp;M Cost Summary'!$J$4:$J$198)/10*$I$19</f>
        <v>91000</v>
      </c>
      <c r="K155" s="180">
        <f ca="1">SUMIF('O&amp;M Cost Summary'!$C$4:$C$199,K$63&amp;$C155&amp;$E155,'O&amp;M Cost Summary'!$J$4:$J$198)/10*$I$19</f>
        <v>101000</v>
      </c>
      <c r="L155" s="180">
        <f ca="1">SUMIF('O&amp;M Cost Summary'!$C$4:$C$199,L$63&amp;$C155&amp;$E155,'O&amp;M Cost Summary'!$J$4:$J$198)/10*$I$19</f>
        <v>101000</v>
      </c>
      <c r="M155" s="180">
        <f ca="1">SUMIF('O&amp;M Cost Summary'!$C$4:$C$199,M$63&amp;$C155&amp;$E155,'O&amp;M Cost Summary'!$J$4:$J$198)/10*$I$19</f>
        <v>142000</v>
      </c>
      <c r="N155" s="180">
        <f ca="1">SUMIF('O&amp;M Cost Summary'!$C$4:$C$199,N$63&amp;$C155&amp;$E155,'O&amp;M Cost Summary'!$J$4:$J$198)/10*$I$19</f>
        <v>131000</v>
      </c>
      <c r="O155" s="51">
        <f ca="1">K155</f>
        <v>101000</v>
      </c>
      <c r="P155" s="36" t="s">
        <v>143</v>
      </c>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0"/>
      <c r="AP155" s="50"/>
      <c r="AQ155" s="50"/>
      <c r="AR155" s="50"/>
      <c r="AS155" s="50"/>
      <c r="AT155" s="50"/>
      <c r="AU155" s="50"/>
      <c r="AV155" s="50"/>
      <c r="AW155" s="50"/>
      <c r="AX155" s="50"/>
      <c r="AY155" s="50"/>
      <c r="AZ155" s="50"/>
      <c r="BA155" s="50"/>
      <c r="BB155" s="50"/>
      <c r="BC155" s="50"/>
      <c r="BD155" s="50"/>
      <c r="BE155" s="50"/>
      <c r="BF155" s="50"/>
      <c r="BG155" s="50"/>
      <c r="BH155" s="50"/>
      <c r="BI155" s="50"/>
      <c r="BJ155" s="50"/>
      <c r="BK155" s="50"/>
      <c r="BL155" s="50"/>
      <c r="BM155" s="50"/>
      <c r="BN155" s="50"/>
      <c r="BO155" s="50"/>
      <c r="BP155" s="50"/>
      <c r="BQ155" s="50"/>
      <c r="BR155" s="50"/>
    </row>
    <row r="156" spans="1:70">
      <c r="A156" s="38">
        <v>1</v>
      </c>
      <c r="B156" s="970"/>
      <c r="C156" s="38" t="s">
        <v>263</v>
      </c>
      <c r="D156" s="38" t="str">
        <f t="shared" si="24"/>
        <v>Chem-Fluid Bed Incineration</v>
      </c>
      <c r="E156" s="139" t="s">
        <v>166</v>
      </c>
      <c r="F156" s="37"/>
      <c r="G156" s="43" t="s">
        <v>9</v>
      </c>
      <c r="I156" s="180">
        <f ca="1">SUMIF('O&amp;M Cost Summary'!$C$4:$C$199,I$63&amp;$C156&amp;$E156,'O&amp;M Cost Summary'!$J$4:$J$198)/10*$I$19</f>
        <v>0</v>
      </c>
      <c r="J156" s="180">
        <f ca="1">SUMIF('O&amp;M Cost Summary'!$C$4:$C$199,J$63&amp;$C156&amp;$E156,'O&amp;M Cost Summary'!$J$4:$J$198)/10*$I$19</f>
        <v>0</v>
      </c>
      <c r="K156" s="180">
        <f ca="1">SUMIF('O&amp;M Cost Summary'!$C$4:$C$199,K$63&amp;$C156&amp;$E156,'O&amp;M Cost Summary'!$J$4:$J$198)/10*$I$19</f>
        <v>0</v>
      </c>
      <c r="L156" s="180">
        <f ca="1">SUMIF('O&amp;M Cost Summary'!$C$4:$C$199,L$63&amp;$C156&amp;$E156,'O&amp;M Cost Summary'!$J$4:$J$198)/10*$I$19</f>
        <v>0</v>
      </c>
      <c r="M156" s="180">
        <f ca="1">SUMIF('O&amp;M Cost Summary'!$C$4:$C$199,M$63&amp;$C156&amp;$E156,'O&amp;M Cost Summary'!$J$4:$J$198)/10*$I$19</f>
        <v>28000</v>
      </c>
      <c r="N156" s="180">
        <f ca="1">SUMIF('O&amp;M Cost Summary'!$C$4:$C$199,N$63&amp;$C156&amp;$E156,'O&amp;M Cost Summary'!$J$4:$J$198)/10*$I$19</f>
        <v>0</v>
      </c>
      <c r="O156" s="51">
        <f ca="1">M156</f>
        <v>28000</v>
      </c>
      <c r="P156" s="36" t="s">
        <v>160</v>
      </c>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row>
    <row r="157" spans="1:70">
      <c r="A157" s="38">
        <v>1</v>
      </c>
      <c r="B157" s="970"/>
      <c r="C157" s="38" t="s">
        <v>263</v>
      </c>
      <c r="D157" s="38" t="str">
        <f t="shared" si="24"/>
        <v>Chem-Gravity Belt Thickener</v>
      </c>
      <c r="E157" s="36" t="s">
        <v>135</v>
      </c>
      <c r="F157" s="37"/>
      <c r="G157" s="43" t="s">
        <v>9</v>
      </c>
      <c r="I157" s="180">
        <f ca="1">SUMIF('O&amp;M Cost Summary'!$C$4:$C$199,I$63&amp;$C157&amp;$E157,'O&amp;M Cost Summary'!$J$4:$J$198)/10*$I$19</f>
        <v>28000</v>
      </c>
      <c r="J157" s="180">
        <f ca="1">SUMIF('O&amp;M Cost Summary'!$C$4:$C$199,J$63&amp;$C157&amp;$E157,'O&amp;M Cost Summary'!$J$4:$J$198)/10*$I$19</f>
        <v>28000</v>
      </c>
      <c r="K157" s="180">
        <f ca="1">SUMIF('O&amp;M Cost Summary'!$C$4:$C$199,K$63&amp;$C157&amp;$E157,'O&amp;M Cost Summary'!$J$4:$J$198)/10*$I$19</f>
        <v>30000</v>
      </c>
      <c r="L157" s="180">
        <f ca="1">SUMIF('O&amp;M Cost Summary'!$C$4:$C$199,L$63&amp;$C157&amp;$E157,'O&amp;M Cost Summary'!$J$4:$J$198)/10*$I$19</f>
        <v>30000</v>
      </c>
      <c r="M157" s="180">
        <f ca="1">SUMIF('O&amp;M Cost Summary'!$C$4:$C$199,M$63&amp;$C157&amp;$E157,'O&amp;M Cost Summary'!$J$4:$J$198)/10*$I$19</f>
        <v>25000</v>
      </c>
      <c r="N157" s="180">
        <f ca="1">SUMIF('O&amp;M Cost Summary'!$C$4:$C$199,N$63&amp;$C157&amp;$E157,'O&amp;M Cost Summary'!$J$4:$J$198)/10*$I$19</f>
        <v>25000</v>
      </c>
      <c r="O157" s="51">
        <f ca="1">K157</f>
        <v>30000</v>
      </c>
      <c r="P157" s="36" t="s">
        <v>135</v>
      </c>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0"/>
      <c r="AP157" s="50"/>
      <c r="AQ157" s="50"/>
      <c r="AR157" s="50"/>
      <c r="AS157" s="50"/>
      <c r="AT157" s="50"/>
      <c r="AU157" s="50"/>
      <c r="AV157" s="50"/>
      <c r="AW157" s="50"/>
      <c r="AX157" s="50"/>
      <c r="AY157" s="50"/>
      <c r="AZ157" s="50"/>
      <c r="BA157" s="50"/>
      <c r="BB157" s="50"/>
      <c r="BC157" s="50"/>
      <c r="BD157" s="50"/>
      <c r="BE157" s="50"/>
      <c r="BF157" s="50"/>
      <c r="BG157" s="50"/>
      <c r="BH157" s="50"/>
      <c r="BI157" s="50"/>
      <c r="BJ157" s="50"/>
      <c r="BK157" s="50"/>
      <c r="BL157" s="50"/>
      <c r="BM157" s="50"/>
      <c r="BN157" s="50"/>
      <c r="BO157" s="50"/>
      <c r="BP157" s="50"/>
      <c r="BQ157" s="50"/>
      <c r="BR157" s="50"/>
    </row>
    <row r="158" spans="1:70">
      <c r="A158" s="38">
        <v>1</v>
      </c>
      <c r="B158" s="970"/>
      <c r="C158" s="38" t="s">
        <v>263</v>
      </c>
      <c r="D158" s="38" t="str">
        <f t="shared" si="24"/>
        <v>Chem-General O&amp;M</v>
      </c>
      <c r="E158" s="139" t="s">
        <v>204</v>
      </c>
      <c r="F158" s="37"/>
      <c r="G158" s="43" t="s">
        <v>9</v>
      </c>
      <c r="I158" s="180">
        <f ca="1">SUMIF('O&amp;M Cost Summary'!$C$4:$C$199,I$63&amp;$C158&amp;$E158,'O&amp;M Cost Summary'!$J$4:$J$198)/10*$I$19</f>
        <v>120000</v>
      </c>
      <c r="J158" s="180">
        <f ca="1">SUMIF('O&amp;M Cost Summary'!$C$4:$C$199,J$63&amp;$C158&amp;$E158,'O&amp;M Cost Summary'!$J$4:$J$198)/10*$I$19</f>
        <v>120000</v>
      </c>
      <c r="K158" s="180">
        <f ca="1">SUMIF('O&amp;M Cost Summary'!$C$4:$C$199,K$63&amp;$C158&amp;$E158,'O&amp;M Cost Summary'!$J$4:$J$198)/10*$I$19</f>
        <v>132000</v>
      </c>
      <c r="L158" s="180">
        <f ca="1">SUMIF('O&amp;M Cost Summary'!$C$4:$C$199,L$63&amp;$C158&amp;$E158,'O&amp;M Cost Summary'!$J$4:$J$198)/10*$I$19</f>
        <v>132000</v>
      </c>
      <c r="M158" s="180">
        <f ca="1">SUMIF('O&amp;M Cost Summary'!$C$4:$C$199,M$63&amp;$C158&amp;$E158,'O&amp;M Cost Summary'!$J$4:$J$198)/10*$I$19</f>
        <v>127000</v>
      </c>
      <c r="N158" s="180">
        <f ca="1">SUMIF('O&amp;M Cost Summary'!$C$4:$C$199,N$63&amp;$C158&amp;$E158,'O&amp;M Cost Summary'!$J$4:$J$198)/10*$I$19</f>
        <v>0</v>
      </c>
      <c r="O158" s="51">
        <f ca="1">K158</f>
        <v>132000</v>
      </c>
      <c r="P158" s="36" t="s">
        <v>308</v>
      </c>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50"/>
      <c r="BL158" s="50"/>
      <c r="BM158" s="50"/>
      <c r="BN158" s="50"/>
      <c r="BO158" s="50"/>
      <c r="BP158" s="50"/>
      <c r="BQ158" s="50"/>
      <c r="BR158" s="50"/>
    </row>
    <row r="159" spans="1:70">
      <c r="A159" s="38">
        <v>1</v>
      </c>
      <c r="B159" s="970"/>
      <c r="C159" s="38" t="s">
        <v>263</v>
      </c>
      <c r="D159" s="38" t="str">
        <f t="shared" si="24"/>
        <v xml:space="preserve">Chem-Pre-Dewatering </v>
      </c>
      <c r="E159" s="36" t="s">
        <v>163</v>
      </c>
      <c r="F159" s="37"/>
      <c r="G159" s="43" t="s">
        <v>9</v>
      </c>
      <c r="I159" s="180">
        <f ca="1">SUMIF('O&amp;M Cost Summary'!$C$4:$C$199,I$63&amp;$C159&amp;$E159,'O&amp;M Cost Summary'!$J$4:$J$198)/10*$I$19</f>
        <v>108000</v>
      </c>
      <c r="J159" s="180">
        <f ca="1">SUMIF('O&amp;M Cost Summary'!$C$4:$C$199,J$63&amp;$C159&amp;$E159,'O&amp;M Cost Summary'!$J$4:$J$198)/10*$I$19</f>
        <v>108000</v>
      </c>
      <c r="K159" s="180">
        <f ca="1">SUMIF('O&amp;M Cost Summary'!$C$4:$C$199,K$63&amp;$C159&amp;$E159,'O&amp;M Cost Summary'!$J$4:$J$198)/10*$I$19</f>
        <v>0</v>
      </c>
      <c r="L159" s="180">
        <f ca="1">SUMIF('O&amp;M Cost Summary'!$C$4:$C$199,L$63&amp;$C159&amp;$E159,'O&amp;M Cost Summary'!$J$4:$J$198)/10*$I$19</f>
        <v>0</v>
      </c>
      <c r="M159" s="180">
        <f ca="1">SUMIF('O&amp;M Cost Summary'!$C$4:$C$199,M$63&amp;$C159&amp;$E159,'O&amp;M Cost Summary'!$J$4:$J$198)/10*$I$19</f>
        <v>0</v>
      </c>
      <c r="N159" s="180">
        <f ca="1">SUMIF('O&amp;M Cost Summary'!$C$4:$C$199,N$63&amp;$C159&amp;$E159,'O&amp;M Cost Summary'!$J$4:$J$198)/10*$I$19</f>
        <v>0</v>
      </c>
      <c r="O159" s="51">
        <f ca="1">I159</f>
        <v>108000</v>
      </c>
      <c r="P159" s="36" t="s">
        <v>163</v>
      </c>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0"/>
      <c r="AP159" s="50"/>
      <c r="AQ159" s="50"/>
      <c r="AR159" s="50"/>
      <c r="AS159" s="50"/>
      <c r="AT159" s="50"/>
      <c r="AU159" s="50"/>
      <c r="AV159" s="50"/>
      <c r="AW159" s="50"/>
      <c r="AX159" s="50"/>
      <c r="AY159" s="50"/>
      <c r="AZ159" s="50"/>
      <c r="BA159" s="50"/>
      <c r="BB159" s="50"/>
      <c r="BC159" s="50"/>
      <c r="BD159" s="50"/>
      <c r="BE159" s="50"/>
      <c r="BF159" s="50"/>
      <c r="BG159" s="50"/>
      <c r="BH159" s="50"/>
      <c r="BI159" s="50"/>
      <c r="BJ159" s="50"/>
      <c r="BK159" s="50"/>
      <c r="BL159" s="50"/>
      <c r="BM159" s="50"/>
      <c r="BN159" s="50"/>
      <c r="BO159" s="50"/>
      <c r="BP159" s="50"/>
      <c r="BQ159" s="50"/>
      <c r="BR159" s="50"/>
    </row>
    <row r="160" spans="1:70">
      <c r="A160" s="38">
        <v>1</v>
      </c>
      <c r="B160" s="970"/>
      <c r="C160" s="38" t="s">
        <v>263</v>
      </c>
      <c r="D160" s="38" t="str">
        <f t="shared" si="24"/>
        <v>Chem-Pre-Treatment (CAMBI)</v>
      </c>
      <c r="E160" s="36" t="s">
        <v>138</v>
      </c>
      <c r="F160" s="37"/>
      <c r="G160" s="43" t="s">
        <v>9</v>
      </c>
      <c r="I160" s="180">
        <f ca="1">SUMIF('O&amp;M Cost Summary'!$C$4:$C$199,I$63&amp;$C160&amp;$E160,'O&amp;M Cost Summary'!$J$4:$J$198)/10*$I$19</f>
        <v>12000</v>
      </c>
      <c r="J160" s="180">
        <f ca="1">SUMIF('O&amp;M Cost Summary'!$C$4:$C$199,J$63&amp;$C160&amp;$E160,'O&amp;M Cost Summary'!$J$4:$J$198)/10*$I$19</f>
        <v>12000</v>
      </c>
      <c r="K160" s="180">
        <f ca="1">SUMIF('O&amp;M Cost Summary'!$C$4:$C$199,K$63&amp;$C160&amp;$E160,'O&amp;M Cost Summary'!$J$4:$J$198)/10*$I$19</f>
        <v>0</v>
      </c>
      <c r="L160" s="180">
        <f ca="1">SUMIF('O&amp;M Cost Summary'!$C$4:$C$199,L$63&amp;$C160&amp;$E160,'O&amp;M Cost Summary'!$J$4:$J$198)/10*$I$19</f>
        <v>0</v>
      </c>
      <c r="M160" s="180">
        <f ca="1">SUMIF('O&amp;M Cost Summary'!$C$4:$C$199,M$63&amp;$C160&amp;$E160,'O&amp;M Cost Summary'!$J$4:$J$198)/10*$I$19</f>
        <v>0</v>
      </c>
      <c r="N160" s="180">
        <f ca="1">SUMIF('O&amp;M Cost Summary'!$C$4:$C$199,N$63&amp;$C160&amp;$E160,'O&amp;M Cost Summary'!$J$4:$J$198)/10*$I$19</f>
        <v>0</v>
      </c>
      <c r="O160" s="51">
        <f ca="1">I160</f>
        <v>12000</v>
      </c>
      <c r="P160" s="36" t="s">
        <v>138</v>
      </c>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0"/>
      <c r="AP160" s="50"/>
      <c r="AQ160" s="50"/>
      <c r="AR160" s="50"/>
      <c r="AS160" s="50"/>
      <c r="AT160" s="50"/>
      <c r="AU160" s="50"/>
      <c r="AV160" s="50"/>
      <c r="AW160" s="50"/>
      <c r="AX160" s="50"/>
      <c r="AY160" s="50"/>
      <c r="AZ160" s="50"/>
      <c r="BA160" s="50"/>
      <c r="BB160" s="50"/>
      <c r="BC160" s="50"/>
      <c r="BD160" s="50"/>
      <c r="BE160" s="50"/>
      <c r="BF160" s="50"/>
      <c r="BG160" s="50"/>
      <c r="BH160" s="50"/>
      <c r="BI160" s="50"/>
      <c r="BJ160" s="50"/>
      <c r="BK160" s="50"/>
      <c r="BL160" s="50"/>
      <c r="BM160" s="50"/>
      <c r="BN160" s="50"/>
      <c r="BO160" s="50"/>
      <c r="BP160" s="50"/>
      <c r="BQ160" s="50"/>
      <c r="BR160" s="50"/>
    </row>
    <row r="161" spans="1:70" s="60" customFormat="1">
      <c r="A161" s="38">
        <v>1</v>
      </c>
      <c r="B161" s="970"/>
      <c r="E161" s="173" t="s">
        <v>281</v>
      </c>
      <c r="F161" s="182"/>
      <c r="G161" s="174"/>
      <c r="I161" s="181">
        <f ca="1">SUM(I155:I160)</f>
        <v>359000</v>
      </c>
      <c r="J161" s="181">
        <f t="shared" ref="J161:O161" ca="1" si="25">SUM(J155:J160)</f>
        <v>359000</v>
      </c>
      <c r="K161" s="181">
        <f t="shared" ca="1" si="25"/>
        <v>263000</v>
      </c>
      <c r="L161" s="181">
        <f t="shared" ca="1" si="25"/>
        <v>263000</v>
      </c>
      <c r="M161" s="181">
        <f t="shared" ca="1" si="25"/>
        <v>322000</v>
      </c>
      <c r="N161" s="181">
        <f t="shared" ca="1" si="25"/>
        <v>156000</v>
      </c>
      <c r="O161" s="181">
        <f t="shared" ca="1" si="25"/>
        <v>411000</v>
      </c>
      <c r="P161" s="36"/>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row>
    <row r="162" spans="1:70">
      <c r="A162" s="38">
        <v>1</v>
      </c>
      <c r="B162" s="970"/>
      <c r="E162" s="325" t="s">
        <v>529</v>
      </c>
      <c r="F162" s="325"/>
      <c r="G162" s="325" t="s">
        <v>79</v>
      </c>
      <c r="H162" s="325"/>
      <c r="I162" s="325" t="s">
        <v>173</v>
      </c>
      <c r="J162" s="325" t="s">
        <v>171</v>
      </c>
      <c r="K162" s="325" t="s">
        <v>174</v>
      </c>
      <c r="L162" s="325" t="s">
        <v>172</v>
      </c>
      <c r="M162" s="325" t="s">
        <v>621</v>
      </c>
      <c r="N162" s="325" t="s">
        <v>622</v>
      </c>
      <c r="O162" s="325" t="s">
        <v>527</v>
      </c>
      <c r="P162" s="325" t="s">
        <v>307</v>
      </c>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50"/>
      <c r="AR162" s="50"/>
      <c r="AS162" s="50"/>
      <c r="AT162" s="50"/>
      <c r="AU162" s="50"/>
      <c r="AV162" s="50"/>
      <c r="AW162" s="50"/>
      <c r="AX162" s="50"/>
      <c r="AY162" s="50"/>
      <c r="AZ162" s="50"/>
      <c r="BA162" s="50"/>
      <c r="BB162" s="50"/>
      <c r="BC162" s="50"/>
      <c r="BD162" s="50"/>
      <c r="BE162" s="50"/>
      <c r="BF162" s="50"/>
      <c r="BG162" s="50"/>
      <c r="BH162" s="50"/>
      <c r="BI162" s="50"/>
      <c r="BJ162" s="50"/>
      <c r="BK162" s="50"/>
      <c r="BL162" s="50"/>
      <c r="BM162" s="50"/>
      <c r="BN162" s="50"/>
      <c r="BO162" s="50"/>
      <c r="BP162" s="50"/>
      <c r="BQ162" s="50"/>
      <c r="BR162" s="50"/>
    </row>
    <row r="163" spans="1:70">
      <c r="A163" s="38">
        <v>1</v>
      </c>
      <c r="B163" s="970"/>
      <c r="E163" s="39" t="s">
        <v>276</v>
      </c>
      <c r="F163" s="37"/>
      <c r="G163" s="43"/>
      <c r="I163" s="43"/>
      <c r="J163" s="43"/>
      <c r="K163" s="43"/>
      <c r="L163" s="43"/>
      <c r="M163" s="43"/>
      <c r="N163" s="43"/>
      <c r="O163" s="51"/>
      <c r="P163" s="36"/>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row>
    <row r="164" spans="1:70">
      <c r="A164" s="38">
        <v>1</v>
      </c>
      <c r="B164" s="970"/>
      <c r="C164" s="38" t="s">
        <v>277</v>
      </c>
      <c r="D164" s="38" t="str">
        <f t="shared" ref="D164:D171" si="26">C164&amp;P164</f>
        <v>Dispo-Ash Conveyance &amp; Storage</v>
      </c>
      <c r="E164" s="36" t="s">
        <v>104</v>
      </c>
      <c r="F164" s="37"/>
      <c r="G164" s="43" t="s">
        <v>9</v>
      </c>
      <c r="I164" s="180">
        <f ca="1">SUMIF('O&amp;M Cost Summary'!$C$4:$C$199,I$63&amp;$C164&amp;$E164,'O&amp;M Cost Summary'!$J$4:$J$198)/10*$I$19</f>
        <v>0</v>
      </c>
      <c r="J164" s="180">
        <f ca="1">SUMIF('O&amp;M Cost Summary'!$C$4:$C$199,J$63&amp;$C164&amp;$E164,'O&amp;M Cost Summary'!$J$4:$J$198)/10*$I$19</f>
        <v>0</v>
      </c>
      <c r="K164" s="180">
        <f ca="1">SUMIF('O&amp;M Cost Summary'!$C$4:$C$199,K$63&amp;$C164&amp;$E164,'O&amp;M Cost Summary'!$J$4:$J$198)/10*$I$19</f>
        <v>0</v>
      </c>
      <c r="L164" s="180">
        <f ca="1">SUMIF('O&amp;M Cost Summary'!$C$4:$C$199,L$63&amp;$C164&amp;$E164,'O&amp;M Cost Summary'!$J$4:$J$198)/10*$I$19</f>
        <v>0</v>
      </c>
      <c r="M164" s="180">
        <f ca="1">SUMIF('O&amp;M Cost Summary'!$C$4:$C$199,M$63&amp;$C164&amp;$E164,'O&amp;M Cost Summary'!$J$4:$J$198)/10*$I$19</f>
        <v>29000</v>
      </c>
      <c r="N164" s="180">
        <f ca="1">SUMIF('O&amp;M Cost Summary'!$C$4:$C$199,N$63&amp;$C164&amp;$E164,'O&amp;M Cost Summary'!$J$4:$J$198)/10*$I$19</f>
        <v>35000</v>
      </c>
      <c r="O164" s="51">
        <f ca="1">M164</f>
        <v>29000</v>
      </c>
      <c r="P164" s="36" t="s">
        <v>153</v>
      </c>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0"/>
      <c r="AP164" s="50"/>
      <c r="AQ164" s="50"/>
      <c r="AR164" s="50"/>
      <c r="AS164" s="50"/>
      <c r="AT164" s="50"/>
      <c r="AU164" s="50"/>
      <c r="AV164" s="50"/>
      <c r="AW164" s="50"/>
      <c r="AX164" s="50"/>
      <c r="AY164" s="50"/>
      <c r="AZ164" s="50"/>
      <c r="BA164" s="50"/>
      <c r="BB164" s="50"/>
      <c r="BC164" s="50"/>
      <c r="BD164" s="50"/>
      <c r="BE164" s="50"/>
      <c r="BF164" s="50"/>
      <c r="BG164" s="50"/>
      <c r="BH164" s="50"/>
      <c r="BI164" s="50"/>
      <c r="BJ164" s="50"/>
      <c r="BK164" s="50"/>
      <c r="BL164" s="50"/>
      <c r="BM164" s="50"/>
      <c r="BN164" s="50"/>
      <c r="BO164" s="50"/>
      <c r="BP164" s="50"/>
      <c r="BQ164" s="50"/>
      <c r="BR164" s="50"/>
    </row>
    <row r="165" spans="1:70">
      <c r="A165" s="38">
        <v>1</v>
      </c>
      <c r="B165" s="970"/>
      <c r="C165" s="38" t="s">
        <v>277</v>
      </c>
      <c r="D165" s="38" t="str">
        <f t="shared" si="26"/>
        <v>Dispo-Ash Conveyance &amp; Storage</v>
      </c>
      <c r="E165" s="36" t="s">
        <v>106</v>
      </c>
      <c r="F165" s="37"/>
      <c r="G165" s="43" t="s">
        <v>9</v>
      </c>
      <c r="I165" s="180">
        <f ca="1">SUMIF('O&amp;M Cost Summary'!$C$4:$C$199,I$63&amp;$C165&amp;$E165,'O&amp;M Cost Summary'!$J$4:$J$198)/10*$I$19</f>
        <v>0</v>
      </c>
      <c r="J165" s="180">
        <f ca="1">SUMIF('O&amp;M Cost Summary'!$C$4:$C$199,J$63&amp;$C165&amp;$E165,'O&amp;M Cost Summary'!$J$4:$J$198)/10*$I$19</f>
        <v>0</v>
      </c>
      <c r="K165" s="180">
        <f ca="1">SUMIF('O&amp;M Cost Summary'!$C$4:$C$199,K$63&amp;$C165&amp;$E165,'O&amp;M Cost Summary'!$J$4:$J$198)/10*$I$19</f>
        <v>0</v>
      </c>
      <c r="L165" s="180">
        <f ca="1">SUMIF('O&amp;M Cost Summary'!$C$4:$C$199,L$63&amp;$C165&amp;$E165,'O&amp;M Cost Summary'!$J$4:$J$198)/10*$I$19</f>
        <v>0</v>
      </c>
      <c r="M165" s="180">
        <f ca="1">SUMIF('O&amp;M Cost Summary'!$C$4:$C$199,M$63&amp;$C165&amp;$E165,'O&amp;M Cost Summary'!$J$4:$J$198)/10*$I$19</f>
        <v>71000</v>
      </c>
      <c r="N165" s="180">
        <f ca="1">SUMIF('O&amp;M Cost Summary'!$C$4:$C$199,N$63&amp;$C165&amp;$E165,'O&amp;M Cost Summary'!$J$4:$J$198)/10*$I$19</f>
        <v>87000</v>
      </c>
      <c r="O165" s="51">
        <f ca="1">M165</f>
        <v>71000</v>
      </c>
      <c r="P165" s="36" t="s">
        <v>153</v>
      </c>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50"/>
      <c r="BL165" s="50"/>
      <c r="BM165" s="50"/>
      <c r="BN165" s="50"/>
      <c r="BO165" s="50"/>
      <c r="BP165" s="50"/>
      <c r="BQ165" s="50"/>
      <c r="BR165" s="50"/>
    </row>
    <row r="166" spans="1:70">
      <c r="A166" s="38">
        <v>1</v>
      </c>
      <c r="B166" s="970"/>
      <c r="C166" s="38" t="s">
        <v>277</v>
      </c>
      <c r="D166" s="38" t="str">
        <f t="shared" ref="D166" si="27">C166&amp;P166</f>
        <v>Dispo-Fluid Bed Incineration</v>
      </c>
      <c r="E166" s="36" t="s">
        <v>402</v>
      </c>
      <c r="F166" s="37"/>
      <c r="G166" s="43" t="s">
        <v>9</v>
      </c>
      <c r="I166" s="180">
        <f ca="1">SUMIF('O&amp;M Cost Summary'!$C$4:$C$199,I$63&amp;$C166&amp;$E166,'O&amp;M Cost Summary'!$J$4:$J$198)/10*$I$19</f>
        <v>0</v>
      </c>
      <c r="J166" s="180">
        <f ca="1">SUMIF('O&amp;M Cost Summary'!$C$4:$C$199,J$63&amp;$C166&amp;$E166,'O&amp;M Cost Summary'!$J$4:$J$198)/10*$I$19</f>
        <v>0</v>
      </c>
      <c r="K166" s="180">
        <f ca="1">SUMIF('O&amp;M Cost Summary'!$C$4:$C$199,K$63&amp;$C166&amp;$E166,'O&amp;M Cost Summary'!$J$4:$J$198)/10*$I$19</f>
        <v>0</v>
      </c>
      <c r="L166" s="180">
        <f ca="1">SUMIF('O&amp;M Cost Summary'!$C$4:$C$199,L$63&amp;$C166&amp;$E166,'O&amp;M Cost Summary'!$J$4:$J$198)/10*$I$19</f>
        <v>0</v>
      </c>
      <c r="M166" s="180">
        <f ca="1">SUMIF('O&amp;M Cost Summary'!$C$4:$C$199,M$63&amp;$C166&amp;$E166,'O&amp;M Cost Summary'!$J$4:$J$198)/10*$I$19</f>
        <v>246000</v>
      </c>
      <c r="N166" s="180">
        <f ca="1">SUMIF('O&amp;M Cost Summary'!$C$4:$C$199,N$63&amp;$C166&amp;$E166,'O&amp;M Cost Summary'!$J$4:$J$198)/10*$I$19</f>
        <v>0</v>
      </c>
      <c r="O166" s="51">
        <f ca="1">M166</f>
        <v>246000</v>
      </c>
      <c r="P166" s="36" t="s">
        <v>160</v>
      </c>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50"/>
      <c r="BL166" s="50"/>
      <c r="BM166" s="50"/>
      <c r="BN166" s="50"/>
      <c r="BO166" s="50"/>
      <c r="BP166" s="50"/>
      <c r="BQ166" s="50"/>
      <c r="BR166" s="50"/>
    </row>
    <row r="167" spans="1:70">
      <c r="A167" s="38">
        <v>1</v>
      </c>
      <c r="B167" s="970"/>
      <c r="C167" s="38" t="s">
        <v>277</v>
      </c>
      <c r="D167" s="38" t="str">
        <f t="shared" ref="D167" si="28">C167&amp;P167</f>
        <v>Dispo-Fluid Bed Incineration</v>
      </c>
      <c r="E167" s="36" t="s">
        <v>684</v>
      </c>
      <c r="F167" s="37"/>
      <c r="G167" s="43" t="s">
        <v>9</v>
      </c>
      <c r="I167" s="180">
        <f ca="1">SUMIF('O&amp;M Cost Summary'!$C$4:$C$199,I$63&amp;$C167&amp;$E167,'O&amp;M Cost Summary'!$J$4:$J$198)/10*$I$19</f>
        <v>0</v>
      </c>
      <c r="J167" s="180">
        <f ca="1">SUMIF('O&amp;M Cost Summary'!$C$4:$C$199,J$63&amp;$C167&amp;$E167,'O&amp;M Cost Summary'!$J$4:$J$198)/10*$I$19</f>
        <v>0</v>
      </c>
      <c r="K167" s="180">
        <f ca="1">SUMIF('O&amp;M Cost Summary'!$C$4:$C$199,K$63&amp;$C167&amp;$E167,'O&amp;M Cost Summary'!$J$4:$J$198)/10*$I$19</f>
        <v>0</v>
      </c>
      <c r="L167" s="180">
        <f ca="1">SUMIF('O&amp;M Cost Summary'!$C$4:$C$199,L$63&amp;$C167&amp;$E167,'O&amp;M Cost Summary'!$J$4:$J$198)/10*$I$19</f>
        <v>0</v>
      </c>
      <c r="M167" s="180">
        <f ca="1">SUMIF('O&amp;M Cost Summary'!$C$4:$C$199,M$63&amp;$C167&amp;$E167,'O&amp;M Cost Summary'!$J$4:$J$198)/10*$I$19</f>
        <v>1000</v>
      </c>
      <c r="N167" s="180">
        <f ca="1">SUMIF('O&amp;M Cost Summary'!$C$4:$C$199,N$63&amp;$C167&amp;$E167,'O&amp;M Cost Summary'!$J$4:$J$198)/10*$I$19</f>
        <v>0</v>
      </c>
      <c r="O167" s="51">
        <f ca="1">M167</f>
        <v>1000</v>
      </c>
      <c r="P167" s="36" t="s">
        <v>160</v>
      </c>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50"/>
      <c r="BL167" s="50"/>
      <c r="BM167" s="50"/>
      <c r="BN167" s="50"/>
      <c r="BO167" s="50"/>
      <c r="BP167" s="50"/>
      <c r="BQ167" s="50"/>
      <c r="BR167" s="50"/>
    </row>
    <row r="168" spans="1:70">
      <c r="A168" s="38">
        <v>1</v>
      </c>
      <c r="B168" s="970"/>
      <c r="C168" s="38" t="s">
        <v>277</v>
      </c>
      <c r="D168" s="38" t="str">
        <f t="shared" si="26"/>
        <v>Dispo-Gas Cleaning</v>
      </c>
      <c r="E168" s="36" t="s">
        <v>215</v>
      </c>
      <c r="F168" s="37"/>
      <c r="G168" s="43" t="s">
        <v>9</v>
      </c>
      <c r="I168" s="180">
        <f ca="1">SUMIF('O&amp;M Cost Summary'!$C$4:$C$199,I$63&amp;$C168&amp;$E168,'O&amp;M Cost Summary'!$J$4:$J$198)/10*$I$19</f>
        <v>30000</v>
      </c>
      <c r="J168" s="180">
        <f ca="1">SUMIF('O&amp;M Cost Summary'!$C$4:$C$199,J$63&amp;$C168&amp;$E168,'O&amp;M Cost Summary'!$J$4:$J$198)/10*$I$19</f>
        <v>30000</v>
      </c>
      <c r="K168" s="180">
        <f ca="1">SUMIF('O&amp;M Cost Summary'!$C$4:$C$199,K$63&amp;$C168&amp;$E168,'O&amp;M Cost Summary'!$J$4:$J$198)/10*$I$19</f>
        <v>0</v>
      </c>
      <c r="L168" s="180">
        <f ca="1">SUMIF('O&amp;M Cost Summary'!$C$4:$C$199,L$63&amp;$C168&amp;$E168,'O&amp;M Cost Summary'!$J$4:$J$198)/10*$I$19</f>
        <v>0</v>
      </c>
      <c r="M168" s="180">
        <f ca="1">SUMIF('O&amp;M Cost Summary'!$C$4:$C$199,M$63&amp;$C168&amp;$E168,'O&amp;M Cost Summary'!$J$4:$J$198)/10*$I$19</f>
        <v>0</v>
      </c>
      <c r="N168" s="180">
        <f ca="1">SUMIF('O&amp;M Cost Summary'!$C$4:$C$199,N$63&amp;$C168&amp;$E168,'O&amp;M Cost Summary'!$J$4:$J$198)/10*$I$19</f>
        <v>0</v>
      </c>
      <c r="O168" s="51">
        <f ca="1">I168</f>
        <v>30000</v>
      </c>
      <c r="P168" s="36" t="s">
        <v>162</v>
      </c>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0"/>
      <c r="AP168" s="50"/>
      <c r="AQ168" s="50"/>
      <c r="AR168" s="50"/>
      <c r="AS168" s="50"/>
      <c r="AT168" s="50"/>
      <c r="AU168" s="50"/>
      <c r="AV168" s="50"/>
      <c r="AW168" s="50"/>
      <c r="AX168" s="50"/>
      <c r="AY168" s="50"/>
      <c r="AZ168" s="50"/>
      <c r="BA168" s="50"/>
      <c r="BB168" s="50"/>
      <c r="BC168" s="50"/>
      <c r="BD168" s="50"/>
      <c r="BE168" s="50"/>
      <c r="BF168" s="50"/>
      <c r="BG168" s="50"/>
      <c r="BH168" s="50"/>
      <c r="BI168" s="50"/>
      <c r="BJ168" s="50"/>
      <c r="BK168" s="50"/>
      <c r="BL168" s="50"/>
      <c r="BM168" s="50"/>
      <c r="BN168" s="50"/>
      <c r="BO168" s="50"/>
      <c r="BP168" s="50"/>
      <c r="BQ168" s="50"/>
      <c r="BR168" s="50"/>
    </row>
    <row r="169" spans="1:70">
      <c r="A169" s="38">
        <v>1</v>
      </c>
      <c r="B169" s="970"/>
      <c r="C169" s="38" t="s">
        <v>277</v>
      </c>
      <c r="D169" s="38" t="str">
        <f t="shared" si="26"/>
        <v>Dispo-Land Application</v>
      </c>
      <c r="E169" s="36" t="s">
        <v>217</v>
      </c>
      <c r="F169" s="37"/>
      <c r="G169" s="43" t="s">
        <v>9</v>
      </c>
      <c r="I169" s="180">
        <f ca="1">SUMIF('O&amp;M Cost Summary'!$C$4:$C$199,I$63&amp;$C169&amp;$E169,'O&amp;M Cost Summary'!$J$4:$J$198)/10*$I$19</f>
        <v>163000</v>
      </c>
      <c r="J169" s="180">
        <v>0</v>
      </c>
      <c r="K169" s="180">
        <f ca="1">SUMIF('O&amp;M Cost Summary'!$C$4:$C$199,K$63&amp;$C169&amp;$E169,'O&amp;M Cost Summary'!$J$4:$J$198)/10*$I$19</f>
        <v>447000</v>
      </c>
      <c r="L169" s="180">
        <v>0</v>
      </c>
      <c r="M169" s="180">
        <f ca="1">SUMIF('O&amp;M Cost Summary'!$C$4:$C$199,M$63&amp;$C169&amp;$E169,'O&amp;M Cost Summary'!$J$4:$J$198)/10*$I$19</f>
        <v>0</v>
      </c>
      <c r="N169" s="180">
        <f ca="1">SUMIF('O&amp;M Cost Summary'!$C$4:$C$199,N$63&amp;$C169&amp;$E169,'O&amp;M Cost Summary'!$J$4:$J$198)/10*$I$19</f>
        <v>0</v>
      </c>
      <c r="O169" s="51">
        <f ca="1">K169</f>
        <v>447000</v>
      </c>
      <c r="P169" s="36" t="s">
        <v>309</v>
      </c>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c r="BO169" s="50"/>
      <c r="BP169" s="50"/>
      <c r="BQ169" s="50"/>
      <c r="BR169" s="50"/>
    </row>
    <row r="170" spans="1:70">
      <c r="A170" s="38">
        <v>1</v>
      </c>
      <c r="B170" s="970"/>
      <c r="C170" s="38" t="s">
        <v>277</v>
      </c>
      <c r="D170" s="38" t="str">
        <f t="shared" si="26"/>
        <v>Dispo-Land Disposal</v>
      </c>
      <c r="E170" s="36" t="s">
        <v>220</v>
      </c>
      <c r="F170" s="37"/>
      <c r="G170" s="43" t="s">
        <v>9</v>
      </c>
      <c r="I170" s="180">
        <v>0</v>
      </c>
      <c r="J170" s="180">
        <f ca="1">SUMIF('O&amp;M Cost Summary'!$C$4:$C$199,J$63&amp;$C170&amp;$E170,'O&amp;M Cost Summary'!$J$4:$J$198)/10*$I$19</f>
        <v>293000</v>
      </c>
      <c r="K170" s="180">
        <v>0</v>
      </c>
      <c r="L170" s="180">
        <f ca="1">SUMIF('O&amp;M Cost Summary'!$C$4:$C$199,L$63&amp;$C170&amp;$E170,'O&amp;M Cost Summary'!$J$4:$J$198)/10*$I$19</f>
        <v>575000</v>
      </c>
      <c r="M170" s="180">
        <f ca="1">SUMIF('O&amp;M Cost Summary'!$C$4:$C$199,M$63&amp;$C170&amp;$E170,'O&amp;M Cost Summary'!$J$4:$J$198)/10*$I$19</f>
        <v>0</v>
      </c>
      <c r="N170" s="180">
        <f ca="1">SUMIF('O&amp;M Cost Summary'!$C$4:$C$199,N$63&amp;$C170&amp;$E170,'O&amp;M Cost Summary'!$J$4:$J$198)/10*$I$19</f>
        <v>0</v>
      </c>
      <c r="O170" s="51">
        <f ca="1">J170</f>
        <v>293000</v>
      </c>
      <c r="P170" s="36" t="s">
        <v>311</v>
      </c>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50"/>
      <c r="BL170" s="50"/>
      <c r="BM170" s="50"/>
      <c r="BN170" s="50"/>
      <c r="BO170" s="50"/>
      <c r="BP170" s="50"/>
      <c r="BQ170" s="50"/>
      <c r="BR170" s="50"/>
    </row>
    <row r="171" spans="1:70">
      <c r="A171" s="38">
        <v>1</v>
      </c>
      <c r="B171" s="970"/>
      <c r="C171" s="38" t="s">
        <v>277</v>
      </c>
      <c r="D171" s="38" t="str">
        <f t="shared" si="26"/>
        <v>Dispo-Gas Cleaning</v>
      </c>
      <c r="E171" s="36" t="s">
        <v>130</v>
      </c>
      <c r="F171" s="37"/>
      <c r="G171" s="43" t="s">
        <v>9</v>
      </c>
      <c r="I171" s="180">
        <f ca="1">SUMIF('O&amp;M Cost Summary'!$C$4:$C$199,I$63&amp;$C171&amp;$E171,'O&amp;M Cost Summary'!$J$4:$J$198)/10*$I$19</f>
        <v>0</v>
      </c>
      <c r="J171" s="180">
        <f ca="1">SUMIF('O&amp;M Cost Summary'!$C$4:$C$199,J$63&amp;$C171&amp;$E171,'O&amp;M Cost Summary'!$J$4:$J$198)/10*$I$19</f>
        <v>0</v>
      </c>
      <c r="K171" s="180">
        <f ca="1">SUMIF('O&amp;M Cost Summary'!$C$4:$C$199,K$63&amp;$C171&amp;$E171,'O&amp;M Cost Summary'!$J$4:$J$198)/10*$I$19</f>
        <v>30000</v>
      </c>
      <c r="L171" s="180">
        <f ca="1">SUMIF('O&amp;M Cost Summary'!$C$4:$C$199,L$63&amp;$C171&amp;$E171,'O&amp;M Cost Summary'!$J$4:$J$198)/10*$I$19</f>
        <v>30000</v>
      </c>
      <c r="M171" s="180">
        <f ca="1">SUMIF('O&amp;M Cost Summary'!$C$4:$C$199,M$63&amp;$C171&amp;$E171,'O&amp;M Cost Summary'!$J$4:$J$198)/10*$I$19</f>
        <v>0</v>
      </c>
      <c r="N171" s="180">
        <f ca="1">SUMIF('O&amp;M Cost Summary'!$C$4:$C$199,N$63&amp;$C171&amp;$E171,'O&amp;M Cost Summary'!$J$4:$J$198)/10*$I$19</f>
        <v>0</v>
      </c>
      <c r="O171" s="51">
        <f ca="1">K171</f>
        <v>30000</v>
      </c>
      <c r="P171" s="36" t="s">
        <v>162</v>
      </c>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50"/>
      <c r="BL171" s="50"/>
      <c r="BM171" s="50"/>
      <c r="BN171" s="50"/>
      <c r="BO171" s="50"/>
      <c r="BP171" s="50"/>
      <c r="BQ171" s="50"/>
      <c r="BR171" s="50"/>
    </row>
    <row r="172" spans="1:70" s="60" customFormat="1">
      <c r="A172" s="38">
        <v>1</v>
      </c>
      <c r="B172" s="970"/>
      <c r="E172" s="173" t="s">
        <v>283</v>
      </c>
      <c r="F172" s="182"/>
      <c r="G172" s="174" t="s">
        <v>9</v>
      </c>
      <c r="I172" s="181">
        <f ca="1">SUM(I164:I171)</f>
        <v>193000</v>
      </c>
      <c r="J172" s="181">
        <f t="shared" ref="J172:N172" ca="1" si="29">SUM(J164:J171)</f>
        <v>323000</v>
      </c>
      <c r="K172" s="181">
        <f t="shared" ca="1" si="29"/>
        <v>477000</v>
      </c>
      <c r="L172" s="181">
        <f t="shared" ca="1" si="29"/>
        <v>605000</v>
      </c>
      <c r="M172" s="181">
        <f t="shared" ca="1" si="29"/>
        <v>347000</v>
      </c>
      <c r="N172" s="181">
        <f t="shared" ca="1" si="29"/>
        <v>122000</v>
      </c>
      <c r="O172" s="184"/>
      <c r="P172" s="36"/>
      <c r="Q172" s="184"/>
      <c r="R172" s="51"/>
      <c r="S172" s="51"/>
      <c r="T172" s="51"/>
      <c r="U172" s="51"/>
      <c r="V172" s="51"/>
      <c r="W172" s="51"/>
      <c r="X172" s="184"/>
      <c r="Y172" s="184"/>
      <c r="Z172" s="184"/>
      <c r="AA172" s="184"/>
      <c r="AB172" s="184"/>
      <c r="AC172" s="184"/>
      <c r="AD172" s="184"/>
      <c r="AE172" s="184"/>
      <c r="AF172" s="184"/>
      <c r="AG172" s="184"/>
      <c r="AH172" s="184"/>
      <c r="AI172" s="184"/>
      <c r="AJ172" s="184"/>
      <c r="AK172" s="184"/>
      <c r="AL172" s="184"/>
      <c r="AM172" s="184"/>
      <c r="AN172" s="184"/>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row>
    <row r="173" spans="1:70">
      <c r="A173" s="38">
        <v>1</v>
      </c>
      <c r="B173" s="970"/>
      <c r="E173" s="325" t="s">
        <v>529</v>
      </c>
      <c r="F173" s="325"/>
      <c r="G173" s="325" t="s">
        <v>79</v>
      </c>
      <c r="H173" s="325"/>
      <c r="I173" s="325" t="s">
        <v>173</v>
      </c>
      <c r="J173" s="325" t="s">
        <v>171</v>
      </c>
      <c r="K173" s="325" t="s">
        <v>174</v>
      </c>
      <c r="L173" s="325" t="s">
        <v>172</v>
      </c>
      <c r="M173" s="325" t="s">
        <v>621</v>
      </c>
      <c r="N173" s="325" t="s">
        <v>622</v>
      </c>
      <c r="O173" s="325" t="s">
        <v>527</v>
      </c>
      <c r="P173" s="325" t="s">
        <v>307</v>
      </c>
      <c r="Q173" s="325"/>
      <c r="R173" s="325"/>
      <c r="S173" s="325"/>
      <c r="T173" s="325"/>
      <c r="U173" s="325"/>
      <c r="V173" s="325"/>
      <c r="W173" s="325"/>
      <c r="X173" s="325"/>
      <c r="Y173" s="325"/>
      <c r="Z173" s="325"/>
      <c r="AA173" s="325"/>
      <c r="AB173" s="325"/>
      <c r="AC173" s="325"/>
      <c r="AD173" s="325"/>
      <c r="AE173" s="325"/>
      <c r="AF173" s="325"/>
      <c r="AG173" s="325"/>
      <c r="AH173" s="325"/>
      <c r="AI173" s="325"/>
      <c r="AJ173" s="325"/>
      <c r="AK173" s="325"/>
      <c r="AL173" s="325"/>
      <c r="AM173" s="325"/>
      <c r="AN173" s="325"/>
      <c r="AO173" s="325"/>
      <c r="AP173" s="325"/>
      <c r="AQ173" s="50"/>
      <c r="AR173" s="50"/>
      <c r="AS173" s="50"/>
      <c r="AT173" s="50"/>
      <c r="AU173" s="50"/>
      <c r="AV173" s="50"/>
      <c r="AW173" s="50"/>
      <c r="AX173" s="50"/>
      <c r="AY173" s="50"/>
      <c r="AZ173" s="50"/>
      <c r="BA173" s="50"/>
      <c r="BB173" s="50"/>
      <c r="BC173" s="50"/>
      <c r="BD173" s="50"/>
      <c r="BE173" s="50"/>
      <c r="BF173" s="50"/>
      <c r="BG173" s="50"/>
      <c r="BH173" s="50"/>
      <c r="BI173" s="50"/>
      <c r="BJ173" s="50"/>
      <c r="BK173" s="50"/>
      <c r="BL173" s="50"/>
      <c r="BM173" s="50"/>
      <c r="BN173" s="50"/>
      <c r="BO173" s="50"/>
      <c r="BP173" s="50"/>
      <c r="BQ173" s="50"/>
      <c r="BR173" s="50"/>
    </row>
    <row r="174" spans="1:70" s="60" customFormat="1">
      <c r="A174" s="38">
        <v>1</v>
      </c>
      <c r="B174" s="970"/>
      <c r="C174" s="38"/>
      <c r="E174" s="173" t="s">
        <v>863</v>
      </c>
      <c r="F174" s="182"/>
      <c r="G174" s="174"/>
      <c r="I174" s="181"/>
      <c r="J174" s="181"/>
      <c r="K174" s="181"/>
      <c r="L174" s="181"/>
      <c r="M174" s="181"/>
      <c r="N174" s="181"/>
      <c r="O174" s="184"/>
      <c r="P174" s="36"/>
      <c r="Q174" s="184"/>
      <c r="R174" s="51"/>
      <c r="S174" s="51"/>
      <c r="T174" s="51"/>
      <c r="U174" s="51"/>
      <c r="V174" s="51"/>
      <c r="W174" s="51"/>
      <c r="X174" s="184"/>
      <c r="Y174" s="184"/>
      <c r="Z174" s="184"/>
      <c r="AA174" s="184"/>
      <c r="AB174" s="184"/>
      <c r="AC174" s="184"/>
      <c r="AD174" s="184"/>
      <c r="AE174" s="184"/>
      <c r="AF174" s="184"/>
      <c r="AG174" s="184"/>
      <c r="AH174" s="184"/>
      <c r="AI174" s="184"/>
      <c r="AJ174" s="184"/>
      <c r="AK174" s="184"/>
      <c r="AL174" s="184"/>
      <c r="AM174" s="184"/>
      <c r="AN174" s="184"/>
      <c r="AO174" s="185"/>
      <c r="AP174" s="185"/>
      <c r="AQ174" s="185"/>
      <c r="AR174" s="185"/>
      <c r="AS174" s="185"/>
      <c r="AT174" s="185"/>
      <c r="AU174" s="185"/>
      <c r="AV174" s="185"/>
      <c r="AW174" s="185"/>
      <c r="AX174" s="185"/>
      <c r="AY174" s="185"/>
      <c r="AZ174" s="185"/>
      <c r="BA174" s="185"/>
      <c r="BB174" s="185"/>
      <c r="BC174" s="185"/>
      <c r="BD174" s="185"/>
      <c r="BE174" s="185"/>
      <c r="BF174" s="185"/>
      <c r="BG174" s="185"/>
      <c r="BH174" s="185"/>
      <c r="BI174" s="185"/>
      <c r="BJ174" s="185"/>
      <c r="BK174" s="185"/>
      <c r="BL174" s="185"/>
      <c r="BM174" s="185"/>
      <c r="BN174" s="185"/>
      <c r="BO174" s="185"/>
      <c r="BP174" s="185"/>
      <c r="BQ174" s="185"/>
      <c r="BR174" s="185"/>
    </row>
    <row r="175" spans="1:70">
      <c r="A175" s="38">
        <v>1</v>
      </c>
      <c r="B175" s="970"/>
      <c r="C175" s="38" t="s">
        <v>864</v>
      </c>
      <c r="D175" s="38" t="str">
        <f t="shared" ref="D175:D177" si="30">C175&amp;P175</f>
        <v>GHG-CHP</v>
      </c>
      <c r="E175" s="36" t="s">
        <v>318</v>
      </c>
      <c r="F175" s="37"/>
      <c r="G175" s="43" t="s">
        <v>866</v>
      </c>
      <c r="I175" s="180">
        <f>'Env - RC - Fixed Carbon'!C16</f>
        <v>-2338.4273516958401</v>
      </c>
      <c r="J175" s="180">
        <f>'Env - RC - Fixed Carbon'!D16</f>
        <v>1507.4250440917108</v>
      </c>
      <c r="K175" s="180">
        <f>'Env - RC - Fixed Carbon'!E16</f>
        <v>-2152.1869488536154</v>
      </c>
      <c r="L175" s="180">
        <f>'Env - RC - Fixed Carbon'!F16</f>
        <v>3340.5379188712523</v>
      </c>
      <c r="M175" s="180"/>
      <c r="N175" s="180"/>
      <c r="O175" s="51">
        <f>I175</f>
        <v>-2338.4273516958401</v>
      </c>
      <c r="P175" s="36" t="s">
        <v>318</v>
      </c>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50"/>
      <c r="BL175" s="50"/>
      <c r="BM175" s="50"/>
      <c r="BN175" s="50"/>
      <c r="BO175" s="50"/>
      <c r="BP175" s="50"/>
      <c r="BQ175" s="50"/>
      <c r="BR175" s="50"/>
    </row>
    <row r="176" spans="1:70">
      <c r="A176" s="38">
        <v>1</v>
      </c>
      <c r="B176" s="970"/>
      <c r="C176" s="38" t="s">
        <v>864</v>
      </c>
      <c r="D176" s="38" t="str">
        <f t="shared" si="30"/>
        <v>GHG-Fluid Bed Incineration</v>
      </c>
      <c r="E176" s="36" t="s">
        <v>160</v>
      </c>
      <c r="F176" s="37"/>
      <c r="G176" s="43" t="s">
        <v>866</v>
      </c>
      <c r="I176" s="180"/>
      <c r="J176" s="180"/>
      <c r="K176" s="180"/>
      <c r="L176" s="180"/>
      <c r="M176" s="180">
        <f>'Env - RC - Fixed Carbon'!G16</f>
        <v>2227.2222222222222</v>
      </c>
      <c r="N176" s="180"/>
      <c r="O176" s="51">
        <f>M176</f>
        <v>2227.2222222222222</v>
      </c>
      <c r="P176" s="36" t="s">
        <v>160</v>
      </c>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50"/>
      <c r="BL176" s="50"/>
      <c r="BM176" s="50"/>
      <c r="BN176" s="50"/>
      <c r="BO176" s="50"/>
      <c r="BP176" s="50"/>
      <c r="BQ176" s="50"/>
      <c r="BR176" s="50"/>
    </row>
    <row r="177" spans="1:70">
      <c r="A177" s="38">
        <v>1</v>
      </c>
      <c r="B177" s="970"/>
      <c r="C177" s="38" t="s">
        <v>864</v>
      </c>
      <c r="D177" s="38" t="str">
        <f t="shared" si="30"/>
        <v>GHG-Drying/Gasification/Energy Recovery</v>
      </c>
      <c r="E177" s="36" t="s">
        <v>165</v>
      </c>
      <c r="F177" s="37"/>
      <c r="G177" s="43" t="s">
        <v>866</v>
      </c>
      <c r="I177" s="180"/>
      <c r="J177" s="180"/>
      <c r="K177" s="180"/>
      <c r="L177" s="180"/>
      <c r="M177" s="180"/>
      <c r="N177" s="180">
        <f>'Env - RC - Fixed Carbon'!H16</f>
        <v>308.13051146384481</v>
      </c>
      <c r="O177" s="51">
        <f>N177</f>
        <v>308.13051146384481</v>
      </c>
      <c r="P177" s="36" t="s">
        <v>320</v>
      </c>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BK177" s="50"/>
      <c r="BL177" s="50"/>
      <c r="BM177" s="50"/>
      <c r="BN177" s="50"/>
      <c r="BO177" s="50"/>
      <c r="BP177" s="50"/>
      <c r="BQ177" s="50"/>
      <c r="BR177" s="50"/>
    </row>
    <row r="178" spans="1:70">
      <c r="A178" s="38">
        <v>1</v>
      </c>
      <c r="B178" s="970"/>
      <c r="E178" s="36"/>
      <c r="F178" s="37"/>
      <c r="G178" s="43"/>
      <c r="I178" s="180"/>
      <c r="J178" s="180"/>
      <c r="K178" s="180"/>
      <c r="L178" s="180"/>
      <c r="M178" s="180"/>
      <c r="N178" s="180"/>
      <c r="O178" s="51"/>
      <c r="P178" s="36"/>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row>
    <row r="179" spans="1:70">
      <c r="A179" s="38">
        <v>1</v>
      </c>
      <c r="B179" s="970"/>
      <c r="E179" s="39" t="s">
        <v>272</v>
      </c>
      <c r="F179" s="37"/>
      <c r="G179" s="43"/>
      <c r="I179" s="43"/>
      <c r="J179" s="43"/>
      <c r="K179" s="43"/>
      <c r="L179" s="43"/>
      <c r="M179" s="43"/>
      <c r="N179" s="43"/>
      <c r="O179" s="51"/>
      <c r="P179" s="36"/>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BK179" s="50"/>
      <c r="BL179" s="50"/>
      <c r="BM179" s="50"/>
      <c r="BN179" s="50"/>
      <c r="BO179" s="50"/>
      <c r="BP179" s="50"/>
      <c r="BQ179" s="50"/>
      <c r="BR179" s="50"/>
    </row>
    <row r="180" spans="1:70">
      <c r="A180" s="38">
        <v>1</v>
      </c>
      <c r="B180" s="970"/>
      <c r="C180" s="38" t="s">
        <v>273</v>
      </c>
      <c r="D180" s="38" t="str">
        <f>C180&amp;P180</f>
        <v>ExtraOrd-Anaerobic Digestion</v>
      </c>
      <c r="E180" s="36" t="s">
        <v>168</v>
      </c>
      <c r="F180" s="37"/>
      <c r="G180" s="43" t="s">
        <v>9</v>
      </c>
      <c r="I180" s="180">
        <f ca="1">SUMIF('O&amp;M Cost Summary'!$C$4:$C$199,I$63&amp;$C180&amp;$E180,'O&amp;M Cost Summary'!$J$4:$J$198)/10*$I$19*VLOOKUP($I$19,$E$187:$F$194,2,TRUE)</f>
        <v>19000</v>
      </c>
      <c r="J180" s="180">
        <f ca="1">SUMIF('O&amp;M Cost Summary'!$C$4:$C$199,J$63&amp;$C180&amp;$E180,'O&amp;M Cost Summary'!$J$4:$J$198)/10*$I$19*VLOOKUP($I$19,$E$187:$F$194,2,TRUE)</f>
        <v>19000</v>
      </c>
      <c r="K180" s="180">
        <f ca="1">SUMIF('O&amp;M Cost Summary'!$C$4:$C$199,K$63&amp;$C180&amp;$E180,'O&amp;M Cost Summary'!$J$4:$J$198)/10*$I$19*VLOOKUP($I$19,$E$187:$F$194,2,TRUE)</f>
        <v>0</v>
      </c>
      <c r="L180" s="180">
        <f ca="1">SUMIF('O&amp;M Cost Summary'!$C$4:$C$199,L$63&amp;$C180&amp;$E180,'O&amp;M Cost Summary'!$J$4:$J$198)/10*$I$19*VLOOKUP($I$19,$E$187:$F$194,2,TRUE)</f>
        <v>0</v>
      </c>
      <c r="M180" s="180">
        <f ca="1">SUMIF('O&amp;M Cost Summary'!$C$4:$C$199,M$63&amp;$C180&amp;$E180,'O&amp;M Cost Summary'!$J$4:$J$198)/10*$I$19*VLOOKUP($I$19,$E$187:$F$194,2,TRUE)</f>
        <v>0</v>
      </c>
      <c r="N180" s="180">
        <f ca="1">SUMIF('O&amp;M Cost Summary'!$C$4:$C$199,N$63&amp;$C180&amp;$E180,'O&amp;M Cost Summary'!$J$4:$J$198)/10*$I$19*VLOOKUP($I$19,$E$187:$F$194,2,TRUE)</f>
        <v>0</v>
      </c>
      <c r="O180" s="51">
        <f ca="1">J180</f>
        <v>19000</v>
      </c>
      <c r="P180" s="36" t="s">
        <v>315</v>
      </c>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row>
    <row r="181" spans="1:70">
      <c r="A181" s="38">
        <v>1</v>
      </c>
      <c r="B181" s="970"/>
      <c r="E181" s="36"/>
      <c r="F181" s="37"/>
      <c r="G181" s="43"/>
      <c r="I181" s="178"/>
      <c r="J181" s="178"/>
      <c r="K181" s="178"/>
      <c r="L181" s="178"/>
      <c r="M181" s="178"/>
      <c r="N181" s="178"/>
      <c r="O181" s="51"/>
      <c r="P181" s="36"/>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BK181" s="50"/>
      <c r="BL181" s="50"/>
      <c r="BM181" s="50"/>
      <c r="BN181" s="50"/>
      <c r="BO181" s="50"/>
      <c r="BP181" s="50"/>
      <c r="BQ181" s="50"/>
      <c r="BR181" s="50"/>
    </row>
    <row r="182" spans="1:70">
      <c r="A182" s="38">
        <v>1</v>
      </c>
      <c r="B182" s="970"/>
      <c r="E182" s="39" t="s">
        <v>286</v>
      </c>
      <c r="F182" s="37"/>
      <c r="G182" s="43"/>
      <c r="I182" s="178"/>
      <c r="J182" s="178"/>
      <c r="K182" s="178"/>
      <c r="L182" s="178"/>
      <c r="M182" s="178"/>
      <c r="N182" s="178"/>
      <c r="O182" s="51"/>
      <c r="P182" s="36"/>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BK182" s="50"/>
      <c r="BL182" s="50"/>
      <c r="BM182" s="50"/>
      <c r="BN182" s="50"/>
      <c r="BO182" s="50"/>
      <c r="BP182" s="50"/>
      <c r="BQ182" s="50"/>
      <c r="BR182" s="50"/>
    </row>
    <row r="183" spans="1:70">
      <c r="A183" s="38">
        <v>1</v>
      </c>
      <c r="B183" s="970"/>
      <c r="C183" s="38" t="s">
        <v>289</v>
      </c>
      <c r="D183" s="38" t="str">
        <f>C183&amp;P183</f>
        <v>TipFee-FOG Receiving</v>
      </c>
      <c r="E183" s="36" t="s">
        <v>287</v>
      </c>
      <c r="F183" s="37"/>
      <c r="G183" s="43" t="s">
        <v>9</v>
      </c>
      <c r="I183" s="180">
        <f ca="1">SUMIF('O&amp;M Cost Summary'!$C$4:$C$199,I$63&amp;$C183&amp;$E183,'O&amp;M Cost Summary'!$J$4:$J$198)/10*$I$19</f>
        <v>0</v>
      </c>
      <c r="J183" s="180">
        <f ca="1">SUMIF('O&amp;M Cost Summary'!$C$4:$C$199,J$63&amp;$C183&amp;$E183,'O&amp;M Cost Summary'!$J$4:$J$198)/10*$I$19</f>
        <v>0</v>
      </c>
      <c r="K183" s="180">
        <f ca="1">SUMIF('O&amp;M Cost Summary'!$C$4:$C$199,K$63&amp;$C183&amp;$E183,'O&amp;M Cost Summary'!$J$4:$J$198)/10*$I$19</f>
        <v>15000</v>
      </c>
      <c r="L183" s="180">
        <f ca="1">SUMIF('O&amp;M Cost Summary'!$C$4:$C$199,L$63&amp;$C183&amp;$E183,'O&amp;M Cost Summary'!$J$4:$J$198)/10*$I$19</f>
        <v>15000</v>
      </c>
      <c r="M183" s="180">
        <f ca="1">SUMIF('O&amp;M Cost Summary'!$C$4:$C$199,M$63&amp;$C183&amp;$E183,'O&amp;M Cost Summary'!$J$4:$J$198)/10*$I$19</f>
        <v>0</v>
      </c>
      <c r="N183" s="180">
        <f ca="1">SUMIF('O&amp;M Cost Summary'!$C$4:$C$199,N$63&amp;$C183&amp;$E183,'O&amp;M Cost Summary'!$J$4:$J$198)/10*$I$19</f>
        <v>0</v>
      </c>
      <c r="O183" s="51">
        <f ca="1">K183</f>
        <v>15000</v>
      </c>
      <c r="P183" s="36" t="s">
        <v>161</v>
      </c>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row>
    <row r="184" spans="1:70">
      <c r="B184" s="970"/>
      <c r="E184" s="37"/>
      <c r="F184" s="37"/>
      <c r="G184" s="43"/>
      <c r="H184" s="43"/>
      <c r="I184" s="43"/>
      <c r="J184" s="43"/>
      <c r="K184" s="43"/>
      <c r="L184" s="43"/>
      <c r="M184" s="43"/>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row>
    <row r="185" spans="1:70">
      <c r="E185" s="28"/>
      <c r="F185" s="28"/>
      <c r="G185" s="46"/>
      <c r="H185" s="46"/>
      <c r="I185" s="46"/>
      <c r="J185" s="46"/>
      <c r="K185" s="46"/>
      <c r="L185" s="46"/>
      <c r="M185" s="46"/>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row>
    <row r="186" spans="1:70">
      <c r="B186" s="970"/>
      <c r="E186" s="335" t="s">
        <v>531</v>
      </c>
      <c r="F186" s="325"/>
    </row>
    <row r="187" spans="1:70">
      <c r="B187" s="970"/>
      <c r="E187" s="38">
        <v>5</v>
      </c>
      <c r="F187" s="330">
        <v>1.5</v>
      </c>
      <c r="R187" s="51"/>
      <c r="S187" s="51"/>
      <c r="T187" s="51"/>
      <c r="U187" s="51"/>
      <c r="V187" s="51"/>
      <c r="W187" s="51"/>
    </row>
    <row r="188" spans="1:70">
      <c r="B188" s="970"/>
      <c r="E188" s="38">
        <v>10</v>
      </c>
      <c r="F188" s="330">
        <v>1</v>
      </c>
      <c r="R188" s="51"/>
      <c r="S188" s="51"/>
      <c r="T188" s="51"/>
      <c r="U188" s="51"/>
      <c r="V188" s="51"/>
      <c r="W188" s="51"/>
    </row>
    <row r="189" spans="1:70">
      <c r="B189" s="970"/>
      <c r="E189" s="38">
        <v>20</v>
      </c>
      <c r="F189" s="330">
        <v>0.9</v>
      </c>
      <c r="R189" s="50"/>
      <c r="S189" s="50"/>
      <c r="T189" s="50"/>
      <c r="U189" s="50"/>
      <c r="V189" s="50"/>
      <c r="W189" s="50"/>
    </row>
    <row r="190" spans="1:70">
      <c r="B190" s="970"/>
      <c r="E190" s="38">
        <v>50</v>
      </c>
      <c r="F190" s="330">
        <v>0.8</v>
      </c>
    </row>
    <row r="191" spans="1:70">
      <c r="B191" s="970"/>
      <c r="E191" s="38">
        <v>100</v>
      </c>
      <c r="F191" s="330">
        <v>0.7</v>
      </c>
      <c r="R191" s="201"/>
      <c r="S191" s="201"/>
      <c r="T191" s="201"/>
      <c r="U191" s="201"/>
      <c r="V191" s="201"/>
      <c r="W191" s="201"/>
    </row>
    <row r="192" spans="1:70">
      <c r="B192" s="970"/>
      <c r="E192" s="38">
        <v>200</v>
      </c>
      <c r="F192" s="330">
        <v>0.65</v>
      </c>
    </row>
    <row r="193" spans="2:6">
      <c r="B193" s="970"/>
      <c r="E193" s="38">
        <v>500</v>
      </c>
      <c r="F193" s="330">
        <v>0.65</v>
      </c>
    </row>
    <row r="194" spans="2:6">
      <c r="B194" s="970"/>
      <c r="E194" s="38">
        <v>1000</v>
      </c>
      <c r="F194" s="330">
        <v>0.65</v>
      </c>
    </row>
  </sheetData>
  <sortState ref="A238:N244">
    <sortCondition ref="E238:E244"/>
  </sortState>
  <phoneticPr fontId="75" type="noConversion"/>
  <dataValidations count="3">
    <dataValidation type="custom" allowBlank="1" showInputMessage="1" showErrorMessage="1" error="In service year should be equal or higher than start of analysis." sqref="I12">
      <formula1>I12&gt;=I11</formula1>
    </dataValidation>
    <dataValidation type="whole" operator="lessThanOrEqual" allowBlank="1" showInputMessage="1" showErrorMessage="1" sqref="I13">
      <formula1>I11</formula1>
    </dataValidation>
    <dataValidation type="list" allowBlank="1" showInputMessage="1" showErrorMessage="1" sqref="I21">
      <formula1>OnOff</formula1>
    </dataValidation>
  </dataValidations>
  <printOptions horizontalCentered="1"/>
  <pageMargins left="0.75" right="0.75" top="1" bottom="1" header="0.5" footer="0.5"/>
  <pageSetup scale="60" orientation="landscape" r:id="rId1"/>
  <headerFooter alignWithMargins="0"/>
  <rowBreaks count="3" manualBreakCount="3">
    <brk id="86" min="8" max="13" man="1"/>
    <brk id="117" min="8" max="13" man="1"/>
    <brk id="152" min="8" max="13" man="1"/>
  </rowBreaks>
  <drawing r:id="rId2"/>
  <extLst>
    <ext xmlns:mx="http://schemas.microsoft.com/office/mac/excel/2008/main" uri="http://schemas.microsoft.com/office/mac/excel/2008/main">
      <mx:PLV Mode="0" OnePage="0" WScale="0"/>
    </ext>
  </extLst>
</worksheet>
</file>

<file path=xl/worksheets/sheet17.xml><?xml version="1.0" encoding="utf-8"?>
<worksheet xmlns="http://schemas.openxmlformats.org/spreadsheetml/2006/main" xmlns:r="http://schemas.openxmlformats.org/officeDocument/2006/relationships">
  <sheetPr codeName="Sheet18" enableFormatConditionsCalculation="0">
    <tabColor rgb="FFC00000"/>
  </sheetPr>
  <dimension ref="A1:XFD534"/>
  <sheetViews>
    <sheetView showGridLines="0" topLeftCell="E1" zoomScale="55" zoomScaleNormal="55" zoomScalePageLayoutView="85" workbookViewId="0">
      <selection activeCell="W29" sqref="W29"/>
    </sheetView>
  </sheetViews>
  <sheetFormatPr defaultColWidth="8.85546875" defaultRowHeight="15" outlineLevelCol="1"/>
  <cols>
    <col min="1" max="2" width="8.85546875" style="38" hidden="1" customWidth="1" outlineLevel="1"/>
    <col min="3" max="3" width="42.28515625" style="38" hidden="1" customWidth="1" outlineLevel="1"/>
    <col min="4" max="4" width="13" style="38" hidden="1" customWidth="1" outlineLevel="1"/>
    <col min="5" max="5" width="3.7109375" style="38" customWidth="1" collapsed="1"/>
    <col min="6" max="6" width="3.28515625" style="38" customWidth="1"/>
    <col min="7" max="7" width="7.140625" style="38" customWidth="1"/>
    <col min="8" max="8" width="28.42578125" style="38" customWidth="1"/>
    <col min="9" max="9" width="1.85546875" style="38" customWidth="1"/>
    <col min="10" max="10" width="10.140625" style="38" customWidth="1"/>
    <col min="11" max="11" width="1.42578125" style="38" customWidth="1"/>
    <col min="12" max="12" width="25.7109375" style="408" customWidth="1"/>
    <col min="13" max="13" width="0.85546875" style="38" customWidth="1"/>
    <col min="14" max="14" width="18.28515625" style="38" customWidth="1"/>
    <col min="15" max="15" width="1" style="42" customWidth="1"/>
    <col min="16" max="16" width="18.28515625" style="38" customWidth="1"/>
    <col min="17" max="17" width="1" style="42" customWidth="1"/>
    <col min="18" max="47" width="14.28515625" style="38" customWidth="1"/>
    <col min="48" max="68" width="9.42578125" style="38" customWidth="1"/>
    <col min="69" max="16384" width="8.85546875" style="38"/>
  </cols>
  <sheetData>
    <row r="1" spans="1:47" s="28" customFormat="1">
      <c r="L1" s="406"/>
      <c r="O1" s="197"/>
      <c r="Q1" s="197"/>
    </row>
    <row r="2" spans="1:47" s="28" customFormat="1" ht="18.75">
      <c r="H2" s="29" t="s">
        <v>17</v>
      </c>
      <c r="I2" s="29"/>
      <c r="J2" s="29" t="s">
        <v>294</v>
      </c>
      <c r="K2" s="29"/>
      <c r="L2" s="406"/>
      <c r="O2" s="197"/>
      <c r="Q2" s="197"/>
    </row>
    <row r="3" spans="1:47" s="28" customFormat="1" ht="18.75">
      <c r="H3" s="29" t="s">
        <v>18</v>
      </c>
      <c r="I3" s="29"/>
      <c r="J3" s="29" t="s">
        <v>295</v>
      </c>
      <c r="K3" s="29"/>
      <c r="L3" s="406"/>
      <c r="O3" s="197"/>
      <c r="Q3" s="197"/>
      <c r="R3" s="193"/>
    </row>
    <row r="4" spans="1:47" s="28" customFormat="1" ht="18.75">
      <c r="G4" s="67"/>
      <c r="H4" s="29" t="s">
        <v>297</v>
      </c>
      <c r="J4" s="29" t="s">
        <v>296</v>
      </c>
      <c r="L4" s="406"/>
      <c r="O4" s="197"/>
      <c r="Q4" s="197"/>
    </row>
    <row r="5" spans="1:47" s="28" customFormat="1">
      <c r="H5" s="31"/>
      <c r="I5" s="31"/>
      <c r="J5" s="31"/>
      <c r="K5" s="31"/>
      <c r="L5" s="406"/>
      <c r="O5" s="197"/>
      <c r="Q5" s="197"/>
    </row>
    <row r="6" spans="1:47" s="42" customFormat="1">
      <c r="A6" s="317"/>
      <c r="B6" s="317"/>
      <c r="C6" s="317"/>
      <c r="D6" s="317"/>
      <c r="E6" s="317"/>
      <c r="F6" s="317"/>
      <c r="G6" s="318" t="s">
        <v>505</v>
      </c>
      <c r="H6" s="317"/>
      <c r="I6" s="317"/>
      <c r="J6" s="317"/>
      <c r="K6" s="317"/>
      <c r="L6" s="40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row>
    <row r="7" spans="1:47" s="28" customFormat="1">
      <c r="L7" s="406"/>
      <c r="O7" s="197"/>
      <c r="Q7" s="197"/>
    </row>
    <row r="8" spans="1:47" s="28" customFormat="1">
      <c r="A8" s="40" t="s">
        <v>254</v>
      </c>
      <c r="B8" s="40" t="s">
        <v>44</v>
      </c>
      <c r="C8" s="40" t="s">
        <v>302</v>
      </c>
      <c r="D8" s="40" t="s">
        <v>298</v>
      </c>
      <c r="G8" s="324" t="s">
        <v>489</v>
      </c>
      <c r="H8" s="324"/>
      <c r="I8" s="324"/>
      <c r="J8" s="324"/>
      <c r="K8" s="324"/>
      <c r="L8" s="405"/>
      <c r="M8" s="256"/>
      <c r="N8" s="325" t="str">
        <f>"NPV "&amp;FirstYr-1&amp;" $"</f>
        <v>NPV 2013 $</v>
      </c>
      <c r="O8" s="311"/>
      <c r="P8" s="325" t="s">
        <v>491</v>
      </c>
      <c r="Q8" s="310"/>
      <c r="R8" s="325">
        <f>FirstYr</f>
        <v>2014</v>
      </c>
      <c r="S8" s="325">
        <f>R8+1</f>
        <v>2015</v>
      </c>
      <c r="T8" s="325">
        <f t="shared" ref="T8:AU8" si="0">S8+1</f>
        <v>2016</v>
      </c>
      <c r="U8" s="325">
        <f t="shared" si="0"/>
        <v>2017</v>
      </c>
      <c r="V8" s="325">
        <f t="shared" si="0"/>
        <v>2018</v>
      </c>
      <c r="W8" s="325">
        <f t="shared" si="0"/>
        <v>2019</v>
      </c>
      <c r="X8" s="325">
        <f t="shared" si="0"/>
        <v>2020</v>
      </c>
      <c r="Y8" s="325">
        <f t="shared" si="0"/>
        <v>2021</v>
      </c>
      <c r="Z8" s="325">
        <f t="shared" si="0"/>
        <v>2022</v>
      </c>
      <c r="AA8" s="325">
        <f t="shared" si="0"/>
        <v>2023</v>
      </c>
      <c r="AB8" s="325">
        <f t="shared" si="0"/>
        <v>2024</v>
      </c>
      <c r="AC8" s="325">
        <f t="shared" si="0"/>
        <v>2025</v>
      </c>
      <c r="AD8" s="325">
        <f t="shared" si="0"/>
        <v>2026</v>
      </c>
      <c r="AE8" s="325">
        <f t="shared" si="0"/>
        <v>2027</v>
      </c>
      <c r="AF8" s="325">
        <f t="shared" si="0"/>
        <v>2028</v>
      </c>
      <c r="AG8" s="325">
        <f t="shared" si="0"/>
        <v>2029</v>
      </c>
      <c r="AH8" s="325">
        <f t="shared" si="0"/>
        <v>2030</v>
      </c>
      <c r="AI8" s="325">
        <f t="shared" si="0"/>
        <v>2031</v>
      </c>
      <c r="AJ8" s="325">
        <f t="shared" si="0"/>
        <v>2032</v>
      </c>
      <c r="AK8" s="325">
        <f t="shared" si="0"/>
        <v>2033</v>
      </c>
      <c r="AL8" s="325">
        <f t="shared" si="0"/>
        <v>2034</v>
      </c>
      <c r="AM8" s="325">
        <f t="shared" si="0"/>
        <v>2035</v>
      </c>
      <c r="AN8" s="325">
        <f t="shared" si="0"/>
        <v>2036</v>
      </c>
      <c r="AO8" s="325">
        <f t="shared" si="0"/>
        <v>2037</v>
      </c>
      <c r="AP8" s="325">
        <f t="shared" si="0"/>
        <v>2038</v>
      </c>
      <c r="AQ8" s="325">
        <f t="shared" si="0"/>
        <v>2039</v>
      </c>
      <c r="AR8" s="325">
        <f t="shared" si="0"/>
        <v>2040</v>
      </c>
      <c r="AS8" s="325">
        <f t="shared" si="0"/>
        <v>2041</v>
      </c>
      <c r="AT8" s="325">
        <f t="shared" si="0"/>
        <v>2042</v>
      </c>
      <c r="AU8" s="325">
        <f t="shared" si="0"/>
        <v>2043</v>
      </c>
    </row>
    <row r="9" spans="1:47" s="28" customFormat="1">
      <c r="L9" s="406"/>
      <c r="O9" s="197"/>
      <c r="Q9" s="197"/>
    </row>
    <row r="10" spans="1:47" s="28" customFormat="1">
      <c r="B10" s="38" t="s">
        <v>306</v>
      </c>
      <c r="E10" s="254"/>
      <c r="G10" s="36" t="s">
        <v>8</v>
      </c>
      <c r="L10" s="43" t="str">
        <f>"["&amp;FirstYr-1&amp;" $]"</f>
        <v>[2013 $]</v>
      </c>
      <c r="N10" s="191">
        <f t="shared" ref="N10:N13" ca="1" si="1">NPV(DiscountRt,R10:AU10)</f>
        <v>36564028.30188679</v>
      </c>
      <c r="O10" s="189"/>
      <c r="P10" s="321"/>
      <c r="Q10" s="189"/>
      <c r="R10" s="190">
        <f t="shared" ref="R10:AU10" ca="1" si="2">IF($P10=0,SUMIF($B$96:$B$496,$B10,R$96:R$496),$P10*R$97)</f>
        <v>38757870</v>
      </c>
      <c r="S10" s="190">
        <f t="shared" ca="1" si="2"/>
        <v>0</v>
      </c>
      <c r="T10" s="190">
        <f t="shared" ca="1" si="2"/>
        <v>0</v>
      </c>
      <c r="U10" s="190">
        <f t="shared" ca="1" si="2"/>
        <v>0</v>
      </c>
      <c r="V10" s="190">
        <f t="shared" ca="1" si="2"/>
        <v>0</v>
      </c>
      <c r="W10" s="190">
        <f t="shared" ca="1" si="2"/>
        <v>0</v>
      </c>
      <c r="X10" s="190">
        <f t="shared" ca="1" si="2"/>
        <v>0</v>
      </c>
      <c r="Y10" s="190">
        <f t="shared" ca="1" si="2"/>
        <v>0</v>
      </c>
      <c r="Z10" s="190">
        <f t="shared" ca="1" si="2"/>
        <v>0</v>
      </c>
      <c r="AA10" s="190">
        <f t="shared" ca="1" si="2"/>
        <v>0</v>
      </c>
      <c r="AB10" s="190">
        <f t="shared" ca="1" si="2"/>
        <v>0</v>
      </c>
      <c r="AC10" s="190">
        <f t="shared" ca="1" si="2"/>
        <v>0</v>
      </c>
      <c r="AD10" s="190">
        <f t="shared" ca="1" si="2"/>
        <v>0</v>
      </c>
      <c r="AE10" s="190">
        <f t="shared" ca="1" si="2"/>
        <v>0</v>
      </c>
      <c r="AF10" s="190">
        <f t="shared" ca="1" si="2"/>
        <v>0</v>
      </c>
      <c r="AG10" s="190">
        <f t="shared" ca="1" si="2"/>
        <v>0</v>
      </c>
      <c r="AH10" s="190">
        <f t="shared" ca="1" si="2"/>
        <v>0</v>
      </c>
      <c r="AI10" s="190">
        <f t="shared" ca="1" si="2"/>
        <v>0</v>
      </c>
      <c r="AJ10" s="190">
        <f t="shared" ca="1" si="2"/>
        <v>0</v>
      </c>
      <c r="AK10" s="190">
        <f t="shared" ca="1" si="2"/>
        <v>0</v>
      </c>
      <c r="AL10" s="190">
        <f t="shared" ca="1" si="2"/>
        <v>0</v>
      </c>
      <c r="AM10" s="190">
        <f t="shared" ca="1" si="2"/>
        <v>0</v>
      </c>
      <c r="AN10" s="190">
        <f t="shared" ca="1" si="2"/>
        <v>0</v>
      </c>
      <c r="AO10" s="190">
        <f t="shared" ca="1" si="2"/>
        <v>0</v>
      </c>
      <c r="AP10" s="190">
        <f t="shared" ca="1" si="2"/>
        <v>0</v>
      </c>
      <c r="AQ10" s="190">
        <f t="shared" ca="1" si="2"/>
        <v>0</v>
      </c>
      <c r="AR10" s="190">
        <f t="shared" ca="1" si="2"/>
        <v>0</v>
      </c>
      <c r="AS10" s="190">
        <f t="shared" ca="1" si="2"/>
        <v>0</v>
      </c>
      <c r="AT10" s="190">
        <f t="shared" ca="1" si="2"/>
        <v>0</v>
      </c>
      <c r="AU10" s="190">
        <f t="shared" ca="1" si="2"/>
        <v>0</v>
      </c>
    </row>
    <row r="11" spans="1:47" s="28" customFormat="1">
      <c r="B11" s="38"/>
      <c r="E11" s="254"/>
      <c r="G11" s="36" t="s">
        <v>494</v>
      </c>
      <c r="L11" s="43" t="str">
        <f>"["&amp;FirstYr-1&amp;" $]"</f>
        <v>[2013 $]</v>
      </c>
      <c r="N11" s="191">
        <f t="shared" si="1"/>
        <v>0</v>
      </c>
      <c r="O11" s="189"/>
      <c r="P11" s="319"/>
      <c r="Q11" s="189"/>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row>
    <row r="12" spans="1:47" s="28" customFormat="1">
      <c r="B12" s="38"/>
      <c r="E12" s="254"/>
      <c r="G12" s="36" t="s">
        <v>495</v>
      </c>
      <c r="L12" s="43" t="str">
        <f>"["&amp;FirstYr-1&amp;" $]"</f>
        <v>[2013 $]</v>
      </c>
      <c r="N12" s="191">
        <f t="shared" si="1"/>
        <v>0</v>
      </c>
      <c r="O12" s="189"/>
      <c r="P12" s="319"/>
      <c r="Q12" s="189"/>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row>
    <row r="13" spans="1:47" s="28" customFormat="1">
      <c r="B13" s="38"/>
      <c r="E13" s="254"/>
      <c r="G13" s="36" t="s">
        <v>496</v>
      </c>
      <c r="L13" s="43" t="str">
        <f>"["&amp;FirstYr-1&amp;" $]"</f>
        <v>[2013 $]</v>
      </c>
      <c r="N13" s="191">
        <f t="shared" si="1"/>
        <v>0</v>
      </c>
      <c r="O13" s="189"/>
      <c r="P13" s="319"/>
      <c r="Q13" s="189"/>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row>
    <row r="14" spans="1:47">
      <c r="E14" s="49"/>
      <c r="G14" s="39" t="s">
        <v>114</v>
      </c>
      <c r="H14" s="42"/>
      <c r="I14" s="42"/>
      <c r="J14" s="42"/>
      <c r="K14" s="42"/>
      <c r="L14" s="43"/>
      <c r="M14" s="43"/>
      <c r="N14" s="189">
        <f ca="1">SUBTOTAL(9,N10:N13)</f>
        <v>36564028.30188679</v>
      </c>
      <c r="O14" s="189"/>
      <c r="P14" s="189"/>
      <c r="Q14" s="189"/>
      <c r="R14" s="189">
        <f t="shared" ref="R14:AU14" ca="1" si="3">SUBTOTAL(9,R10:R13)</f>
        <v>38757870</v>
      </c>
      <c r="S14" s="189">
        <f t="shared" ca="1" si="3"/>
        <v>0</v>
      </c>
      <c r="T14" s="189">
        <f t="shared" ca="1" si="3"/>
        <v>0</v>
      </c>
      <c r="U14" s="189">
        <f t="shared" ca="1" si="3"/>
        <v>0</v>
      </c>
      <c r="V14" s="189">
        <f t="shared" ca="1" si="3"/>
        <v>0</v>
      </c>
      <c r="W14" s="189">
        <f t="shared" ca="1" si="3"/>
        <v>0</v>
      </c>
      <c r="X14" s="189">
        <f t="shared" ca="1" si="3"/>
        <v>0</v>
      </c>
      <c r="Y14" s="189">
        <f t="shared" ca="1" si="3"/>
        <v>0</v>
      </c>
      <c r="Z14" s="189">
        <f t="shared" ca="1" si="3"/>
        <v>0</v>
      </c>
      <c r="AA14" s="189">
        <f t="shared" ca="1" si="3"/>
        <v>0</v>
      </c>
      <c r="AB14" s="189">
        <f t="shared" ca="1" si="3"/>
        <v>0</v>
      </c>
      <c r="AC14" s="189">
        <f t="shared" ca="1" si="3"/>
        <v>0</v>
      </c>
      <c r="AD14" s="189">
        <f t="shared" ca="1" si="3"/>
        <v>0</v>
      </c>
      <c r="AE14" s="189">
        <f t="shared" ca="1" si="3"/>
        <v>0</v>
      </c>
      <c r="AF14" s="189">
        <f t="shared" ca="1" si="3"/>
        <v>0</v>
      </c>
      <c r="AG14" s="189">
        <f t="shared" ca="1" si="3"/>
        <v>0</v>
      </c>
      <c r="AH14" s="189">
        <f t="shared" ca="1" si="3"/>
        <v>0</v>
      </c>
      <c r="AI14" s="189">
        <f t="shared" ca="1" si="3"/>
        <v>0</v>
      </c>
      <c r="AJ14" s="189">
        <f t="shared" ca="1" si="3"/>
        <v>0</v>
      </c>
      <c r="AK14" s="189">
        <f t="shared" ca="1" si="3"/>
        <v>0</v>
      </c>
      <c r="AL14" s="189">
        <f t="shared" ca="1" si="3"/>
        <v>0</v>
      </c>
      <c r="AM14" s="189">
        <f t="shared" ca="1" si="3"/>
        <v>0</v>
      </c>
      <c r="AN14" s="189">
        <f t="shared" ca="1" si="3"/>
        <v>0</v>
      </c>
      <c r="AO14" s="189">
        <f t="shared" ca="1" si="3"/>
        <v>0</v>
      </c>
      <c r="AP14" s="189">
        <f t="shared" ca="1" si="3"/>
        <v>0</v>
      </c>
      <c r="AQ14" s="189">
        <f t="shared" ca="1" si="3"/>
        <v>0</v>
      </c>
      <c r="AR14" s="189">
        <f t="shared" ca="1" si="3"/>
        <v>0</v>
      </c>
      <c r="AS14" s="189">
        <f t="shared" ca="1" si="3"/>
        <v>0</v>
      </c>
      <c r="AT14" s="189">
        <f t="shared" ca="1" si="3"/>
        <v>0</v>
      </c>
      <c r="AU14" s="189">
        <f t="shared" ca="1" si="3"/>
        <v>0</v>
      </c>
    </row>
    <row r="15" spans="1:47" s="28" customFormat="1">
      <c r="L15" s="406"/>
      <c r="O15" s="197"/>
      <c r="Q15" s="197"/>
    </row>
    <row r="16" spans="1:47" s="28" customFormat="1">
      <c r="A16" s="40"/>
      <c r="B16" s="40"/>
      <c r="C16" s="40"/>
      <c r="D16" s="40"/>
      <c r="G16" s="324" t="s">
        <v>400</v>
      </c>
      <c r="H16" s="324"/>
      <c r="I16" s="324"/>
      <c r="J16" s="324"/>
      <c r="K16" s="324"/>
      <c r="L16" s="405" t="s">
        <v>401</v>
      </c>
      <c r="M16" s="256"/>
      <c r="N16" s="325" t="str">
        <f>"NPV "&amp;FirstYr-1&amp;" $"</f>
        <v>NPV 2013 $</v>
      </c>
      <c r="O16" s="311"/>
      <c r="P16" s="325" t="s">
        <v>491</v>
      </c>
      <c r="Q16" s="310"/>
      <c r="R16" s="325">
        <f>R$8</f>
        <v>2014</v>
      </c>
      <c r="S16" s="325">
        <f t="shared" ref="S16:AU16" si="4">S$8</f>
        <v>2015</v>
      </c>
      <c r="T16" s="325">
        <f t="shared" si="4"/>
        <v>2016</v>
      </c>
      <c r="U16" s="325">
        <f t="shared" si="4"/>
        <v>2017</v>
      </c>
      <c r="V16" s="325">
        <f t="shared" si="4"/>
        <v>2018</v>
      </c>
      <c r="W16" s="325">
        <f t="shared" si="4"/>
        <v>2019</v>
      </c>
      <c r="X16" s="325">
        <f t="shared" si="4"/>
        <v>2020</v>
      </c>
      <c r="Y16" s="325">
        <f t="shared" si="4"/>
        <v>2021</v>
      </c>
      <c r="Z16" s="325">
        <f t="shared" si="4"/>
        <v>2022</v>
      </c>
      <c r="AA16" s="325">
        <f t="shared" si="4"/>
        <v>2023</v>
      </c>
      <c r="AB16" s="325">
        <f t="shared" si="4"/>
        <v>2024</v>
      </c>
      <c r="AC16" s="325">
        <f t="shared" si="4"/>
        <v>2025</v>
      </c>
      <c r="AD16" s="325">
        <f t="shared" si="4"/>
        <v>2026</v>
      </c>
      <c r="AE16" s="325">
        <f t="shared" si="4"/>
        <v>2027</v>
      </c>
      <c r="AF16" s="325">
        <f t="shared" si="4"/>
        <v>2028</v>
      </c>
      <c r="AG16" s="325">
        <f t="shared" si="4"/>
        <v>2029</v>
      </c>
      <c r="AH16" s="325">
        <f t="shared" si="4"/>
        <v>2030</v>
      </c>
      <c r="AI16" s="325">
        <f t="shared" si="4"/>
        <v>2031</v>
      </c>
      <c r="AJ16" s="325">
        <f t="shared" si="4"/>
        <v>2032</v>
      </c>
      <c r="AK16" s="325">
        <f t="shared" si="4"/>
        <v>2033</v>
      </c>
      <c r="AL16" s="325">
        <f t="shared" si="4"/>
        <v>2034</v>
      </c>
      <c r="AM16" s="325">
        <f t="shared" si="4"/>
        <v>2035</v>
      </c>
      <c r="AN16" s="325">
        <f t="shared" si="4"/>
        <v>2036</v>
      </c>
      <c r="AO16" s="325">
        <f t="shared" si="4"/>
        <v>2037</v>
      </c>
      <c r="AP16" s="325">
        <f t="shared" si="4"/>
        <v>2038</v>
      </c>
      <c r="AQ16" s="325">
        <f t="shared" si="4"/>
        <v>2039</v>
      </c>
      <c r="AR16" s="325">
        <f t="shared" si="4"/>
        <v>2040</v>
      </c>
      <c r="AS16" s="325">
        <f t="shared" si="4"/>
        <v>2041</v>
      </c>
      <c r="AT16" s="325">
        <f t="shared" si="4"/>
        <v>2042</v>
      </c>
      <c r="AU16" s="325">
        <f t="shared" si="4"/>
        <v>2043</v>
      </c>
    </row>
    <row r="17" spans="2:47">
      <c r="E17" s="49"/>
      <c r="G17" s="39"/>
      <c r="H17" s="28"/>
      <c r="I17" s="28"/>
      <c r="J17" s="28"/>
      <c r="K17" s="28"/>
      <c r="L17" s="406"/>
      <c r="M17" s="28"/>
      <c r="N17" s="28"/>
      <c r="O17" s="197"/>
      <c r="Q17" s="197"/>
    </row>
    <row r="18" spans="2:47">
      <c r="E18" s="49"/>
      <c r="G18" s="39" t="s">
        <v>23</v>
      </c>
      <c r="H18" s="28"/>
      <c r="I18" s="28"/>
      <c r="J18" s="28"/>
      <c r="K18" s="28"/>
      <c r="L18" s="406"/>
      <c r="M18" s="28"/>
      <c r="N18" s="28"/>
      <c r="O18" s="197"/>
      <c r="Q18" s="197"/>
    </row>
    <row r="19" spans="2:47">
      <c r="B19" s="38" t="s">
        <v>262</v>
      </c>
      <c r="E19" s="49"/>
      <c r="G19" s="36" t="s">
        <v>125</v>
      </c>
      <c r="H19" s="28"/>
      <c r="I19" s="28"/>
      <c r="J19" s="527"/>
      <c r="K19" s="28"/>
      <c r="L19" s="43" t="str">
        <f t="shared" ref="L19:L29" si="5">"["&amp;FirstYr-1&amp;" $]"</f>
        <v>[2013 $]</v>
      </c>
      <c r="M19" s="28"/>
      <c r="N19" s="191">
        <f t="shared" ref="N19:N25" ca="1" si="6">NPV(DiscountRt,R19:AU19)</f>
        <v>16171631.830854949</v>
      </c>
      <c r="O19" s="189"/>
      <c r="P19" s="321"/>
      <c r="Q19" s="189"/>
      <c r="R19" s="190">
        <f t="shared" ref="R19:AU19" ca="1" si="7">IF($P19=0,SUMIF($B$96:$B$496,$B19,R$96:R$496),IF(OR(S$99&lt;InServiceYr,S$99&gt;(InServiceYr+analysis_period)),0,$P19*(1+LaborEsc)^(R$16-FirstYr)))</f>
        <v>1205321.25</v>
      </c>
      <c r="S19" s="190">
        <f t="shared" ca="1" si="7"/>
        <v>1229427.675</v>
      </c>
      <c r="T19" s="190">
        <f t="shared" ca="1" si="7"/>
        <v>1254016.2285</v>
      </c>
      <c r="U19" s="190">
        <f t="shared" ca="1" si="7"/>
        <v>1279096.5530699999</v>
      </c>
      <c r="V19" s="190">
        <f t="shared" ca="1" si="7"/>
        <v>1304678.4841314</v>
      </c>
      <c r="W19" s="190">
        <f t="shared" ca="1" si="7"/>
        <v>1330772.0538140282</v>
      </c>
      <c r="X19" s="190">
        <f t="shared" ca="1" si="7"/>
        <v>1357387.4948903085</v>
      </c>
      <c r="Y19" s="190">
        <f t="shared" ca="1" si="7"/>
        <v>1384535.2447881147</v>
      </c>
      <c r="Z19" s="190">
        <f t="shared" ca="1" si="7"/>
        <v>1412225.9496838769</v>
      </c>
      <c r="AA19" s="190">
        <f t="shared" ca="1" si="7"/>
        <v>1440470.4686775545</v>
      </c>
      <c r="AB19" s="190">
        <f t="shared" ca="1" si="7"/>
        <v>1469279.8780511054</v>
      </c>
      <c r="AC19" s="190">
        <f t="shared" ca="1" si="7"/>
        <v>1498665.4756121277</v>
      </c>
      <c r="AD19" s="190">
        <f t="shared" ca="1" si="7"/>
        <v>1528638.7851243701</v>
      </c>
      <c r="AE19" s="190">
        <f t="shared" ca="1" si="7"/>
        <v>1559211.5608268578</v>
      </c>
      <c r="AF19" s="190">
        <f t="shared" ca="1" si="7"/>
        <v>1590395.7920433944</v>
      </c>
      <c r="AG19" s="190">
        <f t="shared" ca="1" si="7"/>
        <v>1622203.7078842628</v>
      </c>
      <c r="AH19" s="190">
        <f t="shared" ca="1" si="7"/>
        <v>1654647.7820419481</v>
      </c>
      <c r="AI19" s="190">
        <f t="shared" ca="1" si="7"/>
        <v>1687740.7376827868</v>
      </c>
      <c r="AJ19" s="190">
        <f t="shared" ca="1" si="7"/>
        <v>1721495.5524364426</v>
      </c>
      <c r="AK19" s="190">
        <f t="shared" ca="1" si="7"/>
        <v>1755925.4634851716</v>
      </c>
      <c r="AL19" s="190">
        <f t="shared" si="7"/>
        <v>0</v>
      </c>
      <c r="AM19" s="190">
        <f t="shared" si="7"/>
        <v>0</v>
      </c>
      <c r="AN19" s="190">
        <f t="shared" si="7"/>
        <v>0</v>
      </c>
      <c r="AO19" s="190">
        <f t="shared" si="7"/>
        <v>0</v>
      </c>
      <c r="AP19" s="190">
        <f t="shared" si="7"/>
        <v>0</v>
      </c>
      <c r="AQ19" s="190">
        <f t="shared" si="7"/>
        <v>0</v>
      </c>
      <c r="AR19" s="190">
        <f t="shared" si="7"/>
        <v>0</v>
      </c>
      <c r="AS19" s="190">
        <f t="shared" si="7"/>
        <v>0</v>
      </c>
      <c r="AT19" s="190">
        <f t="shared" si="7"/>
        <v>0</v>
      </c>
      <c r="AU19" s="190">
        <f t="shared" si="7"/>
        <v>0</v>
      </c>
    </row>
    <row r="20" spans="2:47">
      <c r="B20" s="38" t="s">
        <v>270</v>
      </c>
      <c r="E20" s="49"/>
      <c r="G20" s="36" t="s">
        <v>126</v>
      </c>
      <c r="H20" s="28"/>
      <c r="I20" s="28"/>
      <c r="J20" s="527"/>
      <c r="K20" s="28"/>
      <c r="L20" s="43" t="str">
        <f t="shared" si="5"/>
        <v>[2013 $]</v>
      </c>
      <c r="M20" s="28"/>
      <c r="N20" s="191">
        <f t="shared" ca="1" si="6"/>
        <v>4529801.7758612046</v>
      </c>
      <c r="O20" s="189"/>
      <c r="P20" s="321"/>
      <c r="Q20" s="189"/>
      <c r="R20" s="190">
        <f t="shared" ref="R20:AU20" ca="1" si="8">IF($P20=0,SUMIF($B$96:$B$496,$B20,R$96:R$496),IF(OR(S$99&lt;InServiceYr,S$99&gt;(InServiceYr+analysis_period)),0,$P20*(1+LaborEsc)^(R$16-FirstYr)))</f>
        <v>337620</v>
      </c>
      <c r="S20" s="190">
        <f t="shared" ca="1" si="8"/>
        <v>344372.4</v>
      </c>
      <c r="T20" s="190">
        <f t="shared" ca="1" si="8"/>
        <v>351259.84799999994</v>
      </c>
      <c r="U20" s="190">
        <f t="shared" ca="1" si="8"/>
        <v>358285.04495999997</v>
      </c>
      <c r="V20" s="190">
        <f t="shared" ca="1" si="8"/>
        <v>365450.74585920002</v>
      </c>
      <c r="W20" s="190">
        <f t="shared" ca="1" si="8"/>
        <v>372759.76077638404</v>
      </c>
      <c r="X20" s="190">
        <f t="shared" ca="1" si="8"/>
        <v>380214.95599191164</v>
      </c>
      <c r="Y20" s="190">
        <f t="shared" ca="1" si="8"/>
        <v>387819.25511174987</v>
      </c>
      <c r="Z20" s="190">
        <f t="shared" ca="1" si="8"/>
        <v>395575.64021398494</v>
      </c>
      <c r="AA20" s="190">
        <f t="shared" ca="1" si="8"/>
        <v>403487.15301826462</v>
      </c>
      <c r="AB20" s="190">
        <f t="shared" ca="1" si="8"/>
        <v>411556.89607862977</v>
      </c>
      <c r="AC20" s="190">
        <f t="shared" ca="1" si="8"/>
        <v>419788.03400020255</v>
      </c>
      <c r="AD20" s="190">
        <f t="shared" ca="1" si="8"/>
        <v>428183.79468020645</v>
      </c>
      <c r="AE20" s="190">
        <f t="shared" ca="1" si="8"/>
        <v>436747.47057381069</v>
      </c>
      <c r="AF20" s="190">
        <f t="shared" ca="1" si="8"/>
        <v>445482.41998528678</v>
      </c>
      <c r="AG20" s="190">
        <f t="shared" ca="1" si="8"/>
        <v>454392.06838499254</v>
      </c>
      <c r="AH20" s="190">
        <f t="shared" ca="1" si="8"/>
        <v>463479.90975269245</v>
      </c>
      <c r="AI20" s="190">
        <f t="shared" ca="1" si="8"/>
        <v>472749.50794774626</v>
      </c>
      <c r="AJ20" s="190">
        <f t="shared" ca="1" si="8"/>
        <v>482204.49810670118</v>
      </c>
      <c r="AK20" s="190">
        <f t="shared" ca="1" si="8"/>
        <v>491848.58806883526</v>
      </c>
      <c r="AL20" s="190">
        <f t="shared" si="8"/>
        <v>0</v>
      </c>
      <c r="AM20" s="190">
        <f t="shared" si="8"/>
        <v>0</v>
      </c>
      <c r="AN20" s="190">
        <f t="shared" si="8"/>
        <v>0</v>
      </c>
      <c r="AO20" s="190">
        <f t="shared" si="8"/>
        <v>0</v>
      </c>
      <c r="AP20" s="190">
        <f t="shared" si="8"/>
        <v>0</v>
      </c>
      <c r="AQ20" s="190">
        <f t="shared" si="8"/>
        <v>0</v>
      </c>
      <c r="AR20" s="190">
        <f t="shared" si="8"/>
        <v>0</v>
      </c>
      <c r="AS20" s="190">
        <f t="shared" si="8"/>
        <v>0</v>
      </c>
      <c r="AT20" s="190">
        <f t="shared" si="8"/>
        <v>0</v>
      </c>
      <c r="AU20" s="190">
        <f t="shared" si="8"/>
        <v>0</v>
      </c>
    </row>
    <row r="21" spans="2:47">
      <c r="B21" s="38" t="s">
        <v>263</v>
      </c>
      <c r="E21" s="49"/>
      <c r="G21" s="36" t="s">
        <v>127</v>
      </c>
      <c r="H21" s="28"/>
      <c r="I21" s="28"/>
      <c r="J21" s="527"/>
      <c r="K21" s="28"/>
      <c r="L21" s="43" t="str">
        <f t="shared" si="5"/>
        <v>[2013 $]</v>
      </c>
      <c r="M21" s="28"/>
      <c r="N21" s="191">
        <f t="shared" ca="1" si="6"/>
        <v>4912987.4245745381</v>
      </c>
      <c r="O21" s="189"/>
      <c r="P21" s="321"/>
      <c r="Q21" s="189"/>
      <c r="R21" s="190">
        <f t="shared" ref="R21:AU21" ca="1" si="9">IF($P21=0,SUMIF($B$96:$B$496,$B21,R$96:R$496),IF(OR(S$99&lt;InServiceYr,S$99&gt;(InServiceYr+analysis_period)),0,$P21*(1+LaborEsc)^(R$16-FirstYr)))</f>
        <v>366180</v>
      </c>
      <c r="S21" s="190">
        <f t="shared" ca="1" si="9"/>
        <v>373503.6</v>
      </c>
      <c r="T21" s="190">
        <f t="shared" ca="1" si="9"/>
        <v>380973.67200000002</v>
      </c>
      <c r="U21" s="190">
        <f t="shared" ca="1" si="9"/>
        <v>388593.14543999999</v>
      </c>
      <c r="V21" s="190">
        <f t="shared" ca="1" si="9"/>
        <v>396365.00834880001</v>
      </c>
      <c r="W21" s="190">
        <f t="shared" ca="1" si="9"/>
        <v>404292.30851577607</v>
      </c>
      <c r="X21" s="190">
        <f t="shared" ca="1" si="9"/>
        <v>412378.15468609147</v>
      </c>
      <c r="Y21" s="190">
        <f t="shared" ca="1" si="9"/>
        <v>420625.71777981333</v>
      </c>
      <c r="Z21" s="190">
        <f t="shared" ca="1" si="9"/>
        <v>429038.23213540955</v>
      </c>
      <c r="AA21" s="190">
        <f t="shared" ca="1" si="9"/>
        <v>437618.99677811784</v>
      </c>
      <c r="AB21" s="190">
        <f t="shared" ca="1" si="9"/>
        <v>446371.37671367999</v>
      </c>
      <c r="AC21" s="190">
        <f t="shared" ca="1" si="9"/>
        <v>455298.8042479537</v>
      </c>
      <c r="AD21" s="190">
        <f t="shared" ca="1" si="9"/>
        <v>464404.78033291281</v>
      </c>
      <c r="AE21" s="190">
        <f t="shared" ca="1" si="9"/>
        <v>473692.87593957107</v>
      </c>
      <c r="AF21" s="190">
        <f t="shared" ca="1" si="9"/>
        <v>483166.7334583624</v>
      </c>
      <c r="AG21" s="190">
        <f t="shared" ca="1" si="9"/>
        <v>492830.0681275297</v>
      </c>
      <c r="AH21" s="190">
        <f t="shared" ca="1" si="9"/>
        <v>502686.66949008033</v>
      </c>
      <c r="AI21" s="190">
        <f t="shared" ca="1" si="9"/>
        <v>512740.40287988191</v>
      </c>
      <c r="AJ21" s="190">
        <f t="shared" ca="1" si="9"/>
        <v>522995.21093747951</v>
      </c>
      <c r="AK21" s="190">
        <f t="shared" ca="1" si="9"/>
        <v>533455.11515622912</v>
      </c>
      <c r="AL21" s="190">
        <f t="shared" si="9"/>
        <v>0</v>
      </c>
      <c r="AM21" s="190">
        <f t="shared" si="9"/>
        <v>0</v>
      </c>
      <c r="AN21" s="190">
        <f t="shared" si="9"/>
        <v>0</v>
      </c>
      <c r="AO21" s="190">
        <f t="shared" si="9"/>
        <v>0</v>
      </c>
      <c r="AP21" s="190">
        <f t="shared" si="9"/>
        <v>0</v>
      </c>
      <c r="AQ21" s="190">
        <f t="shared" si="9"/>
        <v>0</v>
      </c>
      <c r="AR21" s="190">
        <f t="shared" si="9"/>
        <v>0</v>
      </c>
      <c r="AS21" s="190">
        <f t="shared" si="9"/>
        <v>0</v>
      </c>
      <c r="AT21" s="190">
        <f t="shared" si="9"/>
        <v>0</v>
      </c>
      <c r="AU21" s="190">
        <f t="shared" si="9"/>
        <v>0</v>
      </c>
    </row>
    <row r="22" spans="2:47">
      <c r="B22" s="38" t="s">
        <v>277</v>
      </c>
      <c r="E22" s="49"/>
      <c r="G22" s="36" t="s">
        <v>276</v>
      </c>
      <c r="H22" s="28"/>
      <c r="I22" s="28"/>
      <c r="J22" s="527"/>
      <c r="K22" s="28"/>
      <c r="L22" s="43" t="str">
        <f t="shared" si="5"/>
        <v>[2013 $]</v>
      </c>
      <c r="M22" s="28"/>
      <c r="N22" s="191">
        <f t="shared" ca="1" si="6"/>
        <v>2641243.9357740558</v>
      </c>
      <c r="O22" s="189"/>
      <c r="P22" s="321"/>
      <c r="Q22" s="189"/>
      <c r="R22" s="190">
        <f t="shared" ref="R22:AU22" ca="1" si="10">IF($P22=0,SUMIF($B$96:$B$496,$B22,R$96:R$496),IF(OR(S$99&lt;InServiceYr,S$99&gt;(InServiceYr+analysis_period)),0,$P22*(1+LaborEsc)^(R$16-FirstYr)))</f>
        <v>196860</v>
      </c>
      <c r="S22" s="190">
        <f t="shared" ca="1" si="10"/>
        <v>200797.2</v>
      </c>
      <c r="T22" s="190">
        <f t="shared" ca="1" si="10"/>
        <v>204813.14399999997</v>
      </c>
      <c r="U22" s="190">
        <f t="shared" ca="1" si="10"/>
        <v>208909.40687999999</v>
      </c>
      <c r="V22" s="190">
        <f t="shared" ca="1" si="10"/>
        <v>213087.59501760002</v>
      </c>
      <c r="W22" s="190">
        <f t="shared" ca="1" si="10"/>
        <v>217349.346917952</v>
      </c>
      <c r="X22" s="190">
        <f t="shared" ca="1" si="10"/>
        <v>221696.33385631102</v>
      </c>
      <c r="Y22" s="190">
        <f t="shared" ca="1" si="10"/>
        <v>226130.26053343725</v>
      </c>
      <c r="Z22" s="190">
        <f t="shared" ca="1" si="10"/>
        <v>230652.86574410601</v>
      </c>
      <c r="AA22" s="190">
        <f t="shared" ca="1" si="10"/>
        <v>235265.92305898812</v>
      </c>
      <c r="AB22" s="190">
        <f t="shared" ca="1" si="10"/>
        <v>239971.24152016785</v>
      </c>
      <c r="AC22" s="190">
        <f t="shared" ca="1" si="10"/>
        <v>244770.66635057123</v>
      </c>
      <c r="AD22" s="190">
        <f t="shared" ca="1" si="10"/>
        <v>249666.07967758266</v>
      </c>
      <c r="AE22" s="190">
        <f t="shared" ca="1" si="10"/>
        <v>254659.40127113432</v>
      </c>
      <c r="AF22" s="190">
        <f t="shared" ca="1" si="10"/>
        <v>259752.58929655695</v>
      </c>
      <c r="AG22" s="190">
        <f t="shared" ca="1" si="10"/>
        <v>264947.64108248812</v>
      </c>
      <c r="AH22" s="190">
        <f t="shared" ca="1" si="10"/>
        <v>270246.5939041379</v>
      </c>
      <c r="AI22" s="190">
        <f t="shared" ca="1" si="10"/>
        <v>275651.52578222065</v>
      </c>
      <c r="AJ22" s="190">
        <f t="shared" ca="1" si="10"/>
        <v>281164.55629786506</v>
      </c>
      <c r="AK22" s="190">
        <f t="shared" ca="1" si="10"/>
        <v>286787.84742382239</v>
      </c>
      <c r="AL22" s="190">
        <f t="shared" si="10"/>
        <v>0</v>
      </c>
      <c r="AM22" s="190">
        <f t="shared" si="10"/>
        <v>0</v>
      </c>
      <c r="AN22" s="190">
        <f t="shared" si="10"/>
        <v>0</v>
      </c>
      <c r="AO22" s="190">
        <f t="shared" si="10"/>
        <v>0</v>
      </c>
      <c r="AP22" s="190">
        <f t="shared" si="10"/>
        <v>0</v>
      </c>
      <c r="AQ22" s="190">
        <f t="shared" si="10"/>
        <v>0</v>
      </c>
      <c r="AR22" s="190">
        <f t="shared" si="10"/>
        <v>0</v>
      </c>
      <c r="AS22" s="190">
        <f t="shared" si="10"/>
        <v>0</v>
      </c>
      <c r="AT22" s="190">
        <f t="shared" si="10"/>
        <v>0</v>
      </c>
      <c r="AU22" s="190">
        <f t="shared" si="10"/>
        <v>0</v>
      </c>
    </row>
    <row r="23" spans="2:47">
      <c r="B23" s="38" t="s">
        <v>274</v>
      </c>
      <c r="E23" s="49"/>
      <c r="G23" s="36" t="s">
        <v>16</v>
      </c>
      <c r="H23" s="28"/>
      <c r="I23" s="28"/>
      <c r="J23" s="527"/>
      <c r="K23" s="28"/>
      <c r="L23" s="43" t="str">
        <f t="shared" si="5"/>
        <v>[2013 $]</v>
      </c>
      <c r="M23" s="28"/>
      <c r="N23" s="191">
        <f t="shared" ca="1" si="6"/>
        <v>0</v>
      </c>
      <c r="O23" s="189"/>
      <c r="P23" s="321"/>
      <c r="Q23" s="189"/>
      <c r="R23" s="190">
        <f t="shared" ref="R23:AU23" ca="1" si="11">IF($P23=0,SUMIF($B$96:$B$496,$B23,R$96:R$496),IF(OR(S$99&lt;InServiceYr,S$99&gt;(InServiceYr+analysis_period)),0,$P23*(1+LaborEsc)^(R$16-FirstYr)))</f>
        <v>0</v>
      </c>
      <c r="S23" s="190">
        <f t="shared" ca="1" si="11"/>
        <v>0</v>
      </c>
      <c r="T23" s="190">
        <f t="shared" ca="1" si="11"/>
        <v>0</v>
      </c>
      <c r="U23" s="190">
        <f t="shared" ca="1" si="11"/>
        <v>0</v>
      </c>
      <c r="V23" s="190">
        <f t="shared" ca="1" si="11"/>
        <v>0</v>
      </c>
      <c r="W23" s="190">
        <f t="shared" ca="1" si="11"/>
        <v>0</v>
      </c>
      <c r="X23" s="190">
        <f t="shared" ca="1" si="11"/>
        <v>0</v>
      </c>
      <c r="Y23" s="190">
        <f t="shared" ca="1" si="11"/>
        <v>0</v>
      </c>
      <c r="Z23" s="190">
        <f t="shared" ca="1" si="11"/>
        <v>0</v>
      </c>
      <c r="AA23" s="190">
        <f t="shared" ca="1" si="11"/>
        <v>0</v>
      </c>
      <c r="AB23" s="190">
        <f t="shared" ca="1" si="11"/>
        <v>0</v>
      </c>
      <c r="AC23" s="190">
        <f t="shared" ca="1" si="11"/>
        <v>0</v>
      </c>
      <c r="AD23" s="190">
        <f t="shared" ca="1" si="11"/>
        <v>0</v>
      </c>
      <c r="AE23" s="190">
        <f t="shared" ca="1" si="11"/>
        <v>0</v>
      </c>
      <c r="AF23" s="190">
        <f t="shared" ca="1" si="11"/>
        <v>0</v>
      </c>
      <c r="AG23" s="190">
        <f t="shared" ca="1" si="11"/>
        <v>0</v>
      </c>
      <c r="AH23" s="190">
        <f t="shared" ca="1" si="11"/>
        <v>0</v>
      </c>
      <c r="AI23" s="190">
        <f t="shared" ca="1" si="11"/>
        <v>0</v>
      </c>
      <c r="AJ23" s="190">
        <f t="shared" ca="1" si="11"/>
        <v>0</v>
      </c>
      <c r="AK23" s="190">
        <f t="shared" ca="1" si="11"/>
        <v>0</v>
      </c>
      <c r="AL23" s="190">
        <f t="shared" si="11"/>
        <v>0</v>
      </c>
      <c r="AM23" s="190">
        <f t="shared" si="11"/>
        <v>0</v>
      </c>
      <c r="AN23" s="190">
        <f t="shared" si="11"/>
        <v>0</v>
      </c>
      <c r="AO23" s="190">
        <f t="shared" si="11"/>
        <v>0</v>
      </c>
      <c r="AP23" s="190">
        <f t="shared" si="11"/>
        <v>0</v>
      </c>
      <c r="AQ23" s="190">
        <f t="shared" si="11"/>
        <v>0</v>
      </c>
      <c r="AR23" s="190">
        <f t="shared" si="11"/>
        <v>0</v>
      </c>
      <c r="AS23" s="190">
        <f t="shared" si="11"/>
        <v>0</v>
      </c>
      <c r="AT23" s="190">
        <f t="shared" si="11"/>
        <v>0</v>
      </c>
      <c r="AU23" s="190">
        <f t="shared" si="11"/>
        <v>0</v>
      </c>
    </row>
    <row r="24" spans="2:47">
      <c r="B24" s="38" t="s">
        <v>257</v>
      </c>
      <c r="E24" s="49"/>
      <c r="G24" s="36" t="s">
        <v>284</v>
      </c>
      <c r="H24" s="28"/>
      <c r="I24" s="28"/>
      <c r="J24" s="527"/>
      <c r="K24" s="28"/>
      <c r="L24" s="43" t="str">
        <f t="shared" si="5"/>
        <v>[2013 $]</v>
      </c>
      <c r="M24" s="28"/>
      <c r="N24" s="191">
        <f t="shared" ca="1" si="6"/>
        <v>539934.9098973209</v>
      </c>
      <c r="O24" s="189"/>
      <c r="P24" s="321"/>
      <c r="Q24" s="189"/>
      <c r="R24" s="190">
        <f t="shared" ref="R24:AU24" ca="1" si="12">IF($P24=0,SUMIF($B$96:$B$496,$B24,R$96:R$496),IF(OR(S$99&lt;InServiceYr,S$99&gt;(InServiceYr+analysis_period)),0,$P24*(1+LaborEsc)^(R$16-FirstYr)))</f>
        <v>39320.480408819567</v>
      </c>
      <c r="S24" s="190">
        <f t="shared" ca="1" si="12"/>
        <v>39565.585853410295</v>
      </c>
      <c r="T24" s="190">
        <f t="shared" ca="1" si="12"/>
        <v>41271.255944860954</v>
      </c>
      <c r="U24" s="190">
        <f t="shared" ca="1" si="12"/>
        <v>42509.290348149239</v>
      </c>
      <c r="V24" s="190">
        <f t="shared" ca="1" si="12"/>
        <v>43535.086723650027</v>
      </c>
      <c r="W24" s="190">
        <f t="shared" ca="1" si="12"/>
        <v>44092.043400267408</v>
      </c>
      <c r="X24" s="190">
        <f t="shared" ca="1" si="12"/>
        <v>44809.52999596575</v>
      </c>
      <c r="Y24" s="190">
        <f t="shared" ca="1" si="12"/>
        <v>45913.545550721552</v>
      </c>
      <c r="Z24" s="190">
        <f t="shared" ca="1" si="12"/>
        <v>47012.747138473838</v>
      </c>
      <c r="AA24" s="190">
        <f t="shared" ca="1" si="12"/>
        <v>48188.181287791471</v>
      </c>
      <c r="AB24" s="190">
        <f t="shared" ca="1" si="12"/>
        <v>49231.927802438178</v>
      </c>
      <c r="AC24" s="190">
        <f t="shared" ca="1" si="12"/>
        <v>50179.955464764033</v>
      </c>
      <c r="AD24" s="190">
        <f t="shared" ca="1" si="12"/>
        <v>51339.102255259095</v>
      </c>
      <c r="AE24" s="190">
        <f t="shared" ca="1" si="12"/>
        <v>52509.205543315387</v>
      </c>
      <c r="AF24" s="190">
        <f t="shared" ca="1" si="12"/>
        <v>53757.696156951555</v>
      </c>
      <c r="AG24" s="190">
        <f t="shared" ca="1" si="12"/>
        <v>55156.299921051308</v>
      </c>
      <c r="AH24" s="190">
        <f t="shared" ca="1" si="12"/>
        <v>56508.040681656312</v>
      </c>
      <c r="AI24" s="190">
        <f t="shared" ca="1" si="12"/>
        <v>57973.948645060904</v>
      </c>
      <c r="AJ24" s="190">
        <f t="shared" ca="1" si="12"/>
        <v>59525.825049826664</v>
      </c>
      <c r="AK24" s="190">
        <f t="shared" ca="1" si="12"/>
        <v>61145.121903208244</v>
      </c>
      <c r="AL24" s="190">
        <f t="shared" si="12"/>
        <v>0</v>
      </c>
      <c r="AM24" s="190">
        <f t="shared" si="12"/>
        <v>0</v>
      </c>
      <c r="AN24" s="190">
        <f t="shared" si="12"/>
        <v>0</v>
      </c>
      <c r="AO24" s="190">
        <f t="shared" si="12"/>
        <v>0</v>
      </c>
      <c r="AP24" s="190">
        <f t="shared" si="12"/>
        <v>0</v>
      </c>
      <c r="AQ24" s="190">
        <f t="shared" si="12"/>
        <v>0</v>
      </c>
      <c r="AR24" s="190">
        <f t="shared" si="12"/>
        <v>0</v>
      </c>
      <c r="AS24" s="190">
        <f t="shared" si="12"/>
        <v>0</v>
      </c>
      <c r="AT24" s="190">
        <f t="shared" si="12"/>
        <v>0</v>
      </c>
      <c r="AU24" s="190">
        <f t="shared" si="12"/>
        <v>0</v>
      </c>
    </row>
    <row r="25" spans="2:47">
      <c r="B25" s="38" t="s">
        <v>864</v>
      </c>
      <c r="E25" s="49"/>
      <c r="G25" s="36" t="s">
        <v>865</v>
      </c>
      <c r="H25" s="28"/>
      <c r="I25" s="28"/>
      <c r="J25" s="527"/>
      <c r="K25" s="28"/>
      <c r="L25" s="43" t="str">
        <f t="shared" si="5"/>
        <v>[2013 $]</v>
      </c>
      <c r="M25" s="28"/>
      <c r="N25" s="191">
        <f t="shared" ca="1" si="6"/>
        <v>0</v>
      </c>
      <c r="O25" s="189"/>
      <c r="P25" s="321"/>
      <c r="Q25" s="189"/>
      <c r="R25" s="190">
        <f t="shared" ref="R25:AU25" ca="1" si="13">IF($P25=0,SUMIF($B$96:$B$496,$B25,R$96:R$496),IF(OR(S$99&lt;InServiceYr,S$99&gt;(InServiceYr+analysis_period)),0,$P25*(1+LaborEsc)^(R$16-FirstYr)))</f>
        <v>0</v>
      </c>
      <c r="S25" s="190">
        <f t="shared" ca="1" si="13"/>
        <v>0</v>
      </c>
      <c r="T25" s="190">
        <f t="shared" ca="1" si="13"/>
        <v>0</v>
      </c>
      <c r="U25" s="190">
        <f t="shared" ca="1" si="13"/>
        <v>0</v>
      </c>
      <c r="V25" s="190">
        <f t="shared" ca="1" si="13"/>
        <v>0</v>
      </c>
      <c r="W25" s="190">
        <f t="shared" ca="1" si="13"/>
        <v>0</v>
      </c>
      <c r="X25" s="190">
        <f t="shared" ca="1" si="13"/>
        <v>0</v>
      </c>
      <c r="Y25" s="190">
        <f t="shared" ca="1" si="13"/>
        <v>0</v>
      </c>
      <c r="Z25" s="190">
        <f t="shared" ca="1" si="13"/>
        <v>0</v>
      </c>
      <c r="AA25" s="190">
        <f t="shared" ca="1" si="13"/>
        <v>0</v>
      </c>
      <c r="AB25" s="190">
        <f t="shared" ca="1" si="13"/>
        <v>0</v>
      </c>
      <c r="AC25" s="190">
        <f t="shared" ca="1" si="13"/>
        <v>0</v>
      </c>
      <c r="AD25" s="190">
        <f t="shared" ca="1" si="13"/>
        <v>0</v>
      </c>
      <c r="AE25" s="190">
        <f t="shared" ca="1" si="13"/>
        <v>0</v>
      </c>
      <c r="AF25" s="190">
        <f t="shared" ca="1" si="13"/>
        <v>0</v>
      </c>
      <c r="AG25" s="190">
        <f t="shared" ca="1" si="13"/>
        <v>0</v>
      </c>
      <c r="AH25" s="190">
        <f t="shared" ca="1" si="13"/>
        <v>0</v>
      </c>
      <c r="AI25" s="190">
        <f t="shared" ca="1" si="13"/>
        <v>0</v>
      </c>
      <c r="AJ25" s="190">
        <f t="shared" ca="1" si="13"/>
        <v>0</v>
      </c>
      <c r="AK25" s="190">
        <f t="shared" ca="1" si="13"/>
        <v>0</v>
      </c>
      <c r="AL25" s="190">
        <f t="shared" si="13"/>
        <v>0</v>
      </c>
      <c r="AM25" s="190">
        <f t="shared" si="13"/>
        <v>0</v>
      </c>
      <c r="AN25" s="190">
        <f t="shared" si="13"/>
        <v>0</v>
      </c>
      <c r="AO25" s="190">
        <f t="shared" si="13"/>
        <v>0</v>
      </c>
      <c r="AP25" s="190">
        <f t="shared" si="13"/>
        <v>0</v>
      </c>
      <c r="AQ25" s="190">
        <f t="shared" si="13"/>
        <v>0</v>
      </c>
      <c r="AR25" s="190">
        <f t="shared" si="13"/>
        <v>0</v>
      </c>
      <c r="AS25" s="190">
        <f t="shared" si="13"/>
        <v>0</v>
      </c>
      <c r="AT25" s="190">
        <f t="shared" si="13"/>
        <v>0</v>
      </c>
      <c r="AU25" s="190">
        <f t="shared" si="13"/>
        <v>0</v>
      </c>
    </row>
    <row r="26" spans="2:47">
      <c r="B26" s="38" t="s">
        <v>273</v>
      </c>
      <c r="E26" s="49"/>
      <c r="G26" s="36" t="s">
        <v>291</v>
      </c>
      <c r="H26" s="28"/>
      <c r="I26" s="28"/>
      <c r="J26" s="527"/>
      <c r="K26" s="28"/>
      <c r="L26" s="43" t="str">
        <f t="shared" si="5"/>
        <v>[2013 $]</v>
      </c>
      <c r="M26" s="28"/>
      <c r="N26" s="191">
        <f t="shared" ref="N26:N29" ca="1" si="14">NPV(DiscountRt,R26:AU26)</f>
        <v>48081.832759436431</v>
      </c>
      <c r="O26" s="189"/>
      <c r="P26" s="321"/>
      <c r="Q26" s="189"/>
      <c r="R26" s="190">
        <f t="shared" ref="R26:AU26" ca="1" si="15">IF($P26=0,SUMIF($B$96:$B$496,$B26,R$96:R$496),IF(OR(S$99&lt;InServiceYr,S$99&gt;(InServiceYr+analysis_period)),0,$P26*(1+LaborEsc)^(R$16-FirstYr)))</f>
        <v>0</v>
      </c>
      <c r="S26" s="190">
        <f t="shared" ca="1" si="15"/>
        <v>0</v>
      </c>
      <c r="T26" s="190">
        <f t="shared" ca="1" si="15"/>
        <v>0</v>
      </c>
      <c r="U26" s="190">
        <f t="shared" ca="1" si="15"/>
        <v>0</v>
      </c>
      <c r="V26" s="190">
        <f t="shared" ca="1" si="15"/>
        <v>20977.535260799999</v>
      </c>
      <c r="W26" s="190">
        <f t="shared" ca="1" si="15"/>
        <v>0</v>
      </c>
      <c r="X26" s="190">
        <f t="shared" ca="1" si="15"/>
        <v>0</v>
      </c>
      <c r="Y26" s="190">
        <f t="shared" ca="1" si="15"/>
        <v>0</v>
      </c>
      <c r="Z26" s="190">
        <f t="shared" ca="1" si="15"/>
        <v>0</v>
      </c>
      <c r="AA26" s="190">
        <f t="shared" ca="1" si="15"/>
        <v>23160.893979900386</v>
      </c>
      <c r="AB26" s="190">
        <f t="shared" ca="1" si="15"/>
        <v>0</v>
      </c>
      <c r="AC26" s="190">
        <f t="shared" ca="1" si="15"/>
        <v>0</v>
      </c>
      <c r="AD26" s="190">
        <f t="shared" ca="1" si="15"/>
        <v>0</v>
      </c>
      <c r="AE26" s="190">
        <f t="shared" ca="1" si="15"/>
        <v>0</v>
      </c>
      <c r="AF26" s="190">
        <f t="shared" ca="1" si="15"/>
        <v>25571.498428158455</v>
      </c>
      <c r="AG26" s="190">
        <f t="shared" ca="1" si="15"/>
        <v>0</v>
      </c>
      <c r="AH26" s="190">
        <f t="shared" ca="1" si="15"/>
        <v>0</v>
      </c>
      <c r="AI26" s="190">
        <f t="shared" ca="1" si="15"/>
        <v>0</v>
      </c>
      <c r="AJ26" s="190">
        <f t="shared" ca="1" si="15"/>
        <v>0</v>
      </c>
      <c r="AK26" s="190">
        <f t="shared" ca="1" si="15"/>
        <v>28233.000523588729</v>
      </c>
      <c r="AL26" s="190">
        <f t="shared" si="15"/>
        <v>0</v>
      </c>
      <c r="AM26" s="190">
        <f t="shared" si="15"/>
        <v>0</v>
      </c>
      <c r="AN26" s="190">
        <f t="shared" si="15"/>
        <v>0</v>
      </c>
      <c r="AO26" s="190">
        <f t="shared" si="15"/>
        <v>0</v>
      </c>
      <c r="AP26" s="190">
        <f t="shared" si="15"/>
        <v>0</v>
      </c>
      <c r="AQ26" s="190">
        <f t="shared" si="15"/>
        <v>0</v>
      </c>
      <c r="AR26" s="190">
        <f t="shared" si="15"/>
        <v>0</v>
      </c>
      <c r="AS26" s="190">
        <f t="shared" si="15"/>
        <v>0</v>
      </c>
      <c r="AT26" s="190">
        <f t="shared" si="15"/>
        <v>0</v>
      </c>
      <c r="AU26" s="190">
        <f t="shared" si="15"/>
        <v>0</v>
      </c>
    </row>
    <row r="27" spans="2:47">
      <c r="E27" s="49"/>
      <c r="G27" s="36" t="s">
        <v>497</v>
      </c>
      <c r="H27" s="28"/>
      <c r="I27" s="28"/>
      <c r="J27" s="527"/>
      <c r="K27" s="28"/>
      <c r="L27" s="43" t="str">
        <f t="shared" si="5"/>
        <v>[2013 $]</v>
      </c>
      <c r="M27" s="28"/>
      <c r="N27" s="191">
        <f t="shared" si="14"/>
        <v>0</v>
      </c>
      <c r="O27" s="189"/>
      <c r="P27" s="319"/>
      <c r="Q27" s="189"/>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row>
    <row r="28" spans="2:47">
      <c r="E28" s="49"/>
      <c r="G28" s="36" t="s">
        <v>498</v>
      </c>
      <c r="H28" s="28"/>
      <c r="I28" s="28"/>
      <c r="J28" s="527"/>
      <c r="K28" s="28"/>
      <c r="L28" s="43" t="str">
        <f t="shared" si="5"/>
        <v>[2013 $]</v>
      </c>
      <c r="M28" s="28"/>
      <c r="N28" s="191">
        <f t="shared" ref="N28" si="16">NPV(DiscountRt,R28:AU28)</f>
        <v>0</v>
      </c>
      <c r="O28" s="189"/>
      <c r="P28" s="319"/>
      <c r="Q28" s="189"/>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row>
    <row r="29" spans="2:47">
      <c r="E29" s="49"/>
      <c r="G29" s="36" t="s">
        <v>499</v>
      </c>
      <c r="H29" s="28"/>
      <c r="I29" s="28"/>
      <c r="J29" s="527"/>
      <c r="K29" s="28"/>
      <c r="L29" s="43" t="str">
        <f t="shared" si="5"/>
        <v>[2013 $]</v>
      </c>
      <c r="M29" s="28"/>
      <c r="N29" s="191">
        <f t="shared" si="14"/>
        <v>0</v>
      </c>
      <c r="O29" s="189"/>
      <c r="P29" s="319"/>
      <c r="Q29" s="189"/>
      <c r="R29" s="321"/>
      <c r="S29" s="321"/>
      <c r="T29" s="321"/>
      <c r="U29" s="321"/>
      <c r="V29" s="321"/>
      <c r="W29" s="32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c r="AT29" s="321"/>
      <c r="AU29" s="321"/>
    </row>
    <row r="30" spans="2:47">
      <c r="E30" s="49"/>
      <c r="G30" s="39" t="s">
        <v>304</v>
      </c>
      <c r="H30" s="28"/>
      <c r="I30" s="28"/>
      <c r="J30" s="28"/>
      <c r="K30" s="28"/>
      <c r="L30" s="358"/>
      <c r="M30" s="28"/>
      <c r="N30" s="60"/>
      <c r="O30" s="312"/>
      <c r="Q30" s="312"/>
    </row>
    <row r="31" spans="2:47">
      <c r="B31" s="38" t="s">
        <v>265</v>
      </c>
      <c r="E31" s="49"/>
      <c r="G31" s="36" t="s">
        <v>108</v>
      </c>
      <c r="H31" s="28"/>
      <c r="I31" s="28"/>
      <c r="J31" s="28"/>
      <c r="K31" s="28"/>
      <c r="L31" s="43" t="str">
        <f>"["&amp;FirstYr-1&amp;" $]"</f>
        <v>[2013 $]</v>
      </c>
      <c r="M31" s="28"/>
      <c r="N31" s="191">
        <f t="shared" ref="N31:N36" ca="1" si="17">NPV(DiscountRt,R31:AU31)</f>
        <v>2201065.0346803814</v>
      </c>
      <c r="O31" s="189"/>
      <c r="P31" s="321"/>
      <c r="Q31" s="189"/>
      <c r="R31" s="190">
        <f t="shared" ref="R31:AU31" ca="1" si="18">IF($P31=0,SUMIF($B$96:$B$496,$B31,R$96:R$496),IF(OR(S$99&lt;InServiceYr,S$99&gt;(InServiceYr+analysis_period)),0,$P31*(1+LaborEsc)^(R$16-FirstYr)))</f>
        <v>160291.4221478035</v>
      </c>
      <c r="S31" s="190">
        <f t="shared" ca="1" si="18"/>
        <v>161290.60374174977</v>
      </c>
      <c r="T31" s="190">
        <f t="shared" ca="1" si="18"/>
        <v>168243.83223313605</v>
      </c>
      <c r="U31" s="190">
        <f t="shared" ca="1" si="18"/>
        <v>173290.72619546097</v>
      </c>
      <c r="V31" s="190">
        <f t="shared" ca="1" si="18"/>
        <v>177472.42382869238</v>
      </c>
      <c r="W31" s="190">
        <f t="shared" ca="1" si="18"/>
        <v>179742.87873772476</v>
      </c>
      <c r="X31" s="190">
        <f t="shared" ca="1" si="18"/>
        <v>182667.73991949906</v>
      </c>
      <c r="Y31" s="190">
        <f t="shared" ca="1" si="18"/>
        <v>187168.30098857009</v>
      </c>
      <c r="Z31" s="190">
        <f t="shared" ca="1" si="18"/>
        <v>191649.2377394959</v>
      </c>
      <c r="AA31" s="190">
        <f t="shared" ca="1" si="18"/>
        <v>196440.93940428423</v>
      </c>
      <c r="AB31" s="190">
        <f t="shared" ca="1" si="18"/>
        <v>200695.81145709378</v>
      </c>
      <c r="AC31" s="190">
        <f t="shared" ca="1" si="18"/>
        <v>204560.48199645945</v>
      </c>
      <c r="AD31" s="190">
        <f t="shared" ca="1" si="18"/>
        <v>209285.78762840282</v>
      </c>
      <c r="AE31" s="190">
        <f t="shared" ca="1" si="18"/>
        <v>214055.75783609884</v>
      </c>
      <c r="AF31" s="190">
        <f t="shared" ca="1" si="18"/>
        <v>219145.27693447276</v>
      </c>
      <c r="AG31" s="190">
        <f t="shared" ca="1" si="18"/>
        <v>224846.7379552424</v>
      </c>
      <c r="AH31" s="190">
        <f t="shared" ca="1" si="18"/>
        <v>230357.16017388678</v>
      </c>
      <c r="AI31" s="190">
        <f t="shared" ca="1" si="18"/>
        <v>236332.98930285155</v>
      </c>
      <c r="AJ31" s="190">
        <f t="shared" ca="1" si="18"/>
        <v>242659.27202705064</v>
      </c>
      <c r="AK31" s="190">
        <f t="shared" ca="1" si="18"/>
        <v>249260.39675414775</v>
      </c>
      <c r="AL31" s="190">
        <f t="shared" si="18"/>
        <v>0</v>
      </c>
      <c r="AM31" s="190">
        <f t="shared" si="18"/>
        <v>0</v>
      </c>
      <c r="AN31" s="190">
        <f t="shared" si="18"/>
        <v>0</v>
      </c>
      <c r="AO31" s="190">
        <f t="shared" si="18"/>
        <v>0</v>
      </c>
      <c r="AP31" s="190">
        <f t="shared" si="18"/>
        <v>0</v>
      </c>
      <c r="AQ31" s="190">
        <f t="shared" si="18"/>
        <v>0</v>
      </c>
      <c r="AR31" s="190">
        <f t="shared" si="18"/>
        <v>0</v>
      </c>
      <c r="AS31" s="190">
        <f t="shared" si="18"/>
        <v>0</v>
      </c>
      <c r="AT31" s="190">
        <f t="shared" si="18"/>
        <v>0</v>
      </c>
      <c r="AU31" s="190">
        <f t="shared" si="18"/>
        <v>0</v>
      </c>
    </row>
    <row r="32" spans="2:47">
      <c r="B32" s="38" t="s">
        <v>289</v>
      </c>
      <c r="E32" s="49"/>
      <c r="G32" s="36" t="s">
        <v>292</v>
      </c>
      <c r="H32" s="28"/>
      <c r="I32" s="28"/>
      <c r="J32" s="28"/>
      <c r="K32" s="28"/>
      <c r="L32" s="43" t="str">
        <f>"["&amp;FirstYr-1&amp;" $]"</f>
        <v>[2013 $]</v>
      </c>
      <c r="M32" s="28"/>
      <c r="N32" s="191">
        <f t="shared" ref="N32:N35" ca="1" si="19">NPV(DiscountRt,R32:AU32)</f>
        <v>0</v>
      </c>
      <c r="O32" s="189"/>
      <c r="P32" s="321"/>
      <c r="Q32" s="189"/>
      <c r="R32" s="190">
        <f t="shared" ref="R32:AU32" ca="1" si="20">IF($P32=0,SUMIF($B$96:$B$496,$B32,R$96:R$496),IF(OR(S$99&lt;InServiceYr,S$99&gt;(InServiceYr+analysis_period)),0,$P32*(1+LaborEsc)^(R$16-FirstYr)))</f>
        <v>0</v>
      </c>
      <c r="S32" s="190">
        <f t="shared" ca="1" si="20"/>
        <v>0</v>
      </c>
      <c r="T32" s="190">
        <f t="shared" ca="1" si="20"/>
        <v>0</v>
      </c>
      <c r="U32" s="190">
        <f t="shared" ca="1" si="20"/>
        <v>0</v>
      </c>
      <c r="V32" s="190">
        <f t="shared" ca="1" si="20"/>
        <v>0</v>
      </c>
      <c r="W32" s="190">
        <f t="shared" ca="1" si="20"/>
        <v>0</v>
      </c>
      <c r="X32" s="190">
        <f t="shared" ca="1" si="20"/>
        <v>0</v>
      </c>
      <c r="Y32" s="190">
        <f t="shared" ca="1" si="20"/>
        <v>0</v>
      </c>
      <c r="Z32" s="190">
        <f t="shared" ca="1" si="20"/>
        <v>0</v>
      </c>
      <c r="AA32" s="190">
        <f t="shared" ca="1" si="20"/>
        <v>0</v>
      </c>
      <c r="AB32" s="190">
        <f t="shared" ca="1" si="20"/>
        <v>0</v>
      </c>
      <c r="AC32" s="190">
        <f t="shared" ca="1" si="20"/>
        <v>0</v>
      </c>
      <c r="AD32" s="190">
        <f t="shared" ca="1" si="20"/>
        <v>0</v>
      </c>
      <c r="AE32" s="190">
        <f t="shared" ca="1" si="20"/>
        <v>0</v>
      </c>
      <c r="AF32" s="190">
        <f t="shared" ca="1" si="20"/>
        <v>0</v>
      </c>
      <c r="AG32" s="190">
        <f t="shared" ca="1" si="20"/>
        <v>0</v>
      </c>
      <c r="AH32" s="190">
        <f t="shared" ca="1" si="20"/>
        <v>0</v>
      </c>
      <c r="AI32" s="190">
        <f t="shared" ca="1" si="20"/>
        <v>0</v>
      </c>
      <c r="AJ32" s="190">
        <f t="shared" ca="1" si="20"/>
        <v>0</v>
      </c>
      <c r="AK32" s="190">
        <f t="shared" ca="1" si="20"/>
        <v>0</v>
      </c>
      <c r="AL32" s="190">
        <f t="shared" si="20"/>
        <v>0</v>
      </c>
      <c r="AM32" s="190">
        <f t="shared" si="20"/>
        <v>0</v>
      </c>
      <c r="AN32" s="190">
        <f t="shared" si="20"/>
        <v>0</v>
      </c>
      <c r="AO32" s="190">
        <f t="shared" si="20"/>
        <v>0</v>
      </c>
      <c r="AP32" s="190">
        <f t="shared" si="20"/>
        <v>0</v>
      </c>
      <c r="AQ32" s="190">
        <f t="shared" si="20"/>
        <v>0</v>
      </c>
      <c r="AR32" s="190">
        <f t="shared" si="20"/>
        <v>0</v>
      </c>
      <c r="AS32" s="190">
        <f t="shared" si="20"/>
        <v>0</v>
      </c>
      <c r="AT32" s="190">
        <f t="shared" si="20"/>
        <v>0</v>
      </c>
      <c r="AU32" s="190">
        <f t="shared" si="20"/>
        <v>0</v>
      </c>
    </row>
    <row r="33" spans="1:47">
      <c r="E33" s="49"/>
      <c r="G33" s="36" t="s">
        <v>500</v>
      </c>
      <c r="H33" s="28"/>
      <c r="I33" s="28"/>
      <c r="J33" s="28"/>
      <c r="K33" s="28"/>
      <c r="L33" s="43" t="str">
        <f>"["&amp;FirstYr-1&amp;" $]"</f>
        <v>[2013 $]</v>
      </c>
      <c r="M33" s="28"/>
      <c r="N33" s="191">
        <f t="shared" si="19"/>
        <v>0</v>
      </c>
      <c r="O33" s="189"/>
      <c r="P33" s="319"/>
      <c r="Q33" s="189"/>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row>
    <row r="34" spans="1:47">
      <c r="E34" s="49"/>
      <c r="G34" s="36" t="s">
        <v>501</v>
      </c>
      <c r="H34" s="28"/>
      <c r="I34" s="28"/>
      <c r="J34" s="28"/>
      <c r="K34" s="28"/>
      <c r="L34" s="43" t="str">
        <f>"["&amp;FirstYr-1&amp;" $]"</f>
        <v>[2013 $]</v>
      </c>
      <c r="M34" s="28"/>
      <c r="N34" s="191">
        <f t="shared" si="19"/>
        <v>0</v>
      </c>
      <c r="O34" s="189"/>
      <c r="P34" s="319"/>
      <c r="Q34" s="189"/>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row>
    <row r="35" spans="1:47">
      <c r="E35" s="49"/>
      <c r="G35" s="36" t="s">
        <v>502</v>
      </c>
      <c r="H35" s="28"/>
      <c r="I35" s="28"/>
      <c r="J35" s="28"/>
      <c r="K35" s="28"/>
      <c r="L35" s="43" t="str">
        <f>"["&amp;FirstYr-1&amp;" $]"</f>
        <v>[2013 $]</v>
      </c>
      <c r="M35" s="28"/>
      <c r="N35" s="191">
        <f t="shared" si="19"/>
        <v>0</v>
      </c>
      <c r="O35" s="189"/>
      <c r="P35" s="319"/>
      <c r="Q35" s="189"/>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row>
    <row r="36" spans="1:47">
      <c r="E36" s="49"/>
      <c r="G36" s="39" t="s">
        <v>305</v>
      </c>
      <c r="H36" s="42"/>
      <c r="I36" s="42"/>
      <c r="J36" s="42"/>
      <c r="K36" s="42"/>
      <c r="L36" s="43"/>
      <c r="M36" s="43"/>
      <c r="N36" s="189">
        <f t="shared" ca="1" si="17"/>
        <v>26642616.675041124</v>
      </c>
      <c r="O36" s="189"/>
      <c r="P36" s="189"/>
      <c r="Q36" s="189"/>
      <c r="R36" s="189">
        <f t="shared" ref="R36:AU36" ca="1" si="21">SUM(R19:R29)-SUM(R31:R35)</f>
        <v>1985010.3082610159</v>
      </c>
      <c r="S36" s="189">
        <f t="shared" ca="1" si="21"/>
        <v>2026375.8571116612</v>
      </c>
      <c r="T36" s="189">
        <f t="shared" ca="1" si="21"/>
        <v>2064090.3162117251</v>
      </c>
      <c r="U36" s="189">
        <f t="shared" ca="1" si="21"/>
        <v>2104102.7145026885</v>
      </c>
      <c r="V36" s="189">
        <f t="shared" ca="1" si="21"/>
        <v>2166622.0315127578</v>
      </c>
      <c r="W36" s="189">
        <f t="shared" ca="1" si="21"/>
        <v>2189522.6346866828</v>
      </c>
      <c r="X36" s="189">
        <f t="shared" ca="1" si="21"/>
        <v>2233818.7295010895</v>
      </c>
      <c r="Y36" s="189">
        <f t="shared" ca="1" si="21"/>
        <v>2277855.7227752665</v>
      </c>
      <c r="Z36" s="189">
        <f t="shared" ca="1" si="21"/>
        <v>2322856.1971763554</v>
      </c>
      <c r="AA36" s="189">
        <f t="shared" ca="1" si="21"/>
        <v>2391750.6773963328</v>
      </c>
      <c r="AB36" s="189">
        <f t="shared" ca="1" si="21"/>
        <v>2415715.5087089278</v>
      </c>
      <c r="AC36" s="189">
        <f t="shared" ca="1" si="21"/>
        <v>2464142.4536791602</v>
      </c>
      <c r="AD36" s="189">
        <f t="shared" ca="1" si="21"/>
        <v>2512946.7544419281</v>
      </c>
      <c r="AE36" s="189">
        <f t="shared" ca="1" si="21"/>
        <v>2562764.7563185906</v>
      </c>
      <c r="AF36" s="189">
        <f t="shared" ca="1" si="21"/>
        <v>2638981.452434238</v>
      </c>
      <c r="AG36" s="189">
        <f t="shared" ca="1" si="21"/>
        <v>2664683.0474450816</v>
      </c>
      <c r="AH36" s="189">
        <f t="shared" ca="1" si="21"/>
        <v>2717211.8356966283</v>
      </c>
      <c r="AI36" s="189">
        <f t="shared" ca="1" si="21"/>
        <v>2770523.1336348448</v>
      </c>
      <c r="AJ36" s="189">
        <f t="shared" ca="1" si="21"/>
        <v>2824726.3708012649</v>
      </c>
      <c r="AK36" s="189">
        <f t="shared" ca="1" si="21"/>
        <v>2908134.7398067075</v>
      </c>
      <c r="AL36" s="189">
        <f t="shared" si="21"/>
        <v>0</v>
      </c>
      <c r="AM36" s="189">
        <f t="shared" si="21"/>
        <v>0</v>
      </c>
      <c r="AN36" s="189">
        <f t="shared" si="21"/>
        <v>0</v>
      </c>
      <c r="AO36" s="189">
        <f t="shared" si="21"/>
        <v>0</v>
      </c>
      <c r="AP36" s="189">
        <f t="shared" si="21"/>
        <v>0</v>
      </c>
      <c r="AQ36" s="189">
        <f t="shared" si="21"/>
        <v>0</v>
      </c>
      <c r="AR36" s="189">
        <f t="shared" si="21"/>
        <v>0</v>
      </c>
      <c r="AS36" s="189">
        <f t="shared" si="21"/>
        <v>0</v>
      </c>
      <c r="AT36" s="189">
        <f t="shared" si="21"/>
        <v>0</v>
      </c>
      <c r="AU36" s="189">
        <f t="shared" si="21"/>
        <v>0</v>
      </c>
    </row>
    <row r="37" spans="1:47" s="28" customFormat="1">
      <c r="E37" s="254"/>
      <c r="L37" s="406"/>
      <c r="O37" s="197"/>
      <c r="Q37" s="197"/>
    </row>
    <row r="38" spans="1:47" s="39" customFormat="1">
      <c r="E38" s="254"/>
      <c r="G38" s="194" t="s">
        <v>488</v>
      </c>
      <c r="L38" s="174"/>
      <c r="N38" s="192">
        <f ca="1">SUM(N36,N14)</f>
        <v>63206644.976927914</v>
      </c>
      <c r="O38" s="189"/>
      <c r="P38" s="320"/>
      <c r="Q38" s="189"/>
      <c r="R38" s="192">
        <f t="shared" ref="R38:AU38" ca="1" si="22">SUM(R36,R14)</f>
        <v>40742880.308261015</v>
      </c>
      <c r="S38" s="192">
        <f t="shared" ca="1" si="22"/>
        <v>2026375.8571116612</v>
      </c>
      <c r="T38" s="192">
        <f t="shared" ca="1" si="22"/>
        <v>2064090.3162117251</v>
      </c>
      <c r="U38" s="192">
        <f t="shared" ca="1" si="22"/>
        <v>2104102.7145026885</v>
      </c>
      <c r="V38" s="192">
        <f t="shared" ca="1" si="22"/>
        <v>2166622.0315127578</v>
      </c>
      <c r="W38" s="192">
        <f t="shared" ca="1" si="22"/>
        <v>2189522.6346866828</v>
      </c>
      <c r="X38" s="192">
        <f t="shared" ca="1" si="22"/>
        <v>2233818.7295010895</v>
      </c>
      <c r="Y38" s="192">
        <f t="shared" ca="1" si="22"/>
        <v>2277855.7227752665</v>
      </c>
      <c r="Z38" s="192">
        <f t="shared" ca="1" si="22"/>
        <v>2322856.1971763554</v>
      </c>
      <c r="AA38" s="192">
        <f t="shared" ca="1" si="22"/>
        <v>2391750.6773963328</v>
      </c>
      <c r="AB38" s="192">
        <f t="shared" ca="1" si="22"/>
        <v>2415715.5087089278</v>
      </c>
      <c r="AC38" s="192">
        <f t="shared" ca="1" si="22"/>
        <v>2464142.4536791602</v>
      </c>
      <c r="AD38" s="192">
        <f t="shared" ca="1" si="22"/>
        <v>2512946.7544419281</v>
      </c>
      <c r="AE38" s="192">
        <f t="shared" ca="1" si="22"/>
        <v>2562764.7563185906</v>
      </c>
      <c r="AF38" s="192">
        <f t="shared" ca="1" si="22"/>
        <v>2638981.452434238</v>
      </c>
      <c r="AG38" s="192">
        <f t="shared" ca="1" si="22"/>
        <v>2664683.0474450816</v>
      </c>
      <c r="AH38" s="192">
        <f t="shared" ca="1" si="22"/>
        <v>2717211.8356966283</v>
      </c>
      <c r="AI38" s="192">
        <f t="shared" ca="1" si="22"/>
        <v>2770523.1336348448</v>
      </c>
      <c r="AJ38" s="192">
        <f t="shared" ca="1" si="22"/>
        <v>2824726.3708012649</v>
      </c>
      <c r="AK38" s="192">
        <f t="shared" ca="1" si="22"/>
        <v>2908134.7398067075</v>
      </c>
      <c r="AL38" s="192">
        <f t="shared" ca="1" si="22"/>
        <v>0</v>
      </c>
      <c r="AM38" s="192">
        <f t="shared" ca="1" si="22"/>
        <v>0</v>
      </c>
      <c r="AN38" s="192">
        <f t="shared" ca="1" si="22"/>
        <v>0</v>
      </c>
      <c r="AO38" s="192">
        <f t="shared" ca="1" si="22"/>
        <v>0</v>
      </c>
      <c r="AP38" s="192">
        <f t="shared" ca="1" si="22"/>
        <v>0</v>
      </c>
      <c r="AQ38" s="192">
        <f t="shared" ca="1" si="22"/>
        <v>0</v>
      </c>
      <c r="AR38" s="192">
        <f t="shared" ca="1" si="22"/>
        <v>0</v>
      </c>
      <c r="AS38" s="192">
        <f t="shared" ca="1" si="22"/>
        <v>0</v>
      </c>
      <c r="AT38" s="192">
        <f t="shared" ca="1" si="22"/>
        <v>0</v>
      </c>
      <c r="AU38" s="192">
        <f t="shared" ca="1" si="22"/>
        <v>0</v>
      </c>
    </row>
    <row r="39" spans="1:47">
      <c r="G39" s="194" t="s">
        <v>537</v>
      </c>
      <c r="Q39" s="42">
        <v>0</v>
      </c>
      <c r="R39" s="198">
        <f ca="1">IF(OR(R$99&lt;InServiceYr,R$99&gt;(InServiceYr+analysis_period-1)),0,NPV(DiscountRt,$R38:R38))</f>
        <v>38436679.536095291</v>
      </c>
      <c r="S39" s="198">
        <f ca="1">IF(OR(S$99&lt;InServiceYr,S$99&gt;(InServiceYr+analysis_period-1)),0,NPV(DiscountRt,$R38:S38))</f>
        <v>40240146.835055478</v>
      </c>
      <c r="T39" s="198">
        <f ca="1">IF(OR(T$99&lt;InServiceYr,T$99&gt;(InServiceYr+analysis_period-1)),0,NPV(DiscountRt,$R38:T38))</f>
        <v>41973196.866467081</v>
      </c>
      <c r="U39" s="198">
        <f ca="1">IF(OR(U$99&lt;InServiceYr,U$99&gt;(InServiceYr+analysis_period-1)),0,NPV(DiscountRt,$R38:U38))</f>
        <v>43639843.293426581</v>
      </c>
      <c r="V39" s="198">
        <f ca="1">IF(OR(V$99&lt;InServiceYr,V$99&gt;(InServiceYr+analysis_period-1)),0,NPV(DiscountRt,$R38:V38))</f>
        <v>45258869.313986145</v>
      </c>
      <c r="W39" s="198">
        <f ca="1">IF(OR(W$99&lt;InServiceYr,W$99&gt;(InServiceYr+analysis_period-1)),0,NPV(DiscountRt,$R38:W38))</f>
        <v>46802396.373839773</v>
      </c>
      <c r="X39" s="198">
        <f ca="1">IF(OR(X$99&lt;InServiceYr,X$99&gt;(InServiceYr+analysis_period-1)),0,NPV(DiscountRt,$R38:X38))</f>
        <v>48288013.410437278</v>
      </c>
      <c r="Y39" s="198">
        <f ca="1">IF(OR(Y$99&lt;InServiceYr,Y$99&gt;(InServiceYr+analysis_period-1)),0,NPV(DiscountRt,$R38:Y38))</f>
        <v>49717168.271038257</v>
      </c>
      <c r="Z39" s="198">
        <f ca="1">IF(OR(Z$99&lt;InServiceYr,Z$99&gt;(InServiceYr+analysis_period-1)),0,NPV(DiscountRt,$R38:Z38))</f>
        <v>51092063.285148144</v>
      </c>
      <c r="AA39" s="198">
        <f ca="1">IF(OR(AA$99&lt;InServiceYr,AA$99&gt;(InServiceYr+analysis_period-1)),0,NPV(DiscountRt,$R38:AA38))</f>
        <v>52427604.371089451</v>
      </c>
      <c r="AB39" s="198">
        <f ca="1">IF(OR(AB$99&lt;InServiceYr,AB$99&gt;(InServiceYr+analysis_period-1)),0,NPV(DiscountRt,$R38:AB38))</f>
        <v>53700173.165972389</v>
      </c>
      <c r="AC39" s="198">
        <f ca="1">IF(OR(AC$99&lt;InServiceYr,AC$99&gt;(InServiceYr+analysis_period-1)),0,NPV(DiscountRt,$R38:AC38))</f>
        <v>54924776.472940393</v>
      </c>
      <c r="AD39" s="198">
        <f ca="1">IF(OR(AD$99&lt;InServiceYr,AD$99&gt;(InServiceYr+analysis_period-1)),0,NPV(DiscountRt,$R38:AD38))</f>
        <v>56102943.972240292</v>
      </c>
      <c r="AE39" s="198">
        <f ca="1">IF(OR(AE$99&lt;InServiceYr,AE$99&gt;(InServiceYr+analysis_period-1)),0,NPV(DiscountRt,$R38:AE38))</f>
        <v>57236457.295438245</v>
      </c>
      <c r="AF39" s="198">
        <f ca="1">IF(OR(AF$99&lt;InServiceYr,AF$99&gt;(InServiceYr+analysis_period-1)),0,NPV(DiscountRt,$R38:AF38))</f>
        <v>58337612.051468179</v>
      </c>
      <c r="AG39" s="198">
        <f ca="1">IF(OR(AG$99&lt;InServiceYr,AG$99&gt;(InServiceYr+analysis_period-1)),0,NPV(DiscountRt,$R38:AG38))</f>
        <v>59386554.630367361</v>
      </c>
      <c r="AH39" s="198">
        <f ca="1">IF(OR(AH$99&lt;InServiceYr,AH$99&gt;(InServiceYr+analysis_period-1)),0,NPV(DiscountRt,$R38:AH38))</f>
        <v>60395630.423935615</v>
      </c>
      <c r="AI39" s="198">
        <f ca="1">IF(OR(AI$99&lt;InServiceYr,AI$99&gt;(InServiceYr+analysis_period-1)),0,NPV(DiscountRt,$R38:AI38))</f>
        <v>61366266.001984403</v>
      </c>
      <c r="AJ39" s="198">
        <f ca="1">IF(OR(AJ$99&lt;InServiceYr,AJ$99&gt;(InServiceYr+analysis_period-1)),0,NPV(DiscountRt,$R38:AJ38))</f>
        <v>62299874.818634547</v>
      </c>
      <c r="AK39" s="198">
        <f ca="1">IF(OR(AK$99&lt;InServiceYr,AK$99&gt;(InServiceYr+analysis_period-1)),0,NPV(DiscountRt,$R38:AK38))</f>
        <v>63206644.976927914</v>
      </c>
      <c r="AL39" s="198">
        <f>IF(OR(AL$99&lt;InServiceYr,AL$99&gt;(InServiceYr+analysis_period-1)),0,NPV(DiscountRt,$R38:AL38))</f>
        <v>0</v>
      </c>
      <c r="AM39" s="198">
        <f>IF(OR(AM$99&lt;InServiceYr,AM$99&gt;(InServiceYr+analysis_period-1)),0,NPV(DiscountRt,$R38:AM38))</f>
        <v>0</v>
      </c>
      <c r="AN39" s="198">
        <f>IF(OR(AN$99&lt;InServiceYr,AN$99&gt;(InServiceYr+analysis_period-1)),0,NPV(DiscountRt,$R38:AN38))</f>
        <v>0</v>
      </c>
      <c r="AO39" s="198">
        <f>IF(OR(AO$99&lt;InServiceYr,AO$99&gt;(InServiceYr+analysis_period-1)),0,NPV(DiscountRt,$R38:AO38))</f>
        <v>0</v>
      </c>
      <c r="AP39" s="198">
        <f>IF(OR(AP$99&lt;InServiceYr,AP$99&gt;(InServiceYr+analysis_period-1)),0,NPV(DiscountRt,$R38:AP38))</f>
        <v>0</v>
      </c>
      <c r="AQ39" s="198">
        <f>IF(OR(AQ$99&lt;InServiceYr,AQ$99&gt;(InServiceYr+analysis_period-1)),0,NPV(DiscountRt,$R38:AQ38))</f>
        <v>0</v>
      </c>
      <c r="AR39" s="198">
        <f>IF(OR(AR$99&lt;InServiceYr,AR$99&gt;(InServiceYr+analysis_period-1)),0,NPV(DiscountRt,$R38:AR38))</f>
        <v>0</v>
      </c>
      <c r="AS39" s="198">
        <f>IF(OR(AS$99&lt;InServiceYr,AS$99&gt;(InServiceYr+analysis_period-1)),0,NPV(DiscountRt,$R38:AS38))</f>
        <v>0</v>
      </c>
      <c r="AT39" s="198">
        <f>IF(OR(AT$99&lt;InServiceYr,AT$99&gt;(InServiceYr+analysis_period-1)),0,NPV(DiscountRt,$R38:AT38))</f>
        <v>0</v>
      </c>
      <c r="AU39" s="198">
        <f>IF(OR(AU$99&lt;InServiceYr,AU$99&gt;(InServiceYr+analysis_period-1)),0,NPV(DiscountRt,$R38:AU38))</f>
        <v>0</v>
      </c>
    </row>
    <row r="40" spans="1:47" s="42" customFormat="1">
      <c r="A40" s="317"/>
      <c r="B40" s="317"/>
      <c r="C40" s="317"/>
      <c r="D40" s="317"/>
      <c r="E40" s="317"/>
      <c r="F40" s="317"/>
      <c r="G40" s="318" t="s">
        <v>504</v>
      </c>
      <c r="H40" s="317"/>
      <c r="I40" s="317"/>
      <c r="J40" s="317"/>
      <c r="K40" s="317"/>
      <c r="L40" s="407"/>
      <c r="M40" s="317"/>
      <c r="N40" s="317"/>
      <c r="O40" s="317"/>
      <c r="P40" s="317"/>
      <c r="Q40" s="317"/>
      <c r="R40" s="317">
        <f ca="1">R38/(1+DiscountRt)^(R$8-FirstYr)</f>
        <v>40742880.308261015</v>
      </c>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row>
    <row r="42" spans="1:47" s="28" customFormat="1">
      <c r="A42" s="40"/>
      <c r="B42" s="40"/>
      <c r="C42" s="40"/>
      <c r="D42" s="40"/>
      <c r="G42" s="324" t="s">
        <v>492</v>
      </c>
      <c r="H42" s="324"/>
      <c r="I42" s="324"/>
      <c r="J42" s="324"/>
      <c r="K42" s="324"/>
      <c r="L42" s="405" t="s">
        <v>11</v>
      </c>
      <c r="M42" s="256"/>
      <c r="N42" s="325" t="str">
        <f>"NPV "&amp;FirstYr-1&amp;" $"</f>
        <v>NPV 2013 $</v>
      </c>
      <c r="O42" s="311"/>
      <c r="P42" s="325"/>
      <c r="Q42" s="310"/>
      <c r="R42" s="325">
        <f>R$8</f>
        <v>2014</v>
      </c>
      <c r="S42" s="325">
        <f t="shared" ref="S42:AU42" si="23">S$8</f>
        <v>2015</v>
      </c>
      <c r="T42" s="325">
        <f t="shared" si="23"/>
        <v>2016</v>
      </c>
      <c r="U42" s="325">
        <f t="shared" si="23"/>
        <v>2017</v>
      </c>
      <c r="V42" s="325">
        <f t="shared" si="23"/>
        <v>2018</v>
      </c>
      <c r="W42" s="325">
        <f t="shared" si="23"/>
        <v>2019</v>
      </c>
      <c r="X42" s="325">
        <f t="shared" si="23"/>
        <v>2020</v>
      </c>
      <c r="Y42" s="325">
        <f t="shared" si="23"/>
        <v>2021</v>
      </c>
      <c r="Z42" s="325">
        <f t="shared" si="23"/>
        <v>2022</v>
      </c>
      <c r="AA42" s="325">
        <f t="shared" si="23"/>
        <v>2023</v>
      </c>
      <c r="AB42" s="325">
        <f t="shared" si="23"/>
        <v>2024</v>
      </c>
      <c r="AC42" s="325">
        <f t="shared" si="23"/>
        <v>2025</v>
      </c>
      <c r="AD42" s="325">
        <f t="shared" si="23"/>
        <v>2026</v>
      </c>
      <c r="AE42" s="325">
        <f t="shared" si="23"/>
        <v>2027</v>
      </c>
      <c r="AF42" s="325">
        <f t="shared" si="23"/>
        <v>2028</v>
      </c>
      <c r="AG42" s="325">
        <f t="shared" si="23"/>
        <v>2029</v>
      </c>
      <c r="AH42" s="325">
        <f t="shared" si="23"/>
        <v>2030</v>
      </c>
      <c r="AI42" s="325">
        <f t="shared" si="23"/>
        <v>2031</v>
      </c>
      <c r="AJ42" s="325">
        <f t="shared" si="23"/>
        <v>2032</v>
      </c>
      <c r="AK42" s="325">
        <f t="shared" si="23"/>
        <v>2033</v>
      </c>
      <c r="AL42" s="325">
        <f t="shared" si="23"/>
        <v>2034</v>
      </c>
      <c r="AM42" s="325">
        <f t="shared" si="23"/>
        <v>2035</v>
      </c>
      <c r="AN42" s="325">
        <f t="shared" si="23"/>
        <v>2036</v>
      </c>
      <c r="AO42" s="325">
        <f t="shared" si="23"/>
        <v>2037</v>
      </c>
      <c r="AP42" s="325">
        <f t="shared" si="23"/>
        <v>2038</v>
      </c>
      <c r="AQ42" s="325">
        <f t="shared" si="23"/>
        <v>2039</v>
      </c>
      <c r="AR42" s="325">
        <f t="shared" si="23"/>
        <v>2040</v>
      </c>
      <c r="AS42" s="325">
        <f t="shared" si="23"/>
        <v>2041</v>
      </c>
      <c r="AT42" s="325">
        <f t="shared" si="23"/>
        <v>2042</v>
      </c>
      <c r="AU42" s="325">
        <f t="shared" si="23"/>
        <v>2043</v>
      </c>
    </row>
    <row r="43" spans="1:47" s="28" customFormat="1">
      <c r="E43" s="254"/>
      <c r="L43" s="406"/>
      <c r="O43" s="197"/>
      <c r="Q43" s="197"/>
    </row>
    <row r="44" spans="1:47" s="28" customFormat="1">
      <c r="E44" s="254"/>
      <c r="G44" s="39" t="s">
        <v>19</v>
      </c>
      <c r="L44" s="406"/>
      <c r="O44" s="197"/>
      <c r="Q44" s="197"/>
    </row>
    <row r="45" spans="1:47" s="28" customFormat="1">
      <c r="E45" s="254"/>
      <c r="G45" s="36" t="s">
        <v>315</v>
      </c>
      <c r="L45" s="43" t="s">
        <v>12</v>
      </c>
      <c r="N45" s="189">
        <f t="shared" ref="N45:N64" ca="1" si="24">NPV(DiscountRt,R45:AU45)</f>
        <v>4116113.2075471696</v>
      </c>
      <c r="O45" s="189"/>
      <c r="P45" s="319"/>
      <c r="Q45" s="189"/>
      <c r="R45" s="190">
        <f t="shared" ref="R45:AU45" ca="1" si="25">R96</f>
        <v>4363080</v>
      </c>
      <c r="S45" s="190">
        <f t="shared" ca="1" si="25"/>
        <v>0</v>
      </c>
      <c r="T45" s="190">
        <f t="shared" ca="1" si="25"/>
        <v>0</v>
      </c>
      <c r="U45" s="190">
        <f t="shared" ca="1" si="25"/>
        <v>0</v>
      </c>
      <c r="V45" s="190">
        <f t="shared" ca="1" si="25"/>
        <v>0</v>
      </c>
      <c r="W45" s="190">
        <f t="shared" ca="1" si="25"/>
        <v>0</v>
      </c>
      <c r="X45" s="190">
        <f t="shared" ca="1" si="25"/>
        <v>0</v>
      </c>
      <c r="Y45" s="190">
        <f t="shared" ca="1" si="25"/>
        <v>0</v>
      </c>
      <c r="Z45" s="190">
        <f t="shared" ca="1" si="25"/>
        <v>0</v>
      </c>
      <c r="AA45" s="190">
        <f t="shared" ca="1" si="25"/>
        <v>0</v>
      </c>
      <c r="AB45" s="190">
        <f t="shared" ca="1" si="25"/>
        <v>0</v>
      </c>
      <c r="AC45" s="190">
        <f t="shared" ca="1" si="25"/>
        <v>0</v>
      </c>
      <c r="AD45" s="190">
        <f t="shared" ca="1" si="25"/>
        <v>0</v>
      </c>
      <c r="AE45" s="190">
        <f t="shared" ca="1" si="25"/>
        <v>0</v>
      </c>
      <c r="AF45" s="190">
        <f t="shared" ca="1" si="25"/>
        <v>0</v>
      </c>
      <c r="AG45" s="190">
        <f t="shared" ca="1" si="25"/>
        <v>0</v>
      </c>
      <c r="AH45" s="190">
        <f t="shared" ca="1" si="25"/>
        <v>0</v>
      </c>
      <c r="AI45" s="190">
        <f t="shared" ca="1" si="25"/>
        <v>0</v>
      </c>
      <c r="AJ45" s="190">
        <f t="shared" ca="1" si="25"/>
        <v>0</v>
      </c>
      <c r="AK45" s="190">
        <f t="shared" ca="1" si="25"/>
        <v>0</v>
      </c>
      <c r="AL45" s="190">
        <f t="shared" ca="1" si="25"/>
        <v>0</v>
      </c>
      <c r="AM45" s="190">
        <f t="shared" ca="1" si="25"/>
        <v>0</v>
      </c>
      <c r="AN45" s="190">
        <f t="shared" ca="1" si="25"/>
        <v>0</v>
      </c>
      <c r="AO45" s="190">
        <f t="shared" ca="1" si="25"/>
        <v>0</v>
      </c>
      <c r="AP45" s="190">
        <f t="shared" ca="1" si="25"/>
        <v>0</v>
      </c>
      <c r="AQ45" s="190">
        <f t="shared" ca="1" si="25"/>
        <v>0</v>
      </c>
      <c r="AR45" s="190">
        <f t="shared" ca="1" si="25"/>
        <v>0</v>
      </c>
      <c r="AS45" s="190">
        <f t="shared" ca="1" si="25"/>
        <v>0</v>
      </c>
      <c r="AT45" s="190">
        <f t="shared" ca="1" si="25"/>
        <v>0</v>
      </c>
      <c r="AU45" s="190">
        <f t="shared" ca="1" si="25"/>
        <v>0</v>
      </c>
    </row>
    <row r="46" spans="1:47" s="28" customFormat="1">
      <c r="E46" s="254"/>
      <c r="G46" s="36" t="s">
        <v>153</v>
      </c>
      <c r="L46" s="43" t="s">
        <v>12</v>
      </c>
      <c r="N46" s="189">
        <f t="shared" ca="1" si="24"/>
        <v>0</v>
      </c>
      <c r="O46" s="189"/>
      <c r="P46" s="319"/>
      <c r="Q46" s="189"/>
      <c r="R46" s="190">
        <f t="shared" ref="R46:AU46" ca="1" si="26">R117</f>
        <v>0</v>
      </c>
      <c r="S46" s="190">
        <f t="shared" ca="1" si="26"/>
        <v>0</v>
      </c>
      <c r="T46" s="190">
        <f t="shared" ca="1" si="26"/>
        <v>0</v>
      </c>
      <c r="U46" s="190">
        <f t="shared" ca="1" si="26"/>
        <v>0</v>
      </c>
      <c r="V46" s="190">
        <f t="shared" ca="1" si="26"/>
        <v>0</v>
      </c>
      <c r="W46" s="190">
        <f t="shared" ca="1" si="26"/>
        <v>0</v>
      </c>
      <c r="X46" s="190">
        <f t="shared" ca="1" si="26"/>
        <v>0</v>
      </c>
      <c r="Y46" s="190">
        <f t="shared" ca="1" si="26"/>
        <v>0</v>
      </c>
      <c r="Z46" s="190">
        <f t="shared" ca="1" si="26"/>
        <v>0</v>
      </c>
      <c r="AA46" s="190">
        <f t="shared" ca="1" si="26"/>
        <v>0</v>
      </c>
      <c r="AB46" s="190">
        <f t="shared" ca="1" si="26"/>
        <v>0</v>
      </c>
      <c r="AC46" s="190">
        <f t="shared" ca="1" si="26"/>
        <v>0</v>
      </c>
      <c r="AD46" s="190">
        <f t="shared" ca="1" si="26"/>
        <v>0</v>
      </c>
      <c r="AE46" s="190">
        <f t="shared" ca="1" si="26"/>
        <v>0</v>
      </c>
      <c r="AF46" s="190">
        <f t="shared" ca="1" si="26"/>
        <v>0</v>
      </c>
      <c r="AG46" s="190">
        <f t="shared" ca="1" si="26"/>
        <v>0</v>
      </c>
      <c r="AH46" s="190">
        <f t="shared" ca="1" si="26"/>
        <v>0</v>
      </c>
      <c r="AI46" s="190">
        <f t="shared" ca="1" si="26"/>
        <v>0</v>
      </c>
      <c r="AJ46" s="190">
        <f t="shared" ca="1" si="26"/>
        <v>0</v>
      </c>
      <c r="AK46" s="190">
        <f t="shared" ca="1" si="26"/>
        <v>0</v>
      </c>
      <c r="AL46" s="190">
        <f t="shared" ca="1" si="26"/>
        <v>0</v>
      </c>
      <c r="AM46" s="190">
        <f t="shared" ca="1" si="26"/>
        <v>0</v>
      </c>
      <c r="AN46" s="190">
        <f t="shared" ca="1" si="26"/>
        <v>0</v>
      </c>
      <c r="AO46" s="190">
        <f t="shared" ca="1" si="26"/>
        <v>0</v>
      </c>
      <c r="AP46" s="190">
        <f t="shared" ca="1" si="26"/>
        <v>0</v>
      </c>
      <c r="AQ46" s="190">
        <f t="shared" ca="1" si="26"/>
        <v>0</v>
      </c>
      <c r="AR46" s="190">
        <f t="shared" ca="1" si="26"/>
        <v>0</v>
      </c>
      <c r="AS46" s="190">
        <f t="shared" ca="1" si="26"/>
        <v>0</v>
      </c>
      <c r="AT46" s="190">
        <f t="shared" ca="1" si="26"/>
        <v>0</v>
      </c>
      <c r="AU46" s="190">
        <f t="shared" ca="1" si="26"/>
        <v>0</v>
      </c>
    </row>
    <row r="47" spans="1:47" s="28" customFormat="1">
      <c r="E47" s="254"/>
      <c r="G47" s="36" t="s">
        <v>143</v>
      </c>
      <c r="L47" s="43" t="s">
        <v>12</v>
      </c>
      <c r="N47" s="189">
        <f t="shared" ca="1" si="24"/>
        <v>2529330.1886792453</v>
      </c>
      <c r="O47" s="189"/>
      <c r="P47" s="319"/>
      <c r="Q47" s="189"/>
      <c r="R47" s="190">
        <f t="shared" ref="R47:AU47" ca="1" si="27">R138</f>
        <v>2681090</v>
      </c>
      <c r="S47" s="190">
        <f t="shared" ca="1" si="27"/>
        <v>0</v>
      </c>
      <c r="T47" s="190">
        <f t="shared" ca="1" si="27"/>
        <v>0</v>
      </c>
      <c r="U47" s="190">
        <f t="shared" ca="1" si="27"/>
        <v>0</v>
      </c>
      <c r="V47" s="190">
        <f t="shared" ca="1" si="27"/>
        <v>0</v>
      </c>
      <c r="W47" s="190">
        <f t="shared" ca="1" si="27"/>
        <v>0</v>
      </c>
      <c r="X47" s="190">
        <f t="shared" ca="1" si="27"/>
        <v>0</v>
      </c>
      <c r="Y47" s="190">
        <f t="shared" ca="1" si="27"/>
        <v>0</v>
      </c>
      <c r="Z47" s="190">
        <f t="shared" ca="1" si="27"/>
        <v>0</v>
      </c>
      <c r="AA47" s="190">
        <f t="shared" ca="1" si="27"/>
        <v>0</v>
      </c>
      <c r="AB47" s="190">
        <f t="shared" ca="1" si="27"/>
        <v>0</v>
      </c>
      <c r="AC47" s="190">
        <f t="shared" ca="1" si="27"/>
        <v>0</v>
      </c>
      <c r="AD47" s="190">
        <f t="shared" ca="1" si="27"/>
        <v>0</v>
      </c>
      <c r="AE47" s="190">
        <f t="shared" ca="1" si="27"/>
        <v>0</v>
      </c>
      <c r="AF47" s="190">
        <f t="shared" ca="1" si="27"/>
        <v>0</v>
      </c>
      <c r="AG47" s="190">
        <f t="shared" ca="1" si="27"/>
        <v>0</v>
      </c>
      <c r="AH47" s="190">
        <f t="shared" ca="1" si="27"/>
        <v>0</v>
      </c>
      <c r="AI47" s="190">
        <f t="shared" ca="1" si="27"/>
        <v>0</v>
      </c>
      <c r="AJ47" s="190">
        <f t="shared" ca="1" si="27"/>
        <v>0</v>
      </c>
      <c r="AK47" s="190">
        <f t="shared" ca="1" si="27"/>
        <v>0</v>
      </c>
      <c r="AL47" s="190">
        <f t="shared" ca="1" si="27"/>
        <v>0</v>
      </c>
      <c r="AM47" s="190">
        <f t="shared" ca="1" si="27"/>
        <v>0</v>
      </c>
      <c r="AN47" s="190">
        <f t="shared" ca="1" si="27"/>
        <v>0</v>
      </c>
      <c r="AO47" s="190">
        <f t="shared" ca="1" si="27"/>
        <v>0</v>
      </c>
      <c r="AP47" s="190">
        <f t="shared" ca="1" si="27"/>
        <v>0</v>
      </c>
      <c r="AQ47" s="190">
        <f t="shared" ca="1" si="27"/>
        <v>0</v>
      </c>
      <c r="AR47" s="190">
        <f t="shared" ca="1" si="27"/>
        <v>0</v>
      </c>
      <c r="AS47" s="190">
        <f t="shared" ca="1" si="27"/>
        <v>0</v>
      </c>
      <c r="AT47" s="190">
        <f t="shared" ca="1" si="27"/>
        <v>0</v>
      </c>
      <c r="AU47" s="190">
        <f t="shared" ca="1" si="27"/>
        <v>0</v>
      </c>
    </row>
    <row r="48" spans="1:47" s="28" customFormat="1">
      <c r="E48" s="254"/>
      <c r="G48" s="36" t="s">
        <v>316</v>
      </c>
      <c r="L48" s="43" t="s">
        <v>12</v>
      </c>
      <c r="N48" s="189">
        <f t="shared" ca="1" si="24"/>
        <v>0</v>
      </c>
      <c r="O48" s="189"/>
      <c r="P48" s="319"/>
      <c r="Q48" s="189"/>
      <c r="R48" s="190">
        <f t="shared" ref="R48:AU48" ca="1" si="28">R159</f>
        <v>0</v>
      </c>
      <c r="S48" s="190">
        <f t="shared" ca="1" si="28"/>
        <v>0</v>
      </c>
      <c r="T48" s="190">
        <f t="shared" ca="1" si="28"/>
        <v>0</v>
      </c>
      <c r="U48" s="190">
        <f t="shared" ca="1" si="28"/>
        <v>0</v>
      </c>
      <c r="V48" s="190">
        <f t="shared" ca="1" si="28"/>
        <v>0</v>
      </c>
      <c r="W48" s="190">
        <f t="shared" ca="1" si="28"/>
        <v>0</v>
      </c>
      <c r="X48" s="190">
        <f t="shared" ca="1" si="28"/>
        <v>0</v>
      </c>
      <c r="Y48" s="190">
        <f t="shared" ca="1" si="28"/>
        <v>0</v>
      </c>
      <c r="Z48" s="190">
        <f t="shared" ca="1" si="28"/>
        <v>0</v>
      </c>
      <c r="AA48" s="190">
        <f t="shared" ca="1" si="28"/>
        <v>0</v>
      </c>
      <c r="AB48" s="190">
        <f t="shared" ca="1" si="28"/>
        <v>0</v>
      </c>
      <c r="AC48" s="190">
        <f t="shared" ca="1" si="28"/>
        <v>0</v>
      </c>
      <c r="AD48" s="190">
        <f t="shared" ca="1" si="28"/>
        <v>0</v>
      </c>
      <c r="AE48" s="190">
        <f t="shared" ca="1" si="28"/>
        <v>0</v>
      </c>
      <c r="AF48" s="190">
        <f t="shared" ca="1" si="28"/>
        <v>0</v>
      </c>
      <c r="AG48" s="190">
        <f t="shared" ca="1" si="28"/>
        <v>0</v>
      </c>
      <c r="AH48" s="190">
        <f t="shared" ca="1" si="28"/>
        <v>0</v>
      </c>
      <c r="AI48" s="190">
        <f t="shared" ca="1" si="28"/>
        <v>0</v>
      </c>
      <c r="AJ48" s="190">
        <f t="shared" ca="1" si="28"/>
        <v>0</v>
      </c>
      <c r="AK48" s="190">
        <f t="shared" ca="1" si="28"/>
        <v>0</v>
      </c>
      <c r="AL48" s="190">
        <f t="shared" ca="1" si="28"/>
        <v>0</v>
      </c>
      <c r="AM48" s="190">
        <f t="shared" ca="1" si="28"/>
        <v>0</v>
      </c>
      <c r="AN48" s="190">
        <f t="shared" ca="1" si="28"/>
        <v>0</v>
      </c>
      <c r="AO48" s="190">
        <f t="shared" ca="1" si="28"/>
        <v>0</v>
      </c>
      <c r="AP48" s="190">
        <f t="shared" ca="1" si="28"/>
        <v>0</v>
      </c>
      <c r="AQ48" s="190">
        <f t="shared" ca="1" si="28"/>
        <v>0</v>
      </c>
      <c r="AR48" s="190">
        <f t="shared" ca="1" si="28"/>
        <v>0</v>
      </c>
      <c r="AS48" s="190">
        <f t="shared" ca="1" si="28"/>
        <v>0</v>
      </c>
      <c r="AT48" s="190">
        <f t="shared" ca="1" si="28"/>
        <v>0</v>
      </c>
      <c r="AU48" s="190">
        <f t="shared" ca="1" si="28"/>
        <v>0</v>
      </c>
    </row>
    <row r="49" spans="5:47" s="28" customFormat="1">
      <c r="E49" s="254"/>
      <c r="G49" s="36" t="s">
        <v>317</v>
      </c>
      <c r="L49" s="43" t="s">
        <v>12</v>
      </c>
      <c r="N49" s="189">
        <f t="shared" ca="1" si="24"/>
        <v>1300132.0754716981</v>
      </c>
      <c r="O49" s="189"/>
      <c r="P49" s="319"/>
      <c r="Q49" s="189"/>
      <c r="R49" s="190">
        <f t="shared" ref="R49:AU49" ca="1" si="29">R180</f>
        <v>1378140</v>
      </c>
      <c r="S49" s="190">
        <f t="shared" ca="1" si="29"/>
        <v>0</v>
      </c>
      <c r="T49" s="190">
        <f t="shared" ca="1" si="29"/>
        <v>0</v>
      </c>
      <c r="U49" s="190">
        <f t="shared" ca="1" si="29"/>
        <v>0</v>
      </c>
      <c r="V49" s="190">
        <f t="shared" ca="1" si="29"/>
        <v>0</v>
      </c>
      <c r="W49" s="190">
        <f t="shared" ca="1" si="29"/>
        <v>0</v>
      </c>
      <c r="X49" s="190">
        <f t="shared" ca="1" si="29"/>
        <v>0</v>
      </c>
      <c r="Y49" s="190">
        <f t="shared" ca="1" si="29"/>
        <v>0</v>
      </c>
      <c r="Z49" s="190">
        <f t="shared" ca="1" si="29"/>
        <v>0</v>
      </c>
      <c r="AA49" s="190">
        <f t="shared" ca="1" si="29"/>
        <v>0</v>
      </c>
      <c r="AB49" s="190">
        <f t="shared" ca="1" si="29"/>
        <v>0</v>
      </c>
      <c r="AC49" s="190">
        <f t="shared" ca="1" si="29"/>
        <v>0</v>
      </c>
      <c r="AD49" s="190">
        <f t="shared" ca="1" si="29"/>
        <v>0</v>
      </c>
      <c r="AE49" s="190">
        <f t="shared" ca="1" si="29"/>
        <v>0</v>
      </c>
      <c r="AF49" s="190">
        <f t="shared" ca="1" si="29"/>
        <v>0</v>
      </c>
      <c r="AG49" s="190">
        <f t="shared" ca="1" si="29"/>
        <v>0</v>
      </c>
      <c r="AH49" s="190">
        <f t="shared" ca="1" si="29"/>
        <v>0</v>
      </c>
      <c r="AI49" s="190">
        <f t="shared" ca="1" si="29"/>
        <v>0</v>
      </c>
      <c r="AJ49" s="190">
        <f t="shared" ca="1" si="29"/>
        <v>0</v>
      </c>
      <c r="AK49" s="190">
        <f t="shared" ca="1" si="29"/>
        <v>0</v>
      </c>
      <c r="AL49" s="190">
        <f t="shared" ca="1" si="29"/>
        <v>0</v>
      </c>
      <c r="AM49" s="190">
        <f t="shared" ca="1" si="29"/>
        <v>0</v>
      </c>
      <c r="AN49" s="190">
        <f t="shared" ca="1" si="29"/>
        <v>0</v>
      </c>
      <c r="AO49" s="190">
        <f t="shared" ca="1" si="29"/>
        <v>0</v>
      </c>
      <c r="AP49" s="190">
        <f t="shared" ca="1" si="29"/>
        <v>0</v>
      </c>
      <c r="AQ49" s="190">
        <f t="shared" ca="1" si="29"/>
        <v>0</v>
      </c>
      <c r="AR49" s="190">
        <f t="shared" ca="1" si="29"/>
        <v>0</v>
      </c>
      <c r="AS49" s="190">
        <f t="shared" ca="1" si="29"/>
        <v>0</v>
      </c>
      <c r="AT49" s="190">
        <f t="shared" ca="1" si="29"/>
        <v>0</v>
      </c>
      <c r="AU49" s="190">
        <f t="shared" ca="1" si="29"/>
        <v>0</v>
      </c>
    </row>
    <row r="50" spans="5:47" s="28" customFormat="1">
      <c r="E50" s="254"/>
      <c r="G50" s="36" t="s">
        <v>318</v>
      </c>
      <c r="L50" s="43" t="s">
        <v>12</v>
      </c>
      <c r="N50" s="189">
        <f t="shared" ca="1" si="24"/>
        <v>720028.30188679241</v>
      </c>
      <c r="O50" s="189"/>
      <c r="P50" s="319"/>
      <c r="Q50" s="189"/>
      <c r="R50" s="190">
        <f t="shared" ref="R50:AU50" ca="1" si="30">R201</f>
        <v>763230</v>
      </c>
      <c r="S50" s="190">
        <f t="shared" ca="1" si="30"/>
        <v>0</v>
      </c>
      <c r="T50" s="190">
        <f t="shared" ca="1" si="30"/>
        <v>0</v>
      </c>
      <c r="U50" s="190">
        <f t="shared" ca="1" si="30"/>
        <v>0</v>
      </c>
      <c r="V50" s="190">
        <f t="shared" ca="1" si="30"/>
        <v>0</v>
      </c>
      <c r="W50" s="190">
        <f t="shared" ca="1" si="30"/>
        <v>0</v>
      </c>
      <c r="X50" s="190">
        <f t="shared" ca="1" si="30"/>
        <v>0</v>
      </c>
      <c r="Y50" s="190">
        <f t="shared" ca="1" si="30"/>
        <v>0</v>
      </c>
      <c r="Z50" s="190">
        <f t="shared" ca="1" si="30"/>
        <v>0</v>
      </c>
      <c r="AA50" s="190">
        <f t="shared" ca="1" si="30"/>
        <v>0</v>
      </c>
      <c r="AB50" s="190">
        <f t="shared" ca="1" si="30"/>
        <v>0</v>
      </c>
      <c r="AC50" s="190">
        <f t="shared" ca="1" si="30"/>
        <v>0</v>
      </c>
      <c r="AD50" s="190">
        <f t="shared" ca="1" si="30"/>
        <v>0</v>
      </c>
      <c r="AE50" s="190">
        <f t="shared" ca="1" si="30"/>
        <v>0</v>
      </c>
      <c r="AF50" s="190">
        <f t="shared" ca="1" si="30"/>
        <v>0</v>
      </c>
      <c r="AG50" s="190">
        <f t="shared" ca="1" si="30"/>
        <v>0</v>
      </c>
      <c r="AH50" s="190">
        <f t="shared" ca="1" si="30"/>
        <v>0</v>
      </c>
      <c r="AI50" s="190">
        <f t="shared" ca="1" si="30"/>
        <v>0</v>
      </c>
      <c r="AJ50" s="190">
        <f t="shared" ca="1" si="30"/>
        <v>0</v>
      </c>
      <c r="AK50" s="190">
        <f t="shared" ca="1" si="30"/>
        <v>0</v>
      </c>
      <c r="AL50" s="190">
        <f t="shared" ca="1" si="30"/>
        <v>0</v>
      </c>
      <c r="AM50" s="190">
        <f t="shared" ca="1" si="30"/>
        <v>0</v>
      </c>
      <c r="AN50" s="190">
        <f t="shared" ca="1" si="30"/>
        <v>0</v>
      </c>
      <c r="AO50" s="190">
        <f t="shared" ca="1" si="30"/>
        <v>0</v>
      </c>
      <c r="AP50" s="190">
        <f t="shared" ca="1" si="30"/>
        <v>0</v>
      </c>
      <c r="AQ50" s="190">
        <f t="shared" ca="1" si="30"/>
        <v>0</v>
      </c>
      <c r="AR50" s="190">
        <f t="shared" ca="1" si="30"/>
        <v>0</v>
      </c>
      <c r="AS50" s="190">
        <f t="shared" ca="1" si="30"/>
        <v>0</v>
      </c>
      <c r="AT50" s="190">
        <f t="shared" ca="1" si="30"/>
        <v>0</v>
      </c>
      <c r="AU50" s="190">
        <f t="shared" ca="1" si="30"/>
        <v>0</v>
      </c>
    </row>
    <row r="51" spans="5:47" s="28" customFormat="1">
      <c r="E51" s="254"/>
      <c r="G51" s="36" t="s">
        <v>319</v>
      </c>
      <c r="L51" s="43" t="s">
        <v>12</v>
      </c>
      <c r="N51" s="189">
        <f t="shared" ca="1" si="24"/>
        <v>0</v>
      </c>
      <c r="O51" s="189"/>
      <c r="P51" s="319"/>
      <c r="Q51" s="189"/>
      <c r="R51" s="190">
        <f t="shared" ref="R51:AU51" ca="1" si="31">R222</f>
        <v>0</v>
      </c>
      <c r="S51" s="190">
        <f t="shared" ca="1" si="31"/>
        <v>0</v>
      </c>
      <c r="T51" s="190">
        <f t="shared" ca="1" si="31"/>
        <v>0</v>
      </c>
      <c r="U51" s="190">
        <f t="shared" ca="1" si="31"/>
        <v>0</v>
      </c>
      <c r="V51" s="190">
        <f t="shared" ca="1" si="31"/>
        <v>0</v>
      </c>
      <c r="W51" s="190">
        <f t="shared" ca="1" si="31"/>
        <v>0</v>
      </c>
      <c r="X51" s="190">
        <f t="shared" ca="1" si="31"/>
        <v>0</v>
      </c>
      <c r="Y51" s="190">
        <f t="shared" ca="1" si="31"/>
        <v>0</v>
      </c>
      <c r="Z51" s="190">
        <f t="shared" ca="1" si="31"/>
        <v>0</v>
      </c>
      <c r="AA51" s="190">
        <f t="shared" ca="1" si="31"/>
        <v>0</v>
      </c>
      <c r="AB51" s="190">
        <f t="shared" ca="1" si="31"/>
        <v>0</v>
      </c>
      <c r="AC51" s="190">
        <f t="shared" ca="1" si="31"/>
        <v>0</v>
      </c>
      <c r="AD51" s="190">
        <f t="shared" ca="1" si="31"/>
        <v>0</v>
      </c>
      <c r="AE51" s="190">
        <f t="shared" ca="1" si="31"/>
        <v>0</v>
      </c>
      <c r="AF51" s="190">
        <f t="shared" ca="1" si="31"/>
        <v>0</v>
      </c>
      <c r="AG51" s="190">
        <f t="shared" ca="1" si="31"/>
        <v>0</v>
      </c>
      <c r="AH51" s="190">
        <f t="shared" ca="1" si="31"/>
        <v>0</v>
      </c>
      <c r="AI51" s="190">
        <f t="shared" ca="1" si="31"/>
        <v>0</v>
      </c>
      <c r="AJ51" s="190">
        <f t="shared" ca="1" si="31"/>
        <v>0</v>
      </c>
      <c r="AK51" s="190">
        <f t="shared" ca="1" si="31"/>
        <v>0</v>
      </c>
      <c r="AL51" s="190">
        <f t="shared" ca="1" si="31"/>
        <v>0</v>
      </c>
      <c r="AM51" s="190">
        <f t="shared" ca="1" si="31"/>
        <v>0</v>
      </c>
      <c r="AN51" s="190">
        <f t="shared" ca="1" si="31"/>
        <v>0</v>
      </c>
      <c r="AO51" s="190">
        <f t="shared" ca="1" si="31"/>
        <v>0</v>
      </c>
      <c r="AP51" s="190">
        <f t="shared" ca="1" si="31"/>
        <v>0</v>
      </c>
      <c r="AQ51" s="190">
        <f t="shared" ca="1" si="31"/>
        <v>0</v>
      </c>
      <c r="AR51" s="190">
        <f t="shared" ca="1" si="31"/>
        <v>0</v>
      </c>
      <c r="AS51" s="190">
        <f t="shared" ca="1" si="31"/>
        <v>0</v>
      </c>
      <c r="AT51" s="190">
        <f t="shared" ca="1" si="31"/>
        <v>0</v>
      </c>
      <c r="AU51" s="190">
        <f t="shared" ca="1" si="31"/>
        <v>0</v>
      </c>
    </row>
    <row r="52" spans="5:47" s="28" customFormat="1">
      <c r="E52" s="254"/>
      <c r="G52" s="36" t="s">
        <v>320</v>
      </c>
      <c r="L52" s="43" t="s">
        <v>12</v>
      </c>
      <c r="N52" s="189">
        <f t="shared" ca="1" si="24"/>
        <v>0</v>
      </c>
      <c r="O52" s="189"/>
      <c r="P52" s="319"/>
      <c r="Q52" s="189"/>
      <c r="R52" s="190">
        <f t="shared" ref="R52:AU52" ca="1" si="32">R243</f>
        <v>0</v>
      </c>
      <c r="S52" s="190">
        <f t="shared" ca="1" si="32"/>
        <v>0</v>
      </c>
      <c r="T52" s="190">
        <f t="shared" ca="1" si="32"/>
        <v>0</v>
      </c>
      <c r="U52" s="190">
        <f t="shared" ca="1" si="32"/>
        <v>0</v>
      </c>
      <c r="V52" s="190">
        <f t="shared" ca="1" si="32"/>
        <v>0</v>
      </c>
      <c r="W52" s="190">
        <f t="shared" ca="1" si="32"/>
        <v>0</v>
      </c>
      <c r="X52" s="190">
        <f t="shared" ca="1" si="32"/>
        <v>0</v>
      </c>
      <c r="Y52" s="190">
        <f t="shared" ca="1" si="32"/>
        <v>0</v>
      </c>
      <c r="Z52" s="190">
        <f t="shared" ca="1" si="32"/>
        <v>0</v>
      </c>
      <c r="AA52" s="190">
        <f t="shared" ca="1" si="32"/>
        <v>0</v>
      </c>
      <c r="AB52" s="190">
        <f t="shared" ca="1" si="32"/>
        <v>0</v>
      </c>
      <c r="AC52" s="190">
        <f t="shared" ca="1" si="32"/>
        <v>0</v>
      </c>
      <c r="AD52" s="190">
        <f t="shared" ca="1" si="32"/>
        <v>0</v>
      </c>
      <c r="AE52" s="190">
        <f t="shared" ca="1" si="32"/>
        <v>0</v>
      </c>
      <c r="AF52" s="190">
        <f t="shared" ca="1" si="32"/>
        <v>0</v>
      </c>
      <c r="AG52" s="190">
        <f t="shared" ca="1" si="32"/>
        <v>0</v>
      </c>
      <c r="AH52" s="190">
        <f t="shared" ca="1" si="32"/>
        <v>0</v>
      </c>
      <c r="AI52" s="190">
        <f t="shared" ca="1" si="32"/>
        <v>0</v>
      </c>
      <c r="AJ52" s="190">
        <f t="shared" ca="1" si="32"/>
        <v>0</v>
      </c>
      <c r="AK52" s="190">
        <f t="shared" ca="1" si="32"/>
        <v>0</v>
      </c>
      <c r="AL52" s="190">
        <f t="shared" ca="1" si="32"/>
        <v>0</v>
      </c>
      <c r="AM52" s="190">
        <f t="shared" ca="1" si="32"/>
        <v>0</v>
      </c>
      <c r="AN52" s="190">
        <f t="shared" ca="1" si="32"/>
        <v>0</v>
      </c>
      <c r="AO52" s="190">
        <f t="shared" ca="1" si="32"/>
        <v>0</v>
      </c>
      <c r="AP52" s="190">
        <f t="shared" ca="1" si="32"/>
        <v>0</v>
      </c>
      <c r="AQ52" s="190">
        <f t="shared" ca="1" si="32"/>
        <v>0</v>
      </c>
      <c r="AR52" s="190">
        <f t="shared" ca="1" si="32"/>
        <v>0</v>
      </c>
      <c r="AS52" s="190">
        <f t="shared" ca="1" si="32"/>
        <v>0</v>
      </c>
      <c r="AT52" s="190">
        <f t="shared" ca="1" si="32"/>
        <v>0</v>
      </c>
      <c r="AU52" s="190">
        <f t="shared" ca="1" si="32"/>
        <v>0</v>
      </c>
    </row>
    <row r="53" spans="5:47" s="28" customFormat="1">
      <c r="E53" s="254"/>
      <c r="G53" s="36" t="s">
        <v>321</v>
      </c>
      <c r="L53" s="43" t="s">
        <v>12</v>
      </c>
      <c r="N53" s="189">
        <f t="shared" ca="1" si="24"/>
        <v>0</v>
      </c>
      <c r="O53" s="189"/>
      <c r="P53" s="319"/>
      <c r="Q53" s="189"/>
      <c r="R53" s="190">
        <f t="shared" ref="R53:AU53" ca="1" si="33">R264</f>
        <v>0</v>
      </c>
      <c r="S53" s="190">
        <f t="shared" ca="1" si="33"/>
        <v>0</v>
      </c>
      <c r="T53" s="190">
        <f t="shared" ca="1" si="33"/>
        <v>0</v>
      </c>
      <c r="U53" s="190">
        <f t="shared" ca="1" si="33"/>
        <v>0</v>
      </c>
      <c r="V53" s="190">
        <f t="shared" ca="1" si="33"/>
        <v>0</v>
      </c>
      <c r="W53" s="190">
        <f t="shared" ca="1" si="33"/>
        <v>0</v>
      </c>
      <c r="X53" s="190">
        <f t="shared" ca="1" si="33"/>
        <v>0</v>
      </c>
      <c r="Y53" s="190">
        <f t="shared" ca="1" si="33"/>
        <v>0</v>
      </c>
      <c r="Z53" s="190">
        <f t="shared" ca="1" si="33"/>
        <v>0</v>
      </c>
      <c r="AA53" s="190">
        <f t="shared" ca="1" si="33"/>
        <v>0</v>
      </c>
      <c r="AB53" s="190">
        <f t="shared" ca="1" si="33"/>
        <v>0</v>
      </c>
      <c r="AC53" s="190">
        <f t="shared" ca="1" si="33"/>
        <v>0</v>
      </c>
      <c r="AD53" s="190">
        <f t="shared" ca="1" si="33"/>
        <v>0</v>
      </c>
      <c r="AE53" s="190">
        <f t="shared" ca="1" si="33"/>
        <v>0</v>
      </c>
      <c r="AF53" s="190">
        <f t="shared" ca="1" si="33"/>
        <v>0</v>
      </c>
      <c r="AG53" s="190">
        <f t="shared" ca="1" si="33"/>
        <v>0</v>
      </c>
      <c r="AH53" s="190">
        <f t="shared" ca="1" si="33"/>
        <v>0</v>
      </c>
      <c r="AI53" s="190">
        <f t="shared" ca="1" si="33"/>
        <v>0</v>
      </c>
      <c r="AJ53" s="190">
        <f t="shared" ca="1" si="33"/>
        <v>0</v>
      </c>
      <c r="AK53" s="190">
        <f t="shared" ca="1" si="33"/>
        <v>0</v>
      </c>
      <c r="AL53" s="190">
        <f t="shared" ca="1" si="33"/>
        <v>0</v>
      </c>
      <c r="AM53" s="190">
        <f t="shared" ca="1" si="33"/>
        <v>0</v>
      </c>
      <c r="AN53" s="190">
        <f t="shared" ca="1" si="33"/>
        <v>0</v>
      </c>
      <c r="AO53" s="190">
        <f t="shared" ca="1" si="33"/>
        <v>0</v>
      </c>
      <c r="AP53" s="190">
        <f t="shared" ca="1" si="33"/>
        <v>0</v>
      </c>
      <c r="AQ53" s="190">
        <f t="shared" ca="1" si="33"/>
        <v>0</v>
      </c>
      <c r="AR53" s="190">
        <f t="shared" ca="1" si="33"/>
        <v>0</v>
      </c>
      <c r="AS53" s="190">
        <f t="shared" ca="1" si="33"/>
        <v>0</v>
      </c>
      <c r="AT53" s="190">
        <f t="shared" ca="1" si="33"/>
        <v>0</v>
      </c>
      <c r="AU53" s="190">
        <f t="shared" ca="1" si="33"/>
        <v>0</v>
      </c>
    </row>
    <row r="54" spans="5:47" s="28" customFormat="1">
      <c r="E54" s="254"/>
      <c r="G54" s="36" t="s">
        <v>160</v>
      </c>
      <c r="L54" s="43" t="s">
        <v>12</v>
      </c>
      <c r="N54" s="189">
        <f t="shared" ca="1" si="24"/>
        <v>0</v>
      </c>
      <c r="O54" s="189"/>
      <c r="P54" s="319"/>
      <c r="Q54" s="189"/>
      <c r="R54" s="190">
        <f t="shared" ref="R54:AU54" ca="1" si="34">R285</f>
        <v>0</v>
      </c>
      <c r="S54" s="190">
        <f t="shared" ca="1" si="34"/>
        <v>0</v>
      </c>
      <c r="T54" s="190">
        <f t="shared" ca="1" si="34"/>
        <v>0</v>
      </c>
      <c r="U54" s="190">
        <f t="shared" ca="1" si="34"/>
        <v>0</v>
      </c>
      <c r="V54" s="190">
        <f t="shared" ca="1" si="34"/>
        <v>0</v>
      </c>
      <c r="W54" s="190">
        <f t="shared" ca="1" si="34"/>
        <v>0</v>
      </c>
      <c r="X54" s="190">
        <f t="shared" ca="1" si="34"/>
        <v>0</v>
      </c>
      <c r="Y54" s="190">
        <f t="shared" ca="1" si="34"/>
        <v>0</v>
      </c>
      <c r="Z54" s="190">
        <f t="shared" ca="1" si="34"/>
        <v>0</v>
      </c>
      <c r="AA54" s="190">
        <f t="shared" ca="1" si="34"/>
        <v>0</v>
      </c>
      <c r="AB54" s="190">
        <f t="shared" ca="1" si="34"/>
        <v>0</v>
      </c>
      <c r="AC54" s="190">
        <f t="shared" ca="1" si="34"/>
        <v>0</v>
      </c>
      <c r="AD54" s="190">
        <f t="shared" ca="1" si="34"/>
        <v>0</v>
      </c>
      <c r="AE54" s="190">
        <f t="shared" ca="1" si="34"/>
        <v>0</v>
      </c>
      <c r="AF54" s="190">
        <f t="shared" ca="1" si="34"/>
        <v>0</v>
      </c>
      <c r="AG54" s="190">
        <f t="shared" ca="1" si="34"/>
        <v>0</v>
      </c>
      <c r="AH54" s="190">
        <f t="shared" ca="1" si="34"/>
        <v>0</v>
      </c>
      <c r="AI54" s="190">
        <f t="shared" ca="1" si="34"/>
        <v>0</v>
      </c>
      <c r="AJ54" s="190">
        <f t="shared" ca="1" si="34"/>
        <v>0</v>
      </c>
      <c r="AK54" s="190">
        <f t="shared" ca="1" si="34"/>
        <v>0</v>
      </c>
      <c r="AL54" s="190">
        <f t="shared" ca="1" si="34"/>
        <v>0</v>
      </c>
      <c r="AM54" s="190">
        <f t="shared" ca="1" si="34"/>
        <v>0</v>
      </c>
      <c r="AN54" s="190">
        <f t="shared" ca="1" si="34"/>
        <v>0</v>
      </c>
      <c r="AO54" s="190">
        <f t="shared" ca="1" si="34"/>
        <v>0</v>
      </c>
      <c r="AP54" s="190">
        <f t="shared" ca="1" si="34"/>
        <v>0</v>
      </c>
      <c r="AQ54" s="190">
        <f t="shared" ca="1" si="34"/>
        <v>0</v>
      </c>
      <c r="AR54" s="190">
        <f t="shared" ca="1" si="34"/>
        <v>0</v>
      </c>
      <c r="AS54" s="190">
        <f t="shared" ca="1" si="34"/>
        <v>0</v>
      </c>
      <c r="AT54" s="190">
        <f t="shared" ca="1" si="34"/>
        <v>0</v>
      </c>
      <c r="AU54" s="190">
        <f t="shared" ca="1" si="34"/>
        <v>0</v>
      </c>
    </row>
    <row r="55" spans="5:47" s="28" customFormat="1">
      <c r="E55" s="254"/>
      <c r="G55" s="36" t="s">
        <v>161</v>
      </c>
      <c r="L55" s="43" t="s">
        <v>12</v>
      </c>
      <c r="N55" s="189">
        <f t="shared" ca="1" si="24"/>
        <v>0</v>
      </c>
      <c r="O55" s="189"/>
      <c r="P55" s="319"/>
      <c r="Q55" s="189"/>
      <c r="R55" s="190">
        <f t="shared" ref="R55:AU55" ca="1" si="35">R306</f>
        <v>0</v>
      </c>
      <c r="S55" s="190">
        <f t="shared" ca="1" si="35"/>
        <v>0</v>
      </c>
      <c r="T55" s="190">
        <f t="shared" ca="1" si="35"/>
        <v>0</v>
      </c>
      <c r="U55" s="190">
        <f t="shared" ca="1" si="35"/>
        <v>0</v>
      </c>
      <c r="V55" s="190">
        <f t="shared" ca="1" si="35"/>
        <v>0</v>
      </c>
      <c r="W55" s="190">
        <f t="shared" ca="1" si="35"/>
        <v>0</v>
      </c>
      <c r="X55" s="190">
        <f t="shared" ca="1" si="35"/>
        <v>0</v>
      </c>
      <c r="Y55" s="190">
        <f t="shared" ca="1" si="35"/>
        <v>0</v>
      </c>
      <c r="Z55" s="190">
        <f t="shared" ca="1" si="35"/>
        <v>0</v>
      </c>
      <c r="AA55" s="190">
        <f t="shared" ca="1" si="35"/>
        <v>0</v>
      </c>
      <c r="AB55" s="190">
        <f t="shared" ca="1" si="35"/>
        <v>0</v>
      </c>
      <c r="AC55" s="190">
        <f t="shared" ca="1" si="35"/>
        <v>0</v>
      </c>
      <c r="AD55" s="190">
        <f t="shared" ca="1" si="35"/>
        <v>0</v>
      </c>
      <c r="AE55" s="190">
        <f t="shared" ca="1" si="35"/>
        <v>0</v>
      </c>
      <c r="AF55" s="190">
        <f t="shared" ca="1" si="35"/>
        <v>0</v>
      </c>
      <c r="AG55" s="190">
        <f t="shared" ca="1" si="35"/>
        <v>0</v>
      </c>
      <c r="AH55" s="190">
        <f t="shared" ca="1" si="35"/>
        <v>0</v>
      </c>
      <c r="AI55" s="190">
        <f t="shared" ca="1" si="35"/>
        <v>0</v>
      </c>
      <c r="AJ55" s="190">
        <f t="shared" ca="1" si="35"/>
        <v>0</v>
      </c>
      <c r="AK55" s="190">
        <f t="shared" ca="1" si="35"/>
        <v>0</v>
      </c>
      <c r="AL55" s="190">
        <f t="shared" ca="1" si="35"/>
        <v>0</v>
      </c>
      <c r="AM55" s="190">
        <f t="shared" ca="1" si="35"/>
        <v>0</v>
      </c>
      <c r="AN55" s="190">
        <f t="shared" ca="1" si="35"/>
        <v>0</v>
      </c>
      <c r="AO55" s="190">
        <f t="shared" ca="1" si="35"/>
        <v>0</v>
      </c>
      <c r="AP55" s="190">
        <f t="shared" ca="1" si="35"/>
        <v>0</v>
      </c>
      <c r="AQ55" s="190">
        <f t="shared" ca="1" si="35"/>
        <v>0</v>
      </c>
      <c r="AR55" s="190">
        <f t="shared" ca="1" si="35"/>
        <v>0</v>
      </c>
      <c r="AS55" s="190">
        <f t="shared" ca="1" si="35"/>
        <v>0</v>
      </c>
      <c r="AT55" s="190">
        <f t="shared" ca="1" si="35"/>
        <v>0</v>
      </c>
      <c r="AU55" s="190">
        <f t="shared" ca="1" si="35"/>
        <v>0</v>
      </c>
    </row>
    <row r="56" spans="5:47" s="28" customFormat="1">
      <c r="E56" s="254"/>
      <c r="G56" s="36" t="s">
        <v>162</v>
      </c>
      <c r="L56" s="43" t="s">
        <v>12</v>
      </c>
      <c r="N56" s="189">
        <f t="shared" ca="1" si="24"/>
        <v>676301.88679245277</v>
      </c>
      <c r="O56" s="189"/>
      <c r="P56" s="319"/>
      <c r="Q56" s="189"/>
      <c r="R56" s="190">
        <f t="shared" ref="R56:AU56" ca="1" si="36">R327</f>
        <v>716880</v>
      </c>
      <c r="S56" s="190">
        <f t="shared" ca="1" si="36"/>
        <v>0</v>
      </c>
      <c r="T56" s="190">
        <f t="shared" ca="1" si="36"/>
        <v>0</v>
      </c>
      <c r="U56" s="190">
        <f t="shared" ca="1" si="36"/>
        <v>0</v>
      </c>
      <c r="V56" s="190">
        <f t="shared" ca="1" si="36"/>
        <v>0</v>
      </c>
      <c r="W56" s="190">
        <f t="shared" ca="1" si="36"/>
        <v>0</v>
      </c>
      <c r="X56" s="190">
        <f t="shared" ca="1" si="36"/>
        <v>0</v>
      </c>
      <c r="Y56" s="190">
        <f t="shared" ca="1" si="36"/>
        <v>0</v>
      </c>
      <c r="Z56" s="190">
        <f t="shared" ca="1" si="36"/>
        <v>0</v>
      </c>
      <c r="AA56" s="190">
        <f t="shared" ca="1" si="36"/>
        <v>0</v>
      </c>
      <c r="AB56" s="190">
        <f t="shared" ca="1" si="36"/>
        <v>0</v>
      </c>
      <c r="AC56" s="190">
        <f t="shared" ca="1" si="36"/>
        <v>0</v>
      </c>
      <c r="AD56" s="190">
        <f t="shared" ca="1" si="36"/>
        <v>0</v>
      </c>
      <c r="AE56" s="190">
        <f t="shared" ca="1" si="36"/>
        <v>0</v>
      </c>
      <c r="AF56" s="190">
        <f t="shared" ca="1" si="36"/>
        <v>0</v>
      </c>
      <c r="AG56" s="190">
        <f t="shared" ca="1" si="36"/>
        <v>0</v>
      </c>
      <c r="AH56" s="190">
        <f t="shared" ca="1" si="36"/>
        <v>0</v>
      </c>
      <c r="AI56" s="190">
        <f t="shared" ca="1" si="36"/>
        <v>0</v>
      </c>
      <c r="AJ56" s="190">
        <f t="shared" ca="1" si="36"/>
        <v>0</v>
      </c>
      <c r="AK56" s="190">
        <f t="shared" ca="1" si="36"/>
        <v>0</v>
      </c>
      <c r="AL56" s="190">
        <f t="shared" ca="1" si="36"/>
        <v>0</v>
      </c>
      <c r="AM56" s="190">
        <f t="shared" ca="1" si="36"/>
        <v>0</v>
      </c>
      <c r="AN56" s="190">
        <f t="shared" ca="1" si="36"/>
        <v>0</v>
      </c>
      <c r="AO56" s="190">
        <f t="shared" ca="1" si="36"/>
        <v>0</v>
      </c>
      <c r="AP56" s="190">
        <f t="shared" ca="1" si="36"/>
        <v>0</v>
      </c>
      <c r="AQ56" s="190">
        <f t="shared" ca="1" si="36"/>
        <v>0</v>
      </c>
      <c r="AR56" s="190">
        <f t="shared" ca="1" si="36"/>
        <v>0</v>
      </c>
      <c r="AS56" s="190">
        <f t="shared" ca="1" si="36"/>
        <v>0</v>
      </c>
      <c r="AT56" s="190">
        <f t="shared" ca="1" si="36"/>
        <v>0</v>
      </c>
      <c r="AU56" s="190">
        <f t="shared" ca="1" si="36"/>
        <v>0</v>
      </c>
    </row>
    <row r="57" spans="5:47" s="28" customFormat="1">
      <c r="E57" s="254"/>
      <c r="G57" s="36" t="s">
        <v>135</v>
      </c>
      <c r="L57" s="43" t="s">
        <v>12</v>
      </c>
      <c r="N57" s="189">
        <f t="shared" ca="1" si="24"/>
        <v>1991981.1320754716</v>
      </c>
      <c r="O57" s="189"/>
      <c r="P57" s="319"/>
      <c r="Q57" s="189"/>
      <c r="R57" s="190">
        <f t="shared" ref="R57:AU57" ca="1" si="37">R348</f>
        <v>2111500</v>
      </c>
      <c r="S57" s="190">
        <f t="shared" ca="1" si="37"/>
        <v>0</v>
      </c>
      <c r="T57" s="190">
        <f t="shared" ca="1" si="37"/>
        <v>0</v>
      </c>
      <c r="U57" s="190">
        <f t="shared" ca="1" si="37"/>
        <v>0</v>
      </c>
      <c r="V57" s="190">
        <f t="shared" ca="1" si="37"/>
        <v>0</v>
      </c>
      <c r="W57" s="190">
        <f t="shared" ca="1" si="37"/>
        <v>0</v>
      </c>
      <c r="X57" s="190">
        <f t="shared" ca="1" si="37"/>
        <v>0</v>
      </c>
      <c r="Y57" s="190">
        <f t="shared" ca="1" si="37"/>
        <v>0</v>
      </c>
      <c r="Z57" s="190">
        <f t="shared" ca="1" si="37"/>
        <v>0</v>
      </c>
      <c r="AA57" s="190">
        <f t="shared" ca="1" si="37"/>
        <v>0</v>
      </c>
      <c r="AB57" s="190">
        <f t="shared" ca="1" si="37"/>
        <v>0</v>
      </c>
      <c r="AC57" s="190">
        <f t="shared" ca="1" si="37"/>
        <v>0</v>
      </c>
      <c r="AD57" s="190">
        <f t="shared" ca="1" si="37"/>
        <v>0</v>
      </c>
      <c r="AE57" s="190">
        <f t="shared" ca="1" si="37"/>
        <v>0</v>
      </c>
      <c r="AF57" s="190">
        <f t="shared" ca="1" si="37"/>
        <v>0</v>
      </c>
      <c r="AG57" s="190">
        <f t="shared" ca="1" si="37"/>
        <v>0</v>
      </c>
      <c r="AH57" s="190">
        <f t="shared" ca="1" si="37"/>
        <v>0</v>
      </c>
      <c r="AI57" s="190">
        <f t="shared" ca="1" si="37"/>
        <v>0</v>
      </c>
      <c r="AJ57" s="190">
        <f t="shared" ca="1" si="37"/>
        <v>0</v>
      </c>
      <c r="AK57" s="190">
        <f t="shared" ca="1" si="37"/>
        <v>0</v>
      </c>
      <c r="AL57" s="190">
        <f t="shared" ca="1" si="37"/>
        <v>0</v>
      </c>
      <c r="AM57" s="190">
        <f t="shared" ca="1" si="37"/>
        <v>0</v>
      </c>
      <c r="AN57" s="190">
        <f t="shared" ca="1" si="37"/>
        <v>0</v>
      </c>
      <c r="AO57" s="190">
        <f t="shared" ca="1" si="37"/>
        <v>0</v>
      </c>
      <c r="AP57" s="190">
        <f t="shared" ca="1" si="37"/>
        <v>0</v>
      </c>
      <c r="AQ57" s="190">
        <f t="shared" ca="1" si="37"/>
        <v>0</v>
      </c>
      <c r="AR57" s="190">
        <f t="shared" ca="1" si="37"/>
        <v>0</v>
      </c>
      <c r="AS57" s="190">
        <f t="shared" ca="1" si="37"/>
        <v>0</v>
      </c>
      <c r="AT57" s="190">
        <f t="shared" ca="1" si="37"/>
        <v>0</v>
      </c>
      <c r="AU57" s="190">
        <f t="shared" ca="1" si="37"/>
        <v>0</v>
      </c>
    </row>
    <row r="58" spans="5:47" s="28" customFormat="1">
      <c r="E58" s="254"/>
      <c r="G58" s="36" t="s">
        <v>29</v>
      </c>
      <c r="L58" s="43" t="s">
        <v>12</v>
      </c>
      <c r="N58" s="189">
        <f t="shared" ca="1" si="24"/>
        <v>999877.35849056602</v>
      </c>
      <c r="O58" s="189"/>
      <c r="P58" s="319"/>
      <c r="Q58" s="189"/>
      <c r="R58" s="190">
        <f t="shared" ref="R58:AU58" ca="1" si="38">R369</f>
        <v>1059870</v>
      </c>
      <c r="S58" s="190">
        <f t="shared" ca="1" si="38"/>
        <v>0</v>
      </c>
      <c r="T58" s="190">
        <f t="shared" ca="1" si="38"/>
        <v>0</v>
      </c>
      <c r="U58" s="190">
        <f t="shared" ca="1" si="38"/>
        <v>0</v>
      </c>
      <c r="V58" s="190">
        <f t="shared" ca="1" si="38"/>
        <v>0</v>
      </c>
      <c r="W58" s="190">
        <f t="shared" ca="1" si="38"/>
        <v>0</v>
      </c>
      <c r="X58" s="190">
        <f t="shared" ca="1" si="38"/>
        <v>0</v>
      </c>
      <c r="Y58" s="190">
        <f t="shared" ca="1" si="38"/>
        <v>0</v>
      </c>
      <c r="Z58" s="190">
        <f t="shared" ca="1" si="38"/>
        <v>0</v>
      </c>
      <c r="AA58" s="190">
        <f t="shared" ca="1" si="38"/>
        <v>0</v>
      </c>
      <c r="AB58" s="190">
        <f t="shared" ca="1" si="38"/>
        <v>0</v>
      </c>
      <c r="AC58" s="190">
        <f t="shared" ca="1" si="38"/>
        <v>0</v>
      </c>
      <c r="AD58" s="190">
        <f t="shared" ca="1" si="38"/>
        <v>0</v>
      </c>
      <c r="AE58" s="190">
        <f t="shared" ca="1" si="38"/>
        <v>0</v>
      </c>
      <c r="AF58" s="190">
        <f t="shared" ca="1" si="38"/>
        <v>0</v>
      </c>
      <c r="AG58" s="190">
        <f t="shared" ca="1" si="38"/>
        <v>0</v>
      </c>
      <c r="AH58" s="190">
        <f t="shared" ca="1" si="38"/>
        <v>0</v>
      </c>
      <c r="AI58" s="190">
        <f t="shared" ca="1" si="38"/>
        <v>0</v>
      </c>
      <c r="AJ58" s="190">
        <f t="shared" ca="1" si="38"/>
        <v>0</v>
      </c>
      <c r="AK58" s="190">
        <f t="shared" ca="1" si="38"/>
        <v>0</v>
      </c>
      <c r="AL58" s="190">
        <f t="shared" ca="1" si="38"/>
        <v>0</v>
      </c>
      <c r="AM58" s="190">
        <f t="shared" ca="1" si="38"/>
        <v>0</v>
      </c>
      <c r="AN58" s="190">
        <f t="shared" ca="1" si="38"/>
        <v>0</v>
      </c>
      <c r="AO58" s="190">
        <f t="shared" ca="1" si="38"/>
        <v>0</v>
      </c>
      <c r="AP58" s="190">
        <f t="shared" ca="1" si="38"/>
        <v>0</v>
      </c>
      <c r="AQ58" s="190">
        <f t="shared" ca="1" si="38"/>
        <v>0</v>
      </c>
      <c r="AR58" s="190">
        <f t="shared" ca="1" si="38"/>
        <v>0</v>
      </c>
      <c r="AS58" s="190">
        <f t="shared" ca="1" si="38"/>
        <v>0</v>
      </c>
      <c r="AT58" s="190">
        <f t="shared" ca="1" si="38"/>
        <v>0</v>
      </c>
      <c r="AU58" s="190">
        <f t="shared" ca="1" si="38"/>
        <v>0</v>
      </c>
    </row>
    <row r="59" spans="5:47" s="28" customFormat="1">
      <c r="E59" s="254"/>
      <c r="G59" s="36" t="s">
        <v>163</v>
      </c>
      <c r="L59" s="43" t="s">
        <v>12</v>
      </c>
      <c r="N59" s="189">
        <f t="shared" ca="1" si="24"/>
        <v>3948981.1320754713</v>
      </c>
      <c r="O59" s="189"/>
      <c r="P59" s="319"/>
      <c r="Q59" s="189"/>
      <c r="R59" s="190">
        <f t="shared" ref="R59:AU59" ca="1" si="39">R390</f>
        <v>4185920</v>
      </c>
      <c r="S59" s="190">
        <f t="shared" ca="1" si="39"/>
        <v>0</v>
      </c>
      <c r="T59" s="190">
        <f t="shared" ca="1" si="39"/>
        <v>0</v>
      </c>
      <c r="U59" s="190">
        <f t="shared" ca="1" si="39"/>
        <v>0</v>
      </c>
      <c r="V59" s="190">
        <f t="shared" ca="1" si="39"/>
        <v>0</v>
      </c>
      <c r="W59" s="190">
        <f t="shared" ca="1" si="39"/>
        <v>0</v>
      </c>
      <c r="X59" s="190">
        <f t="shared" ca="1" si="39"/>
        <v>0</v>
      </c>
      <c r="Y59" s="190">
        <f t="shared" ca="1" si="39"/>
        <v>0</v>
      </c>
      <c r="Z59" s="190">
        <f t="shared" ca="1" si="39"/>
        <v>0</v>
      </c>
      <c r="AA59" s="190">
        <f t="shared" ca="1" si="39"/>
        <v>0</v>
      </c>
      <c r="AB59" s="190">
        <f t="shared" ca="1" si="39"/>
        <v>0</v>
      </c>
      <c r="AC59" s="190">
        <f t="shared" ca="1" si="39"/>
        <v>0</v>
      </c>
      <c r="AD59" s="190">
        <f t="shared" ca="1" si="39"/>
        <v>0</v>
      </c>
      <c r="AE59" s="190">
        <f t="shared" ca="1" si="39"/>
        <v>0</v>
      </c>
      <c r="AF59" s="190">
        <f t="shared" ca="1" si="39"/>
        <v>0</v>
      </c>
      <c r="AG59" s="190">
        <f t="shared" ca="1" si="39"/>
        <v>0</v>
      </c>
      <c r="AH59" s="190">
        <f t="shared" ca="1" si="39"/>
        <v>0</v>
      </c>
      <c r="AI59" s="190">
        <f t="shared" ca="1" si="39"/>
        <v>0</v>
      </c>
      <c r="AJ59" s="190">
        <f t="shared" ca="1" si="39"/>
        <v>0</v>
      </c>
      <c r="AK59" s="190">
        <f t="shared" ca="1" si="39"/>
        <v>0</v>
      </c>
      <c r="AL59" s="190">
        <f t="shared" ca="1" si="39"/>
        <v>0</v>
      </c>
      <c r="AM59" s="190">
        <f t="shared" ca="1" si="39"/>
        <v>0</v>
      </c>
      <c r="AN59" s="190">
        <f t="shared" ca="1" si="39"/>
        <v>0</v>
      </c>
      <c r="AO59" s="190">
        <f t="shared" ca="1" si="39"/>
        <v>0</v>
      </c>
      <c r="AP59" s="190">
        <f t="shared" ca="1" si="39"/>
        <v>0</v>
      </c>
      <c r="AQ59" s="190">
        <f t="shared" ca="1" si="39"/>
        <v>0</v>
      </c>
      <c r="AR59" s="190">
        <f t="shared" ca="1" si="39"/>
        <v>0</v>
      </c>
      <c r="AS59" s="190">
        <f t="shared" ca="1" si="39"/>
        <v>0</v>
      </c>
      <c r="AT59" s="190">
        <f t="shared" ca="1" si="39"/>
        <v>0</v>
      </c>
      <c r="AU59" s="190">
        <f t="shared" ca="1" si="39"/>
        <v>0</v>
      </c>
    </row>
    <row r="60" spans="5:47" s="28" customFormat="1">
      <c r="E60" s="254"/>
      <c r="G60" s="36" t="s">
        <v>138</v>
      </c>
      <c r="L60" s="43" t="s">
        <v>12</v>
      </c>
      <c r="N60" s="189">
        <f t="shared" ca="1" si="24"/>
        <v>4984811.3207547171</v>
      </c>
      <c r="O60" s="189"/>
      <c r="P60" s="319"/>
      <c r="Q60" s="189"/>
      <c r="R60" s="190">
        <f t="shared" ref="R60:AU60" ca="1" si="40">R411</f>
        <v>5283900</v>
      </c>
      <c r="S60" s="190">
        <f t="shared" ca="1" si="40"/>
        <v>0</v>
      </c>
      <c r="T60" s="190">
        <f t="shared" ca="1" si="40"/>
        <v>0</v>
      </c>
      <c r="U60" s="190">
        <f t="shared" ca="1" si="40"/>
        <v>0</v>
      </c>
      <c r="V60" s="190">
        <f t="shared" ca="1" si="40"/>
        <v>0</v>
      </c>
      <c r="W60" s="190">
        <f t="shared" ca="1" si="40"/>
        <v>0</v>
      </c>
      <c r="X60" s="190">
        <f t="shared" ca="1" si="40"/>
        <v>0</v>
      </c>
      <c r="Y60" s="190">
        <f t="shared" ca="1" si="40"/>
        <v>0</v>
      </c>
      <c r="Z60" s="190">
        <f t="shared" ca="1" si="40"/>
        <v>0</v>
      </c>
      <c r="AA60" s="190">
        <f t="shared" ca="1" si="40"/>
        <v>0</v>
      </c>
      <c r="AB60" s="190">
        <f t="shared" ca="1" si="40"/>
        <v>0</v>
      </c>
      <c r="AC60" s="190">
        <f t="shared" ca="1" si="40"/>
        <v>0</v>
      </c>
      <c r="AD60" s="190">
        <f t="shared" ca="1" si="40"/>
        <v>0</v>
      </c>
      <c r="AE60" s="190">
        <f t="shared" ca="1" si="40"/>
        <v>0</v>
      </c>
      <c r="AF60" s="190">
        <f t="shared" ca="1" si="40"/>
        <v>0</v>
      </c>
      <c r="AG60" s="190">
        <f t="shared" ca="1" si="40"/>
        <v>0</v>
      </c>
      <c r="AH60" s="190">
        <f t="shared" ca="1" si="40"/>
        <v>0</v>
      </c>
      <c r="AI60" s="190">
        <f t="shared" ca="1" si="40"/>
        <v>0</v>
      </c>
      <c r="AJ60" s="190">
        <f t="shared" ca="1" si="40"/>
        <v>0</v>
      </c>
      <c r="AK60" s="190">
        <f t="shared" ca="1" si="40"/>
        <v>0</v>
      </c>
      <c r="AL60" s="190">
        <f t="shared" ca="1" si="40"/>
        <v>0</v>
      </c>
      <c r="AM60" s="190">
        <f t="shared" ca="1" si="40"/>
        <v>0</v>
      </c>
      <c r="AN60" s="190">
        <f t="shared" ca="1" si="40"/>
        <v>0</v>
      </c>
      <c r="AO60" s="190">
        <f t="shared" ca="1" si="40"/>
        <v>0</v>
      </c>
      <c r="AP60" s="190">
        <f t="shared" ca="1" si="40"/>
        <v>0</v>
      </c>
      <c r="AQ60" s="190">
        <f t="shared" ca="1" si="40"/>
        <v>0</v>
      </c>
      <c r="AR60" s="190">
        <f t="shared" ca="1" si="40"/>
        <v>0</v>
      </c>
      <c r="AS60" s="190">
        <f t="shared" ca="1" si="40"/>
        <v>0</v>
      </c>
      <c r="AT60" s="190">
        <f t="shared" ca="1" si="40"/>
        <v>0</v>
      </c>
      <c r="AU60" s="190">
        <f t="shared" ca="1" si="40"/>
        <v>0</v>
      </c>
    </row>
    <row r="61" spans="5:47" s="28" customFormat="1">
      <c r="E61" s="254"/>
      <c r="G61" s="36" t="s">
        <v>113</v>
      </c>
      <c r="L61" s="43" t="s">
        <v>12</v>
      </c>
      <c r="N61" s="189">
        <f t="shared" ca="1" si="24"/>
        <v>1063037.7358490566</v>
      </c>
      <c r="O61" s="189"/>
      <c r="P61" s="319"/>
      <c r="Q61" s="189"/>
      <c r="R61" s="190">
        <f t="shared" ref="R61:AU61" ca="1" si="41">R432</f>
        <v>1126820</v>
      </c>
      <c r="S61" s="190">
        <f t="shared" ca="1" si="41"/>
        <v>0</v>
      </c>
      <c r="T61" s="190">
        <f t="shared" ca="1" si="41"/>
        <v>0</v>
      </c>
      <c r="U61" s="190">
        <f t="shared" ca="1" si="41"/>
        <v>0</v>
      </c>
      <c r="V61" s="190">
        <f t="shared" ca="1" si="41"/>
        <v>0</v>
      </c>
      <c r="W61" s="190">
        <f t="shared" ca="1" si="41"/>
        <v>0</v>
      </c>
      <c r="X61" s="190">
        <f t="shared" ca="1" si="41"/>
        <v>0</v>
      </c>
      <c r="Y61" s="190">
        <f t="shared" ca="1" si="41"/>
        <v>0</v>
      </c>
      <c r="Z61" s="190">
        <f t="shared" ca="1" si="41"/>
        <v>0</v>
      </c>
      <c r="AA61" s="190">
        <f t="shared" ca="1" si="41"/>
        <v>0</v>
      </c>
      <c r="AB61" s="190">
        <f t="shared" ca="1" si="41"/>
        <v>0</v>
      </c>
      <c r="AC61" s="190">
        <f t="shared" ca="1" si="41"/>
        <v>0</v>
      </c>
      <c r="AD61" s="190">
        <f t="shared" ca="1" si="41"/>
        <v>0</v>
      </c>
      <c r="AE61" s="190">
        <f t="shared" ca="1" si="41"/>
        <v>0</v>
      </c>
      <c r="AF61" s="190">
        <f t="shared" ca="1" si="41"/>
        <v>0</v>
      </c>
      <c r="AG61" s="190">
        <f t="shared" ca="1" si="41"/>
        <v>0</v>
      </c>
      <c r="AH61" s="190">
        <f t="shared" ca="1" si="41"/>
        <v>0</v>
      </c>
      <c r="AI61" s="190">
        <f t="shared" ca="1" si="41"/>
        <v>0</v>
      </c>
      <c r="AJ61" s="190">
        <f t="shared" ca="1" si="41"/>
        <v>0</v>
      </c>
      <c r="AK61" s="190">
        <f t="shared" ca="1" si="41"/>
        <v>0</v>
      </c>
      <c r="AL61" s="190">
        <f t="shared" ca="1" si="41"/>
        <v>0</v>
      </c>
      <c r="AM61" s="190">
        <f t="shared" ca="1" si="41"/>
        <v>0</v>
      </c>
      <c r="AN61" s="190">
        <f t="shared" ca="1" si="41"/>
        <v>0</v>
      </c>
      <c r="AO61" s="190">
        <f t="shared" ca="1" si="41"/>
        <v>0</v>
      </c>
      <c r="AP61" s="190">
        <f t="shared" ca="1" si="41"/>
        <v>0</v>
      </c>
      <c r="AQ61" s="190">
        <f t="shared" ca="1" si="41"/>
        <v>0</v>
      </c>
      <c r="AR61" s="190">
        <f t="shared" ca="1" si="41"/>
        <v>0</v>
      </c>
      <c r="AS61" s="190">
        <f t="shared" ca="1" si="41"/>
        <v>0</v>
      </c>
      <c r="AT61" s="190">
        <f t="shared" ca="1" si="41"/>
        <v>0</v>
      </c>
      <c r="AU61" s="190">
        <f t="shared" ca="1" si="41"/>
        <v>0</v>
      </c>
    </row>
    <row r="62" spans="5:47" s="28" customFormat="1">
      <c r="E62" s="254"/>
      <c r="G62" s="36" t="s">
        <v>115</v>
      </c>
      <c r="L62" s="43" t="s">
        <v>12</v>
      </c>
      <c r="N62" s="189">
        <f t="shared" ca="1" si="24"/>
        <v>2127047.1698113205</v>
      </c>
      <c r="O62" s="189"/>
      <c r="P62" s="319"/>
      <c r="Q62" s="189"/>
      <c r="R62" s="190">
        <f t="shared" ref="R62:AU62" ca="1" si="42">R437</f>
        <v>2254670</v>
      </c>
      <c r="S62" s="190">
        <f t="shared" ca="1" si="42"/>
        <v>0</v>
      </c>
      <c r="T62" s="190">
        <f t="shared" ca="1" si="42"/>
        <v>0</v>
      </c>
      <c r="U62" s="190">
        <f t="shared" ca="1" si="42"/>
        <v>0</v>
      </c>
      <c r="V62" s="190">
        <f t="shared" ca="1" si="42"/>
        <v>0</v>
      </c>
      <c r="W62" s="190">
        <f t="shared" ca="1" si="42"/>
        <v>0</v>
      </c>
      <c r="X62" s="190">
        <f t="shared" ca="1" si="42"/>
        <v>0</v>
      </c>
      <c r="Y62" s="190">
        <f t="shared" ca="1" si="42"/>
        <v>0</v>
      </c>
      <c r="Z62" s="190">
        <f t="shared" ca="1" si="42"/>
        <v>0</v>
      </c>
      <c r="AA62" s="190">
        <f t="shared" ca="1" si="42"/>
        <v>0</v>
      </c>
      <c r="AB62" s="190">
        <f t="shared" ca="1" si="42"/>
        <v>0</v>
      </c>
      <c r="AC62" s="190">
        <f t="shared" ca="1" si="42"/>
        <v>0</v>
      </c>
      <c r="AD62" s="190">
        <f t="shared" ca="1" si="42"/>
        <v>0</v>
      </c>
      <c r="AE62" s="190">
        <f t="shared" ca="1" si="42"/>
        <v>0</v>
      </c>
      <c r="AF62" s="190">
        <f t="shared" ca="1" si="42"/>
        <v>0</v>
      </c>
      <c r="AG62" s="190">
        <f t="shared" ca="1" si="42"/>
        <v>0</v>
      </c>
      <c r="AH62" s="190">
        <f t="shared" ca="1" si="42"/>
        <v>0</v>
      </c>
      <c r="AI62" s="190">
        <f t="shared" ca="1" si="42"/>
        <v>0</v>
      </c>
      <c r="AJ62" s="190">
        <f t="shared" ca="1" si="42"/>
        <v>0</v>
      </c>
      <c r="AK62" s="190">
        <f t="shared" ca="1" si="42"/>
        <v>0</v>
      </c>
      <c r="AL62" s="190">
        <f t="shared" ca="1" si="42"/>
        <v>0</v>
      </c>
      <c r="AM62" s="190">
        <f t="shared" ca="1" si="42"/>
        <v>0</v>
      </c>
      <c r="AN62" s="190">
        <f t="shared" ca="1" si="42"/>
        <v>0</v>
      </c>
      <c r="AO62" s="190">
        <f t="shared" ca="1" si="42"/>
        <v>0</v>
      </c>
      <c r="AP62" s="190">
        <f t="shared" ca="1" si="42"/>
        <v>0</v>
      </c>
      <c r="AQ62" s="190">
        <f t="shared" ca="1" si="42"/>
        <v>0</v>
      </c>
      <c r="AR62" s="190">
        <f t="shared" ca="1" si="42"/>
        <v>0</v>
      </c>
      <c r="AS62" s="190">
        <f t="shared" ca="1" si="42"/>
        <v>0</v>
      </c>
      <c r="AT62" s="190">
        <f t="shared" ca="1" si="42"/>
        <v>0</v>
      </c>
      <c r="AU62" s="190">
        <f t="shared" ca="1" si="42"/>
        <v>0</v>
      </c>
    </row>
    <row r="63" spans="5:47" s="28" customFormat="1">
      <c r="E63" s="254"/>
      <c r="G63" s="36" t="s">
        <v>146</v>
      </c>
      <c r="L63" s="43" t="s">
        <v>12</v>
      </c>
      <c r="N63" s="189">
        <f t="shared" ca="1" si="24"/>
        <v>7337292.452830188</v>
      </c>
      <c r="O63" s="189"/>
      <c r="P63" s="319"/>
      <c r="Q63" s="189"/>
      <c r="R63" s="190">
        <f t="shared" ref="R63:AU63" ca="1" si="43">R442</f>
        <v>7777530</v>
      </c>
      <c r="S63" s="190">
        <f t="shared" ca="1" si="43"/>
        <v>0</v>
      </c>
      <c r="T63" s="190">
        <f t="shared" ca="1" si="43"/>
        <v>0</v>
      </c>
      <c r="U63" s="190">
        <f t="shared" ca="1" si="43"/>
        <v>0</v>
      </c>
      <c r="V63" s="190">
        <f t="shared" ca="1" si="43"/>
        <v>0</v>
      </c>
      <c r="W63" s="190">
        <f t="shared" ca="1" si="43"/>
        <v>0</v>
      </c>
      <c r="X63" s="190">
        <f t="shared" ca="1" si="43"/>
        <v>0</v>
      </c>
      <c r="Y63" s="190">
        <f t="shared" ca="1" si="43"/>
        <v>0</v>
      </c>
      <c r="Z63" s="190">
        <f t="shared" ca="1" si="43"/>
        <v>0</v>
      </c>
      <c r="AA63" s="190">
        <f t="shared" ca="1" si="43"/>
        <v>0</v>
      </c>
      <c r="AB63" s="190">
        <f t="shared" ca="1" si="43"/>
        <v>0</v>
      </c>
      <c r="AC63" s="190">
        <f t="shared" ca="1" si="43"/>
        <v>0</v>
      </c>
      <c r="AD63" s="190">
        <f t="shared" ca="1" si="43"/>
        <v>0</v>
      </c>
      <c r="AE63" s="190">
        <f t="shared" ca="1" si="43"/>
        <v>0</v>
      </c>
      <c r="AF63" s="190">
        <f t="shared" ca="1" si="43"/>
        <v>0</v>
      </c>
      <c r="AG63" s="190">
        <f t="shared" ca="1" si="43"/>
        <v>0</v>
      </c>
      <c r="AH63" s="190">
        <f t="shared" ca="1" si="43"/>
        <v>0</v>
      </c>
      <c r="AI63" s="190">
        <f t="shared" ca="1" si="43"/>
        <v>0</v>
      </c>
      <c r="AJ63" s="190">
        <f t="shared" ca="1" si="43"/>
        <v>0</v>
      </c>
      <c r="AK63" s="190">
        <f t="shared" ca="1" si="43"/>
        <v>0</v>
      </c>
      <c r="AL63" s="190">
        <f t="shared" ca="1" si="43"/>
        <v>0</v>
      </c>
      <c r="AM63" s="190">
        <f t="shared" ca="1" si="43"/>
        <v>0</v>
      </c>
      <c r="AN63" s="190">
        <f t="shared" ca="1" si="43"/>
        <v>0</v>
      </c>
      <c r="AO63" s="190">
        <f t="shared" ca="1" si="43"/>
        <v>0</v>
      </c>
      <c r="AP63" s="190">
        <f t="shared" ca="1" si="43"/>
        <v>0</v>
      </c>
      <c r="AQ63" s="190">
        <f t="shared" ca="1" si="43"/>
        <v>0</v>
      </c>
      <c r="AR63" s="190">
        <f t="shared" ca="1" si="43"/>
        <v>0</v>
      </c>
      <c r="AS63" s="190">
        <f t="shared" ca="1" si="43"/>
        <v>0</v>
      </c>
      <c r="AT63" s="190">
        <f t="shared" ca="1" si="43"/>
        <v>0</v>
      </c>
      <c r="AU63" s="190">
        <f t="shared" ca="1" si="43"/>
        <v>0</v>
      </c>
    </row>
    <row r="64" spans="5:47" s="28" customFormat="1">
      <c r="E64" s="254"/>
      <c r="G64" s="36" t="s">
        <v>147</v>
      </c>
      <c r="L64" s="43" t="s">
        <v>12</v>
      </c>
      <c r="N64" s="189">
        <f t="shared" ca="1" si="24"/>
        <v>4769094.339622641</v>
      </c>
      <c r="O64" s="189"/>
      <c r="P64" s="319"/>
      <c r="Q64" s="189"/>
      <c r="R64" s="190">
        <f t="shared" ref="R64:AU64" ca="1" si="44">R447</f>
        <v>5055240</v>
      </c>
      <c r="S64" s="190">
        <f t="shared" ca="1" si="44"/>
        <v>0</v>
      </c>
      <c r="T64" s="190">
        <f t="shared" ca="1" si="44"/>
        <v>0</v>
      </c>
      <c r="U64" s="190">
        <f t="shared" ca="1" si="44"/>
        <v>0</v>
      </c>
      <c r="V64" s="190">
        <f t="shared" ca="1" si="44"/>
        <v>0</v>
      </c>
      <c r="W64" s="190">
        <f t="shared" ca="1" si="44"/>
        <v>0</v>
      </c>
      <c r="X64" s="190">
        <f t="shared" ca="1" si="44"/>
        <v>0</v>
      </c>
      <c r="Y64" s="190">
        <f t="shared" ca="1" si="44"/>
        <v>0</v>
      </c>
      <c r="Z64" s="190">
        <f t="shared" ca="1" si="44"/>
        <v>0</v>
      </c>
      <c r="AA64" s="190">
        <f t="shared" ca="1" si="44"/>
        <v>0</v>
      </c>
      <c r="AB64" s="190">
        <f t="shared" ca="1" si="44"/>
        <v>0</v>
      </c>
      <c r="AC64" s="190">
        <f t="shared" ca="1" si="44"/>
        <v>0</v>
      </c>
      <c r="AD64" s="190">
        <f t="shared" ca="1" si="44"/>
        <v>0</v>
      </c>
      <c r="AE64" s="190">
        <f t="shared" ca="1" si="44"/>
        <v>0</v>
      </c>
      <c r="AF64" s="190">
        <f t="shared" ca="1" si="44"/>
        <v>0</v>
      </c>
      <c r="AG64" s="190">
        <f t="shared" ca="1" si="44"/>
        <v>0</v>
      </c>
      <c r="AH64" s="190">
        <f t="shared" ca="1" si="44"/>
        <v>0</v>
      </c>
      <c r="AI64" s="190">
        <f t="shared" ca="1" si="44"/>
        <v>0</v>
      </c>
      <c r="AJ64" s="190">
        <f t="shared" ca="1" si="44"/>
        <v>0</v>
      </c>
      <c r="AK64" s="190">
        <f t="shared" ca="1" si="44"/>
        <v>0</v>
      </c>
      <c r="AL64" s="190">
        <f t="shared" ca="1" si="44"/>
        <v>0</v>
      </c>
      <c r="AM64" s="190">
        <f t="shared" ca="1" si="44"/>
        <v>0</v>
      </c>
      <c r="AN64" s="190">
        <f t="shared" ca="1" si="44"/>
        <v>0</v>
      </c>
      <c r="AO64" s="190">
        <f t="shared" ca="1" si="44"/>
        <v>0</v>
      </c>
      <c r="AP64" s="190">
        <f t="shared" ca="1" si="44"/>
        <v>0</v>
      </c>
      <c r="AQ64" s="190">
        <f t="shared" ca="1" si="44"/>
        <v>0</v>
      </c>
      <c r="AR64" s="190">
        <f t="shared" ca="1" si="44"/>
        <v>0</v>
      </c>
      <c r="AS64" s="190">
        <f t="shared" ca="1" si="44"/>
        <v>0</v>
      </c>
      <c r="AT64" s="190">
        <f t="shared" ca="1" si="44"/>
        <v>0</v>
      </c>
      <c r="AU64" s="190">
        <f t="shared" ca="1" si="44"/>
        <v>0</v>
      </c>
    </row>
    <row r="65" spans="1:47" s="39" customFormat="1">
      <c r="E65" s="254"/>
      <c r="G65" s="173" t="s">
        <v>114</v>
      </c>
      <c r="L65" s="174" t="s">
        <v>12</v>
      </c>
      <c r="N65" s="189">
        <f ca="1">SUBTOTAL(9,N45:N64)</f>
        <v>36564028.30188679</v>
      </c>
      <c r="O65" s="189"/>
      <c r="P65" s="320"/>
      <c r="Q65" s="189"/>
      <c r="R65" s="189">
        <f t="shared" ref="R65:AU65" ca="1" si="45">SUBTOTAL(9,R45:R64)</f>
        <v>38757870</v>
      </c>
      <c r="S65" s="189">
        <f t="shared" ca="1" si="45"/>
        <v>0</v>
      </c>
      <c r="T65" s="189">
        <f t="shared" ca="1" si="45"/>
        <v>0</v>
      </c>
      <c r="U65" s="189">
        <f t="shared" ca="1" si="45"/>
        <v>0</v>
      </c>
      <c r="V65" s="189">
        <f t="shared" ca="1" si="45"/>
        <v>0</v>
      </c>
      <c r="W65" s="189">
        <f t="shared" ca="1" si="45"/>
        <v>0</v>
      </c>
      <c r="X65" s="189">
        <f t="shared" ca="1" si="45"/>
        <v>0</v>
      </c>
      <c r="Y65" s="189">
        <f t="shared" ca="1" si="45"/>
        <v>0</v>
      </c>
      <c r="Z65" s="189">
        <f t="shared" ca="1" si="45"/>
        <v>0</v>
      </c>
      <c r="AA65" s="189">
        <f t="shared" ca="1" si="45"/>
        <v>0</v>
      </c>
      <c r="AB65" s="189">
        <f t="shared" ca="1" si="45"/>
        <v>0</v>
      </c>
      <c r="AC65" s="189">
        <f t="shared" ca="1" si="45"/>
        <v>0</v>
      </c>
      <c r="AD65" s="189">
        <f t="shared" ca="1" si="45"/>
        <v>0</v>
      </c>
      <c r="AE65" s="189">
        <f t="shared" ca="1" si="45"/>
        <v>0</v>
      </c>
      <c r="AF65" s="189">
        <f t="shared" ca="1" si="45"/>
        <v>0</v>
      </c>
      <c r="AG65" s="189">
        <f t="shared" ca="1" si="45"/>
        <v>0</v>
      </c>
      <c r="AH65" s="189">
        <f t="shared" ca="1" si="45"/>
        <v>0</v>
      </c>
      <c r="AI65" s="189">
        <f t="shared" ca="1" si="45"/>
        <v>0</v>
      </c>
      <c r="AJ65" s="189">
        <f t="shared" ca="1" si="45"/>
        <v>0</v>
      </c>
      <c r="AK65" s="189">
        <f t="shared" ca="1" si="45"/>
        <v>0</v>
      </c>
      <c r="AL65" s="189">
        <f t="shared" ca="1" si="45"/>
        <v>0</v>
      </c>
      <c r="AM65" s="189">
        <f t="shared" ca="1" si="45"/>
        <v>0</v>
      </c>
      <c r="AN65" s="189">
        <f t="shared" ca="1" si="45"/>
        <v>0</v>
      </c>
      <c r="AO65" s="189">
        <f t="shared" ca="1" si="45"/>
        <v>0</v>
      </c>
      <c r="AP65" s="189">
        <f t="shared" ca="1" si="45"/>
        <v>0</v>
      </c>
      <c r="AQ65" s="189">
        <f t="shared" ca="1" si="45"/>
        <v>0</v>
      </c>
      <c r="AR65" s="189">
        <f t="shared" ca="1" si="45"/>
        <v>0</v>
      </c>
      <c r="AS65" s="189">
        <f t="shared" ca="1" si="45"/>
        <v>0</v>
      </c>
      <c r="AT65" s="189">
        <f t="shared" ca="1" si="45"/>
        <v>0</v>
      </c>
      <c r="AU65" s="189">
        <f t="shared" ca="1" si="45"/>
        <v>0</v>
      </c>
    </row>
    <row r="66" spans="1:47" s="28" customFormat="1">
      <c r="E66" s="53"/>
      <c r="G66" s="36"/>
      <c r="L66" s="43"/>
      <c r="N66" s="189"/>
      <c r="O66" s="189"/>
      <c r="P66" s="190"/>
      <c r="Q66" s="189"/>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row>
    <row r="67" spans="1:47" s="28" customFormat="1">
      <c r="A67" s="40"/>
      <c r="B67" s="40"/>
      <c r="C67" s="40"/>
      <c r="D67" s="40"/>
      <c r="G67" s="324" t="s">
        <v>493</v>
      </c>
      <c r="H67" s="324"/>
      <c r="I67" s="324"/>
      <c r="J67" s="324"/>
      <c r="K67" s="324"/>
      <c r="L67" s="405"/>
      <c r="M67" s="256"/>
      <c r="N67" s="325"/>
      <c r="O67" s="311"/>
      <c r="P67" s="325"/>
      <c r="Q67" s="310"/>
      <c r="R67" s="325">
        <f>R42</f>
        <v>2014</v>
      </c>
      <c r="S67" s="325">
        <f t="shared" ref="S67:AU67" si="46">S42</f>
        <v>2015</v>
      </c>
      <c r="T67" s="325">
        <f t="shared" si="46"/>
        <v>2016</v>
      </c>
      <c r="U67" s="325">
        <f t="shared" si="46"/>
        <v>2017</v>
      </c>
      <c r="V67" s="325">
        <f t="shared" si="46"/>
        <v>2018</v>
      </c>
      <c r="W67" s="325">
        <f t="shared" si="46"/>
        <v>2019</v>
      </c>
      <c r="X67" s="325">
        <f t="shared" si="46"/>
        <v>2020</v>
      </c>
      <c r="Y67" s="325">
        <f t="shared" si="46"/>
        <v>2021</v>
      </c>
      <c r="Z67" s="325">
        <f t="shared" si="46"/>
        <v>2022</v>
      </c>
      <c r="AA67" s="325">
        <f t="shared" si="46"/>
        <v>2023</v>
      </c>
      <c r="AB67" s="325">
        <f t="shared" si="46"/>
        <v>2024</v>
      </c>
      <c r="AC67" s="325">
        <f t="shared" si="46"/>
        <v>2025</v>
      </c>
      <c r="AD67" s="325">
        <f t="shared" si="46"/>
        <v>2026</v>
      </c>
      <c r="AE67" s="325">
        <f t="shared" si="46"/>
        <v>2027</v>
      </c>
      <c r="AF67" s="325">
        <f t="shared" si="46"/>
        <v>2028</v>
      </c>
      <c r="AG67" s="325">
        <f t="shared" si="46"/>
        <v>2029</v>
      </c>
      <c r="AH67" s="325">
        <f t="shared" si="46"/>
        <v>2030</v>
      </c>
      <c r="AI67" s="325">
        <f t="shared" si="46"/>
        <v>2031</v>
      </c>
      <c r="AJ67" s="325">
        <f t="shared" si="46"/>
        <v>2032</v>
      </c>
      <c r="AK67" s="325">
        <f t="shared" si="46"/>
        <v>2033</v>
      </c>
      <c r="AL67" s="325">
        <f t="shared" si="46"/>
        <v>2034</v>
      </c>
      <c r="AM67" s="325">
        <f t="shared" si="46"/>
        <v>2035</v>
      </c>
      <c r="AN67" s="325">
        <f t="shared" si="46"/>
        <v>2036</v>
      </c>
      <c r="AO67" s="325">
        <f t="shared" si="46"/>
        <v>2037</v>
      </c>
      <c r="AP67" s="325">
        <f t="shared" si="46"/>
        <v>2038</v>
      </c>
      <c r="AQ67" s="325">
        <f t="shared" si="46"/>
        <v>2039</v>
      </c>
      <c r="AR67" s="325">
        <f t="shared" si="46"/>
        <v>2040</v>
      </c>
      <c r="AS67" s="325">
        <f t="shared" si="46"/>
        <v>2041</v>
      </c>
      <c r="AT67" s="325">
        <f t="shared" si="46"/>
        <v>2042</v>
      </c>
      <c r="AU67" s="325">
        <f t="shared" si="46"/>
        <v>2043</v>
      </c>
    </row>
    <row r="68" spans="1:47" s="28" customFormat="1">
      <c r="E68" s="254"/>
      <c r="G68" s="36"/>
      <c r="L68" s="43"/>
      <c r="N68" s="189"/>
      <c r="O68" s="189"/>
      <c r="P68" s="190"/>
      <c r="Q68" s="189"/>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row>
    <row r="69" spans="1:47" s="28" customFormat="1">
      <c r="E69" s="254"/>
      <c r="G69" s="36" t="s">
        <v>315</v>
      </c>
      <c r="L69" s="43" t="s">
        <v>12</v>
      </c>
      <c r="N69" s="189">
        <f t="shared" ref="N69:N87" ca="1" si="47">NPV(DiscountRt,R69:AU69)</f>
        <v>2171848.6737827016</v>
      </c>
      <c r="O69" s="189"/>
      <c r="P69" s="320"/>
      <c r="Q69" s="189"/>
      <c r="R69" s="190">
        <f t="shared" ref="R69:AU69" ca="1" si="48">R113</f>
        <v>158039.20483090539</v>
      </c>
      <c r="S69" s="190">
        <f t="shared" ca="1" si="48"/>
        <v>161052.33384747375</v>
      </c>
      <c r="T69" s="190">
        <f t="shared" ca="1" si="48"/>
        <v>164522.79604354521</v>
      </c>
      <c r="U69" s="190">
        <f t="shared" ca="1" si="48"/>
        <v>167925.8020998381</v>
      </c>
      <c r="V69" s="190">
        <f t="shared" ca="1" si="48"/>
        <v>192309.75584695247</v>
      </c>
      <c r="W69" s="190">
        <f t="shared" ca="1" si="48"/>
        <v>174673.28270468564</v>
      </c>
      <c r="X69" s="190">
        <f t="shared" ca="1" si="48"/>
        <v>178121.9163680677</v>
      </c>
      <c r="Y69" s="190">
        <f t="shared" ca="1" si="48"/>
        <v>181741.044468771</v>
      </c>
      <c r="Z69" s="190">
        <f t="shared" ca="1" si="48"/>
        <v>185425.21900320292</v>
      </c>
      <c r="AA69" s="190">
        <f t="shared" ca="1" si="48"/>
        <v>212358.7687348082</v>
      </c>
      <c r="AB69" s="190">
        <f t="shared" ca="1" si="48"/>
        <v>193003.64970617247</v>
      </c>
      <c r="AC69" s="190">
        <f t="shared" ca="1" si="48"/>
        <v>196853.73610716214</v>
      </c>
      <c r="AD69" s="190">
        <f t="shared" ca="1" si="48"/>
        <v>200833.24058851317</v>
      </c>
      <c r="AE69" s="190">
        <f t="shared" ca="1" si="48"/>
        <v>204889.00007389652</v>
      </c>
      <c r="AF69" s="190">
        <f t="shared" ca="1" si="48"/>
        <v>234612.37186639733</v>
      </c>
      <c r="AG69" s="190">
        <f t="shared" ca="1" si="48"/>
        <v>213309.92043740812</v>
      </c>
      <c r="AH69" s="190">
        <f t="shared" ca="1" si="48"/>
        <v>217643.93512225634</v>
      </c>
      <c r="AI69" s="190">
        <f t="shared" ca="1" si="48"/>
        <v>222088.39777252777</v>
      </c>
      <c r="AJ69" s="190">
        <f t="shared" ca="1" si="48"/>
        <v>226637.20254408091</v>
      </c>
      <c r="AK69" s="190">
        <f t="shared" ca="1" si="48"/>
        <v>259519.90834204492</v>
      </c>
      <c r="AL69" s="190">
        <f t="shared" si="48"/>
        <v>0</v>
      </c>
      <c r="AM69" s="190">
        <f t="shared" si="48"/>
        <v>0</v>
      </c>
      <c r="AN69" s="190">
        <f t="shared" si="48"/>
        <v>0</v>
      </c>
      <c r="AO69" s="190">
        <f t="shared" si="48"/>
        <v>0</v>
      </c>
      <c r="AP69" s="190">
        <f t="shared" si="48"/>
        <v>0</v>
      </c>
      <c r="AQ69" s="190">
        <f t="shared" si="48"/>
        <v>0</v>
      </c>
      <c r="AR69" s="190">
        <f t="shared" si="48"/>
        <v>0</v>
      </c>
      <c r="AS69" s="190">
        <f t="shared" si="48"/>
        <v>0</v>
      </c>
      <c r="AT69" s="190">
        <f t="shared" si="48"/>
        <v>0</v>
      </c>
      <c r="AU69" s="190">
        <f t="shared" si="48"/>
        <v>0</v>
      </c>
    </row>
    <row r="70" spans="1:47" s="28" customFormat="1">
      <c r="E70" s="254"/>
      <c r="G70" s="36" t="s">
        <v>153</v>
      </c>
      <c r="L70" s="43" t="s">
        <v>12</v>
      </c>
      <c r="N70" s="189">
        <f t="shared" ca="1" si="47"/>
        <v>0</v>
      </c>
      <c r="O70" s="189"/>
      <c r="P70" s="320"/>
      <c r="Q70" s="189"/>
      <c r="R70" s="190">
        <f t="shared" ref="R70:AU70" ca="1" si="49">R134</f>
        <v>0</v>
      </c>
      <c r="S70" s="190">
        <f t="shared" ca="1" si="49"/>
        <v>0</v>
      </c>
      <c r="T70" s="190">
        <f t="shared" ca="1" si="49"/>
        <v>0</v>
      </c>
      <c r="U70" s="190">
        <f t="shared" ca="1" si="49"/>
        <v>0</v>
      </c>
      <c r="V70" s="190">
        <f t="shared" ca="1" si="49"/>
        <v>0</v>
      </c>
      <c r="W70" s="190">
        <f t="shared" ca="1" si="49"/>
        <v>0</v>
      </c>
      <c r="X70" s="190">
        <f t="shared" ca="1" si="49"/>
        <v>0</v>
      </c>
      <c r="Y70" s="190">
        <f t="shared" ca="1" si="49"/>
        <v>0</v>
      </c>
      <c r="Z70" s="190">
        <f t="shared" ca="1" si="49"/>
        <v>0</v>
      </c>
      <c r="AA70" s="190">
        <f t="shared" ca="1" si="49"/>
        <v>0</v>
      </c>
      <c r="AB70" s="190">
        <f t="shared" ca="1" si="49"/>
        <v>0</v>
      </c>
      <c r="AC70" s="190">
        <f t="shared" ca="1" si="49"/>
        <v>0</v>
      </c>
      <c r="AD70" s="190">
        <f t="shared" ca="1" si="49"/>
        <v>0</v>
      </c>
      <c r="AE70" s="190">
        <f t="shared" ca="1" si="49"/>
        <v>0</v>
      </c>
      <c r="AF70" s="190">
        <f t="shared" ca="1" si="49"/>
        <v>0</v>
      </c>
      <c r="AG70" s="190">
        <f t="shared" ca="1" si="49"/>
        <v>0</v>
      </c>
      <c r="AH70" s="190">
        <f t="shared" ca="1" si="49"/>
        <v>0</v>
      </c>
      <c r="AI70" s="190">
        <f t="shared" ca="1" si="49"/>
        <v>0</v>
      </c>
      <c r="AJ70" s="190">
        <f t="shared" ca="1" si="49"/>
        <v>0</v>
      </c>
      <c r="AK70" s="190">
        <f t="shared" ca="1" si="49"/>
        <v>0</v>
      </c>
      <c r="AL70" s="190">
        <f t="shared" si="49"/>
        <v>0</v>
      </c>
      <c r="AM70" s="190">
        <f t="shared" si="49"/>
        <v>0</v>
      </c>
      <c r="AN70" s="190">
        <f t="shared" si="49"/>
        <v>0</v>
      </c>
      <c r="AO70" s="190">
        <f t="shared" si="49"/>
        <v>0</v>
      </c>
      <c r="AP70" s="190">
        <f t="shared" si="49"/>
        <v>0</v>
      </c>
      <c r="AQ70" s="190">
        <f t="shared" si="49"/>
        <v>0</v>
      </c>
      <c r="AR70" s="190">
        <f t="shared" si="49"/>
        <v>0</v>
      </c>
      <c r="AS70" s="190">
        <f t="shared" si="49"/>
        <v>0</v>
      </c>
      <c r="AT70" s="190">
        <f t="shared" si="49"/>
        <v>0</v>
      </c>
      <c r="AU70" s="190">
        <f t="shared" si="49"/>
        <v>0</v>
      </c>
    </row>
    <row r="71" spans="1:47" s="28" customFormat="1">
      <c r="E71" s="254"/>
      <c r="G71" s="36" t="s">
        <v>143</v>
      </c>
      <c r="L71" s="43" t="s">
        <v>12</v>
      </c>
      <c r="N71" s="189">
        <f t="shared" ca="1" si="47"/>
        <v>4214431.4432330104</v>
      </c>
      <c r="O71" s="189"/>
      <c r="P71" s="320"/>
      <c r="Q71" s="189"/>
      <c r="R71" s="190">
        <f t="shared" ref="R71:AU71" ca="1" si="50">R155</f>
        <v>314065.25475647952</v>
      </c>
      <c r="S71" s="190">
        <f t="shared" ca="1" si="50"/>
        <v>320317.67429313832</v>
      </c>
      <c r="T71" s="190">
        <f t="shared" ca="1" si="50"/>
        <v>326772.820590997</v>
      </c>
      <c r="U71" s="190">
        <f t="shared" ca="1" si="50"/>
        <v>333330.29502967064</v>
      </c>
      <c r="V71" s="190">
        <f t="shared" ca="1" si="50"/>
        <v>340006.2720189917</v>
      </c>
      <c r="W71" s="190">
        <f t="shared" ca="1" si="50"/>
        <v>346789.65511408163</v>
      </c>
      <c r="X71" s="190">
        <f t="shared" ca="1" si="50"/>
        <v>353716.67779621499</v>
      </c>
      <c r="Y71" s="190">
        <f t="shared" ca="1" si="50"/>
        <v>360802.10149385338</v>
      </c>
      <c r="Z71" s="190">
        <f t="shared" ca="1" si="50"/>
        <v>368027.79850884539</v>
      </c>
      <c r="AA71" s="190">
        <f t="shared" ca="1" si="50"/>
        <v>375400.90432286024</v>
      </c>
      <c r="AB71" s="190">
        <f t="shared" ca="1" si="50"/>
        <v>382913.1905280003</v>
      </c>
      <c r="AC71" s="190">
        <f t="shared" ca="1" si="50"/>
        <v>390569.50067519984</v>
      </c>
      <c r="AD71" s="190">
        <f t="shared" ca="1" si="50"/>
        <v>398389.19116363546</v>
      </c>
      <c r="AE71" s="190">
        <f t="shared" ca="1" si="50"/>
        <v>406364.6230236718</v>
      </c>
      <c r="AF71" s="190">
        <f t="shared" ca="1" si="50"/>
        <v>414502.49769367953</v>
      </c>
      <c r="AG71" s="190">
        <f t="shared" ca="1" si="50"/>
        <v>422809.80786818679</v>
      </c>
      <c r="AH71" s="190">
        <f t="shared" ca="1" si="50"/>
        <v>431279.27082956367</v>
      </c>
      <c r="AI71" s="190">
        <f t="shared" ca="1" si="50"/>
        <v>439922.77268681524</v>
      </c>
      <c r="AJ71" s="190">
        <f t="shared" ca="1" si="50"/>
        <v>448742.1676043953</v>
      </c>
      <c r="AK71" s="190">
        <f t="shared" ca="1" si="50"/>
        <v>457739.89191837702</v>
      </c>
      <c r="AL71" s="190">
        <f t="shared" si="50"/>
        <v>0</v>
      </c>
      <c r="AM71" s="190">
        <f t="shared" si="50"/>
        <v>0</v>
      </c>
      <c r="AN71" s="190">
        <f t="shared" si="50"/>
        <v>0</v>
      </c>
      <c r="AO71" s="190">
        <f t="shared" si="50"/>
        <v>0</v>
      </c>
      <c r="AP71" s="190">
        <f t="shared" si="50"/>
        <v>0</v>
      </c>
      <c r="AQ71" s="190">
        <f t="shared" si="50"/>
        <v>0</v>
      </c>
      <c r="AR71" s="190">
        <f t="shared" si="50"/>
        <v>0</v>
      </c>
      <c r="AS71" s="190">
        <f t="shared" si="50"/>
        <v>0</v>
      </c>
      <c r="AT71" s="190">
        <f t="shared" si="50"/>
        <v>0</v>
      </c>
      <c r="AU71" s="190">
        <f t="shared" si="50"/>
        <v>0</v>
      </c>
    </row>
    <row r="72" spans="1:47" s="28" customFormat="1">
      <c r="E72" s="254"/>
      <c r="G72" s="36" t="s">
        <v>316</v>
      </c>
      <c r="L72" s="43" t="s">
        <v>12</v>
      </c>
      <c r="N72" s="189">
        <f t="shared" ca="1" si="47"/>
        <v>14570.305608299223</v>
      </c>
      <c r="O72" s="189"/>
      <c r="P72" s="320"/>
      <c r="Q72" s="189"/>
      <c r="R72" s="190">
        <f t="shared" ref="R72:AU72" ca="1" si="51">R176</f>
        <v>1061.0749661113664</v>
      </c>
      <c r="S72" s="190">
        <f t="shared" ca="1" si="51"/>
        <v>1067.6892101035248</v>
      </c>
      <c r="T72" s="190">
        <f t="shared" ca="1" si="51"/>
        <v>1113.7172294884872</v>
      </c>
      <c r="U72" s="190">
        <f t="shared" ca="1" si="51"/>
        <v>1147.1259594647156</v>
      </c>
      <c r="V72" s="190">
        <f t="shared" ca="1" si="51"/>
        <v>1174.8073825565737</v>
      </c>
      <c r="W72" s="190">
        <f t="shared" ca="1" si="51"/>
        <v>1189.837025649</v>
      </c>
      <c r="X72" s="190">
        <f t="shared" ca="1" si="51"/>
        <v>1209.198616791849</v>
      </c>
      <c r="Y72" s="190">
        <f t="shared" ca="1" si="51"/>
        <v>1238.9908079138625</v>
      </c>
      <c r="Z72" s="190">
        <f t="shared" ca="1" si="51"/>
        <v>1268.6530926913447</v>
      </c>
      <c r="AA72" s="190">
        <f t="shared" ca="1" si="51"/>
        <v>1300.3725360243311</v>
      </c>
      <c r="AB72" s="190">
        <f t="shared" ca="1" si="51"/>
        <v>1328.5383490088843</v>
      </c>
      <c r="AC72" s="190">
        <f t="shared" ca="1" si="51"/>
        <v>1354.1211600329689</v>
      </c>
      <c r="AD72" s="190">
        <f t="shared" ca="1" si="51"/>
        <v>1385.401084099379</v>
      </c>
      <c r="AE72" s="190">
        <f t="shared" ca="1" si="51"/>
        <v>1416.9766725411378</v>
      </c>
      <c r="AF72" s="190">
        <f t="shared" ca="1" si="51"/>
        <v>1450.6675664920981</v>
      </c>
      <c r="AG72" s="190">
        <f t="shared" ca="1" si="51"/>
        <v>1488.4093088656859</v>
      </c>
      <c r="AH72" s="190">
        <f t="shared" ca="1" si="51"/>
        <v>1524.886439023755</v>
      </c>
      <c r="AI72" s="190">
        <f t="shared" ca="1" si="51"/>
        <v>1564.4444054173453</v>
      </c>
      <c r="AJ72" s="190">
        <f t="shared" ca="1" si="51"/>
        <v>1606.3222560050128</v>
      </c>
      <c r="AK72" s="190">
        <f t="shared" ca="1" si="51"/>
        <v>1650.0194676352328</v>
      </c>
      <c r="AL72" s="190">
        <f t="shared" si="51"/>
        <v>0</v>
      </c>
      <c r="AM72" s="190">
        <f t="shared" si="51"/>
        <v>0</v>
      </c>
      <c r="AN72" s="190">
        <f t="shared" si="51"/>
        <v>0</v>
      </c>
      <c r="AO72" s="190">
        <f t="shared" si="51"/>
        <v>0</v>
      </c>
      <c r="AP72" s="190">
        <f t="shared" si="51"/>
        <v>0</v>
      </c>
      <c r="AQ72" s="190">
        <f t="shared" si="51"/>
        <v>0</v>
      </c>
      <c r="AR72" s="190">
        <f t="shared" si="51"/>
        <v>0</v>
      </c>
      <c r="AS72" s="190">
        <f t="shared" si="51"/>
        <v>0</v>
      </c>
      <c r="AT72" s="190">
        <f t="shared" si="51"/>
        <v>0</v>
      </c>
      <c r="AU72" s="190">
        <f t="shared" si="51"/>
        <v>0</v>
      </c>
    </row>
    <row r="73" spans="1:47" s="28" customFormat="1">
      <c r="E73" s="254"/>
      <c r="G73" s="36" t="s">
        <v>317</v>
      </c>
      <c r="L73" s="43" t="s">
        <v>12</v>
      </c>
      <c r="N73" s="189">
        <f t="shared" ca="1" si="47"/>
        <v>981400.0297626789</v>
      </c>
      <c r="O73" s="189"/>
      <c r="P73" s="320"/>
      <c r="Q73" s="189"/>
      <c r="R73" s="190">
        <f t="shared" ref="R73:AU73" ca="1" si="52">R197</f>
        <v>73146.75</v>
      </c>
      <c r="S73" s="190">
        <f t="shared" ca="1" si="52"/>
        <v>74609.684999999998</v>
      </c>
      <c r="T73" s="190">
        <f t="shared" ca="1" si="52"/>
        <v>76101.878700000001</v>
      </c>
      <c r="U73" s="190">
        <f t="shared" ca="1" si="52"/>
        <v>77623.916274000003</v>
      </c>
      <c r="V73" s="190">
        <f t="shared" ca="1" si="52"/>
        <v>79176.394599480001</v>
      </c>
      <c r="W73" s="190">
        <f t="shared" ca="1" si="52"/>
        <v>80759.92249146961</v>
      </c>
      <c r="X73" s="190">
        <f t="shared" ca="1" si="52"/>
        <v>82375.120941298985</v>
      </c>
      <c r="Y73" s="190">
        <f t="shared" ca="1" si="52"/>
        <v>84022.62336012497</v>
      </c>
      <c r="Z73" s="190">
        <f t="shared" ca="1" si="52"/>
        <v>85703.07582732747</v>
      </c>
      <c r="AA73" s="190">
        <f t="shared" ca="1" si="52"/>
        <v>87417.137343874027</v>
      </c>
      <c r="AB73" s="190">
        <f t="shared" ca="1" si="52"/>
        <v>89165.480090751487</v>
      </c>
      <c r="AC73" s="190">
        <f t="shared" ca="1" si="52"/>
        <v>90948.789692566526</v>
      </c>
      <c r="AD73" s="190">
        <f t="shared" ca="1" si="52"/>
        <v>92767.765486417848</v>
      </c>
      <c r="AE73" s="190">
        <f t="shared" ca="1" si="52"/>
        <v>94623.120796146221</v>
      </c>
      <c r="AF73" s="190">
        <f t="shared" ca="1" si="52"/>
        <v>96515.583212069119</v>
      </c>
      <c r="AG73" s="190">
        <f t="shared" ca="1" si="52"/>
        <v>98445.894876310515</v>
      </c>
      <c r="AH73" s="190">
        <f t="shared" ca="1" si="52"/>
        <v>100414.81277383673</v>
      </c>
      <c r="AI73" s="190">
        <f t="shared" ca="1" si="52"/>
        <v>102423.10902931346</v>
      </c>
      <c r="AJ73" s="190">
        <f t="shared" ca="1" si="52"/>
        <v>104471.57120989973</v>
      </c>
      <c r="AK73" s="190">
        <f t="shared" ca="1" si="52"/>
        <v>106561.00263409773</v>
      </c>
      <c r="AL73" s="190">
        <f t="shared" si="52"/>
        <v>0</v>
      </c>
      <c r="AM73" s="190">
        <f t="shared" si="52"/>
        <v>0</v>
      </c>
      <c r="AN73" s="190">
        <f t="shared" si="52"/>
        <v>0</v>
      </c>
      <c r="AO73" s="190">
        <f t="shared" si="52"/>
        <v>0</v>
      </c>
      <c r="AP73" s="190">
        <f t="shared" si="52"/>
        <v>0</v>
      </c>
      <c r="AQ73" s="190">
        <f t="shared" si="52"/>
        <v>0</v>
      </c>
      <c r="AR73" s="190">
        <f t="shared" si="52"/>
        <v>0</v>
      </c>
      <c r="AS73" s="190">
        <f t="shared" si="52"/>
        <v>0</v>
      </c>
      <c r="AT73" s="190">
        <f t="shared" si="52"/>
        <v>0</v>
      </c>
      <c r="AU73" s="190">
        <f t="shared" si="52"/>
        <v>0</v>
      </c>
    </row>
    <row r="74" spans="1:47" s="28" customFormat="1">
      <c r="E74" s="254"/>
      <c r="G74" s="36" t="s">
        <v>318</v>
      </c>
      <c r="L74" s="43" t="s">
        <v>12</v>
      </c>
      <c r="N74" s="189">
        <f t="shared" ca="1" si="47"/>
        <v>-1296473.199682117</v>
      </c>
      <c r="O74" s="189"/>
      <c r="P74" s="320"/>
      <c r="Q74" s="189"/>
      <c r="R74" s="190">
        <f t="shared" ref="R74:AU74" ca="1" si="53">R218</f>
        <v>-92869.422147803503</v>
      </c>
      <c r="S74" s="190">
        <f t="shared" ca="1" si="53"/>
        <v>-92520.16374174977</v>
      </c>
      <c r="T74" s="190">
        <f t="shared" ca="1" si="53"/>
        <v>-98097.983433136062</v>
      </c>
      <c r="U74" s="190">
        <f t="shared" ca="1" si="53"/>
        <v>-101741.96041946097</v>
      </c>
      <c r="V74" s="190">
        <f t="shared" ca="1" si="53"/>
        <v>-104492.68273717238</v>
      </c>
      <c r="W74" s="190">
        <f t="shared" ca="1" si="53"/>
        <v>-105303.54282437437</v>
      </c>
      <c r="X74" s="190">
        <f t="shared" ca="1" si="53"/>
        <v>-106739.61728788166</v>
      </c>
      <c r="Y74" s="190">
        <f t="shared" ca="1" si="53"/>
        <v>-109721.61590432034</v>
      </c>
      <c r="Z74" s="190">
        <f t="shared" ca="1" si="53"/>
        <v>-112653.61895356115</v>
      </c>
      <c r="AA74" s="190">
        <f t="shared" ca="1" si="53"/>
        <v>-115865.40824263079</v>
      </c>
      <c r="AB74" s="190">
        <f t="shared" ca="1" si="53"/>
        <v>-118508.76967220727</v>
      </c>
      <c r="AC74" s="190">
        <f t="shared" ca="1" si="53"/>
        <v>-120729.69937587521</v>
      </c>
      <c r="AD74" s="190">
        <f t="shared" ca="1" si="53"/>
        <v>-123778.38935540689</v>
      </c>
      <c r="AE74" s="190">
        <f t="shared" ca="1" si="53"/>
        <v>-126838.21159764298</v>
      </c>
      <c r="AF74" s="190">
        <f t="shared" ca="1" si="53"/>
        <v>-130183.37977124781</v>
      </c>
      <c r="AG74" s="190">
        <f t="shared" ca="1" si="53"/>
        <v>-134105.60284875293</v>
      </c>
      <c r="AH74" s="190">
        <f t="shared" ca="1" si="53"/>
        <v>-137801.20236526753</v>
      </c>
      <c r="AI74" s="190">
        <f t="shared" ca="1" si="53"/>
        <v>-141925.91233805992</v>
      </c>
      <c r="AJ74" s="190">
        <f t="shared" ca="1" si="53"/>
        <v>-146364.05352296319</v>
      </c>
      <c r="AK74" s="190">
        <f t="shared" ca="1" si="53"/>
        <v>-151039.27387997854</v>
      </c>
      <c r="AL74" s="190">
        <f t="shared" si="53"/>
        <v>0</v>
      </c>
      <c r="AM74" s="190">
        <f t="shared" si="53"/>
        <v>0</v>
      </c>
      <c r="AN74" s="190">
        <f t="shared" si="53"/>
        <v>0</v>
      </c>
      <c r="AO74" s="190">
        <f t="shared" si="53"/>
        <v>0</v>
      </c>
      <c r="AP74" s="190">
        <f t="shared" si="53"/>
        <v>0</v>
      </c>
      <c r="AQ74" s="190">
        <f t="shared" si="53"/>
        <v>0</v>
      </c>
      <c r="AR74" s="190">
        <f t="shared" si="53"/>
        <v>0</v>
      </c>
      <c r="AS74" s="190">
        <f t="shared" si="53"/>
        <v>0</v>
      </c>
      <c r="AT74" s="190">
        <f t="shared" si="53"/>
        <v>0</v>
      </c>
      <c r="AU74" s="190">
        <f t="shared" si="53"/>
        <v>0</v>
      </c>
    </row>
    <row r="75" spans="1:47" s="28" customFormat="1">
      <c r="E75" s="254"/>
      <c r="G75" s="36" t="s">
        <v>319</v>
      </c>
      <c r="L75" s="43" t="s">
        <v>12</v>
      </c>
      <c r="N75" s="189">
        <f t="shared" ca="1" si="47"/>
        <v>0</v>
      </c>
      <c r="O75" s="189"/>
      <c r="P75" s="320"/>
      <c r="Q75" s="189"/>
      <c r="R75" s="190">
        <f t="shared" ref="R75:AU75" ca="1" si="54">R239</f>
        <v>0</v>
      </c>
      <c r="S75" s="190">
        <f t="shared" ca="1" si="54"/>
        <v>0</v>
      </c>
      <c r="T75" s="190">
        <f t="shared" ca="1" si="54"/>
        <v>0</v>
      </c>
      <c r="U75" s="190">
        <f t="shared" ca="1" si="54"/>
        <v>0</v>
      </c>
      <c r="V75" s="190">
        <f t="shared" ca="1" si="54"/>
        <v>0</v>
      </c>
      <c r="W75" s="190">
        <f t="shared" ca="1" si="54"/>
        <v>0</v>
      </c>
      <c r="X75" s="190">
        <f t="shared" ca="1" si="54"/>
        <v>0</v>
      </c>
      <c r="Y75" s="190">
        <f t="shared" ca="1" si="54"/>
        <v>0</v>
      </c>
      <c r="Z75" s="190">
        <f t="shared" ca="1" si="54"/>
        <v>0</v>
      </c>
      <c r="AA75" s="190">
        <f t="shared" ca="1" si="54"/>
        <v>0</v>
      </c>
      <c r="AB75" s="190">
        <f t="shared" ca="1" si="54"/>
        <v>0</v>
      </c>
      <c r="AC75" s="190">
        <f t="shared" ca="1" si="54"/>
        <v>0</v>
      </c>
      <c r="AD75" s="190">
        <f t="shared" ca="1" si="54"/>
        <v>0</v>
      </c>
      <c r="AE75" s="190">
        <f t="shared" ca="1" si="54"/>
        <v>0</v>
      </c>
      <c r="AF75" s="190">
        <f t="shared" ca="1" si="54"/>
        <v>0</v>
      </c>
      <c r="AG75" s="190">
        <f t="shared" ca="1" si="54"/>
        <v>0</v>
      </c>
      <c r="AH75" s="190">
        <f t="shared" ca="1" si="54"/>
        <v>0</v>
      </c>
      <c r="AI75" s="190">
        <f t="shared" ca="1" si="54"/>
        <v>0</v>
      </c>
      <c r="AJ75" s="190">
        <f t="shared" ca="1" si="54"/>
        <v>0</v>
      </c>
      <c r="AK75" s="190">
        <f t="shared" ca="1" si="54"/>
        <v>0</v>
      </c>
      <c r="AL75" s="190">
        <f t="shared" si="54"/>
        <v>0</v>
      </c>
      <c r="AM75" s="190">
        <f t="shared" si="54"/>
        <v>0</v>
      </c>
      <c r="AN75" s="190">
        <f t="shared" si="54"/>
        <v>0</v>
      </c>
      <c r="AO75" s="190">
        <f t="shared" si="54"/>
        <v>0</v>
      </c>
      <c r="AP75" s="190">
        <f t="shared" si="54"/>
        <v>0</v>
      </c>
      <c r="AQ75" s="190">
        <f t="shared" si="54"/>
        <v>0</v>
      </c>
      <c r="AR75" s="190">
        <f t="shared" si="54"/>
        <v>0</v>
      </c>
      <c r="AS75" s="190">
        <f t="shared" si="54"/>
        <v>0</v>
      </c>
      <c r="AT75" s="190">
        <f t="shared" si="54"/>
        <v>0</v>
      </c>
      <c r="AU75" s="190">
        <f t="shared" si="54"/>
        <v>0</v>
      </c>
    </row>
    <row r="76" spans="1:47" s="28" customFormat="1">
      <c r="E76" s="254"/>
      <c r="G76" s="36" t="s">
        <v>320</v>
      </c>
      <c r="L76" s="43" t="s">
        <v>12</v>
      </c>
      <c r="N76" s="189">
        <f t="shared" ca="1" si="47"/>
        <v>0</v>
      </c>
      <c r="O76" s="189"/>
      <c r="P76" s="320"/>
      <c r="Q76" s="189"/>
      <c r="R76" s="190">
        <f t="shared" ref="R76:AU76" ca="1" si="55">R260</f>
        <v>0</v>
      </c>
      <c r="S76" s="190">
        <f t="shared" ca="1" si="55"/>
        <v>0</v>
      </c>
      <c r="T76" s="190">
        <f t="shared" ca="1" si="55"/>
        <v>0</v>
      </c>
      <c r="U76" s="190">
        <f t="shared" ca="1" si="55"/>
        <v>0</v>
      </c>
      <c r="V76" s="190">
        <f t="shared" ca="1" si="55"/>
        <v>0</v>
      </c>
      <c r="W76" s="190">
        <f t="shared" ca="1" si="55"/>
        <v>0</v>
      </c>
      <c r="X76" s="190">
        <f t="shared" ca="1" si="55"/>
        <v>0</v>
      </c>
      <c r="Y76" s="190">
        <f t="shared" ca="1" si="55"/>
        <v>0</v>
      </c>
      <c r="Z76" s="190">
        <f t="shared" ca="1" si="55"/>
        <v>0</v>
      </c>
      <c r="AA76" s="190">
        <f t="shared" ca="1" si="55"/>
        <v>0</v>
      </c>
      <c r="AB76" s="190">
        <f t="shared" ca="1" si="55"/>
        <v>0</v>
      </c>
      <c r="AC76" s="190">
        <f t="shared" ca="1" si="55"/>
        <v>0</v>
      </c>
      <c r="AD76" s="190">
        <f t="shared" ca="1" si="55"/>
        <v>0</v>
      </c>
      <c r="AE76" s="190">
        <f t="shared" ca="1" si="55"/>
        <v>0</v>
      </c>
      <c r="AF76" s="190">
        <f t="shared" ca="1" si="55"/>
        <v>0</v>
      </c>
      <c r="AG76" s="190">
        <f t="shared" ca="1" si="55"/>
        <v>0</v>
      </c>
      <c r="AH76" s="190">
        <f t="shared" ca="1" si="55"/>
        <v>0</v>
      </c>
      <c r="AI76" s="190">
        <f t="shared" ca="1" si="55"/>
        <v>0</v>
      </c>
      <c r="AJ76" s="190">
        <f t="shared" ca="1" si="55"/>
        <v>0</v>
      </c>
      <c r="AK76" s="190">
        <f t="shared" ca="1" si="55"/>
        <v>0</v>
      </c>
      <c r="AL76" s="190">
        <f t="shared" si="55"/>
        <v>0</v>
      </c>
      <c r="AM76" s="190">
        <f t="shared" si="55"/>
        <v>0</v>
      </c>
      <c r="AN76" s="190">
        <f t="shared" si="55"/>
        <v>0</v>
      </c>
      <c r="AO76" s="190">
        <f t="shared" si="55"/>
        <v>0</v>
      </c>
      <c r="AP76" s="190">
        <f t="shared" si="55"/>
        <v>0</v>
      </c>
      <c r="AQ76" s="190">
        <f t="shared" si="55"/>
        <v>0</v>
      </c>
      <c r="AR76" s="190">
        <f t="shared" si="55"/>
        <v>0</v>
      </c>
      <c r="AS76" s="190">
        <f t="shared" si="55"/>
        <v>0</v>
      </c>
      <c r="AT76" s="190">
        <f t="shared" si="55"/>
        <v>0</v>
      </c>
      <c r="AU76" s="190">
        <f t="shared" si="55"/>
        <v>0</v>
      </c>
    </row>
    <row r="77" spans="1:47" s="28" customFormat="1">
      <c r="E77" s="254"/>
      <c r="G77" s="36" t="s">
        <v>321</v>
      </c>
      <c r="L77" s="43" t="s">
        <v>12</v>
      </c>
      <c r="N77" s="189">
        <f t="shared" ca="1" si="47"/>
        <v>0</v>
      </c>
      <c r="O77" s="189"/>
      <c r="P77" s="320"/>
      <c r="Q77" s="189"/>
      <c r="R77" s="190">
        <f t="shared" ref="R77:AU77" ca="1" si="56">R281</f>
        <v>0</v>
      </c>
      <c r="S77" s="190">
        <f t="shared" ca="1" si="56"/>
        <v>0</v>
      </c>
      <c r="T77" s="190">
        <f t="shared" ca="1" si="56"/>
        <v>0</v>
      </c>
      <c r="U77" s="190">
        <f t="shared" ca="1" si="56"/>
        <v>0</v>
      </c>
      <c r="V77" s="190">
        <f t="shared" ca="1" si="56"/>
        <v>0</v>
      </c>
      <c r="W77" s="190">
        <f t="shared" ca="1" si="56"/>
        <v>0</v>
      </c>
      <c r="X77" s="190">
        <f t="shared" ca="1" si="56"/>
        <v>0</v>
      </c>
      <c r="Y77" s="190">
        <f t="shared" ca="1" si="56"/>
        <v>0</v>
      </c>
      <c r="Z77" s="190">
        <f t="shared" ca="1" si="56"/>
        <v>0</v>
      </c>
      <c r="AA77" s="190">
        <f t="shared" ca="1" si="56"/>
        <v>0</v>
      </c>
      <c r="AB77" s="190">
        <f t="shared" ca="1" si="56"/>
        <v>0</v>
      </c>
      <c r="AC77" s="190">
        <f t="shared" ca="1" si="56"/>
        <v>0</v>
      </c>
      <c r="AD77" s="190">
        <f t="shared" ca="1" si="56"/>
        <v>0</v>
      </c>
      <c r="AE77" s="190">
        <f t="shared" ca="1" si="56"/>
        <v>0</v>
      </c>
      <c r="AF77" s="190">
        <f t="shared" ca="1" si="56"/>
        <v>0</v>
      </c>
      <c r="AG77" s="190">
        <f t="shared" ca="1" si="56"/>
        <v>0</v>
      </c>
      <c r="AH77" s="190">
        <f t="shared" ca="1" si="56"/>
        <v>0</v>
      </c>
      <c r="AI77" s="190">
        <f t="shared" ca="1" si="56"/>
        <v>0</v>
      </c>
      <c r="AJ77" s="190">
        <f t="shared" ca="1" si="56"/>
        <v>0</v>
      </c>
      <c r="AK77" s="190">
        <f t="shared" ca="1" si="56"/>
        <v>0</v>
      </c>
      <c r="AL77" s="190">
        <f t="shared" si="56"/>
        <v>0</v>
      </c>
      <c r="AM77" s="190">
        <f t="shared" si="56"/>
        <v>0</v>
      </c>
      <c r="AN77" s="190">
        <f t="shared" si="56"/>
        <v>0</v>
      </c>
      <c r="AO77" s="190">
        <f t="shared" si="56"/>
        <v>0</v>
      </c>
      <c r="AP77" s="190">
        <f t="shared" si="56"/>
        <v>0</v>
      </c>
      <c r="AQ77" s="190">
        <f t="shared" si="56"/>
        <v>0</v>
      </c>
      <c r="AR77" s="190">
        <f t="shared" si="56"/>
        <v>0</v>
      </c>
      <c r="AS77" s="190">
        <f t="shared" si="56"/>
        <v>0</v>
      </c>
      <c r="AT77" s="190">
        <f t="shared" si="56"/>
        <v>0</v>
      </c>
      <c r="AU77" s="190">
        <f t="shared" si="56"/>
        <v>0</v>
      </c>
    </row>
    <row r="78" spans="1:47" s="28" customFormat="1">
      <c r="E78" s="254"/>
      <c r="G78" s="36" t="s">
        <v>160</v>
      </c>
      <c r="L78" s="43" t="s">
        <v>12</v>
      </c>
      <c r="N78" s="189">
        <f t="shared" ca="1" si="47"/>
        <v>0</v>
      </c>
      <c r="O78" s="189"/>
      <c r="P78" s="320"/>
      <c r="Q78" s="189"/>
      <c r="R78" s="190">
        <f t="shared" ref="R78:AU78" ca="1" si="57">R302</f>
        <v>0</v>
      </c>
      <c r="S78" s="190">
        <f t="shared" ca="1" si="57"/>
        <v>0</v>
      </c>
      <c r="T78" s="190">
        <f t="shared" ca="1" si="57"/>
        <v>0</v>
      </c>
      <c r="U78" s="190">
        <f t="shared" ca="1" si="57"/>
        <v>0</v>
      </c>
      <c r="V78" s="190">
        <f t="shared" ca="1" si="57"/>
        <v>0</v>
      </c>
      <c r="W78" s="190">
        <f t="shared" ca="1" si="57"/>
        <v>0</v>
      </c>
      <c r="X78" s="190">
        <f t="shared" ca="1" si="57"/>
        <v>0</v>
      </c>
      <c r="Y78" s="190">
        <f t="shared" ca="1" si="57"/>
        <v>0</v>
      </c>
      <c r="Z78" s="190">
        <f t="shared" ca="1" si="57"/>
        <v>0</v>
      </c>
      <c r="AA78" s="190">
        <f t="shared" ca="1" si="57"/>
        <v>0</v>
      </c>
      <c r="AB78" s="190">
        <f t="shared" ca="1" si="57"/>
        <v>0</v>
      </c>
      <c r="AC78" s="190">
        <f t="shared" ca="1" si="57"/>
        <v>0</v>
      </c>
      <c r="AD78" s="190">
        <f t="shared" ca="1" si="57"/>
        <v>0</v>
      </c>
      <c r="AE78" s="190">
        <f t="shared" ca="1" si="57"/>
        <v>0</v>
      </c>
      <c r="AF78" s="190">
        <f t="shared" ca="1" si="57"/>
        <v>0</v>
      </c>
      <c r="AG78" s="190">
        <f t="shared" ca="1" si="57"/>
        <v>0</v>
      </c>
      <c r="AH78" s="190">
        <f t="shared" ca="1" si="57"/>
        <v>0</v>
      </c>
      <c r="AI78" s="190">
        <f t="shared" ca="1" si="57"/>
        <v>0</v>
      </c>
      <c r="AJ78" s="190">
        <f t="shared" ca="1" si="57"/>
        <v>0</v>
      </c>
      <c r="AK78" s="190">
        <f t="shared" ca="1" si="57"/>
        <v>0</v>
      </c>
      <c r="AL78" s="190">
        <f t="shared" si="57"/>
        <v>0</v>
      </c>
      <c r="AM78" s="190">
        <f t="shared" si="57"/>
        <v>0</v>
      </c>
      <c r="AN78" s="190">
        <f t="shared" si="57"/>
        <v>0</v>
      </c>
      <c r="AO78" s="190">
        <f t="shared" si="57"/>
        <v>0</v>
      </c>
      <c r="AP78" s="190">
        <f t="shared" si="57"/>
        <v>0</v>
      </c>
      <c r="AQ78" s="190">
        <f t="shared" si="57"/>
        <v>0</v>
      </c>
      <c r="AR78" s="190">
        <f t="shared" si="57"/>
        <v>0</v>
      </c>
      <c r="AS78" s="190">
        <f t="shared" si="57"/>
        <v>0</v>
      </c>
      <c r="AT78" s="190">
        <f t="shared" si="57"/>
        <v>0</v>
      </c>
      <c r="AU78" s="190">
        <f t="shared" si="57"/>
        <v>0</v>
      </c>
    </row>
    <row r="79" spans="1:47" s="28" customFormat="1">
      <c r="E79" s="254"/>
      <c r="G79" s="36" t="s">
        <v>161</v>
      </c>
      <c r="L79" s="43" t="s">
        <v>12</v>
      </c>
      <c r="N79" s="189">
        <f t="shared" ca="1" si="47"/>
        <v>0</v>
      </c>
      <c r="O79" s="189"/>
      <c r="P79" s="320"/>
      <c r="Q79" s="189"/>
      <c r="R79" s="190">
        <f t="shared" ref="R79:AU79" ca="1" si="58">R323</f>
        <v>0</v>
      </c>
      <c r="S79" s="190">
        <f t="shared" ca="1" si="58"/>
        <v>0</v>
      </c>
      <c r="T79" s="190">
        <f t="shared" ca="1" si="58"/>
        <v>0</v>
      </c>
      <c r="U79" s="190">
        <f t="shared" ca="1" si="58"/>
        <v>0</v>
      </c>
      <c r="V79" s="190">
        <f t="shared" ca="1" si="58"/>
        <v>0</v>
      </c>
      <c r="W79" s="190">
        <f t="shared" ca="1" si="58"/>
        <v>0</v>
      </c>
      <c r="X79" s="190">
        <f t="shared" ca="1" si="58"/>
        <v>0</v>
      </c>
      <c r="Y79" s="190">
        <f t="shared" ca="1" si="58"/>
        <v>0</v>
      </c>
      <c r="Z79" s="190">
        <f t="shared" ca="1" si="58"/>
        <v>0</v>
      </c>
      <c r="AA79" s="190">
        <f t="shared" ca="1" si="58"/>
        <v>0</v>
      </c>
      <c r="AB79" s="190">
        <f t="shared" ca="1" si="58"/>
        <v>0</v>
      </c>
      <c r="AC79" s="190">
        <f t="shared" ca="1" si="58"/>
        <v>0</v>
      </c>
      <c r="AD79" s="190">
        <f t="shared" ca="1" si="58"/>
        <v>0</v>
      </c>
      <c r="AE79" s="190">
        <f t="shared" ca="1" si="58"/>
        <v>0</v>
      </c>
      <c r="AF79" s="190">
        <f t="shared" ca="1" si="58"/>
        <v>0</v>
      </c>
      <c r="AG79" s="190">
        <f t="shared" ca="1" si="58"/>
        <v>0</v>
      </c>
      <c r="AH79" s="190">
        <f t="shared" ca="1" si="58"/>
        <v>0</v>
      </c>
      <c r="AI79" s="190">
        <f t="shared" ca="1" si="58"/>
        <v>0</v>
      </c>
      <c r="AJ79" s="190">
        <f t="shared" ca="1" si="58"/>
        <v>0</v>
      </c>
      <c r="AK79" s="190">
        <f t="shared" ca="1" si="58"/>
        <v>0</v>
      </c>
      <c r="AL79" s="190">
        <f t="shared" si="58"/>
        <v>0</v>
      </c>
      <c r="AM79" s="190">
        <f t="shared" si="58"/>
        <v>0</v>
      </c>
      <c r="AN79" s="190">
        <f t="shared" si="58"/>
        <v>0</v>
      </c>
      <c r="AO79" s="190">
        <f t="shared" si="58"/>
        <v>0</v>
      </c>
      <c r="AP79" s="190">
        <f t="shared" si="58"/>
        <v>0</v>
      </c>
      <c r="AQ79" s="190">
        <f t="shared" si="58"/>
        <v>0</v>
      </c>
      <c r="AR79" s="190">
        <f t="shared" si="58"/>
        <v>0</v>
      </c>
      <c r="AS79" s="190">
        <f t="shared" si="58"/>
        <v>0</v>
      </c>
      <c r="AT79" s="190">
        <f t="shared" si="58"/>
        <v>0</v>
      </c>
      <c r="AU79" s="190">
        <f t="shared" si="58"/>
        <v>0</v>
      </c>
    </row>
    <row r="80" spans="1:47" s="28" customFormat="1">
      <c r="E80" s="254"/>
      <c r="G80" s="36" t="s">
        <v>162</v>
      </c>
      <c r="L80" s="43" t="s">
        <v>12</v>
      </c>
      <c r="N80" s="189">
        <f t="shared" ca="1" si="47"/>
        <v>1461601.3182997147</v>
      </c>
      <c r="O80" s="189"/>
      <c r="P80" s="320"/>
      <c r="Q80" s="189"/>
      <c r="R80" s="190">
        <f t="shared" ref="R80:AU80" ca="1" si="59">R344</f>
        <v>108640.6308038642</v>
      </c>
      <c r="S80" s="190">
        <f t="shared" ca="1" si="59"/>
        <v>110639.17877494777</v>
      </c>
      <c r="T80" s="190">
        <f t="shared" ca="1" si="59"/>
        <v>113146.32612635657</v>
      </c>
      <c r="U80" s="190">
        <f t="shared" ca="1" si="59"/>
        <v>115542.08593431277</v>
      </c>
      <c r="V80" s="190">
        <f t="shared" ca="1" si="59"/>
        <v>117909.46280539961</v>
      </c>
      <c r="W80" s="190">
        <f t="shared" ca="1" si="59"/>
        <v>120166.6466105915</v>
      </c>
      <c r="X80" s="190">
        <f t="shared" ca="1" si="59"/>
        <v>122517.06818382343</v>
      </c>
      <c r="Y80" s="190">
        <f t="shared" ca="1" si="59"/>
        <v>125034.31563175299</v>
      </c>
      <c r="Z80" s="190">
        <f t="shared" ca="1" si="59"/>
        <v>127593.24982473197</v>
      </c>
      <c r="AA80" s="190">
        <f t="shared" ca="1" si="59"/>
        <v>130220.82719089978</v>
      </c>
      <c r="AB80" s="190">
        <f t="shared" ca="1" si="59"/>
        <v>132850.99300966476</v>
      </c>
      <c r="AC80" s="190">
        <f t="shared" ca="1" si="59"/>
        <v>135496.22654928878</v>
      </c>
      <c r="AD80" s="190">
        <f t="shared" ca="1" si="59"/>
        <v>138256.22729115075</v>
      </c>
      <c r="AE80" s="190">
        <f t="shared" ca="1" si="59"/>
        <v>141067.49193195751</v>
      </c>
      <c r="AF80" s="190">
        <f t="shared" ca="1" si="59"/>
        <v>143952.68353393392</v>
      </c>
      <c r="AG80" s="190">
        <f t="shared" ca="1" si="59"/>
        <v>146935.86696288924</v>
      </c>
      <c r="AH80" s="190">
        <f t="shared" ca="1" si="59"/>
        <v>149954.62204467092</v>
      </c>
      <c r="AI80" s="190">
        <f t="shared" ca="1" si="59"/>
        <v>153061.80317543331</v>
      </c>
      <c r="AJ80" s="190">
        <f t="shared" ca="1" si="59"/>
        <v>156249.36562576919</v>
      </c>
      <c r="AK80" s="190">
        <f t="shared" ca="1" si="59"/>
        <v>159512.39225317491</v>
      </c>
      <c r="AL80" s="190">
        <f t="shared" si="59"/>
        <v>0</v>
      </c>
      <c r="AM80" s="190">
        <f t="shared" si="59"/>
        <v>0</v>
      </c>
      <c r="AN80" s="190">
        <f t="shared" si="59"/>
        <v>0</v>
      </c>
      <c r="AO80" s="190">
        <f t="shared" si="59"/>
        <v>0</v>
      </c>
      <c r="AP80" s="190">
        <f t="shared" si="59"/>
        <v>0</v>
      </c>
      <c r="AQ80" s="190">
        <f t="shared" si="59"/>
        <v>0</v>
      </c>
      <c r="AR80" s="190">
        <f t="shared" si="59"/>
        <v>0</v>
      </c>
      <c r="AS80" s="190">
        <f t="shared" si="59"/>
        <v>0</v>
      </c>
      <c r="AT80" s="190">
        <f t="shared" si="59"/>
        <v>0</v>
      </c>
      <c r="AU80" s="190">
        <f t="shared" si="59"/>
        <v>0</v>
      </c>
    </row>
    <row r="81" spans="1:47" s="28" customFormat="1">
      <c r="E81" s="254"/>
      <c r="G81" s="36" t="s">
        <v>135</v>
      </c>
      <c r="L81" s="43" t="s">
        <v>12</v>
      </c>
      <c r="N81" s="189">
        <f t="shared" ca="1" si="47"/>
        <v>3224056.4168166756</v>
      </c>
      <c r="O81" s="189"/>
      <c r="P81" s="320"/>
      <c r="Q81" s="189"/>
      <c r="R81" s="190">
        <f t="shared" ref="R81:AU81" ca="1" si="60">R365</f>
        <v>240211.41833814015</v>
      </c>
      <c r="S81" s="190">
        <f t="shared" ca="1" si="60"/>
        <v>244964.37461635243</v>
      </c>
      <c r="T81" s="190">
        <f t="shared" ca="1" si="60"/>
        <v>249950.26972541696</v>
      </c>
      <c r="U81" s="190">
        <f t="shared" ca="1" si="60"/>
        <v>254988.35728701219</v>
      </c>
      <c r="V81" s="190">
        <f t="shared" ca="1" si="60"/>
        <v>260104.75818735137</v>
      </c>
      <c r="W81" s="190">
        <f t="shared" ca="1" si="60"/>
        <v>265277.13555938203</v>
      </c>
      <c r="X81" s="190">
        <f t="shared" ca="1" si="60"/>
        <v>270567.11070732091</v>
      </c>
      <c r="Y81" s="190">
        <f t="shared" ca="1" si="60"/>
        <v>275998.13800834498</v>
      </c>
      <c r="Z81" s="190">
        <f t="shared" ca="1" si="60"/>
        <v>281535.23844138283</v>
      </c>
      <c r="AA81" s="190">
        <f t="shared" ca="1" si="60"/>
        <v>287188.21927958989</v>
      </c>
      <c r="AB81" s="190">
        <f t="shared" ca="1" si="60"/>
        <v>292939.55960868549</v>
      </c>
      <c r="AC81" s="190">
        <f t="shared" ca="1" si="60"/>
        <v>298794.88303336152</v>
      </c>
      <c r="AD81" s="190">
        <f t="shared" ca="1" si="60"/>
        <v>304785.51410090202</v>
      </c>
      <c r="AE81" s="190">
        <f t="shared" ca="1" si="60"/>
        <v>310894.79970702453</v>
      </c>
      <c r="AF81" s="190">
        <f t="shared" ca="1" si="60"/>
        <v>317131.47920451505</v>
      </c>
      <c r="AG81" s="190">
        <f t="shared" ca="1" si="60"/>
        <v>323504.74581304198</v>
      </c>
      <c r="AH81" s="190">
        <f t="shared" ca="1" si="60"/>
        <v>329998.38940850983</v>
      </c>
      <c r="AI81" s="190">
        <f t="shared" ca="1" si="60"/>
        <v>336630.15901671333</v>
      </c>
      <c r="AJ81" s="190">
        <f t="shared" ca="1" si="60"/>
        <v>343399.92990649265</v>
      </c>
      <c r="AK81" s="190">
        <f t="shared" ca="1" si="60"/>
        <v>350308.54238804546</v>
      </c>
      <c r="AL81" s="190">
        <f t="shared" si="60"/>
        <v>0</v>
      </c>
      <c r="AM81" s="190">
        <f t="shared" si="60"/>
        <v>0</v>
      </c>
      <c r="AN81" s="190">
        <f t="shared" si="60"/>
        <v>0</v>
      </c>
      <c r="AO81" s="190">
        <f t="shared" si="60"/>
        <v>0</v>
      </c>
      <c r="AP81" s="190">
        <f t="shared" si="60"/>
        <v>0</v>
      </c>
      <c r="AQ81" s="190">
        <f t="shared" si="60"/>
        <v>0</v>
      </c>
      <c r="AR81" s="190">
        <f t="shared" si="60"/>
        <v>0</v>
      </c>
      <c r="AS81" s="190">
        <f t="shared" si="60"/>
        <v>0</v>
      </c>
      <c r="AT81" s="190">
        <f t="shared" si="60"/>
        <v>0</v>
      </c>
      <c r="AU81" s="190">
        <f t="shared" si="60"/>
        <v>0</v>
      </c>
    </row>
    <row r="82" spans="1:47" s="28" customFormat="1">
      <c r="E82" s="254"/>
      <c r="G82" s="36" t="s">
        <v>29</v>
      </c>
      <c r="L82" s="43" t="s">
        <v>12</v>
      </c>
      <c r="N82" s="189">
        <f t="shared" ca="1" si="47"/>
        <v>843615.03914849437</v>
      </c>
      <c r="O82" s="189"/>
      <c r="P82" s="320"/>
      <c r="Q82" s="189"/>
      <c r="R82" s="190">
        <f t="shared" ref="R82:AU82" ca="1" si="61">R386</f>
        <v>62864.485070927294</v>
      </c>
      <c r="S82" s="190">
        <f t="shared" ca="1" si="61"/>
        <v>64114.306668586105</v>
      </c>
      <c r="T82" s="190">
        <f t="shared" ca="1" si="61"/>
        <v>65409.207748734225</v>
      </c>
      <c r="U82" s="190">
        <f t="shared" ca="1" si="61"/>
        <v>66723.084468361762</v>
      </c>
      <c r="V82" s="190">
        <f t="shared" ca="1" si="61"/>
        <v>68059.968969219044</v>
      </c>
      <c r="W82" s="190">
        <f t="shared" ca="1" si="61"/>
        <v>69416.839764410295</v>
      </c>
      <c r="X82" s="190">
        <f t="shared" ca="1" si="61"/>
        <v>70802.909045717402</v>
      </c>
      <c r="Y82" s="190">
        <f t="shared" ca="1" si="61"/>
        <v>72221.834483953964</v>
      </c>
      <c r="Z82" s="190">
        <f t="shared" ca="1" si="61"/>
        <v>73668.767384004415</v>
      </c>
      <c r="AA82" s="190">
        <f t="shared" ca="1" si="61"/>
        <v>75145.387381984241</v>
      </c>
      <c r="AB82" s="190">
        <f t="shared" ca="1" si="61"/>
        <v>76649.398613678582</v>
      </c>
      <c r="AC82" s="190">
        <f t="shared" ca="1" si="61"/>
        <v>78181.881483698293</v>
      </c>
      <c r="AD82" s="190">
        <f t="shared" ca="1" si="61"/>
        <v>79747.665127205022</v>
      </c>
      <c r="AE82" s="190">
        <f t="shared" ca="1" si="61"/>
        <v>81344.595761507022</v>
      </c>
      <c r="AF82" s="190">
        <f t="shared" ca="1" si="61"/>
        <v>82974.223612720161</v>
      </c>
      <c r="AG82" s="190">
        <f t="shared" ca="1" si="61"/>
        <v>84638.170561223364</v>
      </c>
      <c r="AH82" s="190">
        <f t="shared" ca="1" si="61"/>
        <v>86334.363986412427</v>
      </c>
      <c r="AI82" s="190">
        <f t="shared" ca="1" si="61"/>
        <v>88065.683402230148</v>
      </c>
      <c r="AJ82" s="190">
        <f t="shared" ca="1" si="61"/>
        <v>89832.410782071849</v>
      </c>
      <c r="AK82" s="190">
        <f t="shared" ca="1" si="61"/>
        <v>91634.974666531605</v>
      </c>
      <c r="AL82" s="190">
        <f t="shared" si="61"/>
        <v>0</v>
      </c>
      <c r="AM82" s="190">
        <f t="shared" si="61"/>
        <v>0</v>
      </c>
      <c r="AN82" s="190">
        <f t="shared" si="61"/>
        <v>0</v>
      </c>
      <c r="AO82" s="190">
        <f t="shared" si="61"/>
        <v>0</v>
      </c>
      <c r="AP82" s="190">
        <f t="shared" si="61"/>
        <v>0</v>
      </c>
      <c r="AQ82" s="190">
        <f t="shared" si="61"/>
        <v>0</v>
      </c>
      <c r="AR82" s="190">
        <f t="shared" si="61"/>
        <v>0</v>
      </c>
      <c r="AS82" s="190">
        <f t="shared" si="61"/>
        <v>0</v>
      </c>
      <c r="AT82" s="190">
        <f t="shared" si="61"/>
        <v>0</v>
      </c>
      <c r="AU82" s="190">
        <f t="shared" si="61"/>
        <v>0</v>
      </c>
    </row>
    <row r="83" spans="1:47" s="28" customFormat="1">
      <c r="E83" s="254"/>
      <c r="G83" s="36" t="s">
        <v>163</v>
      </c>
      <c r="L83" s="43" t="s">
        <v>12</v>
      </c>
      <c r="N83" s="189">
        <f t="shared" ca="1" si="47"/>
        <v>4820750.3711046409</v>
      </c>
      <c r="O83" s="189"/>
      <c r="P83" s="320"/>
      <c r="Q83" s="189"/>
      <c r="R83" s="190">
        <f t="shared" ref="R83:AU83" ca="1" si="62">R407</f>
        <v>359155.40752572956</v>
      </c>
      <c r="S83" s="190">
        <f t="shared" ca="1" si="62"/>
        <v>366250.56986387348</v>
      </c>
      <c r="T83" s="190">
        <f t="shared" ca="1" si="62"/>
        <v>373724.13727723685</v>
      </c>
      <c r="U83" s="190">
        <f t="shared" ca="1" si="62"/>
        <v>381265.6567484315</v>
      </c>
      <c r="V83" s="190">
        <f t="shared" ca="1" si="62"/>
        <v>388919.50137299486</v>
      </c>
      <c r="W83" s="190">
        <f t="shared" ca="1" si="62"/>
        <v>396646.91716850427</v>
      </c>
      <c r="X83" s="190">
        <f t="shared" ca="1" si="62"/>
        <v>404553.15283532563</v>
      </c>
      <c r="Y83" s="190">
        <f t="shared" ca="1" si="62"/>
        <v>412677.98126040277</v>
      </c>
      <c r="Z83" s="190">
        <f t="shared" ca="1" si="62"/>
        <v>420960.93673441251</v>
      </c>
      <c r="AA83" s="190">
        <f t="shared" ca="1" si="62"/>
        <v>429418.3650890594</v>
      </c>
      <c r="AB83" s="190">
        <f t="shared" ca="1" si="62"/>
        <v>438019.7272292556</v>
      </c>
      <c r="AC83" s="190">
        <f t="shared" ca="1" si="62"/>
        <v>446774.17359348922</v>
      </c>
      <c r="AD83" s="190">
        <f t="shared" ca="1" si="62"/>
        <v>455734.92893301812</v>
      </c>
      <c r="AE83" s="190">
        <f t="shared" ca="1" si="62"/>
        <v>464872.91294709407</v>
      </c>
      <c r="AF83" s="190">
        <f t="shared" ca="1" si="62"/>
        <v>474202.59010930266</v>
      </c>
      <c r="AG83" s="190">
        <f t="shared" ca="1" si="62"/>
        <v>483739.19288178987</v>
      </c>
      <c r="AH83" s="190">
        <f t="shared" ca="1" si="62"/>
        <v>493454.3692372088</v>
      </c>
      <c r="AI83" s="190">
        <f t="shared" ca="1" si="62"/>
        <v>503378.00553885428</v>
      </c>
      <c r="AJ83" s="190">
        <f t="shared" ca="1" si="62"/>
        <v>513509.31855093717</v>
      </c>
      <c r="AK83" s="190">
        <f t="shared" ca="1" si="62"/>
        <v>523849.16896475456</v>
      </c>
      <c r="AL83" s="190">
        <f t="shared" si="62"/>
        <v>0</v>
      </c>
      <c r="AM83" s="190">
        <f t="shared" si="62"/>
        <v>0</v>
      </c>
      <c r="AN83" s="190">
        <f t="shared" si="62"/>
        <v>0</v>
      </c>
      <c r="AO83" s="190">
        <f t="shared" si="62"/>
        <v>0</v>
      </c>
      <c r="AP83" s="190">
        <f t="shared" si="62"/>
        <v>0</v>
      </c>
      <c r="AQ83" s="190">
        <f t="shared" si="62"/>
        <v>0</v>
      </c>
      <c r="AR83" s="190">
        <f t="shared" si="62"/>
        <v>0</v>
      </c>
      <c r="AS83" s="190">
        <f t="shared" si="62"/>
        <v>0</v>
      </c>
      <c r="AT83" s="190">
        <f t="shared" si="62"/>
        <v>0</v>
      </c>
      <c r="AU83" s="190">
        <f t="shared" si="62"/>
        <v>0</v>
      </c>
    </row>
    <row r="84" spans="1:47" s="28" customFormat="1">
      <c r="E84" s="254"/>
      <c r="G84" s="36" t="s">
        <v>138</v>
      </c>
      <c r="L84" s="43" t="s">
        <v>12</v>
      </c>
      <c r="N84" s="189">
        <f t="shared" ca="1" si="47"/>
        <v>6333904.1846143948</v>
      </c>
      <c r="O84" s="189"/>
      <c r="P84" s="320"/>
      <c r="Q84" s="189"/>
      <c r="R84" s="190">
        <f t="shared" ref="R84:AU84" ca="1" si="63">R428</f>
        <v>472035.50411666208</v>
      </c>
      <c r="S84" s="190">
        <f t="shared" ca="1" si="63"/>
        <v>481447.00857893488</v>
      </c>
      <c r="T84" s="190">
        <f t="shared" ca="1" si="63"/>
        <v>491125.2822030856</v>
      </c>
      <c r="U84" s="190">
        <f t="shared" ca="1" si="63"/>
        <v>500970.04984105757</v>
      </c>
      <c r="V84" s="190">
        <f t="shared" ca="1" si="63"/>
        <v>510998.92576138448</v>
      </c>
      <c r="W84" s="190">
        <f t="shared" ca="1" si="63"/>
        <v>521201.97642057121</v>
      </c>
      <c r="X84" s="190">
        <f t="shared" ca="1" si="63"/>
        <v>531617.14834966359</v>
      </c>
      <c r="Y84" s="190">
        <f t="shared" ca="1" si="63"/>
        <v>542260.70434082777</v>
      </c>
      <c r="Z84" s="190">
        <f t="shared" ca="1" si="63"/>
        <v>553115.68039320363</v>
      </c>
      <c r="AA84" s="190">
        <f t="shared" ca="1" si="63"/>
        <v>564190.68290134717</v>
      </c>
      <c r="AB84" s="190">
        <f t="shared" ca="1" si="63"/>
        <v>575478.81197023077</v>
      </c>
      <c r="AC84" s="190">
        <f t="shared" ca="1" si="63"/>
        <v>586986.41289903538</v>
      </c>
      <c r="AD84" s="190">
        <f t="shared" ca="1" si="63"/>
        <v>598734.53360396915</v>
      </c>
      <c r="AE84" s="190">
        <f t="shared" ca="1" si="63"/>
        <v>610716.95705560187</v>
      </c>
      <c r="AF84" s="190">
        <f t="shared" ca="1" si="63"/>
        <v>622941.99566064728</v>
      </c>
      <c r="AG84" s="190">
        <f t="shared" ca="1" si="63"/>
        <v>635418.28704347613</v>
      </c>
      <c r="AH84" s="190">
        <f t="shared" ca="1" si="63"/>
        <v>648140.06658895721</v>
      </c>
      <c r="AI84" s="190">
        <f t="shared" ca="1" si="63"/>
        <v>661120.9828815147</v>
      </c>
      <c r="AJ84" s="190">
        <f t="shared" ca="1" si="63"/>
        <v>674364.57401920878</v>
      </c>
      <c r="AK84" s="190">
        <f t="shared" ca="1" si="63"/>
        <v>687874.99999015033</v>
      </c>
      <c r="AL84" s="190">
        <f t="shared" si="63"/>
        <v>0</v>
      </c>
      <c r="AM84" s="190">
        <f t="shared" si="63"/>
        <v>0</v>
      </c>
      <c r="AN84" s="190">
        <f t="shared" si="63"/>
        <v>0</v>
      </c>
      <c r="AO84" s="190">
        <f t="shared" si="63"/>
        <v>0</v>
      </c>
      <c r="AP84" s="190">
        <f t="shared" si="63"/>
        <v>0</v>
      </c>
      <c r="AQ84" s="190">
        <f t="shared" si="63"/>
        <v>0</v>
      </c>
      <c r="AR84" s="190">
        <f t="shared" si="63"/>
        <v>0</v>
      </c>
      <c r="AS84" s="190">
        <f t="shared" si="63"/>
        <v>0</v>
      </c>
      <c r="AT84" s="190">
        <f t="shared" si="63"/>
        <v>0</v>
      </c>
      <c r="AU84" s="190">
        <f t="shared" si="63"/>
        <v>0</v>
      </c>
    </row>
    <row r="85" spans="1:47" s="28" customFormat="1">
      <c r="E85" s="254"/>
      <c r="G85" s="36" t="s">
        <v>312</v>
      </c>
      <c r="L85" s="43" t="s">
        <v>12</v>
      </c>
      <c r="N85" s="189">
        <f t="shared" ca="1" si="47"/>
        <v>2230687.8835811974</v>
      </c>
      <c r="O85" s="189"/>
      <c r="P85" s="320"/>
      <c r="Q85" s="189"/>
      <c r="R85" s="190">
        <f t="shared" ref="R85:AU85" ca="1" si="64">R464</f>
        <v>166260</v>
      </c>
      <c r="S85" s="190">
        <f t="shared" ca="1" si="64"/>
        <v>169585.2</v>
      </c>
      <c r="T85" s="190">
        <f t="shared" ca="1" si="64"/>
        <v>172976.90399999998</v>
      </c>
      <c r="U85" s="190">
        <f t="shared" ca="1" si="64"/>
        <v>176436.44208000001</v>
      </c>
      <c r="V85" s="190">
        <f t="shared" ca="1" si="64"/>
        <v>179965.17092160002</v>
      </c>
      <c r="W85" s="190">
        <f t="shared" ca="1" si="64"/>
        <v>183564.474340032</v>
      </c>
      <c r="X85" s="190">
        <f t="shared" ca="1" si="64"/>
        <v>187235.76382683261</v>
      </c>
      <c r="Y85" s="190">
        <f t="shared" ca="1" si="64"/>
        <v>190980.47910336929</v>
      </c>
      <c r="Z85" s="190">
        <f t="shared" ca="1" si="64"/>
        <v>194800.08868543667</v>
      </c>
      <c r="AA85" s="190">
        <f t="shared" ca="1" si="64"/>
        <v>198696.0904591454</v>
      </c>
      <c r="AB85" s="190">
        <f t="shared" ca="1" si="64"/>
        <v>202670.01226832828</v>
      </c>
      <c r="AC85" s="190">
        <f t="shared" ca="1" si="64"/>
        <v>206723.41251369487</v>
      </c>
      <c r="AD85" s="190">
        <f t="shared" ca="1" si="64"/>
        <v>210857.88076396877</v>
      </c>
      <c r="AE85" s="190">
        <f t="shared" ca="1" si="64"/>
        <v>215075.03837924817</v>
      </c>
      <c r="AF85" s="190">
        <f t="shared" ca="1" si="64"/>
        <v>219376.53914683306</v>
      </c>
      <c r="AG85" s="190">
        <f t="shared" ca="1" si="64"/>
        <v>223764.06992976976</v>
      </c>
      <c r="AH85" s="190">
        <f t="shared" ca="1" si="64"/>
        <v>228239.35132836518</v>
      </c>
      <c r="AI85" s="190">
        <f t="shared" ca="1" si="64"/>
        <v>232804.13835493245</v>
      </c>
      <c r="AJ85" s="190">
        <f t="shared" ca="1" si="64"/>
        <v>237460.2211220311</v>
      </c>
      <c r="AK85" s="190">
        <f t="shared" ca="1" si="64"/>
        <v>242209.42554447174</v>
      </c>
      <c r="AL85" s="190">
        <f t="shared" si="64"/>
        <v>0</v>
      </c>
      <c r="AM85" s="190">
        <f t="shared" si="64"/>
        <v>0</v>
      </c>
      <c r="AN85" s="190">
        <f t="shared" si="64"/>
        <v>0</v>
      </c>
      <c r="AO85" s="190">
        <f t="shared" si="64"/>
        <v>0</v>
      </c>
      <c r="AP85" s="190">
        <f t="shared" si="64"/>
        <v>0</v>
      </c>
      <c r="AQ85" s="190">
        <f t="shared" si="64"/>
        <v>0</v>
      </c>
      <c r="AR85" s="190">
        <f t="shared" si="64"/>
        <v>0</v>
      </c>
      <c r="AS85" s="190">
        <f t="shared" si="64"/>
        <v>0</v>
      </c>
      <c r="AT85" s="190">
        <f t="shared" si="64"/>
        <v>0</v>
      </c>
      <c r="AU85" s="190">
        <f t="shared" si="64"/>
        <v>0</v>
      </c>
    </row>
    <row r="86" spans="1:47" s="28" customFormat="1">
      <c r="E86" s="254"/>
      <c r="G86" s="36" t="s">
        <v>313</v>
      </c>
      <c r="L86" s="43" t="s">
        <v>12</v>
      </c>
      <c r="N86" s="189">
        <f t="shared" ca="1" si="47"/>
        <v>0</v>
      </c>
      <c r="O86" s="189"/>
      <c r="P86" s="320"/>
      <c r="Q86" s="189"/>
      <c r="R86" s="190">
        <f t="shared" ref="R86:AU86" ca="1" si="65">R480</f>
        <v>0</v>
      </c>
      <c r="S86" s="190">
        <f t="shared" ca="1" si="65"/>
        <v>0</v>
      </c>
      <c r="T86" s="190">
        <f t="shared" ca="1" si="65"/>
        <v>0</v>
      </c>
      <c r="U86" s="190">
        <f t="shared" ca="1" si="65"/>
        <v>0</v>
      </c>
      <c r="V86" s="190">
        <f t="shared" ca="1" si="65"/>
        <v>0</v>
      </c>
      <c r="W86" s="190">
        <f t="shared" ca="1" si="65"/>
        <v>0</v>
      </c>
      <c r="X86" s="190">
        <f t="shared" ca="1" si="65"/>
        <v>0</v>
      </c>
      <c r="Y86" s="190">
        <f t="shared" ca="1" si="65"/>
        <v>0</v>
      </c>
      <c r="Z86" s="190">
        <f t="shared" ca="1" si="65"/>
        <v>0</v>
      </c>
      <c r="AA86" s="190">
        <f t="shared" ca="1" si="65"/>
        <v>0</v>
      </c>
      <c r="AB86" s="190">
        <f t="shared" ca="1" si="65"/>
        <v>0</v>
      </c>
      <c r="AC86" s="190">
        <f t="shared" ca="1" si="65"/>
        <v>0</v>
      </c>
      <c r="AD86" s="190">
        <f t="shared" ca="1" si="65"/>
        <v>0</v>
      </c>
      <c r="AE86" s="190">
        <f t="shared" ca="1" si="65"/>
        <v>0</v>
      </c>
      <c r="AF86" s="190">
        <f t="shared" ca="1" si="65"/>
        <v>0</v>
      </c>
      <c r="AG86" s="190">
        <f t="shared" ca="1" si="65"/>
        <v>0</v>
      </c>
      <c r="AH86" s="190">
        <f t="shared" ca="1" si="65"/>
        <v>0</v>
      </c>
      <c r="AI86" s="190">
        <f t="shared" ca="1" si="65"/>
        <v>0</v>
      </c>
      <c r="AJ86" s="190">
        <f t="shared" ca="1" si="65"/>
        <v>0</v>
      </c>
      <c r="AK86" s="190">
        <f t="shared" ca="1" si="65"/>
        <v>0</v>
      </c>
      <c r="AL86" s="190">
        <f t="shared" si="65"/>
        <v>0</v>
      </c>
      <c r="AM86" s="190">
        <f t="shared" si="65"/>
        <v>0</v>
      </c>
      <c r="AN86" s="190">
        <f t="shared" si="65"/>
        <v>0</v>
      </c>
      <c r="AO86" s="190">
        <f t="shared" si="65"/>
        <v>0</v>
      </c>
      <c r="AP86" s="190">
        <f t="shared" si="65"/>
        <v>0</v>
      </c>
      <c r="AQ86" s="190">
        <f t="shared" si="65"/>
        <v>0</v>
      </c>
      <c r="AR86" s="190">
        <f t="shared" si="65"/>
        <v>0</v>
      </c>
      <c r="AS86" s="190">
        <f t="shared" si="65"/>
        <v>0</v>
      </c>
      <c r="AT86" s="190">
        <f t="shared" si="65"/>
        <v>0</v>
      </c>
      <c r="AU86" s="190">
        <f t="shared" si="65"/>
        <v>0</v>
      </c>
    </row>
    <row r="87" spans="1:47" s="28" customFormat="1">
      <c r="E87" s="254"/>
      <c r="G87" s="36" t="s">
        <v>314</v>
      </c>
      <c r="L87" s="43" t="s">
        <v>12</v>
      </c>
      <c r="N87" s="189">
        <f t="shared" ca="1" si="47"/>
        <v>1642224.2087714339</v>
      </c>
      <c r="O87" s="189"/>
      <c r="P87" s="320"/>
      <c r="Q87" s="189"/>
      <c r="R87" s="190">
        <f t="shared" ref="R87:AU87" ca="1" si="66">R496</f>
        <v>122400</v>
      </c>
      <c r="S87" s="190">
        <f t="shared" ca="1" si="66"/>
        <v>124848</v>
      </c>
      <c r="T87" s="190">
        <f t="shared" ca="1" si="66"/>
        <v>127344.95999999999</v>
      </c>
      <c r="U87" s="190">
        <f t="shared" ca="1" si="66"/>
        <v>129891.85919999999</v>
      </c>
      <c r="V87" s="190">
        <f t="shared" ca="1" si="66"/>
        <v>132489.69638400001</v>
      </c>
      <c r="W87" s="190">
        <f t="shared" ca="1" si="66"/>
        <v>135139.49031168001</v>
      </c>
      <c r="X87" s="190">
        <f t="shared" ca="1" si="66"/>
        <v>137842.28011791359</v>
      </c>
      <c r="Y87" s="190">
        <f t="shared" ca="1" si="66"/>
        <v>140599.12572027187</v>
      </c>
      <c r="Z87" s="190">
        <f t="shared" ca="1" si="66"/>
        <v>143411.10823467729</v>
      </c>
      <c r="AA87" s="190">
        <f t="shared" ca="1" si="66"/>
        <v>146279.33039937084</v>
      </c>
      <c r="AB87" s="190">
        <f t="shared" ca="1" si="66"/>
        <v>149204.91700735825</v>
      </c>
      <c r="AC87" s="190">
        <f t="shared" ca="1" si="66"/>
        <v>152189.01534750542</v>
      </c>
      <c r="AD87" s="190">
        <f t="shared" ca="1" si="66"/>
        <v>155232.79565445552</v>
      </c>
      <c r="AE87" s="190">
        <f t="shared" ca="1" si="66"/>
        <v>158337.45156754466</v>
      </c>
      <c r="AF87" s="190">
        <f t="shared" ca="1" si="66"/>
        <v>161504.20059889552</v>
      </c>
      <c r="AG87" s="190">
        <f t="shared" ca="1" si="66"/>
        <v>164734.28461087344</v>
      </c>
      <c r="AH87" s="190">
        <f t="shared" ca="1" si="66"/>
        <v>168028.97030309093</v>
      </c>
      <c r="AI87" s="190">
        <f t="shared" ca="1" si="66"/>
        <v>171389.54970915272</v>
      </c>
      <c r="AJ87" s="190">
        <f t="shared" ca="1" si="66"/>
        <v>174817.34070333577</v>
      </c>
      <c r="AK87" s="190">
        <f t="shared" ca="1" si="66"/>
        <v>178313.68751740252</v>
      </c>
      <c r="AL87" s="190">
        <f t="shared" si="66"/>
        <v>0</v>
      </c>
      <c r="AM87" s="190">
        <f t="shared" si="66"/>
        <v>0</v>
      </c>
      <c r="AN87" s="190">
        <f t="shared" si="66"/>
        <v>0</v>
      </c>
      <c r="AO87" s="190">
        <f t="shared" si="66"/>
        <v>0</v>
      </c>
      <c r="AP87" s="190">
        <f t="shared" si="66"/>
        <v>0</v>
      </c>
      <c r="AQ87" s="190">
        <f t="shared" si="66"/>
        <v>0</v>
      </c>
      <c r="AR87" s="190">
        <f t="shared" si="66"/>
        <v>0</v>
      </c>
      <c r="AS87" s="190">
        <f t="shared" si="66"/>
        <v>0</v>
      </c>
      <c r="AT87" s="190">
        <f t="shared" si="66"/>
        <v>0</v>
      </c>
      <c r="AU87" s="190">
        <f t="shared" si="66"/>
        <v>0</v>
      </c>
    </row>
    <row r="88" spans="1:47" s="39" customFormat="1">
      <c r="E88" s="254"/>
      <c r="G88" s="173" t="s">
        <v>252</v>
      </c>
      <c r="L88" s="174" t="s">
        <v>12</v>
      </c>
      <c r="N88" s="189">
        <f ca="1">SUBTOTAL(9,N69:N87)</f>
        <v>26642616.675041128</v>
      </c>
      <c r="O88" s="189"/>
      <c r="P88" s="320"/>
      <c r="Q88" s="189"/>
      <c r="R88" s="189">
        <f ca="1">SUBTOTAL(9,R69:R87)</f>
        <v>1985010.3082610162</v>
      </c>
      <c r="S88" s="189">
        <f t="shared" ref="S88:AU88" ca="1" si="67">SUBTOTAL(9,S69:S87)</f>
        <v>2026375.8571116605</v>
      </c>
      <c r="T88" s="189">
        <f t="shared" ca="1" si="67"/>
        <v>2064090.3162117247</v>
      </c>
      <c r="U88" s="189">
        <f t="shared" ca="1" si="67"/>
        <v>2104102.714502688</v>
      </c>
      <c r="V88" s="189">
        <f t="shared" ca="1" si="67"/>
        <v>2166622.0315127578</v>
      </c>
      <c r="W88" s="189">
        <f t="shared" ca="1" si="67"/>
        <v>2189522.6346866828</v>
      </c>
      <c r="X88" s="189">
        <f t="shared" ca="1" si="67"/>
        <v>2233818.7295010891</v>
      </c>
      <c r="Y88" s="189">
        <f t="shared" ca="1" si="67"/>
        <v>2277855.7227752665</v>
      </c>
      <c r="Z88" s="189">
        <f t="shared" ca="1" si="67"/>
        <v>2322856.1971763554</v>
      </c>
      <c r="AA88" s="189">
        <f t="shared" ca="1" si="67"/>
        <v>2391750.6773963324</v>
      </c>
      <c r="AB88" s="189">
        <f t="shared" ca="1" si="67"/>
        <v>2415715.5087089273</v>
      </c>
      <c r="AC88" s="189">
        <f t="shared" ca="1" si="67"/>
        <v>2464142.4536791597</v>
      </c>
      <c r="AD88" s="189">
        <f t="shared" ca="1" si="67"/>
        <v>2512946.7544419286</v>
      </c>
      <c r="AE88" s="189">
        <f t="shared" ca="1" si="67"/>
        <v>2562764.7563185906</v>
      </c>
      <c r="AF88" s="189">
        <f t="shared" ca="1" si="67"/>
        <v>2638981.452434238</v>
      </c>
      <c r="AG88" s="189">
        <f t="shared" ca="1" si="67"/>
        <v>2664683.0474450816</v>
      </c>
      <c r="AH88" s="189">
        <f t="shared" ca="1" si="67"/>
        <v>2717211.8356966283</v>
      </c>
      <c r="AI88" s="189">
        <f t="shared" ca="1" si="67"/>
        <v>2770523.1336348448</v>
      </c>
      <c r="AJ88" s="189">
        <f t="shared" ca="1" si="67"/>
        <v>2824726.370801264</v>
      </c>
      <c r="AK88" s="189">
        <f t="shared" ca="1" si="67"/>
        <v>2908134.7398067075</v>
      </c>
      <c r="AL88" s="189">
        <f t="shared" si="67"/>
        <v>0</v>
      </c>
      <c r="AM88" s="189">
        <f t="shared" si="67"/>
        <v>0</v>
      </c>
      <c r="AN88" s="189">
        <f t="shared" si="67"/>
        <v>0</v>
      </c>
      <c r="AO88" s="189">
        <f t="shared" si="67"/>
        <v>0</v>
      </c>
      <c r="AP88" s="189">
        <f t="shared" si="67"/>
        <v>0</v>
      </c>
      <c r="AQ88" s="189">
        <f t="shared" si="67"/>
        <v>0</v>
      </c>
      <c r="AR88" s="189">
        <f t="shared" si="67"/>
        <v>0</v>
      </c>
      <c r="AS88" s="189">
        <f t="shared" si="67"/>
        <v>0</v>
      </c>
      <c r="AT88" s="189">
        <f t="shared" si="67"/>
        <v>0</v>
      </c>
      <c r="AU88" s="189">
        <f t="shared" si="67"/>
        <v>0</v>
      </c>
    </row>
    <row r="89" spans="1:47" s="28" customFormat="1">
      <c r="E89" s="254"/>
      <c r="G89" s="36"/>
      <c r="L89" s="43"/>
      <c r="N89" s="189"/>
      <c r="O89" s="189"/>
      <c r="P89" s="190"/>
      <c r="Q89" s="189"/>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row>
    <row r="90" spans="1:47" s="39" customFormat="1">
      <c r="E90" s="254"/>
      <c r="G90" s="194" t="s">
        <v>13</v>
      </c>
      <c r="L90" s="174" t="s">
        <v>12</v>
      </c>
      <c r="N90" s="192">
        <f ca="1">NPV(DiscountRt,R90:AU90)</f>
        <v>63234509.70565407</v>
      </c>
      <c r="O90" s="189"/>
      <c r="P90" s="320"/>
      <c r="Q90" s="189"/>
      <c r="R90" s="195">
        <f t="shared" ref="R90:AU90" ca="1" si="68">SUBTOTAL(9,R45:R89)</f>
        <v>40744894.308261022</v>
      </c>
      <c r="S90" s="195">
        <f t="shared" ca="1" si="68"/>
        <v>2028390.8571116605</v>
      </c>
      <c r="T90" s="195">
        <f t="shared" ca="1" si="68"/>
        <v>2066106.3162117247</v>
      </c>
      <c r="U90" s="195">
        <f t="shared" ca="1" si="68"/>
        <v>2106119.714502688</v>
      </c>
      <c r="V90" s="195">
        <f t="shared" ca="1" si="68"/>
        <v>2168640.0315127578</v>
      </c>
      <c r="W90" s="195">
        <f t="shared" ca="1" si="68"/>
        <v>2191541.6346866833</v>
      </c>
      <c r="X90" s="195">
        <f t="shared" ca="1" si="68"/>
        <v>2235838.7295010891</v>
      </c>
      <c r="Y90" s="195">
        <f t="shared" ca="1" si="68"/>
        <v>2279876.7227752665</v>
      </c>
      <c r="Z90" s="195">
        <f t="shared" ca="1" si="68"/>
        <v>2324878.1971763554</v>
      </c>
      <c r="AA90" s="195">
        <f t="shared" ca="1" si="68"/>
        <v>2393773.6773963324</v>
      </c>
      <c r="AB90" s="195">
        <f t="shared" ca="1" si="68"/>
        <v>2417739.5087089273</v>
      </c>
      <c r="AC90" s="195">
        <f t="shared" ca="1" si="68"/>
        <v>2466167.4536791597</v>
      </c>
      <c r="AD90" s="195">
        <f t="shared" ca="1" si="68"/>
        <v>2514972.7544419286</v>
      </c>
      <c r="AE90" s="195">
        <f t="shared" ca="1" si="68"/>
        <v>2564791.7563185906</v>
      </c>
      <c r="AF90" s="195">
        <f t="shared" ca="1" si="68"/>
        <v>2641009.452434238</v>
      </c>
      <c r="AG90" s="195">
        <f t="shared" ca="1" si="68"/>
        <v>2666712.0474450816</v>
      </c>
      <c r="AH90" s="195">
        <f t="shared" ca="1" si="68"/>
        <v>2719241.8356966283</v>
      </c>
      <c r="AI90" s="195">
        <f t="shared" ca="1" si="68"/>
        <v>2772554.1336348448</v>
      </c>
      <c r="AJ90" s="195">
        <f t="shared" ca="1" si="68"/>
        <v>2826758.370801264</v>
      </c>
      <c r="AK90" s="195">
        <f t="shared" ca="1" si="68"/>
        <v>2910167.7398067075</v>
      </c>
      <c r="AL90" s="195">
        <f t="shared" ca="1" si="68"/>
        <v>2034</v>
      </c>
      <c r="AM90" s="195">
        <f t="shared" ca="1" si="68"/>
        <v>2035</v>
      </c>
      <c r="AN90" s="195">
        <f t="shared" ca="1" si="68"/>
        <v>2036</v>
      </c>
      <c r="AO90" s="195">
        <f t="shared" ca="1" si="68"/>
        <v>2037</v>
      </c>
      <c r="AP90" s="195">
        <f t="shared" ca="1" si="68"/>
        <v>2038</v>
      </c>
      <c r="AQ90" s="195">
        <f t="shared" ca="1" si="68"/>
        <v>2039</v>
      </c>
      <c r="AR90" s="195">
        <f t="shared" ca="1" si="68"/>
        <v>2040</v>
      </c>
      <c r="AS90" s="195">
        <f t="shared" ca="1" si="68"/>
        <v>2041</v>
      </c>
      <c r="AT90" s="195">
        <f t="shared" ca="1" si="68"/>
        <v>2042</v>
      </c>
      <c r="AU90" s="195">
        <f t="shared" ca="1" si="68"/>
        <v>2043</v>
      </c>
    </row>
    <row r="91" spans="1:47">
      <c r="G91" s="194"/>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row>
    <row r="92" spans="1:47" s="317" customFormat="1">
      <c r="G92" s="318" t="s">
        <v>503</v>
      </c>
      <c r="L92" s="407"/>
    </row>
    <row r="94" spans="1:47" s="28" customFormat="1">
      <c r="A94" s="40"/>
      <c r="B94" s="40"/>
      <c r="C94" s="40"/>
      <c r="D94" s="40"/>
      <c r="E94" s="327"/>
      <c r="G94" s="324" t="str">
        <f>C96&amp;" Capital Costs"</f>
        <v>Anaerobic Digestion Capital Costs</v>
      </c>
      <c r="H94" s="324"/>
      <c r="I94" s="324"/>
      <c r="J94" s="324"/>
      <c r="K94" s="324"/>
      <c r="L94" s="405" t="s">
        <v>79</v>
      </c>
      <c r="M94" s="256"/>
      <c r="N94" s="325" t="s">
        <v>490</v>
      </c>
      <c r="O94" s="311"/>
      <c r="P94" s="325" t="s">
        <v>491</v>
      </c>
      <c r="Q94" s="310"/>
      <c r="R94" s="325">
        <f>R$8</f>
        <v>2014</v>
      </c>
      <c r="S94" s="325">
        <f t="shared" ref="S94:AU94" si="69">S$8</f>
        <v>2015</v>
      </c>
      <c r="T94" s="325">
        <f t="shared" si="69"/>
        <v>2016</v>
      </c>
      <c r="U94" s="325">
        <f t="shared" si="69"/>
        <v>2017</v>
      </c>
      <c r="V94" s="325">
        <f t="shared" si="69"/>
        <v>2018</v>
      </c>
      <c r="W94" s="325">
        <f t="shared" si="69"/>
        <v>2019</v>
      </c>
      <c r="X94" s="325">
        <f t="shared" si="69"/>
        <v>2020</v>
      </c>
      <c r="Y94" s="325">
        <f t="shared" si="69"/>
        <v>2021</v>
      </c>
      <c r="Z94" s="325">
        <f t="shared" si="69"/>
        <v>2022</v>
      </c>
      <c r="AA94" s="325">
        <f t="shared" si="69"/>
        <v>2023</v>
      </c>
      <c r="AB94" s="325">
        <f t="shared" si="69"/>
        <v>2024</v>
      </c>
      <c r="AC94" s="325">
        <f t="shared" si="69"/>
        <v>2025</v>
      </c>
      <c r="AD94" s="325">
        <f t="shared" si="69"/>
        <v>2026</v>
      </c>
      <c r="AE94" s="325">
        <f t="shared" si="69"/>
        <v>2027</v>
      </c>
      <c r="AF94" s="325">
        <f t="shared" si="69"/>
        <v>2028</v>
      </c>
      <c r="AG94" s="325">
        <f t="shared" si="69"/>
        <v>2029</v>
      </c>
      <c r="AH94" s="325">
        <f t="shared" si="69"/>
        <v>2030</v>
      </c>
      <c r="AI94" s="325">
        <f t="shared" si="69"/>
        <v>2031</v>
      </c>
      <c r="AJ94" s="325">
        <f t="shared" si="69"/>
        <v>2032</v>
      </c>
      <c r="AK94" s="325">
        <f t="shared" si="69"/>
        <v>2033</v>
      </c>
      <c r="AL94" s="325">
        <f t="shared" si="69"/>
        <v>2034</v>
      </c>
      <c r="AM94" s="325">
        <f t="shared" si="69"/>
        <v>2035</v>
      </c>
      <c r="AN94" s="325">
        <f t="shared" si="69"/>
        <v>2036</v>
      </c>
      <c r="AO94" s="325">
        <f t="shared" si="69"/>
        <v>2037</v>
      </c>
      <c r="AP94" s="325">
        <f t="shared" si="69"/>
        <v>2038</v>
      </c>
      <c r="AQ94" s="325">
        <f t="shared" si="69"/>
        <v>2039</v>
      </c>
      <c r="AR94" s="325">
        <f t="shared" si="69"/>
        <v>2040</v>
      </c>
      <c r="AS94" s="325">
        <f t="shared" si="69"/>
        <v>2041</v>
      </c>
      <c r="AT94" s="325">
        <f t="shared" si="69"/>
        <v>2042</v>
      </c>
      <c r="AU94" s="325">
        <f t="shared" si="69"/>
        <v>2043</v>
      </c>
    </row>
    <row r="95" spans="1:47">
      <c r="E95" s="325"/>
      <c r="G95" s="39"/>
      <c r="H95" s="39"/>
      <c r="I95" s="39"/>
      <c r="J95" s="39"/>
      <c r="K95" s="39"/>
    </row>
    <row r="96" spans="1:47">
      <c r="A96" s="38" t="str">
        <f>$J$4&amp;"-"</f>
        <v>1X-</v>
      </c>
      <c r="B96" s="38" t="s">
        <v>306</v>
      </c>
      <c r="C96" s="38" t="s">
        <v>315</v>
      </c>
      <c r="D96" s="186">
        <f>CapExEsc</f>
        <v>0.03</v>
      </c>
      <c r="E96" s="325"/>
      <c r="G96" s="36" t="s">
        <v>8</v>
      </c>
      <c r="H96" s="39"/>
      <c r="I96" s="39"/>
      <c r="J96" s="70"/>
      <c r="K96" s="39"/>
      <c r="L96" s="43" t="str">
        <f>"["&amp;CostBaseYr&amp;" $]"</f>
        <v>[2013 $]</v>
      </c>
      <c r="N96" s="52">
        <f ca="1">SUMIFS(OFFSET(Assumptions!$I$65,0,MATCH($A96,Configurations,0)-1,COUNT(Assumptions!$A$65:$A$84),1),Assumptions!$E$65:$E$84,$C96)</f>
        <v>4236000</v>
      </c>
      <c r="O96" s="52"/>
      <c r="P96" s="322"/>
      <c r="Q96" s="52"/>
      <c r="R96" s="52">
        <f t="shared" ref="R96:AU96" ca="1" si="70">R97*IF($P96=0,$N96,$P96)*(1+$D96)^(R$8-CostBaseYr)</f>
        <v>4363080</v>
      </c>
      <c r="S96" s="52">
        <f t="shared" ca="1" si="70"/>
        <v>0</v>
      </c>
      <c r="T96" s="52">
        <f t="shared" ca="1" si="70"/>
        <v>0</v>
      </c>
      <c r="U96" s="52">
        <f t="shared" ca="1" si="70"/>
        <v>0</v>
      </c>
      <c r="V96" s="52">
        <f t="shared" ca="1" si="70"/>
        <v>0</v>
      </c>
      <c r="W96" s="52">
        <f t="shared" ca="1" si="70"/>
        <v>0</v>
      </c>
      <c r="X96" s="52">
        <f t="shared" ca="1" si="70"/>
        <v>0</v>
      </c>
      <c r="Y96" s="52">
        <f t="shared" ca="1" si="70"/>
        <v>0</v>
      </c>
      <c r="Z96" s="52">
        <f t="shared" ca="1" si="70"/>
        <v>0</v>
      </c>
      <c r="AA96" s="52">
        <f t="shared" ca="1" si="70"/>
        <v>0</v>
      </c>
      <c r="AB96" s="52">
        <f t="shared" ca="1" si="70"/>
        <v>0</v>
      </c>
      <c r="AC96" s="52">
        <f t="shared" ca="1" si="70"/>
        <v>0</v>
      </c>
      <c r="AD96" s="52">
        <f t="shared" ca="1" si="70"/>
        <v>0</v>
      </c>
      <c r="AE96" s="52">
        <f t="shared" ca="1" si="70"/>
        <v>0</v>
      </c>
      <c r="AF96" s="52">
        <f t="shared" ca="1" si="70"/>
        <v>0</v>
      </c>
      <c r="AG96" s="52">
        <f t="shared" ca="1" si="70"/>
        <v>0</v>
      </c>
      <c r="AH96" s="52">
        <f t="shared" ca="1" si="70"/>
        <v>0</v>
      </c>
      <c r="AI96" s="52">
        <f t="shared" ca="1" si="70"/>
        <v>0</v>
      </c>
      <c r="AJ96" s="52">
        <f t="shared" ca="1" si="70"/>
        <v>0</v>
      </c>
      <c r="AK96" s="52">
        <f t="shared" ca="1" si="70"/>
        <v>0</v>
      </c>
      <c r="AL96" s="52">
        <f t="shared" ca="1" si="70"/>
        <v>0</v>
      </c>
      <c r="AM96" s="52">
        <f t="shared" ca="1" si="70"/>
        <v>0</v>
      </c>
      <c r="AN96" s="52">
        <f t="shared" ca="1" si="70"/>
        <v>0</v>
      </c>
      <c r="AO96" s="52">
        <f t="shared" ca="1" si="70"/>
        <v>0</v>
      </c>
      <c r="AP96" s="52">
        <f t="shared" ca="1" si="70"/>
        <v>0</v>
      </c>
      <c r="AQ96" s="52">
        <f t="shared" ca="1" si="70"/>
        <v>0</v>
      </c>
      <c r="AR96" s="52">
        <f t="shared" ca="1" si="70"/>
        <v>0</v>
      </c>
      <c r="AS96" s="52">
        <f t="shared" ca="1" si="70"/>
        <v>0</v>
      </c>
      <c r="AT96" s="52">
        <f t="shared" ca="1" si="70"/>
        <v>0</v>
      </c>
      <c r="AU96" s="52">
        <f t="shared" ca="1" si="70"/>
        <v>0</v>
      </c>
    </row>
    <row r="97" spans="1:47">
      <c r="E97" s="325"/>
      <c r="G97" s="36" t="s">
        <v>10</v>
      </c>
      <c r="H97" s="39"/>
      <c r="I97" s="39"/>
      <c r="J97" s="39"/>
      <c r="K97" s="39"/>
      <c r="L97" s="43"/>
      <c r="R97" s="54">
        <f>Assumptions!M$60</f>
        <v>1</v>
      </c>
      <c r="S97" s="54">
        <f>Assumptions!N$60</f>
        <v>0</v>
      </c>
      <c r="T97" s="54">
        <f>Assumptions!O$60</f>
        <v>0</v>
      </c>
      <c r="U97" s="54">
        <f>Assumptions!P$60</f>
        <v>0</v>
      </c>
      <c r="V97" s="54">
        <f>Assumptions!Q$60</f>
        <v>0</v>
      </c>
      <c r="W97" s="54">
        <f>Assumptions!R$60</f>
        <v>0</v>
      </c>
      <c r="X97" s="54">
        <f>Assumptions!S$60</f>
        <v>0</v>
      </c>
      <c r="Y97" s="54">
        <f>Assumptions!T$60</f>
        <v>0</v>
      </c>
      <c r="Z97" s="54">
        <f>Assumptions!U$60</f>
        <v>0</v>
      </c>
      <c r="AA97" s="54">
        <f>Assumptions!V$60</f>
        <v>0</v>
      </c>
      <c r="AB97" s="54">
        <f>Assumptions!W$60</f>
        <v>0</v>
      </c>
      <c r="AC97" s="54">
        <f>Assumptions!X$60</f>
        <v>0</v>
      </c>
      <c r="AD97" s="54">
        <f>Assumptions!Y$60</f>
        <v>0</v>
      </c>
      <c r="AE97" s="54">
        <f>Assumptions!Z$60</f>
        <v>0</v>
      </c>
      <c r="AF97" s="54">
        <f>Assumptions!AA$60</f>
        <v>0</v>
      </c>
      <c r="AG97" s="54">
        <f>Assumptions!AB$60</f>
        <v>0</v>
      </c>
      <c r="AH97" s="54">
        <f>Assumptions!AC$60</f>
        <v>0</v>
      </c>
      <c r="AI97" s="54">
        <f>Assumptions!AD$60</f>
        <v>0</v>
      </c>
      <c r="AJ97" s="54">
        <f>Assumptions!AE$60</f>
        <v>0</v>
      </c>
      <c r="AK97" s="54">
        <f>Assumptions!AF$60</f>
        <v>0</v>
      </c>
      <c r="AL97" s="54">
        <f>Assumptions!AG$60</f>
        <v>0</v>
      </c>
      <c r="AM97" s="54">
        <f>Assumptions!AH$60</f>
        <v>0</v>
      </c>
      <c r="AN97" s="54">
        <f>Assumptions!AI$60</f>
        <v>0</v>
      </c>
      <c r="AO97" s="54">
        <f>Assumptions!AJ$60</f>
        <v>0</v>
      </c>
      <c r="AP97" s="54">
        <f>Assumptions!AK$60</f>
        <v>0</v>
      </c>
      <c r="AQ97" s="54">
        <f>Assumptions!AL$60</f>
        <v>0</v>
      </c>
      <c r="AR97" s="54">
        <f>Assumptions!AM$60</f>
        <v>0</v>
      </c>
      <c r="AS97" s="54">
        <f>Assumptions!AN$60</f>
        <v>0</v>
      </c>
      <c r="AT97" s="54">
        <f>Assumptions!AO$60</f>
        <v>0</v>
      </c>
      <c r="AU97" s="54">
        <f>Assumptions!AP$60</f>
        <v>0</v>
      </c>
    </row>
    <row r="98" spans="1:47">
      <c r="E98" s="326"/>
      <c r="G98" s="39"/>
      <c r="H98" s="39"/>
      <c r="I98" s="39"/>
      <c r="J98" s="39"/>
      <c r="K98" s="39"/>
    </row>
    <row r="99" spans="1:47" s="28" customFormat="1">
      <c r="A99" s="40"/>
      <c r="B99" s="40"/>
      <c r="C99" s="40"/>
      <c r="D99" s="40"/>
      <c r="E99" s="327"/>
      <c r="G99" s="324" t="str">
        <f>C96&amp;" O&amp;M"</f>
        <v>Anaerobic Digestion O&amp;M</v>
      </c>
      <c r="H99" s="324"/>
      <c r="I99" s="324"/>
      <c r="J99" s="324"/>
      <c r="K99" s="324"/>
      <c r="L99" s="405" t="s">
        <v>79</v>
      </c>
      <c r="M99" s="256"/>
      <c r="N99" s="325" t="s">
        <v>490</v>
      </c>
      <c r="O99" s="311"/>
      <c r="P99" s="325" t="s">
        <v>491</v>
      </c>
      <c r="Q99" s="310"/>
      <c r="R99" s="325">
        <f>R$8</f>
        <v>2014</v>
      </c>
      <c r="S99" s="325">
        <f t="shared" ref="S99:AU99" si="71">S$8</f>
        <v>2015</v>
      </c>
      <c r="T99" s="325">
        <f t="shared" si="71"/>
        <v>2016</v>
      </c>
      <c r="U99" s="325">
        <f t="shared" si="71"/>
        <v>2017</v>
      </c>
      <c r="V99" s="325">
        <f t="shared" si="71"/>
        <v>2018</v>
      </c>
      <c r="W99" s="325">
        <f t="shared" si="71"/>
        <v>2019</v>
      </c>
      <c r="X99" s="325">
        <f t="shared" si="71"/>
        <v>2020</v>
      </c>
      <c r="Y99" s="325">
        <f t="shared" si="71"/>
        <v>2021</v>
      </c>
      <c r="Z99" s="325">
        <f t="shared" si="71"/>
        <v>2022</v>
      </c>
      <c r="AA99" s="325">
        <f t="shared" si="71"/>
        <v>2023</v>
      </c>
      <c r="AB99" s="325">
        <f t="shared" si="71"/>
        <v>2024</v>
      </c>
      <c r="AC99" s="325">
        <f t="shared" si="71"/>
        <v>2025</v>
      </c>
      <c r="AD99" s="325">
        <f t="shared" si="71"/>
        <v>2026</v>
      </c>
      <c r="AE99" s="325">
        <f t="shared" si="71"/>
        <v>2027</v>
      </c>
      <c r="AF99" s="325">
        <f t="shared" si="71"/>
        <v>2028</v>
      </c>
      <c r="AG99" s="325">
        <f t="shared" si="71"/>
        <v>2029</v>
      </c>
      <c r="AH99" s="325">
        <f t="shared" si="71"/>
        <v>2030</v>
      </c>
      <c r="AI99" s="325">
        <f t="shared" si="71"/>
        <v>2031</v>
      </c>
      <c r="AJ99" s="325">
        <f t="shared" si="71"/>
        <v>2032</v>
      </c>
      <c r="AK99" s="325">
        <f t="shared" si="71"/>
        <v>2033</v>
      </c>
      <c r="AL99" s="325">
        <f t="shared" si="71"/>
        <v>2034</v>
      </c>
      <c r="AM99" s="325">
        <f t="shared" si="71"/>
        <v>2035</v>
      </c>
      <c r="AN99" s="325">
        <f t="shared" si="71"/>
        <v>2036</v>
      </c>
      <c r="AO99" s="325">
        <f t="shared" si="71"/>
        <v>2037</v>
      </c>
      <c r="AP99" s="325">
        <f t="shared" si="71"/>
        <v>2038</v>
      </c>
      <c r="AQ99" s="325">
        <f t="shared" si="71"/>
        <v>2039</v>
      </c>
      <c r="AR99" s="325">
        <f t="shared" si="71"/>
        <v>2040</v>
      </c>
      <c r="AS99" s="325">
        <f t="shared" si="71"/>
        <v>2041</v>
      </c>
      <c r="AT99" s="325">
        <f t="shared" si="71"/>
        <v>2042</v>
      </c>
      <c r="AU99" s="325">
        <f t="shared" si="71"/>
        <v>2043</v>
      </c>
    </row>
    <row r="100" spans="1:47">
      <c r="E100" s="325"/>
      <c r="G100" s="39"/>
      <c r="H100" s="39"/>
      <c r="I100" s="39"/>
      <c r="J100" s="39"/>
      <c r="K100" s="39"/>
    </row>
    <row r="101" spans="1:47">
      <c r="E101" s="325"/>
      <c r="G101" s="39" t="s">
        <v>23</v>
      </c>
      <c r="H101" s="39"/>
      <c r="I101" s="39"/>
      <c r="J101" s="39"/>
      <c r="K101" s="39"/>
    </row>
    <row r="102" spans="1:47">
      <c r="A102" s="38" t="str">
        <f t="shared" ref="A102:A109" si="72">$J$4&amp;"-"</f>
        <v>1X-</v>
      </c>
      <c r="B102" s="38" t="s">
        <v>262</v>
      </c>
      <c r="C102" s="38" t="str">
        <f>C96</f>
        <v>Anaerobic Digestion</v>
      </c>
      <c r="D102" s="186">
        <f>LaborEsc</f>
        <v>0.02</v>
      </c>
      <c r="E102" s="325"/>
      <c r="G102" s="36" t="s">
        <v>125</v>
      </c>
      <c r="I102" s="39"/>
      <c r="K102" s="39"/>
      <c r="L102" s="43" t="s">
        <v>266</v>
      </c>
      <c r="N102" s="70">
        <f ca="1">SUMIFS(OFFSET(Assumptions!$I$90,0,MATCH($A102,Configurations,0)-1,COUNT(Assumptions!$A$90:$A$183),1),Assumptions!$D$90:$D$183,$B102&amp;$C102)</f>
        <v>2555</v>
      </c>
      <c r="O102" s="313"/>
      <c r="P102" s="323"/>
      <c r="Q102" s="313"/>
      <c r="R102" s="50">
        <f t="shared" ref="R102:AU102" ca="1" si="73">IF(OR(R$99&lt;InServiceYr,R$99&gt;(InServiceYr+analysis_period-1)),0,IF($P102=0,$N102,$P102)*LaborCost*(1+$D102)^(R$99-CostBaseYr))</f>
        <v>91213.5</v>
      </c>
      <c r="S102" s="50">
        <f t="shared" ca="1" si="73"/>
        <v>93037.77</v>
      </c>
      <c r="T102" s="50">
        <f t="shared" ca="1" si="73"/>
        <v>94898.525399999999</v>
      </c>
      <c r="U102" s="50">
        <f t="shared" ca="1" si="73"/>
        <v>96796.495907999997</v>
      </c>
      <c r="V102" s="50">
        <f t="shared" ca="1" si="73"/>
        <v>98732.425826160004</v>
      </c>
      <c r="W102" s="50">
        <f t="shared" ca="1" si="73"/>
        <v>100707.07434268321</v>
      </c>
      <c r="X102" s="50">
        <f t="shared" ca="1" si="73"/>
        <v>102721.21582953684</v>
      </c>
      <c r="Y102" s="50">
        <f t="shared" ca="1" si="73"/>
        <v>104775.6401461276</v>
      </c>
      <c r="Z102" s="50">
        <f t="shared" ca="1" si="73"/>
        <v>106871.15294905014</v>
      </c>
      <c r="AA102" s="50">
        <f t="shared" ca="1" si="73"/>
        <v>109008.57600803116</v>
      </c>
      <c r="AB102" s="50">
        <f t="shared" ca="1" si="73"/>
        <v>111188.74752819176</v>
      </c>
      <c r="AC102" s="50">
        <f t="shared" ca="1" si="73"/>
        <v>113412.52247875561</v>
      </c>
      <c r="AD102" s="50">
        <f t="shared" ca="1" si="73"/>
        <v>115680.77292833071</v>
      </c>
      <c r="AE102" s="50">
        <f t="shared" ca="1" si="73"/>
        <v>117994.38838689734</v>
      </c>
      <c r="AF102" s="50">
        <f t="shared" ca="1" si="73"/>
        <v>120354.27615463526</v>
      </c>
      <c r="AG102" s="50">
        <f t="shared" ca="1" si="73"/>
        <v>122761.36167772798</v>
      </c>
      <c r="AH102" s="50">
        <f t="shared" ca="1" si="73"/>
        <v>125216.58891128255</v>
      </c>
      <c r="AI102" s="50">
        <f t="shared" ca="1" si="73"/>
        <v>127720.92068950819</v>
      </c>
      <c r="AJ102" s="50">
        <f t="shared" ca="1" si="73"/>
        <v>130275.33910329835</v>
      </c>
      <c r="AK102" s="50">
        <f t="shared" ca="1" si="73"/>
        <v>132880.84588536434</v>
      </c>
      <c r="AL102" s="50">
        <f t="shared" si="73"/>
        <v>0</v>
      </c>
      <c r="AM102" s="50">
        <f t="shared" si="73"/>
        <v>0</v>
      </c>
      <c r="AN102" s="50">
        <f t="shared" si="73"/>
        <v>0</v>
      </c>
      <c r="AO102" s="50">
        <f t="shared" si="73"/>
        <v>0</v>
      </c>
      <c r="AP102" s="50">
        <f t="shared" si="73"/>
        <v>0</v>
      </c>
      <c r="AQ102" s="50">
        <f t="shared" si="73"/>
        <v>0</v>
      </c>
      <c r="AR102" s="50">
        <f t="shared" si="73"/>
        <v>0</v>
      </c>
      <c r="AS102" s="50">
        <f t="shared" si="73"/>
        <v>0</v>
      </c>
      <c r="AT102" s="50">
        <f t="shared" si="73"/>
        <v>0</v>
      </c>
      <c r="AU102" s="50">
        <f t="shared" si="73"/>
        <v>0</v>
      </c>
    </row>
    <row r="103" spans="1:47">
      <c r="A103" s="38" t="str">
        <f t="shared" si="72"/>
        <v>1X-</v>
      </c>
      <c r="B103" s="38" t="s">
        <v>270</v>
      </c>
      <c r="C103" s="38" t="str">
        <f>C102</f>
        <v>Anaerobic Digestion</v>
      </c>
      <c r="D103" s="186">
        <f>OMEsc</f>
        <v>0.02</v>
      </c>
      <c r="E103" s="325"/>
      <c r="G103" s="36" t="s">
        <v>126</v>
      </c>
      <c r="I103" s="39"/>
      <c r="K103" s="39"/>
      <c r="L103" s="43" t="str">
        <f>"["&amp;CostBaseYr&amp;" $]"</f>
        <v>[2013 $]</v>
      </c>
      <c r="N103" s="70">
        <f ca="1">SUMIFS(OFFSET(Assumptions!$I$90,0,MATCH($A103,Configurations,0)-1,COUNT(Assumptions!$A$90:$A$183),1),Assumptions!$D$90:$D$183,$B103&amp;$C103)</f>
        <v>55000</v>
      </c>
      <c r="O103" s="313"/>
      <c r="P103" s="323"/>
      <c r="Q103" s="313"/>
      <c r="R103" s="50">
        <f t="shared" ref="R103:AG105" ca="1" si="74">IF(OR(R$99&lt;InServiceYr,R$99&gt;(InServiceYr+analysis_period-1)),0,IF($P103=0,$N103,$P103)*(1+$D103)^(R$99-CostBaseYr))</f>
        <v>56100</v>
      </c>
      <c r="S103" s="50">
        <f t="shared" ca="1" si="74"/>
        <v>57222</v>
      </c>
      <c r="T103" s="50">
        <f t="shared" ca="1" si="74"/>
        <v>58366.439999999995</v>
      </c>
      <c r="U103" s="50">
        <f t="shared" ca="1" si="74"/>
        <v>59533.768799999998</v>
      </c>
      <c r="V103" s="50">
        <f t="shared" ca="1" si="74"/>
        <v>60724.444176000005</v>
      </c>
      <c r="W103" s="50">
        <f t="shared" ca="1" si="74"/>
        <v>61938.933059520001</v>
      </c>
      <c r="X103" s="50">
        <f t="shared" ca="1" si="74"/>
        <v>63177.711720710387</v>
      </c>
      <c r="Y103" s="50">
        <f t="shared" ca="1" si="74"/>
        <v>64441.265955124603</v>
      </c>
      <c r="Z103" s="50">
        <f t="shared" ca="1" si="74"/>
        <v>65730.091274227103</v>
      </c>
      <c r="AA103" s="50">
        <f t="shared" ca="1" si="74"/>
        <v>67044.693099711643</v>
      </c>
      <c r="AB103" s="50">
        <f t="shared" ca="1" si="74"/>
        <v>68385.586961705863</v>
      </c>
      <c r="AC103" s="50">
        <f t="shared" ca="1" si="74"/>
        <v>69753.298700939995</v>
      </c>
      <c r="AD103" s="50">
        <f t="shared" ca="1" si="74"/>
        <v>71148.364674958779</v>
      </c>
      <c r="AE103" s="50">
        <f t="shared" ca="1" si="74"/>
        <v>72571.331968457962</v>
      </c>
      <c r="AF103" s="50">
        <f t="shared" ca="1" si="74"/>
        <v>74022.758607827112</v>
      </c>
      <c r="AG103" s="50">
        <f t="shared" ca="1" si="74"/>
        <v>75503.213779983664</v>
      </c>
      <c r="AH103" s="50">
        <f t="shared" ref="S103:AU105" ca="1" si="75">IF(OR(AH$99&lt;InServiceYr,AH$99&gt;(InServiceYr+analysis_period-1)),0,IF($P103=0,$N103,$P103)*(1+$D103)^(AH$99-CostBaseYr))</f>
        <v>77013.278055583345</v>
      </c>
      <c r="AI103" s="50">
        <f t="shared" ca="1" si="75"/>
        <v>78553.543616694995</v>
      </c>
      <c r="AJ103" s="50">
        <f t="shared" ca="1" si="75"/>
        <v>80124.6144890289</v>
      </c>
      <c r="AK103" s="50">
        <f t="shared" ca="1" si="75"/>
        <v>81727.106778809481</v>
      </c>
      <c r="AL103" s="50">
        <f t="shared" si="75"/>
        <v>0</v>
      </c>
      <c r="AM103" s="50">
        <f t="shared" si="75"/>
        <v>0</v>
      </c>
      <c r="AN103" s="50">
        <f t="shared" si="75"/>
        <v>0</v>
      </c>
      <c r="AO103" s="50">
        <f t="shared" si="75"/>
        <v>0</v>
      </c>
      <c r="AP103" s="50">
        <f t="shared" si="75"/>
        <v>0</v>
      </c>
      <c r="AQ103" s="50">
        <f t="shared" si="75"/>
        <v>0</v>
      </c>
      <c r="AR103" s="50">
        <f t="shared" si="75"/>
        <v>0</v>
      </c>
      <c r="AS103" s="50">
        <f t="shared" si="75"/>
        <v>0</v>
      </c>
      <c r="AT103" s="50">
        <f t="shared" si="75"/>
        <v>0</v>
      </c>
      <c r="AU103" s="50">
        <f t="shared" si="75"/>
        <v>0</v>
      </c>
    </row>
    <row r="104" spans="1:47">
      <c r="A104" s="38" t="str">
        <f t="shared" si="72"/>
        <v>1X-</v>
      </c>
      <c r="B104" s="38" t="s">
        <v>263</v>
      </c>
      <c r="C104" s="38" t="str">
        <f t="shared" ref="C104:C108" si="76">C103</f>
        <v>Anaerobic Digestion</v>
      </c>
      <c r="D104" s="186">
        <f>OMEsc</f>
        <v>0.02</v>
      </c>
      <c r="E104" s="325"/>
      <c r="G104" s="36" t="s">
        <v>127</v>
      </c>
      <c r="I104" s="39"/>
      <c r="K104" s="39"/>
      <c r="L104" s="43" t="str">
        <f>"["&amp;CostBaseYr&amp;" $]"</f>
        <v>[2013 $]</v>
      </c>
      <c r="N104" s="70">
        <f ca="1">SUMIFS(OFFSET(Assumptions!$I$90,0,MATCH($A104,Configurations,0)-1,COUNT(Assumptions!$A$90:$A$183),1),Assumptions!$D$90:$D$183,$B104&amp;$C104)</f>
        <v>0</v>
      </c>
      <c r="O104" s="313"/>
      <c r="P104" s="323"/>
      <c r="Q104" s="313"/>
      <c r="R104" s="50">
        <f t="shared" ca="1" si="74"/>
        <v>0</v>
      </c>
      <c r="S104" s="50">
        <f t="shared" ca="1" si="75"/>
        <v>0</v>
      </c>
      <c r="T104" s="50">
        <f t="shared" ca="1" si="75"/>
        <v>0</v>
      </c>
      <c r="U104" s="50">
        <f t="shared" ca="1" si="75"/>
        <v>0</v>
      </c>
      <c r="V104" s="50">
        <f t="shared" ca="1" si="75"/>
        <v>0</v>
      </c>
      <c r="W104" s="50">
        <f t="shared" ca="1" si="75"/>
        <v>0</v>
      </c>
      <c r="X104" s="50">
        <f t="shared" ca="1" si="75"/>
        <v>0</v>
      </c>
      <c r="Y104" s="50">
        <f t="shared" ca="1" si="75"/>
        <v>0</v>
      </c>
      <c r="Z104" s="50">
        <f t="shared" ca="1" si="75"/>
        <v>0</v>
      </c>
      <c r="AA104" s="50">
        <f t="shared" ca="1" si="75"/>
        <v>0</v>
      </c>
      <c r="AB104" s="50">
        <f t="shared" ca="1" si="75"/>
        <v>0</v>
      </c>
      <c r="AC104" s="50">
        <f t="shared" ca="1" si="75"/>
        <v>0</v>
      </c>
      <c r="AD104" s="50">
        <f t="shared" ca="1" si="75"/>
        <v>0</v>
      </c>
      <c r="AE104" s="50">
        <f t="shared" ca="1" si="75"/>
        <v>0</v>
      </c>
      <c r="AF104" s="50">
        <f t="shared" ca="1" si="75"/>
        <v>0</v>
      </c>
      <c r="AG104" s="50">
        <f t="shared" ca="1" si="75"/>
        <v>0</v>
      </c>
      <c r="AH104" s="50">
        <f t="shared" ca="1" si="75"/>
        <v>0</v>
      </c>
      <c r="AI104" s="50">
        <f t="shared" ca="1" si="75"/>
        <v>0</v>
      </c>
      <c r="AJ104" s="50">
        <f t="shared" ca="1" si="75"/>
        <v>0</v>
      </c>
      <c r="AK104" s="50">
        <f t="shared" ca="1" si="75"/>
        <v>0</v>
      </c>
      <c r="AL104" s="50">
        <f t="shared" si="75"/>
        <v>0</v>
      </c>
      <c r="AM104" s="50">
        <f t="shared" si="75"/>
        <v>0</v>
      </c>
      <c r="AN104" s="50">
        <f t="shared" si="75"/>
        <v>0</v>
      </c>
      <c r="AO104" s="50">
        <f t="shared" si="75"/>
        <v>0</v>
      </c>
      <c r="AP104" s="50">
        <f t="shared" si="75"/>
        <v>0</v>
      </c>
      <c r="AQ104" s="50">
        <f t="shared" si="75"/>
        <v>0</v>
      </c>
      <c r="AR104" s="50">
        <f t="shared" si="75"/>
        <v>0</v>
      </c>
      <c r="AS104" s="50">
        <f t="shared" si="75"/>
        <v>0</v>
      </c>
      <c r="AT104" s="50">
        <f t="shared" si="75"/>
        <v>0</v>
      </c>
      <c r="AU104" s="50">
        <f t="shared" si="75"/>
        <v>0</v>
      </c>
    </row>
    <row r="105" spans="1:47">
      <c r="A105" s="38" t="str">
        <f t="shared" si="72"/>
        <v>1X-</v>
      </c>
      <c r="B105" s="38" t="s">
        <v>277</v>
      </c>
      <c r="C105" s="38" t="str">
        <f t="shared" si="76"/>
        <v>Anaerobic Digestion</v>
      </c>
      <c r="D105" s="186">
        <f>OMEsc</f>
        <v>0.02</v>
      </c>
      <c r="E105" s="325"/>
      <c r="G105" s="36" t="s">
        <v>276</v>
      </c>
      <c r="I105" s="39"/>
      <c r="K105" s="39"/>
      <c r="L105" s="43" t="str">
        <f>"["&amp;CostBaseYr&amp;" $]"</f>
        <v>[2013 $]</v>
      </c>
      <c r="N105" s="70">
        <f ca="1">SUMIFS(OFFSET(Assumptions!$I$90,0,MATCH($A105,Configurations,0)-1,COUNT(Assumptions!$A$90:$A$183),1),Assumptions!$D$90:$D$183,$B105&amp;$C105)</f>
        <v>0</v>
      </c>
      <c r="O105" s="313"/>
      <c r="P105" s="323"/>
      <c r="Q105" s="313"/>
      <c r="R105" s="50">
        <f t="shared" ca="1" si="74"/>
        <v>0</v>
      </c>
      <c r="S105" s="50">
        <f t="shared" ca="1" si="75"/>
        <v>0</v>
      </c>
      <c r="T105" s="50">
        <f t="shared" ca="1" si="75"/>
        <v>0</v>
      </c>
      <c r="U105" s="50">
        <f t="shared" ca="1" si="75"/>
        <v>0</v>
      </c>
      <c r="V105" s="50">
        <f t="shared" ca="1" si="75"/>
        <v>0</v>
      </c>
      <c r="W105" s="50">
        <f t="shared" ca="1" si="75"/>
        <v>0</v>
      </c>
      <c r="X105" s="50">
        <f t="shared" ca="1" si="75"/>
        <v>0</v>
      </c>
      <c r="Y105" s="50">
        <f t="shared" ca="1" si="75"/>
        <v>0</v>
      </c>
      <c r="Z105" s="50">
        <f t="shared" ca="1" si="75"/>
        <v>0</v>
      </c>
      <c r="AA105" s="50">
        <f t="shared" ca="1" si="75"/>
        <v>0</v>
      </c>
      <c r="AB105" s="50">
        <f t="shared" ca="1" si="75"/>
        <v>0</v>
      </c>
      <c r="AC105" s="50">
        <f t="shared" ca="1" si="75"/>
        <v>0</v>
      </c>
      <c r="AD105" s="50">
        <f t="shared" ca="1" si="75"/>
        <v>0</v>
      </c>
      <c r="AE105" s="50">
        <f t="shared" ca="1" si="75"/>
        <v>0</v>
      </c>
      <c r="AF105" s="50">
        <f t="shared" ca="1" si="75"/>
        <v>0</v>
      </c>
      <c r="AG105" s="50">
        <f t="shared" ca="1" si="75"/>
        <v>0</v>
      </c>
      <c r="AH105" s="50">
        <f t="shared" ca="1" si="75"/>
        <v>0</v>
      </c>
      <c r="AI105" s="50">
        <f t="shared" ca="1" si="75"/>
        <v>0</v>
      </c>
      <c r="AJ105" s="50">
        <f t="shared" ca="1" si="75"/>
        <v>0</v>
      </c>
      <c r="AK105" s="50">
        <f t="shared" ca="1" si="75"/>
        <v>0</v>
      </c>
      <c r="AL105" s="50">
        <f t="shared" si="75"/>
        <v>0</v>
      </c>
      <c r="AM105" s="50">
        <f t="shared" si="75"/>
        <v>0</v>
      </c>
      <c r="AN105" s="50">
        <f t="shared" si="75"/>
        <v>0</v>
      </c>
      <c r="AO105" s="50">
        <f t="shared" si="75"/>
        <v>0</v>
      </c>
      <c r="AP105" s="50">
        <f t="shared" si="75"/>
        <v>0</v>
      </c>
      <c r="AQ105" s="50">
        <f t="shared" si="75"/>
        <v>0</v>
      </c>
      <c r="AR105" s="50">
        <f t="shared" si="75"/>
        <v>0</v>
      </c>
      <c r="AS105" s="50">
        <f t="shared" si="75"/>
        <v>0</v>
      </c>
      <c r="AT105" s="50">
        <f t="shared" si="75"/>
        <v>0</v>
      </c>
      <c r="AU105" s="50">
        <f t="shared" si="75"/>
        <v>0</v>
      </c>
    </row>
    <row r="106" spans="1:47">
      <c r="A106" s="38" t="str">
        <f t="shared" si="72"/>
        <v>1X-</v>
      </c>
      <c r="B106" s="38" t="s">
        <v>274</v>
      </c>
      <c r="C106" s="38" t="str">
        <f t="shared" si="76"/>
        <v>Anaerobic Digestion</v>
      </c>
      <c r="D106" s="186"/>
      <c r="E106" s="325"/>
      <c r="G106" s="36" t="s">
        <v>16</v>
      </c>
      <c r="I106" s="39"/>
      <c r="K106" s="39"/>
      <c r="L106" s="43" t="s">
        <v>275</v>
      </c>
      <c r="N106" s="70">
        <f ca="1">SUMIFS(OFFSET(Assumptions!$I$90,0,MATCH($A106,Configurations,0)-1,COUNT(Assumptions!$A$90:$A$183),1),Assumptions!$D$90:$D$183,$B106&amp;$C106)</f>
        <v>0</v>
      </c>
      <c r="O106" s="313"/>
      <c r="P106" s="323"/>
      <c r="Q106" s="313"/>
      <c r="R106" s="50">
        <f t="shared" ref="R106:AU106" ca="1" si="77">IF(OR(R$99&lt;InServiceYr,R$99&gt;(InServiceYr+analysis_period-1)),0,IF($P106=0,$N106,$P106)*R$505)</f>
        <v>0</v>
      </c>
      <c r="S106" s="50">
        <f t="shared" ca="1" si="77"/>
        <v>0</v>
      </c>
      <c r="T106" s="50">
        <f t="shared" ca="1" si="77"/>
        <v>0</v>
      </c>
      <c r="U106" s="50">
        <f t="shared" ca="1" si="77"/>
        <v>0</v>
      </c>
      <c r="V106" s="50">
        <f t="shared" ca="1" si="77"/>
        <v>0</v>
      </c>
      <c r="W106" s="50">
        <f t="shared" ca="1" si="77"/>
        <v>0</v>
      </c>
      <c r="X106" s="50">
        <f t="shared" ca="1" si="77"/>
        <v>0</v>
      </c>
      <c r="Y106" s="50">
        <f t="shared" ca="1" si="77"/>
        <v>0</v>
      </c>
      <c r="Z106" s="50">
        <f t="shared" ca="1" si="77"/>
        <v>0</v>
      </c>
      <c r="AA106" s="50">
        <f t="shared" ca="1" si="77"/>
        <v>0</v>
      </c>
      <c r="AB106" s="50">
        <f t="shared" ca="1" si="77"/>
        <v>0</v>
      </c>
      <c r="AC106" s="50">
        <f t="shared" ca="1" si="77"/>
        <v>0</v>
      </c>
      <c r="AD106" s="50">
        <f t="shared" ca="1" si="77"/>
        <v>0</v>
      </c>
      <c r="AE106" s="50">
        <f t="shared" ca="1" si="77"/>
        <v>0</v>
      </c>
      <c r="AF106" s="50">
        <f t="shared" ca="1" si="77"/>
        <v>0</v>
      </c>
      <c r="AG106" s="50">
        <f t="shared" ca="1" si="77"/>
        <v>0</v>
      </c>
      <c r="AH106" s="50">
        <f t="shared" ca="1" si="77"/>
        <v>0</v>
      </c>
      <c r="AI106" s="50">
        <f t="shared" ca="1" si="77"/>
        <v>0</v>
      </c>
      <c r="AJ106" s="50">
        <f t="shared" ca="1" si="77"/>
        <v>0</v>
      </c>
      <c r="AK106" s="50">
        <f t="shared" ca="1" si="77"/>
        <v>0</v>
      </c>
      <c r="AL106" s="50">
        <f t="shared" si="77"/>
        <v>0</v>
      </c>
      <c r="AM106" s="50">
        <f t="shared" si="77"/>
        <v>0</v>
      </c>
      <c r="AN106" s="50">
        <f t="shared" si="77"/>
        <v>0</v>
      </c>
      <c r="AO106" s="50">
        <f t="shared" si="77"/>
        <v>0</v>
      </c>
      <c r="AP106" s="50">
        <f t="shared" si="77"/>
        <v>0</v>
      </c>
      <c r="AQ106" s="50">
        <f t="shared" si="77"/>
        <v>0</v>
      </c>
      <c r="AR106" s="50">
        <f t="shared" si="77"/>
        <v>0</v>
      </c>
      <c r="AS106" s="50">
        <f t="shared" si="77"/>
        <v>0</v>
      </c>
      <c r="AT106" s="50">
        <f t="shared" si="77"/>
        <v>0</v>
      </c>
      <c r="AU106" s="50">
        <f t="shared" si="77"/>
        <v>0</v>
      </c>
    </row>
    <row r="107" spans="1:47">
      <c r="A107" s="38" t="str">
        <f t="shared" si="72"/>
        <v>1X-</v>
      </c>
      <c r="B107" s="38" t="s">
        <v>257</v>
      </c>
      <c r="C107" s="38" t="str">
        <f t="shared" si="76"/>
        <v>Anaerobic Digestion</v>
      </c>
      <c r="D107" s="186"/>
      <c r="E107" s="325"/>
      <c r="G107" s="36" t="s">
        <v>284</v>
      </c>
      <c r="I107" s="39"/>
      <c r="K107" s="39"/>
      <c r="L107" s="43" t="s">
        <v>293</v>
      </c>
      <c r="N107" s="70">
        <f ca="1">SUMIFS(OFFSET(Assumptions!$I$90,0,MATCH($A107,Configurations,0)-1,COUNT(Assumptions!$A$90:$A$183),1),Assumptions!$D$90:$D$183,$B107&amp;$C107)</f>
        <v>166080</v>
      </c>
      <c r="O107" s="313"/>
      <c r="P107" s="323"/>
      <c r="Q107" s="313"/>
      <c r="R107" s="50">
        <f t="shared" ref="R107:AU107" ca="1" si="78">IF(OR(R$99&lt;InServiceYr,R$99&gt;(InServiceYr+analysis_period-1)),0,IF($P107=0,$N107,$P107)*R$501)</f>
        <v>10725.704830905401</v>
      </c>
      <c r="S107" s="50">
        <f t="shared" ca="1" si="78"/>
        <v>10792.563847473732</v>
      </c>
      <c r="T107" s="50">
        <f t="shared" ca="1" si="78"/>
        <v>11257.83064354522</v>
      </c>
      <c r="U107" s="50">
        <f t="shared" ca="1" si="78"/>
        <v>11595.537391838099</v>
      </c>
      <c r="V107" s="50">
        <f t="shared" ca="1" si="78"/>
        <v>11875.350583992436</v>
      </c>
      <c r="W107" s="50">
        <f t="shared" ca="1" si="78"/>
        <v>12027.275302482405</v>
      </c>
      <c r="X107" s="50">
        <f t="shared" ca="1" si="78"/>
        <v>12222.988817820467</v>
      </c>
      <c r="Y107" s="50">
        <f t="shared" ca="1" si="78"/>
        <v>12524.138367518824</v>
      </c>
      <c r="Z107" s="50">
        <f t="shared" ca="1" si="78"/>
        <v>12823.974779925657</v>
      </c>
      <c r="AA107" s="50">
        <f t="shared" ca="1" si="78"/>
        <v>13144.605647164997</v>
      </c>
      <c r="AB107" s="50">
        <f t="shared" ca="1" si="78"/>
        <v>13429.315216274832</v>
      </c>
      <c r="AC107" s="50">
        <f t="shared" ca="1" si="78"/>
        <v>13687.914927466554</v>
      </c>
      <c r="AD107" s="50">
        <f t="shared" ca="1" si="78"/>
        <v>14004.102985223668</v>
      </c>
      <c r="AE107" s="50">
        <f t="shared" ca="1" si="78"/>
        <v>14323.279718541216</v>
      </c>
      <c r="AF107" s="50">
        <f t="shared" ca="1" si="78"/>
        <v>14663.838675776486</v>
      </c>
      <c r="AG107" s="50">
        <f t="shared" ca="1" si="78"/>
        <v>15045.344979696478</v>
      </c>
      <c r="AH107" s="50">
        <f t="shared" ca="1" si="78"/>
        <v>15414.068155390458</v>
      </c>
      <c r="AI107" s="50">
        <f t="shared" ca="1" si="78"/>
        <v>15813.933466324572</v>
      </c>
      <c r="AJ107" s="50">
        <f t="shared" ca="1" si="78"/>
        <v>16237.248951753654</v>
      </c>
      <c r="AK107" s="50">
        <f t="shared" ca="1" si="78"/>
        <v>16678.955154282376</v>
      </c>
      <c r="AL107" s="50">
        <f t="shared" si="78"/>
        <v>0</v>
      </c>
      <c r="AM107" s="50">
        <f t="shared" si="78"/>
        <v>0</v>
      </c>
      <c r="AN107" s="50">
        <f t="shared" si="78"/>
        <v>0</v>
      </c>
      <c r="AO107" s="50">
        <f t="shared" si="78"/>
        <v>0</v>
      </c>
      <c r="AP107" s="50">
        <f t="shared" si="78"/>
        <v>0</v>
      </c>
      <c r="AQ107" s="50">
        <f t="shared" si="78"/>
        <v>0</v>
      </c>
      <c r="AR107" s="50">
        <f t="shared" si="78"/>
        <v>0</v>
      </c>
      <c r="AS107" s="50">
        <f t="shared" si="78"/>
        <v>0</v>
      </c>
      <c r="AT107" s="50">
        <f t="shared" si="78"/>
        <v>0</v>
      </c>
      <c r="AU107" s="50">
        <f t="shared" si="78"/>
        <v>0</v>
      </c>
    </row>
    <row r="108" spans="1:47">
      <c r="A108" s="38" t="str">
        <f t="shared" si="72"/>
        <v>1X-</v>
      </c>
      <c r="B108" s="38" t="s">
        <v>864</v>
      </c>
      <c r="C108" s="38" t="str">
        <f t="shared" si="76"/>
        <v>Anaerobic Digestion</v>
      </c>
      <c r="D108" s="186">
        <f>GHGEsc</f>
        <v>0.02</v>
      </c>
      <c r="E108" s="325"/>
      <c r="G108" s="36" t="s">
        <v>865</v>
      </c>
      <c r="I108" s="39"/>
      <c r="K108" s="39"/>
      <c r="L108" s="43" t="s">
        <v>866</v>
      </c>
      <c r="N108" s="70">
        <f ca="1">SUMIFS(OFFSET(Assumptions!$I$90,0,MATCH($A108,Configurations,0)-1,COUNT(Assumptions!$A$90:$A$183),1),Assumptions!$D$90:$D$183,$B108&amp;$C108)</f>
        <v>0</v>
      </c>
      <c r="O108" s="313"/>
      <c r="P108" s="323"/>
      <c r="Q108" s="313"/>
      <c r="R108" s="50">
        <f t="shared" ref="R108:AU108" ca="1" si="79">IF(OR(R$99&lt;InServiceYr,R$99&gt;(InServiceYr+analysis_period-1)),0,IF($P108=0,$N108,$P108)*R$513)</f>
        <v>0</v>
      </c>
      <c r="S108" s="50">
        <f t="shared" ca="1" si="79"/>
        <v>0</v>
      </c>
      <c r="T108" s="50">
        <f t="shared" ca="1" si="79"/>
        <v>0</v>
      </c>
      <c r="U108" s="50">
        <f t="shared" ca="1" si="79"/>
        <v>0</v>
      </c>
      <c r="V108" s="50">
        <f t="shared" ca="1" si="79"/>
        <v>0</v>
      </c>
      <c r="W108" s="50">
        <f t="shared" ca="1" si="79"/>
        <v>0</v>
      </c>
      <c r="X108" s="50">
        <f t="shared" ca="1" si="79"/>
        <v>0</v>
      </c>
      <c r="Y108" s="50">
        <f t="shared" ca="1" si="79"/>
        <v>0</v>
      </c>
      <c r="Z108" s="50">
        <f t="shared" ca="1" si="79"/>
        <v>0</v>
      </c>
      <c r="AA108" s="50">
        <f t="shared" ca="1" si="79"/>
        <v>0</v>
      </c>
      <c r="AB108" s="50">
        <f t="shared" ca="1" si="79"/>
        <v>0</v>
      </c>
      <c r="AC108" s="50">
        <f t="shared" ca="1" si="79"/>
        <v>0</v>
      </c>
      <c r="AD108" s="50">
        <f t="shared" ca="1" si="79"/>
        <v>0</v>
      </c>
      <c r="AE108" s="50">
        <f t="shared" ca="1" si="79"/>
        <v>0</v>
      </c>
      <c r="AF108" s="50">
        <f t="shared" ca="1" si="79"/>
        <v>0</v>
      </c>
      <c r="AG108" s="50">
        <f t="shared" ca="1" si="79"/>
        <v>0</v>
      </c>
      <c r="AH108" s="50">
        <f t="shared" ca="1" si="79"/>
        <v>0</v>
      </c>
      <c r="AI108" s="50">
        <f t="shared" ca="1" si="79"/>
        <v>0</v>
      </c>
      <c r="AJ108" s="50">
        <f t="shared" ca="1" si="79"/>
        <v>0</v>
      </c>
      <c r="AK108" s="50">
        <f t="shared" ca="1" si="79"/>
        <v>0</v>
      </c>
      <c r="AL108" s="50">
        <f t="shared" si="79"/>
        <v>0</v>
      </c>
      <c r="AM108" s="50">
        <f t="shared" si="79"/>
        <v>0</v>
      </c>
      <c r="AN108" s="50">
        <f t="shared" si="79"/>
        <v>0</v>
      </c>
      <c r="AO108" s="50">
        <f t="shared" si="79"/>
        <v>0</v>
      </c>
      <c r="AP108" s="50">
        <f t="shared" si="79"/>
        <v>0</v>
      </c>
      <c r="AQ108" s="50">
        <f t="shared" si="79"/>
        <v>0</v>
      </c>
      <c r="AR108" s="50">
        <f t="shared" si="79"/>
        <v>0</v>
      </c>
      <c r="AS108" s="50">
        <f t="shared" si="79"/>
        <v>0</v>
      </c>
      <c r="AT108" s="50">
        <f t="shared" si="79"/>
        <v>0</v>
      </c>
      <c r="AU108" s="50">
        <f t="shared" si="79"/>
        <v>0</v>
      </c>
    </row>
    <row r="109" spans="1:47">
      <c r="A109" s="38" t="str">
        <f t="shared" si="72"/>
        <v>1X-</v>
      </c>
      <c r="B109" s="38" t="s">
        <v>273</v>
      </c>
      <c r="C109" s="38" t="str">
        <f>C107</f>
        <v>Anaerobic Digestion</v>
      </c>
      <c r="D109" s="186">
        <f>LaborEsc</f>
        <v>0.02</v>
      </c>
      <c r="E109" s="325"/>
      <c r="G109" s="36" t="s">
        <v>291</v>
      </c>
      <c r="I109" s="39"/>
      <c r="K109" s="39"/>
      <c r="L109" s="43" t="str">
        <f>"["&amp;CostBaseYr&amp;" $]"</f>
        <v>[2013 $]</v>
      </c>
      <c r="N109" s="70">
        <f ca="1">SUMIFS(OFFSET(Assumptions!$I$90,0,MATCH($A109,Configurations,0)-1,COUNT(Assumptions!$A$90:$A$183),1),Assumptions!$D$90:$D$183,$B109&amp;$C109)</f>
        <v>19000</v>
      </c>
      <c r="O109" s="313"/>
      <c r="P109" s="323"/>
      <c r="Q109" s="313"/>
      <c r="R109" s="50">
        <f t="shared" ref="R109:AU109" ca="1" si="80">IF(OR(R$99&lt;InServiceYr,R$99&gt;(InServiceYr+analysis_period-1)),0,IF($P109=0,$N109,$P109)*(1+$D109)^(R$99-CostBaseYr))*R$509</f>
        <v>0</v>
      </c>
      <c r="S109" s="50">
        <f t="shared" ca="1" si="80"/>
        <v>0</v>
      </c>
      <c r="T109" s="50">
        <f t="shared" ca="1" si="80"/>
        <v>0</v>
      </c>
      <c r="U109" s="50">
        <f t="shared" ca="1" si="80"/>
        <v>0</v>
      </c>
      <c r="V109" s="50">
        <f t="shared" ca="1" si="80"/>
        <v>20977.535260799999</v>
      </c>
      <c r="W109" s="50">
        <f t="shared" ca="1" si="80"/>
        <v>0</v>
      </c>
      <c r="X109" s="50">
        <f t="shared" ca="1" si="80"/>
        <v>0</v>
      </c>
      <c r="Y109" s="50">
        <f t="shared" ca="1" si="80"/>
        <v>0</v>
      </c>
      <c r="Z109" s="50">
        <f t="shared" ca="1" si="80"/>
        <v>0</v>
      </c>
      <c r="AA109" s="50">
        <f t="shared" ca="1" si="80"/>
        <v>23160.893979900386</v>
      </c>
      <c r="AB109" s="50">
        <f t="shared" ca="1" si="80"/>
        <v>0</v>
      </c>
      <c r="AC109" s="50">
        <f t="shared" ca="1" si="80"/>
        <v>0</v>
      </c>
      <c r="AD109" s="50">
        <f t="shared" ca="1" si="80"/>
        <v>0</v>
      </c>
      <c r="AE109" s="50">
        <f t="shared" ca="1" si="80"/>
        <v>0</v>
      </c>
      <c r="AF109" s="50">
        <f t="shared" ca="1" si="80"/>
        <v>25571.498428158455</v>
      </c>
      <c r="AG109" s="50">
        <f t="shared" ca="1" si="80"/>
        <v>0</v>
      </c>
      <c r="AH109" s="50">
        <f t="shared" ca="1" si="80"/>
        <v>0</v>
      </c>
      <c r="AI109" s="50">
        <f t="shared" ca="1" si="80"/>
        <v>0</v>
      </c>
      <c r="AJ109" s="50">
        <f t="shared" ca="1" si="80"/>
        <v>0</v>
      </c>
      <c r="AK109" s="50">
        <f t="shared" ca="1" si="80"/>
        <v>28233.000523588729</v>
      </c>
      <c r="AL109" s="50">
        <f t="shared" si="80"/>
        <v>0</v>
      </c>
      <c r="AM109" s="50">
        <f t="shared" si="80"/>
        <v>0</v>
      </c>
      <c r="AN109" s="50">
        <f t="shared" si="80"/>
        <v>0</v>
      </c>
      <c r="AO109" s="50">
        <f t="shared" si="80"/>
        <v>0</v>
      </c>
      <c r="AP109" s="50">
        <f t="shared" si="80"/>
        <v>0</v>
      </c>
      <c r="AQ109" s="50">
        <f t="shared" si="80"/>
        <v>0</v>
      </c>
      <c r="AR109" s="50">
        <f t="shared" si="80"/>
        <v>0</v>
      </c>
      <c r="AS109" s="50">
        <f t="shared" si="80"/>
        <v>0</v>
      </c>
      <c r="AT109" s="50">
        <f t="shared" si="80"/>
        <v>0</v>
      </c>
      <c r="AU109" s="50">
        <f t="shared" si="80"/>
        <v>0</v>
      </c>
    </row>
    <row r="110" spans="1:47">
      <c r="D110" s="186"/>
      <c r="E110" s="325"/>
      <c r="G110" s="39" t="s">
        <v>304</v>
      </c>
      <c r="I110" s="39"/>
      <c r="K110" s="39"/>
      <c r="L110" s="43"/>
      <c r="N110" s="70"/>
      <c r="O110" s="313"/>
      <c r="P110" s="70"/>
      <c r="Q110" s="313"/>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row>
    <row r="111" spans="1:47">
      <c r="A111" s="38" t="str">
        <f>$J$4&amp;"-"</f>
        <v>1X-</v>
      </c>
      <c r="B111" s="38" t="s">
        <v>265</v>
      </c>
      <c r="C111" s="38" t="str">
        <f>C102</f>
        <v>Anaerobic Digestion</v>
      </c>
      <c r="D111" s="186"/>
      <c r="E111" s="325"/>
      <c r="G111" s="36" t="s">
        <v>108</v>
      </c>
      <c r="I111" s="39"/>
      <c r="K111" s="39"/>
      <c r="L111" s="43" t="s">
        <v>293</v>
      </c>
      <c r="N111" s="70">
        <f ca="1">SUMIFS(OFFSET(Assumptions!$I$90,0,MATCH($A111,Configurations,0)-1,COUNT(Assumptions!$A$90:$A$183),1),Assumptions!$D$90:$D$183,$B111&amp;$C111)</f>
        <v>0</v>
      </c>
      <c r="O111" s="313"/>
      <c r="P111" s="323"/>
      <c r="Q111" s="313"/>
      <c r="R111" s="50">
        <f t="shared" ref="R111:AU111" ca="1" si="81">IF(OR(R$99&lt;InServiceYr,R$99&gt;(InServiceYr+analysis_period-1)),0,IF($P111=0,$N111,$P111)*R$501)</f>
        <v>0</v>
      </c>
      <c r="S111" s="50">
        <f t="shared" ca="1" si="81"/>
        <v>0</v>
      </c>
      <c r="T111" s="50">
        <f t="shared" ca="1" si="81"/>
        <v>0</v>
      </c>
      <c r="U111" s="50">
        <f t="shared" ca="1" si="81"/>
        <v>0</v>
      </c>
      <c r="V111" s="50">
        <f t="shared" ca="1" si="81"/>
        <v>0</v>
      </c>
      <c r="W111" s="50">
        <f t="shared" ca="1" si="81"/>
        <v>0</v>
      </c>
      <c r="X111" s="50">
        <f t="shared" ca="1" si="81"/>
        <v>0</v>
      </c>
      <c r="Y111" s="50">
        <f t="shared" ca="1" si="81"/>
        <v>0</v>
      </c>
      <c r="Z111" s="50">
        <f t="shared" ca="1" si="81"/>
        <v>0</v>
      </c>
      <c r="AA111" s="50">
        <f t="shared" ca="1" si="81"/>
        <v>0</v>
      </c>
      <c r="AB111" s="50">
        <f t="shared" ca="1" si="81"/>
        <v>0</v>
      </c>
      <c r="AC111" s="50">
        <f t="shared" ca="1" si="81"/>
        <v>0</v>
      </c>
      <c r="AD111" s="50">
        <f t="shared" ca="1" si="81"/>
        <v>0</v>
      </c>
      <c r="AE111" s="50">
        <f t="shared" ca="1" si="81"/>
        <v>0</v>
      </c>
      <c r="AF111" s="50">
        <f t="shared" ca="1" si="81"/>
        <v>0</v>
      </c>
      <c r="AG111" s="50">
        <f t="shared" ca="1" si="81"/>
        <v>0</v>
      </c>
      <c r="AH111" s="50">
        <f t="shared" ca="1" si="81"/>
        <v>0</v>
      </c>
      <c r="AI111" s="50">
        <f t="shared" ca="1" si="81"/>
        <v>0</v>
      </c>
      <c r="AJ111" s="50">
        <f t="shared" ca="1" si="81"/>
        <v>0</v>
      </c>
      <c r="AK111" s="50">
        <f t="shared" ca="1" si="81"/>
        <v>0</v>
      </c>
      <c r="AL111" s="50">
        <f t="shared" si="81"/>
        <v>0</v>
      </c>
      <c r="AM111" s="50">
        <f t="shared" si="81"/>
        <v>0</v>
      </c>
      <c r="AN111" s="50">
        <f t="shared" si="81"/>
        <v>0</v>
      </c>
      <c r="AO111" s="50">
        <f t="shared" si="81"/>
        <v>0</v>
      </c>
      <c r="AP111" s="50">
        <f t="shared" si="81"/>
        <v>0</v>
      </c>
      <c r="AQ111" s="50">
        <f t="shared" si="81"/>
        <v>0</v>
      </c>
      <c r="AR111" s="50">
        <f t="shared" si="81"/>
        <v>0</v>
      </c>
      <c r="AS111" s="50">
        <f t="shared" si="81"/>
        <v>0</v>
      </c>
      <c r="AT111" s="50">
        <f t="shared" si="81"/>
        <v>0</v>
      </c>
      <c r="AU111" s="50">
        <f t="shared" si="81"/>
        <v>0</v>
      </c>
    </row>
    <row r="112" spans="1:47">
      <c r="A112" s="38" t="str">
        <f>$J$4&amp;"-"</f>
        <v>1X-</v>
      </c>
      <c r="B112" s="38" t="s">
        <v>289</v>
      </c>
      <c r="C112" s="38" t="str">
        <f>C102</f>
        <v>Anaerobic Digestion</v>
      </c>
      <c r="D112" s="186">
        <f>LaborEsc</f>
        <v>0.02</v>
      </c>
      <c r="E112" s="325"/>
      <c r="G112" s="36" t="s">
        <v>292</v>
      </c>
      <c r="I112" s="39"/>
      <c r="K112" s="39"/>
      <c r="L112" s="43" t="str">
        <f>"["&amp;CostBaseYr&amp;" $]"</f>
        <v>[2013 $]</v>
      </c>
      <c r="N112" s="70">
        <f ca="1">SUMIFS(OFFSET(Assumptions!$I$90,0,MATCH($A112,Configurations,0)-1,COUNT(Assumptions!$A$90:$A$183),1),Assumptions!$D$90:$D$183,$B112&amp;$C112)</f>
        <v>0</v>
      </c>
      <c r="O112" s="313"/>
      <c r="P112" s="323"/>
      <c r="Q112" s="313"/>
      <c r="R112" s="50">
        <f t="shared" ref="R112:AU112" ca="1" si="82">IF(OR(R$99&lt;InServiceYr,R$99&gt;(InServiceYr+analysis_period-1)),0,IF($P112=0,$N112,$P112)*(1+$D112)^(R$99-CostBaseYr))</f>
        <v>0</v>
      </c>
      <c r="S112" s="50">
        <f t="shared" ca="1" si="82"/>
        <v>0</v>
      </c>
      <c r="T112" s="50">
        <f t="shared" ca="1" si="82"/>
        <v>0</v>
      </c>
      <c r="U112" s="50">
        <f t="shared" ca="1" si="82"/>
        <v>0</v>
      </c>
      <c r="V112" s="50">
        <f t="shared" ca="1" si="82"/>
        <v>0</v>
      </c>
      <c r="W112" s="50">
        <f t="shared" ca="1" si="82"/>
        <v>0</v>
      </c>
      <c r="X112" s="50">
        <f t="shared" ca="1" si="82"/>
        <v>0</v>
      </c>
      <c r="Y112" s="50">
        <f t="shared" ca="1" si="82"/>
        <v>0</v>
      </c>
      <c r="Z112" s="50">
        <f t="shared" ca="1" si="82"/>
        <v>0</v>
      </c>
      <c r="AA112" s="50">
        <f t="shared" ca="1" si="82"/>
        <v>0</v>
      </c>
      <c r="AB112" s="50">
        <f t="shared" ca="1" si="82"/>
        <v>0</v>
      </c>
      <c r="AC112" s="50">
        <f t="shared" ca="1" si="82"/>
        <v>0</v>
      </c>
      <c r="AD112" s="50">
        <f t="shared" ca="1" si="82"/>
        <v>0</v>
      </c>
      <c r="AE112" s="50">
        <f t="shared" ca="1" si="82"/>
        <v>0</v>
      </c>
      <c r="AF112" s="50">
        <f t="shared" ca="1" si="82"/>
        <v>0</v>
      </c>
      <c r="AG112" s="50">
        <f t="shared" ca="1" si="82"/>
        <v>0</v>
      </c>
      <c r="AH112" s="50">
        <f t="shared" ca="1" si="82"/>
        <v>0</v>
      </c>
      <c r="AI112" s="50">
        <f t="shared" ca="1" si="82"/>
        <v>0</v>
      </c>
      <c r="AJ112" s="50">
        <f t="shared" ca="1" si="82"/>
        <v>0</v>
      </c>
      <c r="AK112" s="50">
        <f t="shared" ca="1" si="82"/>
        <v>0</v>
      </c>
      <c r="AL112" s="50">
        <f t="shared" si="82"/>
        <v>0</v>
      </c>
      <c r="AM112" s="50">
        <f t="shared" si="82"/>
        <v>0</v>
      </c>
      <c r="AN112" s="50">
        <f t="shared" si="82"/>
        <v>0</v>
      </c>
      <c r="AO112" s="50">
        <f t="shared" si="82"/>
        <v>0</v>
      </c>
      <c r="AP112" s="50">
        <f t="shared" si="82"/>
        <v>0</v>
      </c>
      <c r="AQ112" s="50">
        <f t="shared" si="82"/>
        <v>0</v>
      </c>
      <c r="AR112" s="50">
        <f t="shared" si="82"/>
        <v>0</v>
      </c>
      <c r="AS112" s="50">
        <f t="shared" si="82"/>
        <v>0</v>
      </c>
      <c r="AT112" s="50">
        <f t="shared" si="82"/>
        <v>0</v>
      </c>
      <c r="AU112" s="50">
        <f t="shared" si="82"/>
        <v>0</v>
      </c>
    </row>
    <row r="113" spans="1:47" s="60" customFormat="1">
      <c r="D113" s="187"/>
      <c r="E113" s="325"/>
      <c r="G113" s="39" t="s">
        <v>305</v>
      </c>
      <c r="I113" s="39"/>
      <c r="K113" s="39"/>
      <c r="L113" s="174"/>
      <c r="N113" s="188"/>
      <c r="O113" s="314"/>
      <c r="P113" s="185"/>
      <c r="Q113" s="314"/>
      <c r="R113" s="185">
        <f ca="1">SUM(R102:R109)-SUM(R111:R112)</f>
        <v>158039.20483090539</v>
      </c>
      <c r="S113" s="185">
        <f t="shared" ref="S113:AU113" ca="1" si="83">SUM(S102:S109)-SUM(S111:S112)</f>
        <v>161052.33384747375</v>
      </c>
      <c r="T113" s="185">
        <f t="shared" ca="1" si="83"/>
        <v>164522.79604354521</v>
      </c>
      <c r="U113" s="185">
        <f t="shared" ca="1" si="83"/>
        <v>167925.8020998381</v>
      </c>
      <c r="V113" s="185">
        <f t="shared" ca="1" si="83"/>
        <v>192309.75584695247</v>
      </c>
      <c r="W113" s="185">
        <f t="shared" ca="1" si="83"/>
        <v>174673.28270468564</v>
      </c>
      <c r="X113" s="185">
        <f t="shared" ca="1" si="83"/>
        <v>178121.9163680677</v>
      </c>
      <c r="Y113" s="185">
        <f t="shared" ca="1" si="83"/>
        <v>181741.044468771</v>
      </c>
      <c r="Z113" s="185">
        <f t="shared" ca="1" si="83"/>
        <v>185425.21900320292</v>
      </c>
      <c r="AA113" s="185">
        <f t="shared" ca="1" si="83"/>
        <v>212358.7687348082</v>
      </c>
      <c r="AB113" s="185">
        <f t="shared" ca="1" si="83"/>
        <v>193003.64970617247</v>
      </c>
      <c r="AC113" s="185">
        <f t="shared" ca="1" si="83"/>
        <v>196853.73610716214</v>
      </c>
      <c r="AD113" s="185">
        <f t="shared" ca="1" si="83"/>
        <v>200833.24058851317</v>
      </c>
      <c r="AE113" s="185">
        <f t="shared" ca="1" si="83"/>
        <v>204889.00007389652</v>
      </c>
      <c r="AF113" s="185">
        <f t="shared" ca="1" si="83"/>
        <v>234612.37186639733</v>
      </c>
      <c r="AG113" s="185">
        <f t="shared" ca="1" si="83"/>
        <v>213309.92043740812</v>
      </c>
      <c r="AH113" s="185">
        <f t="shared" ca="1" si="83"/>
        <v>217643.93512225634</v>
      </c>
      <c r="AI113" s="185">
        <f t="shared" ca="1" si="83"/>
        <v>222088.39777252777</v>
      </c>
      <c r="AJ113" s="185">
        <f t="shared" ca="1" si="83"/>
        <v>226637.20254408091</v>
      </c>
      <c r="AK113" s="185">
        <f t="shared" ca="1" si="83"/>
        <v>259519.90834204492</v>
      </c>
      <c r="AL113" s="185">
        <f t="shared" si="83"/>
        <v>0</v>
      </c>
      <c r="AM113" s="185">
        <f t="shared" si="83"/>
        <v>0</v>
      </c>
      <c r="AN113" s="185">
        <f t="shared" si="83"/>
        <v>0</v>
      </c>
      <c r="AO113" s="185">
        <f t="shared" si="83"/>
        <v>0</v>
      </c>
      <c r="AP113" s="185">
        <f t="shared" si="83"/>
        <v>0</v>
      </c>
      <c r="AQ113" s="185">
        <f t="shared" si="83"/>
        <v>0</v>
      </c>
      <c r="AR113" s="185">
        <f t="shared" si="83"/>
        <v>0</v>
      </c>
      <c r="AS113" s="185">
        <f t="shared" si="83"/>
        <v>0</v>
      </c>
      <c r="AT113" s="185">
        <f t="shared" si="83"/>
        <v>0</v>
      </c>
      <c r="AU113" s="185">
        <f t="shared" si="83"/>
        <v>0</v>
      </c>
    </row>
    <row r="114" spans="1:47">
      <c r="G114" s="28"/>
      <c r="H114" s="28"/>
      <c r="I114" s="28"/>
      <c r="J114" s="28"/>
      <c r="K114" s="28"/>
      <c r="L114" s="409"/>
      <c r="M114" s="46"/>
      <c r="N114" s="46"/>
      <c r="O114" s="315"/>
      <c r="P114" s="46"/>
      <c r="Q114" s="315"/>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row>
    <row r="115" spans="1:47" s="28" customFormat="1">
      <c r="A115" s="40"/>
      <c r="B115" s="40"/>
      <c r="C115" s="40"/>
      <c r="D115" s="40"/>
      <c r="E115" s="327"/>
      <c r="G115" s="324" t="str">
        <f>C117&amp;" Capital Costs"</f>
        <v>Ash Conveyance &amp; Storage Capital Costs</v>
      </c>
      <c r="H115" s="324"/>
      <c r="I115" s="324"/>
      <c r="J115" s="324"/>
      <c r="K115" s="324"/>
      <c r="L115" s="405" t="s">
        <v>79</v>
      </c>
      <c r="M115" s="256"/>
      <c r="N115" s="325" t="s">
        <v>490</v>
      </c>
      <c r="O115" s="311"/>
      <c r="P115" s="325" t="s">
        <v>491</v>
      </c>
      <c r="Q115" s="310"/>
      <c r="R115" s="325">
        <f>R$8</f>
        <v>2014</v>
      </c>
      <c r="S115" s="325">
        <f t="shared" ref="S115:AU115" si="84">S$8</f>
        <v>2015</v>
      </c>
      <c r="T115" s="325">
        <f t="shared" si="84"/>
        <v>2016</v>
      </c>
      <c r="U115" s="325">
        <f t="shared" si="84"/>
        <v>2017</v>
      </c>
      <c r="V115" s="325">
        <f t="shared" si="84"/>
        <v>2018</v>
      </c>
      <c r="W115" s="325">
        <f t="shared" si="84"/>
        <v>2019</v>
      </c>
      <c r="X115" s="325">
        <f t="shared" si="84"/>
        <v>2020</v>
      </c>
      <c r="Y115" s="325">
        <f t="shared" si="84"/>
        <v>2021</v>
      </c>
      <c r="Z115" s="325">
        <f t="shared" si="84"/>
        <v>2022</v>
      </c>
      <c r="AA115" s="325">
        <f t="shared" si="84"/>
        <v>2023</v>
      </c>
      <c r="AB115" s="325">
        <f t="shared" si="84"/>
        <v>2024</v>
      </c>
      <c r="AC115" s="325">
        <f t="shared" si="84"/>
        <v>2025</v>
      </c>
      <c r="AD115" s="325">
        <f t="shared" si="84"/>
        <v>2026</v>
      </c>
      <c r="AE115" s="325">
        <f t="shared" si="84"/>
        <v>2027</v>
      </c>
      <c r="AF115" s="325">
        <f t="shared" si="84"/>
        <v>2028</v>
      </c>
      <c r="AG115" s="325">
        <f t="shared" si="84"/>
        <v>2029</v>
      </c>
      <c r="AH115" s="325">
        <f t="shared" si="84"/>
        <v>2030</v>
      </c>
      <c r="AI115" s="325">
        <f t="shared" si="84"/>
        <v>2031</v>
      </c>
      <c r="AJ115" s="325">
        <f t="shared" si="84"/>
        <v>2032</v>
      </c>
      <c r="AK115" s="325">
        <f t="shared" si="84"/>
        <v>2033</v>
      </c>
      <c r="AL115" s="325">
        <f t="shared" si="84"/>
        <v>2034</v>
      </c>
      <c r="AM115" s="325">
        <f t="shared" si="84"/>
        <v>2035</v>
      </c>
      <c r="AN115" s="325">
        <f t="shared" si="84"/>
        <v>2036</v>
      </c>
      <c r="AO115" s="325">
        <f t="shared" si="84"/>
        <v>2037</v>
      </c>
      <c r="AP115" s="325">
        <f t="shared" si="84"/>
        <v>2038</v>
      </c>
      <c r="AQ115" s="325">
        <f t="shared" si="84"/>
        <v>2039</v>
      </c>
      <c r="AR115" s="325">
        <f t="shared" si="84"/>
        <v>2040</v>
      </c>
      <c r="AS115" s="325">
        <f t="shared" si="84"/>
        <v>2041</v>
      </c>
      <c r="AT115" s="325">
        <f t="shared" si="84"/>
        <v>2042</v>
      </c>
      <c r="AU115" s="325">
        <f t="shared" si="84"/>
        <v>2043</v>
      </c>
    </row>
    <row r="116" spans="1:47">
      <c r="E116" s="325"/>
      <c r="G116" s="39"/>
      <c r="H116" s="39"/>
      <c r="I116" s="39"/>
      <c r="J116" s="39"/>
      <c r="K116" s="39"/>
    </row>
    <row r="117" spans="1:47">
      <c r="A117" s="38" t="str">
        <f>$J$4&amp;"-"</f>
        <v>1X-</v>
      </c>
      <c r="B117" s="38" t="s">
        <v>306</v>
      </c>
      <c r="C117" s="38" t="s">
        <v>153</v>
      </c>
      <c r="D117" s="186">
        <f>CapExEsc</f>
        <v>0.03</v>
      </c>
      <c r="E117" s="325"/>
      <c r="G117" s="36" t="s">
        <v>8</v>
      </c>
      <c r="H117" s="39"/>
      <c r="I117" s="39"/>
      <c r="J117" s="70"/>
      <c r="K117" s="39"/>
      <c r="L117" s="43" t="str">
        <f>"["&amp;CostBaseYr&amp;" $]"</f>
        <v>[2013 $]</v>
      </c>
      <c r="N117" s="52">
        <f ca="1">SUMIFS(OFFSET(Assumptions!$I$65,0,MATCH($A117,Configurations,0)-1,COUNT(Assumptions!$A$65:$A$84),1),Assumptions!$E$65:$E$84,$C117)</f>
        <v>0</v>
      </c>
      <c r="O117" s="52"/>
      <c r="P117" s="322"/>
      <c r="Q117" s="52"/>
      <c r="R117" s="52">
        <f t="shared" ref="R117:AU117" ca="1" si="85">R118*IF($P117=0,$N117,$P117)*(1+$D117)^(R$8-CostBaseYr)</f>
        <v>0</v>
      </c>
      <c r="S117" s="52">
        <f t="shared" ca="1" si="85"/>
        <v>0</v>
      </c>
      <c r="T117" s="52">
        <f t="shared" ca="1" si="85"/>
        <v>0</v>
      </c>
      <c r="U117" s="52">
        <f t="shared" ca="1" si="85"/>
        <v>0</v>
      </c>
      <c r="V117" s="52">
        <f t="shared" ca="1" si="85"/>
        <v>0</v>
      </c>
      <c r="W117" s="52">
        <f t="shared" ca="1" si="85"/>
        <v>0</v>
      </c>
      <c r="X117" s="52">
        <f t="shared" ca="1" si="85"/>
        <v>0</v>
      </c>
      <c r="Y117" s="52">
        <f t="shared" ca="1" si="85"/>
        <v>0</v>
      </c>
      <c r="Z117" s="52">
        <f t="shared" ca="1" si="85"/>
        <v>0</v>
      </c>
      <c r="AA117" s="52">
        <f t="shared" ca="1" si="85"/>
        <v>0</v>
      </c>
      <c r="AB117" s="52">
        <f t="shared" ca="1" si="85"/>
        <v>0</v>
      </c>
      <c r="AC117" s="52">
        <f t="shared" ca="1" si="85"/>
        <v>0</v>
      </c>
      <c r="AD117" s="52">
        <f t="shared" ca="1" si="85"/>
        <v>0</v>
      </c>
      <c r="AE117" s="52">
        <f t="shared" ca="1" si="85"/>
        <v>0</v>
      </c>
      <c r="AF117" s="52">
        <f t="shared" ca="1" si="85"/>
        <v>0</v>
      </c>
      <c r="AG117" s="52">
        <f t="shared" ca="1" si="85"/>
        <v>0</v>
      </c>
      <c r="AH117" s="52">
        <f t="shared" ca="1" si="85"/>
        <v>0</v>
      </c>
      <c r="AI117" s="52">
        <f t="shared" ca="1" si="85"/>
        <v>0</v>
      </c>
      <c r="AJ117" s="52">
        <f t="shared" ca="1" si="85"/>
        <v>0</v>
      </c>
      <c r="AK117" s="52">
        <f t="shared" ca="1" si="85"/>
        <v>0</v>
      </c>
      <c r="AL117" s="52">
        <f t="shared" ca="1" si="85"/>
        <v>0</v>
      </c>
      <c r="AM117" s="52">
        <f t="shared" ca="1" si="85"/>
        <v>0</v>
      </c>
      <c r="AN117" s="52">
        <f t="shared" ca="1" si="85"/>
        <v>0</v>
      </c>
      <c r="AO117" s="52">
        <f t="shared" ca="1" si="85"/>
        <v>0</v>
      </c>
      <c r="AP117" s="52">
        <f t="shared" ca="1" si="85"/>
        <v>0</v>
      </c>
      <c r="AQ117" s="52">
        <f t="shared" ca="1" si="85"/>
        <v>0</v>
      </c>
      <c r="AR117" s="52">
        <f t="shared" ca="1" si="85"/>
        <v>0</v>
      </c>
      <c r="AS117" s="52">
        <f t="shared" ca="1" si="85"/>
        <v>0</v>
      </c>
      <c r="AT117" s="52">
        <f t="shared" ca="1" si="85"/>
        <v>0</v>
      </c>
      <c r="AU117" s="52">
        <f t="shared" ca="1" si="85"/>
        <v>0</v>
      </c>
    </row>
    <row r="118" spans="1:47">
      <c r="E118" s="325"/>
      <c r="G118" s="36" t="s">
        <v>10</v>
      </c>
      <c r="H118" s="39"/>
      <c r="I118" s="39"/>
      <c r="J118" s="39"/>
      <c r="K118" s="39"/>
      <c r="L118" s="43"/>
      <c r="R118" s="54">
        <f>Assumptions!M$60</f>
        <v>1</v>
      </c>
      <c r="S118" s="54">
        <f>Assumptions!N$60</f>
        <v>0</v>
      </c>
      <c r="T118" s="54">
        <f>Assumptions!O$60</f>
        <v>0</v>
      </c>
      <c r="U118" s="54">
        <f>Assumptions!P$60</f>
        <v>0</v>
      </c>
      <c r="V118" s="54">
        <f>Assumptions!Q$60</f>
        <v>0</v>
      </c>
      <c r="W118" s="54">
        <f>Assumptions!R$60</f>
        <v>0</v>
      </c>
      <c r="X118" s="54">
        <f>Assumptions!S$60</f>
        <v>0</v>
      </c>
      <c r="Y118" s="54">
        <f>Assumptions!T$60</f>
        <v>0</v>
      </c>
      <c r="Z118" s="54">
        <f>Assumptions!U$60</f>
        <v>0</v>
      </c>
      <c r="AA118" s="54">
        <f>Assumptions!V$60</f>
        <v>0</v>
      </c>
      <c r="AB118" s="54">
        <f>Assumptions!W$60</f>
        <v>0</v>
      </c>
      <c r="AC118" s="54">
        <f>Assumptions!X$60</f>
        <v>0</v>
      </c>
      <c r="AD118" s="54">
        <f>Assumptions!Y$60</f>
        <v>0</v>
      </c>
      <c r="AE118" s="54">
        <f>Assumptions!Z$60</f>
        <v>0</v>
      </c>
      <c r="AF118" s="54">
        <f>Assumptions!AA$60</f>
        <v>0</v>
      </c>
      <c r="AG118" s="54">
        <f>Assumptions!AB$60</f>
        <v>0</v>
      </c>
      <c r="AH118" s="54">
        <f>Assumptions!AC$60</f>
        <v>0</v>
      </c>
      <c r="AI118" s="54">
        <f>Assumptions!AD$60</f>
        <v>0</v>
      </c>
      <c r="AJ118" s="54">
        <f>Assumptions!AE$60</f>
        <v>0</v>
      </c>
      <c r="AK118" s="54">
        <f>Assumptions!AF$60</f>
        <v>0</v>
      </c>
      <c r="AL118" s="54">
        <f>Assumptions!AG$60</f>
        <v>0</v>
      </c>
      <c r="AM118" s="54">
        <f>Assumptions!AH$60</f>
        <v>0</v>
      </c>
      <c r="AN118" s="54">
        <f>Assumptions!AI$60</f>
        <v>0</v>
      </c>
      <c r="AO118" s="54">
        <f>Assumptions!AJ$60</f>
        <v>0</v>
      </c>
      <c r="AP118" s="54">
        <f>Assumptions!AK$60</f>
        <v>0</v>
      </c>
      <c r="AQ118" s="54">
        <f>Assumptions!AL$60</f>
        <v>0</v>
      </c>
      <c r="AR118" s="54">
        <f>Assumptions!AM$60</f>
        <v>0</v>
      </c>
      <c r="AS118" s="54">
        <f>Assumptions!AN$60</f>
        <v>0</v>
      </c>
      <c r="AT118" s="54">
        <f>Assumptions!AO$60</f>
        <v>0</v>
      </c>
      <c r="AU118" s="54">
        <f>Assumptions!AP$60</f>
        <v>0</v>
      </c>
    </row>
    <row r="119" spans="1:47">
      <c r="E119" s="326"/>
      <c r="G119" s="39"/>
      <c r="H119" s="39"/>
      <c r="I119" s="39"/>
      <c r="J119" s="39"/>
      <c r="K119" s="39"/>
    </row>
    <row r="120" spans="1:47" s="255" customFormat="1">
      <c r="E120" s="327"/>
      <c r="F120" s="28"/>
      <c r="G120" s="324" t="str">
        <f>C117&amp;" O&amp;M"</f>
        <v>Ash Conveyance &amp; Storage O&amp;M</v>
      </c>
      <c r="H120" s="324"/>
      <c r="I120" s="324"/>
      <c r="J120" s="324"/>
      <c r="K120" s="324"/>
      <c r="L120" s="405" t="s">
        <v>79</v>
      </c>
      <c r="M120" s="256"/>
      <c r="N120" s="325" t="s">
        <v>490</v>
      </c>
      <c r="O120" s="311"/>
      <c r="P120" s="325" t="s">
        <v>491</v>
      </c>
      <c r="Q120" s="310"/>
      <c r="R120" s="325">
        <f>R$8</f>
        <v>2014</v>
      </c>
      <c r="S120" s="325">
        <f t="shared" ref="S120:AU120" si="86">S$8</f>
        <v>2015</v>
      </c>
      <c r="T120" s="325">
        <f t="shared" si="86"/>
        <v>2016</v>
      </c>
      <c r="U120" s="325">
        <f t="shared" si="86"/>
        <v>2017</v>
      </c>
      <c r="V120" s="325">
        <f t="shared" si="86"/>
        <v>2018</v>
      </c>
      <c r="W120" s="325">
        <f t="shared" si="86"/>
        <v>2019</v>
      </c>
      <c r="X120" s="325">
        <f t="shared" si="86"/>
        <v>2020</v>
      </c>
      <c r="Y120" s="325">
        <f t="shared" si="86"/>
        <v>2021</v>
      </c>
      <c r="Z120" s="325">
        <f t="shared" si="86"/>
        <v>2022</v>
      </c>
      <c r="AA120" s="325">
        <f t="shared" si="86"/>
        <v>2023</v>
      </c>
      <c r="AB120" s="325">
        <f t="shared" si="86"/>
        <v>2024</v>
      </c>
      <c r="AC120" s="325">
        <f t="shared" si="86"/>
        <v>2025</v>
      </c>
      <c r="AD120" s="325">
        <f t="shared" si="86"/>
        <v>2026</v>
      </c>
      <c r="AE120" s="325">
        <f t="shared" si="86"/>
        <v>2027</v>
      </c>
      <c r="AF120" s="325">
        <f t="shared" si="86"/>
        <v>2028</v>
      </c>
      <c r="AG120" s="325">
        <f t="shared" si="86"/>
        <v>2029</v>
      </c>
      <c r="AH120" s="325">
        <f t="shared" si="86"/>
        <v>2030</v>
      </c>
      <c r="AI120" s="325">
        <f t="shared" si="86"/>
        <v>2031</v>
      </c>
      <c r="AJ120" s="325">
        <f t="shared" si="86"/>
        <v>2032</v>
      </c>
      <c r="AK120" s="325">
        <f t="shared" si="86"/>
        <v>2033</v>
      </c>
      <c r="AL120" s="325">
        <f t="shared" si="86"/>
        <v>2034</v>
      </c>
      <c r="AM120" s="325">
        <f t="shared" si="86"/>
        <v>2035</v>
      </c>
      <c r="AN120" s="325">
        <f t="shared" si="86"/>
        <v>2036</v>
      </c>
      <c r="AO120" s="325">
        <f t="shared" si="86"/>
        <v>2037</v>
      </c>
      <c r="AP120" s="325">
        <f t="shared" si="86"/>
        <v>2038</v>
      </c>
      <c r="AQ120" s="325">
        <f t="shared" si="86"/>
        <v>2039</v>
      </c>
      <c r="AR120" s="325">
        <f t="shared" si="86"/>
        <v>2040</v>
      </c>
      <c r="AS120" s="325">
        <f t="shared" si="86"/>
        <v>2041</v>
      </c>
      <c r="AT120" s="325">
        <f t="shared" si="86"/>
        <v>2042</v>
      </c>
      <c r="AU120" s="325">
        <f t="shared" si="86"/>
        <v>2043</v>
      </c>
    </row>
    <row r="121" spans="1:47">
      <c r="E121" s="325"/>
      <c r="G121" s="39"/>
      <c r="H121" s="39"/>
      <c r="I121" s="39"/>
      <c r="J121" s="39"/>
      <c r="K121" s="39"/>
    </row>
    <row r="122" spans="1:47">
      <c r="E122" s="325"/>
      <c r="G122" s="39" t="s">
        <v>23</v>
      </c>
      <c r="H122" s="39"/>
      <c r="I122" s="39"/>
      <c r="J122" s="39"/>
      <c r="K122" s="39"/>
    </row>
    <row r="123" spans="1:47">
      <c r="A123" s="38" t="str">
        <f t="shared" ref="A123:A130" si="87">$J$4&amp;"-"</f>
        <v>1X-</v>
      </c>
      <c r="B123" s="38" t="s">
        <v>262</v>
      </c>
      <c r="C123" s="38" t="str">
        <f>C117</f>
        <v>Ash Conveyance &amp; Storage</v>
      </c>
      <c r="D123" s="186">
        <f>LaborEsc</f>
        <v>0.02</v>
      </c>
      <c r="E123" s="325"/>
      <c r="G123" s="36" t="s">
        <v>125</v>
      </c>
      <c r="I123" s="39"/>
      <c r="K123" s="39"/>
      <c r="L123" s="43" t="s">
        <v>266</v>
      </c>
      <c r="N123" s="70">
        <f ca="1">SUMIFS(OFFSET(Assumptions!$I$90,0,MATCH($A123,Configurations,0)-1,COUNT(Assumptions!$A$90:$A$183),1),Assumptions!$D$90:$D$183,$B123&amp;$C123)</f>
        <v>0</v>
      </c>
      <c r="O123" s="313"/>
      <c r="P123" s="323"/>
      <c r="Q123" s="313"/>
      <c r="R123" s="50">
        <f t="shared" ref="R123:AU123" ca="1" si="88">IF(OR(R$99&lt;InServiceYr,R$99&gt;(InServiceYr+analysis_period-1)),0,IF($P123=0,$N123,$P123)*LaborCost*(1+$D123)^(R$99-CostBaseYr))</f>
        <v>0</v>
      </c>
      <c r="S123" s="50">
        <f t="shared" ca="1" si="88"/>
        <v>0</v>
      </c>
      <c r="T123" s="50">
        <f t="shared" ca="1" si="88"/>
        <v>0</v>
      </c>
      <c r="U123" s="50">
        <f t="shared" ca="1" si="88"/>
        <v>0</v>
      </c>
      <c r="V123" s="50">
        <f t="shared" ca="1" si="88"/>
        <v>0</v>
      </c>
      <c r="W123" s="50">
        <f t="shared" ca="1" si="88"/>
        <v>0</v>
      </c>
      <c r="X123" s="50">
        <f t="shared" ca="1" si="88"/>
        <v>0</v>
      </c>
      <c r="Y123" s="50">
        <f t="shared" ca="1" si="88"/>
        <v>0</v>
      </c>
      <c r="Z123" s="50">
        <f t="shared" ca="1" si="88"/>
        <v>0</v>
      </c>
      <c r="AA123" s="50">
        <f t="shared" ca="1" si="88"/>
        <v>0</v>
      </c>
      <c r="AB123" s="50">
        <f t="shared" ca="1" si="88"/>
        <v>0</v>
      </c>
      <c r="AC123" s="50">
        <f t="shared" ca="1" si="88"/>
        <v>0</v>
      </c>
      <c r="AD123" s="50">
        <f t="shared" ca="1" si="88"/>
        <v>0</v>
      </c>
      <c r="AE123" s="50">
        <f t="shared" ca="1" si="88"/>
        <v>0</v>
      </c>
      <c r="AF123" s="50">
        <f t="shared" ca="1" si="88"/>
        <v>0</v>
      </c>
      <c r="AG123" s="50">
        <f t="shared" ca="1" si="88"/>
        <v>0</v>
      </c>
      <c r="AH123" s="50">
        <f t="shared" ca="1" si="88"/>
        <v>0</v>
      </c>
      <c r="AI123" s="50">
        <f t="shared" ca="1" si="88"/>
        <v>0</v>
      </c>
      <c r="AJ123" s="50">
        <f t="shared" ca="1" si="88"/>
        <v>0</v>
      </c>
      <c r="AK123" s="50">
        <f t="shared" ca="1" si="88"/>
        <v>0</v>
      </c>
      <c r="AL123" s="50">
        <f t="shared" si="88"/>
        <v>0</v>
      </c>
      <c r="AM123" s="50">
        <f t="shared" si="88"/>
        <v>0</v>
      </c>
      <c r="AN123" s="50">
        <f t="shared" si="88"/>
        <v>0</v>
      </c>
      <c r="AO123" s="50">
        <f t="shared" si="88"/>
        <v>0</v>
      </c>
      <c r="AP123" s="50">
        <f t="shared" si="88"/>
        <v>0</v>
      </c>
      <c r="AQ123" s="50">
        <f t="shared" si="88"/>
        <v>0</v>
      </c>
      <c r="AR123" s="50">
        <f t="shared" si="88"/>
        <v>0</v>
      </c>
      <c r="AS123" s="50">
        <f t="shared" si="88"/>
        <v>0</v>
      </c>
      <c r="AT123" s="50">
        <f t="shared" si="88"/>
        <v>0</v>
      </c>
      <c r="AU123" s="50">
        <f t="shared" si="88"/>
        <v>0</v>
      </c>
    </row>
    <row r="124" spans="1:47">
      <c r="A124" s="38" t="str">
        <f t="shared" si="87"/>
        <v>1X-</v>
      </c>
      <c r="B124" s="38" t="s">
        <v>270</v>
      </c>
      <c r="C124" s="38" t="str">
        <f>C123</f>
        <v>Ash Conveyance &amp; Storage</v>
      </c>
      <c r="D124" s="186">
        <f>OMEsc</f>
        <v>0.02</v>
      </c>
      <c r="E124" s="325"/>
      <c r="G124" s="36" t="s">
        <v>126</v>
      </c>
      <c r="I124" s="39"/>
      <c r="K124" s="39"/>
      <c r="L124" s="43" t="str">
        <f>"["&amp;CostBaseYr&amp;" $]"</f>
        <v>[2013 $]</v>
      </c>
      <c r="N124" s="70">
        <f ca="1">SUMIFS(OFFSET(Assumptions!$I$90,0,MATCH($A124,Configurations,0)-1,COUNT(Assumptions!$A$90:$A$183),1),Assumptions!$D$90:$D$183,$B124&amp;$C124)</f>
        <v>0</v>
      </c>
      <c r="O124" s="313"/>
      <c r="P124" s="323"/>
      <c r="Q124" s="313"/>
      <c r="R124" s="50">
        <f t="shared" ref="R124:AG126" ca="1" si="89">IF(OR(R$99&lt;InServiceYr,R$99&gt;(InServiceYr+analysis_period-1)),0,IF($P124=0,$N124,$P124)*(1+$D124)^(R$99-CostBaseYr))</f>
        <v>0</v>
      </c>
      <c r="S124" s="50">
        <f t="shared" ca="1" si="89"/>
        <v>0</v>
      </c>
      <c r="T124" s="50">
        <f t="shared" ca="1" si="89"/>
        <v>0</v>
      </c>
      <c r="U124" s="50">
        <f t="shared" ca="1" si="89"/>
        <v>0</v>
      </c>
      <c r="V124" s="50">
        <f t="shared" ca="1" si="89"/>
        <v>0</v>
      </c>
      <c r="W124" s="50">
        <f t="shared" ca="1" si="89"/>
        <v>0</v>
      </c>
      <c r="X124" s="50">
        <f t="shared" ca="1" si="89"/>
        <v>0</v>
      </c>
      <c r="Y124" s="50">
        <f t="shared" ca="1" si="89"/>
        <v>0</v>
      </c>
      <c r="Z124" s="50">
        <f t="shared" ca="1" si="89"/>
        <v>0</v>
      </c>
      <c r="AA124" s="50">
        <f t="shared" ca="1" si="89"/>
        <v>0</v>
      </c>
      <c r="AB124" s="50">
        <f t="shared" ca="1" si="89"/>
        <v>0</v>
      </c>
      <c r="AC124" s="50">
        <f t="shared" ca="1" si="89"/>
        <v>0</v>
      </c>
      <c r="AD124" s="50">
        <f t="shared" ca="1" si="89"/>
        <v>0</v>
      </c>
      <c r="AE124" s="50">
        <f t="shared" ca="1" si="89"/>
        <v>0</v>
      </c>
      <c r="AF124" s="50">
        <f t="shared" ca="1" si="89"/>
        <v>0</v>
      </c>
      <c r="AG124" s="50">
        <f t="shared" ca="1" si="89"/>
        <v>0</v>
      </c>
      <c r="AH124" s="50">
        <f t="shared" ref="S124:AU126" ca="1" si="90">IF(OR(AH$99&lt;InServiceYr,AH$99&gt;(InServiceYr+analysis_period-1)),0,IF($P124=0,$N124,$P124)*(1+$D124)^(AH$99-CostBaseYr))</f>
        <v>0</v>
      </c>
      <c r="AI124" s="50">
        <f t="shared" ca="1" si="90"/>
        <v>0</v>
      </c>
      <c r="AJ124" s="50">
        <f t="shared" ca="1" si="90"/>
        <v>0</v>
      </c>
      <c r="AK124" s="50">
        <f t="shared" ca="1" si="90"/>
        <v>0</v>
      </c>
      <c r="AL124" s="50">
        <f t="shared" si="90"/>
        <v>0</v>
      </c>
      <c r="AM124" s="50">
        <f t="shared" si="90"/>
        <v>0</v>
      </c>
      <c r="AN124" s="50">
        <f t="shared" si="90"/>
        <v>0</v>
      </c>
      <c r="AO124" s="50">
        <f t="shared" si="90"/>
        <v>0</v>
      </c>
      <c r="AP124" s="50">
        <f t="shared" si="90"/>
        <v>0</v>
      </c>
      <c r="AQ124" s="50">
        <f t="shared" si="90"/>
        <v>0</v>
      </c>
      <c r="AR124" s="50">
        <f t="shared" si="90"/>
        <v>0</v>
      </c>
      <c r="AS124" s="50">
        <f t="shared" si="90"/>
        <v>0</v>
      </c>
      <c r="AT124" s="50">
        <f t="shared" si="90"/>
        <v>0</v>
      </c>
      <c r="AU124" s="50">
        <f t="shared" si="90"/>
        <v>0</v>
      </c>
    </row>
    <row r="125" spans="1:47">
      <c r="A125" s="38" t="str">
        <f t="shared" si="87"/>
        <v>1X-</v>
      </c>
      <c r="B125" s="38" t="s">
        <v>263</v>
      </c>
      <c r="C125" s="38" t="str">
        <f t="shared" ref="C125:C129" si="91">C124</f>
        <v>Ash Conveyance &amp; Storage</v>
      </c>
      <c r="D125" s="186">
        <f>OMEsc</f>
        <v>0.02</v>
      </c>
      <c r="E125" s="325"/>
      <c r="G125" s="36" t="s">
        <v>127</v>
      </c>
      <c r="I125" s="39"/>
      <c r="K125" s="39"/>
      <c r="L125" s="43" t="str">
        <f>"["&amp;CostBaseYr&amp;" $]"</f>
        <v>[2013 $]</v>
      </c>
      <c r="N125" s="70">
        <f ca="1">SUMIFS(OFFSET(Assumptions!$I$90,0,MATCH($A125,Configurations,0)-1,COUNT(Assumptions!$A$90:$A$183),1),Assumptions!$D$90:$D$183,$B125&amp;$C125)</f>
        <v>0</v>
      </c>
      <c r="O125" s="313"/>
      <c r="P125" s="323"/>
      <c r="Q125" s="313"/>
      <c r="R125" s="50">
        <f t="shared" ca="1" si="89"/>
        <v>0</v>
      </c>
      <c r="S125" s="50">
        <f t="shared" ca="1" si="90"/>
        <v>0</v>
      </c>
      <c r="T125" s="50">
        <f t="shared" ca="1" si="90"/>
        <v>0</v>
      </c>
      <c r="U125" s="50">
        <f t="shared" ca="1" si="90"/>
        <v>0</v>
      </c>
      <c r="V125" s="50">
        <f t="shared" ca="1" si="90"/>
        <v>0</v>
      </c>
      <c r="W125" s="50">
        <f t="shared" ca="1" si="90"/>
        <v>0</v>
      </c>
      <c r="X125" s="50">
        <f t="shared" ca="1" si="90"/>
        <v>0</v>
      </c>
      <c r="Y125" s="50">
        <f t="shared" ca="1" si="90"/>
        <v>0</v>
      </c>
      <c r="Z125" s="50">
        <f t="shared" ca="1" si="90"/>
        <v>0</v>
      </c>
      <c r="AA125" s="50">
        <f t="shared" ca="1" si="90"/>
        <v>0</v>
      </c>
      <c r="AB125" s="50">
        <f t="shared" ca="1" si="90"/>
        <v>0</v>
      </c>
      <c r="AC125" s="50">
        <f t="shared" ca="1" si="90"/>
        <v>0</v>
      </c>
      <c r="AD125" s="50">
        <f t="shared" ca="1" si="90"/>
        <v>0</v>
      </c>
      <c r="AE125" s="50">
        <f t="shared" ca="1" si="90"/>
        <v>0</v>
      </c>
      <c r="AF125" s="50">
        <f t="shared" ca="1" si="90"/>
        <v>0</v>
      </c>
      <c r="AG125" s="50">
        <f t="shared" ca="1" si="90"/>
        <v>0</v>
      </c>
      <c r="AH125" s="50">
        <f t="shared" ca="1" si="90"/>
        <v>0</v>
      </c>
      <c r="AI125" s="50">
        <f t="shared" ca="1" si="90"/>
        <v>0</v>
      </c>
      <c r="AJ125" s="50">
        <f t="shared" ca="1" si="90"/>
        <v>0</v>
      </c>
      <c r="AK125" s="50">
        <f t="shared" ca="1" si="90"/>
        <v>0</v>
      </c>
      <c r="AL125" s="50">
        <f t="shared" si="90"/>
        <v>0</v>
      </c>
      <c r="AM125" s="50">
        <f t="shared" si="90"/>
        <v>0</v>
      </c>
      <c r="AN125" s="50">
        <f t="shared" si="90"/>
        <v>0</v>
      </c>
      <c r="AO125" s="50">
        <f t="shared" si="90"/>
        <v>0</v>
      </c>
      <c r="AP125" s="50">
        <f t="shared" si="90"/>
        <v>0</v>
      </c>
      <c r="AQ125" s="50">
        <f t="shared" si="90"/>
        <v>0</v>
      </c>
      <c r="AR125" s="50">
        <f t="shared" si="90"/>
        <v>0</v>
      </c>
      <c r="AS125" s="50">
        <f t="shared" si="90"/>
        <v>0</v>
      </c>
      <c r="AT125" s="50">
        <f t="shared" si="90"/>
        <v>0</v>
      </c>
      <c r="AU125" s="50">
        <f t="shared" si="90"/>
        <v>0</v>
      </c>
    </row>
    <row r="126" spans="1:47">
      <c r="A126" s="38" t="str">
        <f t="shared" si="87"/>
        <v>1X-</v>
      </c>
      <c r="B126" s="38" t="s">
        <v>277</v>
      </c>
      <c r="C126" s="38" t="str">
        <f t="shared" si="91"/>
        <v>Ash Conveyance &amp; Storage</v>
      </c>
      <c r="D126" s="186">
        <f>OMEsc</f>
        <v>0.02</v>
      </c>
      <c r="E126" s="325"/>
      <c r="G126" s="36" t="s">
        <v>276</v>
      </c>
      <c r="I126" s="39"/>
      <c r="K126" s="39"/>
      <c r="L126" s="43" t="str">
        <f>"["&amp;CostBaseYr&amp;" $]"</f>
        <v>[2013 $]</v>
      </c>
      <c r="N126" s="70">
        <f ca="1">SUMIFS(OFFSET(Assumptions!$I$90,0,MATCH($A126,Configurations,0)-1,COUNT(Assumptions!$A$90:$A$183),1),Assumptions!$D$90:$D$183,$B126&amp;$C126)</f>
        <v>0</v>
      </c>
      <c r="O126" s="313"/>
      <c r="P126" s="323"/>
      <c r="Q126" s="313"/>
      <c r="R126" s="50">
        <f t="shared" ca="1" si="89"/>
        <v>0</v>
      </c>
      <c r="S126" s="50">
        <f t="shared" ca="1" si="90"/>
        <v>0</v>
      </c>
      <c r="T126" s="50">
        <f t="shared" ca="1" si="90"/>
        <v>0</v>
      </c>
      <c r="U126" s="50">
        <f t="shared" ca="1" si="90"/>
        <v>0</v>
      </c>
      <c r="V126" s="50">
        <f t="shared" ca="1" si="90"/>
        <v>0</v>
      </c>
      <c r="W126" s="50">
        <f t="shared" ca="1" si="90"/>
        <v>0</v>
      </c>
      <c r="X126" s="50">
        <f t="shared" ca="1" si="90"/>
        <v>0</v>
      </c>
      <c r="Y126" s="50">
        <f t="shared" ca="1" si="90"/>
        <v>0</v>
      </c>
      <c r="Z126" s="50">
        <f t="shared" ca="1" si="90"/>
        <v>0</v>
      </c>
      <c r="AA126" s="50">
        <f t="shared" ca="1" si="90"/>
        <v>0</v>
      </c>
      <c r="AB126" s="50">
        <f t="shared" ca="1" si="90"/>
        <v>0</v>
      </c>
      <c r="AC126" s="50">
        <f t="shared" ca="1" si="90"/>
        <v>0</v>
      </c>
      <c r="AD126" s="50">
        <f t="shared" ca="1" si="90"/>
        <v>0</v>
      </c>
      <c r="AE126" s="50">
        <f t="shared" ca="1" si="90"/>
        <v>0</v>
      </c>
      <c r="AF126" s="50">
        <f t="shared" ca="1" si="90"/>
        <v>0</v>
      </c>
      <c r="AG126" s="50">
        <f t="shared" ca="1" si="90"/>
        <v>0</v>
      </c>
      <c r="AH126" s="50">
        <f t="shared" ca="1" si="90"/>
        <v>0</v>
      </c>
      <c r="AI126" s="50">
        <f t="shared" ca="1" si="90"/>
        <v>0</v>
      </c>
      <c r="AJ126" s="50">
        <f t="shared" ca="1" si="90"/>
        <v>0</v>
      </c>
      <c r="AK126" s="50">
        <f t="shared" ca="1" si="90"/>
        <v>0</v>
      </c>
      <c r="AL126" s="50">
        <f t="shared" si="90"/>
        <v>0</v>
      </c>
      <c r="AM126" s="50">
        <f t="shared" si="90"/>
        <v>0</v>
      </c>
      <c r="AN126" s="50">
        <f t="shared" si="90"/>
        <v>0</v>
      </c>
      <c r="AO126" s="50">
        <f t="shared" si="90"/>
        <v>0</v>
      </c>
      <c r="AP126" s="50">
        <f t="shared" si="90"/>
        <v>0</v>
      </c>
      <c r="AQ126" s="50">
        <f t="shared" si="90"/>
        <v>0</v>
      </c>
      <c r="AR126" s="50">
        <f t="shared" si="90"/>
        <v>0</v>
      </c>
      <c r="AS126" s="50">
        <f t="shared" si="90"/>
        <v>0</v>
      </c>
      <c r="AT126" s="50">
        <f t="shared" si="90"/>
        <v>0</v>
      </c>
      <c r="AU126" s="50">
        <f t="shared" si="90"/>
        <v>0</v>
      </c>
    </row>
    <row r="127" spans="1:47">
      <c r="A127" s="38" t="str">
        <f t="shared" si="87"/>
        <v>1X-</v>
      </c>
      <c r="B127" s="38" t="s">
        <v>274</v>
      </c>
      <c r="C127" s="38" t="str">
        <f t="shared" si="91"/>
        <v>Ash Conveyance &amp; Storage</v>
      </c>
      <c r="D127" s="186"/>
      <c r="E127" s="325"/>
      <c r="G127" s="36" t="s">
        <v>16</v>
      </c>
      <c r="I127" s="39"/>
      <c r="K127" s="39"/>
      <c r="L127" s="43" t="s">
        <v>275</v>
      </c>
      <c r="N127" s="70">
        <f ca="1">SUMIFS(OFFSET(Assumptions!$I$90,0,MATCH($A127,Configurations,0)-1,COUNT(Assumptions!$A$90:$A$183),1),Assumptions!$D$90:$D$183,$B127&amp;$C127)</f>
        <v>0</v>
      </c>
      <c r="O127" s="313"/>
      <c r="P127" s="323"/>
      <c r="Q127" s="313"/>
      <c r="R127" s="50">
        <f t="shared" ref="R127:AU127" ca="1" si="92">IF(OR(R$99&lt;InServiceYr,R$99&gt;(InServiceYr+analysis_period-1)),0,IF($P127=0,$N127,$P127)*R$505)</f>
        <v>0</v>
      </c>
      <c r="S127" s="50">
        <f t="shared" ca="1" si="92"/>
        <v>0</v>
      </c>
      <c r="T127" s="50">
        <f t="shared" ca="1" si="92"/>
        <v>0</v>
      </c>
      <c r="U127" s="50">
        <f t="shared" ca="1" si="92"/>
        <v>0</v>
      </c>
      <c r="V127" s="50">
        <f t="shared" ca="1" si="92"/>
        <v>0</v>
      </c>
      <c r="W127" s="50">
        <f t="shared" ca="1" si="92"/>
        <v>0</v>
      </c>
      <c r="X127" s="50">
        <f t="shared" ca="1" si="92"/>
        <v>0</v>
      </c>
      <c r="Y127" s="50">
        <f t="shared" ca="1" si="92"/>
        <v>0</v>
      </c>
      <c r="Z127" s="50">
        <f t="shared" ca="1" si="92"/>
        <v>0</v>
      </c>
      <c r="AA127" s="50">
        <f t="shared" ca="1" si="92"/>
        <v>0</v>
      </c>
      <c r="AB127" s="50">
        <f t="shared" ca="1" si="92"/>
        <v>0</v>
      </c>
      <c r="AC127" s="50">
        <f t="shared" ca="1" si="92"/>
        <v>0</v>
      </c>
      <c r="AD127" s="50">
        <f t="shared" ca="1" si="92"/>
        <v>0</v>
      </c>
      <c r="AE127" s="50">
        <f t="shared" ca="1" si="92"/>
        <v>0</v>
      </c>
      <c r="AF127" s="50">
        <f t="shared" ca="1" si="92"/>
        <v>0</v>
      </c>
      <c r="AG127" s="50">
        <f t="shared" ca="1" si="92"/>
        <v>0</v>
      </c>
      <c r="AH127" s="50">
        <f t="shared" ca="1" si="92"/>
        <v>0</v>
      </c>
      <c r="AI127" s="50">
        <f t="shared" ca="1" si="92"/>
        <v>0</v>
      </c>
      <c r="AJ127" s="50">
        <f t="shared" ca="1" si="92"/>
        <v>0</v>
      </c>
      <c r="AK127" s="50">
        <f t="shared" ca="1" si="92"/>
        <v>0</v>
      </c>
      <c r="AL127" s="50">
        <f t="shared" si="92"/>
        <v>0</v>
      </c>
      <c r="AM127" s="50">
        <f t="shared" si="92"/>
        <v>0</v>
      </c>
      <c r="AN127" s="50">
        <f t="shared" si="92"/>
        <v>0</v>
      </c>
      <c r="AO127" s="50">
        <f t="shared" si="92"/>
        <v>0</v>
      </c>
      <c r="AP127" s="50">
        <f t="shared" si="92"/>
        <v>0</v>
      </c>
      <c r="AQ127" s="50">
        <f t="shared" si="92"/>
        <v>0</v>
      </c>
      <c r="AR127" s="50">
        <f t="shared" si="92"/>
        <v>0</v>
      </c>
      <c r="AS127" s="50">
        <f t="shared" si="92"/>
        <v>0</v>
      </c>
      <c r="AT127" s="50">
        <f t="shared" si="92"/>
        <v>0</v>
      </c>
      <c r="AU127" s="50">
        <f t="shared" si="92"/>
        <v>0</v>
      </c>
    </row>
    <row r="128" spans="1:47">
      <c r="A128" s="38" t="str">
        <f t="shared" si="87"/>
        <v>1X-</v>
      </c>
      <c r="B128" s="38" t="s">
        <v>257</v>
      </c>
      <c r="C128" s="38" t="str">
        <f t="shared" si="91"/>
        <v>Ash Conveyance &amp; Storage</v>
      </c>
      <c r="D128" s="186"/>
      <c r="E128" s="325"/>
      <c r="G128" s="36" t="s">
        <v>284</v>
      </c>
      <c r="I128" s="39"/>
      <c r="K128" s="39"/>
      <c r="L128" s="43" t="s">
        <v>293</v>
      </c>
      <c r="N128" s="70">
        <f ca="1">SUMIFS(OFFSET(Assumptions!$I$90,0,MATCH($A128,Configurations,0)-1,COUNT(Assumptions!$A$90:$A$183),1),Assumptions!$D$90:$D$183,$B128&amp;$C128)</f>
        <v>0</v>
      </c>
      <c r="O128" s="313"/>
      <c r="P128" s="323"/>
      <c r="Q128" s="313"/>
      <c r="R128" s="50">
        <f t="shared" ref="R128:AU128" ca="1" si="93">IF(OR(R$99&lt;InServiceYr,R$99&gt;(InServiceYr+analysis_period-1)),0,IF($P128=0,$N128,$P128)*R$501)</f>
        <v>0</v>
      </c>
      <c r="S128" s="50">
        <f t="shared" ca="1" si="93"/>
        <v>0</v>
      </c>
      <c r="T128" s="50">
        <f t="shared" ca="1" si="93"/>
        <v>0</v>
      </c>
      <c r="U128" s="50">
        <f t="shared" ca="1" si="93"/>
        <v>0</v>
      </c>
      <c r="V128" s="50">
        <f t="shared" ca="1" si="93"/>
        <v>0</v>
      </c>
      <c r="W128" s="50">
        <f t="shared" ca="1" si="93"/>
        <v>0</v>
      </c>
      <c r="X128" s="50">
        <f t="shared" ca="1" si="93"/>
        <v>0</v>
      </c>
      <c r="Y128" s="50">
        <f t="shared" ca="1" si="93"/>
        <v>0</v>
      </c>
      <c r="Z128" s="50">
        <f t="shared" ca="1" si="93"/>
        <v>0</v>
      </c>
      <c r="AA128" s="50">
        <f t="shared" ca="1" si="93"/>
        <v>0</v>
      </c>
      <c r="AB128" s="50">
        <f t="shared" ca="1" si="93"/>
        <v>0</v>
      </c>
      <c r="AC128" s="50">
        <f t="shared" ca="1" si="93"/>
        <v>0</v>
      </c>
      <c r="AD128" s="50">
        <f t="shared" ca="1" si="93"/>
        <v>0</v>
      </c>
      <c r="AE128" s="50">
        <f t="shared" ca="1" si="93"/>
        <v>0</v>
      </c>
      <c r="AF128" s="50">
        <f t="shared" ca="1" si="93"/>
        <v>0</v>
      </c>
      <c r="AG128" s="50">
        <f t="shared" ca="1" si="93"/>
        <v>0</v>
      </c>
      <c r="AH128" s="50">
        <f t="shared" ca="1" si="93"/>
        <v>0</v>
      </c>
      <c r="AI128" s="50">
        <f t="shared" ca="1" si="93"/>
        <v>0</v>
      </c>
      <c r="AJ128" s="50">
        <f t="shared" ca="1" si="93"/>
        <v>0</v>
      </c>
      <c r="AK128" s="50">
        <f t="shared" ca="1" si="93"/>
        <v>0</v>
      </c>
      <c r="AL128" s="50">
        <f t="shared" si="93"/>
        <v>0</v>
      </c>
      <c r="AM128" s="50">
        <f t="shared" si="93"/>
        <v>0</v>
      </c>
      <c r="AN128" s="50">
        <f t="shared" si="93"/>
        <v>0</v>
      </c>
      <c r="AO128" s="50">
        <f t="shared" si="93"/>
        <v>0</v>
      </c>
      <c r="AP128" s="50">
        <f t="shared" si="93"/>
        <v>0</v>
      </c>
      <c r="AQ128" s="50">
        <f t="shared" si="93"/>
        <v>0</v>
      </c>
      <c r="AR128" s="50">
        <f t="shared" si="93"/>
        <v>0</v>
      </c>
      <c r="AS128" s="50">
        <f t="shared" si="93"/>
        <v>0</v>
      </c>
      <c r="AT128" s="50">
        <f t="shared" si="93"/>
        <v>0</v>
      </c>
      <c r="AU128" s="50">
        <f t="shared" si="93"/>
        <v>0</v>
      </c>
    </row>
    <row r="129" spans="1:47">
      <c r="A129" s="38" t="str">
        <f t="shared" si="87"/>
        <v>1X-</v>
      </c>
      <c r="B129" s="38" t="s">
        <v>864</v>
      </c>
      <c r="C129" s="38" t="str">
        <f t="shared" si="91"/>
        <v>Ash Conveyance &amp; Storage</v>
      </c>
      <c r="D129" s="186">
        <f>GHGEsc</f>
        <v>0.02</v>
      </c>
      <c r="E129" s="325"/>
      <c r="G129" s="36" t="s">
        <v>865</v>
      </c>
      <c r="I129" s="39"/>
      <c r="K129" s="39"/>
      <c r="L129" s="43" t="s">
        <v>866</v>
      </c>
      <c r="N129" s="70">
        <f ca="1">SUMIFS(OFFSET(Assumptions!$I$90,0,MATCH($A129,Configurations,0)-1,COUNT(Assumptions!$A$90:$A$183),1),Assumptions!$D$90:$D$183,$B129&amp;$C129)</f>
        <v>0</v>
      </c>
      <c r="O129" s="313"/>
      <c r="P129" s="323"/>
      <c r="Q129" s="313"/>
      <c r="R129" s="50">
        <f t="shared" ref="R129:AU129" ca="1" si="94">IF(OR(R$99&lt;InServiceYr,R$99&gt;(InServiceYr+analysis_period-1)),0,IF($P129=0,$N129,$P129)*R$513)</f>
        <v>0</v>
      </c>
      <c r="S129" s="50">
        <f t="shared" ca="1" si="94"/>
        <v>0</v>
      </c>
      <c r="T129" s="50">
        <f t="shared" ca="1" si="94"/>
        <v>0</v>
      </c>
      <c r="U129" s="50">
        <f t="shared" ca="1" si="94"/>
        <v>0</v>
      </c>
      <c r="V129" s="50">
        <f t="shared" ca="1" si="94"/>
        <v>0</v>
      </c>
      <c r="W129" s="50">
        <f t="shared" ca="1" si="94"/>
        <v>0</v>
      </c>
      <c r="X129" s="50">
        <f t="shared" ca="1" si="94"/>
        <v>0</v>
      </c>
      <c r="Y129" s="50">
        <f t="shared" ca="1" si="94"/>
        <v>0</v>
      </c>
      <c r="Z129" s="50">
        <f t="shared" ca="1" si="94"/>
        <v>0</v>
      </c>
      <c r="AA129" s="50">
        <f t="shared" ca="1" si="94"/>
        <v>0</v>
      </c>
      <c r="AB129" s="50">
        <f t="shared" ca="1" si="94"/>
        <v>0</v>
      </c>
      <c r="AC129" s="50">
        <f t="shared" ca="1" si="94"/>
        <v>0</v>
      </c>
      <c r="AD129" s="50">
        <f t="shared" ca="1" si="94"/>
        <v>0</v>
      </c>
      <c r="AE129" s="50">
        <f t="shared" ca="1" si="94"/>
        <v>0</v>
      </c>
      <c r="AF129" s="50">
        <f t="shared" ca="1" si="94"/>
        <v>0</v>
      </c>
      <c r="AG129" s="50">
        <f t="shared" ca="1" si="94"/>
        <v>0</v>
      </c>
      <c r="AH129" s="50">
        <f t="shared" ca="1" si="94"/>
        <v>0</v>
      </c>
      <c r="AI129" s="50">
        <f t="shared" ca="1" si="94"/>
        <v>0</v>
      </c>
      <c r="AJ129" s="50">
        <f t="shared" ca="1" si="94"/>
        <v>0</v>
      </c>
      <c r="AK129" s="50">
        <f t="shared" ca="1" si="94"/>
        <v>0</v>
      </c>
      <c r="AL129" s="50">
        <f t="shared" si="94"/>
        <v>0</v>
      </c>
      <c r="AM129" s="50">
        <f t="shared" si="94"/>
        <v>0</v>
      </c>
      <c r="AN129" s="50">
        <f t="shared" si="94"/>
        <v>0</v>
      </c>
      <c r="AO129" s="50">
        <f t="shared" si="94"/>
        <v>0</v>
      </c>
      <c r="AP129" s="50">
        <f t="shared" si="94"/>
        <v>0</v>
      </c>
      <c r="AQ129" s="50">
        <f t="shared" si="94"/>
        <v>0</v>
      </c>
      <c r="AR129" s="50">
        <f t="shared" si="94"/>
        <v>0</v>
      </c>
      <c r="AS129" s="50">
        <f t="shared" si="94"/>
        <v>0</v>
      </c>
      <c r="AT129" s="50">
        <f t="shared" si="94"/>
        <v>0</v>
      </c>
      <c r="AU129" s="50">
        <f t="shared" si="94"/>
        <v>0</v>
      </c>
    </row>
    <row r="130" spans="1:47">
      <c r="A130" s="38" t="str">
        <f t="shared" si="87"/>
        <v>1X-</v>
      </c>
      <c r="B130" s="38" t="s">
        <v>273</v>
      </c>
      <c r="C130" s="38" t="str">
        <f>C128</f>
        <v>Ash Conveyance &amp; Storage</v>
      </c>
      <c r="D130" s="186">
        <f>LaborEsc</f>
        <v>0.02</v>
      </c>
      <c r="E130" s="325"/>
      <c r="G130" s="36" t="s">
        <v>291</v>
      </c>
      <c r="I130" s="39"/>
      <c r="K130" s="39"/>
      <c r="L130" s="43" t="str">
        <f>"["&amp;CostBaseYr&amp;" $]"</f>
        <v>[2013 $]</v>
      </c>
      <c r="N130" s="70">
        <f ca="1">SUMIFS(OFFSET(Assumptions!$I$90,0,MATCH($A130,Configurations,0)-1,COUNT(Assumptions!$A$90:$A$183),1),Assumptions!$D$90:$D$183,$B130&amp;$C130)</f>
        <v>0</v>
      </c>
      <c r="O130" s="313"/>
      <c r="P130" s="323"/>
      <c r="Q130" s="313"/>
      <c r="R130" s="50">
        <f t="shared" ref="R130:AU130" ca="1" si="95">IF(OR(R$99&lt;InServiceYr,R$99&gt;(InServiceYr+analysis_period-1)),0,IF($P130=0,$N130,$P130)*(1+$D130)^(R$99-CostBaseYr))*R$509</f>
        <v>0</v>
      </c>
      <c r="S130" s="50">
        <f t="shared" ca="1" si="95"/>
        <v>0</v>
      </c>
      <c r="T130" s="50">
        <f t="shared" ca="1" si="95"/>
        <v>0</v>
      </c>
      <c r="U130" s="50">
        <f t="shared" ca="1" si="95"/>
        <v>0</v>
      </c>
      <c r="V130" s="50">
        <f t="shared" ca="1" si="95"/>
        <v>0</v>
      </c>
      <c r="W130" s="50">
        <f t="shared" ca="1" si="95"/>
        <v>0</v>
      </c>
      <c r="X130" s="50">
        <f t="shared" ca="1" si="95"/>
        <v>0</v>
      </c>
      <c r="Y130" s="50">
        <f t="shared" ca="1" si="95"/>
        <v>0</v>
      </c>
      <c r="Z130" s="50">
        <f t="shared" ca="1" si="95"/>
        <v>0</v>
      </c>
      <c r="AA130" s="50">
        <f t="shared" ca="1" si="95"/>
        <v>0</v>
      </c>
      <c r="AB130" s="50">
        <f t="shared" ca="1" si="95"/>
        <v>0</v>
      </c>
      <c r="AC130" s="50">
        <f t="shared" ca="1" si="95"/>
        <v>0</v>
      </c>
      <c r="AD130" s="50">
        <f t="shared" ca="1" si="95"/>
        <v>0</v>
      </c>
      <c r="AE130" s="50">
        <f t="shared" ca="1" si="95"/>
        <v>0</v>
      </c>
      <c r="AF130" s="50">
        <f t="shared" ca="1" si="95"/>
        <v>0</v>
      </c>
      <c r="AG130" s="50">
        <f t="shared" ca="1" si="95"/>
        <v>0</v>
      </c>
      <c r="AH130" s="50">
        <f t="shared" ca="1" si="95"/>
        <v>0</v>
      </c>
      <c r="AI130" s="50">
        <f t="shared" ca="1" si="95"/>
        <v>0</v>
      </c>
      <c r="AJ130" s="50">
        <f t="shared" ca="1" si="95"/>
        <v>0</v>
      </c>
      <c r="AK130" s="50">
        <f t="shared" ca="1" si="95"/>
        <v>0</v>
      </c>
      <c r="AL130" s="50">
        <f t="shared" si="95"/>
        <v>0</v>
      </c>
      <c r="AM130" s="50">
        <f t="shared" si="95"/>
        <v>0</v>
      </c>
      <c r="AN130" s="50">
        <f t="shared" si="95"/>
        <v>0</v>
      </c>
      <c r="AO130" s="50">
        <f t="shared" si="95"/>
        <v>0</v>
      </c>
      <c r="AP130" s="50">
        <f t="shared" si="95"/>
        <v>0</v>
      </c>
      <c r="AQ130" s="50">
        <f t="shared" si="95"/>
        <v>0</v>
      </c>
      <c r="AR130" s="50">
        <f t="shared" si="95"/>
        <v>0</v>
      </c>
      <c r="AS130" s="50">
        <f t="shared" si="95"/>
        <v>0</v>
      </c>
      <c r="AT130" s="50">
        <f t="shared" si="95"/>
        <v>0</v>
      </c>
      <c r="AU130" s="50">
        <f t="shared" si="95"/>
        <v>0</v>
      </c>
    </row>
    <row r="131" spans="1:47">
      <c r="D131" s="186"/>
      <c r="E131" s="325"/>
      <c r="G131" s="39" t="s">
        <v>304</v>
      </c>
      <c r="I131" s="39"/>
      <c r="K131" s="39"/>
      <c r="L131" s="43"/>
      <c r="N131" s="70"/>
      <c r="O131" s="313"/>
      <c r="P131" s="70"/>
      <c r="Q131" s="313"/>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row>
    <row r="132" spans="1:47">
      <c r="A132" s="38" t="str">
        <f>$J$4&amp;"-"</f>
        <v>1X-</v>
      </c>
      <c r="B132" s="38" t="s">
        <v>265</v>
      </c>
      <c r="C132" s="38" t="str">
        <f>C123</f>
        <v>Ash Conveyance &amp; Storage</v>
      </c>
      <c r="D132" s="186"/>
      <c r="E132" s="325"/>
      <c r="G132" s="36" t="s">
        <v>108</v>
      </c>
      <c r="I132" s="39"/>
      <c r="K132" s="39"/>
      <c r="L132" s="43" t="s">
        <v>293</v>
      </c>
      <c r="N132" s="70">
        <f ca="1">SUMIFS(OFFSET(Assumptions!$I$90,0,MATCH($A132,Configurations,0)-1,COUNT(Assumptions!$A$90:$A$183),1),Assumptions!$D$90:$D$183,$B132&amp;$C132)</f>
        <v>0</v>
      </c>
      <c r="O132" s="313"/>
      <c r="P132" s="323"/>
      <c r="Q132" s="313"/>
      <c r="R132" s="50">
        <f t="shared" ref="R132:AU132" ca="1" si="96">IF(OR(R$99&lt;InServiceYr,R$99&gt;(InServiceYr+analysis_period-1)),0,IF($P132=0,$N132,$P132)*R$501)</f>
        <v>0</v>
      </c>
      <c r="S132" s="50">
        <f t="shared" ca="1" si="96"/>
        <v>0</v>
      </c>
      <c r="T132" s="50">
        <f t="shared" ca="1" si="96"/>
        <v>0</v>
      </c>
      <c r="U132" s="50">
        <f t="shared" ca="1" si="96"/>
        <v>0</v>
      </c>
      <c r="V132" s="50">
        <f t="shared" ca="1" si="96"/>
        <v>0</v>
      </c>
      <c r="W132" s="50">
        <f t="shared" ca="1" si="96"/>
        <v>0</v>
      </c>
      <c r="X132" s="50">
        <f t="shared" ca="1" si="96"/>
        <v>0</v>
      </c>
      <c r="Y132" s="50">
        <f t="shared" ca="1" si="96"/>
        <v>0</v>
      </c>
      <c r="Z132" s="50">
        <f t="shared" ca="1" si="96"/>
        <v>0</v>
      </c>
      <c r="AA132" s="50">
        <f t="shared" ca="1" si="96"/>
        <v>0</v>
      </c>
      <c r="AB132" s="50">
        <f t="shared" ca="1" si="96"/>
        <v>0</v>
      </c>
      <c r="AC132" s="50">
        <f t="shared" ca="1" si="96"/>
        <v>0</v>
      </c>
      <c r="AD132" s="50">
        <f t="shared" ca="1" si="96"/>
        <v>0</v>
      </c>
      <c r="AE132" s="50">
        <f t="shared" ca="1" si="96"/>
        <v>0</v>
      </c>
      <c r="AF132" s="50">
        <f t="shared" ca="1" si="96"/>
        <v>0</v>
      </c>
      <c r="AG132" s="50">
        <f t="shared" ca="1" si="96"/>
        <v>0</v>
      </c>
      <c r="AH132" s="50">
        <f t="shared" ca="1" si="96"/>
        <v>0</v>
      </c>
      <c r="AI132" s="50">
        <f t="shared" ca="1" si="96"/>
        <v>0</v>
      </c>
      <c r="AJ132" s="50">
        <f t="shared" ca="1" si="96"/>
        <v>0</v>
      </c>
      <c r="AK132" s="50">
        <f t="shared" ca="1" si="96"/>
        <v>0</v>
      </c>
      <c r="AL132" s="50">
        <f t="shared" si="96"/>
        <v>0</v>
      </c>
      <c r="AM132" s="50">
        <f t="shared" si="96"/>
        <v>0</v>
      </c>
      <c r="AN132" s="50">
        <f t="shared" si="96"/>
        <v>0</v>
      </c>
      <c r="AO132" s="50">
        <f t="shared" si="96"/>
        <v>0</v>
      </c>
      <c r="AP132" s="50">
        <f t="shared" si="96"/>
        <v>0</v>
      </c>
      <c r="AQ132" s="50">
        <f t="shared" si="96"/>
        <v>0</v>
      </c>
      <c r="AR132" s="50">
        <f t="shared" si="96"/>
        <v>0</v>
      </c>
      <c r="AS132" s="50">
        <f t="shared" si="96"/>
        <v>0</v>
      </c>
      <c r="AT132" s="50">
        <f t="shared" si="96"/>
        <v>0</v>
      </c>
      <c r="AU132" s="50">
        <f t="shared" si="96"/>
        <v>0</v>
      </c>
    </row>
    <row r="133" spans="1:47">
      <c r="A133" s="38" t="str">
        <f>$J$4&amp;"-"</f>
        <v>1X-</v>
      </c>
      <c r="B133" s="38" t="s">
        <v>289</v>
      </c>
      <c r="C133" s="38" t="str">
        <f>C123</f>
        <v>Ash Conveyance &amp; Storage</v>
      </c>
      <c r="D133" s="186">
        <f>LaborEsc</f>
        <v>0.02</v>
      </c>
      <c r="E133" s="325"/>
      <c r="G133" s="36" t="s">
        <v>292</v>
      </c>
      <c r="I133" s="39"/>
      <c r="K133" s="39"/>
      <c r="L133" s="43" t="str">
        <f>"["&amp;CostBaseYr&amp;" $]"</f>
        <v>[2013 $]</v>
      </c>
      <c r="N133" s="70">
        <f ca="1">SUMIFS(OFFSET(Assumptions!$I$90,0,MATCH($A133,Configurations,0)-1,COUNT(Assumptions!$A$90:$A$183),1),Assumptions!$D$90:$D$183,$B133&amp;$C133)</f>
        <v>0</v>
      </c>
      <c r="O133" s="313"/>
      <c r="P133" s="323"/>
      <c r="Q133" s="313"/>
      <c r="R133" s="50">
        <f t="shared" ref="R133:AU133" ca="1" si="97">IF(OR(R$99&lt;InServiceYr,R$99&gt;(InServiceYr+analysis_period-1)),0,IF($P133=0,$N133,$P133)*(1+$D133)^(R$99-CostBaseYr))</f>
        <v>0</v>
      </c>
      <c r="S133" s="50">
        <f t="shared" ca="1" si="97"/>
        <v>0</v>
      </c>
      <c r="T133" s="50">
        <f t="shared" ca="1" si="97"/>
        <v>0</v>
      </c>
      <c r="U133" s="50">
        <f t="shared" ca="1" si="97"/>
        <v>0</v>
      </c>
      <c r="V133" s="50">
        <f t="shared" ca="1" si="97"/>
        <v>0</v>
      </c>
      <c r="W133" s="50">
        <f t="shared" ca="1" si="97"/>
        <v>0</v>
      </c>
      <c r="X133" s="50">
        <f t="shared" ca="1" si="97"/>
        <v>0</v>
      </c>
      <c r="Y133" s="50">
        <f t="shared" ca="1" si="97"/>
        <v>0</v>
      </c>
      <c r="Z133" s="50">
        <f t="shared" ca="1" si="97"/>
        <v>0</v>
      </c>
      <c r="AA133" s="50">
        <f t="shared" ca="1" si="97"/>
        <v>0</v>
      </c>
      <c r="AB133" s="50">
        <f t="shared" ca="1" si="97"/>
        <v>0</v>
      </c>
      <c r="AC133" s="50">
        <f t="shared" ca="1" si="97"/>
        <v>0</v>
      </c>
      <c r="AD133" s="50">
        <f t="shared" ca="1" si="97"/>
        <v>0</v>
      </c>
      <c r="AE133" s="50">
        <f t="shared" ca="1" si="97"/>
        <v>0</v>
      </c>
      <c r="AF133" s="50">
        <f t="shared" ca="1" si="97"/>
        <v>0</v>
      </c>
      <c r="AG133" s="50">
        <f t="shared" ca="1" si="97"/>
        <v>0</v>
      </c>
      <c r="AH133" s="50">
        <f t="shared" ca="1" si="97"/>
        <v>0</v>
      </c>
      <c r="AI133" s="50">
        <f t="shared" ca="1" si="97"/>
        <v>0</v>
      </c>
      <c r="AJ133" s="50">
        <f t="shared" ca="1" si="97"/>
        <v>0</v>
      </c>
      <c r="AK133" s="50">
        <f t="shared" ca="1" si="97"/>
        <v>0</v>
      </c>
      <c r="AL133" s="50">
        <f t="shared" si="97"/>
        <v>0</v>
      </c>
      <c r="AM133" s="50">
        <f t="shared" si="97"/>
        <v>0</v>
      </c>
      <c r="AN133" s="50">
        <f t="shared" si="97"/>
        <v>0</v>
      </c>
      <c r="AO133" s="50">
        <f t="shared" si="97"/>
        <v>0</v>
      </c>
      <c r="AP133" s="50">
        <f t="shared" si="97"/>
        <v>0</v>
      </c>
      <c r="AQ133" s="50">
        <f t="shared" si="97"/>
        <v>0</v>
      </c>
      <c r="AR133" s="50">
        <f t="shared" si="97"/>
        <v>0</v>
      </c>
      <c r="AS133" s="50">
        <f t="shared" si="97"/>
        <v>0</v>
      </c>
      <c r="AT133" s="50">
        <f t="shared" si="97"/>
        <v>0</v>
      </c>
      <c r="AU133" s="50">
        <f t="shared" si="97"/>
        <v>0</v>
      </c>
    </row>
    <row r="134" spans="1:47">
      <c r="D134" s="186"/>
      <c r="E134" s="325"/>
      <c r="F134" s="60"/>
      <c r="G134" s="39" t="s">
        <v>305</v>
      </c>
      <c r="H134" s="60"/>
      <c r="I134" s="39"/>
      <c r="J134" s="60"/>
      <c r="K134" s="39"/>
      <c r="L134" s="174"/>
      <c r="M134" s="60"/>
      <c r="N134" s="188"/>
      <c r="O134" s="314"/>
      <c r="P134" s="185"/>
      <c r="Q134" s="314"/>
      <c r="R134" s="185">
        <f ca="1">SUM(R123:R130)-SUM(R132:R133)</f>
        <v>0</v>
      </c>
      <c r="S134" s="185">
        <f t="shared" ref="S134:AU134" ca="1" si="98">SUM(S123:S130)-SUM(S132:S133)</f>
        <v>0</v>
      </c>
      <c r="T134" s="185">
        <f t="shared" ca="1" si="98"/>
        <v>0</v>
      </c>
      <c r="U134" s="185">
        <f t="shared" ca="1" si="98"/>
        <v>0</v>
      </c>
      <c r="V134" s="185">
        <f t="shared" ca="1" si="98"/>
        <v>0</v>
      </c>
      <c r="W134" s="185">
        <f t="shared" ca="1" si="98"/>
        <v>0</v>
      </c>
      <c r="X134" s="185">
        <f t="shared" ca="1" si="98"/>
        <v>0</v>
      </c>
      <c r="Y134" s="185">
        <f t="shared" ca="1" si="98"/>
        <v>0</v>
      </c>
      <c r="Z134" s="185">
        <f t="shared" ca="1" si="98"/>
        <v>0</v>
      </c>
      <c r="AA134" s="185">
        <f t="shared" ca="1" si="98"/>
        <v>0</v>
      </c>
      <c r="AB134" s="185">
        <f t="shared" ca="1" si="98"/>
        <v>0</v>
      </c>
      <c r="AC134" s="185">
        <f t="shared" ca="1" si="98"/>
        <v>0</v>
      </c>
      <c r="AD134" s="185">
        <f t="shared" ca="1" si="98"/>
        <v>0</v>
      </c>
      <c r="AE134" s="185">
        <f t="shared" ca="1" si="98"/>
        <v>0</v>
      </c>
      <c r="AF134" s="185">
        <f t="shared" ca="1" si="98"/>
        <v>0</v>
      </c>
      <c r="AG134" s="185">
        <f t="shared" ca="1" si="98"/>
        <v>0</v>
      </c>
      <c r="AH134" s="185">
        <f t="shared" ca="1" si="98"/>
        <v>0</v>
      </c>
      <c r="AI134" s="185">
        <f t="shared" ca="1" si="98"/>
        <v>0</v>
      </c>
      <c r="AJ134" s="185">
        <f t="shared" ca="1" si="98"/>
        <v>0</v>
      </c>
      <c r="AK134" s="185">
        <f t="shared" ca="1" si="98"/>
        <v>0</v>
      </c>
      <c r="AL134" s="185">
        <f t="shared" si="98"/>
        <v>0</v>
      </c>
      <c r="AM134" s="185">
        <f t="shared" si="98"/>
        <v>0</v>
      </c>
      <c r="AN134" s="185">
        <f t="shared" si="98"/>
        <v>0</v>
      </c>
      <c r="AO134" s="185">
        <f t="shared" si="98"/>
        <v>0</v>
      </c>
      <c r="AP134" s="185">
        <f t="shared" si="98"/>
        <v>0</v>
      </c>
      <c r="AQ134" s="185">
        <f t="shared" si="98"/>
        <v>0</v>
      </c>
      <c r="AR134" s="185">
        <f t="shared" si="98"/>
        <v>0</v>
      </c>
      <c r="AS134" s="185">
        <f t="shared" si="98"/>
        <v>0</v>
      </c>
      <c r="AT134" s="185">
        <f t="shared" si="98"/>
        <v>0</v>
      </c>
      <c r="AU134" s="185">
        <f t="shared" si="98"/>
        <v>0</v>
      </c>
    </row>
    <row r="135" spans="1:47">
      <c r="G135" s="28"/>
      <c r="H135" s="28"/>
      <c r="I135" s="28"/>
      <c r="J135" s="28"/>
      <c r="K135" s="28"/>
      <c r="L135" s="409"/>
      <c r="M135" s="46"/>
      <c r="N135" s="46"/>
      <c r="O135" s="315"/>
      <c r="P135" s="46"/>
      <c r="Q135" s="315"/>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row>
    <row r="136" spans="1:47" s="255" customFormat="1">
      <c r="E136" s="327"/>
      <c r="F136" s="28"/>
      <c r="G136" s="324" t="str">
        <f>C138&amp;" Capital Costs"</f>
        <v>Belt Filter Press Dewatering Capital Costs</v>
      </c>
      <c r="H136" s="324"/>
      <c r="I136" s="324"/>
      <c r="J136" s="324"/>
      <c r="K136" s="324"/>
      <c r="L136" s="405" t="s">
        <v>79</v>
      </c>
      <c r="M136" s="256"/>
      <c r="N136" s="325" t="s">
        <v>490</v>
      </c>
      <c r="O136" s="311"/>
      <c r="P136" s="325" t="s">
        <v>491</v>
      </c>
      <c r="Q136" s="310"/>
      <c r="R136" s="325">
        <f>R$8</f>
        <v>2014</v>
      </c>
      <c r="S136" s="325">
        <f t="shared" ref="S136:AU136" si="99">S$8</f>
        <v>2015</v>
      </c>
      <c r="T136" s="325">
        <f t="shared" si="99"/>
        <v>2016</v>
      </c>
      <c r="U136" s="325">
        <f t="shared" si="99"/>
        <v>2017</v>
      </c>
      <c r="V136" s="325">
        <f t="shared" si="99"/>
        <v>2018</v>
      </c>
      <c r="W136" s="325">
        <f t="shared" si="99"/>
        <v>2019</v>
      </c>
      <c r="X136" s="325">
        <f t="shared" si="99"/>
        <v>2020</v>
      </c>
      <c r="Y136" s="325">
        <f t="shared" si="99"/>
        <v>2021</v>
      </c>
      <c r="Z136" s="325">
        <f t="shared" si="99"/>
        <v>2022</v>
      </c>
      <c r="AA136" s="325">
        <f t="shared" si="99"/>
        <v>2023</v>
      </c>
      <c r="AB136" s="325">
        <f t="shared" si="99"/>
        <v>2024</v>
      </c>
      <c r="AC136" s="325">
        <f t="shared" si="99"/>
        <v>2025</v>
      </c>
      <c r="AD136" s="325">
        <f t="shared" si="99"/>
        <v>2026</v>
      </c>
      <c r="AE136" s="325">
        <f t="shared" si="99"/>
        <v>2027</v>
      </c>
      <c r="AF136" s="325">
        <f t="shared" si="99"/>
        <v>2028</v>
      </c>
      <c r="AG136" s="325">
        <f t="shared" si="99"/>
        <v>2029</v>
      </c>
      <c r="AH136" s="325">
        <f t="shared" si="99"/>
        <v>2030</v>
      </c>
      <c r="AI136" s="325">
        <f t="shared" si="99"/>
        <v>2031</v>
      </c>
      <c r="AJ136" s="325">
        <f t="shared" si="99"/>
        <v>2032</v>
      </c>
      <c r="AK136" s="325">
        <f t="shared" si="99"/>
        <v>2033</v>
      </c>
      <c r="AL136" s="325">
        <f t="shared" si="99"/>
        <v>2034</v>
      </c>
      <c r="AM136" s="325">
        <f t="shared" si="99"/>
        <v>2035</v>
      </c>
      <c r="AN136" s="325">
        <f t="shared" si="99"/>
        <v>2036</v>
      </c>
      <c r="AO136" s="325">
        <f t="shared" si="99"/>
        <v>2037</v>
      </c>
      <c r="AP136" s="325">
        <f t="shared" si="99"/>
        <v>2038</v>
      </c>
      <c r="AQ136" s="325">
        <f t="shared" si="99"/>
        <v>2039</v>
      </c>
      <c r="AR136" s="325">
        <f t="shared" si="99"/>
        <v>2040</v>
      </c>
      <c r="AS136" s="325">
        <f t="shared" si="99"/>
        <v>2041</v>
      </c>
      <c r="AT136" s="325">
        <f t="shared" si="99"/>
        <v>2042</v>
      </c>
      <c r="AU136" s="325">
        <f t="shared" si="99"/>
        <v>2043</v>
      </c>
    </row>
    <row r="137" spans="1:47">
      <c r="E137" s="325"/>
      <c r="G137" s="39"/>
      <c r="H137" s="39"/>
      <c r="I137" s="39"/>
      <c r="J137" s="39"/>
      <c r="K137" s="39"/>
    </row>
    <row r="138" spans="1:47">
      <c r="A138" s="38" t="str">
        <f>$J$4&amp;"-"</f>
        <v>1X-</v>
      </c>
      <c r="B138" s="38" t="s">
        <v>306</v>
      </c>
      <c r="C138" s="38" t="s">
        <v>143</v>
      </c>
      <c r="D138" s="186">
        <f>CapExEsc</f>
        <v>0.03</v>
      </c>
      <c r="E138" s="325"/>
      <c r="G138" s="36" t="s">
        <v>8</v>
      </c>
      <c r="H138" s="39"/>
      <c r="I138" s="39"/>
      <c r="J138" s="70"/>
      <c r="K138" s="39"/>
      <c r="L138" s="43" t="str">
        <f>"["&amp;CostBaseYr&amp;" $]"</f>
        <v>[2013 $]</v>
      </c>
      <c r="N138" s="52">
        <f ca="1">SUMIFS(OFFSET(Assumptions!$I$65,0,MATCH($A138,Configurations,0)-1,COUNT(Assumptions!$A$65:$A$84),1),Assumptions!$E$65:$E$84,$C138)</f>
        <v>2603000</v>
      </c>
      <c r="O138" s="52"/>
      <c r="P138" s="322"/>
      <c r="Q138" s="52"/>
      <c r="R138" s="52">
        <f t="shared" ref="R138:AU138" ca="1" si="100">R139*IF($P138=0,$N138,$P138)*(1+$D138)^(R$8-CostBaseYr)</f>
        <v>2681090</v>
      </c>
      <c r="S138" s="52">
        <f t="shared" ca="1" si="100"/>
        <v>0</v>
      </c>
      <c r="T138" s="52">
        <f t="shared" ca="1" si="100"/>
        <v>0</v>
      </c>
      <c r="U138" s="52">
        <f t="shared" ca="1" si="100"/>
        <v>0</v>
      </c>
      <c r="V138" s="52">
        <f t="shared" ca="1" si="100"/>
        <v>0</v>
      </c>
      <c r="W138" s="52">
        <f t="shared" ca="1" si="100"/>
        <v>0</v>
      </c>
      <c r="X138" s="52">
        <f t="shared" ca="1" si="100"/>
        <v>0</v>
      </c>
      <c r="Y138" s="52">
        <f t="shared" ca="1" si="100"/>
        <v>0</v>
      </c>
      <c r="Z138" s="52">
        <f t="shared" ca="1" si="100"/>
        <v>0</v>
      </c>
      <c r="AA138" s="52">
        <f t="shared" ca="1" si="100"/>
        <v>0</v>
      </c>
      <c r="AB138" s="52">
        <f t="shared" ca="1" si="100"/>
        <v>0</v>
      </c>
      <c r="AC138" s="52">
        <f t="shared" ca="1" si="100"/>
        <v>0</v>
      </c>
      <c r="AD138" s="52">
        <f t="shared" ca="1" si="100"/>
        <v>0</v>
      </c>
      <c r="AE138" s="52">
        <f t="shared" ca="1" si="100"/>
        <v>0</v>
      </c>
      <c r="AF138" s="52">
        <f t="shared" ca="1" si="100"/>
        <v>0</v>
      </c>
      <c r="AG138" s="52">
        <f t="shared" ca="1" si="100"/>
        <v>0</v>
      </c>
      <c r="AH138" s="52">
        <f t="shared" ca="1" si="100"/>
        <v>0</v>
      </c>
      <c r="AI138" s="52">
        <f t="shared" ca="1" si="100"/>
        <v>0</v>
      </c>
      <c r="AJ138" s="52">
        <f t="shared" ca="1" si="100"/>
        <v>0</v>
      </c>
      <c r="AK138" s="52">
        <f t="shared" ca="1" si="100"/>
        <v>0</v>
      </c>
      <c r="AL138" s="52">
        <f t="shared" ca="1" si="100"/>
        <v>0</v>
      </c>
      <c r="AM138" s="52">
        <f t="shared" ca="1" si="100"/>
        <v>0</v>
      </c>
      <c r="AN138" s="52">
        <f t="shared" ca="1" si="100"/>
        <v>0</v>
      </c>
      <c r="AO138" s="52">
        <f t="shared" ca="1" si="100"/>
        <v>0</v>
      </c>
      <c r="AP138" s="52">
        <f t="shared" ca="1" si="100"/>
        <v>0</v>
      </c>
      <c r="AQ138" s="52">
        <f t="shared" ca="1" si="100"/>
        <v>0</v>
      </c>
      <c r="AR138" s="52">
        <f t="shared" ca="1" si="100"/>
        <v>0</v>
      </c>
      <c r="AS138" s="52">
        <f t="shared" ca="1" si="100"/>
        <v>0</v>
      </c>
      <c r="AT138" s="52">
        <f t="shared" ca="1" si="100"/>
        <v>0</v>
      </c>
      <c r="AU138" s="52">
        <f t="shared" ca="1" si="100"/>
        <v>0</v>
      </c>
    </row>
    <row r="139" spans="1:47">
      <c r="E139" s="325"/>
      <c r="G139" s="36" t="s">
        <v>10</v>
      </c>
      <c r="H139" s="39"/>
      <c r="I139" s="39"/>
      <c r="J139" s="39"/>
      <c r="K139" s="39"/>
      <c r="L139" s="43"/>
      <c r="R139" s="54">
        <f>Assumptions!M$60</f>
        <v>1</v>
      </c>
      <c r="S139" s="54">
        <f>Assumptions!N$60</f>
        <v>0</v>
      </c>
      <c r="T139" s="54">
        <f>Assumptions!O$60</f>
        <v>0</v>
      </c>
      <c r="U139" s="54">
        <f>Assumptions!P$60</f>
        <v>0</v>
      </c>
      <c r="V139" s="54">
        <f>Assumptions!Q$60</f>
        <v>0</v>
      </c>
      <c r="W139" s="54">
        <f>Assumptions!R$60</f>
        <v>0</v>
      </c>
      <c r="X139" s="54">
        <f>Assumptions!S$60</f>
        <v>0</v>
      </c>
      <c r="Y139" s="54">
        <f>Assumptions!T$60</f>
        <v>0</v>
      </c>
      <c r="Z139" s="54">
        <f>Assumptions!U$60</f>
        <v>0</v>
      </c>
      <c r="AA139" s="54">
        <f>Assumptions!V$60</f>
        <v>0</v>
      </c>
      <c r="AB139" s="54">
        <f>Assumptions!W$60</f>
        <v>0</v>
      </c>
      <c r="AC139" s="54">
        <f>Assumptions!X$60</f>
        <v>0</v>
      </c>
      <c r="AD139" s="54">
        <f>Assumptions!Y$60</f>
        <v>0</v>
      </c>
      <c r="AE139" s="54">
        <f>Assumptions!Z$60</f>
        <v>0</v>
      </c>
      <c r="AF139" s="54">
        <f>Assumptions!AA$60</f>
        <v>0</v>
      </c>
      <c r="AG139" s="54">
        <f>Assumptions!AB$60</f>
        <v>0</v>
      </c>
      <c r="AH139" s="54">
        <f>Assumptions!AC$60</f>
        <v>0</v>
      </c>
      <c r="AI139" s="54">
        <f>Assumptions!AD$60</f>
        <v>0</v>
      </c>
      <c r="AJ139" s="54">
        <f>Assumptions!AE$60</f>
        <v>0</v>
      </c>
      <c r="AK139" s="54">
        <f>Assumptions!AF$60</f>
        <v>0</v>
      </c>
      <c r="AL139" s="54">
        <f>Assumptions!AG$60</f>
        <v>0</v>
      </c>
      <c r="AM139" s="54">
        <f>Assumptions!AH$60</f>
        <v>0</v>
      </c>
      <c r="AN139" s="54">
        <f>Assumptions!AI$60</f>
        <v>0</v>
      </c>
      <c r="AO139" s="54">
        <f>Assumptions!AJ$60</f>
        <v>0</v>
      </c>
      <c r="AP139" s="54">
        <f>Assumptions!AK$60</f>
        <v>0</v>
      </c>
      <c r="AQ139" s="54">
        <f>Assumptions!AL$60</f>
        <v>0</v>
      </c>
      <c r="AR139" s="54">
        <f>Assumptions!AM$60</f>
        <v>0</v>
      </c>
      <c r="AS139" s="54">
        <f>Assumptions!AN$60</f>
        <v>0</v>
      </c>
      <c r="AT139" s="54">
        <f>Assumptions!AO$60</f>
        <v>0</v>
      </c>
      <c r="AU139" s="54">
        <f>Assumptions!AP$60</f>
        <v>0</v>
      </c>
    </row>
    <row r="140" spans="1:47">
      <c r="E140" s="326"/>
      <c r="G140" s="39"/>
      <c r="H140" s="39"/>
      <c r="I140" s="39"/>
      <c r="J140" s="39"/>
      <c r="K140" s="39"/>
    </row>
    <row r="141" spans="1:47">
      <c r="E141" s="327"/>
      <c r="F141" s="28"/>
      <c r="G141" s="324" t="str">
        <f>C138&amp;" O&amp;M"</f>
        <v>Belt Filter Press Dewatering O&amp;M</v>
      </c>
      <c r="H141" s="324"/>
      <c r="I141" s="324"/>
      <c r="J141" s="324"/>
      <c r="K141" s="324"/>
      <c r="L141" s="405" t="s">
        <v>79</v>
      </c>
      <c r="M141" s="256"/>
      <c r="N141" s="325" t="s">
        <v>490</v>
      </c>
      <c r="O141" s="311"/>
      <c r="P141" s="325" t="s">
        <v>491</v>
      </c>
      <c r="Q141" s="310"/>
      <c r="R141" s="325">
        <f>R$8</f>
        <v>2014</v>
      </c>
      <c r="S141" s="325">
        <f t="shared" ref="S141:AU141" si="101">S$8</f>
        <v>2015</v>
      </c>
      <c r="T141" s="325">
        <f t="shared" si="101"/>
        <v>2016</v>
      </c>
      <c r="U141" s="325">
        <f t="shared" si="101"/>
        <v>2017</v>
      </c>
      <c r="V141" s="325">
        <f t="shared" si="101"/>
        <v>2018</v>
      </c>
      <c r="W141" s="325">
        <f t="shared" si="101"/>
        <v>2019</v>
      </c>
      <c r="X141" s="325">
        <f t="shared" si="101"/>
        <v>2020</v>
      </c>
      <c r="Y141" s="325">
        <f t="shared" si="101"/>
        <v>2021</v>
      </c>
      <c r="Z141" s="325">
        <f t="shared" si="101"/>
        <v>2022</v>
      </c>
      <c r="AA141" s="325">
        <f t="shared" si="101"/>
        <v>2023</v>
      </c>
      <c r="AB141" s="325">
        <f t="shared" si="101"/>
        <v>2024</v>
      </c>
      <c r="AC141" s="325">
        <f t="shared" si="101"/>
        <v>2025</v>
      </c>
      <c r="AD141" s="325">
        <f t="shared" si="101"/>
        <v>2026</v>
      </c>
      <c r="AE141" s="325">
        <f t="shared" si="101"/>
        <v>2027</v>
      </c>
      <c r="AF141" s="325">
        <f t="shared" si="101"/>
        <v>2028</v>
      </c>
      <c r="AG141" s="325">
        <f t="shared" si="101"/>
        <v>2029</v>
      </c>
      <c r="AH141" s="325">
        <f t="shared" si="101"/>
        <v>2030</v>
      </c>
      <c r="AI141" s="325">
        <f t="shared" si="101"/>
        <v>2031</v>
      </c>
      <c r="AJ141" s="325">
        <f t="shared" si="101"/>
        <v>2032</v>
      </c>
      <c r="AK141" s="325">
        <f t="shared" si="101"/>
        <v>2033</v>
      </c>
      <c r="AL141" s="325">
        <f t="shared" si="101"/>
        <v>2034</v>
      </c>
      <c r="AM141" s="325">
        <f t="shared" si="101"/>
        <v>2035</v>
      </c>
      <c r="AN141" s="325">
        <f t="shared" si="101"/>
        <v>2036</v>
      </c>
      <c r="AO141" s="325">
        <f t="shared" si="101"/>
        <v>2037</v>
      </c>
      <c r="AP141" s="325">
        <f t="shared" si="101"/>
        <v>2038</v>
      </c>
      <c r="AQ141" s="325">
        <f t="shared" si="101"/>
        <v>2039</v>
      </c>
      <c r="AR141" s="325">
        <f t="shared" si="101"/>
        <v>2040</v>
      </c>
      <c r="AS141" s="325">
        <f t="shared" si="101"/>
        <v>2041</v>
      </c>
      <c r="AT141" s="325">
        <f t="shared" si="101"/>
        <v>2042</v>
      </c>
      <c r="AU141" s="325">
        <f t="shared" si="101"/>
        <v>2043</v>
      </c>
    </row>
    <row r="142" spans="1:47">
      <c r="E142" s="325"/>
      <c r="G142" s="39"/>
      <c r="H142" s="39"/>
      <c r="I142" s="39"/>
      <c r="J142" s="39"/>
      <c r="K142" s="39"/>
    </row>
    <row r="143" spans="1:47">
      <c r="E143" s="325"/>
      <c r="G143" s="39" t="s">
        <v>23</v>
      </c>
      <c r="H143" s="39"/>
      <c r="I143" s="39"/>
      <c r="J143" s="39"/>
      <c r="K143" s="39"/>
    </row>
    <row r="144" spans="1:47">
      <c r="A144" s="38" t="str">
        <f t="shared" ref="A144:A151" si="102">$J$4&amp;"-"</f>
        <v>1X-</v>
      </c>
      <c r="B144" s="38" t="s">
        <v>262</v>
      </c>
      <c r="C144" s="38" t="str">
        <f>C138</f>
        <v>Belt Filter Press Dewatering</v>
      </c>
      <c r="D144" s="186">
        <f>LaborEsc</f>
        <v>0.02</v>
      </c>
      <c r="E144" s="325"/>
      <c r="G144" s="36" t="s">
        <v>125</v>
      </c>
      <c r="I144" s="39"/>
      <c r="K144" s="39"/>
      <c r="L144" s="43" t="s">
        <v>266</v>
      </c>
      <c r="N144" s="70">
        <f ca="1">SUMIFS(OFFSET(Assumptions!$I$90,0,MATCH($A144,Configurations,0)-1,COUNT(Assumptions!$A$90:$A$183),1),Assumptions!$D$90:$D$183,$B144&amp;$C144)</f>
        <v>5110</v>
      </c>
      <c r="O144" s="313"/>
      <c r="P144" s="323"/>
      <c r="Q144" s="313"/>
      <c r="R144" s="50">
        <f t="shared" ref="R144:AU144" ca="1" si="103">IF(OR(R$99&lt;InServiceYr,R$99&gt;(InServiceYr+analysis_period-1)),0,IF($P144=0,$N144,$P144)*LaborCost*(1+$D144)^(R$99-CostBaseYr))</f>
        <v>182427</v>
      </c>
      <c r="S144" s="50">
        <f t="shared" ca="1" si="103"/>
        <v>186075.54</v>
      </c>
      <c r="T144" s="50">
        <f t="shared" ca="1" si="103"/>
        <v>189797.0508</v>
      </c>
      <c r="U144" s="50">
        <f t="shared" ca="1" si="103"/>
        <v>193592.99181599999</v>
      </c>
      <c r="V144" s="50">
        <f t="shared" ca="1" si="103"/>
        <v>197464.85165232001</v>
      </c>
      <c r="W144" s="50">
        <f t="shared" ca="1" si="103"/>
        <v>201414.14868536641</v>
      </c>
      <c r="X144" s="50">
        <f t="shared" ca="1" si="103"/>
        <v>205442.43165907369</v>
      </c>
      <c r="Y144" s="50">
        <f t="shared" ca="1" si="103"/>
        <v>209551.28029225519</v>
      </c>
      <c r="Z144" s="50">
        <f t="shared" ca="1" si="103"/>
        <v>213742.30589810028</v>
      </c>
      <c r="AA144" s="50">
        <f t="shared" ca="1" si="103"/>
        <v>218017.15201606232</v>
      </c>
      <c r="AB144" s="50">
        <f t="shared" ca="1" si="103"/>
        <v>222377.49505638352</v>
      </c>
      <c r="AC144" s="50">
        <f t="shared" ca="1" si="103"/>
        <v>226825.04495751121</v>
      </c>
      <c r="AD144" s="50">
        <f t="shared" ca="1" si="103"/>
        <v>231361.54585666143</v>
      </c>
      <c r="AE144" s="50">
        <f t="shared" ca="1" si="103"/>
        <v>235988.77677379467</v>
      </c>
      <c r="AF144" s="50">
        <f t="shared" ca="1" si="103"/>
        <v>240708.55230927051</v>
      </c>
      <c r="AG144" s="50">
        <f t="shared" ca="1" si="103"/>
        <v>245522.72335545596</v>
      </c>
      <c r="AH144" s="50">
        <f t="shared" ca="1" si="103"/>
        <v>250433.17782256511</v>
      </c>
      <c r="AI144" s="50">
        <f t="shared" ca="1" si="103"/>
        <v>255441.84137901638</v>
      </c>
      <c r="AJ144" s="50">
        <f t="shared" ca="1" si="103"/>
        <v>260550.6782065967</v>
      </c>
      <c r="AK144" s="50">
        <f t="shared" ca="1" si="103"/>
        <v>265761.69177072868</v>
      </c>
      <c r="AL144" s="50">
        <f t="shared" si="103"/>
        <v>0</v>
      </c>
      <c r="AM144" s="50">
        <f t="shared" si="103"/>
        <v>0</v>
      </c>
      <c r="AN144" s="50">
        <f t="shared" si="103"/>
        <v>0</v>
      </c>
      <c r="AO144" s="50">
        <f t="shared" si="103"/>
        <v>0</v>
      </c>
      <c r="AP144" s="50">
        <f t="shared" si="103"/>
        <v>0</v>
      </c>
      <c r="AQ144" s="50">
        <f t="shared" si="103"/>
        <v>0</v>
      </c>
      <c r="AR144" s="50">
        <f t="shared" si="103"/>
        <v>0</v>
      </c>
      <c r="AS144" s="50">
        <f t="shared" si="103"/>
        <v>0</v>
      </c>
      <c r="AT144" s="50">
        <f t="shared" si="103"/>
        <v>0</v>
      </c>
      <c r="AU144" s="50">
        <f t="shared" si="103"/>
        <v>0</v>
      </c>
    </row>
    <row r="145" spans="1:47">
      <c r="A145" s="38" t="str">
        <f t="shared" si="102"/>
        <v>1X-</v>
      </c>
      <c r="B145" s="38" t="s">
        <v>270</v>
      </c>
      <c r="C145" s="38" t="str">
        <f>C144</f>
        <v>Belt Filter Press Dewatering</v>
      </c>
      <c r="D145" s="186">
        <f>OMEsc</f>
        <v>0.02</v>
      </c>
      <c r="E145" s="325"/>
      <c r="G145" s="36" t="s">
        <v>126</v>
      </c>
      <c r="I145" s="39"/>
      <c r="K145" s="39"/>
      <c r="L145" s="43" t="str">
        <f>"["&amp;CostBaseYr&amp;" $]"</f>
        <v>[2013 $]</v>
      </c>
      <c r="N145" s="70">
        <f ca="1">SUMIFS(OFFSET(Assumptions!$I$90,0,MATCH($A145,Configurations,0)-1,COUNT(Assumptions!$A$90:$A$183),1),Assumptions!$D$90:$D$183,$B145&amp;$C145)</f>
        <v>36000</v>
      </c>
      <c r="O145" s="313"/>
      <c r="P145" s="323"/>
      <c r="Q145" s="313"/>
      <c r="R145" s="50">
        <f t="shared" ref="R145:AG147" ca="1" si="104">IF(OR(R$99&lt;InServiceYr,R$99&gt;(InServiceYr+analysis_period-1)),0,IF($P145=0,$N145,$P145)*(1+$D145)^(R$99-CostBaseYr))</f>
        <v>36720</v>
      </c>
      <c r="S145" s="50">
        <f t="shared" ca="1" si="104"/>
        <v>37454.400000000001</v>
      </c>
      <c r="T145" s="50">
        <f t="shared" ca="1" si="104"/>
        <v>38203.487999999998</v>
      </c>
      <c r="U145" s="50">
        <f t="shared" ca="1" si="104"/>
        <v>38967.557759999996</v>
      </c>
      <c r="V145" s="50">
        <f t="shared" ca="1" si="104"/>
        <v>39746.908915200002</v>
      </c>
      <c r="W145" s="50">
        <f t="shared" ca="1" si="104"/>
        <v>40541.847093504002</v>
      </c>
      <c r="X145" s="50">
        <f t="shared" ca="1" si="104"/>
        <v>41352.68403537407</v>
      </c>
      <c r="Y145" s="50">
        <f t="shared" ca="1" si="104"/>
        <v>42179.737716081559</v>
      </c>
      <c r="Z145" s="50">
        <f t="shared" ca="1" si="104"/>
        <v>43023.332470403191</v>
      </c>
      <c r="AA145" s="50">
        <f t="shared" ca="1" si="104"/>
        <v>43883.799119811258</v>
      </c>
      <c r="AB145" s="50">
        <f t="shared" ca="1" si="104"/>
        <v>44761.475102207471</v>
      </c>
      <c r="AC145" s="50">
        <f t="shared" ca="1" si="104"/>
        <v>45656.70460425163</v>
      </c>
      <c r="AD145" s="50">
        <f t="shared" ca="1" si="104"/>
        <v>46569.838696336657</v>
      </c>
      <c r="AE145" s="50">
        <f t="shared" ca="1" si="104"/>
        <v>47501.235470263397</v>
      </c>
      <c r="AF145" s="50">
        <f t="shared" ca="1" si="104"/>
        <v>48451.26017966865</v>
      </c>
      <c r="AG145" s="50">
        <f t="shared" ca="1" si="104"/>
        <v>49420.285383262031</v>
      </c>
      <c r="AH145" s="50">
        <f t="shared" ref="S145:AU147" ca="1" si="105">IF(OR(AH$99&lt;InServiceYr,AH$99&gt;(InServiceYr+analysis_period-1)),0,IF($P145=0,$N145,$P145)*(1+$D145)^(AH$99-CostBaseYr))</f>
        <v>50408.691090927277</v>
      </c>
      <c r="AI145" s="50">
        <f t="shared" ca="1" si="105"/>
        <v>51416.864912745819</v>
      </c>
      <c r="AJ145" s="50">
        <f t="shared" ca="1" si="105"/>
        <v>52445.202211000731</v>
      </c>
      <c r="AK145" s="50">
        <f t="shared" ca="1" si="105"/>
        <v>53494.106255220751</v>
      </c>
      <c r="AL145" s="50">
        <f t="shared" si="105"/>
        <v>0</v>
      </c>
      <c r="AM145" s="50">
        <f t="shared" si="105"/>
        <v>0</v>
      </c>
      <c r="AN145" s="50">
        <f t="shared" si="105"/>
        <v>0</v>
      </c>
      <c r="AO145" s="50">
        <f t="shared" si="105"/>
        <v>0</v>
      </c>
      <c r="AP145" s="50">
        <f t="shared" si="105"/>
        <v>0</v>
      </c>
      <c r="AQ145" s="50">
        <f t="shared" si="105"/>
        <v>0</v>
      </c>
      <c r="AR145" s="50">
        <f t="shared" si="105"/>
        <v>0</v>
      </c>
      <c r="AS145" s="50">
        <f t="shared" si="105"/>
        <v>0</v>
      </c>
      <c r="AT145" s="50">
        <f t="shared" si="105"/>
        <v>0</v>
      </c>
      <c r="AU145" s="50">
        <f t="shared" si="105"/>
        <v>0</v>
      </c>
    </row>
    <row r="146" spans="1:47">
      <c r="A146" s="38" t="str">
        <f t="shared" si="102"/>
        <v>1X-</v>
      </c>
      <c r="B146" s="38" t="s">
        <v>263</v>
      </c>
      <c r="C146" s="38" t="str">
        <f t="shared" ref="C146:C150" si="106">C145</f>
        <v>Belt Filter Press Dewatering</v>
      </c>
      <c r="D146" s="186">
        <f>OMEsc</f>
        <v>0.02</v>
      </c>
      <c r="E146" s="325"/>
      <c r="G146" s="36" t="s">
        <v>127</v>
      </c>
      <c r="I146" s="39"/>
      <c r="K146" s="39"/>
      <c r="L146" s="43" t="str">
        <f>"["&amp;CostBaseYr&amp;" $]"</f>
        <v>[2013 $]</v>
      </c>
      <c r="N146" s="70">
        <f ca="1">SUMIFS(OFFSET(Assumptions!$I$90,0,MATCH($A146,Configurations,0)-1,COUNT(Assumptions!$A$90:$A$183),1),Assumptions!$D$90:$D$183,$B146&amp;$C146)</f>
        <v>91000</v>
      </c>
      <c r="O146" s="313"/>
      <c r="P146" s="323"/>
      <c r="Q146" s="313"/>
      <c r="R146" s="50">
        <f t="shared" ca="1" si="104"/>
        <v>92820</v>
      </c>
      <c r="S146" s="50">
        <f t="shared" ca="1" si="105"/>
        <v>94676.4</v>
      </c>
      <c r="T146" s="50">
        <f t="shared" ca="1" si="105"/>
        <v>96569.928</v>
      </c>
      <c r="U146" s="50">
        <f t="shared" ca="1" si="105"/>
        <v>98501.326560000001</v>
      </c>
      <c r="V146" s="50">
        <f t="shared" ca="1" si="105"/>
        <v>100471.3530912</v>
      </c>
      <c r="W146" s="50">
        <f t="shared" ca="1" si="105"/>
        <v>102480.78015302401</v>
      </c>
      <c r="X146" s="50">
        <f t="shared" ca="1" si="105"/>
        <v>104530.39575608446</v>
      </c>
      <c r="Y146" s="50">
        <f t="shared" ca="1" si="105"/>
        <v>106621.00367120616</v>
      </c>
      <c r="Z146" s="50">
        <f t="shared" ca="1" si="105"/>
        <v>108753.42374463029</v>
      </c>
      <c r="AA146" s="50">
        <f t="shared" ca="1" si="105"/>
        <v>110928.4922195229</v>
      </c>
      <c r="AB146" s="50">
        <f t="shared" ca="1" si="105"/>
        <v>113147.06206391333</v>
      </c>
      <c r="AC146" s="50">
        <f t="shared" ca="1" si="105"/>
        <v>115410.00330519163</v>
      </c>
      <c r="AD146" s="50">
        <f t="shared" ca="1" si="105"/>
        <v>117718.20337129544</v>
      </c>
      <c r="AE146" s="50">
        <f t="shared" ca="1" si="105"/>
        <v>120072.56743872137</v>
      </c>
      <c r="AF146" s="50">
        <f t="shared" ca="1" si="105"/>
        <v>122474.01878749576</v>
      </c>
      <c r="AG146" s="50">
        <f t="shared" ca="1" si="105"/>
        <v>124923.49916324569</v>
      </c>
      <c r="AH146" s="50">
        <f t="shared" ca="1" si="105"/>
        <v>127421.96914651062</v>
      </c>
      <c r="AI146" s="50">
        <f t="shared" ca="1" si="105"/>
        <v>129970.40852944081</v>
      </c>
      <c r="AJ146" s="50">
        <f t="shared" ca="1" si="105"/>
        <v>132569.81670002962</v>
      </c>
      <c r="AK146" s="50">
        <f t="shared" ca="1" si="105"/>
        <v>135221.21303403022</v>
      </c>
      <c r="AL146" s="50">
        <f t="shared" si="105"/>
        <v>0</v>
      </c>
      <c r="AM146" s="50">
        <f t="shared" si="105"/>
        <v>0</v>
      </c>
      <c r="AN146" s="50">
        <f t="shared" si="105"/>
        <v>0</v>
      </c>
      <c r="AO146" s="50">
        <f t="shared" si="105"/>
        <v>0</v>
      </c>
      <c r="AP146" s="50">
        <f t="shared" si="105"/>
        <v>0</v>
      </c>
      <c r="AQ146" s="50">
        <f t="shared" si="105"/>
        <v>0</v>
      </c>
      <c r="AR146" s="50">
        <f t="shared" si="105"/>
        <v>0</v>
      </c>
      <c r="AS146" s="50">
        <f t="shared" si="105"/>
        <v>0</v>
      </c>
      <c r="AT146" s="50">
        <f t="shared" si="105"/>
        <v>0</v>
      </c>
      <c r="AU146" s="50">
        <f t="shared" si="105"/>
        <v>0</v>
      </c>
    </row>
    <row r="147" spans="1:47">
      <c r="A147" s="38" t="str">
        <f t="shared" si="102"/>
        <v>1X-</v>
      </c>
      <c r="B147" s="38" t="s">
        <v>277</v>
      </c>
      <c r="C147" s="38" t="str">
        <f t="shared" si="106"/>
        <v>Belt Filter Press Dewatering</v>
      </c>
      <c r="D147" s="186">
        <f>OMEsc</f>
        <v>0.02</v>
      </c>
      <c r="E147" s="325"/>
      <c r="G147" s="36" t="s">
        <v>276</v>
      </c>
      <c r="I147" s="39"/>
      <c r="K147" s="39"/>
      <c r="L147" s="43" t="str">
        <f>"["&amp;CostBaseYr&amp;" $]"</f>
        <v>[2013 $]</v>
      </c>
      <c r="N147" s="70">
        <f ca="1">SUMIFS(OFFSET(Assumptions!$I$90,0,MATCH($A147,Configurations,0)-1,COUNT(Assumptions!$A$90:$A$183),1),Assumptions!$D$90:$D$183,$B147&amp;$C147)</f>
        <v>0</v>
      </c>
      <c r="O147" s="313"/>
      <c r="P147" s="323"/>
      <c r="Q147" s="313"/>
      <c r="R147" s="50">
        <f t="shared" ca="1" si="104"/>
        <v>0</v>
      </c>
      <c r="S147" s="50">
        <f t="shared" ca="1" si="105"/>
        <v>0</v>
      </c>
      <c r="T147" s="50">
        <f t="shared" ca="1" si="105"/>
        <v>0</v>
      </c>
      <c r="U147" s="50">
        <f t="shared" ca="1" si="105"/>
        <v>0</v>
      </c>
      <c r="V147" s="50">
        <f t="shared" ca="1" si="105"/>
        <v>0</v>
      </c>
      <c r="W147" s="50">
        <f t="shared" ca="1" si="105"/>
        <v>0</v>
      </c>
      <c r="X147" s="50">
        <f t="shared" ca="1" si="105"/>
        <v>0</v>
      </c>
      <c r="Y147" s="50">
        <f t="shared" ca="1" si="105"/>
        <v>0</v>
      </c>
      <c r="Z147" s="50">
        <f t="shared" ca="1" si="105"/>
        <v>0</v>
      </c>
      <c r="AA147" s="50">
        <f t="shared" ca="1" si="105"/>
        <v>0</v>
      </c>
      <c r="AB147" s="50">
        <f t="shared" ca="1" si="105"/>
        <v>0</v>
      </c>
      <c r="AC147" s="50">
        <f t="shared" ca="1" si="105"/>
        <v>0</v>
      </c>
      <c r="AD147" s="50">
        <f t="shared" ca="1" si="105"/>
        <v>0</v>
      </c>
      <c r="AE147" s="50">
        <f t="shared" ca="1" si="105"/>
        <v>0</v>
      </c>
      <c r="AF147" s="50">
        <f t="shared" ca="1" si="105"/>
        <v>0</v>
      </c>
      <c r="AG147" s="50">
        <f t="shared" ca="1" si="105"/>
        <v>0</v>
      </c>
      <c r="AH147" s="50">
        <f t="shared" ca="1" si="105"/>
        <v>0</v>
      </c>
      <c r="AI147" s="50">
        <f t="shared" ca="1" si="105"/>
        <v>0</v>
      </c>
      <c r="AJ147" s="50">
        <f t="shared" ca="1" si="105"/>
        <v>0</v>
      </c>
      <c r="AK147" s="50">
        <f t="shared" ca="1" si="105"/>
        <v>0</v>
      </c>
      <c r="AL147" s="50">
        <f t="shared" si="105"/>
        <v>0</v>
      </c>
      <c r="AM147" s="50">
        <f t="shared" si="105"/>
        <v>0</v>
      </c>
      <c r="AN147" s="50">
        <f t="shared" si="105"/>
        <v>0</v>
      </c>
      <c r="AO147" s="50">
        <f t="shared" si="105"/>
        <v>0</v>
      </c>
      <c r="AP147" s="50">
        <f t="shared" si="105"/>
        <v>0</v>
      </c>
      <c r="AQ147" s="50">
        <f t="shared" si="105"/>
        <v>0</v>
      </c>
      <c r="AR147" s="50">
        <f t="shared" si="105"/>
        <v>0</v>
      </c>
      <c r="AS147" s="50">
        <f t="shared" si="105"/>
        <v>0</v>
      </c>
      <c r="AT147" s="50">
        <f t="shared" si="105"/>
        <v>0</v>
      </c>
      <c r="AU147" s="50">
        <f t="shared" si="105"/>
        <v>0</v>
      </c>
    </row>
    <row r="148" spans="1:47">
      <c r="A148" s="38" t="str">
        <f t="shared" si="102"/>
        <v>1X-</v>
      </c>
      <c r="B148" s="38" t="s">
        <v>274</v>
      </c>
      <c r="C148" s="38" t="str">
        <f t="shared" si="106"/>
        <v>Belt Filter Press Dewatering</v>
      </c>
      <c r="D148" s="186"/>
      <c r="E148" s="325"/>
      <c r="G148" s="36" t="s">
        <v>16</v>
      </c>
      <c r="I148" s="39"/>
      <c r="K148" s="39"/>
      <c r="L148" s="43" t="s">
        <v>275</v>
      </c>
      <c r="N148" s="70">
        <f ca="1">SUMIFS(OFFSET(Assumptions!$I$90,0,MATCH($A148,Configurations,0)-1,COUNT(Assumptions!$A$90:$A$183),1),Assumptions!$D$90:$D$183,$B148&amp;$C148)</f>
        <v>0</v>
      </c>
      <c r="O148" s="313"/>
      <c r="P148" s="323"/>
      <c r="Q148" s="313"/>
      <c r="R148" s="50">
        <f t="shared" ref="R148:AU148" ca="1" si="107">IF(OR(R$99&lt;InServiceYr,R$99&gt;(InServiceYr+analysis_period-1)),0,IF($P148=0,$N148,$P148)*R$505)</f>
        <v>0</v>
      </c>
      <c r="S148" s="50">
        <f t="shared" ca="1" si="107"/>
        <v>0</v>
      </c>
      <c r="T148" s="50">
        <f t="shared" ca="1" si="107"/>
        <v>0</v>
      </c>
      <c r="U148" s="50">
        <f t="shared" ca="1" si="107"/>
        <v>0</v>
      </c>
      <c r="V148" s="50">
        <f t="shared" ca="1" si="107"/>
        <v>0</v>
      </c>
      <c r="W148" s="50">
        <f t="shared" ca="1" si="107"/>
        <v>0</v>
      </c>
      <c r="X148" s="50">
        <f t="shared" ca="1" si="107"/>
        <v>0</v>
      </c>
      <c r="Y148" s="50">
        <f t="shared" ca="1" si="107"/>
        <v>0</v>
      </c>
      <c r="Z148" s="50">
        <f t="shared" ca="1" si="107"/>
        <v>0</v>
      </c>
      <c r="AA148" s="50">
        <f t="shared" ca="1" si="107"/>
        <v>0</v>
      </c>
      <c r="AB148" s="50">
        <f t="shared" ca="1" si="107"/>
        <v>0</v>
      </c>
      <c r="AC148" s="50">
        <f t="shared" ca="1" si="107"/>
        <v>0</v>
      </c>
      <c r="AD148" s="50">
        <f t="shared" ca="1" si="107"/>
        <v>0</v>
      </c>
      <c r="AE148" s="50">
        <f t="shared" ca="1" si="107"/>
        <v>0</v>
      </c>
      <c r="AF148" s="50">
        <f t="shared" ca="1" si="107"/>
        <v>0</v>
      </c>
      <c r="AG148" s="50">
        <f t="shared" ca="1" si="107"/>
        <v>0</v>
      </c>
      <c r="AH148" s="50">
        <f t="shared" ca="1" si="107"/>
        <v>0</v>
      </c>
      <c r="AI148" s="50">
        <f t="shared" ca="1" si="107"/>
        <v>0</v>
      </c>
      <c r="AJ148" s="50">
        <f t="shared" ca="1" si="107"/>
        <v>0</v>
      </c>
      <c r="AK148" s="50">
        <f t="shared" ca="1" si="107"/>
        <v>0</v>
      </c>
      <c r="AL148" s="50">
        <f t="shared" si="107"/>
        <v>0</v>
      </c>
      <c r="AM148" s="50">
        <f t="shared" si="107"/>
        <v>0</v>
      </c>
      <c r="AN148" s="50">
        <f t="shared" si="107"/>
        <v>0</v>
      </c>
      <c r="AO148" s="50">
        <f t="shared" si="107"/>
        <v>0</v>
      </c>
      <c r="AP148" s="50">
        <f t="shared" si="107"/>
        <v>0</v>
      </c>
      <c r="AQ148" s="50">
        <f t="shared" si="107"/>
        <v>0</v>
      </c>
      <c r="AR148" s="50">
        <f t="shared" si="107"/>
        <v>0</v>
      </c>
      <c r="AS148" s="50">
        <f t="shared" si="107"/>
        <v>0</v>
      </c>
      <c r="AT148" s="50">
        <f t="shared" si="107"/>
        <v>0</v>
      </c>
      <c r="AU148" s="50">
        <f t="shared" si="107"/>
        <v>0</v>
      </c>
    </row>
    <row r="149" spans="1:47">
      <c r="A149" s="38" t="str">
        <f t="shared" si="102"/>
        <v>1X-</v>
      </c>
      <c r="B149" s="38" t="s">
        <v>257</v>
      </c>
      <c r="C149" s="38" t="str">
        <f t="shared" si="106"/>
        <v>Belt Filter Press Dewatering</v>
      </c>
      <c r="D149" s="186"/>
      <c r="E149" s="325"/>
      <c r="G149" s="36" t="s">
        <v>284</v>
      </c>
      <c r="I149" s="39"/>
      <c r="K149" s="39"/>
      <c r="L149" s="43" t="s">
        <v>293</v>
      </c>
      <c r="N149" s="70">
        <f ca="1">SUMIFS(OFFSET(Assumptions!$I$90,0,MATCH($A149,Configurations,0)-1,COUNT(Assumptions!$A$90:$A$183),1),Assumptions!$D$90:$D$183,$B149&amp;$C149)</f>
        <v>32490</v>
      </c>
      <c r="O149" s="313"/>
      <c r="P149" s="323"/>
      <c r="Q149" s="313"/>
      <c r="R149" s="50">
        <f t="shared" ref="R149:AU149" ca="1" si="108">IF(OR(R$99&lt;InServiceYr,R$99&gt;(InServiceYr+analysis_period-1)),0,IF($P149=0,$N149,$P149)*R$501)</f>
        <v>2098.2547564795068</v>
      </c>
      <c r="S149" s="50">
        <f t="shared" ca="1" si="108"/>
        <v>2111.3342931383763</v>
      </c>
      <c r="T149" s="50">
        <f t="shared" ca="1" si="108"/>
        <v>2202.3537909970146</v>
      </c>
      <c r="U149" s="50">
        <f t="shared" ca="1" si="108"/>
        <v>2268.4188936706396</v>
      </c>
      <c r="V149" s="50">
        <f t="shared" ca="1" si="108"/>
        <v>2323.1583602716419</v>
      </c>
      <c r="W149" s="50">
        <f t="shared" ca="1" si="108"/>
        <v>2352.8791821872192</v>
      </c>
      <c r="X149" s="50">
        <f t="shared" ca="1" si="108"/>
        <v>2391.166345682725</v>
      </c>
      <c r="Y149" s="50">
        <f t="shared" ca="1" si="108"/>
        <v>2450.0798143104926</v>
      </c>
      <c r="Z149" s="50">
        <f t="shared" ca="1" si="108"/>
        <v>2508.7363957116122</v>
      </c>
      <c r="AA149" s="50">
        <f t="shared" ca="1" si="108"/>
        <v>2571.4609674638173</v>
      </c>
      <c r="AB149" s="50">
        <f t="shared" ca="1" si="108"/>
        <v>2627.1583054959615</v>
      </c>
      <c r="AC149" s="50">
        <f t="shared" ca="1" si="108"/>
        <v>2677.7478082453536</v>
      </c>
      <c r="AD149" s="50">
        <f t="shared" ca="1" si="108"/>
        <v>2739.6032393419855</v>
      </c>
      <c r="AE149" s="50">
        <f t="shared" ca="1" si="108"/>
        <v>2802.0433408923659</v>
      </c>
      <c r="AF149" s="50">
        <f t="shared" ca="1" si="108"/>
        <v>2868.6664172445689</v>
      </c>
      <c r="AG149" s="50">
        <f t="shared" ca="1" si="108"/>
        <v>2943.2999662231368</v>
      </c>
      <c r="AH149" s="50">
        <f t="shared" ca="1" si="108"/>
        <v>3015.4327695606694</v>
      </c>
      <c r="AI149" s="50">
        <f t="shared" ca="1" si="108"/>
        <v>3093.657865612267</v>
      </c>
      <c r="AJ149" s="50">
        <f t="shared" ca="1" si="108"/>
        <v>3176.4704867682817</v>
      </c>
      <c r="AK149" s="50">
        <f t="shared" ca="1" si="108"/>
        <v>3262.880858397365</v>
      </c>
      <c r="AL149" s="50">
        <f t="shared" si="108"/>
        <v>0</v>
      </c>
      <c r="AM149" s="50">
        <f t="shared" si="108"/>
        <v>0</v>
      </c>
      <c r="AN149" s="50">
        <f t="shared" si="108"/>
        <v>0</v>
      </c>
      <c r="AO149" s="50">
        <f t="shared" si="108"/>
        <v>0</v>
      </c>
      <c r="AP149" s="50">
        <f t="shared" si="108"/>
        <v>0</v>
      </c>
      <c r="AQ149" s="50">
        <f t="shared" si="108"/>
        <v>0</v>
      </c>
      <c r="AR149" s="50">
        <f t="shared" si="108"/>
        <v>0</v>
      </c>
      <c r="AS149" s="50">
        <f t="shared" si="108"/>
        <v>0</v>
      </c>
      <c r="AT149" s="50">
        <f t="shared" si="108"/>
        <v>0</v>
      </c>
      <c r="AU149" s="50">
        <f t="shared" si="108"/>
        <v>0</v>
      </c>
    </row>
    <row r="150" spans="1:47">
      <c r="A150" s="38" t="str">
        <f t="shared" si="102"/>
        <v>1X-</v>
      </c>
      <c r="B150" s="38" t="s">
        <v>864</v>
      </c>
      <c r="C150" s="38" t="str">
        <f t="shared" si="106"/>
        <v>Belt Filter Press Dewatering</v>
      </c>
      <c r="D150" s="186">
        <f>GHGEsc</f>
        <v>0.02</v>
      </c>
      <c r="E150" s="325"/>
      <c r="G150" s="36" t="s">
        <v>865</v>
      </c>
      <c r="I150" s="39"/>
      <c r="K150" s="39"/>
      <c r="L150" s="43" t="s">
        <v>866</v>
      </c>
      <c r="N150" s="70">
        <f ca="1">SUMIFS(OFFSET(Assumptions!$I$90,0,MATCH($A150,Configurations,0)-1,COUNT(Assumptions!$A$90:$A$183),1),Assumptions!$D$90:$D$183,$B150&amp;$C150)</f>
        <v>0</v>
      </c>
      <c r="O150" s="313"/>
      <c r="P150" s="323"/>
      <c r="Q150" s="313"/>
      <c r="R150" s="50">
        <f t="shared" ref="R150:AU150" ca="1" si="109">IF(OR(R$99&lt;InServiceYr,R$99&gt;(InServiceYr+analysis_period-1)),0,IF($P150=0,$N150,$P150)*R$513)</f>
        <v>0</v>
      </c>
      <c r="S150" s="50">
        <f t="shared" ca="1" si="109"/>
        <v>0</v>
      </c>
      <c r="T150" s="50">
        <f t="shared" ca="1" si="109"/>
        <v>0</v>
      </c>
      <c r="U150" s="50">
        <f t="shared" ca="1" si="109"/>
        <v>0</v>
      </c>
      <c r="V150" s="50">
        <f t="shared" ca="1" si="109"/>
        <v>0</v>
      </c>
      <c r="W150" s="50">
        <f t="shared" ca="1" si="109"/>
        <v>0</v>
      </c>
      <c r="X150" s="50">
        <f t="shared" ca="1" si="109"/>
        <v>0</v>
      </c>
      <c r="Y150" s="50">
        <f t="shared" ca="1" si="109"/>
        <v>0</v>
      </c>
      <c r="Z150" s="50">
        <f t="shared" ca="1" si="109"/>
        <v>0</v>
      </c>
      <c r="AA150" s="50">
        <f t="shared" ca="1" si="109"/>
        <v>0</v>
      </c>
      <c r="AB150" s="50">
        <f t="shared" ca="1" si="109"/>
        <v>0</v>
      </c>
      <c r="AC150" s="50">
        <f t="shared" ca="1" si="109"/>
        <v>0</v>
      </c>
      <c r="AD150" s="50">
        <f t="shared" ca="1" si="109"/>
        <v>0</v>
      </c>
      <c r="AE150" s="50">
        <f t="shared" ca="1" si="109"/>
        <v>0</v>
      </c>
      <c r="AF150" s="50">
        <f t="shared" ca="1" si="109"/>
        <v>0</v>
      </c>
      <c r="AG150" s="50">
        <f t="shared" ca="1" si="109"/>
        <v>0</v>
      </c>
      <c r="AH150" s="50">
        <f t="shared" ca="1" si="109"/>
        <v>0</v>
      </c>
      <c r="AI150" s="50">
        <f t="shared" ca="1" si="109"/>
        <v>0</v>
      </c>
      <c r="AJ150" s="50">
        <f t="shared" ca="1" si="109"/>
        <v>0</v>
      </c>
      <c r="AK150" s="50">
        <f t="shared" ca="1" si="109"/>
        <v>0</v>
      </c>
      <c r="AL150" s="50">
        <f t="shared" si="109"/>
        <v>0</v>
      </c>
      <c r="AM150" s="50">
        <f t="shared" si="109"/>
        <v>0</v>
      </c>
      <c r="AN150" s="50">
        <f t="shared" si="109"/>
        <v>0</v>
      </c>
      <c r="AO150" s="50">
        <f t="shared" si="109"/>
        <v>0</v>
      </c>
      <c r="AP150" s="50">
        <f t="shared" si="109"/>
        <v>0</v>
      </c>
      <c r="AQ150" s="50">
        <f t="shared" si="109"/>
        <v>0</v>
      </c>
      <c r="AR150" s="50">
        <f t="shared" si="109"/>
        <v>0</v>
      </c>
      <c r="AS150" s="50">
        <f t="shared" si="109"/>
        <v>0</v>
      </c>
      <c r="AT150" s="50">
        <f t="shared" si="109"/>
        <v>0</v>
      </c>
      <c r="AU150" s="50">
        <f t="shared" si="109"/>
        <v>0</v>
      </c>
    </row>
    <row r="151" spans="1:47">
      <c r="A151" s="38" t="str">
        <f t="shared" si="102"/>
        <v>1X-</v>
      </c>
      <c r="B151" s="38" t="s">
        <v>273</v>
      </c>
      <c r="C151" s="38" t="str">
        <f>C149</f>
        <v>Belt Filter Press Dewatering</v>
      </c>
      <c r="D151" s="186">
        <f>LaborEsc</f>
        <v>0.02</v>
      </c>
      <c r="E151" s="325"/>
      <c r="G151" s="36" t="s">
        <v>291</v>
      </c>
      <c r="I151" s="39"/>
      <c r="K151" s="39"/>
      <c r="L151" s="43" t="str">
        <f>"["&amp;CostBaseYr&amp;" $]"</f>
        <v>[2013 $]</v>
      </c>
      <c r="N151" s="70">
        <f ca="1">SUMIFS(OFFSET(Assumptions!$I$90,0,MATCH($A151,Configurations,0)-1,COUNT(Assumptions!$A$90:$A$183),1),Assumptions!$D$90:$D$183,$B151&amp;$C151)</f>
        <v>0</v>
      </c>
      <c r="O151" s="313"/>
      <c r="P151" s="323"/>
      <c r="Q151" s="313"/>
      <c r="R151" s="50">
        <f t="shared" ref="R151:AU151" ca="1" si="110">IF(OR(R$99&lt;InServiceYr,R$99&gt;(InServiceYr+analysis_period-1)),0,IF($P151=0,$N151,$P151)*(1+$D151)^(R$99-CostBaseYr))*R$509</f>
        <v>0</v>
      </c>
      <c r="S151" s="50">
        <f t="shared" ca="1" si="110"/>
        <v>0</v>
      </c>
      <c r="T151" s="50">
        <f t="shared" ca="1" si="110"/>
        <v>0</v>
      </c>
      <c r="U151" s="50">
        <f t="shared" ca="1" si="110"/>
        <v>0</v>
      </c>
      <c r="V151" s="50">
        <f t="shared" ca="1" si="110"/>
        <v>0</v>
      </c>
      <c r="W151" s="50">
        <f t="shared" ca="1" si="110"/>
        <v>0</v>
      </c>
      <c r="X151" s="50">
        <f t="shared" ca="1" si="110"/>
        <v>0</v>
      </c>
      <c r="Y151" s="50">
        <f t="shared" ca="1" si="110"/>
        <v>0</v>
      </c>
      <c r="Z151" s="50">
        <f t="shared" ca="1" si="110"/>
        <v>0</v>
      </c>
      <c r="AA151" s="50">
        <f t="shared" ca="1" si="110"/>
        <v>0</v>
      </c>
      <c r="AB151" s="50">
        <f t="shared" ca="1" si="110"/>
        <v>0</v>
      </c>
      <c r="AC151" s="50">
        <f t="shared" ca="1" si="110"/>
        <v>0</v>
      </c>
      <c r="AD151" s="50">
        <f t="shared" ca="1" si="110"/>
        <v>0</v>
      </c>
      <c r="AE151" s="50">
        <f t="shared" ca="1" si="110"/>
        <v>0</v>
      </c>
      <c r="AF151" s="50">
        <f t="shared" ca="1" si="110"/>
        <v>0</v>
      </c>
      <c r="AG151" s="50">
        <f t="shared" ca="1" si="110"/>
        <v>0</v>
      </c>
      <c r="AH151" s="50">
        <f t="shared" ca="1" si="110"/>
        <v>0</v>
      </c>
      <c r="AI151" s="50">
        <f t="shared" ca="1" si="110"/>
        <v>0</v>
      </c>
      <c r="AJ151" s="50">
        <f t="shared" ca="1" si="110"/>
        <v>0</v>
      </c>
      <c r="AK151" s="50">
        <f t="shared" ca="1" si="110"/>
        <v>0</v>
      </c>
      <c r="AL151" s="50">
        <f t="shared" si="110"/>
        <v>0</v>
      </c>
      <c r="AM151" s="50">
        <f t="shared" si="110"/>
        <v>0</v>
      </c>
      <c r="AN151" s="50">
        <f t="shared" si="110"/>
        <v>0</v>
      </c>
      <c r="AO151" s="50">
        <f t="shared" si="110"/>
        <v>0</v>
      </c>
      <c r="AP151" s="50">
        <f t="shared" si="110"/>
        <v>0</v>
      </c>
      <c r="AQ151" s="50">
        <f t="shared" si="110"/>
        <v>0</v>
      </c>
      <c r="AR151" s="50">
        <f t="shared" si="110"/>
        <v>0</v>
      </c>
      <c r="AS151" s="50">
        <f t="shared" si="110"/>
        <v>0</v>
      </c>
      <c r="AT151" s="50">
        <f t="shared" si="110"/>
        <v>0</v>
      </c>
      <c r="AU151" s="50">
        <f t="shared" si="110"/>
        <v>0</v>
      </c>
    </row>
    <row r="152" spans="1:47">
      <c r="D152" s="186"/>
      <c r="E152" s="325"/>
      <c r="G152" s="39" t="s">
        <v>304</v>
      </c>
      <c r="I152" s="39"/>
      <c r="K152" s="39"/>
      <c r="L152" s="43"/>
      <c r="N152" s="70"/>
      <c r="O152" s="313"/>
      <c r="P152" s="70"/>
      <c r="Q152" s="313"/>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row>
    <row r="153" spans="1:47">
      <c r="A153" s="38" t="str">
        <f>$J$4&amp;"-"</f>
        <v>1X-</v>
      </c>
      <c r="B153" s="38" t="s">
        <v>265</v>
      </c>
      <c r="C153" s="38" t="str">
        <f>C144</f>
        <v>Belt Filter Press Dewatering</v>
      </c>
      <c r="D153" s="186"/>
      <c r="E153" s="325"/>
      <c r="G153" s="36" t="s">
        <v>108</v>
      </c>
      <c r="I153" s="39"/>
      <c r="K153" s="39"/>
      <c r="L153" s="43" t="s">
        <v>293</v>
      </c>
      <c r="N153" s="70">
        <f ca="1">SUMIFS(OFFSET(Assumptions!$I$90,0,MATCH($A153,Configurations,0)-1,COUNT(Assumptions!$A$90:$A$183),1),Assumptions!$D$90:$D$183,$B153&amp;$C153)</f>
        <v>0</v>
      </c>
      <c r="O153" s="313"/>
      <c r="P153" s="323"/>
      <c r="Q153" s="313"/>
      <c r="R153" s="50">
        <f t="shared" ref="R153:AU153" ca="1" si="111">IF(OR(R$99&lt;InServiceYr,R$99&gt;(InServiceYr+analysis_period-1)),0,IF($P153=0,$N153,$P153)*R$501)</f>
        <v>0</v>
      </c>
      <c r="S153" s="50">
        <f t="shared" ca="1" si="111"/>
        <v>0</v>
      </c>
      <c r="T153" s="50">
        <f t="shared" ca="1" si="111"/>
        <v>0</v>
      </c>
      <c r="U153" s="50">
        <f t="shared" ca="1" si="111"/>
        <v>0</v>
      </c>
      <c r="V153" s="50">
        <f t="shared" ca="1" si="111"/>
        <v>0</v>
      </c>
      <c r="W153" s="50">
        <f t="shared" ca="1" si="111"/>
        <v>0</v>
      </c>
      <c r="X153" s="50">
        <f t="shared" ca="1" si="111"/>
        <v>0</v>
      </c>
      <c r="Y153" s="50">
        <f t="shared" ca="1" si="111"/>
        <v>0</v>
      </c>
      <c r="Z153" s="50">
        <f t="shared" ca="1" si="111"/>
        <v>0</v>
      </c>
      <c r="AA153" s="50">
        <f t="shared" ca="1" si="111"/>
        <v>0</v>
      </c>
      <c r="AB153" s="50">
        <f t="shared" ca="1" si="111"/>
        <v>0</v>
      </c>
      <c r="AC153" s="50">
        <f t="shared" ca="1" si="111"/>
        <v>0</v>
      </c>
      <c r="AD153" s="50">
        <f t="shared" ca="1" si="111"/>
        <v>0</v>
      </c>
      <c r="AE153" s="50">
        <f t="shared" ca="1" si="111"/>
        <v>0</v>
      </c>
      <c r="AF153" s="50">
        <f t="shared" ca="1" si="111"/>
        <v>0</v>
      </c>
      <c r="AG153" s="50">
        <f t="shared" ca="1" si="111"/>
        <v>0</v>
      </c>
      <c r="AH153" s="50">
        <f t="shared" ca="1" si="111"/>
        <v>0</v>
      </c>
      <c r="AI153" s="50">
        <f t="shared" ca="1" si="111"/>
        <v>0</v>
      </c>
      <c r="AJ153" s="50">
        <f t="shared" ca="1" si="111"/>
        <v>0</v>
      </c>
      <c r="AK153" s="50">
        <f t="shared" ca="1" si="111"/>
        <v>0</v>
      </c>
      <c r="AL153" s="50">
        <f t="shared" si="111"/>
        <v>0</v>
      </c>
      <c r="AM153" s="50">
        <f t="shared" si="111"/>
        <v>0</v>
      </c>
      <c r="AN153" s="50">
        <f t="shared" si="111"/>
        <v>0</v>
      </c>
      <c r="AO153" s="50">
        <f t="shared" si="111"/>
        <v>0</v>
      </c>
      <c r="AP153" s="50">
        <f t="shared" si="111"/>
        <v>0</v>
      </c>
      <c r="AQ153" s="50">
        <f t="shared" si="111"/>
        <v>0</v>
      </c>
      <c r="AR153" s="50">
        <f t="shared" si="111"/>
        <v>0</v>
      </c>
      <c r="AS153" s="50">
        <f t="shared" si="111"/>
        <v>0</v>
      </c>
      <c r="AT153" s="50">
        <f t="shared" si="111"/>
        <v>0</v>
      </c>
      <c r="AU153" s="50">
        <f t="shared" si="111"/>
        <v>0</v>
      </c>
    </row>
    <row r="154" spans="1:47">
      <c r="A154" s="38" t="str">
        <f>$J$4&amp;"-"</f>
        <v>1X-</v>
      </c>
      <c r="B154" s="38" t="s">
        <v>289</v>
      </c>
      <c r="C154" s="38" t="str">
        <f>C144</f>
        <v>Belt Filter Press Dewatering</v>
      </c>
      <c r="D154" s="186">
        <f>LaborEsc</f>
        <v>0.02</v>
      </c>
      <c r="E154" s="325"/>
      <c r="G154" s="36" t="s">
        <v>292</v>
      </c>
      <c r="I154" s="39"/>
      <c r="K154" s="39"/>
      <c r="L154" s="43" t="str">
        <f>"["&amp;CostBaseYr&amp;" $]"</f>
        <v>[2013 $]</v>
      </c>
      <c r="N154" s="70">
        <f ca="1">SUMIFS(OFFSET(Assumptions!$I$90,0,MATCH($A154,Configurations,0)-1,COUNT(Assumptions!$A$90:$A$183),1),Assumptions!$D$90:$D$183,$B154&amp;$C154)</f>
        <v>0</v>
      </c>
      <c r="O154" s="313"/>
      <c r="P154" s="323"/>
      <c r="Q154" s="313"/>
      <c r="R154" s="50">
        <f t="shared" ref="R154:AU154" ca="1" si="112">IF(OR(R$99&lt;InServiceYr,R$99&gt;(InServiceYr+analysis_period-1)),0,IF($P154=0,$N154,$P154)*(1+$D154)^(R$99-CostBaseYr))</f>
        <v>0</v>
      </c>
      <c r="S154" s="50">
        <f t="shared" ca="1" si="112"/>
        <v>0</v>
      </c>
      <c r="T154" s="50">
        <f t="shared" ca="1" si="112"/>
        <v>0</v>
      </c>
      <c r="U154" s="50">
        <f t="shared" ca="1" si="112"/>
        <v>0</v>
      </c>
      <c r="V154" s="50">
        <f t="shared" ca="1" si="112"/>
        <v>0</v>
      </c>
      <c r="W154" s="50">
        <f t="shared" ca="1" si="112"/>
        <v>0</v>
      </c>
      <c r="X154" s="50">
        <f t="shared" ca="1" si="112"/>
        <v>0</v>
      </c>
      <c r="Y154" s="50">
        <f t="shared" ca="1" si="112"/>
        <v>0</v>
      </c>
      <c r="Z154" s="50">
        <f t="shared" ca="1" si="112"/>
        <v>0</v>
      </c>
      <c r="AA154" s="50">
        <f t="shared" ca="1" si="112"/>
        <v>0</v>
      </c>
      <c r="AB154" s="50">
        <f t="shared" ca="1" si="112"/>
        <v>0</v>
      </c>
      <c r="AC154" s="50">
        <f t="shared" ca="1" si="112"/>
        <v>0</v>
      </c>
      <c r="AD154" s="50">
        <f t="shared" ca="1" si="112"/>
        <v>0</v>
      </c>
      <c r="AE154" s="50">
        <f t="shared" ca="1" si="112"/>
        <v>0</v>
      </c>
      <c r="AF154" s="50">
        <f t="shared" ca="1" si="112"/>
        <v>0</v>
      </c>
      <c r="AG154" s="50">
        <f t="shared" ca="1" si="112"/>
        <v>0</v>
      </c>
      <c r="AH154" s="50">
        <f t="shared" ca="1" si="112"/>
        <v>0</v>
      </c>
      <c r="AI154" s="50">
        <f t="shared" ca="1" si="112"/>
        <v>0</v>
      </c>
      <c r="AJ154" s="50">
        <f t="shared" ca="1" si="112"/>
        <v>0</v>
      </c>
      <c r="AK154" s="50">
        <f t="shared" ca="1" si="112"/>
        <v>0</v>
      </c>
      <c r="AL154" s="50">
        <f t="shared" si="112"/>
        <v>0</v>
      </c>
      <c r="AM154" s="50">
        <f t="shared" si="112"/>
        <v>0</v>
      </c>
      <c r="AN154" s="50">
        <f t="shared" si="112"/>
        <v>0</v>
      </c>
      <c r="AO154" s="50">
        <f t="shared" si="112"/>
        <v>0</v>
      </c>
      <c r="AP154" s="50">
        <f t="shared" si="112"/>
        <v>0</v>
      </c>
      <c r="AQ154" s="50">
        <f t="shared" si="112"/>
        <v>0</v>
      </c>
      <c r="AR154" s="50">
        <f t="shared" si="112"/>
        <v>0</v>
      </c>
      <c r="AS154" s="50">
        <f t="shared" si="112"/>
        <v>0</v>
      </c>
      <c r="AT154" s="50">
        <f t="shared" si="112"/>
        <v>0</v>
      </c>
      <c r="AU154" s="50">
        <f t="shared" si="112"/>
        <v>0</v>
      </c>
    </row>
    <row r="155" spans="1:47" s="60" customFormat="1">
      <c r="D155" s="187"/>
      <c r="E155" s="325"/>
      <c r="G155" s="39" t="s">
        <v>305</v>
      </c>
      <c r="I155" s="39"/>
      <c r="K155" s="39"/>
      <c r="L155" s="174"/>
      <c r="N155" s="188"/>
      <c r="O155" s="314"/>
      <c r="P155" s="185"/>
      <c r="Q155" s="314"/>
      <c r="R155" s="185">
        <f ca="1">SUM(R144:R151)-SUM(R153:R154)</f>
        <v>314065.25475647952</v>
      </c>
      <c r="S155" s="185">
        <f t="shared" ref="S155:AU155" ca="1" si="113">SUM(S144:S151)-SUM(S153:S154)</f>
        <v>320317.67429313832</v>
      </c>
      <c r="T155" s="185">
        <f t="shared" ca="1" si="113"/>
        <v>326772.820590997</v>
      </c>
      <c r="U155" s="185">
        <f t="shared" ca="1" si="113"/>
        <v>333330.29502967064</v>
      </c>
      <c r="V155" s="185">
        <f t="shared" ca="1" si="113"/>
        <v>340006.2720189917</v>
      </c>
      <c r="W155" s="185">
        <f t="shared" ca="1" si="113"/>
        <v>346789.65511408163</v>
      </c>
      <c r="X155" s="185">
        <f t="shared" ca="1" si="113"/>
        <v>353716.67779621499</v>
      </c>
      <c r="Y155" s="185">
        <f t="shared" ca="1" si="113"/>
        <v>360802.10149385338</v>
      </c>
      <c r="Z155" s="185">
        <f t="shared" ca="1" si="113"/>
        <v>368027.79850884539</v>
      </c>
      <c r="AA155" s="185">
        <f t="shared" ca="1" si="113"/>
        <v>375400.90432286024</v>
      </c>
      <c r="AB155" s="185">
        <f t="shared" ca="1" si="113"/>
        <v>382913.1905280003</v>
      </c>
      <c r="AC155" s="185">
        <f t="shared" ca="1" si="113"/>
        <v>390569.50067519984</v>
      </c>
      <c r="AD155" s="185">
        <f t="shared" ca="1" si="113"/>
        <v>398389.19116363546</v>
      </c>
      <c r="AE155" s="185">
        <f t="shared" ca="1" si="113"/>
        <v>406364.6230236718</v>
      </c>
      <c r="AF155" s="185">
        <f t="shared" ca="1" si="113"/>
        <v>414502.49769367953</v>
      </c>
      <c r="AG155" s="185">
        <f t="shared" ca="1" si="113"/>
        <v>422809.80786818679</v>
      </c>
      <c r="AH155" s="185">
        <f t="shared" ca="1" si="113"/>
        <v>431279.27082956367</v>
      </c>
      <c r="AI155" s="185">
        <f t="shared" ca="1" si="113"/>
        <v>439922.77268681524</v>
      </c>
      <c r="AJ155" s="185">
        <f t="shared" ca="1" si="113"/>
        <v>448742.1676043953</v>
      </c>
      <c r="AK155" s="185">
        <f t="shared" ca="1" si="113"/>
        <v>457739.89191837702</v>
      </c>
      <c r="AL155" s="185">
        <f t="shared" si="113"/>
        <v>0</v>
      </c>
      <c r="AM155" s="185">
        <f t="shared" si="113"/>
        <v>0</v>
      </c>
      <c r="AN155" s="185">
        <f t="shared" si="113"/>
        <v>0</v>
      </c>
      <c r="AO155" s="185">
        <f t="shared" si="113"/>
        <v>0</v>
      </c>
      <c r="AP155" s="185">
        <f t="shared" si="113"/>
        <v>0</v>
      </c>
      <c r="AQ155" s="185">
        <f t="shared" si="113"/>
        <v>0</v>
      </c>
      <c r="AR155" s="185">
        <f t="shared" si="113"/>
        <v>0</v>
      </c>
      <c r="AS155" s="185">
        <f t="shared" si="113"/>
        <v>0</v>
      </c>
      <c r="AT155" s="185">
        <f t="shared" si="113"/>
        <v>0</v>
      </c>
      <c r="AU155" s="185">
        <f t="shared" si="113"/>
        <v>0</v>
      </c>
    </row>
    <row r="156" spans="1:47">
      <c r="G156" s="28"/>
      <c r="H156" s="28"/>
      <c r="I156" s="28"/>
      <c r="J156" s="28"/>
      <c r="K156" s="28"/>
      <c r="L156" s="409"/>
      <c r="M156" s="46"/>
      <c r="N156" s="46"/>
      <c r="O156" s="315"/>
      <c r="P156" s="46"/>
      <c r="Q156" s="315"/>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row>
    <row r="157" spans="1:47">
      <c r="E157" s="327"/>
      <c r="F157" s="28"/>
      <c r="G157" s="324" t="str">
        <f>C159&amp;" Capital Costs"</f>
        <v>Cake Storage/Load Out Capital Costs</v>
      </c>
      <c r="H157" s="324"/>
      <c r="I157" s="324"/>
      <c r="J157" s="324"/>
      <c r="K157" s="324"/>
      <c r="L157" s="405" t="s">
        <v>79</v>
      </c>
      <c r="M157" s="256"/>
      <c r="N157" s="325" t="s">
        <v>490</v>
      </c>
      <c r="O157" s="311"/>
      <c r="P157" s="325" t="s">
        <v>491</v>
      </c>
      <c r="Q157" s="310"/>
      <c r="R157" s="325">
        <f>R$8</f>
        <v>2014</v>
      </c>
      <c r="S157" s="325">
        <f t="shared" ref="S157:AU157" si="114">S$8</f>
        <v>2015</v>
      </c>
      <c r="T157" s="325">
        <f t="shared" si="114"/>
        <v>2016</v>
      </c>
      <c r="U157" s="325">
        <f t="shared" si="114"/>
        <v>2017</v>
      </c>
      <c r="V157" s="325">
        <f t="shared" si="114"/>
        <v>2018</v>
      </c>
      <c r="W157" s="325">
        <f t="shared" si="114"/>
        <v>2019</v>
      </c>
      <c r="X157" s="325">
        <f t="shared" si="114"/>
        <v>2020</v>
      </c>
      <c r="Y157" s="325">
        <f t="shared" si="114"/>
        <v>2021</v>
      </c>
      <c r="Z157" s="325">
        <f t="shared" si="114"/>
        <v>2022</v>
      </c>
      <c r="AA157" s="325">
        <f t="shared" si="114"/>
        <v>2023</v>
      </c>
      <c r="AB157" s="325">
        <f t="shared" si="114"/>
        <v>2024</v>
      </c>
      <c r="AC157" s="325">
        <f t="shared" si="114"/>
        <v>2025</v>
      </c>
      <c r="AD157" s="325">
        <f t="shared" si="114"/>
        <v>2026</v>
      </c>
      <c r="AE157" s="325">
        <f t="shared" si="114"/>
        <v>2027</v>
      </c>
      <c r="AF157" s="325">
        <f t="shared" si="114"/>
        <v>2028</v>
      </c>
      <c r="AG157" s="325">
        <f t="shared" si="114"/>
        <v>2029</v>
      </c>
      <c r="AH157" s="325">
        <f t="shared" si="114"/>
        <v>2030</v>
      </c>
      <c r="AI157" s="325">
        <f t="shared" si="114"/>
        <v>2031</v>
      </c>
      <c r="AJ157" s="325">
        <f t="shared" si="114"/>
        <v>2032</v>
      </c>
      <c r="AK157" s="325">
        <f t="shared" si="114"/>
        <v>2033</v>
      </c>
      <c r="AL157" s="325">
        <f t="shared" si="114"/>
        <v>2034</v>
      </c>
      <c r="AM157" s="325">
        <f t="shared" si="114"/>
        <v>2035</v>
      </c>
      <c r="AN157" s="325">
        <f t="shared" si="114"/>
        <v>2036</v>
      </c>
      <c r="AO157" s="325">
        <f t="shared" si="114"/>
        <v>2037</v>
      </c>
      <c r="AP157" s="325">
        <f t="shared" si="114"/>
        <v>2038</v>
      </c>
      <c r="AQ157" s="325">
        <f t="shared" si="114"/>
        <v>2039</v>
      </c>
      <c r="AR157" s="325">
        <f t="shared" si="114"/>
        <v>2040</v>
      </c>
      <c r="AS157" s="325">
        <f t="shared" si="114"/>
        <v>2041</v>
      </c>
      <c r="AT157" s="325">
        <f t="shared" si="114"/>
        <v>2042</v>
      </c>
      <c r="AU157" s="325">
        <f t="shared" si="114"/>
        <v>2043</v>
      </c>
    </row>
    <row r="158" spans="1:47">
      <c r="E158" s="325"/>
      <c r="G158" s="39"/>
      <c r="H158" s="39"/>
      <c r="I158" s="39"/>
      <c r="J158" s="39"/>
      <c r="K158" s="39"/>
    </row>
    <row r="159" spans="1:47">
      <c r="A159" s="38" t="str">
        <f>$J$4&amp;"-"</f>
        <v>1X-</v>
      </c>
      <c r="B159" s="38" t="s">
        <v>306</v>
      </c>
      <c r="C159" s="38" t="s">
        <v>316</v>
      </c>
      <c r="D159" s="186">
        <f>CapExEsc</f>
        <v>0.03</v>
      </c>
      <c r="E159" s="325"/>
      <c r="G159" s="36" t="s">
        <v>8</v>
      </c>
      <c r="H159" s="39"/>
      <c r="I159" s="39"/>
      <c r="J159" s="70"/>
      <c r="K159" s="39"/>
      <c r="L159" s="43" t="str">
        <f>"["&amp;CostBaseYr&amp;" $]"</f>
        <v>[2013 $]</v>
      </c>
      <c r="N159" s="52">
        <f ca="1">SUMIFS(OFFSET(Assumptions!$I$65,0,MATCH($A159,Configurations,0)-1,COUNT(Assumptions!$A$65:$A$84),1),Assumptions!$E$65:$E$84,$C159)</f>
        <v>0</v>
      </c>
      <c r="O159" s="52"/>
      <c r="P159" s="322"/>
      <c r="Q159" s="52"/>
      <c r="R159" s="52">
        <f t="shared" ref="R159:AU159" ca="1" si="115">R160*IF($P159=0,$N159,$P159)*(1+$D159)^(R$8-CostBaseYr)</f>
        <v>0</v>
      </c>
      <c r="S159" s="52">
        <f t="shared" ca="1" si="115"/>
        <v>0</v>
      </c>
      <c r="T159" s="52">
        <f t="shared" ca="1" si="115"/>
        <v>0</v>
      </c>
      <c r="U159" s="52">
        <f t="shared" ca="1" si="115"/>
        <v>0</v>
      </c>
      <c r="V159" s="52">
        <f t="shared" ca="1" si="115"/>
        <v>0</v>
      </c>
      <c r="W159" s="52">
        <f t="shared" ca="1" si="115"/>
        <v>0</v>
      </c>
      <c r="X159" s="52">
        <f t="shared" ca="1" si="115"/>
        <v>0</v>
      </c>
      <c r="Y159" s="52">
        <f t="shared" ca="1" si="115"/>
        <v>0</v>
      </c>
      <c r="Z159" s="52">
        <f t="shared" ca="1" si="115"/>
        <v>0</v>
      </c>
      <c r="AA159" s="52">
        <f t="shared" ca="1" si="115"/>
        <v>0</v>
      </c>
      <c r="AB159" s="52">
        <f t="shared" ca="1" si="115"/>
        <v>0</v>
      </c>
      <c r="AC159" s="52">
        <f t="shared" ca="1" si="115"/>
        <v>0</v>
      </c>
      <c r="AD159" s="52">
        <f t="shared" ca="1" si="115"/>
        <v>0</v>
      </c>
      <c r="AE159" s="52">
        <f t="shared" ca="1" si="115"/>
        <v>0</v>
      </c>
      <c r="AF159" s="52">
        <f t="shared" ca="1" si="115"/>
        <v>0</v>
      </c>
      <c r="AG159" s="52">
        <f t="shared" ca="1" si="115"/>
        <v>0</v>
      </c>
      <c r="AH159" s="52">
        <f t="shared" ca="1" si="115"/>
        <v>0</v>
      </c>
      <c r="AI159" s="52">
        <f t="shared" ca="1" si="115"/>
        <v>0</v>
      </c>
      <c r="AJ159" s="52">
        <f t="shared" ca="1" si="115"/>
        <v>0</v>
      </c>
      <c r="AK159" s="52">
        <f t="shared" ca="1" si="115"/>
        <v>0</v>
      </c>
      <c r="AL159" s="52">
        <f t="shared" ca="1" si="115"/>
        <v>0</v>
      </c>
      <c r="AM159" s="52">
        <f t="shared" ca="1" si="115"/>
        <v>0</v>
      </c>
      <c r="AN159" s="52">
        <f t="shared" ca="1" si="115"/>
        <v>0</v>
      </c>
      <c r="AO159" s="52">
        <f t="shared" ca="1" si="115"/>
        <v>0</v>
      </c>
      <c r="AP159" s="52">
        <f t="shared" ca="1" si="115"/>
        <v>0</v>
      </c>
      <c r="AQ159" s="52">
        <f t="shared" ca="1" si="115"/>
        <v>0</v>
      </c>
      <c r="AR159" s="52">
        <f t="shared" ca="1" si="115"/>
        <v>0</v>
      </c>
      <c r="AS159" s="52">
        <f t="shared" ca="1" si="115"/>
        <v>0</v>
      </c>
      <c r="AT159" s="52">
        <f t="shared" ca="1" si="115"/>
        <v>0</v>
      </c>
      <c r="AU159" s="52">
        <f t="shared" ca="1" si="115"/>
        <v>0</v>
      </c>
    </row>
    <row r="160" spans="1:47">
      <c r="E160" s="325"/>
      <c r="G160" s="36" t="s">
        <v>10</v>
      </c>
      <c r="H160" s="39"/>
      <c r="I160" s="39"/>
      <c r="J160" s="39"/>
      <c r="K160" s="39"/>
      <c r="L160" s="43"/>
      <c r="R160" s="54">
        <f>Assumptions!M$60</f>
        <v>1</v>
      </c>
      <c r="S160" s="54">
        <f>Assumptions!N$60</f>
        <v>0</v>
      </c>
      <c r="T160" s="54">
        <f>Assumptions!O$60</f>
        <v>0</v>
      </c>
      <c r="U160" s="54">
        <f>Assumptions!P$60</f>
        <v>0</v>
      </c>
      <c r="V160" s="54">
        <f>Assumptions!Q$60</f>
        <v>0</v>
      </c>
      <c r="W160" s="54">
        <f>Assumptions!R$60</f>
        <v>0</v>
      </c>
      <c r="X160" s="54">
        <f>Assumptions!S$60</f>
        <v>0</v>
      </c>
      <c r="Y160" s="54">
        <f>Assumptions!T$60</f>
        <v>0</v>
      </c>
      <c r="Z160" s="54">
        <f>Assumptions!U$60</f>
        <v>0</v>
      </c>
      <c r="AA160" s="54">
        <f>Assumptions!V$60</f>
        <v>0</v>
      </c>
      <c r="AB160" s="54">
        <f>Assumptions!W$60</f>
        <v>0</v>
      </c>
      <c r="AC160" s="54">
        <f>Assumptions!X$60</f>
        <v>0</v>
      </c>
      <c r="AD160" s="54">
        <f>Assumptions!Y$60</f>
        <v>0</v>
      </c>
      <c r="AE160" s="54">
        <f>Assumptions!Z$60</f>
        <v>0</v>
      </c>
      <c r="AF160" s="54">
        <f>Assumptions!AA$60</f>
        <v>0</v>
      </c>
      <c r="AG160" s="54">
        <f>Assumptions!AB$60</f>
        <v>0</v>
      </c>
      <c r="AH160" s="54">
        <f>Assumptions!AC$60</f>
        <v>0</v>
      </c>
      <c r="AI160" s="54">
        <f>Assumptions!AD$60</f>
        <v>0</v>
      </c>
      <c r="AJ160" s="54">
        <f>Assumptions!AE$60</f>
        <v>0</v>
      </c>
      <c r="AK160" s="54">
        <f>Assumptions!AF$60</f>
        <v>0</v>
      </c>
      <c r="AL160" s="54">
        <f>Assumptions!AG$60</f>
        <v>0</v>
      </c>
      <c r="AM160" s="54">
        <f>Assumptions!AH$60</f>
        <v>0</v>
      </c>
      <c r="AN160" s="54">
        <f>Assumptions!AI$60</f>
        <v>0</v>
      </c>
      <c r="AO160" s="54">
        <f>Assumptions!AJ$60</f>
        <v>0</v>
      </c>
      <c r="AP160" s="54">
        <f>Assumptions!AK$60</f>
        <v>0</v>
      </c>
      <c r="AQ160" s="54">
        <f>Assumptions!AL$60</f>
        <v>0</v>
      </c>
      <c r="AR160" s="54">
        <f>Assumptions!AM$60</f>
        <v>0</v>
      </c>
      <c r="AS160" s="54">
        <f>Assumptions!AN$60</f>
        <v>0</v>
      </c>
      <c r="AT160" s="54">
        <f>Assumptions!AO$60</f>
        <v>0</v>
      </c>
      <c r="AU160" s="54">
        <f>Assumptions!AP$60</f>
        <v>0</v>
      </c>
    </row>
    <row r="161" spans="1:47">
      <c r="E161" s="326"/>
      <c r="G161" s="39"/>
      <c r="H161" s="39"/>
      <c r="I161" s="39"/>
      <c r="J161" s="39"/>
      <c r="K161" s="39"/>
    </row>
    <row r="162" spans="1:47">
      <c r="E162" s="327"/>
      <c r="F162" s="28"/>
      <c r="G162" s="324" t="str">
        <f>C159&amp;" O&amp;M"</f>
        <v>Cake Storage/Load Out O&amp;M</v>
      </c>
      <c r="H162" s="324"/>
      <c r="I162" s="324"/>
      <c r="J162" s="324"/>
      <c r="K162" s="324"/>
      <c r="L162" s="405" t="s">
        <v>79</v>
      </c>
      <c r="M162" s="256"/>
      <c r="N162" s="325" t="s">
        <v>490</v>
      </c>
      <c r="O162" s="311"/>
      <c r="P162" s="325" t="s">
        <v>491</v>
      </c>
      <c r="Q162" s="310"/>
      <c r="R162" s="325">
        <f>R$8</f>
        <v>2014</v>
      </c>
      <c r="S162" s="325">
        <f t="shared" ref="S162:AU162" si="116">S$8</f>
        <v>2015</v>
      </c>
      <c r="T162" s="325">
        <f t="shared" si="116"/>
        <v>2016</v>
      </c>
      <c r="U162" s="325">
        <f t="shared" si="116"/>
        <v>2017</v>
      </c>
      <c r="V162" s="325">
        <f t="shared" si="116"/>
        <v>2018</v>
      </c>
      <c r="W162" s="325">
        <f t="shared" si="116"/>
        <v>2019</v>
      </c>
      <c r="X162" s="325">
        <f t="shared" si="116"/>
        <v>2020</v>
      </c>
      <c r="Y162" s="325">
        <f t="shared" si="116"/>
        <v>2021</v>
      </c>
      <c r="Z162" s="325">
        <f t="shared" si="116"/>
        <v>2022</v>
      </c>
      <c r="AA162" s="325">
        <f t="shared" si="116"/>
        <v>2023</v>
      </c>
      <c r="AB162" s="325">
        <f t="shared" si="116"/>
        <v>2024</v>
      </c>
      <c r="AC162" s="325">
        <f t="shared" si="116"/>
        <v>2025</v>
      </c>
      <c r="AD162" s="325">
        <f t="shared" si="116"/>
        <v>2026</v>
      </c>
      <c r="AE162" s="325">
        <f t="shared" si="116"/>
        <v>2027</v>
      </c>
      <c r="AF162" s="325">
        <f t="shared" si="116"/>
        <v>2028</v>
      </c>
      <c r="AG162" s="325">
        <f t="shared" si="116"/>
        <v>2029</v>
      </c>
      <c r="AH162" s="325">
        <f t="shared" si="116"/>
        <v>2030</v>
      </c>
      <c r="AI162" s="325">
        <f t="shared" si="116"/>
        <v>2031</v>
      </c>
      <c r="AJ162" s="325">
        <f t="shared" si="116"/>
        <v>2032</v>
      </c>
      <c r="AK162" s="325">
        <f t="shared" si="116"/>
        <v>2033</v>
      </c>
      <c r="AL162" s="325">
        <f t="shared" si="116"/>
        <v>2034</v>
      </c>
      <c r="AM162" s="325">
        <f t="shared" si="116"/>
        <v>2035</v>
      </c>
      <c r="AN162" s="325">
        <f t="shared" si="116"/>
        <v>2036</v>
      </c>
      <c r="AO162" s="325">
        <f t="shared" si="116"/>
        <v>2037</v>
      </c>
      <c r="AP162" s="325">
        <f t="shared" si="116"/>
        <v>2038</v>
      </c>
      <c r="AQ162" s="325">
        <f t="shared" si="116"/>
        <v>2039</v>
      </c>
      <c r="AR162" s="325">
        <f t="shared" si="116"/>
        <v>2040</v>
      </c>
      <c r="AS162" s="325">
        <f t="shared" si="116"/>
        <v>2041</v>
      </c>
      <c r="AT162" s="325">
        <f t="shared" si="116"/>
        <v>2042</v>
      </c>
      <c r="AU162" s="325">
        <f t="shared" si="116"/>
        <v>2043</v>
      </c>
    </row>
    <row r="163" spans="1:47">
      <c r="E163" s="325"/>
      <c r="G163" s="39"/>
      <c r="H163" s="39"/>
      <c r="I163" s="39"/>
      <c r="J163" s="39"/>
      <c r="K163" s="39"/>
    </row>
    <row r="164" spans="1:47">
      <c r="E164" s="325"/>
      <c r="G164" s="39" t="s">
        <v>23</v>
      </c>
      <c r="H164" s="39"/>
      <c r="I164" s="39"/>
      <c r="J164" s="39"/>
      <c r="K164" s="39"/>
    </row>
    <row r="165" spans="1:47">
      <c r="A165" s="38" t="str">
        <f t="shared" ref="A165:A172" si="117">$J$4&amp;"-"</f>
        <v>1X-</v>
      </c>
      <c r="B165" s="38" t="s">
        <v>262</v>
      </c>
      <c r="C165" s="38" t="str">
        <f>C159</f>
        <v>Cake Storage/Load Out</v>
      </c>
      <c r="D165" s="186">
        <f>LaborEsc</f>
        <v>0.02</v>
      </c>
      <c r="E165" s="325"/>
      <c r="G165" s="36" t="s">
        <v>125</v>
      </c>
      <c r="I165" s="39"/>
      <c r="K165" s="39"/>
      <c r="L165" s="43" t="s">
        <v>266</v>
      </c>
      <c r="N165" s="70">
        <f ca="1">SUMIFS(OFFSET(Assumptions!$I$90,0,MATCH($A165,Configurations,0)-1,COUNT(Assumptions!$A$90:$A$183),1),Assumptions!$D$90:$D$183,$B165&amp;$C165)</f>
        <v>0</v>
      </c>
      <c r="O165" s="313"/>
      <c r="P165" s="323"/>
      <c r="Q165" s="313"/>
      <c r="R165" s="50">
        <f t="shared" ref="R165:AU165" ca="1" si="118">IF(OR(R$99&lt;InServiceYr,R$99&gt;(InServiceYr+analysis_period-1)),0,IF($P165=0,$N165,$P165)*LaborCost*(1+$D165)^(R$99-CostBaseYr))</f>
        <v>0</v>
      </c>
      <c r="S165" s="50">
        <f t="shared" ca="1" si="118"/>
        <v>0</v>
      </c>
      <c r="T165" s="50">
        <f t="shared" ca="1" si="118"/>
        <v>0</v>
      </c>
      <c r="U165" s="50">
        <f t="shared" ca="1" si="118"/>
        <v>0</v>
      </c>
      <c r="V165" s="50">
        <f t="shared" ca="1" si="118"/>
        <v>0</v>
      </c>
      <c r="W165" s="50">
        <f t="shared" ca="1" si="118"/>
        <v>0</v>
      </c>
      <c r="X165" s="50">
        <f t="shared" ca="1" si="118"/>
        <v>0</v>
      </c>
      <c r="Y165" s="50">
        <f t="shared" ca="1" si="118"/>
        <v>0</v>
      </c>
      <c r="Z165" s="50">
        <f t="shared" ca="1" si="118"/>
        <v>0</v>
      </c>
      <c r="AA165" s="50">
        <f t="shared" ca="1" si="118"/>
        <v>0</v>
      </c>
      <c r="AB165" s="50">
        <f t="shared" ca="1" si="118"/>
        <v>0</v>
      </c>
      <c r="AC165" s="50">
        <f t="shared" ca="1" si="118"/>
        <v>0</v>
      </c>
      <c r="AD165" s="50">
        <f t="shared" ca="1" si="118"/>
        <v>0</v>
      </c>
      <c r="AE165" s="50">
        <f t="shared" ca="1" si="118"/>
        <v>0</v>
      </c>
      <c r="AF165" s="50">
        <f t="shared" ca="1" si="118"/>
        <v>0</v>
      </c>
      <c r="AG165" s="50">
        <f t="shared" ca="1" si="118"/>
        <v>0</v>
      </c>
      <c r="AH165" s="50">
        <f t="shared" ca="1" si="118"/>
        <v>0</v>
      </c>
      <c r="AI165" s="50">
        <f t="shared" ca="1" si="118"/>
        <v>0</v>
      </c>
      <c r="AJ165" s="50">
        <f t="shared" ca="1" si="118"/>
        <v>0</v>
      </c>
      <c r="AK165" s="50">
        <f t="shared" ca="1" si="118"/>
        <v>0</v>
      </c>
      <c r="AL165" s="50">
        <f t="shared" si="118"/>
        <v>0</v>
      </c>
      <c r="AM165" s="50">
        <f t="shared" si="118"/>
        <v>0</v>
      </c>
      <c r="AN165" s="50">
        <f t="shared" si="118"/>
        <v>0</v>
      </c>
      <c r="AO165" s="50">
        <f t="shared" si="118"/>
        <v>0</v>
      </c>
      <c r="AP165" s="50">
        <f t="shared" si="118"/>
        <v>0</v>
      </c>
      <c r="AQ165" s="50">
        <f t="shared" si="118"/>
        <v>0</v>
      </c>
      <c r="AR165" s="50">
        <f t="shared" si="118"/>
        <v>0</v>
      </c>
      <c r="AS165" s="50">
        <f t="shared" si="118"/>
        <v>0</v>
      </c>
      <c r="AT165" s="50">
        <f t="shared" si="118"/>
        <v>0</v>
      </c>
      <c r="AU165" s="50">
        <f t="shared" si="118"/>
        <v>0</v>
      </c>
    </row>
    <row r="166" spans="1:47">
      <c r="A166" s="38" t="str">
        <f t="shared" si="117"/>
        <v>1X-</v>
      </c>
      <c r="B166" s="38" t="s">
        <v>270</v>
      </c>
      <c r="C166" s="38" t="str">
        <f>C165</f>
        <v>Cake Storage/Load Out</v>
      </c>
      <c r="D166" s="186">
        <f>OMEsc</f>
        <v>0.02</v>
      </c>
      <c r="E166" s="325"/>
      <c r="G166" s="36" t="s">
        <v>126</v>
      </c>
      <c r="I166" s="39"/>
      <c r="K166" s="39"/>
      <c r="L166" s="43" t="str">
        <f>"["&amp;CostBaseYr&amp;" $]"</f>
        <v>[2013 $]</v>
      </c>
      <c r="N166" s="70">
        <f ca="1">SUMIFS(OFFSET(Assumptions!$I$90,0,MATCH($A166,Configurations,0)-1,COUNT(Assumptions!$A$90:$A$183),1),Assumptions!$D$90:$D$183,$B166&amp;$C166)</f>
        <v>0</v>
      </c>
      <c r="O166" s="313"/>
      <c r="P166" s="323"/>
      <c r="Q166" s="313"/>
      <c r="R166" s="50">
        <f t="shared" ref="R166:AG168" ca="1" si="119">IF(OR(R$99&lt;InServiceYr,R$99&gt;(InServiceYr+analysis_period-1)),0,IF($P166=0,$N166,$P166)*(1+$D166)^(R$99-CostBaseYr))</f>
        <v>0</v>
      </c>
      <c r="S166" s="50">
        <f t="shared" ca="1" si="119"/>
        <v>0</v>
      </c>
      <c r="T166" s="50">
        <f t="shared" ca="1" si="119"/>
        <v>0</v>
      </c>
      <c r="U166" s="50">
        <f t="shared" ca="1" si="119"/>
        <v>0</v>
      </c>
      <c r="V166" s="50">
        <f t="shared" ca="1" si="119"/>
        <v>0</v>
      </c>
      <c r="W166" s="50">
        <f t="shared" ca="1" si="119"/>
        <v>0</v>
      </c>
      <c r="X166" s="50">
        <f t="shared" ca="1" si="119"/>
        <v>0</v>
      </c>
      <c r="Y166" s="50">
        <f t="shared" ca="1" si="119"/>
        <v>0</v>
      </c>
      <c r="Z166" s="50">
        <f t="shared" ca="1" si="119"/>
        <v>0</v>
      </c>
      <c r="AA166" s="50">
        <f t="shared" ca="1" si="119"/>
        <v>0</v>
      </c>
      <c r="AB166" s="50">
        <f t="shared" ca="1" si="119"/>
        <v>0</v>
      </c>
      <c r="AC166" s="50">
        <f t="shared" ca="1" si="119"/>
        <v>0</v>
      </c>
      <c r="AD166" s="50">
        <f t="shared" ca="1" si="119"/>
        <v>0</v>
      </c>
      <c r="AE166" s="50">
        <f t="shared" ca="1" si="119"/>
        <v>0</v>
      </c>
      <c r="AF166" s="50">
        <f t="shared" ca="1" si="119"/>
        <v>0</v>
      </c>
      <c r="AG166" s="50">
        <f t="shared" ca="1" si="119"/>
        <v>0</v>
      </c>
      <c r="AH166" s="50">
        <f t="shared" ref="S166:AU168" ca="1" si="120">IF(OR(AH$99&lt;InServiceYr,AH$99&gt;(InServiceYr+analysis_period-1)),0,IF($P166=0,$N166,$P166)*(1+$D166)^(AH$99-CostBaseYr))</f>
        <v>0</v>
      </c>
      <c r="AI166" s="50">
        <f t="shared" ca="1" si="120"/>
        <v>0</v>
      </c>
      <c r="AJ166" s="50">
        <f t="shared" ca="1" si="120"/>
        <v>0</v>
      </c>
      <c r="AK166" s="50">
        <f t="shared" ca="1" si="120"/>
        <v>0</v>
      </c>
      <c r="AL166" s="50">
        <f t="shared" si="120"/>
        <v>0</v>
      </c>
      <c r="AM166" s="50">
        <f t="shared" si="120"/>
        <v>0</v>
      </c>
      <c r="AN166" s="50">
        <f t="shared" si="120"/>
        <v>0</v>
      </c>
      <c r="AO166" s="50">
        <f t="shared" si="120"/>
        <v>0</v>
      </c>
      <c r="AP166" s="50">
        <f t="shared" si="120"/>
        <v>0</v>
      </c>
      <c r="AQ166" s="50">
        <f t="shared" si="120"/>
        <v>0</v>
      </c>
      <c r="AR166" s="50">
        <f t="shared" si="120"/>
        <v>0</v>
      </c>
      <c r="AS166" s="50">
        <f t="shared" si="120"/>
        <v>0</v>
      </c>
      <c r="AT166" s="50">
        <f t="shared" si="120"/>
        <v>0</v>
      </c>
      <c r="AU166" s="50">
        <f t="shared" si="120"/>
        <v>0</v>
      </c>
    </row>
    <row r="167" spans="1:47">
      <c r="A167" s="38" t="str">
        <f t="shared" si="117"/>
        <v>1X-</v>
      </c>
      <c r="B167" s="38" t="s">
        <v>263</v>
      </c>
      <c r="C167" s="38" t="str">
        <f t="shared" ref="C167:C171" si="121">C166</f>
        <v>Cake Storage/Load Out</v>
      </c>
      <c r="D167" s="186">
        <f>OMEsc</f>
        <v>0.02</v>
      </c>
      <c r="E167" s="325"/>
      <c r="G167" s="36" t="s">
        <v>127</v>
      </c>
      <c r="I167" s="39"/>
      <c r="K167" s="39"/>
      <c r="L167" s="43" t="str">
        <f>"["&amp;CostBaseYr&amp;" $]"</f>
        <v>[2013 $]</v>
      </c>
      <c r="N167" s="70">
        <f ca="1">SUMIFS(OFFSET(Assumptions!$I$90,0,MATCH($A167,Configurations,0)-1,COUNT(Assumptions!$A$90:$A$183),1),Assumptions!$D$90:$D$183,$B167&amp;$C167)</f>
        <v>0</v>
      </c>
      <c r="O167" s="313"/>
      <c r="P167" s="323"/>
      <c r="Q167" s="313"/>
      <c r="R167" s="50">
        <f t="shared" ca="1" si="119"/>
        <v>0</v>
      </c>
      <c r="S167" s="50">
        <f t="shared" ca="1" si="120"/>
        <v>0</v>
      </c>
      <c r="T167" s="50">
        <f t="shared" ca="1" si="120"/>
        <v>0</v>
      </c>
      <c r="U167" s="50">
        <f t="shared" ca="1" si="120"/>
        <v>0</v>
      </c>
      <c r="V167" s="50">
        <f t="shared" ca="1" si="120"/>
        <v>0</v>
      </c>
      <c r="W167" s="50">
        <f t="shared" ca="1" si="120"/>
        <v>0</v>
      </c>
      <c r="X167" s="50">
        <f t="shared" ca="1" si="120"/>
        <v>0</v>
      </c>
      <c r="Y167" s="50">
        <f t="shared" ca="1" si="120"/>
        <v>0</v>
      </c>
      <c r="Z167" s="50">
        <f t="shared" ca="1" si="120"/>
        <v>0</v>
      </c>
      <c r="AA167" s="50">
        <f t="shared" ca="1" si="120"/>
        <v>0</v>
      </c>
      <c r="AB167" s="50">
        <f t="shared" ca="1" si="120"/>
        <v>0</v>
      </c>
      <c r="AC167" s="50">
        <f t="shared" ca="1" si="120"/>
        <v>0</v>
      </c>
      <c r="AD167" s="50">
        <f t="shared" ca="1" si="120"/>
        <v>0</v>
      </c>
      <c r="AE167" s="50">
        <f t="shared" ca="1" si="120"/>
        <v>0</v>
      </c>
      <c r="AF167" s="50">
        <f t="shared" ca="1" si="120"/>
        <v>0</v>
      </c>
      <c r="AG167" s="50">
        <f t="shared" ca="1" si="120"/>
        <v>0</v>
      </c>
      <c r="AH167" s="50">
        <f t="shared" ca="1" si="120"/>
        <v>0</v>
      </c>
      <c r="AI167" s="50">
        <f t="shared" ca="1" si="120"/>
        <v>0</v>
      </c>
      <c r="AJ167" s="50">
        <f t="shared" ca="1" si="120"/>
        <v>0</v>
      </c>
      <c r="AK167" s="50">
        <f t="shared" ca="1" si="120"/>
        <v>0</v>
      </c>
      <c r="AL167" s="50">
        <f t="shared" si="120"/>
        <v>0</v>
      </c>
      <c r="AM167" s="50">
        <f t="shared" si="120"/>
        <v>0</v>
      </c>
      <c r="AN167" s="50">
        <f t="shared" si="120"/>
        <v>0</v>
      </c>
      <c r="AO167" s="50">
        <f t="shared" si="120"/>
        <v>0</v>
      </c>
      <c r="AP167" s="50">
        <f t="shared" si="120"/>
        <v>0</v>
      </c>
      <c r="AQ167" s="50">
        <f t="shared" si="120"/>
        <v>0</v>
      </c>
      <c r="AR167" s="50">
        <f t="shared" si="120"/>
        <v>0</v>
      </c>
      <c r="AS167" s="50">
        <f t="shared" si="120"/>
        <v>0</v>
      </c>
      <c r="AT167" s="50">
        <f t="shared" si="120"/>
        <v>0</v>
      </c>
      <c r="AU167" s="50">
        <f t="shared" si="120"/>
        <v>0</v>
      </c>
    </row>
    <row r="168" spans="1:47">
      <c r="A168" s="38" t="str">
        <f t="shared" si="117"/>
        <v>1X-</v>
      </c>
      <c r="B168" s="38" t="s">
        <v>277</v>
      </c>
      <c r="C168" s="38" t="str">
        <f t="shared" si="121"/>
        <v>Cake Storage/Load Out</v>
      </c>
      <c r="D168" s="186">
        <f>OMEsc</f>
        <v>0.02</v>
      </c>
      <c r="E168" s="325"/>
      <c r="G168" s="36" t="s">
        <v>276</v>
      </c>
      <c r="I168" s="39"/>
      <c r="K168" s="39"/>
      <c r="L168" s="43" t="str">
        <f>"["&amp;CostBaseYr&amp;" $]"</f>
        <v>[2013 $]</v>
      </c>
      <c r="N168" s="70">
        <f ca="1">SUMIFS(OFFSET(Assumptions!$I$90,0,MATCH($A168,Configurations,0)-1,COUNT(Assumptions!$A$90:$A$183),1),Assumptions!$D$90:$D$183,$B168&amp;$C168)</f>
        <v>0</v>
      </c>
      <c r="O168" s="313"/>
      <c r="P168" s="323"/>
      <c r="Q168" s="313"/>
      <c r="R168" s="50">
        <f t="shared" ca="1" si="119"/>
        <v>0</v>
      </c>
      <c r="S168" s="50">
        <f t="shared" ca="1" si="120"/>
        <v>0</v>
      </c>
      <c r="T168" s="50">
        <f t="shared" ca="1" si="120"/>
        <v>0</v>
      </c>
      <c r="U168" s="50">
        <f t="shared" ca="1" si="120"/>
        <v>0</v>
      </c>
      <c r="V168" s="50">
        <f t="shared" ca="1" si="120"/>
        <v>0</v>
      </c>
      <c r="W168" s="50">
        <f t="shared" ca="1" si="120"/>
        <v>0</v>
      </c>
      <c r="X168" s="50">
        <f t="shared" ca="1" si="120"/>
        <v>0</v>
      </c>
      <c r="Y168" s="50">
        <f t="shared" ca="1" si="120"/>
        <v>0</v>
      </c>
      <c r="Z168" s="50">
        <f t="shared" ca="1" si="120"/>
        <v>0</v>
      </c>
      <c r="AA168" s="50">
        <f t="shared" ca="1" si="120"/>
        <v>0</v>
      </c>
      <c r="AB168" s="50">
        <f t="shared" ca="1" si="120"/>
        <v>0</v>
      </c>
      <c r="AC168" s="50">
        <f t="shared" ca="1" si="120"/>
        <v>0</v>
      </c>
      <c r="AD168" s="50">
        <f t="shared" ca="1" si="120"/>
        <v>0</v>
      </c>
      <c r="AE168" s="50">
        <f t="shared" ca="1" si="120"/>
        <v>0</v>
      </c>
      <c r="AF168" s="50">
        <f t="shared" ca="1" si="120"/>
        <v>0</v>
      </c>
      <c r="AG168" s="50">
        <f t="shared" ca="1" si="120"/>
        <v>0</v>
      </c>
      <c r="AH168" s="50">
        <f t="shared" ca="1" si="120"/>
        <v>0</v>
      </c>
      <c r="AI168" s="50">
        <f t="shared" ca="1" si="120"/>
        <v>0</v>
      </c>
      <c r="AJ168" s="50">
        <f t="shared" ca="1" si="120"/>
        <v>0</v>
      </c>
      <c r="AK168" s="50">
        <f t="shared" ca="1" si="120"/>
        <v>0</v>
      </c>
      <c r="AL168" s="50">
        <f t="shared" si="120"/>
        <v>0</v>
      </c>
      <c r="AM168" s="50">
        <f t="shared" si="120"/>
        <v>0</v>
      </c>
      <c r="AN168" s="50">
        <f t="shared" si="120"/>
        <v>0</v>
      </c>
      <c r="AO168" s="50">
        <f t="shared" si="120"/>
        <v>0</v>
      </c>
      <c r="AP168" s="50">
        <f t="shared" si="120"/>
        <v>0</v>
      </c>
      <c r="AQ168" s="50">
        <f t="shared" si="120"/>
        <v>0</v>
      </c>
      <c r="AR168" s="50">
        <f t="shared" si="120"/>
        <v>0</v>
      </c>
      <c r="AS168" s="50">
        <f t="shared" si="120"/>
        <v>0</v>
      </c>
      <c r="AT168" s="50">
        <f t="shared" si="120"/>
        <v>0</v>
      </c>
      <c r="AU168" s="50">
        <f t="shared" si="120"/>
        <v>0</v>
      </c>
    </row>
    <row r="169" spans="1:47">
      <c r="A169" s="38" t="str">
        <f t="shared" si="117"/>
        <v>1X-</v>
      </c>
      <c r="B169" s="38" t="s">
        <v>274</v>
      </c>
      <c r="C169" s="38" t="str">
        <f t="shared" si="121"/>
        <v>Cake Storage/Load Out</v>
      </c>
      <c r="D169" s="186"/>
      <c r="E169" s="325"/>
      <c r="G169" s="36" t="s">
        <v>16</v>
      </c>
      <c r="I169" s="39"/>
      <c r="K169" s="39"/>
      <c r="L169" s="43" t="s">
        <v>275</v>
      </c>
      <c r="N169" s="70">
        <f ca="1">SUMIFS(OFFSET(Assumptions!$I$90,0,MATCH($A169,Configurations,0)-1,COUNT(Assumptions!$A$90:$A$183),1),Assumptions!$D$90:$D$183,$B169&amp;$C169)</f>
        <v>0</v>
      </c>
      <c r="O169" s="313"/>
      <c r="P169" s="323"/>
      <c r="Q169" s="313"/>
      <c r="R169" s="50">
        <f t="shared" ref="R169:AU169" ca="1" si="122">IF(OR(R$99&lt;InServiceYr,R$99&gt;(InServiceYr+analysis_period-1)),0,IF($P169=0,$N169,$P169)*R$505)</f>
        <v>0</v>
      </c>
      <c r="S169" s="50">
        <f t="shared" ca="1" si="122"/>
        <v>0</v>
      </c>
      <c r="T169" s="50">
        <f t="shared" ca="1" si="122"/>
        <v>0</v>
      </c>
      <c r="U169" s="50">
        <f t="shared" ca="1" si="122"/>
        <v>0</v>
      </c>
      <c r="V169" s="50">
        <f t="shared" ca="1" si="122"/>
        <v>0</v>
      </c>
      <c r="W169" s="50">
        <f t="shared" ca="1" si="122"/>
        <v>0</v>
      </c>
      <c r="X169" s="50">
        <f t="shared" ca="1" si="122"/>
        <v>0</v>
      </c>
      <c r="Y169" s="50">
        <f t="shared" ca="1" si="122"/>
        <v>0</v>
      </c>
      <c r="Z169" s="50">
        <f t="shared" ca="1" si="122"/>
        <v>0</v>
      </c>
      <c r="AA169" s="50">
        <f t="shared" ca="1" si="122"/>
        <v>0</v>
      </c>
      <c r="AB169" s="50">
        <f t="shared" ca="1" si="122"/>
        <v>0</v>
      </c>
      <c r="AC169" s="50">
        <f t="shared" ca="1" si="122"/>
        <v>0</v>
      </c>
      <c r="AD169" s="50">
        <f t="shared" ca="1" si="122"/>
        <v>0</v>
      </c>
      <c r="AE169" s="50">
        <f t="shared" ca="1" si="122"/>
        <v>0</v>
      </c>
      <c r="AF169" s="50">
        <f t="shared" ca="1" si="122"/>
        <v>0</v>
      </c>
      <c r="AG169" s="50">
        <f t="shared" ca="1" si="122"/>
        <v>0</v>
      </c>
      <c r="AH169" s="50">
        <f t="shared" ca="1" si="122"/>
        <v>0</v>
      </c>
      <c r="AI169" s="50">
        <f t="shared" ca="1" si="122"/>
        <v>0</v>
      </c>
      <c r="AJ169" s="50">
        <f t="shared" ca="1" si="122"/>
        <v>0</v>
      </c>
      <c r="AK169" s="50">
        <f t="shared" ca="1" si="122"/>
        <v>0</v>
      </c>
      <c r="AL169" s="50">
        <f t="shared" si="122"/>
        <v>0</v>
      </c>
      <c r="AM169" s="50">
        <f t="shared" si="122"/>
        <v>0</v>
      </c>
      <c r="AN169" s="50">
        <f t="shared" si="122"/>
        <v>0</v>
      </c>
      <c r="AO169" s="50">
        <f t="shared" si="122"/>
        <v>0</v>
      </c>
      <c r="AP169" s="50">
        <f t="shared" si="122"/>
        <v>0</v>
      </c>
      <c r="AQ169" s="50">
        <f t="shared" si="122"/>
        <v>0</v>
      </c>
      <c r="AR169" s="50">
        <f t="shared" si="122"/>
        <v>0</v>
      </c>
      <c r="AS169" s="50">
        <f t="shared" si="122"/>
        <v>0</v>
      </c>
      <c r="AT169" s="50">
        <f t="shared" si="122"/>
        <v>0</v>
      </c>
      <c r="AU169" s="50">
        <f t="shared" si="122"/>
        <v>0</v>
      </c>
    </row>
    <row r="170" spans="1:47">
      <c r="A170" s="38" t="str">
        <f t="shared" si="117"/>
        <v>1X-</v>
      </c>
      <c r="B170" s="38" t="s">
        <v>257</v>
      </c>
      <c r="C170" s="38" t="str">
        <f t="shared" si="121"/>
        <v>Cake Storage/Load Out</v>
      </c>
      <c r="D170" s="186"/>
      <c r="E170" s="325"/>
      <c r="G170" s="36" t="s">
        <v>284</v>
      </c>
      <c r="I170" s="39"/>
      <c r="K170" s="39"/>
      <c r="L170" s="43" t="s">
        <v>293</v>
      </c>
      <c r="N170" s="70">
        <f ca="1">SUMIFS(OFFSET(Assumptions!$I$90,0,MATCH($A170,Configurations,0)-1,COUNT(Assumptions!$A$90:$A$183),1),Assumptions!$D$90:$D$183,$B170&amp;$C170)</f>
        <v>16430</v>
      </c>
      <c r="O170" s="313"/>
      <c r="P170" s="323"/>
      <c r="Q170" s="313"/>
      <c r="R170" s="50">
        <f t="shared" ref="R170:AU170" ca="1" si="123">IF(OR(R$99&lt;InServiceYr,R$99&gt;(InServiceYr+analysis_period-1)),0,IF($P170=0,$N170,$P170)*R$501)</f>
        <v>1061.0749661113664</v>
      </c>
      <c r="S170" s="50">
        <f t="shared" ca="1" si="123"/>
        <v>1067.6892101035248</v>
      </c>
      <c r="T170" s="50">
        <f t="shared" ca="1" si="123"/>
        <v>1113.7172294884872</v>
      </c>
      <c r="U170" s="50">
        <f t="shared" ca="1" si="123"/>
        <v>1147.1259594647156</v>
      </c>
      <c r="V170" s="50">
        <f t="shared" ca="1" si="123"/>
        <v>1174.8073825565737</v>
      </c>
      <c r="W170" s="50">
        <f t="shared" ca="1" si="123"/>
        <v>1189.837025649</v>
      </c>
      <c r="X170" s="50">
        <f t="shared" ca="1" si="123"/>
        <v>1209.198616791849</v>
      </c>
      <c r="Y170" s="50">
        <f t="shared" ca="1" si="123"/>
        <v>1238.9908079138625</v>
      </c>
      <c r="Z170" s="50">
        <f t="shared" ca="1" si="123"/>
        <v>1268.6530926913447</v>
      </c>
      <c r="AA170" s="50">
        <f t="shared" ca="1" si="123"/>
        <v>1300.3725360243311</v>
      </c>
      <c r="AB170" s="50">
        <f t="shared" ca="1" si="123"/>
        <v>1328.5383490088843</v>
      </c>
      <c r="AC170" s="50">
        <f t="shared" ca="1" si="123"/>
        <v>1354.1211600329689</v>
      </c>
      <c r="AD170" s="50">
        <f t="shared" ca="1" si="123"/>
        <v>1385.401084099379</v>
      </c>
      <c r="AE170" s="50">
        <f t="shared" ca="1" si="123"/>
        <v>1416.9766725411378</v>
      </c>
      <c r="AF170" s="50">
        <f t="shared" ca="1" si="123"/>
        <v>1450.6675664920981</v>
      </c>
      <c r="AG170" s="50">
        <f t="shared" ca="1" si="123"/>
        <v>1488.4093088656859</v>
      </c>
      <c r="AH170" s="50">
        <f t="shared" ca="1" si="123"/>
        <v>1524.886439023755</v>
      </c>
      <c r="AI170" s="50">
        <f t="shared" ca="1" si="123"/>
        <v>1564.4444054173453</v>
      </c>
      <c r="AJ170" s="50">
        <f t="shared" ca="1" si="123"/>
        <v>1606.3222560050128</v>
      </c>
      <c r="AK170" s="50">
        <f t="shared" ca="1" si="123"/>
        <v>1650.0194676352328</v>
      </c>
      <c r="AL170" s="50">
        <f t="shared" si="123"/>
        <v>0</v>
      </c>
      <c r="AM170" s="50">
        <f t="shared" si="123"/>
        <v>0</v>
      </c>
      <c r="AN170" s="50">
        <f t="shared" si="123"/>
        <v>0</v>
      </c>
      <c r="AO170" s="50">
        <f t="shared" si="123"/>
        <v>0</v>
      </c>
      <c r="AP170" s="50">
        <f t="shared" si="123"/>
        <v>0</v>
      </c>
      <c r="AQ170" s="50">
        <f t="shared" si="123"/>
        <v>0</v>
      </c>
      <c r="AR170" s="50">
        <f t="shared" si="123"/>
        <v>0</v>
      </c>
      <c r="AS170" s="50">
        <f t="shared" si="123"/>
        <v>0</v>
      </c>
      <c r="AT170" s="50">
        <f t="shared" si="123"/>
        <v>0</v>
      </c>
      <c r="AU170" s="50">
        <f t="shared" si="123"/>
        <v>0</v>
      </c>
    </row>
    <row r="171" spans="1:47">
      <c r="A171" s="38" t="str">
        <f t="shared" si="117"/>
        <v>1X-</v>
      </c>
      <c r="B171" s="38" t="s">
        <v>864</v>
      </c>
      <c r="C171" s="38" t="str">
        <f t="shared" si="121"/>
        <v>Cake Storage/Load Out</v>
      </c>
      <c r="D171" s="186">
        <f>GHGEsc</f>
        <v>0.02</v>
      </c>
      <c r="E171" s="325"/>
      <c r="G171" s="36" t="s">
        <v>865</v>
      </c>
      <c r="I171" s="39"/>
      <c r="K171" s="39"/>
      <c r="L171" s="43" t="s">
        <v>866</v>
      </c>
      <c r="N171" s="70">
        <f ca="1">SUMIFS(OFFSET(Assumptions!$I$90,0,MATCH($A171,Configurations,0)-1,COUNT(Assumptions!$A$90:$A$183),1),Assumptions!$D$90:$D$183,$B171&amp;$C171)</f>
        <v>0</v>
      </c>
      <c r="O171" s="313"/>
      <c r="P171" s="323"/>
      <c r="Q171" s="313"/>
      <c r="R171" s="50">
        <f t="shared" ref="R171:AU171" ca="1" si="124">IF(OR(R$99&lt;InServiceYr,R$99&gt;(InServiceYr+analysis_period-1)),0,IF($P171=0,$N171,$P171)*R$513)</f>
        <v>0</v>
      </c>
      <c r="S171" s="50">
        <f t="shared" ca="1" si="124"/>
        <v>0</v>
      </c>
      <c r="T171" s="50">
        <f t="shared" ca="1" si="124"/>
        <v>0</v>
      </c>
      <c r="U171" s="50">
        <f t="shared" ca="1" si="124"/>
        <v>0</v>
      </c>
      <c r="V171" s="50">
        <f t="shared" ca="1" si="124"/>
        <v>0</v>
      </c>
      <c r="W171" s="50">
        <f t="shared" ca="1" si="124"/>
        <v>0</v>
      </c>
      <c r="X171" s="50">
        <f t="shared" ca="1" si="124"/>
        <v>0</v>
      </c>
      <c r="Y171" s="50">
        <f t="shared" ca="1" si="124"/>
        <v>0</v>
      </c>
      <c r="Z171" s="50">
        <f t="shared" ca="1" si="124"/>
        <v>0</v>
      </c>
      <c r="AA171" s="50">
        <f t="shared" ca="1" si="124"/>
        <v>0</v>
      </c>
      <c r="AB171" s="50">
        <f t="shared" ca="1" si="124"/>
        <v>0</v>
      </c>
      <c r="AC171" s="50">
        <f t="shared" ca="1" si="124"/>
        <v>0</v>
      </c>
      <c r="AD171" s="50">
        <f t="shared" ca="1" si="124"/>
        <v>0</v>
      </c>
      <c r="AE171" s="50">
        <f t="shared" ca="1" si="124"/>
        <v>0</v>
      </c>
      <c r="AF171" s="50">
        <f t="shared" ca="1" si="124"/>
        <v>0</v>
      </c>
      <c r="AG171" s="50">
        <f t="shared" ca="1" si="124"/>
        <v>0</v>
      </c>
      <c r="AH171" s="50">
        <f t="shared" ca="1" si="124"/>
        <v>0</v>
      </c>
      <c r="AI171" s="50">
        <f t="shared" ca="1" si="124"/>
        <v>0</v>
      </c>
      <c r="AJ171" s="50">
        <f t="shared" ca="1" si="124"/>
        <v>0</v>
      </c>
      <c r="AK171" s="50">
        <f t="shared" ca="1" si="124"/>
        <v>0</v>
      </c>
      <c r="AL171" s="50">
        <f t="shared" si="124"/>
        <v>0</v>
      </c>
      <c r="AM171" s="50">
        <f t="shared" si="124"/>
        <v>0</v>
      </c>
      <c r="AN171" s="50">
        <f t="shared" si="124"/>
        <v>0</v>
      </c>
      <c r="AO171" s="50">
        <f t="shared" si="124"/>
        <v>0</v>
      </c>
      <c r="AP171" s="50">
        <f t="shared" si="124"/>
        <v>0</v>
      </c>
      <c r="AQ171" s="50">
        <f t="shared" si="124"/>
        <v>0</v>
      </c>
      <c r="AR171" s="50">
        <f t="shared" si="124"/>
        <v>0</v>
      </c>
      <c r="AS171" s="50">
        <f t="shared" si="124"/>
        <v>0</v>
      </c>
      <c r="AT171" s="50">
        <f t="shared" si="124"/>
        <v>0</v>
      </c>
      <c r="AU171" s="50">
        <f t="shared" si="124"/>
        <v>0</v>
      </c>
    </row>
    <row r="172" spans="1:47">
      <c r="A172" s="38" t="str">
        <f t="shared" si="117"/>
        <v>1X-</v>
      </c>
      <c r="B172" s="38" t="s">
        <v>273</v>
      </c>
      <c r="C172" s="38" t="str">
        <f>C170</f>
        <v>Cake Storage/Load Out</v>
      </c>
      <c r="D172" s="186">
        <f>LaborEsc</f>
        <v>0.02</v>
      </c>
      <c r="E172" s="325"/>
      <c r="G172" s="36" t="s">
        <v>291</v>
      </c>
      <c r="I172" s="39"/>
      <c r="K172" s="39"/>
      <c r="L172" s="43" t="str">
        <f>"["&amp;CostBaseYr&amp;" $]"</f>
        <v>[2013 $]</v>
      </c>
      <c r="N172" s="70">
        <f ca="1">SUMIFS(OFFSET(Assumptions!$I$90,0,MATCH($A172,Configurations,0)-1,COUNT(Assumptions!$A$90:$A$183),1),Assumptions!$D$90:$D$183,$B172&amp;$C172)</f>
        <v>0</v>
      </c>
      <c r="O172" s="313"/>
      <c r="P172" s="323"/>
      <c r="Q172" s="313"/>
      <c r="R172" s="50">
        <f t="shared" ref="R172:AU172" ca="1" si="125">IF(OR(R$99&lt;InServiceYr,R$99&gt;(InServiceYr+analysis_period-1)),0,IF($P172=0,$N172,$P172)*(1+$D172)^(R$99-CostBaseYr))*R$509</f>
        <v>0</v>
      </c>
      <c r="S172" s="50">
        <f t="shared" ca="1" si="125"/>
        <v>0</v>
      </c>
      <c r="T172" s="50">
        <f t="shared" ca="1" si="125"/>
        <v>0</v>
      </c>
      <c r="U172" s="50">
        <f t="shared" ca="1" si="125"/>
        <v>0</v>
      </c>
      <c r="V172" s="50">
        <f t="shared" ca="1" si="125"/>
        <v>0</v>
      </c>
      <c r="W172" s="50">
        <f t="shared" ca="1" si="125"/>
        <v>0</v>
      </c>
      <c r="X172" s="50">
        <f t="shared" ca="1" si="125"/>
        <v>0</v>
      </c>
      <c r="Y172" s="50">
        <f t="shared" ca="1" si="125"/>
        <v>0</v>
      </c>
      <c r="Z172" s="50">
        <f t="shared" ca="1" si="125"/>
        <v>0</v>
      </c>
      <c r="AA172" s="50">
        <f t="shared" ca="1" si="125"/>
        <v>0</v>
      </c>
      <c r="AB172" s="50">
        <f t="shared" ca="1" si="125"/>
        <v>0</v>
      </c>
      <c r="AC172" s="50">
        <f t="shared" ca="1" si="125"/>
        <v>0</v>
      </c>
      <c r="AD172" s="50">
        <f t="shared" ca="1" si="125"/>
        <v>0</v>
      </c>
      <c r="AE172" s="50">
        <f t="shared" ca="1" si="125"/>
        <v>0</v>
      </c>
      <c r="AF172" s="50">
        <f t="shared" ca="1" si="125"/>
        <v>0</v>
      </c>
      <c r="AG172" s="50">
        <f t="shared" ca="1" si="125"/>
        <v>0</v>
      </c>
      <c r="AH172" s="50">
        <f t="shared" ca="1" si="125"/>
        <v>0</v>
      </c>
      <c r="AI172" s="50">
        <f t="shared" ca="1" si="125"/>
        <v>0</v>
      </c>
      <c r="AJ172" s="50">
        <f t="shared" ca="1" si="125"/>
        <v>0</v>
      </c>
      <c r="AK172" s="50">
        <f t="shared" ca="1" si="125"/>
        <v>0</v>
      </c>
      <c r="AL172" s="50">
        <f t="shared" si="125"/>
        <v>0</v>
      </c>
      <c r="AM172" s="50">
        <f t="shared" si="125"/>
        <v>0</v>
      </c>
      <c r="AN172" s="50">
        <f t="shared" si="125"/>
        <v>0</v>
      </c>
      <c r="AO172" s="50">
        <f t="shared" si="125"/>
        <v>0</v>
      </c>
      <c r="AP172" s="50">
        <f t="shared" si="125"/>
        <v>0</v>
      </c>
      <c r="AQ172" s="50">
        <f t="shared" si="125"/>
        <v>0</v>
      </c>
      <c r="AR172" s="50">
        <f t="shared" si="125"/>
        <v>0</v>
      </c>
      <c r="AS172" s="50">
        <f t="shared" si="125"/>
        <v>0</v>
      </c>
      <c r="AT172" s="50">
        <f t="shared" si="125"/>
        <v>0</v>
      </c>
      <c r="AU172" s="50">
        <f t="shared" si="125"/>
        <v>0</v>
      </c>
    </row>
    <row r="173" spans="1:47">
      <c r="D173" s="186"/>
      <c r="E173" s="325"/>
      <c r="G173" s="39" t="s">
        <v>304</v>
      </c>
      <c r="I173" s="39"/>
      <c r="K173" s="39"/>
      <c r="L173" s="43"/>
      <c r="N173" s="70"/>
      <c r="O173" s="313"/>
      <c r="P173" s="70"/>
      <c r="Q173" s="313"/>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row>
    <row r="174" spans="1:47">
      <c r="A174" s="38" t="str">
        <f>$J$4&amp;"-"</f>
        <v>1X-</v>
      </c>
      <c r="B174" s="38" t="s">
        <v>265</v>
      </c>
      <c r="C174" s="38" t="str">
        <f>C165</f>
        <v>Cake Storage/Load Out</v>
      </c>
      <c r="D174" s="186"/>
      <c r="E174" s="325"/>
      <c r="G174" s="36" t="s">
        <v>108</v>
      </c>
      <c r="I174" s="39"/>
      <c r="K174" s="39"/>
      <c r="L174" s="43" t="s">
        <v>293</v>
      </c>
      <c r="N174" s="70">
        <f ca="1">SUMIFS(OFFSET(Assumptions!$I$90,0,MATCH($A174,Configurations,0)-1,COUNT(Assumptions!$A$90:$A$183),1),Assumptions!$D$90:$D$183,$B174&amp;$C174)</f>
        <v>0</v>
      </c>
      <c r="O174" s="313"/>
      <c r="P174" s="323"/>
      <c r="Q174" s="313"/>
      <c r="R174" s="50">
        <f t="shared" ref="R174:AU174" ca="1" si="126">IF(OR(R$99&lt;InServiceYr,R$99&gt;(InServiceYr+analysis_period-1)),0,IF($P174=0,$N174,$P174)*R$501)</f>
        <v>0</v>
      </c>
      <c r="S174" s="50">
        <f t="shared" ca="1" si="126"/>
        <v>0</v>
      </c>
      <c r="T174" s="50">
        <f t="shared" ca="1" si="126"/>
        <v>0</v>
      </c>
      <c r="U174" s="50">
        <f t="shared" ca="1" si="126"/>
        <v>0</v>
      </c>
      <c r="V174" s="50">
        <f t="shared" ca="1" si="126"/>
        <v>0</v>
      </c>
      <c r="W174" s="50">
        <f t="shared" ca="1" si="126"/>
        <v>0</v>
      </c>
      <c r="X174" s="50">
        <f t="shared" ca="1" si="126"/>
        <v>0</v>
      </c>
      <c r="Y174" s="50">
        <f t="shared" ca="1" si="126"/>
        <v>0</v>
      </c>
      <c r="Z174" s="50">
        <f t="shared" ca="1" si="126"/>
        <v>0</v>
      </c>
      <c r="AA174" s="50">
        <f t="shared" ca="1" si="126"/>
        <v>0</v>
      </c>
      <c r="AB174" s="50">
        <f t="shared" ca="1" si="126"/>
        <v>0</v>
      </c>
      <c r="AC174" s="50">
        <f t="shared" ca="1" si="126"/>
        <v>0</v>
      </c>
      <c r="AD174" s="50">
        <f t="shared" ca="1" si="126"/>
        <v>0</v>
      </c>
      <c r="AE174" s="50">
        <f t="shared" ca="1" si="126"/>
        <v>0</v>
      </c>
      <c r="AF174" s="50">
        <f t="shared" ca="1" si="126"/>
        <v>0</v>
      </c>
      <c r="AG174" s="50">
        <f t="shared" ca="1" si="126"/>
        <v>0</v>
      </c>
      <c r="AH174" s="50">
        <f t="shared" ca="1" si="126"/>
        <v>0</v>
      </c>
      <c r="AI174" s="50">
        <f t="shared" ca="1" si="126"/>
        <v>0</v>
      </c>
      <c r="AJ174" s="50">
        <f t="shared" ca="1" si="126"/>
        <v>0</v>
      </c>
      <c r="AK174" s="50">
        <f t="shared" ca="1" si="126"/>
        <v>0</v>
      </c>
      <c r="AL174" s="50">
        <f t="shared" si="126"/>
        <v>0</v>
      </c>
      <c r="AM174" s="50">
        <f t="shared" si="126"/>
        <v>0</v>
      </c>
      <c r="AN174" s="50">
        <f t="shared" si="126"/>
        <v>0</v>
      </c>
      <c r="AO174" s="50">
        <f t="shared" si="126"/>
        <v>0</v>
      </c>
      <c r="AP174" s="50">
        <f t="shared" si="126"/>
        <v>0</v>
      </c>
      <c r="AQ174" s="50">
        <f t="shared" si="126"/>
        <v>0</v>
      </c>
      <c r="AR174" s="50">
        <f t="shared" si="126"/>
        <v>0</v>
      </c>
      <c r="AS174" s="50">
        <f t="shared" si="126"/>
        <v>0</v>
      </c>
      <c r="AT174" s="50">
        <f t="shared" si="126"/>
        <v>0</v>
      </c>
      <c r="AU174" s="50">
        <f t="shared" si="126"/>
        <v>0</v>
      </c>
    </row>
    <row r="175" spans="1:47">
      <c r="A175" s="38" t="str">
        <f>$J$4&amp;"-"</f>
        <v>1X-</v>
      </c>
      <c r="B175" s="38" t="s">
        <v>289</v>
      </c>
      <c r="C175" s="38" t="str">
        <f>C165</f>
        <v>Cake Storage/Load Out</v>
      </c>
      <c r="D175" s="186">
        <f>LaborEsc</f>
        <v>0.02</v>
      </c>
      <c r="E175" s="325"/>
      <c r="G175" s="36" t="s">
        <v>292</v>
      </c>
      <c r="I175" s="39"/>
      <c r="K175" s="39"/>
      <c r="L175" s="43" t="str">
        <f>"["&amp;CostBaseYr&amp;" $]"</f>
        <v>[2013 $]</v>
      </c>
      <c r="N175" s="70">
        <f ca="1">SUMIFS(OFFSET(Assumptions!$I$90,0,MATCH($A175,Configurations,0)-1,COUNT(Assumptions!$A$90:$A$183),1),Assumptions!$D$90:$D$183,$B175&amp;$C175)</f>
        <v>0</v>
      </c>
      <c r="O175" s="313"/>
      <c r="P175" s="323"/>
      <c r="Q175" s="313"/>
      <c r="R175" s="50">
        <f t="shared" ref="R175:AU175" ca="1" si="127">IF(OR(R$99&lt;InServiceYr,R$99&gt;(InServiceYr+analysis_period-1)),0,IF($P175=0,$N175,$P175)*(1+$D175)^(R$99-CostBaseYr))</f>
        <v>0</v>
      </c>
      <c r="S175" s="50">
        <f t="shared" ca="1" si="127"/>
        <v>0</v>
      </c>
      <c r="T175" s="50">
        <f t="shared" ca="1" si="127"/>
        <v>0</v>
      </c>
      <c r="U175" s="50">
        <f t="shared" ca="1" si="127"/>
        <v>0</v>
      </c>
      <c r="V175" s="50">
        <f t="shared" ca="1" si="127"/>
        <v>0</v>
      </c>
      <c r="W175" s="50">
        <f t="shared" ca="1" si="127"/>
        <v>0</v>
      </c>
      <c r="X175" s="50">
        <f t="shared" ca="1" si="127"/>
        <v>0</v>
      </c>
      <c r="Y175" s="50">
        <f t="shared" ca="1" si="127"/>
        <v>0</v>
      </c>
      <c r="Z175" s="50">
        <f t="shared" ca="1" si="127"/>
        <v>0</v>
      </c>
      <c r="AA175" s="50">
        <f t="shared" ca="1" si="127"/>
        <v>0</v>
      </c>
      <c r="AB175" s="50">
        <f t="shared" ca="1" si="127"/>
        <v>0</v>
      </c>
      <c r="AC175" s="50">
        <f t="shared" ca="1" si="127"/>
        <v>0</v>
      </c>
      <c r="AD175" s="50">
        <f t="shared" ca="1" si="127"/>
        <v>0</v>
      </c>
      <c r="AE175" s="50">
        <f t="shared" ca="1" si="127"/>
        <v>0</v>
      </c>
      <c r="AF175" s="50">
        <f t="shared" ca="1" si="127"/>
        <v>0</v>
      </c>
      <c r="AG175" s="50">
        <f t="shared" ca="1" si="127"/>
        <v>0</v>
      </c>
      <c r="AH175" s="50">
        <f t="shared" ca="1" si="127"/>
        <v>0</v>
      </c>
      <c r="AI175" s="50">
        <f t="shared" ca="1" si="127"/>
        <v>0</v>
      </c>
      <c r="AJ175" s="50">
        <f t="shared" ca="1" si="127"/>
        <v>0</v>
      </c>
      <c r="AK175" s="50">
        <f t="shared" ca="1" si="127"/>
        <v>0</v>
      </c>
      <c r="AL175" s="50">
        <f t="shared" si="127"/>
        <v>0</v>
      </c>
      <c r="AM175" s="50">
        <f t="shared" si="127"/>
        <v>0</v>
      </c>
      <c r="AN175" s="50">
        <f t="shared" si="127"/>
        <v>0</v>
      </c>
      <c r="AO175" s="50">
        <f t="shared" si="127"/>
        <v>0</v>
      </c>
      <c r="AP175" s="50">
        <f t="shared" si="127"/>
        <v>0</v>
      </c>
      <c r="AQ175" s="50">
        <f t="shared" si="127"/>
        <v>0</v>
      </c>
      <c r="AR175" s="50">
        <f t="shared" si="127"/>
        <v>0</v>
      </c>
      <c r="AS175" s="50">
        <f t="shared" si="127"/>
        <v>0</v>
      </c>
      <c r="AT175" s="50">
        <f t="shared" si="127"/>
        <v>0</v>
      </c>
      <c r="AU175" s="50">
        <f t="shared" si="127"/>
        <v>0</v>
      </c>
    </row>
    <row r="176" spans="1:47" s="60" customFormat="1">
      <c r="D176" s="187"/>
      <c r="E176" s="325"/>
      <c r="G176" s="39" t="s">
        <v>305</v>
      </c>
      <c r="I176" s="39"/>
      <c r="K176" s="39"/>
      <c r="L176" s="174"/>
      <c r="N176" s="188"/>
      <c r="O176" s="314"/>
      <c r="P176" s="185"/>
      <c r="Q176" s="314"/>
      <c r="R176" s="185">
        <f ca="1">SUM(R165:R172)-SUM(R174:R175)</f>
        <v>1061.0749661113664</v>
      </c>
      <c r="S176" s="185">
        <f t="shared" ref="S176:AU176" ca="1" si="128">SUM(S165:S172)-SUM(S174:S175)</f>
        <v>1067.6892101035248</v>
      </c>
      <c r="T176" s="185">
        <f t="shared" ca="1" si="128"/>
        <v>1113.7172294884872</v>
      </c>
      <c r="U176" s="185">
        <f t="shared" ca="1" si="128"/>
        <v>1147.1259594647156</v>
      </c>
      <c r="V176" s="185">
        <f t="shared" ca="1" si="128"/>
        <v>1174.8073825565737</v>
      </c>
      <c r="W176" s="185">
        <f t="shared" ca="1" si="128"/>
        <v>1189.837025649</v>
      </c>
      <c r="X176" s="185">
        <f t="shared" ca="1" si="128"/>
        <v>1209.198616791849</v>
      </c>
      <c r="Y176" s="185">
        <f t="shared" ca="1" si="128"/>
        <v>1238.9908079138625</v>
      </c>
      <c r="Z176" s="185">
        <f t="shared" ca="1" si="128"/>
        <v>1268.6530926913447</v>
      </c>
      <c r="AA176" s="185">
        <f t="shared" ca="1" si="128"/>
        <v>1300.3725360243311</v>
      </c>
      <c r="AB176" s="185">
        <f t="shared" ca="1" si="128"/>
        <v>1328.5383490088843</v>
      </c>
      <c r="AC176" s="185">
        <f t="shared" ca="1" si="128"/>
        <v>1354.1211600329689</v>
      </c>
      <c r="AD176" s="185">
        <f t="shared" ca="1" si="128"/>
        <v>1385.401084099379</v>
      </c>
      <c r="AE176" s="185">
        <f t="shared" ca="1" si="128"/>
        <v>1416.9766725411378</v>
      </c>
      <c r="AF176" s="185">
        <f t="shared" ca="1" si="128"/>
        <v>1450.6675664920981</v>
      </c>
      <c r="AG176" s="185">
        <f t="shared" ca="1" si="128"/>
        <v>1488.4093088656859</v>
      </c>
      <c r="AH176" s="185">
        <f t="shared" ca="1" si="128"/>
        <v>1524.886439023755</v>
      </c>
      <c r="AI176" s="185">
        <f t="shared" ca="1" si="128"/>
        <v>1564.4444054173453</v>
      </c>
      <c r="AJ176" s="185">
        <f t="shared" ca="1" si="128"/>
        <v>1606.3222560050128</v>
      </c>
      <c r="AK176" s="185">
        <f t="shared" ca="1" si="128"/>
        <v>1650.0194676352328</v>
      </c>
      <c r="AL176" s="185">
        <f t="shared" si="128"/>
        <v>0</v>
      </c>
      <c r="AM176" s="185">
        <f t="shared" si="128"/>
        <v>0</v>
      </c>
      <c r="AN176" s="185">
        <f t="shared" si="128"/>
        <v>0</v>
      </c>
      <c r="AO176" s="185">
        <f t="shared" si="128"/>
        <v>0</v>
      </c>
      <c r="AP176" s="185">
        <f t="shared" si="128"/>
        <v>0</v>
      </c>
      <c r="AQ176" s="185">
        <f t="shared" si="128"/>
        <v>0</v>
      </c>
      <c r="AR176" s="185">
        <f t="shared" si="128"/>
        <v>0</v>
      </c>
      <c r="AS176" s="185">
        <f t="shared" si="128"/>
        <v>0</v>
      </c>
      <c r="AT176" s="185">
        <f t="shared" si="128"/>
        <v>0</v>
      </c>
      <c r="AU176" s="185">
        <f t="shared" si="128"/>
        <v>0</v>
      </c>
    </row>
    <row r="177" spans="1:47">
      <c r="G177" s="28"/>
      <c r="H177" s="28"/>
      <c r="I177" s="28"/>
      <c r="J177" s="28"/>
      <c r="K177" s="28"/>
      <c r="L177" s="409"/>
      <c r="M177" s="46"/>
      <c r="N177" s="46"/>
      <c r="O177" s="315"/>
      <c r="P177" s="46"/>
      <c r="Q177" s="315"/>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row>
    <row r="178" spans="1:47">
      <c r="E178" s="327"/>
      <c r="F178" s="28"/>
      <c r="G178" s="324" t="str">
        <f>C180&amp;" Capital Costs"</f>
        <v>Cake Storage Capital Costs</v>
      </c>
      <c r="H178" s="324"/>
      <c r="I178" s="324"/>
      <c r="J178" s="324"/>
      <c r="K178" s="324"/>
      <c r="L178" s="405" t="s">
        <v>79</v>
      </c>
      <c r="M178" s="256"/>
      <c r="N178" s="325" t="s">
        <v>490</v>
      </c>
      <c r="O178" s="311"/>
      <c r="P178" s="325" t="s">
        <v>491</v>
      </c>
      <c r="Q178" s="310"/>
      <c r="R178" s="325">
        <f>R$8</f>
        <v>2014</v>
      </c>
      <c r="S178" s="325">
        <f t="shared" ref="S178:AU178" si="129">S$8</f>
        <v>2015</v>
      </c>
      <c r="T178" s="325">
        <f t="shared" si="129"/>
        <v>2016</v>
      </c>
      <c r="U178" s="325">
        <f t="shared" si="129"/>
        <v>2017</v>
      </c>
      <c r="V178" s="325">
        <f t="shared" si="129"/>
        <v>2018</v>
      </c>
      <c r="W178" s="325">
        <f t="shared" si="129"/>
        <v>2019</v>
      </c>
      <c r="X178" s="325">
        <f t="shared" si="129"/>
        <v>2020</v>
      </c>
      <c r="Y178" s="325">
        <f t="shared" si="129"/>
        <v>2021</v>
      </c>
      <c r="Z178" s="325">
        <f t="shared" si="129"/>
        <v>2022</v>
      </c>
      <c r="AA178" s="325">
        <f t="shared" si="129"/>
        <v>2023</v>
      </c>
      <c r="AB178" s="325">
        <f t="shared" si="129"/>
        <v>2024</v>
      </c>
      <c r="AC178" s="325">
        <f t="shared" si="129"/>
        <v>2025</v>
      </c>
      <c r="AD178" s="325">
        <f t="shared" si="129"/>
        <v>2026</v>
      </c>
      <c r="AE178" s="325">
        <f t="shared" si="129"/>
        <v>2027</v>
      </c>
      <c r="AF178" s="325">
        <f t="shared" si="129"/>
        <v>2028</v>
      </c>
      <c r="AG178" s="325">
        <f t="shared" si="129"/>
        <v>2029</v>
      </c>
      <c r="AH178" s="325">
        <f t="shared" si="129"/>
        <v>2030</v>
      </c>
      <c r="AI178" s="325">
        <f t="shared" si="129"/>
        <v>2031</v>
      </c>
      <c r="AJ178" s="325">
        <f t="shared" si="129"/>
        <v>2032</v>
      </c>
      <c r="AK178" s="325">
        <f t="shared" si="129"/>
        <v>2033</v>
      </c>
      <c r="AL178" s="325">
        <f t="shared" si="129"/>
        <v>2034</v>
      </c>
      <c r="AM178" s="325">
        <f t="shared" si="129"/>
        <v>2035</v>
      </c>
      <c r="AN178" s="325">
        <f t="shared" si="129"/>
        <v>2036</v>
      </c>
      <c r="AO178" s="325">
        <f t="shared" si="129"/>
        <v>2037</v>
      </c>
      <c r="AP178" s="325">
        <f t="shared" si="129"/>
        <v>2038</v>
      </c>
      <c r="AQ178" s="325">
        <f t="shared" si="129"/>
        <v>2039</v>
      </c>
      <c r="AR178" s="325">
        <f t="shared" si="129"/>
        <v>2040</v>
      </c>
      <c r="AS178" s="325">
        <f t="shared" si="129"/>
        <v>2041</v>
      </c>
      <c r="AT178" s="325">
        <f t="shared" si="129"/>
        <v>2042</v>
      </c>
      <c r="AU178" s="325">
        <f t="shared" si="129"/>
        <v>2043</v>
      </c>
    </row>
    <row r="179" spans="1:47">
      <c r="E179" s="325"/>
      <c r="G179" s="39"/>
      <c r="H179" s="39"/>
      <c r="I179" s="39"/>
      <c r="J179" s="39"/>
      <c r="K179" s="39"/>
    </row>
    <row r="180" spans="1:47">
      <c r="A180" s="38" t="str">
        <f>$J$4&amp;"-"</f>
        <v>1X-</v>
      </c>
      <c r="B180" s="38" t="s">
        <v>306</v>
      </c>
      <c r="C180" s="38" t="s">
        <v>317</v>
      </c>
      <c r="D180" s="186">
        <f>CapExEsc</f>
        <v>0.03</v>
      </c>
      <c r="E180" s="325"/>
      <c r="G180" s="36" t="s">
        <v>8</v>
      </c>
      <c r="H180" s="39"/>
      <c r="I180" s="39"/>
      <c r="J180" s="70"/>
      <c r="K180" s="39"/>
      <c r="L180" s="43" t="str">
        <f>"["&amp;CostBaseYr&amp;" $]"</f>
        <v>[2013 $]</v>
      </c>
      <c r="N180" s="52">
        <f ca="1">SUMIFS(OFFSET(Assumptions!$I$65,0,MATCH($A180,Configurations,0)-1,COUNT(Assumptions!$A$65:$A$84),1),Assumptions!$E$65:$E$84,$C180)</f>
        <v>1338000</v>
      </c>
      <c r="O180" s="52"/>
      <c r="P180" s="322"/>
      <c r="Q180" s="52"/>
      <c r="R180" s="52">
        <f t="shared" ref="R180:AU180" ca="1" si="130">R181*IF($P180=0,$N180,$P180)*(1+$D180)^(R$8-CostBaseYr)</f>
        <v>1378140</v>
      </c>
      <c r="S180" s="52">
        <f t="shared" ca="1" si="130"/>
        <v>0</v>
      </c>
      <c r="T180" s="52">
        <f t="shared" ca="1" si="130"/>
        <v>0</v>
      </c>
      <c r="U180" s="52">
        <f t="shared" ca="1" si="130"/>
        <v>0</v>
      </c>
      <c r="V180" s="52">
        <f t="shared" ca="1" si="130"/>
        <v>0</v>
      </c>
      <c r="W180" s="52">
        <f t="shared" ca="1" si="130"/>
        <v>0</v>
      </c>
      <c r="X180" s="52">
        <f t="shared" ca="1" si="130"/>
        <v>0</v>
      </c>
      <c r="Y180" s="52">
        <f t="shared" ca="1" si="130"/>
        <v>0</v>
      </c>
      <c r="Z180" s="52">
        <f t="shared" ca="1" si="130"/>
        <v>0</v>
      </c>
      <c r="AA180" s="52">
        <f t="shared" ca="1" si="130"/>
        <v>0</v>
      </c>
      <c r="AB180" s="52">
        <f t="shared" ca="1" si="130"/>
        <v>0</v>
      </c>
      <c r="AC180" s="52">
        <f t="shared" ca="1" si="130"/>
        <v>0</v>
      </c>
      <c r="AD180" s="52">
        <f t="shared" ca="1" si="130"/>
        <v>0</v>
      </c>
      <c r="AE180" s="52">
        <f t="shared" ca="1" si="130"/>
        <v>0</v>
      </c>
      <c r="AF180" s="52">
        <f t="shared" ca="1" si="130"/>
        <v>0</v>
      </c>
      <c r="AG180" s="52">
        <f t="shared" ca="1" si="130"/>
        <v>0</v>
      </c>
      <c r="AH180" s="52">
        <f t="shared" ca="1" si="130"/>
        <v>0</v>
      </c>
      <c r="AI180" s="52">
        <f t="shared" ca="1" si="130"/>
        <v>0</v>
      </c>
      <c r="AJ180" s="52">
        <f t="shared" ca="1" si="130"/>
        <v>0</v>
      </c>
      <c r="AK180" s="52">
        <f t="shared" ca="1" si="130"/>
        <v>0</v>
      </c>
      <c r="AL180" s="52">
        <f t="shared" ca="1" si="130"/>
        <v>0</v>
      </c>
      <c r="AM180" s="52">
        <f t="shared" ca="1" si="130"/>
        <v>0</v>
      </c>
      <c r="AN180" s="52">
        <f t="shared" ca="1" si="130"/>
        <v>0</v>
      </c>
      <c r="AO180" s="52">
        <f t="shared" ca="1" si="130"/>
        <v>0</v>
      </c>
      <c r="AP180" s="52">
        <f t="shared" ca="1" si="130"/>
        <v>0</v>
      </c>
      <c r="AQ180" s="52">
        <f t="shared" ca="1" si="130"/>
        <v>0</v>
      </c>
      <c r="AR180" s="52">
        <f t="shared" ca="1" si="130"/>
        <v>0</v>
      </c>
      <c r="AS180" s="52">
        <f t="shared" ca="1" si="130"/>
        <v>0</v>
      </c>
      <c r="AT180" s="52">
        <f t="shared" ca="1" si="130"/>
        <v>0</v>
      </c>
      <c r="AU180" s="52">
        <f t="shared" ca="1" si="130"/>
        <v>0</v>
      </c>
    </row>
    <row r="181" spans="1:47">
      <c r="E181" s="325"/>
      <c r="G181" s="36" t="s">
        <v>10</v>
      </c>
      <c r="H181" s="39"/>
      <c r="I181" s="39"/>
      <c r="J181" s="39"/>
      <c r="K181" s="39"/>
      <c r="L181" s="43"/>
      <c r="R181" s="54">
        <f>Assumptions!M$60</f>
        <v>1</v>
      </c>
      <c r="S181" s="54">
        <f>Assumptions!N$60</f>
        <v>0</v>
      </c>
      <c r="T181" s="54">
        <f>Assumptions!O$60</f>
        <v>0</v>
      </c>
      <c r="U181" s="54">
        <f>Assumptions!P$60</f>
        <v>0</v>
      </c>
      <c r="V181" s="54">
        <f>Assumptions!Q$60</f>
        <v>0</v>
      </c>
      <c r="W181" s="54">
        <f>Assumptions!R$60</f>
        <v>0</v>
      </c>
      <c r="X181" s="54">
        <f>Assumptions!S$60</f>
        <v>0</v>
      </c>
      <c r="Y181" s="54">
        <f>Assumptions!T$60</f>
        <v>0</v>
      </c>
      <c r="Z181" s="54">
        <f>Assumptions!U$60</f>
        <v>0</v>
      </c>
      <c r="AA181" s="54">
        <f>Assumptions!V$60</f>
        <v>0</v>
      </c>
      <c r="AB181" s="54">
        <f>Assumptions!W$60</f>
        <v>0</v>
      </c>
      <c r="AC181" s="54">
        <f>Assumptions!X$60</f>
        <v>0</v>
      </c>
      <c r="AD181" s="54">
        <f>Assumptions!Y$60</f>
        <v>0</v>
      </c>
      <c r="AE181" s="54">
        <f>Assumptions!Z$60</f>
        <v>0</v>
      </c>
      <c r="AF181" s="54">
        <f>Assumptions!AA$60</f>
        <v>0</v>
      </c>
      <c r="AG181" s="54">
        <f>Assumptions!AB$60</f>
        <v>0</v>
      </c>
      <c r="AH181" s="54">
        <f>Assumptions!AC$60</f>
        <v>0</v>
      </c>
      <c r="AI181" s="54">
        <f>Assumptions!AD$60</f>
        <v>0</v>
      </c>
      <c r="AJ181" s="54">
        <f>Assumptions!AE$60</f>
        <v>0</v>
      </c>
      <c r="AK181" s="54">
        <f>Assumptions!AF$60</f>
        <v>0</v>
      </c>
      <c r="AL181" s="54">
        <f>Assumptions!AG$60</f>
        <v>0</v>
      </c>
      <c r="AM181" s="54">
        <f>Assumptions!AH$60</f>
        <v>0</v>
      </c>
      <c r="AN181" s="54">
        <f>Assumptions!AI$60</f>
        <v>0</v>
      </c>
      <c r="AO181" s="54">
        <f>Assumptions!AJ$60</f>
        <v>0</v>
      </c>
      <c r="AP181" s="54">
        <f>Assumptions!AK$60</f>
        <v>0</v>
      </c>
      <c r="AQ181" s="54">
        <f>Assumptions!AL$60</f>
        <v>0</v>
      </c>
      <c r="AR181" s="54">
        <f>Assumptions!AM$60</f>
        <v>0</v>
      </c>
      <c r="AS181" s="54">
        <f>Assumptions!AN$60</f>
        <v>0</v>
      </c>
      <c r="AT181" s="54">
        <f>Assumptions!AO$60</f>
        <v>0</v>
      </c>
      <c r="AU181" s="54">
        <f>Assumptions!AP$60</f>
        <v>0</v>
      </c>
    </row>
    <row r="182" spans="1:47">
      <c r="E182" s="326"/>
      <c r="G182" s="39"/>
      <c r="H182" s="39"/>
      <c r="I182" s="39"/>
      <c r="J182" s="39"/>
      <c r="K182" s="39"/>
    </row>
    <row r="183" spans="1:47">
      <c r="E183" s="327"/>
      <c r="F183" s="28"/>
      <c r="G183" s="324" t="str">
        <f>C180&amp;" O&amp;M"</f>
        <v>Cake Storage O&amp;M</v>
      </c>
      <c r="H183" s="324"/>
      <c r="I183" s="324"/>
      <c r="J183" s="324"/>
      <c r="K183" s="324"/>
      <c r="L183" s="405" t="s">
        <v>79</v>
      </c>
      <c r="M183" s="256"/>
      <c r="N183" s="325" t="s">
        <v>490</v>
      </c>
      <c r="O183" s="311"/>
      <c r="P183" s="325" t="s">
        <v>491</v>
      </c>
      <c r="Q183" s="310"/>
      <c r="R183" s="325">
        <f>R$8</f>
        <v>2014</v>
      </c>
      <c r="S183" s="325">
        <f t="shared" ref="S183:AU183" si="131">S$8</f>
        <v>2015</v>
      </c>
      <c r="T183" s="325">
        <f t="shared" si="131"/>
        <v>2016</v>
      </c>
      <c r="U183" s="325">
        <f t="shared" si="131"/>
        <v>2017</v>
      </c>
      <c r="V183" s="325">
        <f t="shared" si="131"/>
        <v>2018</v>
      </c>
      <c r="W183" s="325">
        <f t="shared" si="131"/>
        <v>2019</v>
      </c>
      <c r="X183" s="325">
        <f t="shared" si="131"/>
        <v>2020</v>
      </c>
      <c r="Y183" s="325">
        <f t="shared" si="131"/>
        <v>2021</v>
      </c>
      <c r="Z183" s="325">
        <f t="shared" si="131"/>
        <v>2022</v>
      </c>
      <c r="AA183" s="325">
        <f t="shared" si="131"/>
        <v>2023</v>
      </c>
      <c r="AB183" s="325">
        <f t="shared" si="131"/>
        <v>2024</v>
      </c>
      <c r="AC183" s="325">
        <f t="shared" si="131"/>
        <v>2025</v>
      </c>
      <c r="AD183" s="325">
        <f t="shared" si="131"/>
        <v>2026</v>
      </c>
      <c r="AE183" s="325">
        <f t="shared" si="131"/>
        <v>2027</v>
      </c>
      <c r="AF183" s="325">
        <f t="shared" si="131"/>
        <v>2028</v>
      </c>
      <c r="AG183" s="325">
        <f t="shared" si="131"/>
        <v>2029</v>
      </c>
      <c r="AH183" s="325">
        <f t="shared" si="131"/>
        <v>2030</v>
      </c>
      <c r="AI183" s="325">
        <f t="shared" si="131"/>
        <v>2031</v>
      </c>
      <c r="AJ183" s="325">
        <f t="shared" si="131"/>
        <v>2032</v>
      </c>
      <c r="AK183" s="325">
        <f t="shared" si="131"/>
        <v>2033</v>
      </c>
      <c r="AL183" s="325">
        <f t="shared" si="131"/>
        <v>2034</v>
      </c>
      <c r="AM183" s="325">
        <f t="shared" si="131"/>
        <v>2035</v>
      </c>
      <c r="AN183" s="325">
        <f t="shared" si="131"/>
        <v>2036</v>
      </c>
      <c r="AO183" s="325">
        <f t="shared" si="131"/>
        <v>2037</v>
      </c>
      <c r="AP183" s="325">
        <f t="shared" si="131"/>
        <v>2038</v>
      </c>
      <c r="AQ183" s="325">
        <f t="shared" si="131"/>
        <v>2039</v>
      </c>
      <c r="AR183" s="325">
        <f t="shared" si="131"/>
        <v>2040</v>
      </c>
      <c r="AS183" s="325">
        <f t="shared" si="131"/>
        <v>2041</v>
      </c>
      <c r="AT183" s="325">
        <f t="shared" si="131"/>
        <v>2042</v>
      </c>
      <c r="AU183" s="325">
        <f t="shared" si="131"/>
        <v>2043</v>
      </c>
    </row>
    <row r="184" spans="1:47">
      <c r="E184" s="325"/>
      <c r="G184" s="39"/>
      <c r="H184" s="39"/>
      <c r="I184" s="39"/>
      <c r="J184" s="39"/>
      <c r="K184" s="39"/>
    </row>
    <row r="185" spans="1:47">
      <c r="E185" s="325"/>
      <c r="G185" s="39" t="s">
        <v>23</v>
      </c>
      <c r="H185" s="39"/>
      <c r="I185" s="39"/>
      <c r="J185" s="39"/>
      <c r="K185" s="39"/>
    </row>
    <row r="186" spans="1:47">
      <c r="A186" s="38" t="str">
        <f t="shared" ref="A186:A193" si="132">$J$4&amp;"-"</f>
        <v>1X-</v>
      </c>
      <c r="B186" s="38" t="s">
        <v>262</v>
      </c>
      <c r="C186" s="38" t="str">
        <f>C180</f>
        <v>Cake Storage</v>
      </c>
      <c r="D186" s="186">
        <f>LaborEsc</f>
        <v>0.02</v>
      </c>
      <c r="E186" s="325"/>
      <c r="G186" s="36" t="s">
        <v>125</v>
      </c>
      <c r="I186" s="39"/>
      <c r="K186" s="39"/>
      <c r="L186" s="43" t="s">
        <v>266</v>
      </c>
      <c r="N186" s="70">
        <f ca="1">SUMIFS(OFFSET(Assumptions!$I$90,0,MATCH($A186,Configurations,0)-1,COUNT(Assumptions!$A$90:$A$183),1),Assumptions!$D$90:$D$183,$B186&amp;$C186)</f>
        <v>1277.5</v>
      </c>
      <c r="O186" s="313"/>
      <c r="P186" s="323"/>
      <c r="Q186" s="313"/>
      <c r="R186" s="50">
        <f t="shared" ref="R186:AU186" ca="1" si="133">IF(OR(R$99&lt;InServiceYr,R$99&gt;(InServiceYr+analysis_period-1)),0,IF($P186=0,$N186,$P186)*LaborCost*(1+$D186)^(R$99-CostBaseYr))</f>
        <v>45606.75</v>
      </c>
      <c r="S186" s="50">
        <f t="shared" ca="1" si="133"/>
        <v>46518.885000000002</v>
      </c>
      <c r="T186" s="50">
        <f t="shared" ca="1" si="133"/>
        <v>47449.262699999999</v>
      </c>
      <c r="U186" s="50">
        <f t="shared" ca="1" si="133"/>
        <v>48398.247953999999</v>
      </c>
      <c r="V186" s="50">
        <f t="shared" ca="1" si="133"/>
        <v>49366.212913080002</v>
      </c>
      <c r="W186" s="50">
        <f t="shared" ca="1" si="133"/>
        <v>50353.537171341603</v>
      </c>
      <c r="X186" s="50">
        <f t="shared" ca="1" si="133"/>
        <v>51360.607914768421</v>
      </c>
      <c r="Y186" s="50">
        <f t="shared" ca="1" si="133"/>
        <v>52387.820073063798</v>
      </c>
      <c r="Z186" s="50">
        <f t="shared" ca="1" si="133"/>
        <v>53435.576474525071</v>
      </c>
      <c r="AA186" s="50">
        <f t="shared" ca="1" si="133"/>
        <v>54504.28800401558</v>
      </c>
      <c r="AB186" s="50">
        <f t="shared" ca="1" si="133"/>
        <v>55594.373764095879</v>
      </c>
      <c r="AC186" s="50">
        <f t="shared" ca="1" si="133"/>
        <v>56706.261239377804</v>
      </c>
      <c r="AD186" s="50">
        <f t="shared" ca="1" si="133"/>
        <v>57840.386464165356</v>
      </c>
      <c r="AE186" s="50">
        <f t="shared" ca="1" si="133"/>
        <v>58997.194193448668</v>
      </c>
      <c r="AF186" s="50">
        <f t="shared" ca="1" si="133"/>
        <v>60177.138077317628</v>
      </c>
      <c r="AG186" s="50">
        <f t="shared" ca="1" si="133"/>
        <v>61380.680838863991</v>
      </c>
      <c r="AH186" s="50">
        <f t="shared" ca="1" si="133"/>
        <v>62608.294455641277</v>
      </c>
      <c r="AI186" s="50">
        <f t="shared" ca="1" si="133"/>
        <v>63860.460344754094</v>
      </c>
      <c r="AJ186" s="50">
        <f t="shared" ca="1" si="133"/>
        <v>65137.669551649175</v>
      </c>
      <c r="AK186" s="50">
        <f t="shared" ca="1" si="133"/>
        <v>66440.422942682169</v>
      </c>
      <c r="AL186" s="50">
        <f t="shared" si="133"/>
        <v>0</v>
      </c>
      <c r="AM186" s="50">
        <f t="shared" si="133"/>
        <v>0</v>
      </c>
      <c r="AN186" s="50">
        <f t="shared" si="133"/>
        <v>0</v>
      </c>
      <c r="AO186" s="50">
        <f t="shared" si="133"/>
        <v>0</v>
      </c>
      <c r="AP186" s="50">
        <f t="shared" si="133"/>
        <v>0</v>
      </c>
      <c r="AQ186" s="50">
        <f t="shared" si="133"/>
        <v>0</v>
      </c>
      <c r="AR186" s="50">
        <f t="shared" si="133"/>
        <v>0</v>
      </c>
      <c r="AS186" s="50">
        <f t="shared" si="133"/>
        <v>0</v>
      </c>
      <c r="AT186" s="50">
        <f t="shared" si="133"/>
        <v>0</v>
      </c>
      <c r="AU186" s="50">
        <f t="shared" si="133"/>
        <v>0</v>
      </c>
    </row>
    <row r="187" spans="1:47">
      <c r="A187" s="38" t="str">
        <f t="shared" si="132"/>
        <v>1X-</v>
      </c>
      <c r="B187" s="38" t="s">
        <v>270</v>
      </c>
      <c r="C187" s="38" t="str">
        <f>C186</f>
        <v>Cake Storage</v>
      </c>
      <c r="D187" s="186">
        <f>OMEsc</f>
        <v>0.02</v>
      </c>
      <c r="E187" s="325"/>
      <c r="G187" s="36" t="s">
        <v>126</v>
      </c>
      <c r="I187" s="39"/>
      <c r="K187" s="39"/>
      <c r="L187" s="43" t="str">
        <f>"["&amp;CostBaseYr&amp;" $]"</f>
        <v>[2013 $]</v>
      </c>
      <c r="N187" s="70">
        <f ca="1">SUMIFS(OFFSET(Assumptions!$I$90,0,MATCH($A187,Configurations,0)-1,COUNT(Assumptions!$A$90:$A$183),1),Assumptions!$D$90:$D$183,$B187&amp;$C187)</f>
        <v>27000</v>
      </c>
      <c r="O187" s="313"/>
      <c r="P187" s="323"/>
      <c r="Q187" s="313"/>
      <c r="R187" s="50">
        <f t="shared" ref="R187:AG189" ca="1" si="134">IF(OR(R$99&lt;InServiceYr,R$99&gt;(InServiceYr+analysis_period-1)),0,IF($P187=0,$N187,$P187)*(1+$D187)^(R$99-CostBaseYr))</f>
        <v>27540</v>
      </c>
      <c r="S187" s="50">
        <f t="shared" ca="1" si="134"/>
        <v>28090.799999999999</v>
      </c>
      <c r="T187" s="50">
        <f t="shared" ca="1" si="134"/>
        <v>28652.615999999998</v>
      </c>
      <c r="U187" s="50">
        <f t="shared" ca="1" si="134"/>
        <v>29225.668320000001</v>
      </c>
      <c r="V187" s="50">
        <f t="shared" ca="1" si="134"/>
        <v>29810.181686399999</v>
      </c>
      <c r="W187" s="50">
        <f t="shared" ca="1" si="134"/>
        <v>30406.385320128004</v>
      </c>
      <c r="X187" s="50">
        <f t="shared" ca="1" si="134"/>
        <v>31014.513026530556</v>
      </c>
      <c r="Y187" s="50">
        <f t="shared" ca="1" si="134"/>
        <v>31634.803287061168</v>
      </c>
      <c r="Z187" s="50">
        <f t="shared" ca="1" si="134"/>
        <v>32267.499352802392</v>
      </c>
      <c r="AA187" s="50">
        <f t="shared" ca="1" si="134"/>
        <v>32912.84933985844</v>
      </c>
      <c r="AB187" s="50">
        <f t="shared" ca="1" si="134"/>
        <v>33571.106326655601</v>
      </c>
      <c r="AC187" s="50">
        <f t="shared" ca="1" si="134"/>
        <v>34242.528453188723</v>
      </c>
      <c r="AD187" s="50">
        <f t="shared" ca="1" si="134"/>
        <v>34927.379022252491</v>
      </c>
      <c r="AE187" s="50">
        <f t="shared" ca="1" si="134"/>
        <v>35625.926602697546</v>
      </c>
      <c r="AF187" s="50">
        <f t="shared" ca="1" si="134"/>
        <v>36338.445134751491</v>
      </c>
      <c r="AG187" s="50">
        <f t="shared" ca="1" si="134"/>
        <v>37065.214037446523</v>
      </c>
      <c r="AH187" s="50">
        <f t="shared" ref="S187:AU189" ca="1" si="135">IF(OR(AH$99&lt;InServiceYr,AH$99&gt;(InServiceYr+analysis_period-1)),0,IF($P187=0,$N187,$P187)*(1+$D187)^(AH$99-CostBaseYr))</f>
        <v>37806.518318195456</v>
      </c>
      <c r="AI187" s="50">
        <f t="shared" ca="1" si="135"/>
        <v>38562.648684559361</v>
      </c>
      <c r="AJ187" s="50">
        <f t="shared" ca="1" si="135"/>
        <v>39333.90165825055</v>
      </c>
      <c r="AK187" s="50">
        <f t="shared" ca="1" si="135"/>
        <v>40120.579691415565</v>
      </c>
      <c r="AL187" s="50">
        <f t="shared" si="135"/>
        <v>0</v>
      </c>
      <c r="AM187" s="50">
        <f t="shared" si="135"/>
        <v>0</v>
      </c>
      <c r="AN187" s="50">
        <f t="shared" si="135"/>
        <v>0</v>
      </c>
      <c r="AO187" s="50">
        <f t="shared" si="135"/>
        <v>0</v>
      </c>
      <c r="AP187" s="50">
        <f t="shared" si="135"/>
        <v>0</v>
      </c>
      <c r="AQ187" s="50">
        <f t="shared" si="135"/>
        <v>0</v>
      </c>
      <c r="AR187" s="50">
        <f t="shared" si="135"/>
        <v>0</v>
      </c>
      <c r="AS187" s="50">
        <f t="shared" si="135"/>
        <v>0</v>
      </c>
      <c r="AT187" s="50">
        <f t="shared" si="135"/>
        <v>0</v>
      </c>
      <c r="AU187" s="50">
        <f t="shared" si="135"/>
        <v>0</v>
      </c>
    </row>
    <row r="188" spans="1:47">
      <c r="A188" s="38" t="str">
        <f t="shared" si="132"/>
        <v>1X-</v>
      </c>
      <c r="B188" s="38" t="s">
        <v>263</v>
      </c>
      <c r="C188" s="38" t="str">
        <f t="shared" ref="C188:C192" si="136">C187</f>
        <v>Cake Storage</v>
      </c>
      <c r="D188" s="186">
        <f>OMEsc</f>
        <v>0.02</v>
      </c>
      <c r="E188" s="325"/>
      <c r="G188" s="36" t="s">
        <v>127</v>
      </c>
      <c r="I188" s="39"/>
      <c r="K188" s="39"/>
      <c r="L188" s="43" t="str">
        <f>"["&amp;CostBaseYr&amp;" $]"</f>
        <v>[2013 $]</v>
      </c>
      <c r="N188" s="70">
        <f ca="1">SUMIFS(OFFSET(Assumptions!$I$90,0,MATCH($A188,Configurations,0)-1,COUNT(Assumptions!$A$90:$A$183),1),Assumptions!$D$90:$D$183,$B188&amp;$C188)</f>
        <v>0</v>
      </c>
      <c r="O188" s="313"/>
      <c r="P188" s="323"/>
      <c r="Q188" s="313"/>
      <c r="R188" s="50">
        <f t="shared" ca="1" si="134"/>
        <v>0</v>
      </c>
      <c r="S188" s="50">
        <f t="shared" ca="1" si="135"/>
        <v>0</v>
      </c>
      <c r="T188" s="50">
        <f t="shared" ca="1" si="135"/>
        <v>0</v>
      </c>
      <c r="U188" s="50">
        <f t="shared" ca="1" si="135"/>
        <v>0</v>
      </c>
      <c r="V188" s="50">
        <f t="shared" ca="1" si="135"/>
        <v>0</v>
      </c>
      <c r="W188" s="50">
        <f t="shared" ca="1" si="135"/>
        <v>0</v>
      </c>
      <c r="X188" s="50">
        <f t="shared" ca="1" si="135"/>
        <v>0</v>
      </c>
      <c r="Y188" s="50">
        <f t="shared" ca="1" si="135"/>
        <v>0</v>
      </c>
      <c r="Z188" s="50">
        <f t="shared" ca="1" si="135"/>
        <v>0</v>
      </c>
      <c r="AA188" s="50">
        <f t="shared" ca="1" si="135"/>
        <v>0</v>
      </c>
      <c r="AB188" s="50">
        <f t="shared" ca="1" si="135"/>
        <v>0</v>
      </c>
      <c r="AC188" s="50">
        <f t="shared" ca="1" si="135"/>
        <v>0</v>
      </c>
      <c r="AD188" s="50">
        <f t="shared" ca="1" si="135"/>
        <v>0</v>
      </c>
      <c r="AE188" s="50">
        <f t="shared" ca="1" si="135"/>
        <v>0</v>
      </c>
      <c r="AF188" s="50">
        <f t="shared" ca="1" si="135"/>
        <v>0</v>
      </c>
      <c r="AG188" s="50">
        <f t="shared" ca="1" si="135"/>
        <v>0</v>
      </c>
      <c r="AH188" s="50">
        <f t="shared" ca="1" si="135"/>
        <v>0</v>
      </c>
      <c r="AI188" s="50">
        <f t="shared" ca="1" si="135"/>
        <v>0</v>
      </c>
      <c r="AJ188" s="50">
        <f t="shared" ca="1" si="135"/>
        <v>0</v>
      </c>
      <c r="AK188" s="50">
        <f t="shared" ca="1" si="135"/>
        <v>0</v>
      </c>
      <c r="AL188" s="50">
        <f t="shared" si="135"/>
        <v>0</v>
      </c>
      <c r="AM188" s="50">
        <f t="shared" si="135"/>
        <v>0</v>
      </c>
      <c r="AN188" s="50">
        <f t="shared" si="135"/>
        <v>0</v>
      </c>
      <c r="AO188" s="50">
        <f t="shared" si="135"/>
        <v>0</v>
      </c>
      <c r="AP188" s="50">
        <f t="shared" si="135"/>
        <v>0</v>
      </c>
      <c r="AQ188" s="50">
        <f t="shared" si="135"/>
        <v>0</v>
      </c>
      <c r="AR188" s="50">
        <f t="shared" si="135"/>
        <v>0</v>
      </c>
      <c r="AS188" s="50">
        <f t="shared" si="135"/>
        <v>0</v>
      </c>
      <c r="AT188" s="50">
        <f t="shared" si="135"/>
        <v>0</v>
      </c>
      <c r="AU188" s="50">
        <f t="shared" si="135"/>
        <v>0</v>
      </c>
    </row>
    <row r="189" spans="1:47">
      <c r="A189" s="38" t="str">
        <f t="shared" si="132"/>
        <v>1X-</v>
      </c>
      <c r="B189" s="38" t="s">
        <v>277</v>
      </c>
      <c r="C189" s="38" t="str">
        <f t="shared" si="136"/>
        <v>Cake Storage</v>
      </c>
      <c r="D189" s="186">
        <f>OMEsc</f>
        <v>0.02</v>
      </c>
      <c r="E189" s="325"/>
      <c r="G189" s="36" t="s">
        <v>276</v>
      </c>
      <c r="I189" s="39"/>
      <c r="K189" s="39"/>
      <c r="L189" s="43" t="str">
        <f>"["&amp;CostBaseYr&amp;" $]"</f>
        <v>[2013 $]</v>
      </c>
      <c r="N189" s="70">
        <f ca="1">SUMIFS(OFFSET(Assumptions!$I$90,0,MATCH($A189,Configurations,0)-1,COUNT(Assumptions!$A$90:$A$183),1),Assumptions!$D$90:$D$183,$B189&amp;$C189)</f>
        <v>0</v>
      </c>
      <c r="O189" s="313"/>
      <c r="P189" s="323"/>
      <c r="Q189" s="313"/>
      <c r="R189" s="50">
        <f t="shared" ca="1" si="134"/>
        <v>0</v>
      </c>
      <c r="S189" s="50">
        <f t="shared" ca="1" si="135"/>
        <v>0</v>
      </c>
      <c r="T189" s="50">
        <f t="shared" ca="1" si="135"/>
        <v>0</v>
      </c>
      <c r="U189" s="50">
        <f t="shared" ca="1" si="135"/>
        <v>0</v>
      </c>
      <c r="V189" s="50">
        <f t="shared" ca="1" si="135"/>
        <v>0</v>
      </c>
      <c r="W189" s="50">
        <f t="shared" ca="1" si="135"/>
        <v>0</v>
      </c>
      <c r="X189" s="50">
        <f t="shared" ca="1" si="135"/>
        <v>0</v>
      </c>
      <c r="Y189" s="50">
        <f t="shared" ca="1" si="135"/>
        <v>0</v>
      </c>
      <c r="Z189" s="50">
        <f t="shared" ca="1" si="135"/>
        <v>0</v>
      </c>
      <c r="AA189" s="50">
        <f t="shared" ca="1" si="135"/>
        <v>0</v>
      </c>
      <c r="AB189" s="50">
        <f t="shared" ca="1" si="135"/>
        <v>0</v>
      </c>
      <c r="AC189" s="50">
        <f t="shared" ca="1" si="135"/>
        <v>0</v>
      </c>
      <c r="AD189" s="50">
        <f t="shared" ca="1" si="135"/>
        <v>0</v>
      </c>
      <c r="AE189" s="50">
        <f t="shared" ca="1" si="135"/>
        <v>0</v>
      </c>
      <c r="AF189" s="50">
        <f t="shared" ca="1" si="135"/>
        <v>0</v>
      </c>
      <c r="AG189" s="50">
        <f t="shared" ca="1" si="135"/>
        <v>0</v>
      </c>
      <c r="AH189" s="50">
        <f t="shared" ca="1" si="135"/>
        <v>0</v>
      </c>
      <c r="AI189" s="50">
        <f t="shared" ca="1" si="135"/>
        <v>0</v>
      </c>
      <c r="AJ189" s="50">
        <f t="shared" ca="1" si="135"/>
        <v>0</v>
      </c>
      <c r="AK189" s="50">
        <f t="shared" ca="1" si="135"/>
        <v>0</v>
      </c>
      <c r="AL189" s="50">
        <f t="shared" si="135"/>
        <v>0</v>
      </c>
      <c r="AM189" s="50">
        <f t="shared" si="135"/>
        <v>0</v>
      </c>
      <c r="AN189" s="50">
        <f t="shared" si="135"/>
        <v>0</v>
      </c>
      <c r="AO189" s="50">
        <f t="shared" si="135"/>
        <v>0</v>
      </c>
      <c r="AP189" s="50">
        <f t="shared" si="135"/>
        <v>0</v>
      </c>
      <c r="AQ189" s="50">
        <f t="shared" si="135"/>
        <v>0</v>
      </c>
      <c r="AR189" s="50">
        <f t="shared" si="135"/>
        <v>0</v>
      </c>
      <c r="AS189" s="50">
        <f t="shared" si="135"/>
        <v>0</v>
      </c>
      <c r="AT189" s="50">
        <f t="shared" si="135"/>
        <v>0</v>
      </c>
      <c r="AU189" s="50">
        <f t="shared" si="135"/>
        <v>0</v>
      </c>
    </row>
    <row r="190" spans="1:47">
      <c r="A190" s="38" t="str">
        <f t="shared" si="132"/>
        <v>1X-</v>
      </c>
      <c r="B190" s="38" t="s">
        <v>274</v>
      </c>
      <c r="C190" s="38" t="str">
        <f t="shared" si="136"/>
        <v>Cake Storage</v>
      </c>
      <c r="D190" s="186"/>
      <c r="E190" s="325"/>
      <c r="G190" s="36" t="s">
        <v>16</v>
      </c>
      <c r="I190" s="39"/>
      <c r="K190" s="39"/>
      <c r="L190" s="43" t="s">
        <v>275</v>
      </c>
      <c r="N190" s="70">
        <f ca="1">SUMIFS(OFFSET(Assumptions!$I$90,0,MATCH($A190,Configurations,0)-1,COUNT(Assumptions!$A$90:$A$183),1),Assumptions!$D$90:$D$183,$B190&amp;$C190)</f>
        <v>0</v>
      </c>
      <c r="O190" s="313"/>
      <c r="P190" s="323"/>
      <c r="Q190" s="313"/>
      <c r="R190" s="50">
        <f t="shared" ref="R190:AU190" ca="1" si="137">IF(OR(R$99&lt;InServiceYr,R$99&gt;(InServiceYr+analysis_period-1)),0,IF($P190=0,$N190,$P190)*R$505)</f>
        <v>0</v>
      </c>
      <c r="S190" s="50">
        <f t="shared" ca="1" si="137"/>
        <v>0</v>
      </c>
      <c r="T190" s="50">
        <f t="shared" ca="1" si="137"/>
        <v>0</v>
      </c>
      <c r="U190" s="50">
        <f t="shared" ca="1" si="137"/>
        <v>0</v>
      </c>
      <c r="V190" s="50">
        <f t="shared" ca="1" si="137"/>
        <v>0</v>
      </c>
      <c r="W190" s="50">
        <f t="shared" ca="1" si="137"/>
        <v>0</v>
      </c>
      <c r="X190" s="50">
        <f t="shared" ca="1" si="137"/>
        <v>0</v>
      </c>
      <c r="Y190" s="50">
        <f t="shared" ca="1" si="137"/>
        <v>0</v>
      </c>
      <c r="Z190" s="50">
        <f t="shared" ca="1" si="137"/>
        <v>0</v>
      </c>
      <c r="AA190" s="50">
        <f t="shared" ca="1" si="137"/>
        <v>0</v>
      </c>
      <c r="AB190" s="50">
        <f t="shared" ca="1" si="137"/>
        <v>0</v>
      </c>
      <c r="AC190" s="50">
        <f t="shared" ca="1" si="137"/>
        <v>0</v>
      </c>
      <c r="AD190" s="50">
        <f t="shared" ca="1" si="137"/>
        <v>0</v>
      </c>
      <c r="AE190" s="50">
        <f t="shared" ca="1" si="137"/>
        <v>0</v>
      </c>
      <c r="AF190" s="50">
        <f t="shared" ca="1" si="137"/>
        <v>0</v>
      </c>
      <c r="AG190" s="50">
        <f t="shared" ca="1" si="137"/>
        <v>0</v>
      </c>
      <c r="AH190" s="50">
        <f t="shared" ca="1" si="137"/>
        <v>0</v>
      </c>
      <c r="AI190" s="50">
        <f t="shared" ca="1" si="137"/>
        <v>0</v>
      </c>
      <c r="AJ190" s="50">
        <f t="shared" ca="1" si="137"/>
        <v>0</v>
      </c>
      <c r="AK190" s="50">
        <f t="shared" ca="1" si="137"/>
        <v>0</v>
      </c>
      <c r="AL190" s="50">
        <f t="shared" si="137"/>
        <v>0</v>
      </c>
      <c r="AM190" s="50">
        <f t="shared" si="137"/>
        <v>0</v>
      </c>
      <c r="AN190" s="50">
        <f t="shared" si="137"/>
        <v>0</v>
      </c>
      <c r="AO190" s="50">
        <f t="shared" si="137"/>
        <v>0</v>
      </c>
      <c r="AP190" s="50">
        <f t="shared" si="137"/>
        <v>0</v>
      </c>
      <c r="AQ190" s="50">
        <f t="shared" si="137"/>
        <v>0</v>
      </c>
      <c r="AR190" s="50">
        <f t="shared" si="137"/>
        <v>0</v>
      </c>
      <c r="AS190" s="50">
        <f t="shared" si="137"/>
        <v>0</v>
      </c>
      <c r="AT190" s="50">
        <f t="shared" si="137"/>
        <v>0</v>
      </c>
      <c r="AU190" s="50">
        <f t="shared" si="137"/>
        <v>0</v>
      </c>
    </row>
    <row r="191" spans="1:47">
      <c r="A191" s="38" t="str">
        <f t="shared" si="132"/>
        <v>1X-</v>
      </c>
      <c r="B191" s="38" t="s">
        <v>257</v>
      </c>
      <c r="C191" s="38" t="str">
        <f t="shared" si="136"/>
        <v>Cake Storage</v>
      </c>
      <c r="D191" s="186"/>
      <c r="E191" s="325"/>
      <c r="G191" s="36" t="s">
        <v>284</v>
      </c>
      <c r="I191" s="39"/>
      <c r="K191" s="39"/>
      <c r="L191" s="43" t="s">
        <v>293</v>
      </c>
      <c r="N191" s="70">
        <f ca="1">SUMIFS(OFFSET(Assumptions!$I$90,0,MATCH($A191,Configurations,0)-1,COUNT(Assumptions!$A$90:$A$183),1),Assumptions!$D$90:$D$183,$B191&amp;$C191)</f>
        <v>0</v>
      </c>
      <c r="O191" s="313"/>
      <c r="P191" s="323"/>
      <c r="Q191" s="313"/>
      <c r="R191" s="50">
        <f t="shared" ref="R191:AU191" ca="1" si="138">IF(OR(R$99&lt;InServiceYr,R$99&gt;(InServiceYr+analysis_period-1)),0,IF($P191=0,$N191,$P191)*R$501)</f>
        <v>0</v>
      </c>
      <c r="S191" s="50">
        <f t="shared" ca="1" si="138"/>
        <v>0</v>
      </c>
      <c r="T191" s="50">
        <f t="shared" ca="1" si="138"/>
        <v>0</v>
      </c>
      <c r="U191" s="50">
        <f t="shared" ca="1" si="138"/>
        <v>0</v>
      </c>
      <c r="V191" s="50">
        <f t="shared" ca="1" si="138"/>
        <v>0</v>
      </c>
      <c r="W191" s="50">
        <f t="shared" ca="1" si="138"/>
        <v>0</v>
      </c>
      <c r="X191" s="50">
        <f t="shared" ca="1" si="138"/>
        <v>0</v>
      </c>
      <c r="Y191" s="50">
        <f t="shared" ca="1" si="138"/>
        <v>0</v>
      </c>
      <c r="Z191" s="50">
        <f t="shared" ca="1" si="138"/>
        <v>0</v>
      </c>
      <c r="AA191" s="50">
        <f t="shared" ca="1" si="138"/>
        <v>0</v>
      </c>
      <c r="AB191" s="50">
        <f t="shared" ca="1" si="138"/>
        <v>0</v>
      </c>
      <c r="AC191" s="50">
        <f t="shared" ca="1" si="138"/>
        <v>0</v>
      </c>
      <c r="AD191" s="50">
        <f t="shared" ca="1" si="138"/>
        <v>0</v>
      </c>
      <c r="AE191" s="50">
        <f t="shared" ca="1" si="138"/>
        <v>0</v>
      </c>
      <c r="AF191" s="50">
        <f t="shared" ca="1" si="138"/>
        <v>0</v>
      </c>
      <c r="AG191" s="50">
        <f t="shared" ca="1" si="138"/>
        <v>0</v>
      </c>
      <c r="AH191" s="50">
        <f t="shared" ca="1" si="138"/>
        <v>0</v>
      </c>
      <c r="AI191" s="50">
        <f t="shared" ca="1" si="138"/>
        <v>0</v>
      </c>
      <c r="AJ191" s="50">
        <f t="shared" ca="1" si="138"/>
        <v>0</v>
      </c>
      <c r="AK191" s="50">
        <f t="shared" ca="1" si="138"/>
        <v>0</v>
      </c>
      <c r="AL191" s="50">
        <f t="shared" si="138"/>
        <v>0</v>
      </c>
      <c r="AM191" s="50">
        <f t="shared" si="138"/>
        <v>0</v>
      </c>
      <c r="AN191" s="50">
        <f t="shared" si="138"/>
        <v>0</v>
      </c>
      <c r="AO191" s="50">
        <f t="shared" si="138"/>
        <v>0</v>
      </c>
      <c r="AP191" s="50">
        <f t="shared" si="138"/>
        <v>0</v>
      </c>
      <c r="AQ191" s="50">
        <f t="shared" si="138"/>
        <v>0</v>
      </c>
      <c r="AR191" s="50">
        <f t="shared" si="138"/>
        <v>0</v>
      </c>
      <c r="AS191" s="50">
        <f t="shared" si="138"/>
        <v>0</v>
      </c>
      <c r="AT191" s="50">
        <f t="shared" si="138"/>
        <v>0</v>
      </c>
      <c r="AU191" s="50">
        <f t="shared" si="138"/>
        <v>0</v>
      </c>
    </row>
    <row r="192" spans="1:47">
      <c r="A192" s="38" t="str">
        <f t="shared" si="132"/>
        <v>1X-</v>
      </c>
      <c r="B192" s="38" t="s">
        <v>864</v>
      </c>
      <c r="C192" s="38" t="str">
        <f t="shared" si="136"/>
        <v>Cake Storage</v>
      </c>
      <c r="D192" s="186">
        <f>GHGEsc</f>
        <v>0.02</v>
      </c>
      <c r="E192" s="325"/>
      <c r="G192" s="36" t="s">
        <v>865</v>
      </c>
      <c r="I192" s="39"/>
      <c r="K192" s="39"/>
      <c r="L192" s="43" t="s">
        <v>866</v>
      </c>
      <c r="N192" s="70">
        <f ca="1">SUMIFS(OFFSET(Assumptions!$I$90,0,MATCH($A192,Configurations,0)-1,COUNT(Assumptions!$A$90:$A$183),1),Assumptions!$D$90:$D$183,$B192&amp;$C192)</f>
        <v>0</v>
      </c>
      <c r="O192" s="313"/>
      <c r="P192" s="323"/>
      <c r="Q192" s="313"/>
      <c r="R192" s="50">
        <f t="shared" ref="R192:AU192" ca="1" si="139">IF(OR(R$99&lt;InServiceYr,R$99&gt;(InServiceYr+analysis_period-1)),0,IF($P192=0,$N192,$P192)*R$513)</f>
        <v>0</v>
      </c>
      <c r="S192" s="50">
        <f t="shared" ca="1" si="139"/>
        <v>0</v>
      </c>
      <c r="T192" s="50">
        <f t="shared" ca="1" si="139"/>
        <v>0</v>
      </c>
      <c r="U192" s="50">
        <f t="shared" ca="1" si="139"/>
        <v>0</v>
      </c>
      <c r="V192" s="50">
        <f t="shared" ca="1" si="139"/>
        <v>0</v>
      </c>
      <c r="W192" s="50">
        <f t="shared" ca="1" si="139"/>
        <v>0</v>
      </c>
      <c r="X192" s="50">
        <f t="shared" ca="1" si="139"/>
        <v>0</v>
      </c>
      <c r="Y192" s="50">
        <f t="shared" ca="1" si="139"/>
        <v>0</v>
      </c>
      <c r="Z192" s="50">
        <f t="shared" ca="1" si="139"/>
        <v>0</v>
      </c>
      <c r="AA192" s="50">
        <f t="shared" ca="1" si="139"/>
        <v>0</v>
      </c>
      <c r="AB192" s="50">
        <f t="shared" ca="1" si="139"/>
        <v>0</v>
      </c>
      <c r="AC192" s="50">
        <f t="shared" ca="1" si="139"/>
        <v>0</v>
      </c>
      <c r="AD192" s="50">
        <f t="shared" ca="1" si="139"/>
        <v>0</v>
      </c>
      <c r="AE192" s="50">
        <f t="shared" ca="1" si="139"/>
        <v>0</v>
      </c>
      <c r="AF192" s="50">
        <f t="shared" ca="1" si="139"/>
        <v>0</v>
      </c>
      <c r="AG192" s="50">
        <f t="shared" ca="1" si="139"/>
        <v>0</v>
      </c>
      <c r="AH192" s="50">
        <f t="shared" ca="1" si="139"/>
        <v>0</v>
      </c>
      <c r="AI192" s="50">
        <f t="shared" ca="1" si="139"/>
        <v>0</v>
      </c>
      <c r="AJ192" s="50">
        <f t="shared" ca="1" si="139"/>
        <v>0</v>
      </c>
      <c r="AK192" s="50">
        <f t="shared" ca="1" si="139"/>
        <v>0</v>
      </c>
      <c r="AL192" s="50">
        <f t="shared" si="139"/>
        <v>0</v>
      </c>
      <c r="AM192" s="50">
        <f t="shared" si="139"/>
        <v>0</v>
      </c>
      <c r="AN192" s="50">
        <f t="shared" si="139"/>
        <v>0</v>
      </c>
      <c r="AO192" s="50">
        <f t="shared" si="139"/>
        <v>0</v>
      </c>
      <c r="AP192" s="50">
        <f t="shared" si="139"/>
        <v>0</v>
      </c>
      <c r="AQ192" s="50">
        <f t="shared" si="139"/>
        <v>0</v>
      </c>
      <c r="AR192" s="50">
        <f t="shared" si="139"/>
        <v>0</v>
      </c>
      <c r="AS192" s="50">
        <f t="shared" si="139"/>
        <v>0</v>
      </c>
      <c r="AT192" s="50">
        <f t="shared" si="139"/>
        <v>0</v>
      </c>
      <c r="AU192" s="50">
        <f t="shared" si="139"/>
        <v>0</v>
      </c>
    </row>
    <row r="193" spans="1:47">
      <c r="A193" s="38" t="str">
        <f t="shared" si="132"/>
        <v>1X-</v>
      </c>
      <c r="B193" s="38" t="s">
        <v>273</v>
      </c>
      <c r="C193" s="38" t="str">
        <f>C191</f>
        <v>Cake Storage</v>
      </c>
      <c r="D193" s="186">
        <f>LaborEsc</f>
        <v>0.02</v>
      </c>
      <c r="E193" s="325"/>
      <c r="G193" s="36" t="s">
        <v>291</v>
      </c>
      <c r="I193" s="39"/>
      <c r="K193" s="39"/>
      <c r="L193" s="43" t="str">
        <f>"["&amp;CostBaseYr&amp;" $]"</f>
        <v>[2013 $]</v>
      </c>
      <c r="N193" s="70">
        <f ca="1">SUMIFS(OFFSET(Assumptions!$I$90,0,MATCH($A193,Configurations,0)-1,COUNT(Assumptions!$A$90:$A$183),1),Assumptions!$D$90:$D$183,$B193&amp;$C193)</f>
        <v>0</v>
      </c>
      <c r="O193" s="313"/>
      <c r="P193" s="323"/>
      <c r="Q193" s="313"/>
      <c r="R193" s="50">
        <f t="shared" ref="R193:AU193" ca="1" si="140">IF(OR(R$99&lt;InServiceYr,R$99&gt;(InServiceYr+analysis_period-1)),0,IF($P193=0,$N193,$P193)*(1+$D193)^(R$99-CostBaseYr))*R$509</f>
        <v>0</v>
      </c>
      <c r="S193" s="50">
        <f t="shared" ca="1" si="140"/>
        <v>0</v>
      </c>
      <c r="T193" s="50">
        <f t="shared" ca="1" si="140"/>
        <v>0</v>
      </c>
      <c r="U193" s="50">
        <f t="shared" ca="1" si="140"/>
        <v>0</v>
      </c>
      <c r="V193" s="50">
        <f t="shared" ca="1" si="140"/>
        <v>0</v>
      </c>
      <c r="W193" s="50">
        <f t="shared" ca="1" si="140"/>
        <v>0</v>
      </c>
      <c r="X193" s="50">
        <f t="shared" ca="1" si="140"/>
        <v>0</v>
      </c>
      <c r="Y193" s="50">
        <f t="shared" ca="1" si="140"/>
        <v>0</v>
      </c>
      <c r="Z193" s="50">
        <f t="shared" ca="1" si="140"/>
        <v>0</v>
      </c>
      <c r="AA193" s="50">
        <f t="shared" ca="1" si="140"/>
        <v>0</v>
      </c>
      <c r="AB193" s="50">
        <f t="shared" ca="1" si="140"/>
        <v>0</v>
      </c>
      <c r="AC193" s="50">
        <f t="shared" ca="1" si="140"/>
        <v>0</v>
      </c>
      <c r="AD193" s="50">
        <f t="shared" ca="1" si="140"/>
        <v>0</v>
      </c>
      <c r="AE193" s="50">
        <f t="shared" ca="1" si="140"/>
        <v>0</v>
      </c>
      <c r="AF193" s="50">
        <f t="shared" ca="1" si="140"/>
        <v>0</v>
      </c>
      <c r="AG193" s="50">
        <f t="shared" ca="1" si="140"/>
        <v>0</v>
      </c>
      <c r="AH193" s="50">
        <f t="shared" ca="1" si="140"/>
        <v>0</v>
      </c>
      <c r="AI193" s="50">
        <f t="shared" ca="1" si="140"/>
        <v>0</v>
      </c>
      <c r="AJ193" s="50">
        <f t="shared" ca="1" si="140"/>
        <v>0</v>
      </c>
      <c r="AK193" s="50">
        <f t="shared" ca="1" si="140"/>
        <v>0</v>
      </c>
      <c r="AL193" s="50">
        <f t="shared" si="140"/>
        <v>0</v>
      </c>
      <c r="AM193" s="50">
        <f t="shared" si="140"/>
        <v>0</v>
      </c>
      <c r="AN193" s="50">
        <f t="shared" si="140"/>
        <v>0</v>
      </c>
      <c r="AO193" s="50">
        <f t="shared" si="140"/>
        <v>0</v>
      </c>
      <c r="AP193" s="50">
        <f t="shared" si="140"/>
        <v>0</v>
      </c>
      <c r="AQ193" s="50">
        <f t="shared" si="140"/>
        <v>0</v>
      </c>
      <c r="AR193" s="50">
        <f t="shared" si="140"/>
        <v>0</v>
      </c>
      <c r="AS193" s="50">
        <f t="shared" si="140"/>
        <v>0</v>
      </c>
      <c r="AT193" s="50">
        <f t="shared" si="140"/>
        <v>0</v>
      </c>
      <c r="AU193" s="50">
        <f t="shared" si="140"/>
        <v>0</v>
      </c>
    </row>
    <row r="194" spans="1:47">
      <c r="D194" s="186"/>
      <c r="E194" s="325"/>
      <c r="G194" s="39" t="s">
        <v>304</v>
      </c>
      <c r="I194" s="39"/>
      <c r="K194" s="39"/>
      <c r="L194" s="43"/>
      <c r="N194" s="70"/>
      <c r="O194" s="313"/>
      <c r="P194" s="70"/>
      <c r="Q194" s="313"/>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row>
    <row r="195" spans="1:47">
      <c r="A195" s="38" t="str">
        <f>$J$4&amp;"-"</f>
        <v>1X-</v>
      </c>
      <c r="B195" s="38" t="s">
        <v>265</v>
      </c>
      <c r="C195" s="38" t="str">
        <f>C186</f>
        <v>Cake Storage</v>
      </c>
      <c r="D195" s="186"/>
      <c r="E195" s="325"/>
      <c r="G195" s="36" t="s">
        <v>108</v>
      </c>
      <c r="I195" s="39"/>
      <c r="K195" s="39"/>
      <c r="L195" s="43" t="s">
        <v>293</v>
      </c>
      <c r="N195" s="70">
        <f ca="1">SUMIFS(OFFSET(Assumptions!$I$90,0,MATCH($A195,Configurations,0)-1,COUNT(Assumptions!$A$90:$A$183),1),Assumptions!$D$90:$D$183,$B195&amp;$C195)</f>
        <v>0</v>
      </c>
      <c r="O195" s="313"/>
      <c r="P195" s="323"/>
      <c r="Q195" s="313"/>
      <c r="R195" s="50">
        <f t="shared" ref="R195:AU195" ca="1" si="141">IF(OR(R$99&lt;InServiceYr,R$99&gt;(InServiceYr+analysis_period-1)),0,IF($P195=0,$N195,$P195)*R$501)</f>
        <v>0</v>
      </c>
      <c r="S195" s="50">
        <f t="shared" ca="1" si="141"/>
        <v>0</v>
      </c>
      <c r="T195" s="50">
        <f t="shared" ca="1" si="141"/>
        <v>0</v>
      </c>
      <c r="U195" s="50">
        <f t="shared" ca="1" si="141"/>
        <v>0</v>
      </c>
      <c r="V195" s="50">
        <f t="shared" ca="1" si="141"/>
        <v>0</v>
      </c>
      <c r="W195" s="50">
        <f t="shared" ca="1" si="141"/>
        <v>0</v>
      </c>
      <c r="X195" s="50">
        <f t="shared" ca="1" si="141"/>
        <v>0</v>
      </c>
      <c r="Y195" s="50">
        <f t="shared" ca="1" si="141"/>
        <v>0</v>
      </c>
      <c r="Z195" s="50">
        <f t="shared" ca="1" si="141"/>
        <v>0</v>
      </c>
      <c r="AA195" s="50">
        <f t="shared" ca="1" si="141"/>
        <v>0</v>
      </c>
      <c r="AB195" s="50">
        <f t="shared" ca="1" si="141"/>
        <v>0</v>
      </c>
      <c r="AC195" s="50">
        <f t="shared" ca="1" si="141"/>
        <v>0</v>
      </c>
      <c r="AD195" s="50">
        <f t="shared" ca="1" si="141"/>
        <v>0</v>
      </c>
      <c r="AE195" s="50">
        <f t="shared" ca="1" si="141"/>
        <v>0</v>
      </c>
      <c r="AF195" s="50">
        <f t="shared" ca="1" si="141"/>
        <v>0</v>
      </c>
      <c r="AG195" s="50">
        <f t="shared" ca="1" si="141"/>
        <v>0</v>
      </c>
      <c r="AH195" s="50">
        <f t="shared" ca="1" si="141"/>
        <v>0</v>
      </c>
      <c r="AI195" s="50">
        <f t="shared" ca="1" si="141"/>
        <v>0</v>
      </c>
      <c r="AJ195" s="50">
        <f t="shared" ca="1" si="141"/>
        <v>0</v>
      </c>
      <c r="AK195" s="50">
        <f t="shared" ca="1" si="141"/>
        <v>0</v>
      </c>
      <c r="AL195" s="50">
        <f t="shared" si="141"/>
        <v>0</v>
      </c>
      <c r="AM195" s="50">
        <f t="shared" si="141"/>
        <v>0</v>
      </c>
      <c r="AN195" s="50">
        <f t="shared" si="141"/>
        <v>0</v>
      </c>
      <c r="AO195" s="50">
        <f t="shared" si="141"/>
        <v>0</v>
      </c>
      <c r="AP195" s="50">
        <f t="shared" si="141"/>
        <v>0</v>
      </c>
      <c r="AQ195" s="50">
        <f t="shared" si="141"/>
        <v>0</v>
      </c>
      <c r="AR195" s="50">
        <f t="shared" si="141"/>
        <v>0</v>
      </c>
      <c r="AS195" s="50">
        <f t="shared" si="141"/>
        <v>0</v>
      </c>
      <c r="AT195" s="50">
        <f t="shared" si="141"/>
        <v>0</v>
      </c>
      <c r="AU195" s="50">
        <f t="shared" si="141"/>
        <v>0</v>
      </c>
    </row>
    <row r="196" spans="1:47">
      <c r="A196" s="38" t="str">
        <f>$J$4&amp;"-"</f>
        <v>1X-</v>
      </c>
      <c r="B196" s="38" t="s">
        <v>289</v>
      </c>
      <c r="C196" s="38" t="str">
        <f>C186</f>
        <v>Cake Storage</v>
      </c>
      <c r="D196" s="186">
        <f>LaborEsc</f>
        <v>0.02</v>
      </c>
      <c r="E196" s="325"/>
      <c r="G196" s="36" t="s">
        <v>292</v>
      </c>
      <c r="I196" s="39"/>
      <c r="K196" s="39"/>
      <c r="L196" s="43" t="str">
        <f>"["&amp;CostBaseYr&amp;" $]"</f>
        <v>[2013 $]</v>
      </c>
      <c r="N196" s="70">
        <f ca="1">SUMIFS(OFFSET(Assumptions!$I$90,0,MATCH($A196,Configurations,0)-1,COUNT(Assumptions!$A$90:$A$183),1),Assumptions!$D$90:$D$183,$B196&amp;$C196)</f>
        <v>0</v>
      </c>
      <c r="O196" s="313"/>
      <c r="P196" s="323"/>
      <c r="Q196" s="313"/>
      <c r="R196" s="50">
        <f t="shared" ref="R196:AU196" ca="1" si="142">IF(OR(R$99&lt;InServiceYr,R$99&gt;(InServiceYr+analysis_period-1)),0,IF($P196=0,$N196,$P196)*(1+$D196)^(R$99-CostBaseYr))</f>
        <v>0</v>
      </c>
      <c r="S196" s="50">
        <f t="shared" ca="1" si="142"/>
        <v>0</v>
      </c>
      <c r="T196" s="50">
        <f t="shared" ca="1" si="142"/>
        <v>0</v>
      </c>
      <c r="U196" s="50">
        <f t="shared" ca="1" si="142"/>
        <v>0</v>
      </c>
      <c r="V196" s="50">
        <f t="shared" ca="1" si="142"/>
        <v>0</v>
      </c>
      <c r="W196" s="50">
        <f t="shared" ca="1" si="142"/>
        <v>0</v>
      </c>
      <c r="X196" s="50">
        <f t="shared" ca="1" si="142"/>
        <v>0</v>
      </c>
      <c r="Y196" s="50">
        <f t="shared" ca="1" si="142"/>
        <v>0</v>
      </c>
      <c r="Z196" s="50">
        <f t="shared" ca="1" si="142"/>
        <v>0</v>
      </c>
      <c r="AA196" s="50">
        <f t="shared" ca="1" si="142"/>
        <v>0</v>
      </c>
      <c r="AB196" s="50">
        <f t="shared" ca="1" si="142"/>
        <v>0</v>
      </c>
      <c r="AC196" s="50">
        <f t="shared" ca="1" si="142"/>
        <v>0</v>
      </c>
      <c r="AD196" s="50">
        <f t="shared" ca="1" si="142"/>
        <v>0</v>
      </c>
      <c r="AE196" s="50">
        <f t="shared" ca="1" si="142"/>
        <v>0</v>
      </c>
      <c r="AF196" s="50">
        <f t="shared" ca="1" si="142"/>
        <v>0</v>
      </c>
      <c r="AG196" s="50">
        <f t="shared" ca="1" si="142"/>
        <v>0</v>
      </c>
      <c r="AH196" s="50">
        <f t="shared" ca="1" si="142"/>
        <v>0</v>
      </c>
      <c r="AI196" s="50">
        <f t="shared" ca="1" si="142"/>
        <v>0</v>
      </c>
      <c r="AJ196" s="50">
        <f t="shared" ca="1" si="142"/>
        <v>0</v>
      </c>
      <c r="AK196" s="50">
        <f t="shared" ca="1" si="142"/>
        <v>0</v>
      </c>
      <c r="AL196" s="50">
        <f t="shared" si="142"/>
        <v>0</v>
      </c>
      <c r="AM196" s="50">
        <f t="shared" si="142"/>
        <v>0</v>
      </c>
      <c r="AN196" s="50">
        <f t="shared" si="142"/>
        <v>0</v>
      </c>
      <c r="AO196" s="50">
        <f t="shared" si="142"/>
        <v>0</v>
      </c>
      <c r="AP196" s="50">
        <f t="shared" si="142"/>
        <v>0</v>
      </c>
      <c r="AQ196" s="50">
        <f t="shared" si="142"/>
        <v>0</v>
      </c>
      <c r="AR196" s="50">
        <f t="shared" si="142"/>
        <v>0</v>
      </c>
      <c r="AS196" s="50">
        <f t="shared" si="142"/>
        <v>0</v>
      </c>
      <c r="AT196" s="50">
        <f t="shared" si="142"/>
        <v>0</v>
      </c>
      <c r="AU196" s="50">
        <f t="shared" si="142"/>
        <v>0</v>
      </c>
    </row>
    <row r="197" spans="1:47" s="60" customFormat="1">
      <c r="D197" s="187"/>
      <c r="E197" s="325"/>
      <c r="G197" s="39" t="s">
        <v>305</v>
      </c>
      <c r="I197" s="39"/>
      <c r="K197" s="39"/>
      <c r="L197" s="174"/>
      <c r="N197" s="188"/>
      <c r="O197" s="314"/>
      <c r="P197" s="185"/>
      <c r="Q197" s="314"/>
      <c r="R197" s="185">
        <f ca="1">SUM(R186:R193)-SUM(R195:R196)</f>
        <v>73146.75</v>
      </c>
      <c r="S197" s="185">
        <f t="shared" ref="S197:AU197" ca="1" si="143">SUM(S186:S193)-SUM(S195:S196)</f>
        <v>74609.684999999998</v>
      </c>
      <c r="T197" s="185">
        <f t="shared" ca="1" si="143"/>
        <v>76101.878700000001</v>
      </c>
      <c r="U197" s="185">
        <f t="shared" ca="1" si="143"/>
        <v>77623.916274000003</v>
      </c>
      <c r="V197" s="185">
        <f t="shared" ca="1" si="143"/>
        <v>79176.394599480001</v>
      </c>
      <c r="W197" s="185">
        <f t="shared" ca="1" si="143"/>
        <v>80759.92249146961</v>
      </c>
      <c r="X197" s="185">
        <f t="shared" ca="1" si="143"/>
        <v>82375.120941298985</v>
      </c>
      <c r="Y197" s="185">
        <f t="shared" ca="1" si="143"/>
        <v>84022.62336012497</v>
      </c>
      <c r="Z197" s="185">
        <f t="shared" ca="1" si="143"/>
        <v>85703.07582732747</v>
      </c>
      <c r="AA197" s="185">
        <f t="shared" ca="1" si="143"/>
        <v>87417.137343874027</v>
      </c>
      <c r="AB197" s="185">
        <f t="shared" ca="1" si="143"/>
        <v>89165.480090751487</v>
      </c>
      <c r="AC197" s="185">
        <f t="shared" ca="1" si="143"/>
        <v>90948.789692566526</v>
      </c>
      <c r="AD197" s="185">
        <f t="shared" ca="1" si="143"/>
        <v>92767.765486417848</v>
      </c>
      <c r="AE197" s="185">
        <f t="shared" ca="1" si="143"/>
        <v>94623.120796146221</v>
      </c>
      <c r="AF197" s="185">
        <f t="shared" ca="1" si="143"/>
        <v>96515.583212069119</v>
      </c>
      <c r="AG197" s="185">
        <f t="shared" ca="1" si="143"/>
        <v>98445.894876310515</v>
      </c>
      <c r="AH197" s="185">
        <f t="shared" ca="1" si="143"/>
        <v>100414.81277383673</v>
      </c>
      <c r="AI197" s="185">
        <f t="shared" ca="1" si="143"/>
        <v>102423.10902931346</v>
      </c>
      <c r="AJ197" s="185">
        <f t="shared" ca="1" si="143"/>
        <v>104471.57120989973</v>
      </c>
      <c r="AK197" s="185">
        <f t="shared" ca="1" si="143"/>
        <v>106561.00263409773</v>
      </c>
      <c r="AL197" s="185">
        <f t="shared" si="143"/>
        <v>0</v>
      </c>
      <c r="AM197" s="185">
        <f t="shared" si="143"/>
        <v>0</v>
      </c>
      <c r="AN197" s="185">
        <f t="shared" si="143"/>
        <v>0</v>
      </c>
      <c r="AO197" s="185">
        <f t="shared" si="143"/>
        <v>0</v>
      </c>
      <c r="AP197" s="185">
        <f t="shared" si="143"/>
        <v>0</v>
      </c>
      <c r="AQ197" s="185">
        <f t="shared" si="143"/>
        <v>0</v>
      </c>
      <c r="AR197" s="185">
        <f t="shared" si="143"/>
        <v>0</v>
      </c>
      <c r="AS197" s="185">
        <f t="shared" si="143"/>
        <v>0</v>
      </c>
      <c r="AT197" s="185">
        <f t="shared" si="143"/>
        <v>0</v>
      </c>
      <c r="AU197" s="185">
        <f t="shared" si="143"/>
        <v>0</v>
      </c>
    </row>
    <row r="198" spans="1:47">
      <c r="G198" s="28"/>
      <c r="H198" s="28"/>
      <c r="I198" s="28"/>
      <c r="J198" s="28"/>
      <c r="K198" s="28"/>
      <c r="L198" s="409"/>
      <c r="M198" s="46"/>
      <c r="N198" s="46"/>
      <c r="O198" s="315"/>
      <c r="P198" s="46"/>
      <c r="Q198" s="315"/>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row>
    <row r="199" spans="1:47">
      <c r="E199" s="327"/>
      <c r="F199" s="28"/>
      <c r="G199" s="324" t="str">
        <f>C201&amp;" Capital Costs"</f>
        <v>CHP Capital Costs</v>
      </c>
      <c r="H199" s="324"/>
      <c r="I199" s="324"/>
      <c r="J199" s="324"/>
      <c r="K199" s="324"/>
      <c r="L199" s="405" t="s">
        <v>79</v>
      </c>
      <c r="M199" s="256"/>
      <c r="N199" s="325" t="s">
        <v>490</v>
      </c>
      <c r="O199" s="311"/>
      <c r="P199" s="325" t="s">
        <v>491</v>
      </c>
      <c r="Q199" s="310"/>
      <c r="R199" s="325">
        <f>R$8</f>
        <v>2014</v>
      </c>
      <c r="S199" s="325">
        <f t="shared" ref="S199:AU199" si="144">S$8</f>
        <v>2015</v>
      </c>
      <c r="T199" s="325">
        <f t="shared" si="144"/>
        <v>2016</v>
      </c>
      <c r="U199" s="325">
        <f t="shared" si="144"/>
        <v>2017</v>
      </c>
      <c r="V199" s="325">
        <f t="shared" si="144"/>
        <v>2018</v>
      </c>
      <c r="W199" s="325">
        <f t="shared" si="144"/>
        <v>2019</v>
      </c>
      <c r="X199" s="325">
        <f t="shared" si="144"/>
        <v>2020</v>
      </c>
      <c r="Y199" s="325">
        <f t="shared" si="144"/>
        <v>2021</v>
      </c>
      <c r="Z199" s="325">
        <f t="shared" si="144"/>
        <v>2022</v>
      </c>
      <c r="AA199" s="325">
        <f t="shared" si="144"/>
        <v>2023</v>
      </c>
      <c r="AB199" s="325">
        <f t="shared" si="144"/>
        <v>2024</v>
      </c>
      <c r="AC199" s="325">
        <f t="shared" si="144"/>
        <v>2025</v>
      </c>
      <c r="AD199" s="325">
        <f t="shared" si="144"/>
        <v>2026</v>
      </c>
      <c r="AE199" s="325">
        <f t="shared" si="144"/>
        <v>2027</v>
      </c>
      <c r="AF199" s="325">
        <f t="shared" si="144"/>
        <v>2028</v>
      </c>
      <c r="AG199" s="325">
        <f t="shared" si="144"/>
        <v>2029</v>
      </c>
      <c r="AH199" s="325">
        <f t="shared" si="144"/>
        <v>2030</v>
      </c>
      <c r="AI199" s="325">
        <f t="shared" si="144"/>
        <v>2031</v>
      </c>
      <c r="AJ199" s="325">
        <f t="shared" si="144"/>
        <v>2032</v>
      </c>
      <c r="AK199" s="325">
        <f t="shared" si="144"/>
        <v>2033</v>
      </c>
      <c r="AL199" s="325">
        <f t="shared" si="144"/>
        <v>2034</v>
      </c>
      <c r="AM199" s="325">
        <f t="shared" si="144"/>
        <v>2035</v>
      </c>
      <c r="AN199" s="325">
        <f t="shared" si="144"/>
        <v>2036</v>
      </c>
      <c r="AO199" s="325">
        <f t="shared" si="144"/>
        <v>2037</v>
      </c>
      <c r="AP199" s="325">
        <f t="shared" si="144"/>
        <v>2038</v>
      </c>
      <c r="AQ199" s="325">
        <f t="shared" si="144"/>
        <v>2039</v>
      </c>
      <c r="AR199" s="325">
        <f t="shared" si="144"/>
        <v>2040</v>
      </c>
      <c r="AS199" s="325">
        <f t="shared" si="144"/>
        <v>2041</v>
      </c>
      <c r="AT199" s="325">
        <f t="shared" si="144"/>
        <v>2042</v>
      </c>
      <c r="AU199" s="325">
        <f t="shared" si="144"/>
        <v>2043</v>
      </c>
    </row>
    <row r="200" spans="1:47">
      <c r="E200" s="325"/>
      <c r="G200" s="39"/>
      <c r="H200" s="39"/>
      <c r="I200" s="39"/>
      <c r="J200" s="39"/>
      <c r="K200" s="39"/>
    </row>
    <row r="201" spans="1:47">
      <c r="A201" s="38" t="str">
        <f>$J$4&amp;"-"</f>
        <v>1X-</v>
      </c>
      <c r="B201" s="38" t="s">
        <v>306</v>
      </c>
      <c r="C201" s="38" t="s">
        <v>318</v>
      </c>
      <c r="D201" s="186">
        <f>CapExEsc</f>
        <v>0.03</v>
      </c>
      <c r="E201" s="325"/>
      <c r="G201" s="36" t="s">
        <v>8</v>
      </c>
      <c r="H201" s="39"/>
      <c r="I201" s="39"/>
      <c r="J201" s="70"/>
      <c r="K201" s="39"/>
      <c r="L201" s="43" t="str">
        <f>"["&amp;CostBaseYr&amp;" $]"</f>
        <v>[2013 $]</v>
      </c>
      <c r="N201" s="52">
        <f ca="1">SUMIFS(OFFSET(Assumptions!$I$65,0,MATCH($A201,Configurations,0)-1,COUNT(Assumptions!$A$65:$A$84),1),Assumptions!$E$65:$E$84,$C201)</f>
        <v>741000</v>
      </c>
      <c r="O201" s="52"/>
      <c r="P201" s="322"/>
      <c r="Q201" s="52"/>
      <c r="R201" s="52">
        <f t="shared" ref="R201:AU201" ca="1" si="145">R202*IF($P201=0,$N201,$P201)*(1+$D201)^(R$8-CostBaseYr)</f>
        <v>763230</v>
      </c>
      <c r="S201" s="52">
        <f t="shared" ca="1" si="145"/>
        <v>0</v>
      </c>
      <c r="T201" s="52">
        <f t="shared" ca="1" si="145"/>
        <v>0</v>
      </c>
      <c r="U201" s="52">
        <f t="shared" ca="1" si="145"/>
        <v>0</v>
      </c>
      <c r="V201" s="52">
        <f t="shared" ca="1" si="145"/>
        <v>0</v>
      </c>
      <c r="W201" s="52">
        <f t="shared" ca="1" si="145"/>
        <v>0</v>
      </c>
      <c r="X201" s="52">
        <f t="shared" ca="1" si="145"/>
        <v>0</v>
      </c>
      <c r="Y201" s="52">
        <f t="shared" ca="1" si="145"/>
        <v>0</v>
      </c>
      <c r="Z201" s="52">
        <f t="shared" ca="1" si="145"/>
        <v>0</v>
      </c>
      <c r="AA201" s="52">
        <f t="shared" ca="1" si="145"/>
        <v>0</v>
      </c>
      <c r="AB201" s="52">
        <f t="shared" ca="1" si="145"/>
        <v>0</v>
      </c>
      <c r="AC201" s="52">
        <f t="shared" ca="1" si="145"/>
        <v>0</v>
      </c>
      <c r="AD201" s="52">
        <f t="shared" ca="1" si="145"/>
        <v>0</v>
      </c>
      <c r="AE201" s="52">
        <f t="shared" ca="1" si="145"/>
        <v>0</v>
      </c>
      <c r="AF201" s="52">
        <f t="shared" ca="1" si="145"/>
        <v>0</v>
      </c>
      <c r="AG201" s="52">
        <f t="shared" ca="1" si="145"/>
        <v>0</v>
      </c>
      <c r="AH201" s="52">
        <f t="shared" ca="1" si="145"/>
        <v>0</v>
      </c>
      <c r="AI201" s="52">
        <f t="shared" ca="1" si="145"/>
        <v>0</v>
      </c>
      <c r="AJ201" s="52">
        <f t="shared" ca="1" si="145"/>
        <v>0</v>
      </c>
      <c r="AK201" s="52">
        <f t="shared" ca="1" si="145"/>
        <v>0</v>
      </c>
      <c r="AL201" s="52">
        <f t="shared" ca="1" si="145"/>
        <v>0</v>
      </c>
      <c r="AM201" s="52">
        <f t="shared" ca="1" si="145"/>
        <v>0</v>
      </c>
      <c r="AN201" s="52">
        <f t="shared" ca="1" si="145"/>
        <v>0</v>
      </c>
      <c r="AO201" s="52">
        <f t="shared" ca="1" si="145"/>
        <v>0</v>
      </c>
      <c r="AP201" s="52">
        <f t="shared" ca="1" si="145"/>
        <v>0</v>
      </c>
      <c r="AQ201" s="52">
        <f t="shared" ca="1" si="145"/>
        <v>0</v>
      </c>
      <c r="AR201" s="52">
        <f t="shared" ca="1" si="145"/>
        <v>0</v>
      </c>
      <c r="AS201" s="52">
        <f t="shared" ca="1" si="145"/>
        <v>0</v>
      </c>
      <c r="AT201" s="52">
        <f t="shared" ca="1" si="145"/>
        <v>0</v>
      </c>
      <c r="AU201" s="52">
        <f t="shared" ca="1" si="145"/>
        <v>0</v>
      </c>
    </row>
    <row r="202" spans="1:47">
      <c r="E202" s="325"/>
      <c r="G202" s="36" t="s">
        <v>10</v>
      </c>
      <c r="H202" s="39"/>
      <c r="I202" s="39"/>
      <c r="J202" s="39"/>
      <c r="K202" s="39"/>
      <c r="L202" s="43"/>
      <c r="R202" s="54">
        <f>Assumptions!M$60</f>
        <v>1</v>
      </c>
      <c r="S202" s="54">
        <f>Assumptions!N$60</f>
        <v>0</v>
      </c>
      <c r="T202" s="54">
        <f>Assumptions!O$60</f>
        <v>0</v>
      </c>
      <c r="U202" s="54">
        <f>Assumptions!P$60</f>
        <v>0</v>
      </c>
      <c r="V202" s="54">
        <f>Assumptions!Q$60</f>
        <v>0</v>
      </c>
      <c r="W202" s="54">
        <f>Assumptions!R$60</f>
        <v>0</v>
      </c>
      <c r="X202" s="54">
        <f>Assumptions!S$60</f>
        <v>0</v>
      </c>
      <c r="Y202" s="54">
        <f>Assumptions!T$60</f>
        <v>0</v>
      </c>
      <c r="Z202" s="54">
        <f>Assumptions!U$60</f>
        <v>0</v>
      </c>
      <c r="AA202" s="54">
        <f>Assumptions!V$60</f>
        <v>0</v>
      </c>
      <c r="AB202" s="54">
        <f>Assumptions!W$60</f>
        <v>0</v>
      </c>
      <c r="AC202" s="54">
        <f>Assumptions!X$60</f>
        <v>0</v>
      </c>
      <c r="AD202" s="54">
        <f>Assumptions!Y$60</f>
        <v>0</v>
      </c>
      <c r="AE202" s="54">
        <f>Assumptions!Z$60</f>
        <v>0</v>
      </c>
      <c r="AF202" s="54">
        <f>Assumptions!AA$60</f>
        <v>0</v>
      </c>
      <c r="AG202" s="54">
        <f>Assumptions!AB$60</f>
        <v>0</v>
      </c>
      <c r="AH202" s="54">
        <f>Assumptions!AC$60</f>
        <v>0</v>
      </c>
      <c r="AI202" s="54">
        <f>Assumptions!AD$60</f>
        <v>0</v>
      </c>
      <c r="AJ202" s="54">
        <f>Assumptions!AE$60</f>
        <v>0</v>
      </c>
      <c r="AK202" s="54">
        <f>Assumptions!AF$60</f>
        <v>0</v>
      </c>
      <c r="AL202" s="54">
        <f>Assumptions!AG$60</f>
        <v>0</v>
      </c>
      <c r="AM202" s="54">
        <f>Assumptions!AH$60</f>
        <v>0</v>
      </c>
      <c r="AN202" s="54">
        <f>Assumptions!AI$60</f>
        <v>0</v>
      </c>
      <c r="AO202" s="54">
        <f>Assumptions!AJ$60</f>
        <v>0</v>
      </c>
      <c r="AP202" s="54">
        <f>Assumptions!AK$60</f>
        <v>0</v>
      </c>
      <c r="AQ202" s="54">
        <f>Assumptions!AL$60</f>
        <v>0</v>
      </c>
      <c r="AR202" s="54">
        <f>Assumptions!AM$60</f>
        <v>0</v>
      </c>
      <c r="AS202" s="54">
        <f>Assumptions!AN$60</f>
        <v>0</v>
      </c>
      <c r="AT202" s="54">
        <f>Assumptions!AO$60</f>
        <v>0</v>
      </c>
      <c r="AU202" s="54">
        <f>Assumptions!AP$60</f>
        <v>0</v>
      </c>
    </row>
    <row r="203" spans="1:47">
      <c r="E203" s="326"/>
      <c r="G203" s="39"/>
      <c r="H203" s="39"/>
      <c r="I203" s="39"/>
      <c r="J203" s="39"/>
      <c r="K203" s="39"/>
    </row>
    <row r="204" spans="1:47">
      <c r="E204" s="327"/>
      <c r="F204" s="28"/>
      <c r="G204" s="324" t="str">
        <f>C201&amp;" O&amp;M"</f>
        <v>CHP O&amp;M</v>
      </c>
      <c r="H204" s="324"/>
      <c r="I204" s="324"/>
      <c r="J204" s="324"/>
      <c r="K204" s="324"/>
      <c r="L204" s="405" t="s">
        <v>79</v>
      </c>
      <c r="M204" s="256"/>
      <c r="N204" s="325" t="s">
        <v>490</v>
      </c>
      <c r="O204" s="311"/>
      <c r="P204" s="325" t="s">
        <v>491</v>
      </c>
      <c r="Q204" s="310"/>
      <c r="R204" s="325">
        <f>R$8</f>
        <v>2014</v>
      </c>
      <c r="S204" s="325">
        <f t="shared" ref="S204:AU204" si="146">S$8</f>
        <v>2015</v>
      </c>
      <c r="T204" s="325">
        <f t="shared" si="146"/>
        <v>2016</v>
      </c>
      <c r="U204" s="325">
        <f t="shared" si="146"/>
        <v>2017</v>
      </c>
      <c r="V204" s="325">
        <f t="shared" si="146"/>
        <v>2018</v>
      </c>
      <c r="W204" s="325">
        <f t="shared" si="146"/>
        <v>2019</v>
      </c>
      <c r="X204" s="325">
        <f t="shared" si="146"/>
        <v>2020</v>
      </c>
      <c r="Y204" s="325">
        <f t="shared" si="146"/>
        <v>2021</v>
      </c>
      <c r="Z204" s="325">
        <f t="shared" si="146"/>
        <v>2022</v>
      </c>
      <c r="AA204" s="325">
        <f t="shared" si="146"/>
        <v>2023</v>
      </c>
      <c r="AB204" s="325">
        <f t="shared" si="146"/>
        <v>2024</v>
      </c>
      <c r="AC204" s="325">
        <f t="shared" si="146"/>
        <v>2025</v>
      </c>
      <c r="AD204" s="325">
        <f t="shared" si="146"/>
        <v>2026</v>
      </c>
      <c r="AE204" s="325">
        <f t="shared" si="146"/>
        <v>2027</v>
      </c>
      <c r="AF204" s="325">
        <f t="shared" si="146"/>
        <v>2028</v>
      </c>
      <c r="AG204" s="325">
        <f t="shared" si="146"/>
        <v>2029</v>
      </c>
      <c r="AH204" s="325">
        <f t="shared" si="146"/>
        <v>2030</v>
      </c>
      <c r="AI204" s="325">
        <f t="shared" si="146"/>
        <v>2031</v>
      </c>
      <c r="AJ204" s="325">
        <f t="shared" si="146"/>
        <v>2032</v>
      </c>
      <c r="AK204" s="325">
        <f t="shared" si="146"/>
        <v>2033</v>
      </c>
      <c r="AL204" s="325">
        <f t="shared" si="146"/>
        <v>2034</v>
      </c>
      <c r="AM204" s="325">
        <f t="shared" si="146"/>
        <v>2035</v>
      </c>
      <c r="AN204" s="325">
        <f t="shared" si="146"/>
        <v>2036</v>
      </c>
      <c r="AO204" s="325">
        <f t="shared" si="146"/>
        <v>2037</v>
      </c>
      <c r="AP204" s="325">
        <f t="shared" si="146"/>
        <v>2038</v>
      </c>
      <c r="AQ204" s="325">
        <f t="shared" si="146"/>
        <v>2039</v>
      </c>
      <c r="AR204" s="325">
        <f t="shared" si="146"/>
        <v>2040</v>
      </c>
      <c r="AS204" s="325">
        <f t="shared" si="146"/>
        <v>2041</v>
      </c>
      <c r="AT204" s="325">
        <f t="shared" si="146"/>
        <v>2042</v>
      </c>
      <c r="AU204" s="325">
        <f t="shared" si="146"/>
        <v>2043</v>
      </c>
    </row>
    <row r="205" spans="1:47">
      <c r="E205" s="325"/>
      <c r="G205" s="39"/>
      <c r="H205" s="39"/>
      <c r="I205" s="39"/>
      <c r="J205" s="39"/>
      <c r="K205" s="39"/>
    </row>
    <row r="206" spans="1:47">
      <c r="E206" s="325"/>
      <c r="G206" s="39" t="s">
        <v>23</v>
      </c>
      <c r="H206" s="39"/>
      <c r="I206" s="39"/>
      <c r="J206" s="39"/>
      <c r="K206" s="39"/>
    </row>
    <row r="207" spans="1:47">
      <c r="A207" s="38" t="str">
        <f t="shared" ref="A207:A214" si="147">$J$4&amp;"-"</f>
        <v>1X-</v>
      </c>
      <c r="B207" s="38" t="s">
        <v>262</v>
      </c>
      <c r="C207" s="38" t="str">
        <f>C201</f>
        <v>CHP</v>
      </c>
      <c r="D207" s="186">
        <f>LaborEsc</f>
        <v>0.02</v>
      </c>
      <c r="E207" s="325"/>
      <c r="G207" s="36" t="s">
        <v>125</v>
      </c>
      <c r="I207" s="39"/>
      <c r="K207" s="39"/>
      <c r="L207" s="43" t="s">
        <v>266</v>
      </c>
      <c r="N207" s="70">
        <f ca="1">SUMIFS(OFFSET(Assumptions!$I$90,0,MATCH($A207,Configurations,0)-1,COUNT(Assumptions!$A$90:$A$183),1),Assumptions!$D$90:$D$183,$B207&amp;$C207)</f>
        <v>1460</v>
      </c>
      <c r="O207" s="313"/>
      <c r="P207" s="323"/>
      <c r="Q207" s="313"/>
      <c r="R207" s="50">
        <f t="shared" ref="R207:AU207" ca="1" si="148">IF(OR(R$99&lt;InServiceYr,R$99&gt;(InServiceYr+analysis_period-1)),0,IF($P207=0,$N207,$P207)*LaborCost*(1+$D207)^(R$99-CostBaseYr))</f>
        <v>52122</v>
      </c>
      <c r="S207" s="50">
        <f t="shared" ca="1" si="148"/>
        <v>53164.44</v>
      </c>
      <c r="T207" s="50">
        <f t="shared" ca="1" si="148"/>
        <v>54227.728799999997</v>
      </c>
      <c r="U207" s="50">
        <f t="shared" ca="1" si="148"/>
        <v>55312.283375999999</v>
      </c>
      <c r="V207" s="50">
        <f t="shared" ca="1" si="148"/>
        <v>56418.52904352</v>
      </c>
      <c r="W207" s="50">
        <f t="shared" ca="1" si="148"/>
        <v>57546.899624390404</v>
      </c>
      <c r="X207" s="50">
        <f t="shared" ca="1" si="148"/>
        <v>58697.837616878198</v>
      </c>
      <c r="Y207" s="50">
        <f t="shared" ca="1" si="148"/>
        <v>59871.794369215771</v>
      </c>
      <c r="Z207" s="50">
        <f t="shared" ca="1" si="148"/>
        <v>61069.230256600087</v>
      </c>
      <c r="AA207" s="50">
        <f t="shared" ca="1" si="148"/>
        <v>62290.614861732087</v>
      </c>
      <c r="AB207" s="50">
        <f t="shared" ca="1" si="148"/>
        <v>63536.427158966719</v>
      </c>
      <c r="AC207" s="50">
        <f t="shared" ca="1" si="148"/>
        <v>64807.155702146061</v>
      </c>
      <c r="AD207" s="50">
        <f t="shared" ca="1" si="148"/>
        <v>66103.298816188981</v>
      </c>
      <c r="AE207" s="50">
        <f t="shared" ca="1" si="148"/>
        <v>67425.364792512773</v>
      </c>
      <c r="AF207" s="50">
        <f t="shared" ca="1" si="148"/>
        <v>68773.872088363001</v>
      </c>
      <c r="AG207" s="50">
        <f t="shared" ca="1" si="148"/>
        <v>70149.349530130276</v>
      </c>
      <c r="AH207" s="50">
        <f t="shared" ca="1" si="148"/>
        <v>71552.33652073289</v>
      </c>
      <c r="AI207" s="50">
        <f t="shared" ca="1" si="148"/>
        <v>72983.383251147534</v>
      </c>
      <c r="AJ207" s="50">
        <f t="shared" ca="1" si="148"/>
        <v>74443.050916170483</v>
      </c>
      <c r="AK207" s="50">
        <f t="shared" ca="1" si="148"/>
        <v>75931.911934493895</v>
      </c>
      <c r="AL207" s="50">
        <f t="shared" si="148"/>
        <v>0</v>
      </c>
      <c r="AM207" s="50">
        <f t="shared" si="148"/>
        <v>0</v>
      </c>
      <c r="AN207" s="50">
        <f t="shared" si="148"/>
        <v>0</v>
      </c>
      <c r="AO207" s="50">
        <f t="shared" si="148"/>
        <v>0</v>
      </c>
      <c r="AP207" s="50">
        <f t="shared" si="148"/>
        <v>0</v>
      </c>
      <c r="AQ207" s="50">
        <f t="shared" si="148"/>
        <v>0</v>
      </c>
      <c r="AR207" s="50">
        <f t="shared" si="148"/>
        <v>0</v>
      </c>
      <c r="AS207" s="50">
        <f t="shared" si="148"/>
        <v>0</v>
      </c>
      <c r="AT207" s="50">
        <f t="shared" si="148"/>
        <v>0</v>
      </c>
      <c r="AU207" s="50">
        <f t="shared" si="148"/>
        <v>0</v>
      </c>
    </row>
    <row r="208" spans="1:47">
      <c r="A208" s="38" t="str">
        <f t="shared" si="147"/>
        <v>1X-</v>
      </c>
      <c r="B208" s="38" t="s">
        <v>270</v>
      </c>
      <c r="C208" s="38" t="str">
        <f>C207</f>
        <v>CHP</v>
      </c>
      <c r="D208" s="186">
        <f>OMEsc</f>
        <v>0.02</v>
      </c>
      <c r="E208" s="325"/>
      <c r="G208" s="36" t="s">
        <v>126</v>
      </c>
      <c r="I208" s="39"/>
      <c r="K208" s="39"/>
      <c r="L208" s="43" t="str">
        <f>"["&amp;CostBaseYr&amp;" $]"</f>
        <v>[2013 $]</v>
      </c>
      <c r="N208" s="70">
        <f ca="1">SUMIFS(OFFSET(Assumptions!$I$90,0,MATCH($A208,Configurations,0)-1,COUNT(Assumptions!$A$90:$A$183),1),Assumptions!$D$90:$D$183,$B208&amp;$C208)</f>
        <v>15000</v>
      </c>
      <c r="O208" s="313"/>
      <c r="P208" s="323"/>
      <c r="Q208" s="313"/>
      <c r="R208" s="50">
        <f t="shared" ref="R208:AG210" ca="1" si="149">IF(OR(R$99&lt;InServiceYr,R$99&gt;(InServiceYr+analysis_period-1)),0,IF($P208=0,$N208,$P208)*(1+$D208)^(R$99-CostBaseYr))</f>
        <v>15300</v>
      </c>
      <c r="S208" s="50">
        <f t="shared" ca="1" si="149"/>
        <v>15606</v>
      </c>
      <c r="T208" s="50">
        <f t="shared" ca="1" si="149"/>
        <v>15918.119999999999</v>
      </c>
      <c r="U208" s="50">
        <f t="shared" ca="1" si="149"/>
        <v>16236.482399999999</v>
      </c>
      <c r="V208" s="50">
        <f t="shared" ca="1" si="149"/>
        <v>16561.212048000001</v>
      </c>
      <c r="W208" s="50">
        <f t="shared" ca="1" si="149"/>
        <v>16892.436288960002</v>
      </c>
      <c r="X208" s="50">
        <f t="shared" ca="1" si="149"/>
        <v>17230.285014739198</v>
      </c>
      <c r="Y208" s="50">
        <f t="shared" ca="1" si="149"/>
        <v>17574.890715033984</v>
      </c>
      <c r="Z208" s="50">
        <f t="shared" ca="1" si="149"/>
        <v>17926.388529334661</v>
      </c>
      <c r="AA208" s="50">
        <f t="shared" ca="1" si="149"/>
        <v>18284.916299921355</v>
      </c>
      <c r="AB208" s="50">
        <f t="shared" ca="1" si="149"/>
        <v>18650.614625919781</v>
      </c>
      <c r="AC208" s="50">
        <f t="shared" ca="1" si="149"/>
        <v>19023.626918438178</v>
      </c>
      <c r="AD208" s="50">
        <f t="shared" ca="1" si="149"/>
        <v>19404.09945680694</v>
      </c>
      <c r="AE208" s="50">
        <f t="shared" ca="1" si="149"/>
        <v>19792.181445943083</v>
      </c>
      <c r="AF208" s="50">
        <f t="shared" ca="1" si="149"/>
        <v>20188.02507486194</v>
      </c>
      <c r="AG208" s="50">
        <f t="shared" ca="1" si="149"/>
        <v>20591.78557635918</v>
      </c>
      <c r="AH208" s="50">
        <f t="shared" ref="S208:AU210" ca="1" si="150">IF(OR(AH$99&lt;InServiceYr,AH$99&gt;(InServiceYr+analysis_period-1)),0,IF($P208=0,$N208,$P208)*(1+$D208)^(AH$99-CostBaseYr))</f>
        <v>21003.621287886366</v>
      </c>
      <c r="AI208" s="50">
        <f t="shared" ca="1" si="150"/>
        <v>21423.69371364409</v>
      </c>
      <c r="AJ208" s="50">
        <f t="shared" ca="1" si="150"/>
        <v>21852.167587916971</v>
      </c>
      <c r="AK208" s="50">
        <f t="shared" ca="1" si="150"/>
        <v>22289.210939675315</v>
      </c>
      <c r="AL208" s="50">
        <f t="shared" si="150"/>
        <v>0</v>
      </c>
      <c r="AM208" s="50">
        <f t="shared" si="150"/>
        <v>0</v>
      </c>
      <c r="AN208" s="50">
        <f t="shared" si="150"/>
        <v>0</v>
      </c>
      <c r="AO208" s="50">
        <f t="shared" si="150"/>
        <v>0</v>
      </c>
      <c r="AP208" s="50">
        <f t="shared" si="150"/>
        <v>0</v>
      </c>
      <c r="AQ208" s="50">
        <f t="shared" si="150"/>
        <v>0</v>
      </c>
      <c r="AR208" s="50">
        <f t="shared" si="150"/>
        <v>0</v>
      </c>
      <c r="AS208" s="50">
        <f t="shared" si="150"/>
        <v>0</v>
      </c>
      <c r="AT208" s="50">
        <f t="shared" si="150"/>
        <v>0</v>
      </c>
      <c r="AU208" s="50">
        <f t="shared" si="150"/>
        <v>0</v>
      </c>
    </row>
    <row r="209" spans="1:47">
      <c r="A209" s="38" t="str">
        <f t="shared" si="147"/>
        <v>1X-</v>
      </c>
      <c r="B209" s="38" t="s">
        <v>263</v>
      </c>
      <c r="C209" s="38" t="str">
        <f t="shared" ref="C209:C213" si="151">C208</f>
        <v>CHP</v>
      </c>
      <c r="D209" s="186">
        <f>OMEsc</f>
        <v>0.02</v>
      </c>
      <c r="E209" s="325"/>
      <c r="G209" s="36" t="s">
        <v>127</v>
      </c>
      <c r="I209" s="39"/>
      <c r="K209" s="39"/>
      <c r="L209" s="43" t="str">
        <f>"["&amp;CostBaseYr&amp;" $]"</f>
        <v>[2013 $]</v>
      </c>
      <c r="N209" s="70">
        <f ca="1">SUMIFS(OFFSET(Assumptions!$I$90,0,MATCH($A209,Configurations,0)-1,COUNT(Assumptions!$A$90:$A$183),1),Assumptions!$D$90:$D$183,$B209&amp;$C209)</f>
        <v>0</v>
      </c>
      <c r="O209" s="313"/>
      <c r="P209" s="323"/>
      <c r="Q209" s="313"/>
      <c r="R209" s="50">
        <f t="shared" ca="1" si="149"/>
        <v>0</v>
      </c>
      <c r="S209" s="50">
        <f t="shared" ca="1" si="150"/>
        <v>0</v>
      </c>
      <c r="T209" s="50">
        <f t="shared" ca="1" si="150"/>
        <v>0</v>
      </c>
      <c r="U209" s="50">
        <f t="shared" ca="1" si="150"/>
        <v>0</v>
      </c>
      <c r="V209" s="50">
        <f t="shared" ca="1" si="150"/>
        <v>0</v>
      </c>
      <c r="W209" s="50">
        <f t="shared" ca="1" si="150"/>
        <v>0</v>
      </c>
      <c r="X209" s="50">
        <f t="shared" ca="1" si="150"/>
        <v>0</v>
      </c>
      <c r="Y209" s="50">
        <f t="shared" ca="1" si="150"/>
        <v>0</v>
      </c>
      <c r="Z209" s="50">
        <f t="shared" ca="1" si="150"/>
        <v>0</v>
      </c>
      <c r="AA209" s="50">
        <f t="shared" ca="1" si="150"/>
        <v>0</v>
      </c>
      <c r="AB209" s="50">
        <f t="shared" ca="1" si="150"/>
        <v>0</v>
      </c>
      <c r="AC209" s="50">
        <f t="shared" ca="1" si="150"/>
        <v>0</v>
      </c>
      <c r="AD209" s="50">
        <f t="shared" ca="1" si="150"/>
        <v>0</v>
      </c>
      <c r="AE209" s="50">
        <f t="shared" ca="1" si="150"/>
        <v>0</v>
      </c>
      <c r="AF209" s="50">
        <f t="shared" ca="1" si="150"/>
        <v>0</v>
      </c>
      <c r="AG209" s="50">
        <f t="shared" ca="1" si="150"/>
        <v>0</v>
      </c>
      <c r="AH209" s="50">
        <f t="shared" ca="1" si="150"/>
        <v>0</v>
      </c>
      <c r="AI209" s="50">
        <f t="shared" ca="1" si="150"/>
        <v>0</v>
      </c>
      <c r="AJ209" s="50">
        <f t="shared" ca="1" si="150"/>
        <v>0</v>
      </c>
      <c r="AK209" s="50">
        <f t="shared" ca="1" si="150"/>
        <v>0</v>
      </c>
      <c r="AL209" s="50">
        <f t="shared" si="150"/>
        <v>0</v>
      </c>
      <c r="AM209" s="50">
        <f t="shared" si="150"/>
        <v>0</v>
      </c>
      <c r="AN209" s="50">
        <f t="shared" si="150"/>
        <v>0</v>
      </c>
      <c r="AO209" s="50">
        <f t="shared" si="150"/>
        <v>0</v>
      </c>
      <c r="AP209" s="50">
        <f t="shared" si="150"/>
        <v>0</v>
      </c>
      <c r="AQ209" s="50">
        <f t="shared" si="150"/>
        <v>0</v>
      </c>
      <c r="AR209" s="50">
        <f t="shared" si="150"/>
        <v>0</v>
      </c>
      <c r="AS209" s="50">
        <f t="shared" si="150"/>
        <v>0</v>
      </c>
      <c r="AT209" s="50">
        <f t="shared" si="150"/>
        <v>0</v>
      </c>
      <c r="AU209" s="50">
        <f t="shared" si="150"/>
        <v>0</v>
      </c>
    </row>
    <row r="210" spans="1:47">
      <c r="A210" s="38" t="str">
        <f t="shared" si="147"/>
        <v>1X-</v>
      </c>
      <c r="B210" s="38" t="s">
        <v>277</v>
      </c>
      <c r="C210" s="38" t="str">
        <f t="shared" si="151"/>
        <v>CHP</v>
      </c>
      <c r="D210" s="186">
        <f>OMEsc</f>
        <v>0.02</v>
      </c>
      <c r="E210" s="325"/>
      <c r="G210" s="36" t="s">
        <v>276</v>
      </c>
      <c r="I210" s="39"/>
      <c r="K210" s="39"/>
      <c r="L210" s="43" t="str">
        <f>"["&amp;CostBaseYr&amp;" $]"</f>
        <v>[2013 $]</v>
      </c>
      <c r="N210" s="70">
        <f ca="1">SUMIFS(OFFSET(Assumptions!$I$90,0,MATCH($A210,Configurations,0)-1,COUNT(Assumptions!$A$90:$A$183),1),Assumptions!$D$90:$D$183,$B210&amp;$C210)</f>
        <v>0</v>
      </c>
      <c r="O210" s="313"/>
      <c r="P210" s="323"/>
      <c r="Q210" s="313"/>
      <c r="R210" s="50">
        <f t="shared" ca="1" si="149"/>
        <v>0</v>
      </c>
      <c r="S210" s="50">
        <f t="shared" ca="1" si="150"/>
        <v>0</v>
      </c>
      <c r="T210" s="50">
        <f t="shared" ca="1" si="150"/>
        <v>0</v>
      </c>
      <c r="U210" s="50">
        <f t="shared" ca="1" si="150"/>
        <v>0</v>
      </c>
      <c r="V210" s="50">
        <f t="shared" ca="1" si="150"/>
        <v>0</v>
      </c>
      <c r="W210" s="50">
        <f t="shared" ca="1" si="150"/>
        <v>0</v>
      </c>
      <c r="X210" s="50">
        <f t="shared" ca="1" si="150"/>
        <v>0</v>
      </c>
      <c r="Y210" s="50">
        <f t="shared" ca="1" si="150"/>
        <v>0</v>
      </c>
      <c r="Z210" s="50">
        <f t="shared" ca="1" si="150"/>
        <v>0</v>
      </c>
      <c r="AA210" s="50">
        <f t="shared" ca="1" si="150"/>
        <v>0</v>
      </c>
      <c r="AB210" s="50">
        <f t="shared" ca="1" si="150"/>
        <v>0</v>
      </c>
      <c r="AC210" s="50">
        <f t="shared" ca="1" si="150"/>
        <v>0</v>
      </c>
      <c r="AD210" s="50">
        <f t="shared" ca="1" si="150"/>
        <v>0</v>
      </c>
      <c r="AE210" s="50">
        <f t="shared" ca="1" si="150"/>
        <v>0</v>
      </c>
      <c r="AF210" s="50">
        <f t="shared" ca="1" si="150"/>
        <v>0</v>
      </c>
      <c r="AG210" s="50">
        <f t="shared" ca="1" si="150"/>
        <v>0</v>
      </c>
      <c r="AH210" s="50">
        <f t="shared" ca="1" si="150"/>
        <v>0</v>
      </c>
      <c r="AI210" s="50">
        <f t="shared" ca="1" si="150"/>
        <v>0</v>
      </c>
      <c r="AJ210" s="50">
        <f t="shared" ca="1" si="150"/>
        <v>0</v>
      </c>
      <c r="AK210" s="50">
        <f t="shared" ca="1" si="150"/>
        <v>0</v>
      </c>
      <c r="AL210" s="50">
        <f t="shared" si="150"/>
        <v>0</v>
      </c>
      <c r="AM210" s="50">
        <f t="shared" si="150"/>
        <v>0</v>
      </c>
      <c r="AN210" s="50">
        <f t="shared" si="150"/>
        <v>0</v>
      </c>
      <c r="AO210" s="50">
        <f t="shared" si="150"/>
        <v>0</v>
      </c>
      <c r="AP210" s="50">
        <f t="shared" si="150"/>
        <v>0</v>
      </c>
      <c r="AQ210" s="50">
        <f t="shared" si="150"/>
        <v>0</v>
      </c>
      <c r="AR210" s="50">
        <f t="shared" si="150"/>
        <v>0</v>
      </c>
      <c r="AS210" s="50">
        <f t="shared" si="150"/>
        <v>0</v>
      </c>
      <c r="AT210" s="50">
        <f t="shared" si="150"/>
        <v>0</v>
      </c>
      <c r="AU210" s="50">
        <f t="shared" si="150"/>
        <v>0</v>
      </c>
    </row>
    <row r="211" spans="1:47">
      <c r="A211" s="38" t="str">
        <f t="shared" si="147"/>
        <v>1X-</v>
      </c>
      <c r="B211" s="38" t="s">
        <v>274</v>
      </c>
      <c r="C211" s="38" t="str">
        <f t="shared" si="151"/>
        <v>CHP</v>
      </c>
      <c r="D211" s="186"/>
      <c r="E211" s="325"/>
      <c r="G211" s="36" t="s">
        <v>16</v>
      </c>
      <c r="I211" s="39"/>
      <c r="K211" s="39"/>
      <c r="L211" s="43" t="s">
        <v>275</v>
      </c>
      <c r="N211" s="70">
        <f ca="1">SUMIFS(OFFSET(Assumptions!$I$90,0,MATCH($A211,Configurations,0)-1,COUNT(Assumptions!$A$90:$A$183),1),Assumptions!$D$90:$D$183,$B211&amp;$C211)</f>
        <v>0</v>
      </c>
      <c r="O211" s="313"/>
      <c r="P211" s="323"/>
      <c r="Q211" s="313"/>
      <c r="R211" s="50">
        <f t="shared" ref="R211:AU211" ca="1" si="152">IF(OR(R$99&lt;InServiceYr,R$99&gt;(InServiceYr+analysis_period-1)),0,IF($P211=0,$N211,$P211)*R$505)</f>
        <v>0</v>
      </c>
      <c r="S211" s="50">
        <f t="shared" ca="1" si="152"/>
        <v>0</v>
      </c>
      <c r="T211" s="50">
        <f t="shared" ca="1" si="152"/>
        <v>0</v>
      </c>
      <c r="U211" s="50">
        <f t="shared" ca="1" si="152"/>
        <v>0</v>
      </c>
      <c r="V211" s="50">
        <f t="shared" ca="1" si="152"/>
        <v>0</v>
      </c>
      <c r="W211" s="50">
        <f t="shared" ca="1" si="152"/>
        <v>0</v>
      </c>
      <c r="X211" s="50">
        <f t="shared" ca="1" si="152"/>
        <v>0</v>
      </c>
      <c r="Y211" s="50">
        <f t="shared" ca="1" si="152"/>
        <v>0</v>
      </c>
      <c r="Z211" s="50">
        <f t="shared" ca="1" si="152"/>
        <v>0</v>
      </c>
      <c r="AA211" s="50">
        <f t="shared" ca="1" si="152"/>
        <v>0</v>
      </c>
      <c r="AB211" s="50">
        <f t="shared" ca="1" si="152"/>
        <v>0</v>
      </c>
      <c r="AC211" s="50">
        <f t="shared" ca="1" si="152"/>
        <v>0</v>
      </c>
      <c r="AD211" s="50">
        <f t="shared" ca="1" si="152"/>
        <v>0</v>
      </c>
      <c r="AE211" s="50">
        <f t="shared" ca="1" si="152"/>
        <v>0</v>
      </c>
      <c r="AF211" s="50">
        <f t="shared" ca="1" si="152"/>
        <v>0</v>
      </c>
      <c r="AG211" s="50">
        <f t="shared" ca="1" si="152"/>
        <v>0</v>
      </c>
      <c r="AH211" s="50">
        <f t="shared" ca="1" si="152"/>
        <v>0</v>
      </c>
      <c r="AI211" s="50">
        <f t="shared" ca="1" si="152"/>
        <v>0</v>
      </c>
      <c r="AJ211" s="50">
        <f t="shared" ca="1" si="152"/>
        <v>0</v>
      </c>
      <c r="AK211" s="50">
        <f t="shared" ca="1" si="152"/>
        <v>0</v>
      </c>
      <c r="AL211" s="50">
        <f t="shared" si="152"/>
        <v>0</v>
      </c>
      <c r="AM211" s="50">
        <f t="shared" si="152"/>
        <v>0</v>
      </c>
      <c r="AN211" s="50">
        <f t="shared" si="152"/>
        <v>0</v>
      </c>
      <c r="AO211" s="50">
        <f t="shared" si="152"/>
        <v>0</v>
      </c>
      <c r="AP211" s="50">
        <f t="shared" si="152"/>
        <v>0</v>
      </c>
      <c r="AQ211" s="50">
        <f t="shared" si="152"/>
        <v>0</v>
      </c>
      <c r="AR211" s="50">
        <f t="shared" si="152"/>
        <v>0</v>
      </c>
      <c r="AS211" s="50">
        <f t="shared" si="152"/>
        <v>0</v>
      </c>
      <c r="AT211" s="50">
        <f t="shared" si="152"/>
        <v>0</v>
      </c>
      <c r="AU211" s="50">
        <f t="shared" si="152"/>
        <v>0</v>
      </c>
    </row>
    <row r="212" spans="1:47">
      <c r="A212" s="38" t="str">
        <f t="shared" si="147"/>
        <v>1X-</v>
      </c>
      <c r="B212" s="38" t="s">
        <v>257</v>
      </c>
      <c r="C212" s="38" t="str">
        <f t="shared" si="151"/>
        <v>CHP</v>
      </c>
      <c r="D212" s="186"/>
      <c r="E212" s="325"/>
      <c r="G212" s="36" t="s">
        <v>284</v>
      </c>
      <c r="I212" s="39"/>
      <c r="K212" s="39"/>
      <c r="L212" s="43" t="s">
        <v>293</v>
      </c>
      <c r="N212" s="70">
        <f ca="1">SUMIFS(OFFSET(Assumptions!$I$90,0,MATCH($A212,Configurations,0)-1,COUNT(Assumptions!$A$90:$A$183),1),Assumptions!$D$90:$D$183,$B212&amp;$C212)</f>
        <v>0</v>
      </c>
      <c r="O212" s="313"/>
      <c r="P212" s="323"/>
      <c r="Q212" s="313"/>
      <c r="R212" s="50">
        <f t="shared" ref="R212:AU212" ca="1" si="153">IF(OR(R$99&lt;InServiceYr,R$99&gt;(InServiceYr+analysis_period-1)),0,IF($P212=0,$N212,$P212)*R$501)</f>
        <v>0</v>
      </c>
      <c r="S212" s="50">
        <f t="shared" ca="1" si="153"/>
        <v>0</v>
      </c>
      <c r="T212" s="50">
        <f t="shared" ca="1" si="153"/>
        <v>0</v>
      </c>
      <c r="U212" s="50">
        <f t="shared" ca="1" si="153"/>
        <v>0</v>
      </c>
      <c r="V212" s="50">
        <f t="shared" ca="1" si="153"/>
        <v>0</v>
      </c>
      <c r="W212" s="50">
        <f t="shared" ca="1" si="153"/>
        <v>0</v>
      </c>
      <c r="X212" s="50">
        <f t="shared" ca="1" si="153"/>
        <v>0</v>
      </c>
      <c r="Y212" s="50">
        <f t="shared" ca="1" si="153"/>
        <v>0</v>
      </c>
      <c r="Z212" s="50">
        <f t="shared" ca="1" si="153"/>
        <v>0</v>
      </c>
      <c r="AA212" s="50">
        <f t="shared" ca="1" si="153"/>
        <v>0</v>
      </c>
      <c r="AB212" s="50">
        <f t="shared" ca="1" si="153"/>
        <v>0</v>
      </c>
      <c r="AC212" s="50">
        <f t="shared" ca="1" si="153"/>
        <v>0</v>
      </c>
      <c r="AD212" s="50">
        <f t="shared" ca="1" si="153"/>
        <v>0</v>
      </c>
      <c r="AE212" s="50">
        <f t="shared" ca="1" si="153"/>
        <v>0</v>
      </c>
      <c r="AF212" s="50">
        <f t="shared" ca="1" si="153"/>
        <v>0</v>
      </c>
      <c r="AG212" s="50">
        <f t="shared" ca="1" si="153"/>
        <v>0</v>
      </c>
      <c r="AH212" s="50">
        <f t="shared" ca="1" si="153"/>
        <v>0</v>
      </c>
      <c r="AI212" s="50">
        <f t="shared" ca="1" si="153"/>
        <v>0</v>
      </c>
      <c r="AJ212" s="50">
        <f t="shared" ca="1" si="153"/>
        <v>0</v>
      </c>
      <c r="AK212" s="50">
        <f t="shared" ca="1" si="153"/>
        <v>0</v>
      </c>
      <c r="AL212" s="50">
        <f t="shared" si="153"/>
        <v>0</v>
      </c>
      <c r="AM212" s="50">
        <f t="shared" si="153"/>
        <v>0</v>
      </c>
      <c r="AN212" s="50">
        <f t="shared" si="153"/>
        <v>0</v>
      </c>
      <c r="AO212" s="50">
        <f t="shared" si="153"/>
        <v>0</v>
      </c>
      <c r="AP212" s="50">
        <f t="shared" si="153"/>
        <v>0</v>
      </c>
      <c r="AQ212" s="50">
        <f t="shared" si="153"/>
        <v>0</v>
      </c>
      <c r="AR212" s="50">
        <f t="shared" si="153"/>
        <v>0</v>
      </c>
      <c r="AS212" s="50">
        <f t="shared" si="153"/>
        <v>0</v>
      </c>
      <c r="AT212" s="50">
        <f t="shared" si="153"/>
        <v>0</v>
      </c>
      <c r="AU212" s="50">
        <f t="shared" si="153"/>
        <v>0</v>
      </c>
    </row>
    <row r="213" spans="1:47">
      <c r="A213" s="38" t="str">
        <f t="shared" si="147"/>
        <v>1X-</v>
      </c>
      <c r="B213" s="38" t="s">
        <v>864</v>
      </c>
      <c r="C213" s="38" t="str">
        <f t="shared" si="151"/>
        <v>CHP</v>
      </c>
      <c r="D213" s="186">
        <f>GHGEsc</f>
        <v>0.02</v>
      </c>
      <c r="E213" s="325"/>
      <c r="G213" s="36" t="s">
        <v>865</v>
      </c>
      <c r="I213" s="39"/>
      <c r="K213" s="39"/>
      <c r="L213" s="43" t="s">
        <v>866</v>
      </c>
      <c r="N213" s="70">
        <f ca="1">SUMIFS(OFFSET(Assumptions!$I$90,0,MATCH($A213,Configurations,0)-1,COUNT(Assumptions!$A$90:$A$183),1),Assumptions!$D$90:$D$183,$B213&amp;$C213)</f>
        <v>-2338.4273516958401</v>
      </c>
      <c r="O213" s="313"/>
      <c r="P213" s="323"/>
      <c r="Q213" s="313"/>
      <c r="R213" s="50">
        <f t="shared" ref="R213:AU213" ca="1" si="154">IF(OR(R$99&lt;InServiceYr,R$99&gt;(InServiceYr+analysis_period-1)),0,IF($P213=0,$N213,$P213)*R$513)</f>
        <v>0</v>
      </c>
      <c r="S213" s="50">
        <f t="shared" ca="1" si="154"/>
        <v>0</v>
      </c>
      <c r="T213" s="50">
        <f t="shared" ca="1" si="154"/>
        <v>0</v>
      </c>
      <c r="U213" s="50">
        <f t="shared" ca="1" si="154"/>
        <v>0</v>
      </c>
      <c r="V213" s="50">
        <f t="shared" ca="1" si="154"/>
        <v>0</v>
      </c>
      <c r="W213" s="50">
        <f t="shared" ca="1" si="154"/>
        <v>0</v>
      </c>
      <c r="X213" s="50">
        <f t="shared" ca="1" si="154"/>
        <v>0</v>
      </c>
      <c r="Y213" s="50">
        <f t="shared" ca="1" si="154"/>
        <v>0</v>
      </c>
      <c r="Z213" s="50">
        <f t="shared" ca="1" si="154"/>
        <v>0</v>
      </c>
      <c r="AA213" s="50">
        <f t="shared" ca="1" si="154"/>
        <v>0</v>
      </c>
      <c r="AB213" s="50">
        <f t="shared" ca="1" si="154"/>
        <v>0</v>
      </c>
      <c r="AC213" s="50">
        <f t="shared" ca="1" si="154"/>
        <v>0</v>
      </c>
      <c r="AD213" s="50">
        <f t="shared" ca="1" si="154"/>
        <v>0</v>
      </c>
      <c r="AE213" s="50">
        <f t="shared" ca="1" si="154"/>
        <v>0</v>
      </c>
      <c r="AF213" s="50">
        <f t="shared" ca="1" si="154"/>
        <v>0</v>
      </c>
      <c r="AG213" s="50">
        <f t="shared" ca="1" si="154"/>
        <v>0</v>
      </c>
      <c r="AH213" s="50">
        <f t="shared" ca="1" si="154"/>
        <v>0</v>
      </c>
      <c r="AI213" s="50">
        <f t="shared" ca="1" si="154"/>
        <v>0</v>
      </c>
      <c r="AJ213" s="50">
        <f t="shared" ca="1" si="154"/>
        <v>0</v>
      </c>
      <c r="AK213" s="50">
        <f t="shared" ca="1" si="154"/>
        <v>0</v>
      </c>
      <c r="AL213" s="50">
        <f t="shared" si="154"/>
        <v>0</v>
      </c>
      <c r="AM213" s="50">
        <f t="shared" si="154"/>
        <v>0</v>
      </c>
      <c r="AN213" s="50">
        <f t="shared" si="154"/>
        <v>0</v>
      </c>
      <c r="AO213" s="50">
        <f t="shared" si="154"/>
        <v>0</v>
      </c>
      <c r="AP213" s="50">
        <f t="shared" si="154"/>
        <v>0</v>
      </c>
      <c r="AQ213" s="50">
        <f t="shared" si="154"/>
        <v>0</v>
      </c>
      <c r="AR213" s="50">
        <f t="shared" si="154"/>
        <v>0</v>
      </c>
      <c r="AS213" s="50">
        <f t="shared" si="154"/>
        <v>0</v>
      </c>
      <c r="AT213" s="50">
        <f t="shared" si="154"/>
        <v>0</v>
      </c>
      <c r="AU213" s="50">
        <f t="shared" si="154"/>
        <v>0</v>
      </c>
    </row>
    <row r="214" spans="1:47">
      <c r="A214" s="38" t="str">
        <f t="shared" si="147"/>
        <v>1X-</v>
      </c>
      <c r="B214" s="38" t="s">
        <v>273</v>
      </c>
      <c r="C214" s="38" t="str">
        <f>C212</f>
        <v>CHP</v>
      </c>
      <c r="D214" s="186">
        <f>LaborEsc</f>
        <v>0.02</v>
      </c>
      <c r="E214" s="325"/>
      <c r="G214" s="36" t="s">
        <v>291</v>
      </c>
      <c r="I214" s="39"/>
      <c r="K214" s="39"/>
      <c r="L214" s="43" t="str">
        <f>"["&amp;CostBaseYr&amp;" $]"</f>
        <v>[2013 $]</v>
      </c>
      <c r="N214" s="70">
        <f ca="1">SUMIFS(OFFSET(Assumptions!$I$90,0,MATCH($A214,Configurations,0)-1,COUNT(Assumptions!$A$90:$A$183),1),Assumptions!$D$90:$D$183,$B214&amp;$C214)</f>
        <v>0</v>
      </c>
      <c r="O214" s="313"/>
      <c r="P214" s="323"/>
      <c r="Q214" s="313"/>
      <c r="R214" s="50">
        <f t="shared" ref="R214:AU214" ca="1" si="155">IF(OR(R$99&lt;InServiceYr,R$99&gt;(InServiceYr+analysis_period-1)),0,IF($P214=0,$N214,$P214)*(1+$D214)^(R$99-CostBaseYr))*R$509</f>
        <v>0</v>
      </c>
      <c r="S214" s="50">
        <f t="shared" ca="1" si="155"/>
        <v>0</v>
      </c>
      <c r="T214" s="50">
        <f t="shared" ca="1" si="155"/>
        <v>0</v>
      </c>
      <c r="U214" s="50">
        <f t="shared" ca="1" si="155"/>
        <v>0</v>
      </c>
      <c r="V214" s="50">
        <f t="shared" ca="1" si="155"/>
        <v>0</v>
      </c>
      <c r="W214" s="50">
        <f t="shared" ca="1" si="155"/>
        <v>0</v>
      </c>
      <c r="X214" s="50">
        <f t="shared" ca="1" si="155"/>
        <v>0</v>
      </c>
      <c r="Y214" s="50">
        <f t="shared" ca="1" si="155"/>
        <v>0</v>
      </c>
      <c r="Z214" s="50">
        <f t="shared" ca="1" si="155"/>
        <v>0</v>
      </c>
      <c r="AA214" s="50">
        <f t="shared" ca="1" si="155"/>
        <v>0</v>
      </c>
      <c r="AB214" s="50">
        <f t="shared" ca="1" si="155"/>
        <v>0</v>
      </c>
      <c r="AC214" s="50">
        <f t="shared" ca="1" si="155"/>
        <v>0</v>
      </c>
      <c r="AD214" s="50">
        <f t="shared" ca="1" si="155"/>
        <v>0</v>
      </c>
      <c r="AE214" s="50">
        <f t="shared" ca="1" si="155"/>
        <v>0</v>
      </c>
      <c r="AF214" s="50">
        <f t="shared" ca="1" si="155"/>
        <v>0</v>
      </c>
      <c r="AG214" s="50">
        <f t="shared" ca="1" si="155"/>
        <v>0</v>
      </c>
      <c r="AH214" s="50">
        <f t="shared" ca="1" si="155"/>
        <v>0</v>
      </c>
      <c r="AI214" s="50">
        <f t="shared" ca="1" si="155"/>
        <v>0</v>
      </c>
      <c r="AJ214" s="50">
        <f t="shared" ca="1" si="155"/>
        <v>0</v>
      </c>
      <c r="AK214" s="50">
        <f t="shared" ca="1" si="155"/>
        <v>0</v>
      </c>
      <c r="AL214" s="50">
        <f t="shared" si="155"/>
        <v>0</v>
      </c>
      <c r="AM214" s="50">
        <f t="shared" si="155"/>
        <v>0</v>
      </c>
      <c r="AN214" s="50">
        <f t="shared" si="155"/>
        <v>0</v>
      </c>
      <c r="AO214" s="50">
        <f t="shared" si="155"/>
        <v>0</v>
      </c>
      <c r="AP214" s="50">
        <f t="shared" si="155"/>
        <v>0</v>
      </c>
      <c r="AQ214" s="50">
        <f t="shared" si="155"/>
        <v>0</v>
      </c>
      <c r="AR214" s="50">
        <f t="shared" si="155"/>
        <v>0</v>
      </c>
      <c r="AS214" s="50">
        <f t="shared" si="155"/>
        <v>0</v>
      </c>
      <c r="AT214" s="50">
        <f t="shared" si="155"/>
        <v>0</v>
      </c>
      <c r="AU214" s="50">
        <f t="shared" si="155"/>
        <v>0</v>
      </c>
    </row>
    <row r="215" spans="1:47">
      <c r="D215" s="186"/>
      <c r="E215" s="325"/>
      <c r="G215" s="39" t="s">
        <v>304</v>
      </c>
      <c r="I215" s="39"/>
      <c r="K215" s="39"/>
      <c r="L215" s="43"/>
      <c r="N215" s="70"/>
      <c r="O215" s="313"/>
      <c r="P215" s="70"/>
      <c r="Q215" s="313"/>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row>
    <row r="216" spans="1:47">
      <c r="A216" s="38" t="str">
        <f>$J$4&amp;"-"</f>
        <v>1X-</v>
      </c>
      <c r="B216" s="38" t="s">
        <v>265</v>
      </c>
      <c r="C216" s="38" t="str">
        <f>C207</f>
        <v>CHP</v>
      </c>
      <c r="D216" s="186"/>
      <c r="E216" s="325"/>
      <c r="G216" s="36" t="s">
        <v>108</v>
      </c>
      <c r="I216" s="39"/>
      <c r="K216" s="39"/>
      <c r="L216" s="43" t="s">
        <v>293</v>
      </c>
      <c r="N216" s="70">
        <f ca="1">SUMIFS(OFFSET(Assumptions!$I$90,0,MATCH($A216,Configurations,0)-1,COUNT(Assumptions!$A$90:$A$183),1),Assumptions!$D$90:$D$183,$B216&amp;$C216)</f>
        <v>2482000</v>
      </c>
      <c r="O216" s="313"/>
      <c r="P216" s="323"/>
      <c r="Q216" s="313"/>
      <c r="R216" s="50">
        <f t="shared" ref="R216:AU216" ca="1" si="156">IF(OR(R$99&lt;InServiceYr,R$99&gt;(InServiceYr+analysis_period-1)),0,IF($P216=0,$N216,$P216)*R$501)</f>
        <v>160291.4221478035</v>
      </c>
      <c r="S216" s="50">
        <f t="shared" ca="1" si="156"/>
        <v>161290.60374174977</v>
      </c>
      <c r="T216" s="50">
        <f t="shared" ca="1" si="156"/>
        <v>168243.83223313605</v>
      </c>
      <c r="U216" s="50">
        <f t="shared" ca="1" si="156"/>
        <v>173290.72619546097</v>
      </c>
      <c r="V216" s="50">
        <f t="shared" ca="1" si="156"/>
        <v>177472.42382869238</v>
      </c>
      <c r="W216" s="50">
        <f t="shared" ca="1" si="156"/>
        <v>179742.87873772476</v>
      </c>
      <c r="X216" s="50">
        <f t="shared" ca="1" si="156"/>
        <v>182667.73991949906</v>
      </c>
      <c r="Y216" s="50">
        <f t="shared" ca="1" si="156"/>
        <v>187168.30098857009</v>
      </c>
      <c r="Z216" s="50">
        <f t="shared" ca="1" si="156"/>
        <v>191649.2377394959</v>
      </c>
      <c r="AA216" s="50">
        <f t="shared" ca="1" si="156"/>
        <v>196440.93940428423</v>
      </c>
      <c r="AB216" s="50">
        <f t="shared" ca="1" si="156"/>
        <v>200695.81145709378</v>
      </c>
      <c r="AC216" s="50">
        <f t="shared" ca="1" si="156"/>
        <v>204560.48199645945</v>
      </c>
      <c r="AD216" s="50">
        <f t="shared" ca="1" si="156"/>
        <v>209285.78762840282</v>
      </c>
      <c r="AE216" s="50">
        <f t="shared" ca="1" si="156"/>
        <v>214055.75783609884</v>
      </c>
      <c r="AF216" s="50">
        <f t="shared" ca="1" si="156"/>
        <v>219145.27693447276</v>
      </c>
      <c r="AG216" s="50">
        <f t="shared" ca="1" si="156"/>
        <v>224846.7379552424</v>
      </c>
      <c r="AH216" s="50">
        <f t="shared" ca="1" si="156"/>
        <v>230357.16017388678</v>
      </c>
      <c r="AI216" s="50">
        <f t="shared" ca="1" si="156"/>
        <v>236332.98930285155</v>
      </c>
      <c r="AJ216" s="50">
        <f t="shared" ca="1" si="156"/>
        <v>242659.27202705064</v>
      </c>
      <c r="AK216" s="50">
        <f t="shared" ca="1" si="156"/>
        <v>249260.39675414775</v>
      </c>
      <c r="AL216" s="50">
        <f t="shared" si="156"/>
        <v>0</v>
      </c>
      <c r="AM216" s="50">
        <f t="shared" si="156"/>
        <v>0</v>
      </c>
      <c r="AN216" s="50">
        <f t="shared" si="156"/>
        <v>0</v>
      </c>
      <c r="AO216" s="50">
        <f t="shared" si="156"/>
        <v>0</v>
      </c>
      <c r="AP216" s="50">
        <f t="shared" si="156"/>
        <v>0</v>
      </c>
      <c r="AQ216" s="50">
        <f t="shared" si="156"/>
        <v>0</v>
      </c>
      <c r="AR216" s="50">
        <f t="shared" si="156"/>
        <v>0</v>
      </c>
      <c r="AS216" s="50">
        <f t="shared" si="156"/>
        <v>0</v>
      </c>
      <c r="AT216" s="50">
        <f t="shared" si="156"/>
        <v>0</v>
      </c>
      <c r="AU216" s="50">
        <f t="shared" si="156"/>
        <v>0</v>
      </c>
    </row>
    <row r="217" spans="1:47">
      <c r="A217" s="38" t="str">
        <f>$J$4&amp;"-"</f>
        <v>1X-</v>
      </c>
      <c r="B217" s="38" t="s">
        <v>289</v>
      </c>
      <c r="C217" s="38" t="str">
        <f>C207</f>
        <v>CHP</v>
      </c>
      <c r="D217" s="186">
        <f>LaborEsc</f>
        <v>0.02</v>
      </c>
      <c r="E217" s="325"/>
      <c r="G217" s="36" t="s">
        <v>292</v>
      </c>
      <c r="I217" s="39"/>
      <c r="K217" s="39"/>
      <c r="L217" s="43" t="str">
        <f>"["&amp;CostBaseYr&amp;" $]"</f>
        <v>[2013 $]</v>
      </c>
      <c r="N217" s="70">
        <f ca="1">SUMIFS(OFFSET(Assumptions!$I$90,0,MATCH($A217,Configurations,0)-1,COUNT(Assumptions!$A$90:$A$183),1),Assumptions!$D$90:$D$183,$B217&amp;$C217)</f>
        <v>0</v>
      </c>
      <c r="O217" s="313"/>
      <c r="P217" s="323"/>
      <c r="Q217" s="313"/>
      <c r="R217" s="50">
        <f t="shared" ref="R217:AU217" ca="1" si="157">IF(OR(R$99&lt;InServiceYr,R$99&gt;(InServiceYr+analysis_period-1)),0,IF($P217=0,$N217,$P217)*(1+$D217)^(R$99-CostBaseYr))</f>
        <v>0</v>
      </c>
      <c r="S217" s="50">
        <f t="shared" ca="1" si="157"/>
        <v>0</v>
      </c>
      <c r="T217" s="50">
        <f t="shared" ca="1" si="157"/>
        <v>0</v>
      </c>
      <c r="U217" s="50">
        <f t="shared" ca="1" si="157"/>
        <v>0</v>
      </c>
      <c r="V217" s="50">
        <f t="shared" ca="1" si="157"/>
        <v>0</v>
      </c>
      <c r="W217" s="50">
        <f t="shared" ca="1" si="157"/>
        <v>0</v>
      </c>
      <c r="X217" s="50">
        <f t="shared" ca="1" si="157"/>
        <v>0</v>
      </c>
      <c r="Y217" s="50">
        <f t="shared" ca="1" si="157"/>
        <v>0</v>
      </c>
      <c r="Z217" s="50">
        <f t="shared" ca="1" si="157"/>
        <v>0</v>
      </c>
      <c r="AA217" s="50">
        <f t="shared" ca="1" si="157"/>
        <v>0</v>
      </c>
      <c r="AB217" s="50">
        <f t="shared" ca="1" si="157"/>
        <v>0</v>
      </c>
      <c r="AC217" s="50">
        <f t="shared" ca="1" si="157"/>
        <v>0</v>
      </c>
      <c r="AD217" s="50">
        <f t="shared" ca="1" si="157"/>
        <v>0</v>
      </c>
      <c r="AE217" s="50">
        <f t="shared" ca="1" si="157"/>
        <v>0</v>
      </c>
      <c r="AF217" s="50">
        <f t="shared" ca="1" si="157"/>
        <v>0</v>
      </c>
      <c r="AG217" s="50">
        <f t="shared" ca="1" si="157"/>
        <v>0</v>
      </c>
      <c r="AH217" s="50">
        <f t="shared" ca="1" si="157"/>
        <v>0</v>
      </c>
      <c r="AI217" s="50">
        <f t="shared" ca="1" si="157"/>
        <v>0</v>
      </c>
      <c r="AJ217" s="50">
        <f t="shared" ca="1" si="157"/>
        <v>0</v>
      </c>
      <c r="AK217" s="50">
        <f t="shared" ca="1" si="157"/>
        <v>0</v>
      </c>
      <c r="AL217" s="50">
        <f t="shared" si="157"/>
        <v>0</v>
      </c>
      <c r="AM217" s="50">
        <f t="shared" si="157"/>
        <v>0</v>
      </c>
      <c r="AN217" s="50">
        <f t="shared" si="157"/>
        <v>0</v>
      </c>
      <c r="AO217" s="50">
        <f t="shared" si="157"/>
        <v>0</v>
      </c>
      <c r="AP217" s="50">
        <f t="shared" si="157"/>
        <v>0</v>
      </c>
      <c r="AQ217" s="50">
        <f t="shared" si="157"/>
        <v>0</v>
      </c>
      <c r="AR217" s="50">
        <f t="shared" si="157"/>
        <v>0</v>
      </c>
      <c r="AS217" s="50">
        <f t="shared" si="157"/>
        <v>0</v>
      </c>
      <c r="AT217" s="50">
        <f t="shared" si="157"/>
        <v>0</v>
      </c>
      <c r="AU217" s="50">
        <f t="shared" si="157"/>
        <v>0</v>
      </c>
    </row>
    <row r="218" spans="1:47" s="60" customFormat="1">
      <c r="D218" s="187"/>
      <c r="E218" s="325"/>
      <c r="G218" s="39" t="s">
        <v>305</v>
      </c>
      <c r="I218" s="39"/>
      <c r="K218" s="39"/>
      <c r="L218" s="174"/>
      <c r="N218" s="188"/>
      <c r="O218" s="314"/>
      <c r="P218" s="185"/>
      <c r="Q218" s="314"/>
      <c r="R218" s="185">
        <f ca="1">SUM(R207:R214)-SUM(R216:R217)</f>
        <v>-92869.422147803503</v>
      </c>
      <c r="S218" s="185">
        <f t="shared" ref="S218:AU218" ca="1" si="158">SUM(S207:S214)-SUM(S216:S217)</f>
        <v>-92520.16374174977</v>
      </c>
      <c r="T218" s="185">
        <f t="shared" ca="1" si="158"/>
        <v>-98097.983433136062</v>
      </c>
      <c r="U218" s="185">
        <f t="shared" ca="1" si="158"/>
        <v>-101741.96041946097</v>
      </c>
      <c r="V218" s="185">
        <f t="shared" ca="1" si="158"/>
        <v>-104492.68273717238</v>
      </c>
      <c r="W218" s="185">
        <f t="shared" ca="1" si="158"/>
        <v>-105303.54282437437</v>
      </c>
      <c r="X218" s="185">
        <f t="shared" ca="1" si="158"/>
        <v>-106739.61728788166</v>
      </c>
      <c r="Y218" s="185">
        <f t="shared" ca="1" si="158"/>
        <v>-109721.61590432034</v>
      </c>
      <c r="Z218" s="185">
        <f t="shared" ca="1" si="158"/>
        <v>-112653.61895356115</v>
      </c>
      <c r="AA218" s="185">
        <f t="shared" ca="1" si="158"/>
        <v>-115865.40824263079</v>
      </c>
      <c r="AB218" s="185">
        <f t="shared" ca="1" si="158"/>
        <v>-118508.76967220727</v>
      </c>
      <c r="AC218" s="185">
        <f t="shared" ca="1" si="158"/>
        <v>-120729.69937587521</v>
      </c>
      <c r="AD218" s="185">
        <f t="shared" ca="1" si="158"/>
        <v>-123778.38935540689</v>
      </c>
      <c r="AE218" s="185">
        <f t="shared" ca="1" si="158"/>
        <v>-126838.21159764298</v>
      </c>
      <c r="AF218" s="185">
        <f t="shared" ca="1" si="158"/>
        <v>-130183.37977124781</v>
      </c>
      <c r="AG218" s="185">
        <f t="shared" ca="1" si="158"/>
        <v>-134105.60284875293</v>
      </c>
      <c r="AH218" s="185">
        <f t="shared" ca="1" si="158"/>
        <v>-137801.20236526753</v>
      </c>
      <c r="AI218" s="185">
        <f t="shared" ca="1" si="158"/>
        <v>-141925.91233805992</v>
      </c>
      <c r="AJ218" s="185">
        <f t="shared" ca="1" si="158"/>
        <v>-146364.05352296319</v>
      </c>
      <c r="AK218" s="185">
        <f t="shared" ca="1" si="158"/>
        <v>-151039.27387997854</v>
      </c>
      <c r="AL218" s="185">
        <f t="shared" si="158"/>
        <v>0</v>
      </c>
      <c r="AM218" s="185">
        <f t="shared" si="158"/>
        <v>0</v>
      </c>
      <c r="AN218" s="185">
        <f t="shared" si="158"/>
        <v>0</v>
      </c>
      <c r="AO218" s="185">
        <f t="shared" si="158"/>
        <v>0</v>
      </c>
      <c r="AP218" s="185">
        <f t="shared" si="158"/>
        <v>0</v>
      </c>
      <c r="AQ218" s="185">
        <f t="shared" si="158"/>
        <v>0</v>
      </c>
      <c r="AR218" s="185">
        <f t="shared" si="158"/>
        <v>0</v>
      </c>
      <c r="AS218" s="185">
        <f t="shared" si="158"/>
        <v>0</v>
      </c>
      <c r="AT218" s="185">
        <f t="shared" si="158"/>
        <v>0</v>
      </c>
      <c r="AU218" s="185">
        <f t="shared" si="158"/>
        <v>0</v>
      </c>
    </row>
    <row r="219" spans="1:47">
      <c r="E219" s="36"/>
      <c r="G219" s="39"/>
      <c r="H219" s="39"/>
      <c r="I219" s="39"/>
      <c r="J219" s="39"/>
      <c r="K219" s="39"/>
    </row>
    <row r="220" spans="1:47">
      <c r="E220" s="327"/>
      <c r="F220" s="28"/>
      <c r="G220" s="324" t="str">
        <f>C222&amp;" Capital Costs"</f>
        <v>Dewatering Capital Costs</v>
      </c>
      <c r="H220" s="324"/>
      <c r="I220" s="324"/>
      <c r="J220" s="324"/>
      <c r="K220" s="324"/>
      <c r="L220" s="405" t="s">
        <v>79</v>
      </c>
      <c r="M220" s="256"/>
      <c r="N220" s="325" t="s">
        <v>490</v>
      </c>
      <c r="O220" s="311"/>
      <c r="P220" s="325" t="s">
        <v>491</v>
      </c>
      <c r="Q220" s="310"/>
      <c r="R220" s="325">
        <f>R$8</f>
        <v>2014</v>
      </c>
      <c r="S220" s="325">
        <f t="shared" ref="S220:AU220" si="159">S$8</f>
        <v>2015</v>
      </c>
      <c r="T220" s="325">
        <f t="shared" si="159"/>
        <v>2016</v>
      </c>
      <c r="U220" s="325">
        <f t="shared" si="159"/>
        <v>2017</v>
      </c>
      <c r="V220" s="325">
        <f t="shared" si="159"/>
        <v>2018</v>
      </c>
      <c r="W220" s="325">
        <f t="shared" si="159"/>
        <v>2019</v>
      </c>
      <c r="X220" s="325">
        <f t="shared" si="159"/>
        <v>2020</v>
      </c>
      <c r="Y220" s="325">
        <f t="shared" si="159"/>
        <v>2021</v>
      </c>
      <c r="Z220" s="325">
        <f t="shared" si="159"/>
        <v>2022</v>
      </c>
      <c r="AA220" s="325">
        <f t="shared" si="159"/>
        <v>2023</v>
      </c>
      <c r="AB220" s="325">
        <f t="shared" si="159"/>
        <v>2024</v>
      </c>
      <c r="AC220" s="325">
        <f t="shared" si="159"/>
        <v>2025</v>
      </c>
      <c r="AD220" s="325">
        <f t="shared" si="159"/>
        <v>2026</v>
      </c>
      <c r="AE220" s="325">
        <f t="shared" si="159"/>
        <v>2027</v>
      </c>
      <c r="AF220" s="325">
        <f t="shared" si="159"/>
        <v>2028</v>
      </c>
      <c r="AG220" s="325">
        <f t="shared" si="159"/>
        <v>2029</v>
      </c>
      <c r="AH220" s="325">
        <f t="shared" si="159"/>
        <v>2030</v>
      </c>
      <c r="AI220" s="325">
        <f t="shared" si="159"/>
        <v>2031</v>
      </c>
      <c r="AJ220" s="325">
        <f t="shared" si="159"/>
        <v>2032</v>
      </c>
      <c r="AK220" s="325">
        <f t="shared" si="159"/>
        <v>2033</v>
      </c>
      <c r="AL220" s="325">
        <f t="shared" si="159"/>
        <v>2034</v>
      </c>
      <c r="AM220" s="325">
        <f t="shared" si="159"/>
        <v>2035</v>
      </c>
      <c r="AN220" s="325">
        <f t="shared" si="159"/>
        <v>2036</v>
      </c>
      <c r="AO220" s="325">
        <f t="shared" si="159"/>
        <v>2037</v>
      </c>
      <c r="AP220" s="325">
        <f t="shared" si="159"/>
        <v>2038</v>
      </c>
      <c r="AQ220" s="325">
        <f t="shared" si="159"/>
        <v>2039</v>
      </c>
      <c r="AR220" s="325">
        <f t="shared" si="159"/>
        <v>2040</v>
      </c>
      <c r="AS220" s="325">
        <f t="shared" si="159"/>
        <v>2041</v>
      </c>
      <c r="AT220" s="325">
        <f t="shared" si="159"/>
        <v>2042</v>
      </c>
      <c r="AU220" s="325">
        <f t="shared" si="159"/>
        <v>2043</v>
      </c>
    </row>
    <row r="221" spans="1:47">
      <c r="E221" s="325"/>
      <c r="G221" s="39"/>
      <c r="H221" s="39"/>
      <c r="I221" s="39"/>
      <c r="J221" s="39"/>
      <c r="K221" s="39"/>
    </row>
    <row r="222" spans="1:47">
      <c r="A222" s="38" t="str">
        <f>$J$4&amp;"-"</f>
        <v>1X-</v>
      </c>
      <c r="B222" s="38" t="s">
        <v>306</v>
      </c>
      <c r="C222" s="38" t="s">
        <v>319</v>
      </c>
      <c r="D222" s="186">
        <f>CapExEsc</f>
        <v>0.03</v>
      </c>
      <c r="E222" s="325"/>
      <c r="G222" s="36" t="s">
        <v>8</v>
      </c>
      <c r="H222" s="39"/>
      <c r="I222" s="39"/>
      <c r="J222" s="70"/>
      <c r="K222" s="39"/>
      <c r="L222" s="43" t="str">
        <f>"["&amp;CostBaseYr&amp;" $]"</f>
        <v>[2013 $]</v>
      </c>
      <c r="N222" s="52">
        <f ca="1">SUMIFS(OFFSET(Assumptions!$I$65,0,MATCH($A222,Configurations,0)-1,COUNT(Assumptions!$A$65:$A$84),1),Assumptions!$E$65:$E$84,$C222)</f>
        <v>0</v>
      </c>
      <c r="O222" s="52"/>
      <c r="P222" s="322"/>
      <c r="Q222" s="52"/>
      <c r="R222" s="52">
        <f t="shared" ref="R222:AU222" ca="1" si="160">R223*IF($P222=0,$N222,$P222)*(1+$D222)^(R$8-CostBaseYr)</f>
        <v>0</v>
      </c>
      <c r="S222" s="52">
        <f t="shared" ca="1" si="160"/>
        <v>0</v>
      </c>
      <c r="T222" s="52">
        <f t="shared" ca="1" si="160"/>
        <v>0</v>
      </c>
      <c r="U222" s="52">
        <f t="shared" ca="1" si="160"/>
        <v>0</v>
      </c>
      <c r="V222" s="52">
        <f t="shared" ca="1" si="160"/>
        <v>0</v>
      </c>
      <c r="W222" s="52">
        <f t="shared" ca="1" si="160"/>
        <v>0</v>
      </c>
      <c r="X222" s="52">
        <f t="shared" ca="1" si="160"/>
        <v>0</v>
      </c>
      <c r="Y222" s="52">
        <f t="shared" ca="1" si="160"/>
        <v>0</v>
      </c>
      <c r="Z222" s="52">
        <f t="shared" ca="1" si="160"/>
        <v>0</v>
      </c>
      <c r="AA222" s="52">
        <f t="shared" ca="1" si="160"/>
        <v>0</v>
      </c>
      <c r="AB222" s="52">
        <f t="shared" ca="1" si="160"/>
        <v>0</v>
      </c>
      <c r="AC222" s="52">
        <f t="shared" ca="1" si="160"/>
        <v>0</v>
      </c>
      <c r="AD222" s="52">
        <f t="shared" ca="1" si="160"/>
        <v>0</v>
      </c>
      <c r="AE222" s="52">
        <f t="shared" ca="1" si="160"/>
        <v>0</v>
      </c>
      <c r="AF222" s="52">
        <f t="shared" ca="1" si="160"/>
        <v>0</v>
      </c>
      <c r="AG222" s="52">
        <f t="shared" ca="1" si="160"/>
        <v>0</v>
      </c>
      <c r="AH222" s="52">
        <f t="shared" ca="1" si="160"/>
        <v>0</v>
      </c>
      <c r="AI222" s="52">
        <f t="shared" ca="1" si="160"/>
        <v>0</v>
      </c>
      <c r="AJ222" s="52">
        <f t="shared" ca="1" si="160"/>
        <v>0</v>
      </c>
      <c r="AK222" s="52">
        <f t="shared" ca="1" si="160"/>
        <v>0</v>
      </c>
      <c r="AL222" s="52">
        <f t="shared" ca="1" si="160"/>
        <v>0</v>
      </c>
      <c r="AM222" s="52">
        <f t="shared" ca="1" si="160"/>
        <v>0</v>
      </c>
      <c r="AN222" s="52">
        <f t="shared" ca="1" si="160"/>
        <v>0</v>
      </c>
      <c r="AO222" s="52">
        <f t="shared" ca="1" si="160"/>
        <v>0</v>
      </c>
      <c r="AP222" s="52">
        <f t="shared" ca="1" si="160"/>
        <v>0</v>
      </c>
      <c r="AQ222" s="52">
        <f t="shared" ca="1" si="160"/>
        <v>0</v>
      </c>
      <c r="AR222" s="52">
        <f t="shared" ca="1" si="160"/>
        <v>0</v>
      </c>
      <c r="AS222" s="52">
        <f t="shared" ca="1" si="160"/>
        <v>0</v>
      </c>
      <c r="AT222" s="52">
        <f t="shared" ca="1" si="160"/>
        <v>0</v>
      </c>
      <c r="AU222" s="52">
        <f t="shared" ca="1" si="160"/>
        <v>0</v>
      </c>
    </row>
    <row r="223" spans="1:47">
      <c r="E223" s="325"/>
      <c r="G223" s="36" t="s">
        <v>10</v>
      </c>
      <c r="H223" s="39"/>
      <c r="I223" s="39"/>
      <c r="J223" s="39"/>
      <c r="K223" s="39"/>
      <c r="L223" s="43"/>
      <c r="R223" s="54">
        <f>Assumptions!M$60</f>
        <v>1</v>
      </c>
      <c r="S223" s="54">
        <f>Assumptions!N$60</f>
        <v>0</v>
      </c>
      <c r="T223" s="54">
        <f>Assumptions!O$60</f>
        <v>0</v>
      </c>
      <c r="U223" s="54">
        <f>Assumptions!P$60</f>
        <v>0</v>
      </c>
      <c r="V223" s="54">
        <f>Assumptions!Q$60</f>
        <v>0</v>
      </c>
      <c r="W223" s="54">
        <f>Assumptions!R$60</f>
        <v>0</v>
      </c>
      <c r="X223" s="54">
        <f>Assumptions!S$60</f>
        <v>0</v>
      </c>
      <c r="Y223" s="54">
        <f>Assumptions!T$60</f>
        <v>0</v>
      </c>
      <c r="Z223" s="54">
        <f>Assumptions!U$60</f>
        <v>0</v>
      </c>
      <c r="AA223" s="54">
        <f>Assumptions!V$60</f>
        <v>0</v>
      </c>
      <c r="AB223" s="54">
        <f>Assumptions!W$60</f>
        <v>0</v>
      </c>
      <c r="AC223" s="54">
        <f>Assumptions!X$60</f>
        <v>0</v>
      </c>
      <c r="AD223" s="54">
        <f>Assumptions!Y$60</f>
        <v>0</v>
      </c>
      <c r="AE223" s="54">
        <f>Assumptions!Z$60</f>
        <v>0</v>
      </c>
      <c r="AF223" s="54">
        <f>Assumptions!AA$60</f>
        <v>0</v>
      </c>
      <c r="AG223" s="54">
        <f>Assumptions!AB$60</f>
        <v>0</v>
      </c>
      <c r="AH223" s="54">
        <f>Assumptions!AC$60</f>
        <v>0</v>
      </c>
      <c r="AI223" s="54">
        <f>Assumptions!AD$60</f>
        <v>0</v>
      </c>
      <c r="AJ223" s="54">
        <f>Assumptions!AE$60</f>
        <v>0</v>
      </c>
      <c r="AK223" s="54">
        <f>Assumptions!AF$60</f>
        <v>0</v>
      </c>
      <c r="AL223" s="54">
        <f>Assumptions!AG$60</f>
        <v>0</v>
      </c>
      <c r="AM223" s="54">
        <f>Assumptions!AH$60</f>
        <v>0</v>
      </c>
      <c r="AN223" s="54">
        <f>Assumptions!AI$60</f>
        <v>0</v>
      </c>
      <c r="AO223" s="54">
        <f>Assumptions!AJ$60</f>
        <v>0</v>
      </c>
      <c r="AP223" s="54">
        <f>Assumptions!AK$60</f>
        <v>0</v>
      </c>
      <c r="AQ223" s="54">
        <f>Assumptions!AL$60</f>
        <v>0</v>
      </c>
      <c r="AR223" s="54">
        <f>Assumptions!AM$60</f>
        <v>0</v>
      </c>
      <c r="AS223" s="54">
        <f>Assumptions!AN$60</f>
        <v>0</v>
      </c>
      <c r="AT223" s="54">
        <f>Assumptions!AO$60</f>
        <v>0</v>
      </c>
      <c r="AU223" s="54">
        <f>Assumptions!AP$60</f>
        <v>0</v>
      </c>
    </row>
    <row r="224" spans="1:47">
      <c r="E224" s="326"/>
      <c r="G224" s="39"/>
      <c r="H224" s="39"/>
      <c r="I224" s="39"/>
      <c r="J224" s="39"/>
      <c r="K224" s="39"/>
    </row>
    <row r="225" spans="1:47">
      <c r="E225" s="327"/>
      <c r="F225" s="28"/>
      <c r="G225" s="324" t="str">
        <f>C222&amp;" O&amp;M"</f>
        <v>Dewatering O&amp;M</v>
      </c>
      <c r="H225" s="324"/>
      <c r="I225" s="324"/>
      <c r="J225" s="324"/>
      <c r="K225" s="324"/>
      <c r="L225" s="405" t="s">
        <v>79</v>
      </c>
      <c r="M225" s="256"/>
      <c r="N225" s="325" t="s">
        <v>490</v>
      </c>
      <c r="O225" s="311"/>
      <c r="P225" s="325" t="s">
        <v>491</v>
      </c>
      <c r="Q225" s="310"/>
      <c r="R225" s="325">
        <f>R$8</f>
        <v>2014</v>
      </c>
      <c r="S225" s="325">
        <f t="shared" ref="S225:AU225" si="161">S$8</f>
        <v>2015</v>
      </c>
      <c r="T225" s="325">
        <f t="shared" si="161"/>
        <v>2016</v>
      </c>
      <c r="U225" s="325">
        <f t="shared" si="161"/>
        <v>2017</v>
      </c>
      <c r="V225" s="325">
        <f t="shared" si="161"/>
        <v>2018</v>
      </c>
      <c r="W225" s="325">
        <f t="shared" si="161"/>
        <v>2019</v>
      </c>
      <c r="X225" s="325">
        <f t="shared" si="161"/>
        <v>2020</v>
      </c>
      <c r="Y225" s="325">
        <f t="shared" si="161"/>
        <v>2021</v>
      </c>
      <c r="Z225" s="325">
        <f t="shared" si="161"/>
        <v>2022</v>
      </c>
      <c r="AA225" s="325">
        <f t="shared" si="161"/>
        <v>2023</v>
      </c>
      <c r="AB225" s="325">
        <f t="shared" si="161"/>
        <v>2024</v>
      </c>
      <c r="AC225" s="325">
        <f t="shared" si="161"/>
        <v>2025</v>
      </c>
      <c r="AD225" s="325">
        <f t="shared" si="161"/>
        <v>2026</v>
      </c>
      <c r="AE225" s="325">
        <f t="shared" si="161"/>
        <v>2027</v>
      </c>
      <c r="AF225" s="325">
        <f t="shared" si="161"/>
        <v>2028</v>
      </c>
      <c r="AG225" s="325">
        <f t="shared" si="161"/>
        <v>2029</v>
      </c>
      <c r="AH225" s="325">
        <f t="shared" si="161"/>
        <v>2030</v>
      </c>
      <c r="AI225" s="325">
        <f t="shared" si="161"/>
        <v>2031</v>
      </c>
      <c r="AJ225" s="325">
        <f t="shared" si="161"/>
        <v>2032</v>
      </c>
      <c r="AK225" s="325">
        <f t="shared" si="161"/>
        <v>2033</v>
      </c>
      <c r="AL225" s="325">
        <f t="shared" si="161"/>
        <v>2034</v>
      </c>
      <c r="AM225" s="325">
        <f t="shared" si="161"/>
        <v>2035</v>
      </c>
      <c r="AN225" s="325">
        <f t="shared" si="161"/>
        <v>2036</v>
      </c>
      <c r="AO225" s="325">
        <f t="shared" si="161"/>
        <v>2037</v>
      </c>
      <c r="AP225" s="325">
        <f t="shared" si="161"/>
        <v>2038</v>
      </c>
      <c r="AQ225" s="325">
        <f t="shared" si="161"/>
        <v>2039</v>
      </c>
      <c r="AR225" s="325">
        <f t="shared" si="161"/>
        <v>2040</v>
      </c>
      <c r="AS225" s="325">
        <f t="shared" si="161"/>
        <v>2041</v>
      </c>
      <c r="AT225" s="325">
        <f t="shared" si="161"/>
        <v>2042</v>
      </c>
      <c r="AU225" s="325">
        <f t="shared" si="161"/>
        <v>2043</v>
      </c>
    </row>
    <row r="226" spans="1:47">
      <c r="E226" s="325"/>
      <c r="G226" s="39"/>
      <c r="H226" s="39"/>
      <c r="I226" s="39"/>
      <c r="J226" s="39"/>
      <c r="K226" s="39"/>
    </row>
    <row r="227" spans="1:47">
      <c r="E227" s="325"/>
      <c r="G227" s="39" t="s">
        <v>23</v>
      </c>
      <c r="H227" s="39"/>
      <c r="I227" s="39"/>
      <c r="J227" s="39"/>
      <c r="K227" s="39"/>
    </row>
    <row r="228" spans="1:47">
      <c r="A228" s="38" t="str">
        <f t="shared" ref="A228:A235" si="162">$J$4&amp;"-"</f>
        <v>1X-</v>
      </c>
      <c r="B228" s="38" t="s">
        <v>262</v>
      </c>
      <c r="C228" s="38" t="str">
        <f>C222</f>
        <v>Dewatering</v>
      </c>
      <c r="D228" s="186">
        <f>LaborEsc</f>
        <v>0.02</v>
      </c>
      <c r="E228" s="325"/>
      <c r="G228" s="36" t="s">
        <v>125</v>
      </c>
      <c r="I228" s="39"/>
      <c r="K228" s="39"/>
      <c r="L228" s="43" t="s">
        <v>266</v>
      </c>
      <c r="N228" s="70">
        <f ca="1">SUMIFS(OFFSET(Assumptions!$I$90,0,MATCH($A228,Configurations,0)-1,COUNT(Assumptions!$A$90:$A$183),1),Assumptions!$D$90:$D$183,$B228&amp;$C228)</f>
        <v>0</v>
      </c>
      <c r="O228" s="313"/>
      <c r="P228" s="323"/>
      <c r="Q228" s="313"/>
      <c r="R228" s="50">
        <f t="shared" ref="R228:AU228" ca="1" si="163">IF(OR(R$99&lt;InServiceYr,R$99&gt;(InServiceYr+analysis_period-1)),0,IF($P228=0,$N228,$P228)*LaborCost*(1+$D228)^(R$99-CostBaseYr))</f>
        <v>0</v>
      </c>
      <c r="S228" s="50">
        <f t="shared" ca="1" si="163"/>
        <v>0</v>
      </c>
      <c r="T228" s="50">
        <f t="shared" ca="1" si="163"/>
        <v>0</v>
      </c>
      <c r="U228" s="50">
        <f t="shared" ca="1" si="163"/>
        <v>0</v>
      </c>
      <c r="V228" s="50">
        <f t="shared" ca="1" si="163"/>
        <v>0</v>
      </c>
      <c r="W228" s="50">
        <f t="shared" ca="1" si="163"/>
        <v>0</v>
      </c>
      <c r="X228" s="50">
        <f t="shared" ca="1" si="163"/>
        <v>0</v>
      </c>
      <c r="Y228" s="50">
        <f t="shared" ca="1" si="163"/>
        <v>0</v>
      </c>
      <c r="Z228" s="50">
        <f t="shared" ca="1" si="163"/>
        <v>0</v>
      </c>
      <c r="AA228" s="50">
        <f t="shared" ca="1" si="163"/>
        <v>0</v>
      </c>
      <c r="AB228" s="50">
        <f t="shared" ca="1" si="163"/>
        <v>0</v>
      </c>
      <c r="AC228" s="50">
        <f t="shared" ca="1" si="163"/>
        <v>0</v>
      </c>
      <c r="AD228" s="50">
        <f t="shared" ca="1" si="163"/>
        <v>0</v>
      </c>
      <c r="AE228" s="50">
        <f t="shared" ca="1" si="163"/>
        <v>0</v>
      </c>
      <c r="AF228" s="50">
        <f t="shared" ca="1" si="163"/>
        <v>0</v>
      </c>
      <c r="AG228" s="50">
        <f t="shared" ca="1" si="163"/>
        <v>0</v>
      </c>
      <c r="AH228" s="50">
        <f t="shared" ca="1" si="163"/>
        <v>0</v>
      </c>
      <c r="AI228" s="50">
        <f t="shared" ca="1" si="163"/>
        <v>0</v>
      </c>
      <c r="AJ228" s="50">
        <f t="shared" ca="1" si="163"/>
        <v>0</v>
      </c>
      <c r="AK228" s="50">
        <f t="shared" ca="1" si="163"/>
        <v>0</v>
      </c>
      <c r="AL228" s="50">
        <f t="shared" si="163"/>
        <v>0</v>
      </c>
      <c r="AM228" s="50">
        <f t="shared" si="163"/>
        <v>0</v>
      </c>
      <c r="AN228" s="50">
        <f t="shared" si="163"/>
        <v>0</v>
      </c>
      <c r="AO228" s="50">
        <f t="shared" si="163"/>
        <v>0</v>
      </c>
      <c r="AP228" s="50">
        <f t="shared" si="163"/>
        <v>0</v>
      </c>
      <c r="AQ228" s="50">
        <f t="shared" si="163"/>
        <v>0</v>
      </c>
      <c r="AR228" s="50">
        <f t="shared" si="163"/>
        <v>0</v>
      </c>
      <c r="AS228" s="50">
        <f t="shared" si="163"/>
        <v>0</v>
      </c>
      <c r="AT228" s="50">
        <f t="shared" si="163"/>
        <v>0</v>
      </c>
      <c r="AU228" s="50">
        <f t="shared" si="163"/>
        <v>0</v>
      </c>
    </row>
    <row r="229" spans="1:47">
      <c r="A229" s="38" t="str">
        <f t="shared" si="162"/>
        <v>1X-</v>
      </c>
      <c r="B229" s="38" t="s">
        <v>270</v>
      </c>
      <c r="C229" s="38" t="str">
        <f>C228</f>
        <v>Dewatering</v>
      </c>
      <c r="D229" s="186">
        <f>OMEsc</f>
        <v>0.02</v>
      </c>
      <c r="E229" s="325"/>
      <c r="G229" s="36" t="s">
        <v>126</v>
      </c>
      <c r="I229" s="39"/>
      <c r="K229" s="39"/>
      <c r="L229" s="43" t="str">
        <f>"["&amp;CostBaseYr&amp;" $]"</f>
        <v>[2013 $]</v>
      </c>
      <c r="N229" s="70">
        <f ca="1">SUMIFS(OFFSET(Assumptions!$I$90,0,MATCH($A229,Configurations,0)-1,COUNT(Assumptions!$A$90:$A$183),1),Assumptions!$D$90:$D$183,$B229&amp;$C229)</f>
        <v>0</v>
      </c>
      <c r="O229" s="313"/>
      <c r="P229" s="323"/>
      <c r="Q229" s="313"/>
      <c r="R229" s="50">
        <f t="shared" ref="R229:AG231" ca="1" si="164">IF(OR(R$99&lt;InServiceYr,R$99&gt;(InServiceYr+analysis_period-1)),0,IF($P229=0,$N229,$P229)*(1+$D229)^(R$99-CostBaseYr))</f>
        <v>0</v>
      </c>
      <c r="S229" s="50">
        <f t="shared" ca="1" si="164"/>
        <v>0</v>
      </c>
      <c r="T229" s="50">
        <f t="shared" ca="1" si="164"/>
        <v>0</v>
      </c>
      <c r="U229" s="50">
        <f t="shared" ca="1" si="164"/>
        <v>0</v>
      </c>
      <c r="V229" s="50">
        <f t="shared" ca="1" si="164"/>
        <v>0</v>
      </c>
      <c r="W229" s="50">
        <f t="shared" ca="1" si="164"/>
        <v>0</v>
      </c>
      <c r="X229" s="50">
        <f t="shared" ca="1" si="164"/>
        <v>0</v>
      </c>
      <c r="Y229" s="50">
        <f t="shared" ca="1" si="164"/>
        <v>0</v>
      </c>
      <c r="Z229" s="50">
        <f t="shared" ca="1" si="164"/>
        <v>0</v>
      </c>
      <c r="AA229" s="50">
        <f t="shared" ca="1" si="164"/>
        <v>0</v>
      </c>
      <c r="AB229" s="50">
        <f t="shared" ca="1" si="164"/>
        <v>0</v>
      </c>
      <c r="AC229" s="50">
        <f t="shared" ca="1" si="164"/>
        <v>0</v>
      </c>
      <c r="AD229" s="50">
        <f t="shared" ca="1" si="164"/>
        <v>0</v>
      </c>
      <c r="AE229" s="50">
        <f t="shared" ca="1" si="164"/>
        <v>0</v>
      </c>
      <c r="AF229" s="50">
        <f t="shared" ca="1" si="164"/>
        <v>0</v>
      </c>
      <c r="AG229" s="50">
        <f t="shared" ca="1" si="164"/>
        <v>0</v>
      </c>
      <c r="AH229" s="50">
        <f t="shared" ref="S229:AU231" ca="1" si="165">IF(OR(AH$99&lt;InServiceYr,AH$99&gt;(InServiceYr+analysis_period-1)),0,IF($P229=0,$N229,$P229)*(1+$D229)^(AH$99-CostBaseYr))</f>
        <v>0</v>
      </c>
      <c r="AI229" s="50">
        <f t="shared" ca="1" si="165"/>
        <v>0</v>
      </c>
      <c r="AJ229" s="50">
        <f t="shared" ca="1" si="165"/>
        <v>0</v>
      </c>
      <c r="AK229" s="50">
        <f t="shared" ca="1" si="165"/>
        <v>0</v>
      </c>
      <c r="AL229" s="50">
        <f t="shared" si="165"/>
        <v>0</v>
      </c>
      <c r="AM229" s="50">
        <f t="shared" si="165"/>
        <v>0</v>
      </c>
      <c r="AN229" s="50">
        <f t="shared" si="165"/>
        <v>0</v>
      </c>
      <c r="AO229" s="50">
        <f t="shared" si="165"/>
        <v>0</v>
      </c>
      <c r="AP229" s="50">
        <f t="shared" si="165"/>
        <v>0</v>
      </c>
      <c r="AQ229" s="50">
        <f t="shared" si="165"/>
        <v>0</v>
      </c>
      <c r="AR229" s="50">
        <f t="shared" si="165"/>
        <v>0</v>
      </c>
      <c r="AS229" s="50">
        <f t="shared" si="165"/>
        <v>0</v>
      </c>
      <c r="AT229" s="50">
        <f t="shared" si="165"/>
        <v>0</v>
      </c>
      <c r="AU229" s="50">
        <f t="shared" si="165"/>
        <v>0</v>
      </c>
    </row>
    <row r="230" spans="1:47">
      <c r="A230" s="38" t="str">
        <f t="shared" si="162"/>
        <v>1X-</v>
      </c>
      <c r="B230" s="38" t="s">
        <v>263</v>
      </c>
      <c r="C230" s="38" t="str">
        <f t="shared" ref="C230:C234" si="166">C229</f>
        <v>Dewatering</v>
      </c>
      <c r="D230" s="186">
        <f>OMEsc</f>
        <v>0.02</v>
      </c>
      <c r="E230" s="325"/>
      <c r="G230" s="36" t="s">
        <v>127</v>
      </c>
      <c r="I230" s="39"/>
      <c r="K230" s="39"/>
      <c r="L230" s="43" t="str">
        <f>"["&amp;CostBaseYr&amp;" $]"</f>
        <v>[2013 $]</v>
      </c>
      <c r="N230" s="70">
        <f ca="1">SUMIFS(OFFSET(Assumptions!$I$90,0,MATCH($A230,Configurations,0)-1,COUNT(Assumptions!$A$90:$A$183),1),Assumptions!$D$90:$D$183,$B230&amp;$C230)</f>
        <v>0</v>
      </c>
      <c r="O230" s="313"/>
      <c r="P230" s="323"/>
      <c r="Q230" s="313"/>
      <c r="R230" s="50">
        <f t="shared" ca="1" si="164"/>
        <v>0</v>
      </c>
      <c r="S230" s="50">
        <f t="shared" ca="1" si="165"/>
        <v>0</v>
      </c>
      <c r="T230" s="50">
        <f t="shared" ca="1" si="165"/>
        <v>0</v>
      </c>
      <c r="U230" s="50">
        <f t="shared" ca="1" si="165"/>
        <v>0</v>
      </c>
      <c r="V230" s="50">
        <f t="shared" ca="1" si="165"/>
        <v>0</v>
      </c>
      <c r="W230" s="50">
        <f t="shared" ca="1" si="165"/>
        <v>0</v>
      </c>
      <c r="X230" s="50">
        <f t="shared" ca="1" si="165"/>
        <v>0</v>
      </c>
      <c r="Y230" s="50">
        <f t="shared" ca="1" si="165"/>
        <v>0</v>
      </c>
      <c r="Z230" s="50">
        <f t="shared" ca="1" si="165"/>
        <v>0</v>
      </c>
      <c r="AA230" s="50">
        <f t="shared" ca="1" si="165"/>
        <v>0</v>
      </c>
      <c r="AB230" s="50">
        <f t="shared" ca="1" si="165"/>
        <v>0</v>
      </c>
      <c r="AC230" s="50">
        <f t="shared" ca="1" si="165"/>
        <v>0</v>
      </c>
      <c r="AD230" s="50">
        <f t="shared" ca="1" si="165"/>
        <v>0</v>
      </c>
      <c r="AE230" s="50">
        <f t="shared" ca="1" si="165"/>
        <v>0</v>
      </c>
      <c r="AF230" s="50">
        <f t="shared" ca="1" si="165"/>
        <v>0</v>
      </c>
      <c r="AG230" s="50">
        <f t="shared" ca="1" si="165"/>
        <v>0</v>
      </c>
      <c r="AH230" s="50">
        <f t="shared" ca="1" si="165"/>
        <v>0</v>
      </c>
      <c r="AI230" s="50">
        <f t="shared" ca="1" si="165"/>
        <v>0</v>
      </c>
      <c r="AJ230" s="50">
        <f t="shared" ca="1" si="165"/>
        <v>0</v>
      </c>
      <c r="AK230" s="50">
        <f t="shared" ca="1" si="165"/>
        <v>0</v>
      </c>
      <c r="AL230" s="50">
        <f t="shared" si="165"/>
        <v>0</v>
      </c>
      <c r="AM230" s="50">
        <f t="shared" si="165"/>
        <v>0</v>
      </c>
      <c r="AN230" s="50">
        <f t="shared" si="165"/>
        <v>0</v>
      </c>
      <c r="AO230" s="50">
        <f t="shared" si="165"/>
        <v>0</v>
      </c>
      <c r="AP230" s="50">
        <f t="shared" si="165"/>
        <v>0</v>
      </c>
      <c r="AQ230" s="50">
        <f t="shared" si="165"/>
        <v>0</v>
      </c>
      <c r="AR230" s="50">
        <f t="shared" si="165"/>
        <v>0</v>
      </c>
      <c r="AS230" s="50">
        <f t="shared" si="165"/>
        <v>0</v>
      </c>
      <c r="AT230" s="50">
        <f t="shared" si="165"/>
        <v>0</v>
      </c>
      <c r="AU230" s="50">
        <f t="shared" si="165"/>
        <v>0</v>
      </c>
    </row>
    <row r="231" spans="1:47">
      <c r="A231" s="38" t="str">
        <f t="shared" si="162"/>
        <v>1X-</v>
      </c>
      <c r="B231" s="38" t="s">
        <v>277</v>
      </c>
      <c r="C231" s="38" t="str">
        <f t="shared" si="166"/>
        <v>Dewatering</v>
      </c>
      <c r="D231" s="186">
        <f>OMEsc</f>
        <v>0.02</v>
      </c>
      <c r="E231" s="325"/>
      <c r="G231" s="36" t="s">
        <v>276</v>
      </c>
      <c r="I231" s="39"/>
      <c r="K231" s="39"/>
      <c r="L231" s="43" t="str">
        <f>"["&amp;CostBaseYr&amp;" $]"</f>
        <v>[2013 $]</v>
      </c>
      <c r="N231" s="70">
        <f ca="1">SUMIFS(OFFSET(Assumptions!$I$90,0,MATCH($A231,Configurations,0)-1,COUNT(Assumptions!$A$90:$A$183),1),Assumptions!$D$90:$D$183,$B231&amp;$C231)</f>
        <v>0</v>
      </c>
      <c r="O231" s="313"/>
      <c r="P231" s="323"/>
      <c r="Q231" s="313"/>
      <c r="R231" s="50">
        <f t="shared" ca="1" si="164"/>
        <v>0</v>
      </c>
      <c r="S231" s="50">
        <f t="shared" ca="1" si="165"/>
        <v>0</v>
      </c>
      <c r="T231" s="50">
        <f t="shared" ca="1" si="165"/>
        <v>0</v>
      </c>
      <c r="U231" s="50">
        <f t="shared" ca="1" si="165"/>
        <v>0</v>
      </c>
      <c r="V231" s="50">
        <f t="shared" ca="1" si="165"/>
        <v>0</v>
      </c>
      <c r="W231" s="50">
        <f t="shared" ca="1" si="165"/>
        <v>0</v>
      </c>
      <c r="X231" s="50">
        <f t="shared" ca="1" si="165"/>
        <v>0</v>
      </c>
      <c r="Y231" s="50">
        <f t="shared" ca="1" si="165"/>
        <v>0</v>
      </c>
      <c r="Z231" s="50">
        <f t="shared" ca="1" si="165"/>
        <v>0</v>
      </c>
      <c r="AA231" s="50">
        <f t="shared" ca="1" si="165"/>
        <v>0</v>
      </c>
      <c r="AB231" s="50">
        <f t="shared" ca="1" si="165"/>
        <v>0</v>
      </c>
      <c r="AC231" s="50">
        <f t="shared" ca="1" si="165"/>
        <v>0</v>
      </c>
      <c r="AD231" s="50">
        <f t="shared" ca="1" si="165"/>
        <v>0</v>
      </c>
      <c r="AE231" s="50">
        <f t="shared" ca="1" si="165"/>
        <v>0</v>
      </c>
      <c r="AF231" s="50">
        <f t="shared" ca="1" si="165"/>
        <v>0</v>
      </c>
      <c r="AG231" s="50">
        <f t="shared" ca="1" si="165"/>
        <v>0</v>
      </c>
      <c r="AH231" s="50">
        <f t="shared" ca="1" si="165"/>
        <v>0</v>
      </c>
      <c r="AI231" s="50">
        <f t="shared" ca="1" si="165"/>
        <v>0</v>
      </c>
      <c r="AJ231" s="50">
        <f t="shared" ca="1" si="165"/>
        <v>0</v>
      </c>
      <c r="AK231" s="50">
        <f t="shared" ca="1" si="165"/>
        <v>0</v>
      </c>
      <c r="AL231" s="50">
        <f t="shared" si="165"/>
        <v>0</v>
      </c>
      <c r="AM231" s="50">
        <f t="shared" si="165"/>
        <v>0</v>
      </c>
      <c r="AN231" s="50">
        <f t="shared" si="165"/>
        <v>0</v>
      </c>
      <c r="AO231" s="50">
        <f t="shared" si="165"/>
        <v>0</v>
      </c>
      <c r="AP231" s="50">
        <f t="shared" si="165"/>
        <v>0</v>
      </c>
      <c r="AQ231" s="50">
        <f t="shared" si="165"/>
        <v>0</v>
      </c>
      <c r="AR231" s="50">
        <f t="shared" si="165"/>
        <v>0</v>
      </c>
      <c r="AS231" s="50">
        <f t="shared" si="165"/>
        <v>0</v>
      </c>
      <c r="AT231" s="50">
        <f t="shared" si="165"/>
        <v>0</v>
      </c>
      <c r="AU231" s="50">
        <f t="shared" si="165"/>
        <v>0</v>
      </c>
    </row>
    <row r="232" spans="1:47">
      <c r="A232" s="38" t="str">
        <f t="shared" si="162"/>
        <v>1X-</v>
      </c>
      <c r="B232" s="38" t="s">
        <v>274</v>
      </c>
      <c r="C232" s="38" t="str">
        <f t="shared" si="166"/>
        <v>Dewatering</v>
      </c>
      <c r="D232" s="186"/>
      <c r="E232" s="325"/>
      <c r="G232" s="36" t="s">
        <v>16</v>
      </c>
      <c r="I232" s="39"/>
      <c r="K232" s="39"/>
      <c r="L232" s="43" t="s">
        <v>275</v>
      </c>
      <c r="N232" s="70">
        <f ca="1">SUMIFS(OFFSET(Assumptions!$I$90,0,MATCH($A232,Configurations,0)-1,COUNT(Assumptions!$A$90:$A$183),1),Assumptions!$D$90:$D$183,$B232&amp;$C232)</f>
        <v>0</v>
      </c>
      <c r="O232" s="313"/>
      <c r="P232" s="323"/>
      <c r="Q232" s="313"/>
      <c r="R232" s="50">
        <f t="shared" ref="R232:AU232" ca="1" si="167">IF(OR(R$99&lt;InServiceYr,R$99&gt;(InServiceYr+analysis_period-1)),0,IF($P232=0,$N232,$P232)*R$505)</f>
        <v>0</v>
      </c>
      <c r="S232" s="50">
        <f t="shared" ca="1" si="167"/>
        <v>0</v>
      </c>
      <c r="T232" s="50">
        <f t="shared" ca="1" si="167"/>
        <v>0</v>
      </c>
      <c r="U232" s="50">
        <f t="shared" ca="1" si="167"/>
        <v>0</v>
      </c>
      <c r="V232" s="50">
        <f t="shared" ca="1" si="167"/>
        <v>0</v>
      </c>
      <c r="W232" s="50">
        <f t="shared" ca="1" si="167"/>
        <v>0</v>
      </c>
      <c r="X232" s="50">
        <f t="shared" ca="1" si="167"/>
        <v>0</v>
      </c>
      <c r="Y232" s="50">
        <f t="shared" ca="1" si="167"/>
        <v>0</v>
      </c>
      <c r="Z232" s="50">
        <f t="shared" ca="1" si="167"/>
        <v>0</v>
      </c>
      <c r="AA232" s="50">
        <f t="shared" ca="1" si="167"/>
        <v>0</v>
      </c>
      <c r="AB232" s="50">
        <f t="shared" ca="1" si="167"/>
        <v>0</v>
      </c>
      <c r="AC232" s="50">
        <f t="shared" ca="1" si="167"/>
        <v>0</v>
      </c>
      <c r="AD232" s="50">
        <f t="shared" ca="1" si="167"/>
        <v>0</v>
      </c>
      <c r="AE232" s="50">
        <f t="shared" ca="1" si="167"/>
        <v>0</v>
      </c>
      <c r="AF232" s="50">
        <f t="shared" ca="1" si="167"/>
        <v>0</v>
      </c>
      <c r="AG232" s="50">
        <f t="shared" ca="1" si="167"/>
        <v>0</v>
      </c>
      <c r="AH232" s="50">
        <f t="shared" ca="1" si="167"/>
        <v>0</v>
      </c>
      <c r="AI232" s="50">
        <f t="shared" ca="1" si="167"/>
        <v>0</v>
      </c>
      <c r="AJ232" s="50">
        <f t="shared" ca="1" si="167"/>
        <v>0</v>
      </c>
      <c r="AK232" s="50">
        <f t="shared" ca="1" si="167"/>
        <v>0</v>
      </c>
      <c r="AL232" s="50">
        <f t="shared" si="167"/>
        <v>0</v>
      </c>
      <c r="AM232" s="50">
        <f t="shared" si="167"/>
        <v>0</v>
      </c>
      <c r="AN232" s="50">
        <f t="shared" si="167"/>
        <v>0</v>
      </c>
      <c r="AO232" s="50">
        <f t="shared" si="167"/>
        <v>0</v>
      </c>
      <c r="AP232" s="50">
        <f t="shared" si="167"/>
        <v>0</v>
      </c>
      <c r="AQ232" s="50">
        <f t="shared" si="167"/>
        <v>0</v>
      </c>
      <c r="AR232" s="50">
        <f t="shared" si="167"/>
        <v>0</v>
      </c>
      <c r="AS232" s="50">
        <f t="shared" si="167"/>
        <v>0</v>
      </c>
      <c r="AT232" s="50">
        <f t="shared" si="167"/>
        <v>0</v>
      </c>
      <c r="AU232" s="50">
        <f t="shared" si="167"/>
        <v>0</v>
      </c>
    </row>
    <row r="233" spans="1:47">
      <c r="A233" s="38" t="str">
        <f t="shared" si="162"/>
        <v>1X-</v>
      </c>
      <c r="B233" s="38" t="s">
        <v>257</v>
      </c>
      <c r="C233" s="38" t="str">
        <f t="shared" si="166"/>
        <v>Dewatering</v>
      </c>
      <c r="D233" s="186"/>
      <c r="E233" s="325"/>
      <c r="G233" s="36" t="s">
        <v>284</v>
      </c>
      <c r="I233" s="39"/>
      <c r="K233" s="39"/>
      <c r="L233" s="43" t="s">
        <v>293</v>
      </c>
      <c r="N233" s="70">
        <f ca="1">SUMIFS(OFFSET(Assumptions!$I$90,0,MATCH($A233,Configurations,0)-1,COUNT(Assumptions!$A$90:$A$183),1),Assumptions!$D$90:$D$183,$B233&amp;$C233)</f>
        <v>0</v>
      </c>
      <c r="O233" s="313"/>
      <c r="P233" s="323"/>
      <c r="Q233" s="313"/>
      <c r="R233" s="50">
        <f t="shared" ref="R233:AU233" ca="1" si="168">IF(OR(R$99&lt;InServiceYr,R$99&gt;(InServiceYr+analysis_period-1)),0,IF($P233=0,$N233,$P233)*R$501)</f>
        <v>0</v>
      </c>
      <c r="S233" s="50">
        <f t="shared" ca="1" si="168"/>
        <v>0</v>
      </c>
      <c r="T233" s="50">
        <f t="shared" ca="1" si="168"/>
        <v>0</v>
      </c>
      <c r="U233" s="50">
        <f t="shared" ca="1" si="168"/>
        <v>0</v>
      </c>
      <c r="V233" s="50">
        <f t="shared" ca="1" si="168"/>
        <v>0</v>
      </c>
      <c r="W233" s="50">
        <f t="shared" ca="1" si="168"/>
        <v>0</v>
      </c>
      <c r="X233" s="50">
        <f t="shared" ca="1" si="168"/>
        <v>0</v>
      </c>
      <c r="Y233" s="50">
        <f t="shared" ca="1" si="168"/>
        <v>0</v>
      </c>
      <c r="Z233" s="50">
        <f t="shared" ca="1" si="168"/>
        <v>0</v>
      </c>
      <c r="AA233" s="50">
        <f t="shared" ca="1" si="168"/>
        <v>0</v>
      </c>
      <c r="AB233" s="50">
        <f t="shared" ca="1" si="168"/>
        <v>0</v>
      </c>
      <c r="AC233" s="50">
        <f t="shared" ca="1" si="168"/>
        <v>0</v>
      </c>
      <c r="AD233" s="50">
        <f t="shared" ca="1" si="168"/>
        <v>0</v>
      </c>
      <c r="AE233" s="50">
        <f t="shared" ca="1" si="168"/>
        <v>0</v>
      </c>
      <c r="AF233" s="50">
        <f t="shared" ca="1" si="168"/>
        <v>0</v>
      </c>
      <c r="AG233" s="50">
        <f t="shared" ca="1" si="168"/>
        <v>0</v>
      </c>
      <c r="AH233" s="50">
        <f t="shared" ca="1" si="168"/>
        <v>0</v>
      </c>
      <c r="AI233" s="50">
        <f t="shared" ca="1" si="168"/>
        <v>0</v>
      </c>
      <c r="AJ233" s="50">
        <f t="shared" ca="1" si="168"/>
        <v>0</v>
      </c>
      <c r="AK233" s="50">
        <f t="shared" ca="1" si="168"/>
        <v>0</v>
      </c>
      <c r="AL233" s="50">
        <f t="shared" si="168"/>
        <v>0</v>
      </c>
      <c r="AM233" s="50">
        <f t="shared" si="168"/>
        <v>0</v>
      </c>
      <c r="AN233" s="50">
        <f t="shared" si="168"/>
        <v>0</v>
      </c>
      <c r="AO233" s="50">
        <f t="shared" si="168"/>
        <v>0</v>
      </c>
      <c r="AP233" s="50">
        <f t="shared" si="168"/>
        <v>0</v>
      </c>
      <c r="AQ233" s="50">
        <f t="shared" si="168"/>
        <v>0</v>
      </c>
      <c r="AR233" s="50">
        <f t="shared" si="168"/>
        <v>0</v>
      </c>
      <c r="AS233" s="50">
        <f t="shared" si="168"/>
        <v>0</v>
      </c>
      <c r="AT233" s="50">
        <f t="shared" si="168"/>
        <v>0</v>
      </c>
      <c r="AU233" s="50">
        <f t="shared" si="168"/>
        <v>0</v>
      </c>
    </row>
    <row r="234" spans="1:47">
      <c r="A234" s="38" t="str">
        <f t="shared" si="162"/>
        <v>1X-</v>
      </c>
      <c r="B234" s="38" t="s">
        <v>864</v>
      </c>
      <c r="C234" s="38" t="str">
        <f t="shared" si="166"/>
        <v>Dewatering</v>
      </c>
      <c r="D234" s="186">
        <f>GHGEsc</f>
        <v>0.02</v>
      </c>
      <c r="E234" s="325"/>
      <c r="G234" s="36" t="s">
        <v>865</v>
      </c>
      <c r="I234" s="39"/>
      <c r="K234" s="39"/>
      <c r="L234" s="43" t="s">
        <v>866</v>
      </c>
      <c r="N234" s="70">
        <f ca="1">SUMIFS(OFFSET(Assumptions!$I$90,0,MATCH($A234,Configurations,0)-1,COUNT(Assumptions!$A$90:$A$183),1),Assumptions!$D$90:$D$183,$B234&amp;$C234)</f>
        <v>0</v>
      </c>
      <c r="O234" s="313"/>
      <c r="P234" s="323"/>
      <c r="Q234" s="313"/>
      <c r="R234" s="50">
        <f t="shared" ref="R234:AU234" ca="1" si="169">IF(OR(R$99&lt;InServiceYr,R$99&gt;(InServiceYr+analysis_period-1)),0,IF($P234=0,$N234,$P234)*R$513)</f>
        <v>0</v>
      </c>
      <c r="S234" s="50">
        <f t="shared" ca="1" si="169"/>
        <v>0</v>
      </c>
      <c r="T234" s="50">
        <f t="shared" ca="1" si="169"/>
        <v>0</v>
      </c>
      <c r="U234" s="50">
        <f t="shared" ca="1" si="169"/>
        <v>0</v>
      </c>
      <c r="V234" s="50">
        <f t="shared" ca="1" si="169"/>
        <v>0</v>
      </c>
      <c r="W234" s="50">
        <f t="shared" ca="1" si="169"/>
        <v>0</v>
      </c>
      <c r="X234" s="50">
        <f t="shared" ca="1" si="169"/>
        <v>0</v>
      </c>
      <c r="Y234" s="50">
        <f t="shared" ca="1" si="169"/>
        <v>0</v>
      </c>
      <c r="Z234" s="50">
        <f t="shared" ca="1" si="169"/>
        <v>0</v>
      </c>
      <c r="AA234" s="50">
        <f t="shared" ca="1" si="169"/>
        <v>0</v>
      </c>
      <c r="AB234" s="50">
        <f t="shared" ca="1" si="169"/>
        <v>0</v>
      </c>
      <c r="AC234" s="50">
        <f t="shared" ca="1" si="169"/>
        <v>0</v>
      </c>
      <c r="AD234" s="50">
        <f t="shared" ca="1" si="169"/>
        <v>0</v>
      </c>
      <c r="AE234" s="50">
        <f t="shared" ca="1" si="169"/>
        <v>0</v>
      </c>
      <c r="AF234" s="50">
        <f t="shared" ca="1" si="169"/>
        <v>0</v>
      </c>
      <c r="AG234" s="50">
        <f t="shared" ca="1" si="169"/>
        <v>0</v>
      </c>
      <c r="AH234" s="50">
        <f t="shared" ca="1" si="169"/>
        <v>0</v>
      </c>
      <c r="AI234" s="50">
        <f t="shared" ca="1" si="169"/>
        <v>0</v>
      </c>
      <c r="AJ234" s="50">
        <f t="shared" ca="1" si="169"/>
        <v>0</v>
      </c>
      <c r="AK234" s="50">
        <f t="shared" ca="1" si="169"/>
        <v>0</v>
      </c>
      <c r="AL234" s="50">
        <f t="shared" si="169"/>
        <v>0</v>
      </c>
      <c r="AM234" s="50">
        <f t="shared" si="169"/>
        <v>0</v>
      </c>
      <c r="AN234" s="50">
        <f t="shared" si="169"/>
        <v>0</v>
      </c>
      <c r="AO234" s="50">
        <f t="shared" si="169"/>
        <v>0</v>
      </c>
      <c r="AP234" s="50">
        <f t="shared" si="169"/>
        <v>0</v>
      </c>
      <c r="AQ234" s="50">
        <f t="shared" si="169"/>
        <v>0</v>
      </c>
      <c r="AR234" s="50">
        <f t="shared" si="169"/>
        <v>0</v>
      </c>
      <c r="AS234" s="50">
        <f t="shared" si="169"/>
        <v>0</v>
      </c>
      <c r="AT234" s="50">
        <f t="shared" si="169"/>
        <v>0</v>
      </c>
      <c r="AU234" s="50">
        <f t="shared" si="169"/>
        <v>0</v>
      </c>
    </row>
    <row r="235" spans="1:47">
      <c r="A235" s="38" t="str">
        <f t="shared" si="162"/>
        <v>1X-</v>
      </c>
      <c r="B235" s="38" t="s">
        <v>273</v>
      </c>
      <c r="C235" s="38" t="str">
        <f>C233</f>
        <v>Dewatering</v>
      </c>
      <c r="D235" s="186">
        <f>LaborEsc</f>
        <v>0.02</v>
      </c>
      <c r="E235" s="325"/>
      <c r="G235" s="36" t="s">
        <v>291</v>
      </c>
      <c r="I235" s="39"/>
      <c r="K235" s="39"/>
      <c r="L235" s="43" t="str">
        <f>"["&amp;CostBaseYr&amp;" $]"</f>
        <v>[2013 $]</v>
      </c>
      <c r="N235" s="70">
        <f ca="1">SUMIFS(OFFSET(Assumptions!$I$90,0,MATCH($A235,Configurations,0)-1,COUNT(Assumptions!$A$90:$A$183),1),Assumptions!$D$90:$D$183,$B235&amp;$C235)</f>
        <v>0</v>
      </c>
      <c r="O235" s="313"/>
      <c r="P235" s="323"/>
      <c r="Q235" s="313"/>
      <c r="R235" s="50">
        <f t="shared" ref="R235:AU235" ca="1" si="170">IF(OR(R$99&lt;InServiceYr,R$99&gt;(InServiceYr+analysis_period-1)),0,IF($P235=0,$N235,$P235)*(1+$D235)^(R$99-CostBaseYr))*R$509</f>
        <v>0</v>
      </c>
      <c r="S235" s="50">
        <f t="shared" ca="1" si="170"/>
        <v>0</v>
      </c>
      <c r="T235" s="50">
        <f t="shared" ca="1" si="170"/>
        <v>0</v>
      </c>
      <c r="U235" s="50">
        <f t="shared" ca="1" si="170"/>
        <v>0</v>
      </c>
      <c r="V235" s="50">
        <f t="shared" ca="1" si="170"/>
        <v>0</v>
      </c>
      <c r="W235" s="50">
        <f t="shared" ca="1" si="170"/>
        <v>0</v>
      </c>
      <c r="X235" s="50">
        <f t="shared" ca="1" si="170"/>
        <v>0</v>
      </c>
      <c r="Y235" s="50">
        <f t="shared" ca="1" si="170"/>
        <v>0</v>
      </c>
      <c r="Z235" s="50">
        <f t="shared" ca="1" si="170"/>
        <v>0</v>
      </c>
      <c r="AA235" s="50">
        <f t="shared" ca="1" si="170"/>
        <v>0</v>
      </c>
      <c r="AB235" s="50">
        <f t="shared" ca="1" si="170"/>
        <v>0</v>
      </c>
      <c r="AC235" s="50">
        <f t="shared" ca="1" si="170"/>
        <v>0</v>
      </c>
      <c r="AD235" s="50">
        <f t="shared" ca="1" si="170"/>
        <v>0</v>
      </c>
      <c r="AE235" s="50">
        <f t="shared" ca="1" si="170"/>
        <v>0</v>
      </c>
      <c r="AF235" s="50">
        <f t="shared" ca="1" si="170"/>
        <v>0</v>
      </c>
      <c r="AG235" s="50">
        <f t="shared" ca="1" si="170"/>
        <v>0</v>
      </c>
      <c r="AH235" s="50">
        <f t="shared" ca="1" si="170"/>
        <v>0</v>
      </c>
      <c r="AI235" s="50">
        <f t="shared" ca="1" si="170"/>
        <v>0</v>
      </c>
      <c r="AJ235" s="50">
        <f t="shared" ca="1" si="170"/>
        <v>0</v>
      </c>
      <c r="AK235" s="50">
        <f t="shared" ca="1" si="170"/>
        <v>0</v>
      </c>
      <c r="AL235" s="50">
        <f t="shared" si="170"/>
        <v>0</v>
      </c>
      <c r="AM235" s="50">
        <f t="shared" si="170"/>
        <v>0</v>
      </c>
      <c r="AN235" s="50">
        <f t="shared" si="170"/>
        <v>0</v>
      </c>
      <c r="AO235" s="50">
        <f t="shared" si="170"/>
        <v>0</v>
      </c>
      <c r="AP235" s="50">
        <f t="shared" si="170"/>
        <v>0</v>
      </c>
      <c r="AQ235" s="50">
        <f t="shared" si="170"/>
        <v>0</v>
      </c>
      <c r="AR235" s="50">
        <f t="shared" si="170"/>
        <v>0</v>
      </c>
      <c r="AS235" s="50">
        <f t="shared" si="170"/>
        <v>0</v>
      </c>
      <c r="AT235" s="50">
        <f t="shared" si="170"/>
        <v>0</v>
      </c>
      <c r="AU235" s="50">
        <f t="shared" si="170"/>
        <v>0</v>
      </c>
    </row>
    <row r="236" spans="1:47">
      <c r="D236" s="186"/>
      <c r="E236" s="325"/>
      <c r="G236" s="39" t="s">
        <v>304</v>
      </c>
      <c r="I236" s="39"/>
      <c r="K236" s="39"/>
      <c r="L236" s="43"/>
      <c r="N236" s="70"/>
      <c r="O236" s="313"/>
      <c r="P236" s="70"/>
      <c r="Q236" s="313"/>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row>
    <row r="237" spans="1:47">
      <c r="A237" s="38" t="str">
        <f>$J$4&amp;"-"</f>
        <v>1X-</v>
      </c>
      <c r="B237" s="38" t="s">
        <v>265</v>
      </c>
      <c r="C237" s="38" t="str">
        <f>C228</f>
        <v>Dewatering</v>
      </c>
      <c r="D237" s="186"/>
      <c r="E237" s="325"/>
      <c r="G237" s="36" t="s">
        <v>108</v>
      </c>
      <c r="I237" s="39"/>
      <c r="K237" s="39"/>
      <c r="L237" s="43" t="s">
        <v>293</v>
      </c>
      <c r="N237" s="70">
        <f ca="1">SUMIFS(OFFSET(Assumptions!$I$90,0,MATCH($A237,Configurations,0)-1,COUNT(Assumptions!$A$90:$A$183),1),Assumptions!$D$90:$D$183,$B237&amp;$C237)</f>
        <v>0</v>
      </c>
      <c r="O237" s="313"/>
      <c r="P237" s="323"/>
      <c r="Q237" s="313"/>
      <c r="R237" s="50">
        <f t="shared" ref="R237:AU237" ca="1" si="171">IF(OR(R$99&lt;InServiceYr,R$99&gt;(InServiceYr+analysis_period-1)),0,IF($P237=0,$N237,$P237)*R$501)</f>
        <v>0</v>
      </c>
      <c r="S237" s="50">
        <f t="shared" ca="1" si="171"/>
        <v>0</v>
      </c>
      <c r="T237" s="50">
        <f t="shared" ca="1" si="171"/>
        <v>0</v>
      </c>
      <c r="U237" s="50">
        <f t="shared" ca="1" si="171"/>
        <v>0</v>
      </c>
      <c r="V237" s="50">
        <f t="shared" ca="1" si="171"/>
        <v>0</v>
      </c>
      <c r="W237" s="50">
        <f t="shared" ca="1" si="171"/>
        <v>0</v>
      </c>
      <c r="X237" s="50">
        <f t="shared" ca="1" si="171"/>
        <v>0</v>
      </c>
      <c r="Y237" s="50">
        <f t="shared" ca="1" si="171"/>
        <v>0</v>
      </c>
      <c r="Z237" s="50">
        <f t="shared" ca="1" si="171"/>
        <v>0</v>
      </c>
      <c r="AA237" s="50">
        <f t="shared" ca="1" si="171"/>
        <v>0</v>
      </c>
      <c r="AB237" s="50">
        <f t="shared" ca="1" si="171"/>
        <v>0</v>
      </c>
      <c r="AC237" s="50">
        <f t="shared" ca="1" si="171"/>
        <v>0</v>
      </c>
      <c r="AD237" s="50">
        <f t="shared" ca="1" si="171"/>
        <v>0</v>
      </c>
      <c r="AE237" s="50">
        <f t="shared" ca="1" si="171"/>
        <v>0</v>
      </c>
      <c r="AF237" s="50">
        <f t="shared" ca="1" si="171"/>
        <v>0</v>
      </c>
      <c r="AG237" s="50">
        <f t="shared" ca="1" si="171"/>
        <v>0</v>
      </c>
      <c r="AH237" s="50">
        <f t="shared" ca="1" si="171"/>
        <v>0</v>
      </c>
      <c r="AI237" s="50">
        <f t="shared" ca="1" si="171"/>
        <v>0</v>
      </c>
      <c r="AJ237" s="50">
        <f t="shared" ca="1" si="171"/>
        <v>0</v>
      </c>
      <c r="AK237" s="50">
        <f t="shared" ca="1" si="171"/>
        <v>0</v>
      </c>
      <c r="AL237" s="50">
        <f t="shared" si="171"/>
        <v>0</v>
      </c>
      <c r="AM237" s="50">
        <f t="shared" si="171"/>
        <v>0</v>
      </c>
      <c r="AN237" s="50">
        <f t="shared" si="171"/>
        <v>0</v>
      </c>
      <c r="AO237" s="50">
        <f t="shared" si="171"/>
        <v>0</v>
      </c>
      <c r="AP237" s="50">
        <f t="shared" si="171"/>
        <v>0</v>
      </c>
      <c r="AQ237" s="50">
        <f t="shared" si="171"/>
        <v>0</v>
      </c>
      <c r="AR237" s="50">
        <f t="shared" si="171"/>
        <v>0</v>
      </c>
      <c r="AS237" s="50">
        <f t="shared" si="171"/>
        <v>0</v>
      </c>
      <c r="AT237" s="50">
        <f t="shared" si="171"/>
        <v>0</v>
      </c>
      <c r="AU237" s="50">
        <f t="shared" si="171"/>
        <v>0</v>
      </c>
    </row>
    <row r="238" spans="1:47">
      <c r="A238" s="38" t="str">
        <f>$J$4&amp;"-"</f>
        <v>1X-</v>
      </c>
      <c r="B238" s="38" t="s">
        <v>289</v>
      </c>
      <c r="C238" s="38" t="str">
        <f>C228</f>
        <v>Dewatering</v>
      </c>
      <c r="D238" s="186">
        <f>LaborEsc</f>
        <v>0.02</v>
      </c>
      <c r="E238" s="325"/>
      <c r="G238" s="36" t="s">
        <v>292</v>
      </c>
      <c r="I238" s="39"/>
      <c r="K238" s="39"/>
      <c r="L238" s="43" t="str">
        <f>"["&amp;CostBaseYr&amp;" $]"</f>
        <v>[2013 $]</v>
      </c>
      <c r="N238" s="70">
        <f ca="1">SUMIFS(OFFSET(Assumptions!$I$90,0,MATCH($A238,Configurations,0)-1,COUNT(Assumptions!$A$90:$A$183),1),Assumptions!$D$90:$D$183,$B238&amp;$C238)</f>
        <v>0</v>
      </c>
      <c r="O238" s="313"/>
      <c r="P238" s="323"/>
      <c r="Q238" s="313"/>
      <c r="R238" s="50">
        <f t="shared" ref="R238:AU238" ca="1" si="172">IF(OR(R$99&lt;InServiceYr,R$99&gt;(InServiceYr+analysis_period-1)),0,IF($P238=0,$N238,$P238)*(1+$D238)^(R$99-CostBaseYr))</f>
        <v>0</v>
      </c>
      <c r="S238" s="50">
        <f t="shared" ca="1" si="172"/>
        <v>0</v>
      </c>
      <c r="T238" s="50">
        <f t="shared" ca="1" si="172"/>
        <v>0</v>
      </c>
      <c r="U238" s="50">
        <f t="shared" ca="1" si="172"/>
        <v>0</v>
      </c>
      <c r="V238" s="50">
        <f t="shared" ca="1" si="172"/>
        <v>0</v>
      </c>
      <c r="W238" s="50">
        <f t="shared" ca="1" si="172"/>
        <v>0</v>
      </c>
      <c r="X238" s="50">
        <f t="shared" ca="1" si="172"/>
        <v>0</v>
      </c>
      <c r="Y238" s="50">
        <f t="shared" ca="1" si="172"/>
        <v>0</v>
      </c>
      <c r="Z238" s="50">
        <f t="shared" ca="1" si="172"/>
        <v>0</v>
      </c>
      <c r="AA238" s="50">
        <f t="shared" ca="1" si="172"/>
        <v>0</v>
      </c>
      <c r="AB238" s="50">
        <f t="shared" ca="1" si="172"/>
        <v>0</v>
      </c>
      <c r="AC238" s="50">
        <f t="shared" ca="1" si="172"/>
        <v>0</v>
      </c>
      <c r="AD238" s="50">
        <f t="shared" ca="1" si="172"/>
        <v>0</v>
      </c>
      <c r="AE238" s="50">
        <f t="shared" ca="1" si="172"/>
        <v>0</v>
      </c>
      <c r="AF238" s="50">
        <f t="shared" ca="1" si="172"/>
        <v>0</v>
      </c>
      <c r="AG238" s="50">
        <f t="shared" ca="1" si="172"/>
        <v>0</v>
      </c>
      <c r="AH238" s="50">
        <f t="shared" ca="1" si="172"/>
        <v>0</v>
      </c>
      <c r="AI238" s="50">
        <f t="shared" ca="1" si="172"/>
        <v>0</v>
      </c>
      <c r="AJ238" s="50">
        <f t="shared" ca="1" si="172"/>
        <v>0</v>
      </c>
      <c r="AK238" s="50">
        <f t="shared" ca="1" si="172"/>
        <v>0</v>
      </c>
      <c r="AL238" s="50">
        <f t="shared" si="172"/>
        <v>0</v>
      </c>
      <c r="AM238" s="50">
        <f t="shared" si="172"/>
        <v>0</v>
      </c>
      <c r="AN238" s="50">
        <f t="shared" si="172"/>
        <v>0</v>
      </c>
      <c r="AO238" s="50">
        <f t="shared" si="172"/>
        <v>0</v>
      </c>
      <c r="AP238" s="50">
        <f t="shared" si="172"/>
        <v>0</v>
      </c>
      <c r="AQ238" s="50">
        <f t="shared" si="172"/>
        <v>0</v>
      </c>
      <c r="AR238" s="50">
        <f t="shared" si="172"/>
        <v>0</v>
      </c>
      <c r="AS238" s="50">
        <f t="shared" si="172"/>
        <v>0</v>
      </c>
      <c r="AT238" s="50">
        <f t="shared" si="172"/>
        <v>0</v>
      </c>
      <c r="AU238" s="50">
        <f t="shared" si="172"/>
        <v>0</v>
      </c>
    </row>
    <row r="239" spans="1:47" s="60" customFormat="1">
      <c r="D239" s="187"/>
      <c r="E239" s="325"/>
      <c r="G239" s="39" t="s">
        <v>305</v>
      </c>
      <c r="I239" s="39"/>
      <c r="K239" s="39"/>
      <c r="L239" s="174"/>
      <c r="N239" s="188"/>
      <c r="O239" s="314"/>
      <c r="P239" s="185"/>
      <c r="Q239" s="314"/>
      <c r="R239" s="185">
        <f ca="1">SUM(R228:R235)-SUM(R237:R238)</f>
        <v>0</v>
      </c>
      <c r="S239" s="185">
        <f t="shared" ref="S239:AU239" ca="1" si="173">SUM(S228:S235)-SUM(S237:S238)</f>
        <v>0</v>
      </c>
      <c r="T239" s="185">
        <f t="shared" ca="1" si="173"/>
        <v>0</v>
      </c>
      <c r="U239" s="185">
        <f t="shared" ca="1" si="173"/>
        <v>0</v>
      </c>
      <c r="V239" s="185">
        <f t="shared" ca="1" si="173"/>
        <v>0</v>
      </c>
      <c r="W239" s="185">
        <f t="shared" ca="1" si="173"/>
        <v>0</v>
      </c>
      <c r="X239" s="185">
        <f t="shared" ca="1" si="173"/>
        <v>0</v>
      </c>
      <c r="Y239" s="185">
        <f t="shared" ca="1" si="173"/>
        <v>0</v>
      </c>
      <c r="Z239" s="185">
        <f t="shared" ca="1" si="173"/>
        <v>0</v>
      </c>
      <c r="AA239" s="185">
        <f t="shared" ca="1" si="173"/>
        <v>0</v>
      </c>
      <c r="AB239" s="185">
        <f t="shared" ca="1" si="173"/>
        <v>0</v>
      </c>
      <c r="AC239" s="185">
        <f t="shared" ca="1" si="173"/>
        <v>0</v>
      </c>
      <c r="AD239" s="185">
        <f t="shared" ca="1" si="173"/>
        <v>0</v>
      </c>
      <c r="AE239" s="185">
        <f t="shared" ca="1" si="173"/>
        <v>0</v>
      </c>
      <c r="AF239" s="185">
        <f t="shared" ca="1" si="173"/>
        <v>0</v>
      </c>
      <c r="AG239" s="185">
        <f t="shared" ca="1" si="173"/>
        <v>0</v>
      </c>
      <c r="AH239" s="185">
        <f t="shared" ca="1" si="173"/>
        <v>0</v>
      </c>
      <c r="AI239" s="185">
        <f t="shared" ca="1" si="173"/>
        <v>0</v>
      </c>
      <c r="AJ239" s="185">
        <f t="shared" ca="1" si="173"/>
        <v>0</v>
      </c>
      <c r="AK239" s="185">
        <f t="shared" ca="1" si="173"/>
        <v>0</v>
      </c>
      <c r="AL239" s="185">
        <f t="shared" si="173"/>
        <v>0</v>
      </c>
      <c r="AM239" s="185">
        <f t="shared" si="173"/>
        <v>0</v>
      </c>
      <c r="AN239" s="185">
        <f t="shared" si="173"/>
        <v>0</v>
      </c>
      <c r="AO239" s="185">
        <f t="shared" si="173"/>
        <v>0</v>
      </c>
      <c r="AP239" s="185">
        <f t="shared" si="173"/>
        <v>0</v>
      </c>
      <c r="AQ239" s="185">
        <f t="shared" si="173"/>
        <v>0</v>
      </c>
      <c r="AR239" s="185">
        <f t="shared" si="173"/>
        <v>0</v>
      </c>
      <c r="AS239" s="185">
        <f t="shared" si="173"/>
        <v>0</v>
      </c>
      <c r="AT239" s="185">
        <f t="shared" si="173"/>
        <v>0</v>
      </c>
      <c r="AU239" s="185">
        <f t="shared" si="173"/>
        <v>0</v>
      </c>
    </row>
    <row r="240" spans="1:47">
      <c r="E240" s="36"/>
      <c r="G240" s="39"/>
      <c r="H240" s="39"/>
      <c r="I240" s="39"/>
      <c r="J240" s="39"/>
      <c r="K240" s="39"/>
    </row>
    <row r="241" spans="1:47">
      <c r="E241" s="327"/>
      <c r="F241" s="28"/>
      <c r="G241" s="324" t="str">
        <f>C243&amp;" Capital Costs"</f>
        <v>Drying/Gasification/Energy Recovery Capital Costs</v>
      </c>
      <c r="H241" s="324"/>
      <c r="I241" s="324"/>
      <c r="J241" s="324"/>
      <c r="K241" s="324"/>
      <c r="L241" s="405" t="s">
        <v>79</v>
      </c>
      <c r="M241" s="256"/>
      <c r="N241" s="325" t="s">
        <v>490</v>
      </c>
      <c r="O241" s="311"/>
      <c r="P241" s="325" t="s">
        <v>491</v>
      </c>
      <c r="Q241" s="310"/>
      <c r="R241" s="325">
        <f>R$8</f>
        <v>2014</v>
      </c>
      <c r="S241" s="325">
        <f t="shared" ref="S241:AU241" si="174">S$8</f>
        <v>2015</v>
      </c>
      <c r="T241" s="325">
        <f t="shared" si="174"/>
        <v>2016</v>
      </c>
      <c r="U241" s="325">
        <f t="shared" si="174"/>
        <v>2017</v>
      </c>
      <c r="V241" s="325">
        <f t="shared" si="174"/>
        <v>2018</v>
      </c>
      <c r="W241" s="325">
        <f t="shared" si="174"/>
        <v>2019</v>
      </c>
      <c r="X241" s="325">
        <f t="shared" si="174"/>
        <v>2020</v>
      </c>
      <c r="Y241" s="325">
        <f t="shared" si="174"/>
        <v>2021</v>
      </c>
      <c r="Z241" s="325">
        <f t="shared" si="174"/>
        <v>2022</v>
      </c>
      <c r="AA241" s="325">
        <f t="shared" si="174"/>
        <v>2023</v>
      </c>
      <c r="AB241" s="325">
        <f t="shared" si="174"/>
        <v>2024</v>
      </c>
      <c r="AC241" s="325">
        <f t="shared" si="174"/>
        <v>2025</v>
      </c>
      <c r="AD241" s="325">
        <f t="shared" si="174"/>
        <v>2026</v>
      </c>
      <c r="AE241" s="325">
        <f t="shared" si="174"/>
        <v>2027</v>
      </c>
      <c r="AF241" s="325">
        <f t="shared" si="174"/>
        <v>2028</v>
      </c>
      <c r="AG241" s="325">
        <f t="shared" si="174"/>
        <v>2029</v>
      </c>
      <c r="AH241" s="325">
        <f t="shared" si="174"/>
        <v>2030</v>
      </c>
      <c r="AI241" s="325">
        <f t="shared" si="174"/>
        <v>2031</v>
      </c>
      <c r="AJ241" s="325">
        <f t="shared" si="174"/>
        <v>2032</v>
      </c>
      <c r="AK241" s="325">
        <f t="shared" si="174"/>
        <v>2033</v>
      </c>
      <c r="AL241" s="325">
        <f t="shared" si="174"/>
        <v>2034</v>
      </c>
      <c r="AM241" s="325">
        <f t="shared" si="174"/>
        <v>2035</v>
      </c>
      <c r="AN241" s="325">
        <f t="shared" si="174"/>
        <v>2036</v>
      </c>
      <c r="AO241" s="325">
        <f t="shared" si="174"/>
        <v>2037</v>
      </c>
      <c r="AP241" s="325">
        <f t="shared" si="174"/>
        <v>2038</v>
      </c>
      <c r="AQ241" s="325">
        <f t="shared" si="174"/>
        <v>2039</v>
      </c>
      <c r="AR241" s="325">
        <f t="shared" si="174"/>
        <v>2040</v>
      </c>
      <c r="AS241" s="325">
        <f t="shared" si="174"/>
        <v>2041</v>
      </c>
      <c r="AT241" s="325">
        <f t="shared" si="174"/>
        <v>2042</v>
      </c>
      <c r="AU241" s="325">
        <f t="shared" si="174"/>
        <v>2043</v>
      </c>
    </row>
    <row r="242" spans="1:47">
      <c r="E242" s="325"/>
      <c r="G242" s="39"/>
      <c r="H242" s="39"/>
      <c r="I242" s="39"/>
      <c r="J242" s="39"/>
      <c r="K242" s="39"/>
    </row>
    <row r="243" spans="1:47">
      <c r="A243" s="38" t="str">
        <f>$J$4&amp;"-"</f>
        <v>1X-</v>
      </c>
      <c r="B243" s="38" t="s">
        <v>306</v>
      </c>
      <c r="C243" s="38" t="s">
        <v>320</v>
      </c>
      <c r="D243" s="186">
        <f>CapExEsc</f>
        <v>0.03</v>
      </c>
      <c r="E243" s="325"/>
      <c r="G243" s="36" t="s">
        <v>8</v>
      </c>
      <c r="H243" s="39"/>
      <c r="I243" s="39"/>
      <c r="J243" s="70"/>
      <c r="K243" s="39"/>
      <c r="L243" s="43" t="str">
        <f>"["&amp;CostBaseYr&amp;" $]"</f>
        <v>[2013 $]</v>
      </c>
      <c r="N243" s="52">
        <f ca="1">SUMIFS(OFFSET(Assumptions!$I$65,0,MATCH($A243,Configurations,0)-1,COUNT(Assumptions!$A$65:$A$84),1),Assumptions!$E$65:$E$84,$C243)</f>
        <v>0</v>
      </c>
      <c r="O243" s="52"/>
      <c r="P243" s="322"/>
      <c r="Q243" s="52"/>
      <c r="R243" s="52">
        <f t="shared" ref="R243:AU243" ca="1" si="175">R244*IF($P243=0,$N243,$P243)*(1+$D243)^(R$8-CostBaseYr)</f>
        <v>0</v>
      </c>
      <c r="S243" s="52">
        <f t="shared" ca="1" si="175"/>
        <v>0</v>
      </c>
      <c r="T243" s="52">
        <f t="shared" ca="1" si="175"/>
        <v>0</v>
      </c>
      <c r="U243" s="52">
        <f t="shared" ca="1" si="175"/>
        <v>0</v>
      </c>
      <c r="V243" s="52">
        <f t="shared" ca="1" si="175"/>
        <v>0</v>
      </c>
      <c r="W243" s="52">
        <f t="shared" ca="1" si="175"/>
        <v>0</v>
      </c>
      <c r="X243" s="52">
        <f t="shared" ca="1" si="175"/>
        <v>0</v>
      </c>
      <c r="Y243" s="52">
        <f t="shared" ca="1" si="175"/>
        <v>0</v>
      </c>
      <c r="Z243" s="52">
        <f t="shared" ca="1" si="175"/>
        <v>0</v>
      </c>
      <c r="AA243" s="52">
        <f t="shared" ca="1" si="175"/>
        <v>0</v>
      </c>
      <c r="AB243" s="52">
        <f t="shared" ca="1" si="175"/>
        <v>0</v>
      </c>
      <c r="AC243" s="52">
        <f t="shared" ca="1" si="175"/>
        <v>0</v>
      </c>
      <c r="AD243" s="52">
        <f t="shared" ca="1" si="175"/>
        <v>0</v>
      </c>
      <c r="AE243" s="52">
        <f t="shared" ca="1" si="175"/>
        <v>0</v>
      </c>
      <c r="AF243" s="52">
        <f t="shared" ca="1" si="175"/>
        <v>0</v>
      </c>
      <c r="AG243" s="52">
        <f t="shared" ca="1" si="175"/>
        <v>0</v>
      </c>
      <c r="AH243" s="52">
        <f t="shared" ca="1" si="175"/>
        <v>0</v>
      </c>
      <c r="AI243" s="52">
        <f t="shared" ca="1" si="175"/>
        <v>0</v>
      </c>
      <c r="AJ243" s="52">
        <f t="shared" ca="1" si="175"/>
        <v>0</v>
      </c>
      <c r="AK243" s="52">
        <f t="shared" ca="1" si="175"/>
        <v>0</v>
      </c>
      <c r="AL243" s="52">
        <f t="shared" ca="1" si="175"/>
        <v>0</v>
      </c>
      <c r="AM243" s="52">
        <f t="shared" ca="1" si="175"/>
        <v>0</v>
      </c>
      <c r="AN243" s="52">
        <f t="shared" ca="1" si="175"/>
        <v>0</v>
      </c>
      <c r="AO243" s="52">
        <f t="shared" ca="1" si="175"/>
        <v>0</v>
      </c>
      <c r="AP243" s="52">
        <f t="shared" ca="1" si="175"/>
        <v>0</v>
      </c>
      <c r="AQ243" s="52">
        <f t="shared" ca="1" si="175"/>
        <v>0</v>
      </c>
      <c r="AR243" s="52">
        <f t="shared" ca="1" si="175"/>
        <v>0</v>
      </c>
      <c r="AS243" s="52">
        <f t="shared" ca="1" si="175"/>
        <v>0</v>
      </c>
      <c r="AT243" s="52">
        <f t="shared" ca="1" si="175"/>
        <v>0</v>
      </c>
      <c r="AU243" s="52">
        <f t="shared" ca="1" si="175"/>
        <v>0</v>
      </c>
    </row>
    <row r="244" spans="1:47">
      <c r="E244" s="325"/>
      <c r="G244" s="36" t="s">
        <v>10</v>
      </c>
      <c r="H244" s="39"/>
      <c r="I244" s="39"/>
      <c r="J244" s="39"/>
      <c r="K244" s="39"/>
      <c r="L244" s="43"/>
      <c r="R244" s="54">
        <f>Assumptions!M$60</f>
        <v>1</v>
      </c>
      <c r="S244" s="54">
        <f>Assumptions!N$60</f>
        <v>0</v>
      </c>
      <c r="T244" s="54">
        <f>Assumptions!O$60</f>
        <v>0</v>
      </c>
      <c r="U244" s="54">
        <f>Assumptions!P$60</f>
        <v>0</v>
      </c>
      <c r="V244" s="54">
        <f>Assumptions!Q$60</f>
        <v>0</v>
      </c>
      <c r="W244" s="54">
        <f>Assumptions!R$60</f>
        <v>0</v>
      </c>
      <c r="X244" s="54">
        <f>Assumptions!S$60</f>
        <v>0</v>
      </c>
      <c r="Y244" s="54">
        <f>Assumptions!T$60</f>
        <v>0</v>
      </c>
      <c r="Z244" s="54">
        <f>Assumptions!U$60</f>
        <v>0</v>
      </c>
      <c r="AA244" s="54">
        <f>Assumptions!V$60</f>
        <v>0</v>
      </c>
      <c r="AB244" s="54">
        <f>Assumptions!W$60</f>
        <v>0</v>
      </c>
      <c r="AC244" s="54">
        <f>Assumptions!X$60</f>
        <v>0</v>
      </c>
      <c r="AD244" s="54">
        <f>Assumptions!Y$60</f>
        <v>0</v>
      </c>
      <c r="AE244" s="54">
        <f>Assumptions!Z$60</f>
        <v>0</v>
      </c>
      <c r="AF244" s="54">
        <f>Assumptions!AA$60</f>
        <v>0</v>
      </c>
      <c r="AG244" s="54">
        <f>Assumptions!AB$60</f>
        <v>0</v>
      </c>
      <c r="AH244" s="54">
        <f>Assumptions!AC$60</f>
        <v>0</v>
      </c>
      <c r="AI244" s="54">
        <f>Assumptions!AD$60</f>
        <v>0</v>
      </c>
      <c r="AJ244" s="54">
        <f>Assumptions!AE$60</f>
        <v>0</v>
      </c>
      <c r="AK244" s="54">
        <f>Assumptions!AF$60</f>
        <v>0</v>
      </c>
      <c r="AL244" s="54">
        <f>Assumptions!AG$60</f>
        <v>0</v>
      </c>
      <c r="AM244" s="54">
        <f>Assumptions!AH$60</f>
        <v>0</v>
      </c>
      <c r="AN244" s="54">
        <f>Assumptions!AI$60</f>
        <v>0</v>
      </c>
      <c r="AO244" s="54">
        <f>Assumptions!AJ$60</f>
        <v>0</v>
      </c>
      <c r="AP244" s="54">
        <f>Assumptions!AK$60</f>
        <v>0</v>
      </c>
      <c r="AQ244" s="54">
        <f>Assumptions!AL$60</f>
        <v>0</v>
      </c>
      <c r="AR244" s="54">
        <f>Assumptions!AM$60</f>
        <v>0</v>
      </c>
      <c r="AS244" s="54">
        <f>Assumptions!AN$60</f>
        <v>0</v>
      </c>
      <c r="AT244" s="54">
        <f>Assumptions!AO$60</f>
        <v>0</v>
      </c>
      <c r="AU244" s="54">
        <f>Assumptions!AP$60</f>
        <v>0</v>
      </c>
    </row>
    <row r="245" spans="1:47">
      <c r="E245" s="326"/>
      <c r="G245" s="39"/>
      <c r="H245" s="39"/>
      <c r="I245" s="39"/>
      <c r="J245" s="39"/>
      <c r="K245" s="39"/>
    </row>
    <row r="246" spans="1:47">
      <c r="E246" s="327"/>
      <c r="F246" s="28"/>
      <c r="G246" s="324" t="str">
        <f>C243&amp;" O&amp;M"</f>
        <v>Drying/Gasification/Energy Recovery O&amp;M</v>
      </c>
      <c r="H246" s="324"/>
      <c r="I246" s="324"/>
      <c r="J246" s="324"/>
      <c r="K246" s="324"/>
      <c r="L246" s="405" t="s">
        <v>79</v>
      </c>
      <c r="M246" s="256"/>
      <c r="N246" s="325" t="s">
        <v>490</v>
      </c>
      <c r="O246" s="311"/>
      <c r="P246" s="325" t="s">
        <v>491</v>
      </c>
      <c r="Q246" s="310"/>
      <c r="R246" s="325">
        <f>R$8</f>
        <v>2014</v>
      </c>
      <c r="S246" s="325">
        <f t="shared" ref="S246:AU246" si="176">S$8</f>
        <v>2015</v>
      </c>
      <c r="T246" s="325">
        <f t="shared" si="176"/>
        <v>2016</v>
      </c>
      <c r="U246" s="325">
        <f t="shared" si="176"/>
        <v>2017</v>
      </c>
      <c r="V246" s="325">
        <f t="shared" si="176"/>
        <v>2018</v>
      </c>
      <c r="W246" s="325">
        <f t="shared" si="176"/>
        <v>2019</v>
      </c>
      <c r="X246" s="325">
        <f t="shared" si="176"/>
        <v>2020</v>
      </c>
      <c r="Y246" s="325">
        <f t="shared" si="176"/>
        <v>2021</v>
      </c>
      <c r="Z246" s="325">
        <f t="shared" si="176"/>
        <v>2022</v>
      </c>
      <c r="AA246" s="325">
        <f t="shared" si="176"/>
        <v>2023</v>
      </c>
      <c r="AB246" s="325">
        <f t="shared" si="176"/>
        <v>2024</v>
      </c>
      <c r="AC246" s="325">
        <f t="shared" si="176"/>
        <v>2025</v>
      </c>
      <c r="AD246" s="325">
        <f t="shared" si="176"/>
        <v>2026</v>
      </c>
      <c r="AE246" s="325">
        <f t="shared" si="176"/>
        <v>2027</v>
      </c>
      <c r="AF246" s="325">
        <f t="shared" si="176"/>
        <v>2028</v>
      </c>
      <c r="AG246" s="325">
        <f t="shared" si="176"/>
        <v>2029</v>
      </c>
      <c r="AH246" s="325">
        <f t="shared" si="176"/>
        <v>2030</v>
      </c>
      <c r="AI246" s="325">
        <f t="shared" si="176"/>
        <v>2031</v>
      </c>
      <c r="AJ246" s="325">
        <f t="shared" si="176"/>
        <v>2032</v>
      </c>
      <c r="AK246" s="325">
        <f t="shared" si="176"/>
        <v>2033</v>
      </c>
      <c r="AL246" s="325">
        <f t="shared" si="176"/>
        <v>2034</v>
      </c>
      <c r="AM246" s="325">
        <f t="shared" si="176"/>
        <v>2035</v>
      </c>
      <c r="AN246" s="325">
        <f t="shared" si="176"/>
        <v>2036</v>
      </c>
      <c r="AO246" s="325">
        <f t="shared" si="176"/>
        <v>2037</v>
      </c>
      <c r="AP246" s="325">
        <f t="shared" si="176"/>
        <v>2038</v>
      </c>
      <c r="AQ246" s="325">
        <f t="shared" si="176"/>
        <v>2039</v>
      </c>
      <c r="AR246" s="325">
        <f t="shared" si="176"/>
        <v>2040</v>
      </c>
      <c r="AS246" s="325">
        <f t="shared" si="176"/>
        <v>2041</v>
      </c>
      <c r="AT246" s="325">
        <f t="shared" si="176"/>
        <v>2042</v>
      </c>
      <c r="AU246" s="325">
        <f t="shared" si="176"/>
        <v>2043</v>
      </c>
    </row>
    <row r="247" spans="1:47">
      <c r="E247" s="325"/>
      <c r="G247" s="39"/>
      <c r="H247" s="39"/>
      <c r="I247" s="39"/>
      <c r="J247" s="39"/>
      <c r="K247" s="39"/>
    </row>
    <row r="248" spans="1:47">
      <c r="E248" s="325"/>
      <c r="G248" s="39" t="s">
        <v>23</v>
      </c>
      <c r="H248" s="39"/>
      <c r="I248" s="39"/>
      <c r="J248" s="39"/>
      <c r="K248" s="39"/>
    </row>
    <row r="249" spans="1:47">
      <c r="A249" s="38" t="str">
        <f t="shared" ref="A249:A256" si="177">$J$4&amp;"-"</f>
        <v>1X-</v>
      </c>
      <c r="B249" s="38" t="s">
        <v>262</v>
      </c>
      <c r="C249" s="38" t="str">
        <f>C243</f>
        <v>Drying/Gasification/Energy Recovery</v>
      </c>
      <c r="D249" s="186">
        <f>LaborEsc</f>
        <v>0.02</v>
      </c>
      <c r="E249" s="325"/>
      <c r="G249" s="36" t="s">
        <v>125</v>
      </c>
      <c r="I249" s="39"/>
      <c r="K249" s="39"/>
      <c r="L249" s="43" t="s">
        <v>266</v>
      </c>
      <c r="N249" s="70">
        <f ca="1">SUMIFS(OFFSET(Assumptions!$I$90,0,MATCH($A249,Configurations,0)-1,COUNT(Assumptions!$A$90:$A$183),1),Assumptions!$D$90:$D$183,$B249&amp;$C249)</f>
        <v>0</v>
      </c>
      <c r="O249" s="313"/>
      <c r="P249" s="323"/>
      <c r="Q249" s="313"/>
      <c r="R249" s="50">
        <f t="shared" ref="R249:AU249" ca="1" si="178">IF(OR(R$99&lt;InServiceYr,R$99&gt;(InServiceYr+analysis_period-1)),0,IF($P249=0,$N249,$P249)*LaborCost*(1+$D249)^(R$99-CostBaseYr))</f>
        <v>0</v>
      </c>
      <c r="S249" s="50">
        <f t="shared" ca="1" si="178"/>
        <v>0</v>
      </c>
      <c r="T249" s="50">
        <f t="shared" ca="1" si="178"/>
        <v>0</v>
      </c>
      <c r="U249" s="50">
        <f t="shared" ca="1" si="178"/>
        <v>0</v>
      </c>
      <c r="V249" s="50">
        <f t="shared" ca="1" si="178"/>
        <v>0</v>
      </c>
      <c r="W249" s="50">
        <f t="shared" ca="1" si="178"/>
        <v>0</v>
      </c>
      <c r="X249" s="50">
        <f t="shared" ca="1" si="178"/>
        <v>0</v>
      </c>
      <c r="Y249" s="50">
        <f t="shared" ca="1" si="178"/>
        <v>0</v>
      </c>
      <c r="Z249" s="50">
        <f t="shared" ca="1" si="178"/>
        <v>0</v>
      </c>
      <c r="AA249" s="50">
        <f t="shared" ca="1" si="178"/>
        <v>0</v>
      </c>
      <c r="AB249" s="50">
        <f t="shared" ca="1" si="178"/>
        <v>0</v>
      </c>
      <c r="AC249" s="50">
        <f t="shared" ca="1" si="178"/>
        <v>0</v>
      </c>
      <c r="AD249" s="50">
        <f t="shared" ca="1" si="178"/>
        <v>0</v>
      </c>
      <c r="AE249" s="50">
        <f t="shared" ca="1" si="178"/>
        <v>0</v>
      </c>
      <c r="AF249" s="50">
        <f t="shared" ca="1" si="178"/>
        <v>0</v>
      </c>
      <c r="AG249" s="50">
        <f t="shared" ca="1" si="178"/>
        <v>0</v>
      </c>
      <c r="AH249" s="50">
        <f t="shared" ca="1" si="178"/>
        <v>0</v>
      </c>
      <c r="AI249" s="50">
        <f t="shared" ca="1" si="178"/>
        <v>0</v>
      </c>
      <c r="AJ249" s="50">
        <f t="shared" ca="1" si="178"/>
        <v>0</v>
      </c>
      <c r="AK249" s="50">
        <f t="shared" ca="1" si="178"/>
        <v>0</v>
      </c>
      <c r="AL249" s="50">
        <f t="shared" si="178"/>
        <v>0</v>
      </c>
      <c r="AM249" s="50">
        <f t="shared" si="178"/>
        <v>0</v>
      </c>
      <c r="AN249" s="50">
        <f t="shared" si="178"/>
        <v>0</v>
      </c>
      <c r="AO249" s="50">
        <f t="shared" si="178"/>
        <v>0</v>
      </c>
      <c r="AP249" s="50">
        <f t="shared" si="178"/>
        <v>0</v>
      </c>
      <c r="AQ249" s="50">
        <f t="shared" si="178"/>
        <v>0</v>
      </c>
      <c r="AR249" s="50">
        <f t="shared" si="178"/>
        <v>0</v>
      </c>
      <c r="AS249" s="50">
        <f t="shared" si="178"/>
        <v>0</v>
      </c>
      <c r="AT249" s="50">
        <f t="shared" si="178"/>
        <v>0</v>
      </c>
      <c r="AU249" s="50">
        <f t="shared" si="178"/>
        <v>0</v>
      </c>
    </row>
    <row r="250" spans="1:47">
      <c r="A250" s="38" t="str">
        <f t="shared" si="177"/>
        <v>1X-</v>
      </c>
      <c r="B250" s="38" t="s">
        <v>270</v>
      </c>
      <c r="C250" s="38" t="str">
        <f>C249</f>
        <v>Drying/Gasification/Energy Recovery</v>
      </c>
      <c r="D250" s="186">
        <f>OMEsc</f>
        <v>0.02</v>
      </c>
      <c r="E250" s="325"/>
      <c r="G250" s="36" t="s">
        <v>126</v>
      </c>
      <c r="I250" s="39"/>
      <c r="K250" s="39"/>
      <c r="L250" s="43" t="str">
        <f>"["&amp;CostBaseYr&amp;" $]"</f>
        <v>[2013 $]</v>
      </c>
      <c r="N250" s="70">
        <f ca="1">SUMIFS(OFFSET(Assumptions!$I$90,0,MATCH($A250,Configurations,0)-1,COUNT(Assumptions!$A$90:$A$183),1),Assumptions!$D$90:$D$183,$B250&amp;$C250)</f>
        <v>0</v>
      </c>
      <c r="O250" s="313"/>
      <c r="P250" s="323"/>
      <c r="Q250" s="313"/>
      <c r="R250" s="50">
        <f t="shared" ref="R250:AG252" ca="1" si="179">IF(OR(R$99&lt;InServiceYr,R$99&gt;(InServiceYr+analysis_period-1)),0,IF($P250=0,$N250,$P250)*(1+$D250)^(R$99-CostBaseYr))</f>
        <v>0</v>
      </c>
      <c r="S250" s="50">
        <f t="shared" ca="1" si="179"/>
        <v>0</v>
      </c>
      <c r="T250" s="50">
        <f t="shared" ca="1" si="179"/>
        <v>0</v>
      </c>
      <c r="U250" s="50">
        <f t="shared" ca="1" si="179"/>
        <v>0</v>
      </c>
      <c r="V250" s="50">
        <f t="shared" ca="1" si="179"/>
        <v>0</v>
      </c>
      <c r="W250" s="50">
        <f t="shared" ca="1" si="179"/>
        <v>0</v>
      </c>
      <c r="X250" s="50">
        <f t="shared" ca="1" si="179"/>
        <v>0</v>
      </c>
      <c r="Y250" s="50">
        <f t="shared" ca="1" si="179"/>
        <v>0</v>
      </c>
      <c r="Z250" s="50">
        <f t="shared" ca="1" si="179"/>
        <v>0</v>
      </c>
      <c r="AA250" s="50">
        <f t="shared" ca="1" si="179"/>
        <v>0</v>
      </c>
      <c r="AB250" s="50">
        <f t="shared" ca="1" si="179"/>
        <v>0</v>
      </c>
      <c r="AC250" s="50">
        <f t="shared" ca="1" si="179"/>
        <v>0</v>
      </c>
      <c r="AD250" s="50">
        <f t="shared" ca="1" si="179"/>
        <v>0</v>
      </c>
      <c r="AE250" s="50">
        <f t="shared" ca="1" si="179"/>
        <v>0</v>
      </c>
      <c r="AF250" s="50">
        <f t="shared" ca="1" si="179"/>
        <v>0</v>
      </c>
      <c r="AG250" s="50">
        <f t="shared" ca="1" si="179"/>
        <v>0</v>
      </c>
      <c r="AH250" s="50">
        <f t="shared" ref="S250:AU252" ca="1" si="180">IF(OR(AH$99&lt;InServiceYr,AH$99&gt;(InServiceYr+analysis_period-1)),0,IF($P250=0,$N250,$P250)*(1+$D250)^(AH$99-CostBaseYr))</f>
        <v>0</v>
      </c>
      <c r="AI250" s="50">
        <f t="shared" ca="1" si="180"/>
        <v>0</v>
      </c>
      <c r="AJ250" s="50">
        <f t="shared" ca="1" si="180"/>
        <v>0</v>
      </c>
      <c r="AK250" s="50">
        <f t="shared" ca="1" si="180"/>
        <v>0</v>
      </c>
      <c r="AL250" s="50">
        <f t="shared" si="180"/>
        <v>0</v>
      </c>
      <c r="AM250" s="50">
        <f t="shared" si="180"/>
        <v>0</v>
      </c>
      <c r="AN250" s="50">
        <f t="shared" si="180"/>
        <v>0</v>
      </c>
      <c r="AO250" s="50">
        <f t="shared" si="180"/>
        <v>0</v>
      </c>
      <c r="AP250" s="50">
        <f t="shared" si="180"/>
        <v>0</v>
      </c>
      <c r="AQ250" s="50">
        <f t="shared" si="180"/>
        <v>0</v>
      </c>
      <c r="AR250" s="50">
        <f t="shared" si="180"/>
        <v>0</v>
      </c>
      <c r="AS250" s="50">
        <f t="shared" si="180"/>
        <v>0</v>
      </c>
      <c r="AT250" s="50">
        <f t="shared" si="180"/>
        <v>0</v>
      </c>
      <c r="AU250" s="50">
        <f t="shared" si="180"/>
        <v>0</v>
      </c>
    </row>
    <row r="251" spans="1:47">
      <c r="A251" s="38" t="str">
        <f t="shared" si="177"/>
        <v>1X-</v>
      </c>
      <c r="B251" s="38" t="s">
        <v>263</v>
      </c>
      <c r="C251" s="38" t="str">
        <f t="shared" ref="C251:C255" si="181">C250</f>
        <v>Drying/Gasification/Energy Recovery</v>
      </c>
      <c r="D251" s="186">
        <f>OMEsc</f>
        <v>0.02</v>
      </c>
      <c r="E251" s="325"/>
      <c r="G251" s="36" t="s">
        <v>127</v>
      </c>
      <c r="I251" s="39"/>
      <c r="K251" s="39"/>
      <c r="L251" s="43" t="str">
        <f>"["&amp;CostBaseYr&amp;" $]"</f>
        <v>[2013 $]</v>
      </c>
      <c r="N251" s="70">
        <f ca="1">SUMIFS(OFFSET(Assumptions!$I$90,0,MATCH($A251,Configurations,0)-1,COUNT(Assumptions!$A$90:$A$183),1),Assumptions!$D$90:$D$183,$B251&amp;$C251)</f>
        <v>0</v>
      </c>
      <c r="O251" s="313"/>
      <c r="P251" s="323"/>
      <c r="Q251" s="313"/>
      <c r="R251" s="50">
        <f t="shared" ca="1" si="179"/>
        <v>0</v>
      </c>
      <c r="S251" s="50">
        <f t="shared" ca="1" si="180"/>
        <v>0</v>
      </c>
      <c r="T251" s="50">
        <f t="shared" ca="1" si="180"/>
        <v>0</v>
      </c>
      <c r="U251" s="50">
        <f t="shared" ca="1" si="180"/>
        <v>0</v>
      </c>
      <c r="V251" s="50">
        <f t="shared" ca="1" si="180"/>
        <v>0</v>
      </c>
      <c r="W251" s="50">
        <f t="shared" ca="1" si="180"/>
        <v>0</v>
      </c>
      <c r="X251" s="50">
        <f t="shared" ca="1" si="180"/>
        <v>0</v>
      </c>
      <c r="Y251" s="50">
        <f t="shared" ca="1" si="180"/>
        <v>0</v>
      </c>
      <c r="Z251" s="50">
        <f t="shared" ca="1" si="180"/>
        <v>0</v>
      </c>
      <c r="AA251" s="50">
        <f t="shared" ca="1" si="180"/>
        <v>0</v>
      </c>
      <c r="AB251" s="50">
        <f t="shared" ca="1" si="180"/>
        <v>0</v>
      </c>
      <c r="AC251" s="50">
        <f t="shared" ca="1" si="180"/>
        <v>0</v>
      </c>
      <c r="AD251" s="50">
        <f t="shared" ca="1" si="180"/>
        <v>0</v>
      </c>
      <c r="AE251" s="50">
        <f t="shared" ca="1" si="180"/>
        <v>0</v>
      </c>
      <c r="AF251" s="50">
        <f t="shared" ca="1" si="180"/>
        <v>0</v>
      </c>
      <c r="AG251" s="50">
        <f t="shared" ca="1" si="180"/>
        <v>0</v>
      </c>
      <c r="AH251" s="50">
        <f t="shared" ca="1" si="180"/>
        <v>0</v>
      </c>
      <c r="AI251" s="50">
        <f t="shared" ca="1" si="180"/>
        <v>0</v>
      </c>
      <c r="AJ251" s="50">
        <f t="shared" ca="1" si="180"/>
        <v>0</v>
      </c>
      <c r="AK251" s="50">
        <f t="shared" ca="1" si="180"/>
        <v>0</v>
      </c>
      <c r="AL251" s="50">
        <f t="shared" si="180"/>
        <v>0</v>
      </c>
      <c r="AM251" s="50">
        <f t="shared" si="180"/>
        <v>0</v>
      </c>
      <c r="AN251" s="50">
        <f t="shared" si="180"/>
        <v>0</v>
      </c>
      <c r="AO251" s="50">
        <f t="shared" si="180"/>
        <v>0</v>
      </c>
      <c r="AP251" s="50">
        <f t="shared" si="180"/>
        <v>0</v>
      </c>
      <c r="AQ251" s="50">
        <f t="shared" si="180"/>
        <v>0</v>
      </c>
      <c r="AR251" s="50">
        <f t="shared" si="180"/>
        <v>0</v>
      </c>
      <c r="AS251" s="50">
        <f t="shared" si="180"/>
        <v>0</v>
      </c>
      <c r="AT251" s="50">
        <f t="shared" si="180"/>
        <v>0</v>
      </c>
      <c r="AU251" s="50">
        <f t="shared" si="180"/>
        <v>0</v>
      </c>
    </row>
    <row r="252" spans="1:47">
      <c r="A252" s="38" t="str">
        <f t="shared" si="177"/>
        <v>1X-</v>
      </c>
      <c r="B252" s="38" t="s">
        <v>277</v>
      </c>
      <c r="C252" s="38" t="str">
        <f t="shared" si="181"/>
        <v>Drying/Gasification/Energy Recovery</v>
      </c>
      <c r="D252" s="186">
        <f>OMEsc</f>
        <v>0.02</v>
      </c>
      <c r="E252" s="325"/>
      <c r="G252" s="36" t="s">
        <v>276</v>
      </c>
      <c r="I252" s="39"/>
      <c r="K252" s="39"/>
      <c r="L252" s="43" t="str">
        <f>"["&amp;CostBaseYr&amp;" $]"</f>
        <v>[2013 $]</v>
      </c>
      <c r="N252" s="70">
        <f ca="1">SUMIFS(OFFSET(Assumptions!$I$90,0,MATCH($A252,Configurations,0)-1,COUNT(Assumptions!$A$90:$A$183),1),Assumptions!$D$90:$D$183,$B252&amp;$C252)</f>
        <v>0</v>
      </c>
      <c r="O252" s="313"/>
      <c r="P252" s="323"/>
      <c r="Q252" s="313"/>
      <c r="R252" s="50">
        <f t="shared" ca="1" si="179"/>
        <v>0</v>
      </c>
      <c r="S252" s="50">
        <f t="shared" ca="1" si="180"/>
        <v>0</v>
      </c>
      <c r="T252" s="50">
        <f t="shared" ca="1" si="180"/>
        <v>0</v>
      </c>
      <c r="U252" s="50">
        <f t="shared" ca="1" si="180"/>
        <v>0</v>
      </c>
      <c r="V252" s="50">
        <f t="shared" ca="1" si="180"/>
        <v>0</v>
      </c>
      <c r="W252" s="50">
        <f t="shared" ca="1" si="180"/>
        <v>0</v>
      </c>
      <c r="X252" s="50">
        <f t="shared" ca="1" si="180"/>
        <v>0</v>
      </c>
      <c r="Y252" s="50">
        <f t="shared" ca="1" si="180"/>
        <v>0</v>
      </c>
      <c r="Z252" s="50">
        <f t="shared" ca="1" si="180"/>
        <v>0</v>
      </c>
      <c r="AA252" s="50">
        <f t="shared" ca="1" si="180"/>
        <v>0</v>
      </c>
      <c r="AB252" s="50">
        <f t="shared" ca="1" si="180"/>
        <v>0</v>
      </c>
      <c r="AC252" s="50">
        <f t="shared" ca="1" si="180"/>
        <v>0</v>
      </c>
      <c r="AD252" s="50">
        <f t="shared" ca="1" si="180"/>
        <v>0</v>
      </c>
      <c r="AE252" s="50">
        <f t="shared" ca="1" si="180"/>
        <v>0</v>
      </c>
      <c r="AF252" s="50">
        <f t="shared" ca="1" si="180"/>
        <v>0</v>
      </c>
      <c r="AG252" s="50">
        <f t="shared" ca="1" si="180"/>
        <v>0</v>
      </c>
      <c r="AH252" s="50">
        <f t="shared" ca="1" si="180"/>
        <v>0</v>
      </c>
      <c r="AI252" s="50">
        <f t="shared" ca="1" si="180"/>
        <v>0</v>
      </c>
      <c r="AJ252" s="50">
        <f t="shared" ca="1" si="180"/>
        <v>0</v>
      </c>
      <c r="AK252" s="50">
        <f t="shared" ca="1" si="180"/>
        <v>0</v>
      </c>
      <c r="AL252" s="50">
        <f t="shared" si="180"/>
        <v>0</v>
      </c>
      <c r="AM252" s="50">
        <f t="shared" si="180"/>
        <v>0</v>
      </c>
      <c r="AN252" s="50">
        <f t="shared" si="180"/>
        <v>0</v>
      </c>
      <c r="AO252" s="50">
        <f t="shared" si="180"/>
        <v>0</v>
      </c>
      <c r="AP252" s="50">
        <f t="shared" si="180"/>
        <v>0</v>
      </c>
      <c r="AQ252" s="50">
        <f t="shared" si="180"/>
        <v>0</v>
      </c>
      <c r="AR252" s="50">
        <f t="shared" si="180"/>
        <v>0</v>
      </c>
      <c r="AS252" s="50">
        <f t="shared" si="180"/>
        <v>0</v>
      </c>
      <c r="AT252" s="50">
        <f t="shared" si="180"/>
        <v>0</v>
      </c>
      <c r="AU252" s="50">
        <f t="shared" si="180"/>
        <v>0</v>
      </c>
    </row>
    <row r="253" spans="1:47">
      <c r="A253" s="38" t="str">
        <f t="shared" si="177"/>
        <v>1X-</v>
      </c>
      <c r="B253" s="38" t="s">
        <v>274</v>
      </c>
      <c r="C253" s="38" t="str">
        <f t="shared" si="181"/>
        <v>Drying/Gasification/Energy Recovery</v>
      </c>
      <c r="D253" s="186"/>
      <c r="E253" s="325"/>
      <c r="G253" s="36" t="s">
        <v>16</v>
      </c>
      <c r="I253" s="39"/>
      <c r="K253" s="39"/>
      <c r="L253" s="43" t="s">
        <v>275</v>
      </c>
      <c r="N253" s="70">
        <f ca="1">SUMIFS(OFFSET(Assumptions!$I$90,0,MATCH($A253,Configurations,0)-1,COUNT(Assumptions!$A$90:$A$183),1),Assumptions!$D$90:$D$183,$B253&amp;$C253)</f>
        <v>0</v>
      </c>
      <c r="O253" s="313"/>
      <c r="P253" s="323"/>
      <c r="Q253" s="313"/>
      <c r="R253" s="50">
        <f t="shared" ref="R253:AU253" ca="1" si="182">IF(OR(R$99&lt;InServiceYr,R$99&gt;(InServiceYr+analysis_period-1)),0,IF($P253=0,$N253,$P253)*R$505)</f>
        <v>0</v>
      </c>
      <c r="S253" s="50">
        <f t="shared" ca="1" si="182"/>
        <v>0</v>
      </c>
      <c r="T253" s="50">
        <f t="shared" ca="1" si="182"/>
        <v>0</v>
      </c>
      <c r="U253" s="50">
        <f t="shared" ca="1" si="182"/>
        <v>0</v>
      </c>
      <c r="V253" s="50">
        <f t="shared" ca="1" si="182"/>
        <v>0</v>
      </c>
      <c r="W253" s="50">
        <f t="shared" ca="1" si="182"/>
        <v>0</v>
      </c>
      <c r="X253" s="50">
        <f t="shared" ca="1" si="182"/>
        <v>0</v>
      </c>
      <c r="Y253" s="50">
        <f t="shared" ca="1" si="182"/>
        <v>0</v>
      </c>
      <c r="Z253" s="50">
        <f t="shared" ca="1" si="182"/>
        <v>0</v>
      </c>
      <c r="AA253" s="50">
        <f t="shared" ca="1" si="182"/>
        <v>0</v>
      </c>
      <c r="AB253" s="50">
        <f t="shared" ca="1" si="182"/>
        <v>0</v>
      </c>
      <c r="AC253" s="50">
        <f t="shared" ca="1" si="182"/>
        <v>0</v>
      </c>
      <c r="AD253" s="50">
        <f t="shared" ca="1" si="182"/>
        <v>0</v>
      </c>
      <c r="AE253" s="50">
        <f t="shared" ca="1" si="182"/>
        <v>0</v>
      </c>
      <c r="AF253" s="50">
        <f t="shared" ca="1" si="182"/>
        <v>0</v>
      </c>
      <c r="AG253" s="50">
        <f t="shared" ca="1" si="182"/>
        <v>0</v>
      </c>
      <c r="AH253" s="50">
        <f t="shared" ca="1" si="182"/>
        <v>0</v>
      </c>
      <c r="AI253" s="50">
        <f t="shared" ca="1" si="182"/>
        <v>0</v>
      </c>
      <c r="AJ253" s="50">
        <f t="shared" ca="1" si="182"/>
        <v>0</v>
      </c>
      <c r="AK253" s="50">
        <f t="shared" ca="1" si="182"/>
        <v>0</v>
      </c>
      <c r="AL253" s="50">
        <f t="shared" si="182"/>
        <v>0</v>
      </c>
      <c r="AM253" s="50">
        <f t="shared" si="182"/>
        <v>0</v>
      </c>
      <c r="AN253" s="50">
        <f t="shared" si="182"/>
        <v>0</v>
      </c>
      <c r="AO253" s="50">
        <f t="shared" si="182"/>
        <v>0</v>
      </c>
      <c r="AP253" s="50">
        <f t="shared" si="182"/>
        <v>0</v>
      </c>
      <c r="AQ253" s="50">
        <f t="shared" si="182"/>
        <v>0</v>
      </c>
      <c r="AR253" s="50">
        <f t="shared" si="182"/>
        <v>0</v>
      </c>
      <c r="AS253" s="50">
        <f t="shared" si="182"/>
        <v>0</v>
      </c>
      <c r="AT253" s="50">
        <f t="shared" si="182"/>
        <v>0</v>
      </c>
      <c r="AU253" s="50">
        <f t="shared" si="182"/>
        <v>0</v>
      </c>
    </row>
    <row r="254" spans="1:47">
      <c r="A254" s="38" t="str">
        <f t="shared" si="177"/>
        <v>1X-</v>
      </c>
      <c r="B254" s="38" t="s">
        <v>257</v>
      </c>
      <c r="C254" s="38" t="str">
        <f t="shared" si="181"/>
        <v>Drying/Gasification/Energy Recovery</v>
      </c>
      <c r="D254" s="186"/>
      <c r="E254" s="325"/>
      <c r="G254" s="36" t="s">
        <v>284</v>
      </c>
      <c r="I254" s="39"/>
      <c r="K254" s="39"/>
      <c r="L254" s="43" t="s">
        <v>293</v>
      </c>
      <c r="N254" s="70">
        <f ca="1">SUMIFS(OFFSET(Assumptions!$I$90,0,MATCH($A254,Configurations,0)-1,COUNT(Assumptions!$A$90:$A$183),1),Assumptions!$D$90:$D$183,$B254&amp;$C254)</f>
        <v>0</v>
      </c>
      <c r="O254" s="313"/>
      <c r="P254" s="323"/>
      <c r="Q254" s="313"/>
      <c r="R254" s="50">
        <f t="shared" ref="R254:AU254" ca="1" si="183">IF(OR(R$99&lt;InServiceYr,R$99&gt;(InServiceYr+analysis_period-1)),0,IF($P254=0,$N254,$P254)*R$501)</f>
        <v>0</v>
      </c>
      <c r="S254" s="50">
        <f t="shared" ca="1" si="183"/>
        <v>0</v>
      </c>
      <c r="T254" s="50">
        <f t="shared" ca="1" si="183"/>
        <v>0</v>
      </c>
      <c r="U254" s="50">
        <f t="shared" ca="1" si="183"/>
        <v>0</v>
      </c>
      <c r="V254" s="50">
        <f t="shared" ca="1" si="183"/>
        <v>0</v>
      </c>
      <c r="W254" s="50">
        <f t="shared" ca="1" si="183"/>
        <v>0</v>
      </c>
      <c r="X254" s="50">
        <f t="shared" ca="1" si="183"/>
        <v>0</v>
      </c>
      <c r="Y254" s="50">
        <f t="shared" ca="1" si="183"/>
        <v>0</v>
      </c>
      <c r="Z254" s="50">
        <f t="shared" ca="1" si="183"/>
        <v>0</v>
      </c>
      <c r="AA254" s="50">
        <f t="shared" ca="1" si="183"/>
        <v>0</v>
      </c>
      <c r="AB254" s="50">
        <f t="shared" ca="1" si="183"/>
        <v>0</v>
      </c>
      <c r="AC254" s="50">
        <f t="shared" ca="1" si="183"/>
        <v>0</v>
      </c>
      <c r="AD254" s="50">
        <f t="shared" ca="1" si="183"/>
        <v>0</v>
      </c>
      <c r="AE254" s="50">
        <f t="shared" ca="1" si="183"/>
        <v>0</v>
      </c>
      <c r="AF254" s="50">
        <f t="shared" ca="1" si="183"/>
        <v>0</v>
      </c>
      <c r="AG254" s="50">
        <f t="shared" ca="1" si="183"/>
        <v>0</v>
      </c>
      <c r="AH254" s="50">
        <f t="shared" ca="1" si="183"/>
        <v>0</v>
      </c>
      <c r="AI254" s="50">
        <f t="shared" ca="1" si="183"/>
        <v>0</v>
      </c>
      <c r="AJ254" s="50">
        <f t="shared" ca="1" si="183"/>
        <v>0</v>
      </c>
      <c r="AK254" s="50">
        <f t="shared" ca="1" si="183"/>
        <v>0</v>
      </c>
      <c r="AL254" s="50">
        <f t="shared" si="183"/>
        <v>0</v>
      </c>
      <c r="AM254" s="50">
        <f t="shared" si="183"/>
        <v>0</v>
      </c>
      <c r="AN254" s="50">
        <f t="shared" si="183"/>
        <v>0</v>
      </c>
      <c r="AO254" s="50">
        <f t="shared" si="183"/>
        <v>0</v>
      </c>
      <c r="AP254" s="50">
        <f t="shared" si="183"/>
        <v>0</v>
      </c>
      <c r="AQ254" s="50">
        <f t="shared" si="183"/>
        <v>0</v>
      </c>
      <c r="AR254" s="50">
        <f t="shared" si="183"/>
        <v>0</v>
      </c>
      <c r="AS254" s="50">
        <f t="shared" si="183"/>
        <v>0</v>
      </c>
      <c r="AT254" s="50">
        <f t="shared" si="183"/>
        <v>0</v>
      </c>
      <c r="AU254" s="50">
        <f t="shared" si="183"/>
        <v>0</v>
      </c>
    </row>
    <row r="255" spans="1:47">
      <c r="A255" s="38" t="str">
        <f t="shared" si="177"/>
        <v>1X-</v>
      </c>
      <c r="B255" s="38" t="s">
        <v>864</v>
      </c>
      <c r="C255" s="38" t="str">
        <f t="shared" si="181"/>
        <v>Drying/Gasification/Energy Recovery</v>
      </c>
      <c r="D255" s="186">
        <f>GHGEsc</f>
        <v>0.02</v>
      </c>
      <c r="E255" s="325"/>
      <c r="G255" s="36" t="s">
        <v>865</v>
      </c>
      <c r="I255" s="39"/>
      <c r="K255" s="39"/>
      <c r="L255" s="43" t="s">
        <v>866</v>
      </c>
      <c r="N255" s="70">
        <f ca="1">SUMIFS(OFFSET(Assumptions!$I$90,0,MATCH($A255,Configurations,0)-1,COUNT(Assumptions!$A$90:$A$183),1),Assumptions!$D$90:$D$183,$B255&amp;$C255)</f>
        <v>0</v>
      </c>
      <c r="O255" s="313"/>
      <c r="P255" s="323"/>
      <c r="Q255" s="313"/>
      <c r="R255" s="50">
        <f t="shared" ref="R255:AU255" ca="1" si="184">IF(OR(R$99&lt;InServiceYr,R$99&gt;(InServiceYr+analysis_period-1)),0,IF($P255=0,$N255,$P255)*R$513)</f>
        <v>0</v>
      </c>
      <c r="S255" s="50">
        <f t="shared" ca="1" si="184"/>
        <v>0</v>
      </c>
      <c r="T255" s="50">
        <f t="shared" ca="1" si="184"/>
        <v>0</v>
      </c>
      <c r="U255" s="50">
        <f t="shared" ca="1" si="184"/>
        <v>0</v>
      </c>
      <c r="V255" s="50">
        <f t="shared" ca="1" si="184"/>
        <v>0</v>
      </c>
      <c r="W255" s="50">
        <f t="shared" ca="1" si="184"/>
        <v>0</v>
      </c>
      <c r="X255" s="50">
        <f t="shared" ca="1" si="184"/>
        <v>0</v>
      </c>
      <c r="Y255" s="50">
        <f t="shared" ca="1" si="184"/>
        <v>0</v>
      </c>
      <c r="Z255" s="50">
        <f t="shared" ca="1" si="184"/>
        <v>0</v>
      </c>
      <c r="AA255" s="50">
        <f t="shared" ca="1" si="184"/>
        <v>0</v>
      </c>
      <c r="AB255" s="50">
        <f t="shared" ca="1" si="184"/>
        <v>0</v>
      </c>
      <c r="AC255" s="50">
        <f t="shared" ca="1" si="184"/>
        <v>0</v>
      </c>
      <c r="AD255" s="50">
        <f t="shared" ca="1" si="184"/>
        <v>0</v>
      </c>
      <c r="AE255" s="50">
        <f t="shared" ca="1" si="184"/>
        <v>0</v>
      </c>
      <c r="AF255" s="50">
        <f t="shared" ca="1" si="184"/>
        <v>0</v>
      </c>
      <c r="AG255" s="50">
        <f t="shared" ca="1" si="184"/>
        <v>0</v>
      </c>
      <c r="AH255" s="50">
        <f t="shared" ca="1" si="184"/>
        <v>0</v>
      </c>
      <c r="AI255" s="50">
        <f t="shared" ca="1" si="184"/>
        <v>0</v>
      </c>
      <c r="AJ255" s="50">
        <f t="shared" ca="1" si="184"/>
        <v>0</v>
      </c>
      <c r="AK255" s="50">
        <f t="shared" ca="1" si="184"/>
        <v>0</v>
      </c>
      <c r="AL255" s="50">
        <f t="shared" si="184"/>
        <v>0</v>
      </c>
      <c r="AM255" s="50">
        <f t="shared" si="184"/>
        <v>0</v>
      </c>
      <c r="AN255" s="50">
        <f t="shared" si="184"/>
        <v>0</v>
      </c>
      <c r="AO255" s="50">
        <f t="shared" si="184"/>
        <v>0</v>
      </c>
      <c r="AP255" s="50">
        <f t="shared" si="184"/>
        <v>0</v>
      </c>
      <c r="AQ255" s="50">
        <f t="shared" si="184"/>
        <v>0</v>
      </c>
      <c r="AR255" s="50">
        <f t="shared" si="184"/>
        <v>0</v>
      </c>
      <c r="AS255" s="50">
        <f t="shared" si="184"/>
        <v>0</v>
      </c>
      <c r="AT255" s="50">
        <f t="shared" si="184"/>
        <v>0</v>
      </c>
      <c r="AU255" s="50">
        <f t="shared" si="184"/>
        <v>0</v>
      </c>
    </row>
    <row r="256" spans="1:47">
      <c r="A256" s="38" t="str">
        <f t="shared" si="177"/>
        <v>1X-</v>
      </c>
      <c r="B256" s="38" t="s">
        <v>273</v>
      </c>
      <c r="C256" s="38" t="str">
        <f>C254</f>
        <v>Drying/Gasification/Energy Recovery</v>
      </c>
      <c r="D256" s="186">
        <f>LaborEsc</f>
        <v>0.02</v>
      </c>
      <c r="E256" s="325"/>
      <c r="G256" s="36" t="s">
        <v>291</v>
      </c>
      <c r="I256" s="39"/>
      <c r="K256" s="39"/>
      <c r="L256" s="43" t="str">
        <f>"["&amp;CostBaseYr&amp;" $]"</f>
        <v>[2013 $]</v>
      </c>
      <c r="N256" s="70">
        <f ca="1">SUMIFS(OFFSET(Assumptions!$I$90,0,MATCH($A256,Configurations,0)-1,COUNT(Assumptions!$A$90:$A$183),1),Assumptions!$D$90:$D$183,$B256&amp;$C256)</f>
        <v>0</v>
      </c>
      <c r="O256" s="313"/>
      <c r="P256" s="323"/>
      <c r="Q256" s="313"/>
      <c r="R256" s="50">
        <f t="shared" ref="R256:AU256" ca="1" si="185">IF(OR(R$99&lt;InServiceYr,R$99&gt;(InServiceYr+analysis_period-1)),0,IF($P256=0,$N256,$P256)*(1+$D256)^(R$99-CostBaseYr))*R$509</f>
        <v>0</v>
      </c>
      <c r="S256" s="50">
        <f t="shared" ca="1" si="185"/>
        <v>0</v>
      </c>
      <c r="T256" s="50">
        <f t="shared" ca="1" si="185"/>
        <v>0</v>
      </c>
      <c r="U256" s="50">
        <f t="shared" ca="1" si="185"/>
        <v>0</v>
      </c>
      <c r="V256" s="50">
        <f t="shared" ca="1" si="185"/>
        <v>0</v>
      </c>
      <c r="W256" s="50">
        <f t="shared" ca="1" si="185"/>
        <v>0</v>
      </c>
      <c r="X256" s="50">
        <f t="shared" ca="1" si="185"/>
        <v>0</v>
      </c>
      <c r="Y256" s="50">
        <f t="shared" ca="1" si="185"/>
        <v>0</v>
      </c>
      <c r="Z256" s="50">
        <f t="shared" ca="1" si="185"/>
        <v>0</v>
      </c>
      <c r="AA256" s="50">
        <f t="shared" ca="1" si="185"/>
        <v>0</v>
      </c>
      <c r="AB256" s="50">
        <f t="shared" ca="1" si="185"/>
        <v>0</v>
      </c>
      <c r="AC256" s="50">
        <f t="shared" ca="1" si="185"/>
        <v>0</v>
      </c>
      <c r="AD256" s="50">
        <f t="shared" ca="1" si="185"/>
        <v>0</v>
      </c>
      <c r="AE256" s="50">
        <f t="shared" ca="1" si="185"/>
        <v>0</v>
      </c>
      <c r="AF256" s="50">
        <f t="shared" ca="1" si="185"/>
        <v>0</v>
      </c>
      <c r="AG256" s="50">
        <f t="shared" ca="1" si="185"/>
        <v>0</v>
      </c>
      <c r="AH256" s="50">
        <f t="shared" ca="1" si="185"/>
        <v>0</v>
      </c>
      <c r="AI256" s="50">
        <f t="shared" ca="1" si="185"/>
        <v>0</v>
      </c>
      <c r="AJ256" s="50">
        <f t="shared" ca="1" si="185"/>
        <v>0</v>
      </c>
      <c r="AK256" s="50">
        <f t="shared" ca="1" si="185"/>
        <v>0</v>
      </c>
      <c r="AL256" s="50">
        <f t="shared" si="185"/>
        <v>0</v>
      </c>
      <c r="AM256" s="50">
        <f t="shared" si="185"/>
        <v>0</v>
      </c>
      <c r="AN256" s="50">
        <f t="shared" si="185"/>
        <v>0</v>
      </c>
      <c r="AO256" s="50">
        <f t="shared" si="185"/>
        <v>0</v>
      </c>
      <c r="AP256" s="50">
        <f t="shared" si="185"/>
        <v>0</v>
      </c>
      <c r="AQ256" s="50">
        <f t="shared" si="185"/>
        <v>0</v>
      </c>
      <c r="AR256" s="50">
        <f t="shared" si="185"/>
        <v>0</v>
      </c>
      <c r="AS256" s="50">
        <f t="shared" si="185"/>
        <v>0</v>
      </c>
      <c r="AT256" s="50">
        <f t="shared" si="185"/>
        <v>0</v>
      </c>
      <c r="AU256" s="50">
        <f t="shared" si="185"/>
        <v>0</v>
      </c>
    </row>
    <row r="257" spans="1:47">
      <c r="D257" s="186"/>
      <c r="E257" s="325"/>
      <c r="G257" s="39" t="s">
        <v>304</v>
      </c>
      <c r="I257" s="39"/>
      <c r="K257" s="39"/>
      <c r="L257" s="43"/>
      <c r="N257" s="70"/>
      <c r="O257" s="313"/>
      <c r="P257" s="70"/>
      <c r="Q257" s="313"/>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row>
    <row r="258" spans="1:47">
      <c r="A258" s="38" t="str">
        <f>$J$4&amp;"-"</f>
        <v>1X-</v>
      </c>
      <c r="B258" s="38" t="s">
        <v>265</v>
      </c>
      <c r="C258" s="38" t="str">
        <f>C249</f>
        <v>Drying/Gasification/Energy Recovery</v>
      </c>
      <c r="D258" s="186"/>
      <c r="E258" s="325"/>
      <c r="G258" s="36" t="s">
        <v>108</v>
      </c>
      <c r="I258" s="39"/>
      <c r="K258" s="39"/>
      <c r="L258" s="43" t="s">
        <v>293</v>
      </c>
      <c r="N258" s="70">
        <f ca="1">SUMIFS(OFFSET(Assumptions!$I$90,0,MATCH($A258,Configurations,0)-1,COUNT(Assumptions!$A$90:$A$183),1),Assumptions!$D$90:$D$183,$B258&amp;$C258)</f>
        <v>0</v>
      </c>
      <c r="O258" s="313"/>
      <c r="P258" s="323"/>
      <c r="Q258" s="313"/>
      <c r="R258" s="50">
        <f t="shared" ref="R258:AU258" ca="1" si="186">IF(OR(R$99&lt;InServiceYr,R$99&gt;(InServiceYr+analysis_period-1)),0,IF($P258=0,$N258,$P258)*R$501)</f>
        <v>0</v>
      </c>
      <c r="S258" s="50">
        <f t="shared" ca="1" si="186"/>
        <v>0</v>
      </c>
      <c r="T258" s="50">
        <f t="shared" ca="1" si="186"/>
        <v>0</v>
      </c>
      <c r="U258" s="50">
        <f t="shared" ca="1" si="186"/>
        <v>0</v>
      </c>
      <c r="V258" s="50">
        <f t="shared" ca="1" si="186"/>
        <v>0</v>
      </c>
      <c r="W258" s="50">
        <f t="shared" ca="1" si="186"/>
        <v>0</v>
      </c>
      <c r="X258" s="50">
        <f t="shared" ca="1" si="186"/>
        <v>0</v>
      </c>
      <c r="Y258" s="50">
        <f t="shared" ca="1" si="186"/>
        <v>0</v>
      </c>
      <c r="Z258" s="50">
        <f t="shared" ca="1" si="186"/>
        <v>0</v>
      </c>
      <c r="AA258" s="50">
        <f t="shared" ca="1" si="186"/>
        <v>0</v>
      </c>
      <c r="AB258" s="50">
        <f t="shared" ca="1" si="186"/>
        <v>0</v>
      </c>
      <c r="AC258" s="50">
        <f t="shared" ca="1" si="186"/>
        <v>0</v>
      </c>
      <c r="AD258" s="50">
        <f t="shared" ca="1" si="186"/>
        <v>0</v>
      </c>
      <c r="AE258" s="50">
        <f t="shared" ca="1" si="186"/>
        <v>0</v>
      </c>
      <c r="AF258" s="50">
        <f t="shared" ca="1" si="186"/>
        <v>0</v>
      </c>
      <c r="AG258" s="50">
        <f t="shared" ca="1" si="186"/>
        <v>0</v>
      </c>
      <c r="AH258" s="50">
        <f t="shared" ca="1" si="186"/>
        <v>0</v>
      </c>
      <c r="AI258" s="50">
        <f t="shared" ca="1" si="186"/>
        <v>0</v>
      </c>
      <c r="AJ258" s="50">
        <f t="shared" ca="1" si="186"/>
        <v>0</v>
      </c>
      <c r="AK258" s="50">
        <f t="shared" ca="1" si="186"/>
        <v>0</v>
      </c>
      <c r="AL258" s="50">
        <f t="shared" si="186"/>
        <v>0</v>
      </c>
      <c r="AM258" s="50">
        <f t="shared" si="186"/>
        <v>0</v>
      </c>
      <c r="AN258" s="50">
        <f t="shared" si="186"/>
        <v>0</v>
      </c>
      <c r="AO258" s="50">
        <f t="shared" si="186"/>
        <v>0</v>
      </c>
      <c r="AP258" s="50">
        <f t="shared" si="186"/>
        <v>0</v>
      </c>
      <c r="AQ258" s="50">
        <f t="shared" si="186"/>
        <v>0</v>
      </c>
      <c r="AR258" s="50">
        <f t="shared" si="186"/>
        <v>0</v>
      </c>
      <c r="AS258" s="50">
        <f t="shared" si="186"/>
        <v>0</v>
      </c>
      <c r="AT258" s="50">
        <f t="shared" si="186"/>
        <v>0</v>
      </c>
      <c r="AU258" s="50">
        <f t="shared" si="186"/>
        <v>0</v>
      </c>
    </row>
    <row r="259" spans="1:47">
      <c r="A259" s="38" t="str">
        <f>$J$4&amp;"-"</f>
        <v>1X-</v>
      </c>
      <c r="B259" s="38" t="s">
        <v>289</v>
      </c>
      <c r="C259" s="38" t="str">
        <f>C249</f>
        <v>Drying/Gasification/Energy Recovery</v>
      </c>
      <c r="D259" s="186">
        <f>LaborEsc</f>
        <v>0.02</v>
      </c>
      <c r="E259" s="325"/>
      <c r="G259" s="36" t="s">
        <v>292</v>
      </c>
      <c r="I259" s="39"/>
      <c r="K259" s="39"/>
      <c r="L259" s="43" t="str">
        <f>"["&amp;CostBaseYr&amp;" $]"</f>
        <v>[2013 $]</v>
      </c>
      <c r="N259" s="70">
        <f ca="1">SUMIFS(OFFSET(Assumptions!$I$90,0,MATCH($A259,Configurations,0)-1,COUNT(Assumptions!$A$90:$A$183),1),Assumptions!$D$90:$D$183,$B259&amp;$C259)</f>
        <v>0</v>
      </c>
      <c r="O259" s="313"/>
      <c r="P259" s="323"/>
      <c r="Q259" s="313"/>
      <c r="R259" s="50">
        <f t="shared" ref="R259:AU259" ca="1" si="187">IF(OR(R$99&lt;InServiceYr,R$99&gt;(InServiceYr+analysis_period-1)),0,IF($P259=0,$N259,$P259)*(1+$D259)^(R$99-CostBaseYr))</f>
        <v>0</v>
      </c>
      <c r="S259" s="50">
        <f t="shared" ca="1" si="187"/>
        <v>0</v>
      </c>
      <c r="T259" s="50">
        <f t="shared" ca="1" si="187"/>
        <v>0</v>
      </c>
      <c r="U259" s="50">
        <f t="shared" ca="1" si="187"/>
        <v>0</v>
      </c>
      <c r="V259" s="50">
        <f t="shared" ca="1" si="187"/>
        <v>0</v>
      </c>
      <c r="W259" s="50">
        <f t="shared" ca="1" si="187"/>
        <v>0</v>
      </c>
      <c r="X259" s="50">
        <f t="shared" ca="1" si="187"/>
        <v>0</v>
      </c>
      <c r="Y259" s="50">
        <f t="shared" ca="1" si="187"/>
        <v>0</v>
      </c>
      <c r="Z259" s="50">
        <f t="shared" ca="1" si="187"/>
        <v>0</v>
      </c>
      <c r="AA259" s="50">
        <f t="shared" ca="1" si="187"/>
        <v>0</v>
      </c>
      <c r="AB259" s="50">
        <f t="shared" ca="1" si="187"/>
        <v>0</v>
      </c>
      <c r="AC259" s="50">
        <f t="shared" ca="1" si="187"/>
        <v>0</v>
      </c>
      <c r="AD259" s="50">
        <f t="shared" ca="1" si="187"/>
        <v>0</v>
      </c>
      <c r="AE259" s="50">
        <f t="shared" ca="1" si="187"/>
        <v>0</v>
      </c>
      <c r="AF259" s="50">
        <f t="shared" ca="1" si="187"/>
        <v>0</v>
      </c>
      <c r="AG259" s="50">
        <f t="shared" ca="1" si="187"/>
        <v>0</v>
      </c>
      <c r="AH259" s="50">
        <f t="shared" ca="1" si="187"/>
        <v>0</v>
      </c>
      <c r="AI259" s="50">
        <f t="shared" ca="1" si="187"/>
        <v>0</v>
      </c>
      <c r="AJ259" s="50">
        <f t="shared" ca="1" si="187"/>
        <v>0</v>
      </c>
      <c r="AK259" s="50">
        <f t="shared" ca="1" si="187"/>
        <v>0</v>
      </c>
      <c r="AL259" s="50">
        <f t="shared" si="187"/>
        <v>0</v>
      </c>
      <c r="AM259" s="50">
        <f t="shared" si="187"/>
        <v>0</v>
      </c>
      <c r="AN259" s="50">
        <f t="shared" si="187"/>
        <v>0</v>
      </c>
      <c r="AO259" s="50">
        <f t="shared" si="187"/>
        <v>0</v>
      </c>
      <c r="AP259" s="50">
        <f t="shared" si="187"/>
        <v>0</v>
      </c>
      <c r="AQ259" s="50">
        <f t="shared" si="187"/>
        <v>0</v>
      </c>
      <c r="AR259" s="50">
        <f t="shared" si="187"/>
        <v>0</v>
      </c>
      <c r="AS259" s="50">
        <f t="shared" si="187"/>
        <v>0</v>
      </c>
      <c r="AT259" s="50">
        <f t="shared" si="187"/>
        <v>0</v>
      </c>
      <c r="AU259" s="50">
        <f t="shared" si="187"/>
        <v>0</v>
      </c>
    </row>
    <row r="260" spans="1:47" s="60" customFormat="1">
      <c r="D260" s="187"/>
      <c r="E260" s="325"/>
      <c r="G260" s="39" t="s">
        <v>305</v>
      </c>
      <c r="I260" s="39"/>
      <c r="K260" s="39"/>
      <c r="L260" s="174"/>
      <c r="N260" s="188"/>
      <c r="O260" s="314"/>
      <c r="P260" s="185"/>
      <c r="Q260" s="314"/>
      <c r="R260" s="185">
        <f ca="1">SUM(R249:R256)-SUM(R258:R259)</f>
        <v>0</v>
      </c>
      <c r="S260" s="185">
        <f t="shared" ref="S260:AU260" ca="1" si="188">SUM(S249:S256)-SUM(S258:S259)</f>
        <v>0</v>
      </c>
      <c r="T260" s="185">
        <f t="shared" ca="1" si="188"/>
        <v>0</v>
      </c>
      <c r="U260" s="185">
        <f t="shared" ca="1" si="188"/>
        <v>0</v>
      </c>
      <c r="V260" s="185">
        <f t="shared" ca="1" si="188"/>
        <v>0</v>
      </c>
      <c r="W260" s="185">
        <f t="shared" ca="1" si="188"/>
        <v>0</v>
      </c>
      <c r="X260" s="185">
        <f t="shared" ca="1" si="188"/>
        <v>0</v>
      </c>
      <c r="Y260" s="185">
        <f t="shared" ca="1" si="188"/>
        <v>0</v>
      </c>
      <c r="Z260" s="185">
        <f t="shared" ca="1" si="188"/>
        <v>0</v>
      </c>
      <c r="AA260" s="185">
        <f t="shared" ca="1" si="188"/>
        <v>0</v>
      </c>
      <c r="AB260" s="185">
        <f t="shared" ca="1" si="188"/>
        <v>0</v>
      </c>
      <c r="AC260" s="185">
        <f t="shared" ca="1" si="188"/>
        <v>0</v>
      </c>
      <c r="AD260" s="185">
        <f t="shared" ca="1" si="188"/>
        <v>0</v>
      </c>
      <c r="AE260" s="185">
        <f t="shared" ca="1" si="188"/>
        <v>0</v>
      </c>
      <c r="AF260" s="185">
        <f t="shared" ca="1" si="188"/>
        <v>0</v>
      </c>
      <c r="AG260" s="185">
        <f t="shared" ca="1" si="188"/>
        <v>0</v>
      </c>
      <c r="AH260" s="185">
        <f t="shared" ca="1" si="188"/>
        <v>0</v>
      </c>
      <c r="AI260" s="185">
        <f t="shared" ca="1" si="188"/>
        <v>0</v>
      </c>
      <c r="AJ260" s="185">
        <f t="shared" ca="1" si="188"/>
        <v>0</v>
      </c>
      <c r="AK260" s="185">
        <f t="shared" ca="1" si="188"/>
        <v>0</v>
      </c>
      <c r="AL260" s="185">
        <f t="shared" si="188"/>
        <v>0</v>
      </c>
      <c r="AM260" s="185">
        <f t="shared" si="188"/>
        <v>0</v>
      </c>
      <c r="AN260" s="185">
        <f t="shared" si="188"/>
        <v>0</v>
      </c>
      <c r="AO260" s="185">
        <f t="shared" si="188"/>
        <v>0</v>
      </c>
      <c r="AP260" s="185">
        <f t="shared" si="188"/>
        <v>0</v>
      </c>
      <c r="AQ260" s="185">
        <f t="shared" si="188"/>
        <v>0</v>
      </c>
      <c r="AR260" s="185">
        <f t="shared" si="188"/>
        <v>0</v>
      </c>
      <c r="AS260" s="185">
        <f t="shared" si="188"/>
        <v>0</v>
      </c>
      <c r="AT260" s="185">
        <f t="shared" si="188"/>
        <v>0</v>
      </c>
      <c r="AU260" s="185">
        <f t="shared" si="188"/>
        <v>0</v>
      </c>
    </row>
    <row r="261" spans="1:47">
      <c r="E261" s="36"/>
      <c r="G261" s="39"/>
      <c r="H261" s="39"/>
      <c r="I261" s="39"/>
      <c r="J261" s="39"/>
      <c r="K261" s="39"/>
    </row>
    <row r="262" spans="1:47">
      <c r="E262" s="327"/>
      <c r="F262" s="28"/>
      <c r="G262" s="324" t="str">
        <f>C264&amp;" Capital Costs"</f>
        <v>Energy Recovery Capital Costs</v>
      </c>
      <c r="H262" s="324"/>
      <c r="I262" s="324"/>
      <c r="J262" s="324"/>
      <c r="K262" s="324"/>
      <c r="L262" s="405" t="s">
        <v>79</v>
      </c>
      <c r="M262" s="256"/>
      <c r="N262" s="325" t="s">
        <v>490</v>
      </c>
      <c r="O262" s="311"/>
      <c r="P262" s="325" t="s">
        <v>491</v>
      </c>
      <c r="Q262" s="310"/>
      <c r="R262" s="325">
        <f>R$8</f>
        <v>2014</v>
      </c>
      <c r="S262" s="325">
        <f t="shared" ref="S262:AU262" si="189">S$8</f>
        <v>2015</v>
      </c>
      <c r="T262" s="325">
        <f t="shared" si="189"/>
        <v>2016</v>
      </c>
      <c r="U262" s="325">
        <f t="shared" si="189"/>
        <v>2017</v>
      </c>
      <c r="V262" s="325">
        <f t="shared" si="189"/>
        <v>2018</v>
      </c>
      <c r="W262" s="325">
        <f t="shared" si="189"/>
        <v>2019</v>
      </c>
      <c r="X262" s="325">
        <f t="shared" si="189"/>
        <v>2020</v>
      </c>
      <c r="Y262" s="325">
        <f t="shared" si="189"/>
        <v>2021</v>
      </c>
      <c r="Z262" s="325">
        <f t="shared" si="189"/>
        <v>2022</v>
      </c>
      <c r="AA262" s="325">
        <f t="shared" si="189"/>
        <v>2023</v>
      </c>
      <c r="AB262" s="325">
        <f t="shared" si="189"/>
        <v>2024</v>
      </c>
      <c r="AC262" s="325">
        <f t="shared" si="189"/>
        <v>2025</v>
      </c>
      <c r="AD262" s="325">
        <f t="shared" si="189"/>
        <v>2026</v>
      </c>
      <c r="AE262" s="325">
        <f t="shared" si="189"/>
        <v>2027</v>
      </c>
      <c r="AF262" s="325">
        <f t="shared" si="189"/>
        <v>2028</v>
      </c>
      <c r="AG262" s="325">
        <f t="shared" si="189"/>
        <v>2029</v>
      </c>
      <c r="AH262" s="325">
        <f t="shared" si="189"/>
        <v>2030</v>
      </c>
      <c r="AI262" s="325">
        <f t="shared" si="189"/>
        <v>2031</v>
      </c>
      <c r="AJ262" s="325">
        <f t="shared" si="189"/>
        <v>2032</v>
      </c>
      <c r="AK262" s="325">
        <f t="shared" si="189"/>
        <v>2033</v>
      </c>
      <c r="AL262" s="325">
        <f t="shared" si="189"/>
        <v>2034</v>
      </c>
      <c r="AM262" s="325">
        <f t="shared" si="189"/>
        <v>2035</v>
      </c>
      <c r="AN262" s="325">
        <f t="shared" si="189"/>
        <v>2036</v>
      </c>
      <c r="AO262" s="325">
        <f t="shared" si="189"/>
        <v>2037</v>
      </c>
      <c r="AP262" s="325">
        <f t="shared" si="189"/>
        <v>2038</v>
      </c>
      <c r="AQ262" s="325">
        <f t="shared" si="189"/>
        <v>2039</v>
      </c>
      <c r="AR262" s="325">
        <f t="shared" si="189"/>
        <v>2040</v>
      </c>
      <c r="AS262" s="325">
        <f t="shared" si="189"/>
        <v>2041</v>
      </c>
      <c r="AT262" s="325">
        <f t="shared" si="189"/>
        <v>2042</v>
      </c>
      <c r="AU262" s="325">
        <f t="shared" si="189"/>
        <v>2043</v>
      </c>
    </row>
    <row r="263" spans="1:47">
      <c r="E263" s="325"/>
      <c r="G263" s="39"/>
      <c r="H263" s="39"/>
      <c r="I263" s="39"/>
      <c r="J263" s="39"/>
      <c r="K263" s="39"/>
    </row>
    <row r="264" spans="1:47">
      <c r="A264" s="38" t="str">
        <f>$J$4&amp;"-"</f>
        <v>1X-</v>
      </c>
      <c r="B264" s="38" t="s">
        <v>306</v>
      </c>
      <c r="C264" s="38" t="s">
        <v>321</v>
      </c>
      <c r="D264" s="186">
        <f>CapExEsc</f>
        <v>0.03</v>
      </c>
      <c r="E264" s="325"/>
      <c r="G264" s="36" t="s">
        <v>8</v>
      </c>
      <c r="H264" s="39"/>
      <c r="I264" s="39"/>
      <c r="J264" s="70"/>
      <c r="K264" s="39"/>
      <c r="L264" s="43" t="str">
        <f>"["&amp;CostBaseYr&amp;" $]"</f>
        <v>[2013 $]</v>
      </c>
      <c r="N264" s="52">
        <f ca="1">SUMIFS(OFFSET(Assumptions!$I$65,0,MATCH($A264,Configurations,0)-1,COUNT(Assumptions!$A$65:$A$84),1),Assumptions!$E$65:$E$84,$C264)</f>
        <v>0</v>
      </c>
      <c r="O264" s="52"/>
      <c r="P264" s="322"/>
      <c r="Q264" s="52"/>
      <c r="R264" s="52">
        <f t="shared" ref="R264:AU264" ca="1" si="190">R265*IF($P264=0,$N264,$P264)*(1+$D264)^(R$8-CostBaseYr)</f>
        <v>0</v>
      </c>
      <c r="S264" s="52">
        <f t="shared" ca="1" si="190"/>
        <v>0</v>
      </c>
      <c r="T264" s="52">
        <f t="shared" ca="1" si="190"/>
        <v>0</v>
      </c>
      <c r="U264" s="52">
        <f t="shared" ca="1" si="190"/>
        <v>0</v>
      </c>
      <c r="V264" s="52">
        <f t="shared" ca="1" si="190"/>
        <v>0</v>
      </c>
      <c r="W264" s="52">
        <f t="shared" ca="1" si="190"/>
        <v>0</v>
      </c>
      <c r="X264" s="52">
        <f t="shared" ca="1" si="190"/>
        <v>0</v>
      </c>
      <c r="Y264" s="52">
        <f t="shared" ca="1" si="190"/>
        <v>0</v>
      </c>
      <c r="Z264" s="52">
        <f t="shared" ca="1" si="190"/>
        <v>0</v>
      </c>
      <c r="AA264" s="52">
        <f t="shared" ca="1" si="190"/>
        <v>0</v>
      </c>
      <c r="AB264" s="52">
        <f t="shared" ca="1" si="190"/>
        <v>0</v>
      </c>
      <c r="AC264" s="52">
        <f t="shared" ca="1" si="190"/>
        <v>0</v>
      </c>
      <c r="AD264" s="52">
        <f t="shared" ca="1" si="190"/>
        <v>0</v>
      </c>
      <c r="AE264" s="52">
        <f t="shared" ca="1" si="190"/>
        <v>0</v>
      </c>
      <c r="AF264" s="52">
        <f t="shared" ca="1" si="190"/>
        <v>0</v>
      </c>
      <c r="AG264" s="52">
        <f t="shared" ca="1" si="190"/>
        <v>0</v>
      </c>
      <c r="AH264" s="52">
        <f t="shared" ca="1" si="190"/>
        <v>0</v>
      </c>
      <c r="AI264" s="52">
        <f t="shared" ca="1" si="190"/>
        <v>0</v>
      </c>
      <c r="AJ264" s="52">
        <f t="shared" ca="1" si="190"/>
        <v>0</v>
      </c>
      <c r="AK264" s="52">
        <f t="shared" ca="1" si="190"/>
        <v>0</v>
      </c>
      <c r="AL264" s="52">
        <f t="shared" ca="1" si="190"/>
        <v>0</v>
      </c>
      <c r="AM264" s="52">
        <f t="shared" ca="1" si="190"/>
        <v>0</v>
      </c>
      <c r="AN264" s="52">
        <f t="shared" ca="1" si="190"/>
        <v>0</v>
      </c>
      <c r="AO264" s="52">
        <f t="shared" ca="1" si="190"/>
        <v>0</v>
      </c>
      <c r="AP264" s="52">
        <f t="shared" ca="1" si="190"/>
        <v>0</v>
      </c>
      <c r="AQ264" s="52">
        <f t="shared" ca="1" si="190"/>
        <v>0</v>
      </c>
      <c r="AR264" s="52">
        <f t="shared" ca="1" si="190"/>
        <v>0</v>
      </c>
      <c r="AS264" s="52">
        <f t="shared" ca="1" si="190"/>
        <v>0</v>
      </c>
      <c r="AT264" s="52">
        <f t="shared" ca="1" si="190"/>
        <v>0</v>
      </c>
      <c r="AU264" s="52">
        <f t="shared" ca="1" si="190"/>
        <v>0</v>
      </c>
    </row>
    <row r="265" spans="1:47">
      <c r="E265" s="325"/>
      <c r="G265" s="36" t="s">
        <v>10</v>
      </c>
      <c r="H265" s="39"/>
      <c r="I265" s="39"/>
      <c r="J265" s="39"/>
      <c r="K265" s="39"/>
      <c r="L265" s="43"/>
      <c r="R265" s="54">
        <f>Assumptions!M$60</f>
        <v>1</v>
      </c>
      <c r="S265" s="54">
        <f>Assumptions!N$60</f>
        <v>0</v>
      </c>
      <c r="T265" s="54">
        <f>Assumptions!O$60</f>
        <v>0</v>
      </c>
      <c r="U265" s="54">
        <f>Assumptions!P$60</f>
        <v>0</v>
      </c>
      <c r="V265" s="54">
        <f>Assumptions!Q$60</f>
        <v>0</v>
      </c>
      <c r="W265" s="54">
        <f>Assumptions!R$60</f>
        <v>0</v>
      </c>
      <c r="X265" s="54">
        <f>Assumptions!S$60</f>
        <v>0</v>
      </c>
      <c r="Y265" s="54">
        <f>Assumptions!T$60</f>
        <v>0</v>
      </c>
      <c r="Z265" s="54">
        <f>Assumptions!U$60</f>
        <v>0</v>
      </c>
      <c r="AA265" s="54">
        <f>Assumptions!V$60</f>
        <v>0</v>
      </c>
      <c r="AB265" s="54">
        <f>Assumptions!W$60</f>
        <v>0</v>
      </c>
      <c r="AC265" s="54">
        <f>Assumptions!X$60</f>
        <v>0</v>
      </c>
      <c r="AD265" s="54">
        <f>Assumptions!Y$60</f>
        <v>0</v>
      </c>
      <c r="AE265" s="54">
        <f>Assumptions!Z$60</f>
        <v>0</v>
      </c>
      <c r="AF265" s="54">
        <f>Assumptions!AA$60</f>
        <v>0</v>
      </c>
      <c r="AG265" s="54">
        <f>Assumptions!AB$60</f>
        <v>0</v>
      </c>
      <c r="AH265" s="54">
        <f>Assumptions!AC$60</f>
        <v>0</v>
      </c>
      <c r="AI265" s="54">
        <f>Assumptions!AD$60</f>
        <v>0</v>
      </c>
      <c r="AJ265" s="54">
        <f>Assumptions!AE$60</f>
        <v>0</v>
      </c>
      <c r="AK265" s="54">
        <f>Assumptions!AF$60</f>
        <v>0</v>
      </c>
      <c r="AL265" s="54">
        <f>Assumptions!AG$60</f>
        <v>0</v>
      </c>
      <c r="AM265" s="54">
        <f>Assumptions!AH$60</f>
        <v>0</v>
      </c>
      <c r="AN265" s="54">
        <f>Assumptions!AI$60</f>
        <v>0</v>
      </c>
      <c r="AO265" s="54">
        <f>Assumptions!AJ$60</f>
        <v>0</v>
      </c>
      <c r="AP265" s="54">
        <f>Assumptions!AK$60</f>
        <v>0</v>
      </c>
      <c r="AQ265" s="54">
        <f>Assumptions!AL$60</f>
        <v>0</v>
      </c>
      <c r="AR265" s="54">
        <f>Assumptions!AM$60</f>
        <v>0</v>
      </c>
      <c r="AS265" s="54">
        <f>Assumptions!AN$60</f>
        <v>0</v>
      </c>
      <c r="AT265" s="54">
        <f>Assumptions!AO$60</f>
        <v>0</v>
      </c>
      <c r="AU265" s="54">
        <f>Assumptions!AP$60</f>
        <v>0</v>
      </c>
    </row>
    <row r="266" spans="1:47">
      <c r="E266" s="326"/>
      <c r="G266" s="39"/>
      <c r="H266" s="39"/>
      <c r="I266" s="39"/>
      <c r="J266" s="39"/>
      <c r="K266" s="39"/>
    </row>
    <row r="267" spans="1:47">
      <c r="E267" s="327"/>
      <c r="F267" s="28"/>
      <c r="G267" s="324" t="str">
        <f>C264&amp;" O&amp;M"</f>
        <v>Energy Recovery O&amp;M</v>
      </c>
      <c r="H267" s="324"/>
      <c r="I267" s="324"/>
      <c r="J267" s="324"/>
      <c r="K267" s="324"/>
      <c r="L267" s="405" t="s">
        <v>79</v>
      </c>
      <c r="M267" s="256"/>
      <c r="N267" s="325" t="s">
        <v>490</v>
      </c>
      <c r="O267" s="311"/>
      <c r="P267" s="325" t="s">
        <v>491</v>
      </c>
      <c r="Q267" s="310"/>
      <c r="R267" s="325">
        <f>R$8</f>
        <v>2014</v>
      </c>
      <c r="S267" s="325">
        <f t="shared" ref="S267:AU267" si="191">S$8</f>
        <v>2015</v>
      </c>
      <c r="T267" s="325">
        <f t="shared" si="191"/>
        <v>2016</v>
      </c>
      <c r="U267" s="325">
        <f t="shared" si="191"/>
        <v>2017</v>
      </c>
      <c r="V267" s="325">
        <f t="shared" si="191"/>
        <v>2018</v>
      </c>
      <c r="W267" s="325">
        <f t="shared" si="191"/>
        <v>2019</v>
      </c>
      <c r="X267" s="325">
        <f t="shared" si="191"/>
        <v>2020</v>
      </c>
      <c r="Y267" s="325">
        <f t="shared" si="191"/>
        <v>2021</v>
      </c>
      <c r="Z267" s="325">
        <f t="shared" si="191"/>
        <v>2022</v>
      </c>
      <c r="AA267" s="325">
        <f t="shared" si="191"/>
        <v>2023</v>
      </c>
      <c r="AB267" s="325">
        <f t="shared" si="191"/>
        <v>2024</v>
      </c>
      <c r="AC267" s="325">
        <f t="shared" si="191"/>
        <v>2025</v>
      </c>
      <c r="AD267" s="325">
        <f t="shared" si="191"/>
        <v>2026</v>
      </c>
      <c r="AE267" s="325">
        <f t="shared" si="191"/>
        <v>2027</v>
      </c>
      <c r="AF267" s="325">
        <f t="shared" si="191"/>
        <v>2028</v>
      </c>
      <c r="AG267" s="325">
        <f t="shared" si="191"/>
        <v>2029</v>
      </c>
      <c r="AH267" s="325">
        <f t="shared" si="191"/>
        <v>2030</v>
      </c>
      <c r="AI267" s="325">
        <f t="shared" si="191"/>
        <v>2031</v>
      </c>
      <c r="AJ267" s="325">
        <f t="shared" si="191"/>
        <v>2032</v>
      </c>
      <c r="AK267" s="325">
        <f t="shared" si="191"/>
        <v>2033</v>
      </c>
      <c r="AL267" s="325">
        <f t="shared" si="191"/>
        <v>2034</v>
      </c>
      <c r="AM267" s="325">
        <f t="shared" si="191"/>
        <v>2035</v>
      </c>
      <c r="AN267" s="325">
        <f t="shared" si="191"/>
        <v>2036</v>
      </c>
      <c r="AO267" s="325">
        <f t="shared" si="191"/>
        <v>2037</v>
      </c>
      <c r="AP267" s="325">
        <f t="shared" si="191"/>
        <v>2038</v>
      </c>
      <c r="AQ267" s="325">
        <f t="shared" si="191"/>
        <v>2039</v>
      </c>
      <c r="AR267" s="325">
        <f t="shared" si="191"/>
        <v>2040</v>
      </c>
      <c r="AS267" s="325">
        <f t="shared" si="191"/>
        <v>2041</v>
      </c>
      <c r="AT267" s="325">
        <f t="shared" si="191"/>
        <v>2042</v>
      </c>
      <c r="AU267" s="325">
        <f t="shared" si="191"/>
        <v>2043</v>
      </c>
    </row>
    <row r="268" spans="1:47">
      <c r="E268" s="325"/>
      <c r="G268" s="39"/>
      <c r="H268" s="39"/>
      <c r="I268" s="39"/>
      <c r="J268" s="39"/>
      <c r="K268" s="39"/>
    </row>
    <row r="269" spans="1:47">
      <c r="E269" s="325"/>
      <c r="G269" s="39" t="s">
        <v>23</v>
      </c>
      <c r="H269" s="39"/>
      <c r="I269" s="39"/>
      <c r="J269" s="39"/>
      <c r="K269" s="39"/>
    </row>
    <row r="270" spans="1:47">
      <c r="A270" s="38" t="str">
        <f t="shared" ref="A270:A277" si="192">$J$4&amp;"-"</f>
        <v>1X-</v>
      </c>
      <c r="B270" s="38" t="s">
        <v>262</v>
      </c>
      <c r="C270" s="38" t="str">
        <f>C264</f>
        <v>Energy Recovery</v>
      </c>
      <c r="D270" s="186">
        <f>LaborEsc</f>
        <v>0.02</v>
      </c>
      <c r="E270" s="325"/>
      <c r="G270" s="36" t="s">
        <v>125</v>
      </c>
      <c r="I270" s="39"/>
      <c r="K270" s="39"/>
      <c r="L270" s="43" t="s">
        <v>266</v>
      </c>
      <c r="N270" s="70">
        <f ca="1">SUMIFS(OFFSET(Assumptions!$I$90,0,MATCH($A270,Configurations,0)-1,COUNT(Assumptions!$A$90:$A$183),1),Assumptions!$D$90:$D$183,$B270&amp;$C270)</f>
        <v>0</v>
      </c>
      <c r="O270" s="313"/>
      <c r="P270" s="323"/>
      <c r="Q270" s="313"/>
      <c r="R270" s="50">
        <f t="shared" ref="R270:AU270" ca="1" si="193">IF(OR(R$99&lt;InServiceYr,R$99&gt;(InServiceYr+analysis_period-1)),0,IF($P270=0,$N270,$P270)*LaborCost*(1+$D270)^(R$99-CostBaseYr))</f>
        <v>0</v>
      </c>
      <c r="S270" s="50">
        <f t="shared" ca="1" si="193"/>
        <v>0</v>
      </c>
      <c r="T270" s="50">
        <f t="shared" ca="1" si="193"/>
        <v>0</v>
      </c>
      <c r="U270" s="50">
        <f t="shared" ca="1" si="193"/>
        <v>0</v>
      </c>
      <c r="V270" s="50">
        <f t="shared" ca="1" si="193"/>
        <v>0</v>
      </c>
      <c r="W270" s="50">
        <f t="shared" ca="1" si="193"/>
        <v>0</v>
      </c>
      <c r="X270" s="50">
        <f t="shared" ca="1" si="193"/>
        <v>0</v>
      </c>
      <c r="Y270" s="50">
        <f t="shared" ca="1" si="193"/>
        <v>0</v>
      </c>
      <c r="Z270" s="50">
        <f t="shared" ca="1" si="193"/>
        <v>0</v>
      </c>
      <c r="AA270" s="50">
        <f t="shared" ca="1" si="193"/>
        <v>0</v>
      </c>
      <c r="AB270" s="50">
        <f t="shared" ca="1" si="193"/>
        <v>0</v>
      </c>
      <c r="AC270" s="50">
        <f t="shared" ca="1" si="193"/>
        <v>0</v>
      </c>
      <c r="AD270" s="50">
        <f t="shared" ca="1" si="193"/>
        <v>0</v>
      </c>
      <c r="AE270" s="50">
        <f t="shared" ca="1" si="193"/>
        <v>0</v>
      </c>
      <c r="AF270" s="50">
        <f t="shared" ca="1" si="193"/>
        <v>0</v>
      </c>
      <c r="AG270" s="50">
        <f t="shared" ca="1" si="193"/>
        <v>0</v>
      </c>
      <c r="AH270" s="50">
        <f t="shared" ca="1" si="193"/>
        <v>0</v>
      </c>
      <c r="AI270" s="50">
        <f t="shared" ca="1" si="193"/>
        <v>0</v>
      </c>
      <c r="AJ270" s="50">
        <f t="shared" ca="1" si="193"/>
        <v>0</v>
      </c>
      <c r="AK270" s="50">
        <f t="shared" ca="1" si="193"/>
        <v>0</v>
      </c>
      <c r="AL270" s="50">
        <f t="shared" si="193"/>
        <v>0</v>
      </c>
      <c r="AM270" s="50">
        <f t="shared" si="193"/>
        <v>0</v>
      </c>
      <c r="AN270" s="50">
        <f t="shared" si="193"/>
        <v>0</v>
      </c>
      <c r="AO270" s="50">
        <f t="shared" si="193"/>
        <v>0</v>
      </c>
      <c r="AP270" s="50">
        <f t="shared" si="193"/>
        <v>0</v>
      </c>
      <c r="AQ270" s="50">
        <f t="shared" si="193"/>
        <v>0</v>
      </c>
      <c r="AR270" s="50">
        <f t="shared" si="193"/>
        <v>0</v>
      </c>
      <c r="AS270" s="50">
        <f t="shared" si="193"/>
        <v>0</v>
      </c>
      <c r="AT270" s="50">
        <f t="shared" si="193"/>
        <v>0</v>
      </c>
      <c r="AU270" s="50">
        <f t="shared" si="193"/>
        <v>0</v>
      </c>
    </row>
    <row r="271" spans="1:47">
      <c r="A271" s="38" t="str">
        <f t="shared" si="192"/>
        <v>1X-</v>
      </c>
      <c r="B271" s="38" t="s">
        <v>270</v>
      </c>
      <c r="C271" s="38" t="str">
        <f>C270</f>
        <v>Energy Recovery</v>
      </c>
      <c r="D271" s="186">
        <f>OMEsc</f>
        <v>0.02</v>
      </c>
      <c r="E271" s="325"/>
      <c r="G271" s="36" t="s">
        <v>126</v>
      </c>
      <c r="I271" s="39"/>
      <c r="K271" s="39"/>
      <c r="L271" s="43" t="str">
        <f>"["&amp;CostBaseYr&amp;" $]"</f>
        <v>[2013 $]</v>
      </c>
      <c r="N271" s="70">
        <f ca="1">SUMIFS(OFFSET(Assumptions!$I$90,0,MATCH($A271,Configurations,0)-1,COUNT(Assumptions!$A$90:$A$183),1),Assumptions!$D$90:$D$183,$B271&amp;$C271)</f>
        <v>0</v>
      </c>
      <c r="O271" s="313"/>
      <c r="P271" s="323"/>
      <c r="Q271" s="313"/>
      <c r="R271" s="50">
        <f t="shared" ref="R271:AG273" ca="1" si="194">IF(OR(R$99&lt;InServiceYr,R$99&gt;(InServiceYr+analysis_period-1)),0,IF($P271=0,$N271,$P271)*(1+$D271)^(R$99-CostBaseYr))</f>
        <v>0</v>
      </c>
      <c r="S271" s="50">
        <f t="shared" ca="1" si="194"/>
        <v>0</v>
      </c>
      <c r="T271" s="50">
        <f t="shared" ca="1" si="194"/>
        <v>0</v>
      </c>
      <c r="U271" s="50">
        <f t="shared" ca="1" si="194"/>
        <v>0</v>
      </c>
      <c r="V271" s="50">
        <f t="shared" ca="1" si="194"/>
        <v>0</v>
      </c>
      <c r="W271" s="50">
        <f t="shared" ca="1" si="194"/>
        <v>0</v>
      </c>
      <c r="X271" s="50">
        <f t="shared" ca="1" si="194"/>
        <v>0</v>
      </c>
      <c r="Y271" s="50">
        <f t="shared" ca="1" si="194"/>
        <v>0</v>
      </c>
      <c r="Z271" s="50">
        <f t="shared" ca="1" si="194"/>
        <v>0</v>
      </c>
      <c r="AA271" s="50">
        <f t="shared" ca="1" si="194"/>
        <v>0</v>
      </c>
      <c r="AB271" s="50">
        <f t="shared" ca="1" si="194"/>
        <v>0</v>
      </c>
      <c r="AC271" s="50">
        <f t="shared" ca="1" si="194"/>
        <v>0</v>
      </c>
      <c r="AD271" s="50">
        <f t="shared" ca="1" si="194"/>
        <v>0</v>
      </c>
      <c r="AE271" s="50">
        <f t="shared" ca="1" si="194"/>
        <v>0</v>
      </c>
      <c r="AF271" s="50">
        <f t="shared" ca="1" si="194"/>
        <v>0</v>
      </c>
      <c r="AG271" s="50">
        <f t="shared" ca="1" si="194"/>
        <v>0</v>
      </c>
      <c r="AH271" s="50">
        <f t="shared" ref="S271:AU273" ca="1" si="195">IF(OR(AH$99&lt;InServiceYr,AH$99&gt;(InServiceYr+analysis_period-1)),0,IF($P271=0,$N271,$P271)*(1+$D271)^(AH$99-CostBaseYr))</f>
        <v>0</v>
      </c>
      <c r="AI271" s="50">
        <f t="shared" ca="1" si="195"/>
        <v>0</v>
      </c>
      <c r="AJ271" s="50">
        <f t="shared" ca="1" si="195"/>
        <v>0</v>
      </c>
      <c r="AK271" s="50">
        <f t="shared" ca="1" si="195"/>
        <v>0</v>
      </c>
      <c r="AL271" s="50">
        <f t="shared" si="195"/>
        <v>0</v>
      </c>
      <c r="AM271" s="50">
        <f t="shared" si="195"/>
        <v>0</v>
      </c>
      <c r="AN271" s="50">
        <f t="shared" si="195"/>
        <v>0</v>
      </c>
      <c r="AO271" s="50">
        <f t="shared" si="195"/>
        <v>0</v>
      </c>
      <c r="AP271" s="50">
        <f t="shared" si="195"/>
        <v>0</v>
      </c>
      <c r="AQ271" s="50">
        <f t="shared" si="195"/>
        <v>0</v>
      </c>
      <c r="AR271" s="50">
        <f t="shared" si="195"/>
        <v>0</v>
      </c>
      <c r="AS271" s="50">
        <f t="shared" si="195"/>
        <v>0</v>
      </c>
      <c r="AT271" s="50">
        <f t="shared" si="195"/>
        <v>0</v>
      </c>
      <c r="AU271" s="50">
        <f t="shared" si="195"/>
        <v>0</v>
      </c>
    </row>
    <row r="272" spans="1:47">
      <c r="A272" s="38" t="str">
        <f t="shared" si="192"/>
        <v>1X-</v>
      </c>
      <c r="B272" s="38" t="s">
        <v>263</v>
      </c>
      <c r="C272" s="38" t="str">
        <f t="shared" ref="C272:C276" si="196">C271</f>
        <v>Energy Recovery</v>
      </c>
      <c r="D272" s="186">
        <f>OMEsc</f>
        <v>0.02</v>
      </c>
      <c r="E272" s="325"/>
      <c r="G272" s="36" t="s">
        <v>127</v>
      </c>
      <c r="I272" s="39"/>
      <c r="K272" s="39"/>
      <c r="L272" s="43" t="str">
        <f>"["&amp;CostBaseYr&amp;" $]"</f>
        <v>[2013 $]</v>
      </c>
      <c r="N272" s="70">
        <f ca="1">SUMIFS(OFFSET(Assumptions!$I$90,0,MATCH($A272,Configurations,0)-1,COUNT(Assumptions!$A$90:$A$183),1),Assumptions!$D$90:$D$183,$B272&amp;$C272)</f>
        <v>0</v>
      </c>
      <c r="O272" s="313"/>
      <c r="P272" s="323"/>
      <c r="Q272" s="313"/>
      <c r="R272" s="50">
        <f t="shared" ca="1" si="194"/>
        <v>0</v>
      </c>
      <c r="S272" s="50">
        <f t="shared" ca="1" si="195"/>
        <v>0</v>
      </c>
      <c r="T272" s="50">
        <f t="shared" ca="1" si="195"/>
        <v>0</v>
      </c>
      <c r="U272" s="50">
        <f t="shared" ca="1" si="195"/>
        <v>0</v>
      </c>
      <c r="V272" s="50">
        <f t="shared" ca="1" si="195"/>
        <v>0</v>
      </c>
      <c r="W272" s="50">
        <f t="shared" ca="1" si="195"/>
        <v>0</v>
      </c>
      <c r="X272" s="50">
        <f t="shared" ca="1" si="195"/>
        <v>0</v>
      </c>
      <c r="Y272" s="50">
        <f t="shared" ca="1" si="195"/>
        <v>0</v>
      </c>
      <c r="Z272" s="50">
        <f t="shared" ca="1" si="195"/>
        <v>0</v>
      </c>
      <c r="AA272" s="50">
        <f t="shared" ca="1" si="195"/>
        <v>0</v>
      </c>
      <c r="AB272" s="50">
        <f t="shared" ca="1" si="195"/>
        <v>0</v>
      </c>
      <c r="AC272" s="50">
        <f t="shared" ca="1" si="195"/>
        <v>0</v>
      </c>
      <c r="AD272" s="50">
        <f t="shared" ca="1" si="195"/>
        <v>0</v>
      </c>
      <c r="AE272" s="50">
        <f t="shared" ca="1" si="195"/>
        <v>0</v>
      </c>
      <c r="AF272" s="50">
        <f t="shared" ca="1" si="195"/>
        <v>0</v>
      </c>
      <c r="AG272" s="50">
        <f t="shared" ca="1" si="195"/>
        <v>0</v>
      </c>
      <c r="AH272" s="50">
        <f t="shared" ca="1" si="195"/>
        <v>0</v>
      </c>
      <c r="AI272" s="50">
        <f t="shared" ca="1" si="195"/>
        <v>0</v>
      </c>
      <c r="AJ272" s="50">
        <f t="shared" ca="1" si="195"/>
        <v>0</v>
      </c>
      <c r="AK272" s="50">
        <f t="shared" ca="1" si="195"/>
        <v>0</v>
      </c>
      <c r="AL272" s="50">
        <f t="shared" si="195"/>
        <v>0</v>
      </c>
      <c r="AM272" s="50">
        <f t="shared" si="195"/>
        <v>0</v>
      </c>
      <c r="AN272" s="50">
        <f t="shared" si="195"/>
        <v>0</v>
      </c>
      <c r="AO272" s="50">
        <f t="shared" si="195"/>
        <v>0</v>
      </c>
      <c r="AP272" s="50">
        <f t="shared" si="195"/>
        <v>0</v>
      </c>
      <c r="AQ272" s="50">
        <f t="shared" si="195"/>
        <v>0</v>
      </c>
      <c r="AR272" s="50">
        <f t="shared" si="195"/>
        <v>0</v>
      </c>
      <c r="AS272" s="50">
        <f t="shared" si="195"/>
        <v>0</v>
      </c>
      <c r="AT272" s="50">
        <f t="shared" si="195"/>
        <v>0</v>
      </c>
      <c r="AU272" s="50">
        <f t="shared" si="195"/>
        <v>0</v>
      </c>
    </row>
    <row r="273" spans="1:47">
      <c r="A273" s="38" t="str">
        <f t="shared" si="192"/>
        <v>1X-</v>
      </c>
      <c r="B273" s="38" t="s">
        <v>277</v>
      </c>
      <c r="C273" s="38" t="str">
        <f t="shared" si="196"/>
        <v>Energy Recovery</v>
      </c>
      <c r="D273" s="186">
        <f>OMEsc</f>
        <v>0.02</v>
      </c>
      <c r="E273" s="325"/>
      <c r="G273" s="36" t="s">
        <v>276</v>
      </c>
      <c r="I273" s="39"/>
      <c r="K273" s="39"/>
      <c r="L273" s="43" t="str">
        <f>"["&amp;CostBaseYr&amp;" $]"</f>
        <v>[2013 $]</v>
      </c>
      <c r="N273" s="70">
        <f ca="1">SUMIFS(OFFSET(Assumptions!$I$90,0,MATCH($A273,Configurations,0)-1,COUNT(Assumptions!$A$90:$A$183),1),Assumptions!$D$90:$D$183,$B273&amp;$C273)</f>
        <v>0</v>
      </c>
      <c r="O273" s="313"/>
      <c r="P273" s="323"/>
      <c r="Q273" s="313"/>
      <c r="R273" s="50">
        <f t="shared" ca="1" si="194"/>
        <v>0</v>
      </c>
      <c r="S273" s="50">
        <f t="shared" ca="1" si="195"/>
        <v>0</v>
      </c>
      <c r="T273" s="50">
        <f t="shared" ca="1" si="195"/>
        <v>0</v>
      </c>
      <c r="U273" s="50">
        <f t="shared" ca="1" si="195"/>
        <v>0</v>
      </c>
      <c r="V273" s="50">
        <f t="shared" ca="1" si="195"/>
        <v>0</v>
      </c>
      <c r="W273" s="50">
        <f t="shared" ca="1" si="195"/>
        <v>0</v>
      </c>
      <c r="X273" s="50">
        <f t="shared" ca="1" si="195"/>
        <v>0</v>
      </c>
      <c r="Y273" s="50">
        <f t="shared" ca="1" si="195"/>
        <v>0</v>
      </c>
      <c r="Z273" s="50">
        <f t="shared" ca="1" si="195"/>
        <v>0</v>
      </c>
      <c r="AA273" s="50">
        <f t="shared" ca="1" si="195"/>
        <v>0</v>
      </c>
      <c r="AB273" s="50">
        <f t="shared" ca="1" si="195"/>
        <v>0</v>
      </c>
      <c r="AC273" s="50">
        <f t="shared" ca="1" si="195"/>
        <v>0</v>
      </c>
      <c r="AD273" s="50">
        <f t="shared" ca="1" si="195"/>
        <v>0</v>
      </c>
      <c r="AE273" s="50">
        <f t="shared" ca="1" si="195"/>
        <v>0</v>
      </c>
      <c r="AF273" s="50">
        <f t="shared" ca="1" si="195"/>
        <v>0</v>
      </c>
      <c r="AG273" s="50">
        <f t="shared" ca="1" si="195"/>
        <v>0</v>
      </c>
      <c r="AH273" s="50">
        <f t="shared" ca="1" si="195"/>
        <v>0</v>
      </c>
      <c r="AI273" s="50">
        <f t="shared" ca="1" si="195"/>
        <v>0</v>
      </c>
      <c r="AJ273" s="50">
        <f t="shared" ca="1" si="195"/>
        <v>0</v>
      </c>
      <c r="AK273" s="50">
        <f t="shared" ca="1" si="195"/>
        <v>0</v>
      </c>
      <c r="AL273" s="50">
        <f t="shared" si="195"/>
        <v>0</v>
      </c>
      <c r="AM273" s="50">
        <f t="shared" si="195"/>
        <v>0</v>
      </c>
      <c r="AN273" s="50">
        <f t="shared" si="195"/>
        <v>0</v>
      </c>
      <c r="AO273" s="50">
        <f t="shared" si="195"/>
        <v>0</v>
      </c>
      <c r="AP273" s="50">
        <f t="shared" si="195"/>
        <v>0</v>
      </c>
      <c r="AQ273" s="50">
        <f t="shared" si="195"/>
        <v>0</v>
      </c>
      <c r="AR273" s="50">
        <f t="shared" si="195"/>
        <v>0</v>
      </c>
      <c r="AS273" s="50">
        <f t="shared" si="195"/>
        <v>0</v>
      </c>
      <c r="AT273" s="50">
        <f t="shared" si="195"/>
        <v>0</v>
      </c>
      <c r="AU273" s="50">
        <f t="shared" si="195"/>
        <v>0</v>
      </c>
    </row>
    <row r="274" spans="1:47">
      <c r="A274" s="38" t="str">
        <f t="shared" si="192"/>
        <v>1X-</v>
      </c>
      <c r="B274" s="38" t="s">
        <v>274</v>
      </c>
      <c r="C274" s="38" t="str">
        <f t="shared" si="196"/>
        <v>Energy Recovery</v>
      </c>
      <c r="D274" s="186"/>
      <c r="E274" s="325"/>
      <c r="G274" s="36" t="s">
        <v>16</v>
      </c>
      <c r="I274" s="39"/>
      <c r="K274" s="39"/>
      <c r="L274" s="43" t="s">
        <v>275</v>
      </c>
      <c r="N274" s="70">
        <f ca="1">SUMIFS(OFFSET(Assumptions!$I$90,0,MATCH($A274,Configurations,0)-1,COUNT(Assumptions!$A$90:$A$183),1),Assumptions!$D$90:$D$183,$B274&amp;$C274)</f>
        <v>0</v>
      </c>
      <c r="O274" s="313"/>
      <c r="P274" s="323"/>
      <c r="Q274" s="313"/>
      <c r="R274" s="50">
        <f t="shared" ref="R274:AU274" ca="1" si="197">IF(OR(R$99&lt;InServiceYr,R$99&gt;(InServiceYr+analysis_period-1)),0,IF($P274=0,$N274,$P274)*R$505)</f>
        <v>0</v>
      </c>
      <c r="S274" s="50">
        <f t="shared" ca="1" si="197"/>
        <v>0</v>
      </c>
      <c r="T274" s="50">
        <f t="shared" ca="1" si="197"/>
        <v>0</v>
      </c>
      <c r="U274" s="50">
        <f t="shared" ca="1" si="197"/>
        <v>0</v>
      </c>
      <c r="V274" s="50">
        <f t="shared" ca="1" si="197"/>
        <v>0</v>
      </c>
      <c r="W274" s="50">
        <f t="shared" ca="1" si="197"/>
        <v>0</v>
      </c>
      <c r="X274" s="50">
        <f t="shared" ca="1" si="197"/>
        <v>0</v>
      </c>
      <c r="Y274" s="50">
        <f t="shared" ca="1" si="197"/>
        <v>0</v>
      </c>
      <c r="Z274" s="50">
        <f t="shared" ca="1" si="197"/>
        <v>0</v>
      </c>
      <c r="AA274" s="50">
        <f t="shared" ca="1" si="197"/>
        <v>0</v>
      </c>
      <c r="AB274" s="50">
        <f t="shared" ca="1" si="197"/>
        <v>0</v>
      </c>
      <c r="AC274" s="50">
        <f t="shared" ca="1" si="197"/>
        <v>0</v>
      </c>
      <c r="AD274" s="50">
        <f t="shared" ca="1" si="197"/>
        <v>0</v>
      </c>
      <c r="AE274" s="50">
        <f t="shared" ca="1" si="197"/>
        <v>0</v>
      </c>
      <c r="AF274" s="50">
        <f t="shared" ca="1" si="197"/>
        <v>0</v>
      </c>
      <c r="AG274" s="50">
        <f t="shared" ca="1" si="197"/>
        <v>0</v>
      </c>
      <c r="AH274" s="50">
        <f t="shared" ca="1" si="197"/>
        <v>0</v>
      </c>
      <c r="AI274" s="50">
        <f t="shared" ca="1" si="197"/>
        <v>0</v>
      </c>
      <c r="AJ274" s="50">
        <f t="shared" ca="1" si="197"/>
        <v>0</v>
      </c>
      <c r="AK274" s="50">
        <f t="shared" ca="1" si="197"/>
        <v>0</v>
      </c>
      <c r="AL274" s="50">
        <f t="shared" si="197"/>
        <v>0</v>
      </c>
      <c r="AM274" s="50">
        <f t="shared" si="197"/>
        <v>0</v>
      </c>
      <c r="AN274" s="50">
        <f t="shared" si="197"/>
        <v>0</v>
      </c>
      <c r="AO274" s="50">
        <f t="shared" si="197"/>
        <v>0</v>
      </c>
      <c r="AP274" s="50">
        <f t="shared" si="197"/>
        <v>0</v>
      </c>
      <c r="AQ274" s="50">
        <f t="shared" si="197"/>
        <v>0</v>
      </c>
      <c r="AR274" s="50">
        <f t="shared" si="197"/>
        <v>0</v>
      </c>
      <c r="AS274" s="50">
        <f t="shared" si="197"/>
        <v>0</v>
      </c>
      <c r="AT274" s="50">
        <f t="shared" si="197"/>
        <v>0</v>
      </c>
      <c r="AU274" s="50">
        <f t="shared" si="197"/>
        <v>0</v>
      </c>
    </row>
    <row r="275" spans="1:47">
      <c r="A275" s="38" t="str">
        <f t="shared" si="192"/>
        <v>1X-</v>
      </c>
      <c r="B275" s="38" t="s">
        <v>257</v>
      </c>
      <c r="C275" s="38" t="str">
        <f t="shared" si="196"/>
        <v>Energy Recovery</v>
      </c>
      <c r="D275" s="186"/>
      <c r="E275" s="325"/>
      <c r="G275" s="36" t="s">
        <v>284</v>
      </c>
      <c r="I275" s="39"/>
      <c r="K275" s="39"/>
      <c r="L275" s="43" t="s">
        <v>293</v>
      </c>
      <c r="N275" s="70">
        <f ca="1">SUMIFS(OFFSET(Assumptions!$I$90,0,MATCH($A275,Configurations,0)-1,COUNT(Assumptions!$A$90:$A$183),1),Assumptions!$D$90:$D$183,$B275&amp;$C275)</f>
        <v>0</v>
      </c>
      <c r="O275" s="313"/>
      <c r="P275" s="323"/>
      <c r="Q275" s="313"/>
      <c r="R275" s="50">
        <f t="shared" ref="R275:AU275" ca="1" si="198">IF(OR(R$99&lt;InServiceYr,R$99&gt;(InServiceYr+analysis_period-1)),0,IF($P275=0,$N275,$P275)*R$501)</f>
        <v>0</v>
      </c>
      <c r="S275" s="50">
        <f t="shared" ca="1" si="198"/>
        <v>0</v>
      </c>
      <c r="T275" s="50">
        <f t="shared" ca="1" si="198"/>
        <v>0</v>
      </c>
      <c r="U275" s="50">
        <f t="shared" ca="1" si="198"/>
        <v>0</v>
      </c>
      <c r="V275" s="50">
        <f t="shared" ca="1" si="198"/>
        <v>0</v>
      </c>
      <c r="W275" s="50">
        <f t="shared" ca="1" si="198"/>
        <v>0</v>
      </c>
      <c r="X275" s="50">
        <f t="shared" ca="1" si="198"/>
        <v>0</v>
      </c>
      <c r="Y275" s="50">
        <f t="shared" ca="1" si="198"/>
        <v>0</v>
      </c>
      <c r="Z275" s="50">
        <f t="shared" ca="1" si="198"/>
        <v>0</v>
      </c>
      <c r="AA275" s="50">
        <f t="shared" ca="1" si="198"/>
        <v>0</v>
      </c>
      <c r="AB275" s="50">
        <f t="shared" ca="1" si="198"/>
        <v>0</v>
      </c>
      <c r="AC275" s="50">
        <f t="shared" ca="1" si="198"/>
        <v>0</v>
      </c>
      <c r="AD275" s="50">
        <f t="shared" ca="1" si="198"/>
        <v>0</v>
      </c>
      <c r="AE275" s="50">
        <f t="shared" ca="1" si="198"/>
        <v>0</v>
      </c>
      <c r="AF275" s="50">
        <f t="shared" ca="1" si="198"/>
        <v>0</v>
      </c>
      <c r="AG275" s="50">
        <f t="shared" ca="1" si="198"/>
        <v>0</v>
      </c>
      <c r="AH275" s="50">
        <f t="shared" ca="1" si="198"/>
        <v>0</v>
      </c>
      <c r="AI275" s="50">
        <f t="shared" ca="1" si="198"/>
        <v>0</v>
      </c>
      <c r="AJ275" s="50">
        <f t="shared" ca="1" si="198"/>
        <v>0</v>
      </c>
      <c r="AK275" s="50">
        <f t="shared" ca="1" si="198"/>
        <v>0</v>
      </c>
      <c r="AL275" s="50">
        <f t="shared" si="198"/>
        <v>0</v>
      </c>
      <c r="AM275" s="50">
        <f t="shared" si="198"/>
        <v>0</v>
      </c>
      <c r="AN275" s="50">
        <f t="shared" si="198"/>
        <v>0</v>
      </c>
      <c r="AO275" s="50">
        <f t="shared" si="198"/>
        <v>0</v>
      </c>
      <c r="AP275" s="50">
        <f t="shared" si="198"/>
        <v>0</v>
      </c>
      <c r="AQ275" s="50">
        <f t="shared" si="198"/>
        <v>0</v>
      </c>
      <c r="AR275" s="50">
        <f t="shared" si="198"/>
        <v>0</v>
      </c>
      <c r="AS275" s="50">
        <f t="shared" si="198"/>
        <v>0</v>
      </c>
      <c r="AT275" s="50">
        <f t="shared" si="198"/>
        <v>0</v>
      </c>
      <c r="AU275" s="50">
        <f t="shared" si="198"/>
        <v>0</v>
      </c>
    </row>
    <row r="276" spans="1:47">
      <c r="A276" s="38" t="str">
        <f t="shared" si="192"/>
        <v>1X-</v>
      </c>
      <c r="B276" s="38" t="s">
        <v>864</v>
      </c>
      <c r="C276" s="38" t="str">
        <f t="shared" si="196"/>
        <v>Energy Recovery</v>
      </c>
      <c r="D276" s="186">
        <f>GHGEsc</f>
        <v>0.02</v>
      </c>
      <c r="E276" s="325"/>
      <c r="G276" s="36" t="s">
        <v>865</v>
      </c>
      <c r="I276" s="39"/>
      <c r="K276" s="39"/>
      <c r="L276" s="43" t="s">
        <v>866</v>
      </c>
      <c r="N276" s="70">
        <f ca="1">SUMIFS(OFFSET(Assumptions!$I$90,0,MATCH($A276,Configurations,0)-1,COUNT(Assumptions!$A$90:$A$183),1),Assumptions!$D$90:$D$183,$B276&amp;$C276)</f>
        <v>0</v>
      </c>
      <c r="O276" s="313"/>
      <c r="P276" s="323"/>
      <c r="Q276" s="313"/>
      <c r="R276" s="50">
        <f t="shared" ref="R276:AU276" ca="1" si="199">IF(OR(R$99&lt;InServiceYr,R$99&gt;(InServiceYr+analysis_period-1)),0,IF($P276=0,$N276,$P276)*R$513)</f>
        <v>0</v>
      </c>
      <c r="S276" s="50">
        <f t="shared" ca="1" si="199"/>
        <v>0</v>
      </c>
      <c r="T276" s="50">
        <f t="shared" ca="1" si="199"/>
        <v>0</v>
      </c>
      <c r="U276" s="50">
        <f t="shared" ca="1" si="199"/>
        <v>0</v>
      </c>
      <c r="V276" s="50">
        <f t="shared" ca="1" si="199"/>
        <v>0</v>
      </c>
      <c r="W276" s="50">
        <f t="shared" ca="1" si="199"/>
        <v>0</v>
      </c>
      <c r="X276" s="50">
        <f t="shared" ca="1" si="199"/>
        <v>0</v>
      </c>
      <c r="Y276" s="50">
        <f t="shared" ca="1" si="199"/>
        <v>0</v>
      </c>
      <c r="Z276" s="50">
        <f t="shared" ca="1" si="199"/>
        <v>0</v>
      </c>
      <c r="AA276" s="50">
        <f t="shared" ca="1" si="199"/>
        <v>0</v>
      </c>
      <c r="AB276" s="50">
        <f t="shared" ca="1" si="199"/>
        <v>0</v>
      </c>
      <c r="AC276" s="50">
        <f t="shared" ca="1" si="199"/>
        <v>0</v>
      </c>
      <c r="AD276" s="50">
        <f t="shared" ca="1" si="199"/>
        <v>0</v>
      </c>
      <c r="AE276" s="50">
        <f t="shared" ca="1" si="199"/>
        <v>0</v>
      </c>
      <c r="AF276" s="50">
        <f t="shared" ca="1" si="199"/>
        <v>0</v>
      </c>
      <c r="AG276" s="50">
        <f t="shared" ca="1" si="199"/>
        <v>0</v>
      </c>
      <c r="AH276" s="50">
        <f t="shared" ca="1" si="199"/>
        <v>0</v>
      </c>
      <c r="AI276" s="50">
        <f t="shared" ca="1" si="199"/>
        <v>0</v>
      </c>
      <c r="AJ276" s="50">
        <f t="shared" ca="1" si="199"/>
        <v>0</v>
      </c>
      <c r="AK276" s="50">
        <f t="shared" ca="1" si="199"/>
        <v>0</v>
      </c>
      <c r="AL276" s="50">
        <f t="shared" si="199"/>
        <v>0</v>
      </c>
      <c r="AM276" s="50">
        <f t="shared" si="199"/>
        <v>0</v>
      </c>
      <c r="AN276" s="50">
        <f t="shared" si="199"/>
        <v>0</v>
      </c>
      <c r="AO276" s="50">
        <f t="shared" si="199"/>
        <v>0</v>
      </c>
      <c r="AP276" s="50">
        <f t="shared" si="199"/>
        <v>0</v>
      </c>
      <c r="AQ276" s="50">
        <f t="shared" si="199"/>
        <v>0</v>
      </c>
      <c r="AR276" s="50">
        <f t="shared" si="199"/>
        <v>0</v>
      </c>
      <c r="AS276" s="50">
        <f t="shared" si="199"/>
        <v>0</v>
      </c>
      <c r="AT276" s="50">
        <f t="shared" si="199"/>
        <v>0</v>
      </c>
      <c r="AU276" s="50">
        <f t="shared" si="199"/>
        <v>0</v>
      </c>
    </row>
    <row r="277" spans="1:47">
      <c r="A277" s="38" t="str">
        <f t="shared" si="192"/>
        <v>1X-</v>
      </c>
      <c r="B277" s="38" t="s">
        <v>273</v>
      </c>
      <c r="C277" s="38" t="str">
        <f>C275</f>
        <v>Energy Recovery</v>
      </c>
      <c r="D277" s="186">
        <f>LaborEsc</f>
        <v>0.02</v>
      </c>
      <c r="E277" s="325"/>
      <c r="G277" s="36" t="s">
        <v>291</v>
      </c>
      <c r="I277" s="39"/>
      <c r="K277" s="39"/>
      <c r="L277" s="43" t="str">
        <f>"["&amp;CostBaseYr&amp;" $]"</f>
        <v>[2013 $]</v>
      </c>
      <c r="N277" s="70">
        <f ca="1">SUMIFS(OFFSET(Assumptions!$I$90,0,MATCH($A277,Configurations,0)-1,COUNT(Assumptions!$A$90:$A$183),1),Assumptions!$D$90:$D$183,$B277&amp;$C277)</f>
        <v>0</v>
      </c>
      <c r="O277" s="313"/>
      <c r="P277" s="323"/>
      <c r="Q277" s="313"/>
      <c r="R277" s="50">
        <f t="shared" ref="R277:AU277" ca="1" si="200">IF(OR(R$99&lt;InServiceYr,R$99&gt;(InServiceYr+analysis_period-1)),0,IF($P277=0,$N277,$P277)*(1+$D277)^(R$99-CostBaseYr))*R$509</f>
        <v>0</v>
      </c>
      <c r="S277" s="50">
        <f t="shared" ca="1" si="200"/>
        <v>0</v>
      </c>
      <c r="T277" s="50">
        <f t="shared" ca="1" si="200"/>
        <v>0</v>
      </c>
      <c r="U277" s="50">
        <f t="shared" ca="1" si="200"/>
        <v>0</v>
      </c>
      <c r="V277" s="50">
        <f t="shared" ca="1" si="200"/>
        <v>0</v>
      </c>
      <c r="W277" s="50">
        <f t="shared" ca="1" si="200"/>
        <v>0</v>
      </c>
      <c r="X277" s="50">
        <f t="shared" ca="1" si="200"/>
        <v>0</v>
      </c>
      <c r="Y277" s="50">
        <f t="shared" ca="1" si="200"/>
        <v>0</v>
      </c>
      <c r="Z277" s="50">
        <f t="shared" ca="1" si="200"/>
        <v>0</v>
      </c>
      <c r="AA277" s="50">
        <f t="shared" ca="1" si="200"/>
        <v>0</v>
      </c>
      <c r="AB277" s="50">
        <f t="shared" ca="1" si="200"/>
        <v>0</v>
      </c>
      <c r="AC277" s="50">
        <f t="shared" ca="1" si="200"/>
        <v>0</v>
      </c>
      <c r="AD277" s="50">
        <f t="shared" ca="1" si="200"/>
        <v>0</v>
      </c>
      <c r="AE277" s="50">
        <f t="shared" ca="1" si="200"/>
        <v>0</v>
      </c>
      <c r="AF277" s="50">
        <f t="shared" ca="1" si="200"/>
        <v>0</v>
      </c>
      <c r="AG277" s="50">
        <f t="shared" ca="1" si="200"/>
        <v>0</v>
      </c>
      <c r="AH277" s="50">
        <f t="shared" ca="1" si="200"/>
        <v>0</v>
      </c>
      <c r="AI277" s="50">
        <f t="shared" ca="1" si="200"/>
        <v>0</v>
      </c>
      <c r="AJ277" s="50">
        <f t="shared" ca="1" si="200"/>
        <v>0</v>
      </c>
      <c r="AK277" s="50">
        <f t="shared" ca="1" si="200"/>
        <v>0</v>
      </c>
      <c r="AL277" s="50">
        <f t="shared" si="200"/>
        <v>0</v>
      </c>
      <c r="AM277" s="50">
        <f t="shared" si="200"/>
        <v>0</v>
      </c>
      <c r="AN277" s="50">
        <f t="shared" si="200"/>
        <v>0</v>
      </c>
      <c r="AO277" s="50">
        <f t="shared" si="200"/>
        <v>0</v>
      </c>
      <c r="AP277" s="50">
        <f t="shared" si="200"/>
        <v>0</v>
      </c>
      <c r="AQ277" s="50">
        <f t="shared" si="200"/>
        <v>0</v>
      </c>
      <c r="AR277" s="50">
        <f t="shared" si="200"/>
        <v>0</v>
      </c>
      <c r="AS277" s="50">
        <f t="shared" si="200"/>
        <v>0</v>
      </c>
      <c r="AT277" s="50">
        <f t="shared" si="200"/>
        <v>0</v>
      </c>
      <c r="AU277" s="50">
        <f t="shared" si="200"/>
        <v>0</v>
      </c>
    </row>
    <row r="278" spans="1:47">
      <c r="D278" s="186"/>
      <c r="E278" s="325"/>
      <c r="G278" s="39" t="s">
        <v>304</v>
      </c>
      <c r="I278" s="39"/>
      <c r="K278" s="39"/>
      <c r="L278" s="43"/>
      <c r="N278" s="70"/>
      <c r="O278" s="313"/>
      <c r="P278" s="70"/>
      <c r="Q278" s="313"/>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row>
    <row r="279" spans="1:47">
      <c r="A279" s="38" t="str">
        <f>$J$4&amp;"-"</f>
        <v>1X-</v>
      </c>
      <c r="B279" s="38" t="s">
        <v>265</v>
      </c>
      <c r="C279" s="38" t="str">
        <f>C270</f>
        <v>Energy Recovery</v>
      </c>
      <c r="D279" s="186"/>
      <c r="E279" s="325"/>
      <c r="G279" s="36" t="s">
        <v>108</v>
      </c>
      <c r="I279" s="39"/>
      <c r="K279" s="39"/>
      <c r="L279" s="43" t="s">
        <v>293</v>
      </c>
      <c r="N279" s="70">
        <f ca="1">SUMIFS(OFFSET(Assumptions!$I$90,0,MATCH($A279,Configurations,0)-1,COUNT(Assumptions!$A$90:$A$183),1),Assumptions!$D$90:$D$183,$B279&amp;$C279)</f>
        <v>0</v>
      </c>
      <c r="O279" s="313"/>
      <c r="P279" s="323"/>
      <c r="Q279" s="313"/>
      <c r="R279" s="50">
        <f t="shared" ref="R279:AU279" ca="1" si="201">IF(OR(R$99&lt;InServiceYr,R$99&gt;(InServiceYr+analysis_period-1)),0,IF($P279=0,$N279,$P279)*R$501)</f>
        <v>0</v>
      </c>
      <c r="S279" s="50">
        <f t="shared" ca="1" si="201"/>
        <v>0</v>
      </c>
      <c r="T279" s="50">
        <f t="shared" ca="1" si="201"/>
        <v>0</v>
      </c>
      <c r="U279" s="50">
        <f t="shared" ca="1" si="201"/>
        <v>0</v>
      </c>
      <c r="V279" s="50">
        <f t="shared" ca="1" si="201"/>
        <v>0</v>
      </c>
      <c r="W279" s="50">
        <f t="shared" ca="1" si="201"/>
        <v>0</v>
      </c>
      <c r="X279" s="50">
        <f t="shared" ca="1" si="201"/>
        <v>0</v>
      </c>
      <c r="Y279" s="50">
        <f t="shared" ca="1" si="201"/>
        <v>0</v>
      </c>
      <c r="Z279" s="50">
        <f t="shared" ca="1" si="201"/>
        <v>0</v>
      </c>
      <c r="AA279" s="50">
        <f t="shared" ca="1" si="201"/>
        <v>0</v>
      </c>
      <c r="AB279" s="50">
        <f t="shared" ca="1" si="201"/>
        <v>0</v>
      </c>
      <c r="AC279" s="50">
        <f t="shared" ca="1" si="201"/>
        <v>0</v>
      </c>
      <c r="AD279" s="50">
        <f t="shared" ca="1" si="201"/>
        <v>0</v>
      </c>
      <c r="AE279" s="50">
        <f t="shared" ca="1" si="201"/>
        <v>0</v>
      </c>
      <c r="AF279" s="50">
        <f t="shared" ca="1" si="201"/>
        <v>0</v>
      </c>
      <c r="AG279" s="50">
        <f t="shared" ca="1" si="201"/>
        <v>0</v>
      </c>
      <c r="AH279" s="50">
        <f t="shared" ca="1" si="201"/>
        <v>0</v>
      </c>
      <c r="AI279" s="50">
        <f t="shared" ca="1" si="201"/>
        <v>0</v>
      </c>
      <c r="AJ279" s="50">
        <f t="shared" ca="1" si="201"/>
        <v>0</v>
      </c>
      <c r="AK279" s="50">
        <f t="shared" ca="1" si="201"/>
        <v>0</v>
      </c>
      <c r="AL279" s="50">
        <f t="shared" si="201"/>
        <v>0</v>
      </c>
      <c r="AM279" s="50">
        <f t="shared" si="201"/>
        <v>0</v>
      </c>
      <c r="AN279" s="50">
        <f t="shared" si="201"/>
        <v>0</v>
      </c>
      <c r="AO279" s="50">
        <f t="shared" si="201"/>
        <v>0</v>
      </c>
      <c r="AP279" s="50">
        <f t="shared" si="201"/>
        <v>0</v>
      </c>
      <c r="AQ279" s="50">
        <f t="shared" si="201"/>
        <v>0</v>
      </c>
      <c r="AR279" s="50">
        <f t="shared" si="201"/>
        <v>0</v>
      </c>
      <c r="AS279" s="50">
        <f t="shared" si="201"/>
        <v>0</v>
      </c>
      <c r="AT279" s="50">
        <f t="shared" si="201"/>
        <v>0</v>
      </c>
      <c r="AU279" s="50">
        <f t="shared" si="201"/>
        <v>0</v>
      </c>
    </row>
    <row r="280" spans="1:47">
      <c r="A280" s="38" t="str">
        <f>$J$4&amp;"-"</f>
        <v>1X-</v>
      </c>
      <c r="B280" s="38" t="s">
        <v>289</v>
      </c>
      <c r="C280" s="38" t="str">
        <f>C270</f>
        <v>Energy Recovery</v>
      </c>
      <c r="D280" s="186">
        <f>LaborEsc</f>
        <v>0.02</v>
      </c>
      <c r="E280" s="325"/>
      <c r="G280" s="36" t="s">
        <v>292</v>
      </c>
      <c r="I280" s="39"/>
      <c r="K280" s="39"/>
      <c r="L280" s="43" t="str">
        <f>"["&amp;CostBaseYr&amp;" $]"</f>
        <v>[2013 $]</v>
      </c>
      <c r="N280" s="70">
        <f ca="1">SUMIFS(OFFSET(Assumptions!$I$90,0,MATCH($A280,Configurations,0)-1,COUNT(Assumptions!$A$90:$A$183),1),Assumptions!$D$90:$D$183,$B280&amp;$C280)</f>
        <v>0</v>
      </c>
      <c r="O280" s="313"/>
      <c r="P280" s="323"/>
      <c r="Q280" s="313"/>
      <c r="R280" s="50">
        <f t="shared" ref="R280:AU280" ca="1" si="202">IF(OR(R$99&lt;InServiceYr,R$99&gt;(InServiceYr+analysis_period-1)),0,IF($P280=0,$N280,$P280)*(1+$D280)^(R$99-CostBaseYr))</f>
        <v>0</v>
      </c>
      <c r="S280" s="50">
        <f t="shared" ca="1" si="202"/>
        <v>0</v>
      </c>
      <c r="T280" s="50">
        <f t="shared" ca="1" si="202"/>
        <v>0</v>
      </c>
      <c r="U280" s="50">
        <f t="shared" ca="1" si="202"/>
        <v>0</v>
      </c>
      <c r="V280" s="50">
        <f t="shared" ca="1" si="202"/>
        <v>0</v>
      </c>
      <c r="W280" s="50">
        <f t="shared" ca="1" si="202"/>
        <v>0</v>
      </c>
      <c r="X280" s="50">
        <f t="shared" ca="1" si="202"/>
        <v>0</v>
      </c>
      <c r="Y280" s="50">
        <f t="shared" ca="1" si="202"/>
        <v>0</v>
      </c>
      <c r="Z280" s="50">
        <f t="shared" ca="1" si="202"/>
        <v>0</v>
      </c>
      <c r="AA280" s="50">
        <f t="shared" ca="1" si="202"/>
        <v>0</v>
      </c>
      <c r="AB280" s="50">
        <f t="shared" ca="1" si="202"/>
        <v>0</v>
      </c>
      <c r="AC280" s="50">
        <f t="shared" ca="1" si="202"/>
        <v>0</v>
      </c>
      <c r="AD280" s="50">
        <f t="shared" ca="1" si="202"/>
        <v>0</v>
      </c>
      <c r="AE280" s="50">
        <f t="shared" ca="1" si="202"/>
        <v>0</v>
      </c>
      <c r="AF280" s="50">
        <f t="shared" ca="1" si="202"/>
        <v>0</v>
      </c>
      <c r="AG280" s="50">
        <f t="shared" ca="1" si="202"/>
        <v>0</v>
      </c>
      <c r="AH280" s="50">
        <f t="shared" ca="1" si="202"/>
        <v>0</v>
      </c>
      <c r="AI280" s="50">
        <f t="shared" ca="1" si="202"/>
        <v>0</v>
      </c>
      <c r="AJ280" s="50">
        <f t="shared" ca="1" si="202"/>
        <v>0</v>
      </c>
      <c r="AK280" s="50">
        <f t="shared" ca="1" si="202"/>
        <v>0</v>
      </c>
      <c r="AL280" s="50">
        <f t="shared" si="202"/>
        <v>0</v>
      </c>
      <c r="AM280" s="50">
        <f t="shared" si="202"/>
        <v>0</v>
      </c>
      <c r="AN280" s="50">
        <f t="shared" si="202"/>
        <v>0</v>
      </c>
      <c r="AO280" s="50">
        <f t="shared" si="202"/>
        <v>0</v>
      </c>
      <c r="AP280" s="50">
        <f t="shared" si="202"/>
        <v>0</v>
      </c>
      <c r="AQ280" s="50">
        <f t="shared" si="202"/>
        <v>0</v>
      </c>
      <c r="AR280" s="50">
        <f t="shared" si="202"/>
        <v>0</v>
      </c>
      <c r="AS280" s="50">
        <f t="shared" si="202"/>
        <v>0</v>
      </c>
      <c r="AT280" s="50">
        <f t="shared" si="202"/>
        <v>0</v>
      </c>
      <c r="AU280" s="50">
        <f t="shared" si="202"/>
        <v>0</v>
      </c>
    </row>
    <row r="281" spans="1:47" s="60" customFormat="1">
      <c r="D281" s="187"/>
      <c r="E281" s="325"/>
      <c r="G281" s="39" t="s">
        <v>305</v>
      </c>
      <c r="I281" s="39"/>
      <c r="K281" s="39"/>
      <c r="L281" s="174"/>
      <c r="N281" s="188"/>
      <c r="O281" s="314"/>
      <c r="P281" s="185"/>
      <c r="Q281" s="314"/>
      <c r="R281" s="185">
        <f ca="1">SUM(R270:R277)-SUM(R279:R280)</f>
        <v>0</v>
      </c>
      <c r="S281" s="185">
        <f t="shared" ref="S281:AU281" ca="1" si="203">SUM(S270:S277)-SUM(S279:S280)</f>
        <v>0</v>
      </c>
      <c r="T281" s="185">
        <f t="shared" ca="1" si="203"/>
        <v>0</v>
      </c>
      <c r="U281" s="185">
        <f t="shared" ca="1" si="203"/>
        <v>0</v>
      </c>
      <c r="V281" s="185">
        <f t="shared" ca="1" si="203"/>
        <v>0</v>
      </c>
      <c r="W281" s="185">
        <f t="shared" ca="1" si="203"/>
        <v>0</v>
      </c>
      <c r="X281" s="185">
        <f t="shared" ca="1" si="203"/>
        <v>0</v>
      </c>
      <c r="Y281" s="185">
        <f t="shared" ca="1" si="203"/>
        <v>0</v>
      </c>
      <c r="Z281" s="185">
        <f t="shared" ca="1" si="203"/>
        <v>0</v>
      </c>
      <c r="AA281" s="185">
        <f t="shared" ca="1" si="203"/>
        <v>0</v>
      </c>
      <c r="AB281" s="185">
        <f t="shared" ca="1" si="203"/>
        <v>0</v>
      </c>
      <c r="AC281" s="185">
        <f t="shared" ca="1" si="203"/>
        <v>0</v>
      </c>
      <c r="AD281" s="185">
        <f t="shared" ca="1" si="203"/>
        <v>0</v>
      </c>
      <c r="AE281" s="185">
        <f t="shared" ca="1" si="203"/>
        <v>0</v>
      </c>
      <c r="AF281" s="185">
        <f t="shared" ca="1" si="203"/>
        <v>0</v>
      </c>
      <c r="AG281" s="185">
        <f t="shared" ca="1" si="203"/>
        <v>0</v>
      </c>
      <c r="AH281" s="185">
        <f t="shared" ca="1" si="203"/>
        <v>0</v>
      </c>
      <c r="AI281" s="185">
        <f t="shared" ca="1" si="203"/>
        <v>0</v>
      </c>
      <c r="AJ281" s="185">
        <f t="shared" ca="1" si="203"/>
        <v>0</v>
      </c>
      <c r="AK281" s="185">
        <f t="shared" ca="1" si="203"/>
        <v>0</v>
      </c>
      <c r="AL281" s="185">
        <f t="shared" si="203"/>
        <v>0</v>
      </c>
      <c r="AM281" s="185">
        <f t="shared" si="203"/>
        <v>0</v>
      </c>
      <c r="AN281" s="185">
        <f t="shared" si="203"/>
        <v>0</v>
      </c>
      <c r="AO281" s="185">
        <f t="shared" si="203"/>
        <v>0</v>
      </c>
      <c r="AP281" s="185">
        <f t="shared" si="203"/>
        <v>0</v>
      </c>
      <c r="AQ281" s="185">
        <f t="shared" si="203"/>
        <v>0</v>
      </c>
      <c r="AR281" s="185">
        <f t="shared" si="203"/>
        <v>0</v>
      </c>
      <c r="AS281" s="185">
        <f t="shared" si="203"/>
        <v>0</v>
      </c>
      <c r="AT281" s="185">
        <f t="shared" si="203"/>
        <v>0</v>
      </c>
      <c r="AU281" s="185">
        <f t="shared" si="203"/>
        <v>0</v>
      </c>
    </row>
    <row r="282" spans="1:47">
      <c r="E282" s="36"/>
      <c r="G282" s="39"/>
      <c r="H282" s="39"/>
      <c r="I282" s="39"/>
      <c r="J282" s="39"/>
      <c r="K282" s="39"/>
    </row>
    <row r="283" spans="1:47">
      <c r="E283" s="327"/>
      <c r="F283" s="28"/>
      <c r="G283" s="324" t="str">
        <f>C285&amp;" Capital Costs"</f>
        <v>Fluid Bed Incineration Capital Costs</v>
      </c>
      <c r="H283" s="324"/>
      <c r="I283" s="324"/>
      <c r="J283" s="324"/>
      <c r="K283" s="324"/>
      <c r="L283" s="405" t="s">
        <v>79</v>
      </c>
      <c r="M283" s="256"/>
      <c r="N283" s="325" t="s">
        <v>490</v>
      </c>
      <c r="O283" s="311"/>
      <c r="P283" s="325" t="s">
        <v>491</v>
      </c>
      <c r="Q283" s="310"/>
      <c r="R283" s="325">
        <f>R$8</f>
        <v>2014</v>
      </c>
      <c r="S283" s="325">
        <f t="shared" ref="S283:AU283" si="204">S$8</f>
        <v>2015</v>
      </c>
      <c r="T283" s="325">
        <f t="shared" si="204"/>
        <v>2016</v>
      </c>
      <c r="U283" s="325">
        <f t="shared" si="204"/>
        <v>2017</v>
      </c>
      <c r="V283" s="325">
        <f t="shared" si="204"/>
        <v>2018</v>
      </c>
      <c r="W283" s="325">
        <f t="shared" si="204"/>
        <v>2019</v>
      </c>
      <c r="X283" s="325">
        <f t="shared" si="204"/>
        <v>2020</v>
      </c>
      <c r="Y283" s="325">
        <f t="shared" si="204"/>
        <v>2021</v>
      </c>
      <c r="Z283" s="325">
        <f t="shared" si="204"/>
        <v>2022</v>
      </c>
      <c r="AA283" s="325">
        <f t="shared" si="204"/>
        <v>2023</v>
      </c>
      <c r="AB283" s="325">
        <f t="shared" si="204"/>
        <v>2024</v>
      </c>
      <c r="AC283" s="325">
        <f t="shared" si="204"/>
        <v>2025</v>
      </c>
      <c r="AD283" s="325">
        <f t="shared" si="204"/>
        <v>2026</v>
      </c>
      <c r="AE283" s="325">
        <f t="shared" si="204"/>
        <v>2027</v>
      </c>
      <c r="AF283" s="325">
        <f t="shared" si="204"/>
        <v>2028</v>
      </c>
      <c r="AG283" s="325">
        <f t="shared" si="204"/>
        <v>2029</v>
      </c>
      <c r="AH283" s="325">
        <f t="shared" si="204"/>
        <v>2030</v>
      </c>
      <c r="AI283" s="325">
        <f t="shared" si="204"/>
        <v>2031</v>
      </c>
      <c r="AJ283" s="325">
        <f t="shared" si="204"/>
        <v>2032</v>
      </c>
      <c r="AK283" s="325">
        <f t="shared" si="204"/>
        <v>2033</v>
      </c>
      <c r="AL283" s="325">
        <f t="shared" si="204"/>
        <v>2034</v>
      </c>
      <c r="AM283" s="325">
        <f t="shared" si="204"/>
        <v>2035</v>
      </c>
      <c r="AN283" s="325">
        <f t="shared" si="204"/>
        <v>2036</v>
      </c>
      <c r="AO283" s="325">
        <f t="shared" si="204"/>
        <v>2037</v>
      </c>
      <c r="AP283" s="325">
        <f t="shared" si="204"/>
        <v>2038</v>
      </c>
      <c r="AQ283" s="325">
        <f t="shared" si="204"/>
        <v>2039</v>
      </c>
      <c r="AR283" s="325">
        <f t="shared" si="204"/>
        <v>2040</v>
      </c>
      <c r="AS283" s="325">
        <f t="shared" si="204"/>
        <v>2041</v>
      </c>
      <c r="AT283" s="325">
        <f t="shared" si="204"/>
        <v>2042</v>
      </c>
      <c r="AU283" s="325">
        <f t="shared" si="204"/>
        <v>2043</v>
      </c>
    </row>
    <row r="284" spans="1:47">
      <c r="E284" s="325"/>
      <c r="G284" s="39"/>
      <c r="H284" s="39"/>
      <c r="I284" s="39"/>
      <c r="J284" s="39"/>
      <c r="K284" s="39"/>
    </row>
    <row r="285" spans="1:47">
      <c r="A285" s="38" t="str">
        <f>$J$4&amp;"-"</f>
        <v>1X-</v>
      </c>
      <c r="B285" s="38" t="s">
        <v>306</v>
      </c>
      <c r="C285" s="38" t="s">
        <v>160</v>
      </c>
      <c r="D285" s="186">
        <f>CapExEsc</f>
        <v>0.03</v>
      </c>
      <c r="E285" s="325"/>
      <c r="G285" s="36" t="s">
        <v>8</v>
      </c>
      <c r="H285" s="39"/>
      <c r="I285" s="39"/>
      <c r="J285" s="70"/>
      <c r="K285" s="39"/>
      <c r="L285" s="43" t="str">
        <f>"["&amp;CostBaseYr&amp;" $]"</f>
        <v>[2013 $]</v>
      </c>
      <c r="N285" s="52">
        <f ca="1">SUMIFS(OFFSET(Assumptions!$I$65,0,MATCH($A285,Configurations,0)-1,COUNT(Assumptions!$A$65:$A$84),1),Assumptions!$E$65:$E$84,$C285)</f>
        <v>0</v>
      </c>
      <c r="O285" s="52"/>
      <c r="P285" s="322"/>
      <c r="Q285" s="52"/>
      <c r="R285" s="52">
        <f t="shared" ref="R285:AU285" ca="1" si="205">R286*IF($P285=0,$N285,$P285)*(1+$D285)^(R$8-CostBaseYr)</f>
        <v>0</v>
      </c>
      <c r="S285" s="52">
        <f t="shared" ca="1" si="205"/>
        <v>0</v>
      </c>
      <c r="T285" s="52">
        <f t="shared" ca="1" si="205"/>
        <v>0</v>
      </c>
      <c r="U285" s="52">
        <f t="shared" ca="1" si="205"/>
        <v>0</v>
      </c>
      <c r="V285" s="52">
        <f t="shared" ca="1" si="205"/>
        <v>0</v>
      </c>
      <c r="W285" s="52">
        <f t="shared" ca="1" si="205"/>
        <v>0</v>
      </c>
      <c r="X285" s="52">
        <f t="shared" ca="1" si="205"/>
        <v>0</v>
      </c>
      <c r="Y285" s="52">
        <f t="shared" ca="1" si="205"/>
        <v>0</v>
      </c>
      <c r="Z285" s="52">
        <f t="shared" ca="1" si="205"/>
        <v>0</v>
      </c>
      <c r="AA285" s="52">
        <f t="shared" ca="1" si="205"/>
        <v>0</v>
      </c>
      <c r="AB285" s="52">
        <f t="shared" ca="1" si="205"/>
        <v>0</v>
      </c>
      <c r="AC285" s="52">
        <f t="shared" ca="1" si="205"/>
        <v>0</v>
      </c>
      <c r="AD285" s="52">
        <f t="shared" ca="1" si="205"/>
        <v>0</v>
      </c>
      <c r="AE285" s="52">
        <f t="shared" ca="1" si="205"/>
        <v>0</v>
      </c>
      <c r="AF285" s="52">
        <f t="shared" ca="1" si="205"/>
        <v>0</v>
      </c>
      <c r="AG285" s="52">
        <f t="shared" ca="1" si="205"/>
        <v>0</v>
      </c>
      <c r="AH285" s="52">
        <f t="shared" ca="1" si="205"/>
        <v>0</v>
      </c>
      <c r="AI285" s="52">
        <f t="shared" ca="1" si="205"/>
        <v>0</v>
      </c>
      <c r="AJ285" s="52">
        <f t="shared" ca="1" si="205"/>
        <v>0</v>
      </c>
      <c r="AK285" s="52">
        <f t="shared" ca="1" si="205"/>
        <v>0</v>
      </c>
      <c r="AL285" s="52">
        <f t="shared" ca="1" si="205"/>
        <v>0</v>
      </c>
      <c r="AM285" s="52">
        <f t="shared" ca="1" si="205"/>
        <v>0</v>
      </c>
      <c r="AN285" s="52">
        <f t="shared" ca="1" si="205"/>
        <v>0</v>
      </c>
      <c r="AO285" s="52">
        <f t="shared" ca="1" si="205"/>
        <v>0</v>
      </c>
      <c r="AP285" s="52">
        <f t="shared" ca="1" si="205"/>
        <v>0</v>
      </c>
      <c r="AQ285" s="52">
        <f t="shared" ca="1" si="205"/>
        <v>0</v>
      </c>
      <c r="AR285" s="52">
        <f t="shared" ca="1" si="205"/>
        <v>0</v>
      </c>
      <c r="AS285" s="52">
        <f t="shared" ca="1" si="205"/>
        <v>0</v>
      </c>
      <c r="AT285" s="52">
        <f t="shared" ca="1" si="205"/>
        <v>0</v>
      </c>
      <c r="AU285" s="52">
        <f t="shared" ca="1" si="205"/>
        <v>0</v>
      </c>
    </row>
    <row r="286" spans="1:47">
      <c r="E286" s="325"/>
      <c r="G286" s="36" t="s">
        <v>10</v>
      </c>
      <c r="H286" s="39"/>
      <c r="I286" s="39"/>
      <c r="J286" s="39"/>
      <c r="K286" s="39"/>
      <c r="L286" s="43"/>
      <c r="R286" s="54">
        <f>Assumptions!M$60</f>
        <v>1</v>
      </c>
      <c r="S286" s="54">
        <f>Assumptions!N$60</f>
        <v>0</v>
      </c>
      <c r="T286" s="54">
        <f>Assumptions!O$60</f>
        <v>0</v>
      </c>
      <c r="U286" s="54">
        <f>Assumptions!P$60</f>
        <v>0</v>
      </c>
      <c r="V286" s="54">
        <f>Assumptions!Q$60</f>
        <v>0</v>
      </c>
      <c r="W286" s="54">
        <f>Assumptions!R$60</f>
        <v>0</v>
      </c>
      <c r="X286" s="54">
        <f>Assumptions!S$60</f>
        <v>0</v>
      </c>
      <c r="Y286" s="54">
        <f>Assumptions!T$60</f>
        <v>0</v>
      </c>
      <c r="Z286" s="54">
        <f>Assumptions!U$60</f>
        <v>0</v>
      </c>
      <c r="AA286" s="54">
        <f>Assumptions!V$60</f>
        <v>0</v>
      </c>
      <c r="AB286" s="54">
        <f>Assumptions!W$60</f>
        <v>0</v>
      </c>
      <c r="AC286" s="54">
        <f>Assumptions!X$60</f>
        <v>0</v>
      </c>
      <c r="AD286" s="54">
        <f>Assumptions!Y$60</f>
        <v>0</v>
      </c>
      <c r="AE286" s="54">
        <f>Assumptions!Z$60</f>
        <v>0</v>
      </c>
      <c r="AF286" s="54">
        <f>Assumptions!AA$60</f>
        <v>0</v>
      </c>
      <c r="AG286" s="54">
        <f>Assumptions!AB$60</f>
        <v>0</v>
      </c>
      <c r="AH286" s="54">
        <f>Assumptions!AC$60</f>
        <v>0</v>
      </c>
      <c r="AI286" s="54">
        <f>Assumptions!AD$60</f>
        <v>0</v>
      </c>
      <c r="AJ286" s="54">
        <f>Assumptions!AE$60</f>
        <v>0</v>
      </c>
      <c r="AK286" s="54">
        <f>Assumptions!AF$60</f>
        <v>0</v>
      </c>
      <c r="AL286" s="54">
        <f>Assumptions!AG$60</f>
        <v>0</v>
      </c>
      <c r="AM286" s="54">
        <f>Assumptions!AH$60</f>
        <v>0</v>
      </c>
      <c r="AN286" s="54">
        <f>Assumptions!AI$60</f>
        <v>0</v>
      </c>
      <c r="AO286" s="54">
        <f>Assumptions!AJ$60</f>
        <v>0</v>
      </c>
      <c r="AP286" s="54">
        <f>Assumptions!AK$60</f>
        <v>0</v>
      </c>
      <c r="AQ286" s="54">
        <f>Assumptions!AL$60</f>
        <v>0</v>
      </c>
      <c r="AR286" s="54">
        <f>Assumptions!AM$60</f>
        <v>0</v>
      </c>
      <c r="AS286" s="54">
        <f>Assumptions!AN$60</f>
        <v>0</v>
      </c>
      <c r="AT286" s="54">
        <f>Assumptions!AO$60</f>
        <v>0</v>
      </c>
      <c r="AU286" s="54">
        <f>Assumptions!AP$60</f>
        <v>0</v>
      </c>
    </row>
    <row r="287" spans="1:47">
      <c r="E287" s="326"/>
      <c r="G287" s="39"/>
      <c r="H287" s="39"/>
      <c r="I287" s="39"/>
      <c r="J287" s="39"/>
      <c r="K287" s="39"/>
    </row>
    <row r="288" spans="1:47">
      <c r="E288" s="327"/>
      <c r="F288" s="28"/>
      <c r="G288" s="324" t="str">
        <f>C285&amp;" O&amp;M"</f>
        <v>Fluid Bed Incineration O&amp;M</v>
      </c>
      <c r="H288" s="324"/>
      <c r="I288" s="324"/>
      <c r="J288" s="324"/>
      <c r="K288" s="324"/>
      <c r="L288" s="405" t="s">
        <v>79</v>
      </c>
      <c r="M288" s="256"/>
      <c r="N288" s="325" t="s">
        <v>490</v>
      </c>
      <c r="O288" s="311"/>
      <c r="P288" s="325" t="s">
        <v>491</v>
      </c>
      <c r="Q288" s="310"/>
      <c r="R288" s="325">
        <f>R$8</f>
        <v>2014</v>
      </c>
      <c r="S288" s="325">
        <f t="shared" ref="S288:AU288" si="206">S$8</f>
        <v>2015</v>
      </c>
      <c r="T288" s="325">
        <f t="shared" si="206"/>
        <v>2016</v>
      </c>
      <c r="U288" s="325">
        <f t="shared" si="206"/>
        <v>2017</v>
      </c>
      <c r="V288" s="325">
        <f t="shared" si="206"/>
        <v>2018</v>
      </c>
      <c r="W288" s="325">
        <f t="shared" si="206"/>
        <v>2019</v>
      </c>
      <c r="X288" s="325">
        <f t="shared" si="206"/>
        <v>2020</v>
      </c>
      <c r="Y288" s="325">
        <f t="shared" si="206"/>
        <v>2021</v>
      </c>
      <c r="Z288" s="325">
        <f t="shared" si="206"/>
        <v>2022</v>
      </c>
      <c r="AA288" s="325">
        <f t="shared" si="206"/>
        <v>2023</v>
      </c>
      <c r="AB288" s="325">
        <f t="shared" si="206"/>
        <v>2024</v>
      </c>
      <c r="AC288" s="325">
        <f t="shared" si="206"/>
        <v>2025</v>
      </c>
      <c r="AD288" s="325">
        <f t="shared" si="206"/>
        <v>2026</v>
      </c>
      <c r="AE288" s="325">
        <f t="shared" si="206"/>
        <v>2027</v>
      </c>
      <c r="AF288" s="325">
        <f t="shared" si="206"/>
        <v>2028</v>
      </c>
      <c r="AG288" s="325">
        <f t="shared" si="206"/>
        <v>2029</v>
      </c>
      <c r="AH288" s="325">
        <f t="shared" si="206"/>
        <v>2030</v>
      </c>
      <c r="AI288" s="325">
        <f t="shared" si="206"/>
        <v>2031</v>
      </c>
      <c r="AJ288" s="325">
        <f t="shared" si="206"/>
        <v>2032</v>
      </c>
      <c r="AK288" s="325">
        <f t="shared" si="206"/>
        <v>2033</v>
      </c>
      <c r="AL288" s="325">
        <f t="shared" si="206"/>
        <v>2034</v>
      </c>
      <c r="AM288" s="325">
        <f t="shared" si="206"/>
        <v>2035</v>
      </c>
      <c r="AN288" s="325">
        <f t="shared" si="206"/>
        <v>2036</v>
      </c>
      <c r="AO288" s="325">
        <f t="shared" si="206"/>
        <v>2037</v>
      </c>
      <c r="AP288" s="325">
        <f t="shared" si="206"/>
        <v>2038</v>
      </c>
      <c r="AQ288" s="325">
        <f t="shared" si="206"/>
        <v>2039</v>
      </c>
      <c r="AR288" s="325">
        <f t="shared" si="206"/>
        <v>2040</v>
      </c>
      <c r="AS288" s="325">
        <f t="shared" si="206"/>
        <v>2041</v>
      </c>
      <c r="AT288" s="325">
        <f t="shared" si="206"/>
        <v>2042</v>
      </c>
      <c r="AU288" s="325">
        <f t="shared" si="206"/>
        <v>2043</v>
      </c>
    </row>
    <row r="289" spans="1:47">
      <c r="E289" s="325"/>
      <c r="G289" s="39"/>
      <c r="H289" s="39"/>
      <c r="I289" s="39"/>
      <c r="J289" s="39"/>
      <c r="K289" s="39"/>
    </row>
    <row r="290" spans="1:47">
      <c r="E290" s="325"/>
      <c r="G290" s="39" t="s">
        <v>23</v>
      </c>
      <c r="H290" s="39"/>
      <c r="I290" s="39"/>
      <c r="J290" s="39"/>
      <c r="K290" s="39"/>
    </row>
    <row r="291" spans="1:47">
      <c r="A291" s="38" t="str">
        <f t="shared" ref="A291:A298" si="207">$J$4&amp;"-"</f>
        <v>1X-</v>
      </c>
      <c r="B291" s="38" t="s">
        <v>262</v>
      </c>
      <c r="C291" s="38" t="str">
        <f>C285</f>
        <v>Fluid Bed Incineration</v>
      </c>
      <c r="D291" s="186">
        <f>LaborEsc</f>
        <v>0.02</v>
      </c>
      <c r="E291" s="325"/>
      <c r="G291" s="36" t="s">
        <v>125</v>
      </c>
      <c r="I291" s="39"/>
      <c r="K291" s="39"/>
      <c r="L291" s="43" t="s">
        <v>266</v>
      </c>
      <c r="N291" s="70">
        <f ca="1">SUMIFS(OFFSET(Assumptions!$I$90,0,MATCH($A291,Configurations,0)-1,COUNT(Assumptions!$A$90:$A$183),1),Assumptions!$D$90:$D$183,$B291&amp;$C291)</f>
        <v>0</v>
      </c>
      <c r="O291" s="313"/>
      <c r="P291" s="323"/>
      <c r="Q291" s="313"/>
      <c r="R291" s="50">
        <f t="shared" ref="R291:AU291" ca="1" si="208">IF(OR(R$99&lt;InServiceYr,R$99&gt;(InServiceYr+analysis_period-1)),0,IF($P291=0,$N291,$P291)*LaborCost*(1+$D291)^(R$99-CostBaseYr))</f>
        <v>0</v>
      </c>
      <c r="S291" s="50">
        <f t="shared" ca="1" si="208"/>
        <v>0</v>
      </c>
      <c r="T291" s="50">
        <f t="shared" ca="1" si="208"/>
        <v>0</v>
      </c>
      <c r="U291" s="50">
        <f t="shared" ca="1" si="208"/>
        <v>0</v>
      </c>
      <c r="V291" s="50">
        <f t="shared" ca="1" si="208"/>
        <v>0</v>
      </c>
      <c r="W291" s="50">
        <f t="shared" ca="1" si="208"/>
        <v>0</v>
      </c>
      <c r="X291" s="50">
        <f t="shared" ca="1" si="208"/>
        <v>0</v>
      </c>
      <c r="Y291" s="50">
        <f t="shared" ca="1" si="208"/>
        <v>0</v>
      </c>
      <c r="Z291" s="50">
        <f t="shared" ca="1" si="208"/>
        <v>0</v>
      </c>
      <c r="AA291" s="50">
        <f t="shared" ca="1" si="208"/>
        <v>0</v>
      </c>
      <c r="AB291" s="50">
        <f t="shared" ca="1" si="208"/>
        <v>0</v>
      </c>
      <c r="AC291" s="50">
        <f t="shared" ca="1" si="208"/>
        <v>0</v>
      </c>
      <c r="AD291" s="50">
        <f t="shared" ca="1" si="208"/>
        <v>0</v>
      </c>
      <c r="AE291" s="50">
        <f t="shared" ca="1" si="208"/>
        <v>0</v>
      </c>
      <c r="AF291" s="50">
        <f t="shared" ca="1" si="208"/>
        <v>0</v>
      </c>
      <c r="AG291" s="50">
        <f t="shared" ca="1" si="208"/>
        <v>0</v>
      </c>
      <c r="AH291" s="50">
        <f t="shared" ca="1" si="208"/>
        <v>0</v>
      </c>
      <c r="AI291" s="50">
        <f t="shared" ca="1" si="208"/>
        <v>0</v>
      </c>
      <c r="AJ291" s="50">
        <f t="shared" ca="1" si="208"/>
        <v>0</v>
      </c>
      <c r="AK291" s="50">
        <f t="shared" ca="1" si="208"/>
        <v>0</v>
      </c>
      <c r="AL291" s="50">
        <f t="shared" si="208"/>
        <v>0</v>
      </c>
      <c r="AM291" s="50">
        <f t="shared" si="208"/>
        <v>0</v>
      </c>
      <c r="AN291" s="50">
        <f t="shared" si="208"/>
        <v>0</v>
      </c>
      <c r="AO291" s="50">
        <f t="shared" si="208"/>
        <v>0</v>
      </c>
      <c r="AP291" s="50">
        <f t="shared" si="208"/>
        <v>0</v>
      </c>
      <c r="AQ291" s="50">
        <f t="shared" si="208"/>
        <v>0</v>
      </c>
      <c r="AR291" s="50">
        <f t="shared" si="208"/>
        <v>0</v>
      </c>
      <c r="AS291" s="50">
        <f t="shared" si="208"/>
        <v>0</v>
      </c>
      <c r="AT291" s="50">
        <f t="shared" si="208"/>
        <v>0</v>
      </c>
      <c r="AU291" s="50">
        <f t="shared" si="208"/>
        <v>0</v>
      </c>
    </row>
    <row r="292" spans="1:47">
      <c r="A292" s="38" t="str">
        <f t="shared" si="207"/>
        <v>1X-</v>
      </c>
      <c r="B292" s="38" t="s">
        <v>270</v>
      </c>
      <c r="C292" s="38" t="str">
        <f>C291</f>
        <v>Fluid Bed Incineration</v>
      </c>
      <c r="D292" s="186">
        <f>OMEsc</f>
        <v>0.02</v>
      </c>
      <c r="E292" s="325"/>
      <c r="G292" s="36" t="s">
        <v>126</v>
      </c>
      <c r="I292" s="39"/>
      <c r="K292" s="39"/>
      <c r="L292" s="43" t="str">
        <f>"["&amp;CostBaseYr&amp;" $]"</f>
        <v>[2013 $]</v>
      </c>
      <c r="N292" s="70">
        <f ca="1">SUMIFS(OFFSET(Assumptions!$I$90,0,MATCH($A292,Configurations,0)-1,COUNT(Assumptions!$A$90:$A$183),1),Assumptions!$D$90:$D$183,$B292&amp;$C292)</f>
        <v>0</v>
      </c>
      <c r="O292" s="313"/>
      <c r="P292" s="323"/>
      <c r="Q292" s="313"/>
      <c r="R292" s="50">
        <f t="shared" ref="R292:AG294" ca="1" si="209">IF(OR(R$99&lt;InServiceYr,R$99&gt;(InServiceYr+analysis_period-1)),0,IF($P292=0,$N292,$P292)*(1+$D292)^(R$99-CostBaseYr))</f>
        <v>0</v>
      </c>
      <c r="S292" s="50">
        <f t="shared" ca="1" si="209"/>
        <v>0</v>
      </c>
      <c r="T292" s="50">
        <f t="shared" ca="1" si="209"/>
        <v>0</v>
      </c>
      <c r="U292" s="50">
        <f t="shared" ca="1" si="209"/>
        <v>0</v>
      </c>
      <c r="V292" s="50">
        <f t="shared" ca="1" si="209"/>
        <v>0</v>
      </c>
      <c r="W292" s="50">
        <f t="shared" ca="1" si="209"/>
        <v>0</v>
      </c>
      <c r="X292" s="50">
        <f t="shared" ca="1" si="209"/>
        <v>0</v>
      </c>
      <c r="Y292" s="50">
        <f t="shared" ca="1" si="209"/>
        <v>0</v>
      </c>
      <c r="Z292" s="50">
        <f t="shared" ca="1" si="209"/>
        <v>0</v>
      </c>
      <c r="AA292" s="50">
        <f t="shared" ca="1" si="209"/>
        <v>0</v>
      </c>
      <c r="AB292" s="50">
        <f t="shared" ca="1" si="209"/>
        <v>0</v>
      </c>
      <c r="AC292" s="50">
        <f t="shared" ca="1" si="209"/>
        <v>0</v>
      </c>
      <c r="AD292" s="50">
        <f t="shared" ca="1" si="209"/>
        <v>0</v>
      </c>
      <c r="AE292" s="50">
        <f t="shared" ca="1" si="209"/>
        <v>0</v>
      </c>
      <c r="AF292" s="50">
        <f t="shared" ca="1" si="209"/>
        <v>0</v>
      </c>
      <c r="AG292" s="50">
        <f t="shared" ca="1" si="209"/>
        <v>0</v>
      </c>
      <c r="AH292" s="50">
        <f t="shared" ref="S292:AU294" ca="1" si="210">IF(OR(AH$99&lt;InServiceYr,AH$99&gt;(InServiceYr+analysis_period-1)),0,IF($P292=0,$N292,$P292)*(1+$D292)^(AH$99-CostBaseYr))</f>
        <v>0</v>
      </c>
      <c r="AI292" s="50">
        <f t="shared" ca="1" si="210"/>
        <v>0</v>
      </c>
      <c r="AJ292" s="50">
        <f t="shared" ca="1" si="210"/>
        <v>0</v>
      </c>
      <c r="AK292" s="50">
        <f t="shared" ca="1" si="210"/>
        <v>0</v>
      </c>
      <c r="AL292" s="50">
        <f t="shared" si="210"/>
        <v>0</v>
      </c>
      <c r="AM292" s="50">
        <f t="shared" si="210"/>
        <v>0</v>
      </c>
      <c r="AN292" s="50">
        <f t="shared" si="210"/>
        <v>0</v>
      </c>
      <c r="AO292" s="50">
        <f t="shared" si="210"/>
        <v>0</v>
      </c>
      <c r="AP292" s="50">
        <f t="shared" si="210"/>
        <v>0</v>
      </c>
      <c r="AQ292" s="50">
        <f t="shared" si="210"/>
        <v>0</v>
      </c>
      <c r="AR292" s="50">
        <f t="shared" si="210"/>
        <v>0</v>
      </c>
      <c r="AS292" s="50">
        <f t="shared" si="210"/>
        <v>0</v>
      </c>
      <c r="AT292" s="50">
        <f t="shared" si="210"/>
        <v>0</v>
      </c>
      <c r="AU292" s="50">
        <f t="shared" si="210"/>
        <v>0</v>
      </c>
    </row>
    <row r="293" spans="1:47">
      <c r="A293" s="38" t="str">
        <f t="shared" si="207"/>
        <v>1X-</v>
      </c>
      <c r="B293" s="38" t="s">
        <v>263</v>
      </c>
      <c r="C293" s="38" t="str">
        <f t="shared" ref="C293:C297" si="211">C292</f>
        <v>Fluid Bed Incineration</v>
      </c>
      <c r="D293" s="186">
        <f>OMEsc</f>
        <v>0.02</v>
      </c>
      <c r="E293" s="325"/>
      <c r="G293" s="36" t="s">
        <v>127</v>
      </c>
      <c r="I293" s="39"/>
      <c r="K293" s="39"/>
      <c r="L293" s="43" t="str">
        <f>"["&amp;CostBaseYr&amp;" $]"</f>
        <v>[2013 $]</v>
      </c>
      <c r="N293" s="70">
        <f ca="1">SUMIFS(OFFSET(Assumptions!$I$90,0,MATCH($A293,Configurations,0)-1,COUNT(Assumptions!$A$90:$A$183),1),Assumptions!$D$90:$D$183,$B293&amp;$C293)</f>
        <v>0</v>
      </c>
      <c r="O293" s="313"/>
      <c r="P293" s="323"/>
      <c r="Q293" s="313"/>
      <c r="R293" s="50">
        <f t="shared" ca="1" si="209"/>
        <v>0</v>
      </c>
      <c r="S293" s="50">
        <f t="shared" ca="1" si="210"/>
        <v>0</v>
      </c>
      <c r="T293" s="50">
        <f t="shared" ca="1" si="210"/>
        <v>0</v>
      </c>
      <c r="U293" s="50">
        <f t="shared" ca="1" si="210"/>
        <v>0</v>
      </c>
      <c r="V293" s="50">
        <f t="shared" ca="1" si="210"/>
        <v>0</v>
      </c>
      <c r="W293" s="50">
        <f t="shared" ca="1" si="210"/>
        <v>0</v>
      </c>
      <c r="X293" s="50">
        <f t="shared" ca="1" si="210"/>
        <v>0</v>
      </c>
      <c r="Y293" s="50">
        <f t="shared" ca="1" si="210"/>
        <v>0</v>
      </c>
      <c r="Z293" s="50">
        <f t="shared" ca="1" si="210"/>
        <v>0</v>
      </c>
      <c r="AA293" s="50">
        <f t="shared" ca="1" si="210"/>
        <v>0</v>
      </c>
      <c r="AB293" s="50">
        <f t="shared" ca="1" si="210"/>
        <v>0</v>
      </c>
      <c r="AC293" s="50">
        <f t="shared" ca="1" si="210"/>
        <v>0</v>
      </c>
      <c r="AD293" s="50">
        <f t="shared" ca="1" si="210"/>
        <v>0</v>
      </c>
      <c r="AE293" s="50">
        <f t="shared" ca="1" si="210"/>
        <v>0</v>
      </c>
      <c r="AF293" s="50">
        <f t="shared" ca="1" si="210"/>
        <v>0</v>
      </c>
      <c r="AG293" s="50">
        <f t="shared" ca="1" si="210"/>
        <v>0</v>
      </c>
      <c r="AH293" s="50">
        <f t="shared" ca="1" si="210"/>
        <v>0</v>
      </c>
      <c r="AI293" s="50">
        <f t="shared" ca="1" si="210"/>
        <v>0</v>
      </c>
      <c r="AJ293" s="50">
        <f t="shared" ca="1" si="210"/>
        <v>0</v>
      </c>
      <c r="AK293" s="50">
        <f t="shared" ca="1" si="210"/>
        <v>0</v>
      </c>
      <c r="AL293" s="50">
        <f t="shared" si="210"/>
        <v>0</v>
      </c>
      <c r="AM293" s="50">
        <f t="shared" si="210"/>
        <v>0</v>
      </c>
      <c r="AN293" s="50">
        <f t="shared" si="210"/>
        <v>0</v>
      </c>
      <c r="AO293" s="50">
        <f t="shared" si="210"/>
        <v>0</v>
      </c>
      <c r="AP293" s="50">
        <f t="shared" si="210"/>
        <v>0</v>
      </c>
      <c r="AQ293" s="50">
        <f t="shared" si="210"/>
        <v>0</v>
      </c>
      <c r="AR293" s="50">
        <f t="shared" si="210"/>
        <v>0</v>
      </c>
      <c r="AS293" s="50">
        <f t="shared" si="210"/>
        <v>0</v>
      </c>
      <c r="AT293" s="50">
        <f t="shared" si="210"/>
        <v>0</v>
      </c>
      <c r="AU293" s="50">
        <f t="shared" si="210"/>
        <v>0</v>
      </c>
    </row>
    <row r="294" spans="1:47">
      <c r="A294" s="38" t="str">
        <f t="shared" si="207"/>
        <v>1X-</v>
      </c>
      <c r="B294" s="38" t="s">
        <v>277</v>
      </c>
      <c r="C294" s="38" t="str">
        <f t="shared" si="211"/>
        <v>Fluid Bed Incineration</v>
      </c>
      <c r="D294" s="186">
        <f>OMEsc</f>
        <v>0.02</v>
      </c>
      <c r="E294" s="325"/>
      <c r="G294" s="36" t="s">
        <v>276</v>
      </c>
      <c r="I294" s="39"/>
      <c r="K294" s="39"/>
      <c r="L294" s="43" t="str">
        <f>"["&amp;CostBaseYr&amp;" $]"</f>
        <v>[2013 $]</v>
      </c>
      <c r="N294" s="70">
        <f ca="1">SUMIFS(OFFSET(Assumptions!$I$90,0,MATCH($A294,Configurations,0)-1,COUNT(Assumptions!$A$90:$A$183),1),Assumptions!$D$90:$D$183,$B294&amp;$C294)</f>
        <v>0</v>
      </c>
      <c r="O294" s="313"/>
      <c r="P294" s="323"/>
      <c r="Q294" s="313"/>
      <c r="R294" s="50">
        <f t="shared" ca="1" si="209"/>
        <v>0</v>
      </c>
      <c r="S294" s="50">
        <f t="shared" ca="1" si="210"/>
        <v>0</v>
      </c>
      <c r="T294" s="50">
        <f t="shared" ca="1" si="210"/>
        <v>0</v>
      </c>
      <c r="U294" s="50">
        <f t="shared" ca="1" si="210"/>
        <v>0</v>
      </c>
      <c r="V294" s="50">
        <f t="shared" ca="1" si="210"/>
        <v>0</v>
      </c>
      <c r="W294" s="50">
        <f t="shared" ca="1" si="210"/>
        <v>0</v>
      </c>
      <c r="X294" s="50">
        <f t="shared" ca="1" si="210"/>
        <v>0</v>
      </c>
      <c r="Y294" s="50">
        <f t="shared" ca="1" si="210"/>
        <v>0</v>
      </c>
      <c r="Z294" s="50">
        <f t="shared" ca="1" si="210"/>
        <v>0</v>
      </c>
      <c r="AA294" s="50">
        <f t="shared" ca="1" si="210"/>
        <v>0</v>
      </c>
      <c r="AB294" s="50">
        <f t="shared" ca="1" si="210"/>
        <v>0</v>
      </c>
      <c r="AC294" s="50">
        <f t="shared" ca="1" si="210"/>
        <v>0</v>
      </c>
      <c r="AD294" s="50">
        <f t="shared" ca="1" si="210"/>
        <v>0</v>
      </c>
      <c r="AE294" s="50">
        <f t="shared" ca="1" si="210"/>
        <v>0</v>
      </c>
      <c r="AF294" s="50">
        <f t="shared" ca="1" si="210"/>
        <v>0</v>
      </c>
      <c r="AG294" s="50">
        <f t="shared" ca="1" si="210"/>
        <v>0</v>
      </c>
      <c r="AH294" s="50">
        <f t="shared" ca="1" si="210"/>
        <v>0</v>
      </c>
      <c r="AI294" s="50">
        <f t="shared" ca="1" si="210"/>
        <v>0</v>
      </c>
      <c r="AJ294" s="50">
        <f t="shared" ca="1" si="210"/>
        <v>0</v>
      </c>
      <c r="AK294" s="50">
        <f t="shared" ca="1" si="210"/>
        <v>0</v>
      </c>
      <c r="AL294" s="50">
        <f t="shared" si="210"/>
        <v>0</v>
      </c>
      <c r="AM294" s="50">
        <f t="shared" si="210"/>
        <v>0</v>
      </c>
      <c r="AN294" s="50">
        <f t="shared" si="210"/>
        <v>0</v>
      </c>
      <c r="AO294" s="50">
        <f t="shared" si="210"/>
        <v>0</v>
      </c>
      <c r="AP294" s="50">
        <f t="shared" si="210"/>
        <v>0</v>
      </c>
      <c r="AQ294" s="50">
        <f t="shared" si="210"/>
        <v>0</v>
      </c>
      <c r="AR294" s="50">
        <f t="shared" si="210"/>
        <v>0</v>
      </c>
      <c r="AS294" s="50">
        <f t="shared" si="210"/>
        <v>0</v>
      </c>
      <c r="AT294" s="50">
        <f t="shared" si="210"/>
        <v>0</v>
      </c>
      <c r="AU294" s="50">
        <f t="shared" si="210"/>
        <v>0</v>
      </c>
    </row>
    <row r="295" spans="1:47">
      <c r="A295" s="38" t="str">
        <f t="shared" si="207"/>
        <v>1X-</v>
      </c>
      <c r="B295" s="38" t="s">
        <v>274</v>
      </c>
      <c r="C295" s="38" t="str">
        <f t="shared" si="211"/>
        <v>Fluid Bed Incineration</v>
      </c>
      <c r="D295" s="186"/>
      <c r="E295" s="325"/>
      <c r="G295" s="36" t="s">
        <v>16</v>
      </c>
      <c r="I295" s="39"/>
      <c r="K295" s="39"/>
      <c r="L295" s="43" t="s">
        <v>275</v>
      </c>
      <c r="N295" s="70">
        <f ca="1">SUMIFS(OFFSET(Assumptions!$I$90,0,MATCH($A295,Configurations,0)-1,COUNT(Assumptions!$A$90:$A$183),1),Assumptions!$D$90:$D$183,$B295&amp;$C295)</f>
        <v>0</v>
      </c>
      <c r="O295" s="313"/>
      <c r="P295" s="323"/>
      <c r="Q295" s="313"/>
      <c r="R295" s="50">
        <f t="shared" ref="R295:AU295" ca="1" si="212">IF(OR(R$99&lt;InServiceYr,R$99&gt;(InServiceYr+analysis_period-1)),0,IF($P295=0,$N295,$P295)*R$505)</f>
        <v>0</v>
      </c>
      <c r="S295" s="50">
        <f t="shared" ca="1" si="212"/>
        <v>0</v>
      </c>
      <c r="T295" s="50">
        <f t="shared" ca="1" si="212"/>
        <v>0</v>
      </c>
      <c r="U295" s="50">
        <f t="shared" ca="1" si="212"/>
        <v>0</v>
      </c>
      <c r="V295" s="50">
        <f t="shared" ca="1" si="212"/>
        <v>0</v>
      </c>
      <c r="W295" s="50">
        <f t="shared" ca="1" si="212"/>
        <v>0</v>
      </c>
      <c r="X295" s="50">
        <f t="shared" ca="1" si="212"/>
        <v>0</v>
      </c>
      <c r="Y295" s="50">
        <f t="shared" ca="1" si="212"/>
        <v>0</v>
      </c>
      <c r="Z295" s="50">
        <f t="shared" ca="1" si="212"/>
        <v>0</v>
      </c>
      <c r="AA295" s="50">
        <f t="shared" ca="1" si="212"/>
        <v>0</v>
      </c>
      <c r="AB295" s="50">
        <f t="shared" ca="1" si="212"/>
        <v>0</v>
      </c>
      <c r="AC295" s="50">
        <f t="shared" ca="1" si="212"/>
        <v>0</v>
      </c>
      <c r="AD295" s="50">
        <f t="shared" ca="1" si="212"/>
        <v>0</v>
      </c>
      <c r="AE295" s="50">
        <f t="shared" ca="1" si="212"/>
        <v>0</v>
      </c>
      <c r="AF295" s="50">
        <f t="shared" ca="1" si="212"/>
        <v>0</v>
      </c>
      <c r="AG295" s="50">
        <f t="shared" ca="1" si="212"/>
        <v>0</v>
      </c>
      <c r="AH295" s="50">
        <f t="shared" ca="1" si="212"/>
        <v>0</v>
      </c>
      <c r="AI295" s="50">
        <f t="shared" ca="1" si="212"/>
        <v>0</v>
      </c>
      <c r="AJ295" s="50">
        <f t="shared" ca="1" si="212"/>
        <v>0</v>
      </c>
      <c r="AK295" s="50">
        <f t="shared" ca="1" si="212"/>
        <v>0</v>
      </c>
      <c r="AL295" s="50">
        <f t="shared" si="212"/>
        <v>0</v>
      </c>
      <c r="AM295" s="50">
        <f t="shared" si="212"/>
        <v>0</v>
      </c>
      <c r="AN295" s="50">
        <f t="shared" si="212"/>
        <v>0</v>
      </c>
      <c r="AO295" s="50">
        <f t="shared" si="212"/>
        <v>0</v>
      </c>
      <c r="AP295" s="50">
        <f t="shared" si="212"/>
        <v>0</v>
      </c>
      <c r="AQ295" s="50">
        <f t="shared" si="212"/>
        <v>0</v>
      </c>
      <c r="AR295" s="50">
        <f t="shared" si="212"/>
        <v>0</v>
      </c>
      <c r="AS295" s="50">
        <f t="shared" si="212"/>
        <v>0</v>
      </c>
      <c r="AT295" s="50">
        <f t="shared" si="212"/>
        <v>0</v>
      </c>
      <c r="AU295" s="50">
        <f t="shared" si="212"/>
        <v>0</v>
      </c>
    </row>
    <row r="296" spans="1:47">
      <c r="A296" s="38" t="str">
        <f t="shared" si="207"/>
        <v>1X-</v>
      </c>
      <c r="B296" s="38" t="s">
        <v>257</v>
      </c>
      <c r="C296" s="38" t="str">
        <f t="shared" si="211"/>
        <v>Fluid Bed Incineration</v>
      </c>
      <c r="D296" s="186"/>
      <c r="E296" s="325"/>
      <c r="G296" s="36" t="s">
        <v>284</v>
      </c>
      <c r="I296" s="39"/>
      <c r="K296" s="39"/>
      <c r="L296" s="43" t="s">
        <v>293</v>
      </c>
      <c r="N296" s="70">
        <f ca="1">SUMIFS(OFFSET(Assumptions!$I$90,0,MATCH($A296,Configurations,0)-1,COUNT(Assumptions!$A$90:$A$183),1),Assumptions!$D$90:$D$183,$B296&amp;$C296)</f>
        <v>0</v>
      </c>
      <c r="O296" s="313"/>
      <c r="P296" s="323"/>
      <c r="Q296" s="313"/>
      <c r="R296" s="50">
        <f t="shared" ref="R296:AU296" ca="1" si="213">IF(OR(R$99&lt;InServiceYr,R$99&gt;(InServiceYr+analysis_period-1)),0,IF($P296=0,$N296,$P296)*R$501)</f>
        <v>0</v>
      </c>
      <c r="S296" s="50">
        <f t="shared" ca="1" si="213"/>
        <v>0</v>
      </c>
      <c r="T296" s="50">
        <f t="shared" ca="1" si="213"/>
        <v>0</v>
      </c>
      <c r="U296" s="50">
        <f t="shared" ca="1" si="213"/>
        <v>0</v>
      </c>
      <c r="V296" s="50">
        <f t="shared" ca="1" si="213"/>
        <v>0</v>
      </c>
      <c r="W296" s="50">
        <f t="shared" ca="1" si="213"/>
        <v>0</v>
      </c>
      <c r="X296" s="50">
        <f t="shared" ca="1" si="213"/>
        <v>0</v>
      </c>
      <c r="Y296" s="50">
        <f t="shared" ca="1" si="213"/>
        <v>0</v>
      </c>
      <c r="Z296" s="50">
        <f t="shared" ca="1" si="213"/>
        <v>0</v>
      </c>
      <c r="AA296" s="50">
        <f t="shared" ca="1" si="213"/>
        <v>0</v>
      </c>
      <c r="AB296" s="50">
        <f t="shared" ca="1" si="213"/>
        <v>0</v>
      </c>
      <c r="AC296" s="50">
        <f t="shared" ca="1" si="213"/>
        <v>0</v>
      </c>
      <c r="AD296" s="50">
        <f t="shared" ca="1" si="213"/>
        <v>0</v>
      </c>
      <c r="AE296" s="50">
        <f t="shared" ca="1" si="213"/>
        <v>0</v>
      </c>
      <c r="AF296" s="50">
        <f t="shared" ca="1" si="213"/>
        <v>0</v>
      </c>
      <c r="AG296" s="50">
        <f t="shared" ca="1" si="213"/>
        <v>0</v>
      </c>
      <c r="AH296" s="50">
        <f t="shared" ca="1" si="213"/>
        <v>0</v>
      </c>
      <c r="AI296" s="50">
        <f t="shared" ca="1" si="213"/>
        <v>0</v>
      </c>
      <c r="AJ296" s="50">
        <f t="shared" ca="1" si="213"/>
        <v>0</v>
      </c>
      <c r="AK296" s="50">
        <f t="shared" ca="1" si="213"/>
        <v>0</v>
      </c>
      <c r="AL296" s="50">
        <f t="shared" si="213"/>
        <v>0</v>
      </c>
      <c r="AM296" s="50">
        <f t="shared" si="213"/>
        <v>0</v>
      </c>
      <c r="AN296" s="50">
        <f t="shared" si="213"/>
        <v>0</v>
      </c>
      <c r="AO296" s="50">
        <f t="shared" si="213"/>
        <v>0</v>
      </c>
      <c r="AP296" s="50">
        <f t="shared" si="213"/>
        <v>0</v>
      </c>
      <c r="AQ296" s="50">
        <f t="shared" si="213"/>
        <v>0</v>
      </c>
      <c r="AR296" s="50">
        <f t="shared" si="213"/>
        <v>0</v>
      </c>
      <c r="AS296" s="50">
        <f t="shared" si="213"/>
        <v>0</v>
      </c>
      <c r="AT296" s="50">
        <f t="shared" si="213"/>
        <v>0</v>
      </c>
      <c r="AU296" s="50">
        <f t="shared" si="213"/>
        <v>0</v>
      </c>
    </row>
    <row r="297" spans="1:47">
      <c r="A297" s="38" t="str">
        <f t="shared" si="207"/>
        <v>1X-</v>
      </c>
      <c r="B297" s="38" t="s">
        <v>864</v>
      </c>
      <c r="C297" s="38" t="str">
        <f t="shared" si="211"/>
        <v>Fluid Bed Incineration</v>
      </c>
      <c r="D297" s="186">
        <f>GHGEsc</f>
        <v>0.02</v>
      </c>
      <c r="E297" s="325"/>
      <c r="G297" s="36" t="s">
        <v>865</v>
      </c>
      <c r="I297" s="39"/>
      <c r="K297" s="39"/>
      <c r="L297" s="43" t="s">
        <v>866</v>
      </c>
      <c r="N297" s="70">
        <f ca="1">SUMIFS(OFFSET(Assumptions!$I$90,0,MATCH($A297,Configurations,0)-1,COUNT(Assumptions!$A$90:$A$183),1),Assumptions!$D$90:$D$183,$B297&amp;$C297)</f>
        <v>0</v>
      </c>
      <c r="O297" s="313"/>
      <c r="P297" s="323"/>
      <c r="Q297" s="313"/>
      <c r="R297" s="50">
        <f t="shared" ref="R297:AU297" ca="1" si="214">IF(OR(R$99&lt;InServiceYr,R$99&gt;(InServiceYr+analysis_period-1)),0,IF($P297=0,$N297,$P297)*R$513)</f>
        <v>0</v>
      </c>
      <c r="S297" s="50">
        <f t="shared" ca="1" si="214"/>
        <v>0</v>
      </c>
      <c r="T297" s="50">
        <f t="shared" ca="1" si="214"/>
        <v>0</v>
      </c>
      <c r="U297" s="50">
        <f t="shared" ca="1" si="214"/>
        <v>0</v>
      </c>
      <c r="V297" s="50">
        <f t="shared" ca="1" si="214"/>
        <v>0</v>
      </c>
      <c r="W297" s="50">
        <f t="shared" ca="1" si="214"/>
        <v>0</v>
      </c>
      <c r="X297" s="50">
        <f t="shared" ca="1" si="214"/>
        <v>0</v>
      </c>
      <c r="Y297" s="50">
        <f t="shared" ca="1" si="214"/>
        <v>0</v>
      </c>
      <c r="Z297" s="50">
        <f t="shared" ca="1" si="214"/>
        <v>0</v>
      </c>
      <c r="AA297" s="50">
        <f t="shared" ca="1" si="214"/>
        <v>0</v>
      </c>
      <c r="AB297" s="50">
        <f t="shared" ca="1" si="214"/>
        <v>0</v>
      </c>
      <c r="AC297" s="50">
        <f t="shared" ca="1" si="214"/>
        <v>0</v>
      </c>
      <c r="AD297" s="50">
        <f t="shared" ca="1" si="214"/>
        <v>0</v>
      </c>
      <c r="AE297" s="50">
        <f t="shared" ca="1" si="214"/>
        <v>0</v>
      </c>
      <c r="AF297" s="50">
        <f t="shared" ca="1" si="214"/>
        <v>0</v>
      </c>
      <c r="AG297" s="50">
        <f t="shared" ca="1" si="214"/>
        <v>0</v>
      </c>
      <c r="AH297" s="50">
        <f t="shared" ca="1" si="214"/>
        <v>0</v>
      </c>
      <c r="AI297" s="50">
        <f t="shared" ca="1" si="214"/>
        <v>0</v>
      </c>
      <c r="AJ297" s="50">
        <f t="shared" ca="1" si="214"/>
        <v>0</v>
      </c>
      <c r="AK297" s="50">
        <f t="shared" ca="1" si="214"/>
        <v>0</v>
      </c>
      <c r="AL297" s="50">
        <f t="shared" si="214"/>
        <v>0</v>
      </c>
      <c r="AM297" s="50">
        <f t="shared" si="214"/>
        <v>0</v>
      </c>
      <c r="AN297" s="50">
        <f t="shared" si="214"/>
        <v>0</v>
      </c>
      <c r="AO297" s="50">
        <f t="shared" si="214"/>
        <v>0</v>
      </c>
      <c r="AP297" s="50">
        <f t="shared" si="214"/>
        <v>0</v>
      </c>
      <c r="AQ297" s="50">
        <f t="shared" si="214"/>
        <v>0</v>
      </c>
      <c r="AR297" s="50">
        <f t="shared" si="214"/>
        <v>0</v>
      </c>
      <c r="AS297" s="50">
        <f t="shared" si="214"/>
        <v>0</v>
      </c>
      <c r="AT297" s="50">
        <f t="shared" si="214"/>
        <v>0</v>
      </c>
      <c r="AU297" s="50">
        <f t="shared" si="214"/>
        <v>0</v>
      </c>
    </row>
    <row r="298" spans="1:47">
      <c r="A298" s="38" t="str">
        <f t="shared" si="207"/>
        <v>1X-</v>
      </c>
      <c r="B298" s="38" t="s">
        <v>273</v>
      </c>
      <c r="C298" s="38" t="str">
        <f>C296</f>
        <v>Fluid Bed Incineration</v>
      </c>
      <c r="D298" s="186">
        <f>LaborEsc</f>
        <v>0.02</v>
      </c>
      <c r="E298" s="325"/>
      <c r="G298" s="36" t="s">
        <v>291</v>
      </c>
      <c r="I298" s="39"/>
      <c r="K298" s="39"/>
      <c r="L298" s="43" t="str">
        <f>"["&amp;CostBaseYr&amp;" $]"</f>
        <v>[2013 $]</v>
      </c>
      <c r="N298" s="70">
        <f ca="1">SUMIFS(OFFSET(Assumptions!$I$90,0,MATCH($A298,Configurations,0)-1,COUNT(Assumptions!$A$90:$A$183),1),Assumptions!$D$90:$D$183,$B298&amp;$C298)</f>
        <v>0</v>
      </c>
      <c r="O298" s="313"/>
      <c r="P298" s="323"/>
      <c r="Q298" s="313"/>
      <c r="R298" s="50">
        <f t="shared" ref="R298:AU298" ca="1" si="215">IF(OR(R$99&lt;InServiceYr,R$99&gt;(InServiceYr+analysis_period-1)),0,IF($P298=0,$N298,$P298)*(1+$D298)^(R$99-CostBaseYr))*R$509</f>
        <v>0</v>
      </c>
      <c r="S298" s="50">
        <f t="shared" ca="1" si="215"/>
        <v>0</v>
      </c>
      <c r="T298" s="50">
        <f t="shared" ca="1" si="215"/>
        <v>0</v>
      </c>
      <c r="U298" s="50">
        <f t="shared" ca="1" si="215"/>
        <v>0</v>
      </c>
      <c r="V298" s="50">
        <f t="shared" ca="1" si="215"/>
        <v>0</v>
      </c>
      <c r="W298" s="50">
        <f t="shared" ca="1" si="215"/>
        <v>0</v>
      </c>
      <c r="X298" s="50">
        <f t="shared" ca="1" si="215"/>
        <v>0</v>
      </c>
      <c r="Y298" s="50">
        <f t="shared" ca="1" si="215"/>
        <v>0</v>
      </c>
      <c r="Z298" s="50">
        <f t="shared" ca="1" si="215"/>
        <v>0</v>
      </c>
      <c r="AA298" s="50">
        <f t="shared" ca="1" si="215"/>
        <v>0</v>
      </c>
      <c r="AB298" s="50">
        <f t="shared" ca="1" si="215"/>
        <v>0</v>
      </c>
      <c r="AC298" s="50">
        <f t="shared" ca="1" si="215"/>
        <v>0</v>
      </c>
      <c r="AD298" s="50">
        <f t="shared" ca="1" si="215"/>
        <v>0</v>
      </c>
      <c r="AE298" s="50">
        <f t="shared" ca="1" si="215"/>
        <v>0</v>
      </c>
      <c r="AF298" s="50">
        <f t="shared" ca="1" si="215"/>
        <v>0</v>
      </c>
      <c r="AG298" s="50">
        <f t="shared" ca="1" si="215"/>
        <v>0</v>
      </c>
      <c r="AH298" s="50">
        <f t="shared" ca="1" si="215"/>
        <v>0</v>
      </c>
      <c r="AI298" s="50">
        <f t="shared" ca="1" si="215"/>
        <v>0</v>
      </c>
      <c r="AJ298" s="50">
        <f t="shared" ca="1" si="215"/>
        <v>0</v>
      </c>
      <c r="AK298" s="50">
        <f t="shared" ca="1" si="215"/>
        <v>0</v>
      </c>
      <c r="AL298" s="50">
        <f t="shared" si="215"/>
        <v>0</v>
      </c>
      <c r="AM298" s="50">
        <f t="shared" si="215"/>
        <v>0</v>
      </c>
      <c r="AN298" s="50">
        <f t="shared" si="215"/>
        <v>0</v>
      </c>
      <c r="AO298" s="50">
        <f t="shared" si="215"/>
        <v>0</v>
      </c>
      <c r="AP298" s="50">
        <f t="shared" si="215"/>
        <v>0</v>
      </c>
      <c r="AQ298" s="50">
        <f t="shared" si="215"/>
        <v>0</v>
      </c>
      <c r="AR298" s="50">
        <f t="shared" si="215"/>
        <v>0</v>
      </c>
      <c r="AS298" s="50">
        <f t="shared" si="215"/>
        <v>0</v>
      </c>
      <c r="AT298" s="50">
        <f t="shared" si="215"/>
        <v>0</v>
      </c>
      <c r="AU298" s="50">
        <f t="shared" si="215"/>
        <v>0</v>
      </c>
    </row>
    <row r="299" spans="1:47">
      <c r="D299" s="186"/>
      <c r="E299" s="325"/>
      <c r="G299" s="39" t="s">
        <v>304</v>
      </c>
      <c r="I299" s="39"/>
      <c r="K299" s="39"/>
      <c r="L299" s="43"/>
      <c r="N299" s="70"/>
      <c r="O299" s="313"/>
      <c r="P299" s="70"/>
      <c r="Q299" s="313"/>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row>
    <row r="300" spans="1:47">
      <c r="A300" s="38" t="str">
        <f>$J$4&amp;"-"</f>
        <v>1X-</v>
      </c>
      <c r="B300" s="38" t="s">
        <v>265</v>
      </c>
      <c r="C300" s="38" t="str">
        <f>C291</f>
        <v>Fluid Bed Incineration</v>
      </c>
      <c r="D300" s="186"/>
      <c r="E300" s="325"/>
      <c r="G300" s="36" t="s">
        <v>108</v>
      </c>
      <c r="I300" s="39"/>
      <c r="K300" s="39"/>
      <c r="L300" s="43" t="s">
        <v>293</v>
      </c>
      <c r="N300" s="70">
        <f ca="1">SUMIFS(OFFSET(Assumptions!$I$90,0,MATCH($A300,Configurations,0)-1,COUNT(Assumptions!$A$90:$A$183),1),Assumptions!$D$90:$D$183,$B300&amp;$C300)</f>
        <v>0</v>
      </c>
      <c r="O300" s="313"/>
      <c r="P300" s="323"/>
      <c r="Q300" s="313"/>
      <c r="R300" s="50">
        <f t="shared" ref="R300:AU300" ca="1" si="216">IF(OR(R$99&lt;InServiceYr,R$99&gt;(InServiceYr+analysis_period-1)),0,IF($P300=0,$N300,$P300)*R$501)</f>
        <v>0</v>
      </c>
      <c r="S300" s="50">
        <f t="shared" ca="1" si="216"/>
        <v>0</v>
      </c>
      <c r="T300" s="50">
        <f t="shared" ca="1" si="216"/>
        <v>0</v>
      </c>
      <c r="U300" s="50">
        <f t="shared" ca="1" si="216"/>
        <v>0</v>
      </c>
      <c r="V300" s="50">
        <f t="shared" ca="1" si="216"/>
        <v>0</v>
      </c>
      <c r="W300" s="50">
        <f t="shared" ca="1" si="216"/>
        <v>0</v>
      </c>
      <c r="X300" s="50">
        <f t="shared" ca="1" si="216"/>
        <v>0</v>
      </c>
      <c r="Y300" s="50">
        <f t="shared" ca="1" si="216"/>
        <v>0</v>
      </c>
      <c r="Z300" s="50">
        <f t="shared" ca="1" si="216"/>
        <v>0</v>
      </c>
      <c r="AA300" s="50">
        <f t="shared" ca="1" si="216"/>
        <v>0</v>
      </c>
      <c r="AB300" s="50">
        <f t="shared" ca="1" si="216"/>
        <v>0</v>
      </c>
      <c r="AC300" s="50">
        <f t="shared" ca="1" si="216"/>
        <v>0</v>
      </c>
      <c r="AD300" s="50">
        <f t="shared" ca="1" si="216"/>
        <v>0</v>
      </c>
      <c r="AE300" s="50">
        <f t="shared" ca="1" si="216"/>
        <v>0</v>
      </c>
      <c r="AF300" s="50">
        <f t="shared" ca="1" si="216"/>
        <v>0</v>
      </c>
      <c r="AG300" s="50">
        <f t="shared" ca="1" si="216"/>
        <v>0</v>
      </c>
      <c r="AH300" s="50">
        <f t="shared" ca="1" si="216"/>
        <v>0</v>
      </c>
      <c r="AI300" s="50">
        <f t="shared" ca="1" si="216"/>
        <v>0</v>
      </c>
      <c r="AJ300" s="50">
        <f t="shared" ca="1" si="216"/>
        <v>0</v>
      </c>
      <c r="AK300" s="50">
        <f t="shared" ca="1" si="216"/>
        <v>0</v>
      </c>
      <c r="AL300" s="50">
        <f t="shared" si="216"/>
        <v>0</v>
      </c>
      <c r="AM300" s="50">
        <f t="shared" si="216"/>
        <v>0</v>
      </c>
      <c r="AN300" s="50">
        <f t="shared" si="216"/>
        <v>0</v>
      </c>
      <c r="AO300" s="50">
        <f t="shared" si="216"/>
        <v>0</v>
      </c>
      <c r="AP300" s="50">
        <f t="shared" si="216"/>
        <v>0</v>
      </c>
      <c r="AQ300" s="50">
        <f t="shared" si="216"/>
        <v>0</v>
      </c>
      <c r="AR300" s="50">
        <f t="shared" si="216"/>
        <v>0</v>
      </c>
      <c r="AS300" s="50">
        <f t="shared" si="216"/>
        <v>0</v>
      </c>
      <c r="AT300" s="50">
        <f t="shared" si="216"/>
        <v>0</v>
      </c>
      <c r="AU300" s="50">
        <f t="shared" si="216"/>
        <v>0</v>
      </c>
    </row>
    <row r="301" spans="1:47">
      <c r="A301" s="38" t="str">
        <f>$J$4&amp;"-"</f>
        <v>1X-</v>
      </c>
      <c r="B301" s="38" t="s">
        <v>289</v>
      </c>
      <c r="C301" s="38" t="str">
        <f>C291</f>
        <v>Fluid Bed Incineration</v>
      </c>
      <c r="D301" s="186">
        <f>LaborEsc</f>
        <v>0.02</v>
      </c>
      <c r="E301" s="325"/>
      <c r="G301" s="36" t="s">
        <v>292</v>
      </c>
      <c r="I301" s="39"/>
      <c r="K301" s="39"/>
      <c r="L301" s="43" t="str">
        <f>"["&amp;CostBaseYr&amp;" $]"</f>
        <v>[2013 $]</v>
      </c>
      <c r="N301" s="70">
        <f ca="1">SUMIFS(OFFSET(Assumptions!$I$90,0,MATCH($A301,Configurations,0)-1,COUNT(Assumptions!$A$90:$A$183),1),Assumptions!$D$90:$D$183,$B301&amp;$C301)</f>
        <v>0</v>
      </c>
      <c r="O301" s="313"/>
      <c r="P301" s="323"/>
      <c r="Q301" s="313"/>
      <c r="R301" s="50">
        <f t="shared" ref="R301:AU301" ca="1" si="217">IF(OR(R$99&lt;InServiceYr,R$99&gt;(InServiceYr+analysis_period-1)),0,IF($P301=0,$N301,$P301)*(1+$D301)^(R$99-CostBaseYr))</f>
        <v>0</v>
      </c>
      <c r="S301" s="50">
        <f t="shared" ca="1" si="217"/>
        <v>0</v>
      </c>
      <c r="T301" s="50">
        <f t="shared" ca="1" si="217"/>
        <v>0</v>
      </c>
      <c r="U301" s="50">
        <f t="shared" ca="1" si="217"/>
        <v>0</v>
      </c>
      <c r="V301" s="50">
        <f t="shared" ca="1" si="217"/>
        <v>0</v>
      </c>
      <c r="W301" s="50">
        <f t="shared" ca="1" si="217"/>
        <v>0</v>
      </c>
      <c r="X301" s="50">
        <f t="shared" ca="1" si="217"/>
        <v>0</v>
      </c>
      <c r="Y301" s="50">
        <f t="shared" ca="1" si="217"/>
        <v>0</v>
      </c>
      <c r="Z301" s="50">
        <f t="shared" ca="1" si="217"/>
        <v>0</v>
      </c>
      <c r="AA301" s="50">
        <f t="shared" ca="1" si="217"/>
        <v>0</v>
      </c>
      <c r="AB301" s="50">
        <f t="shared" ca="1" si="217"/>
        <v>0</v>
      </c>
      <c r="AC301" s="50">
        <f t="shared" ca="1" si="217"/>
        <v>0</v>
      </c>
      <c r="AD301" s="50">
        <f t="shared" ca="1" si="217"/>
        <v>0</v>
      </c>
      <c r="AE301" s="50">
        <f t="shared" ca="1" si="217"/>
        <v>0</v>
      </c>
      <c r="AF301" s="50">
        <f t="shared" ca="1" si="217"/>
        <v>0</v>
      </c>
      <c r="AG301" s="50">
        <f t="shared" ca="1" si="217"/>
        <v>0</v>
      </c>
      <c r="AH301" s="50">
        <f t="shared" ca="1" si="217"/>
        <v>0</v>
      </c>
      <c r="AI301" s="50">
        <f t="shared" ca="1" si="217"/>
        <v>0</v>
      </c>
      <c r="AJ301" s="50">
        <f t="shared" ca="1" si="217"/>
        <v>0</v>
      </c>
      <c r="AK301" s="50">
        <f t="shared" ca="1" si="217"/>
        <v>0</v>
      </c>
      <c r="AL301" s="50">
        <f t="shared" si="217"/>
        <v>0</v>
      </c>
      <c r="AM301" s="50">
        <f t="shared" si="217"/>
        <v>0</v>
      </c>
      <c r="AN301" s="50">
        <f t="shared" si="217"/>
        <v>0</v>
      </c>
      <c r="AO301" s="50">
        <f t="shared" si="217"/>
        <v>0</v>
      </c>
      <c r="AP301" s="50">
        <f t="shared" si="217"/>
        <v>0</v>
      </c>
      <c r="AQ301" s="50">
        <f t="shared" si="217"/>
        <v>0</v>
      </c>
      <c r="AR301" s="50">
        <f t="shared" si="217"/>
        <v>0</v>
      </c>
      <c r="AS301" s="50">
        <f t="shared" si="217"/>
        <v>0</v>
      </c>
      <c r="AT301" s="50">
        <f t="shared" si="217"/>
        <v>0</v>
      </c>
      <c r="AU301" s="50">
        <f t="shared" si="217"/>
        <v>0</v>
      </c>
    </row>
    <row r="302" spans="1:47" s="60" customFormat="1">
      <c r="D302" s="187"/>
      <c r="E302" s="325"/>
      <c r="G302" s="39" t="s">
        <v>305</v>
      </c>
      <c r="I302" s="39"/>
      <c r="K302" s="39"/>
      <c r="L302" s="174"/>
      <c r="N302" s="188"/>
      <c r="O302" s="314"/>
      <c r="P302" s="185"/>
      <c r="Q302" s="314"/>
      <c r="R302" s="185">
        <f ca="1">SUM(R291:R298)-SUM(R300:R301)</f>
        <v>0</v>
      </c>
      <c r="S302" s="185">
        <f t="shared" ref="S302:AU302" ca="1" si="218">SUM(S291:S298)-SUM(S300:S301)</f>
        <v>0</v>
      </c>
      <c r="T302" s="185">
        <f t="shared" ca="1" si="218"/>
        <v>0</v>
      </c>
      <c r="U302" s="185">
        <f t="shared" ca="1" si="218"/>
        <v>0</v>
      </c>
      <c r="V302" s="185">
        <f t="shared" ca="1" si="218"/>
        <v>0</v>
      </c>
      <c r="W302" s="185">
        <f t="shared" ca="1" si="218"/>
        <v>0</v>
      </c>
      <c r="X302" s="185">
        <f t="shared" ca="1" si="218"/>
        <v>0</v>
      </c>
      <c r="Y302" s="185">
        <f t="shared" ca="1" si="218"/>
        <v>0</v>
      </c>
      <c r="Z302" s="185">
        <f t="shared" ca="1" si="218"/>
        <v>0</v>
      </c>
      <c r="AA302" s="185">
        <f t="shared" ca="1" si="218"/>
        <v>0</v>
      </c>
      <c r="AB302" s="185">
        <f t="shared" ca="1" si="218"/>
        <v>0</v>
      </c>
      <c r="AC302" s="185">
        <f t="shared" ca="1" si="218"/>
        <v>0</v>
      </c>
      <c r="AD302" s="185">
        <f t="shared" ca="1" si="218"/>
        <v>0</v>
      </c>
      <c r="AE302" s="185">
        <f t="shared" ca="1" si="218"/>
        <v>0</v>
      </c>
      <c r="AF302" s="185">
        <f t="shared" ca="1" si="218"/>
        <v>0</v>
      </c>
      <c r="AG302" s="185">
        <f t="shared" ca="1" si="218"/>
        <v>0</v>
      </c>
      <c r="AH302" s="185">
        <f t="shared" ca="1" si="218"/>
        <v>0</v>
      </c>
      <c r="AI302" s="185">
        <f t="shared" ca="1" si="218"/>
        <v>0</v>
      </c>
      <c r="AJ302" s="185">
        <f t="shared" ca="1" si="218"/>
        <v>0</v>
      </c>
      <c r="AK302" s="185">
        <f t="shared" ca="1" si="218"/>
        <v>0</v>
      </c>
      <c r="AL302" s="185">
        <f t="shared" si="218"/>
        <v>0</v>
      </c>
      <c r="AM302" s="185">
        <f t="shared" si="218"/>
        <v>0</v>
      </c>
      <c r="AN302" s="185">
        <f t="shared" si="218"/>
        <v>0</v>
      </c>
      <c r="AO302" s="185">
        <f t="shared" si="218"/>
        <v>0</v>
      </c>
      <c r="AP302" s="185">
        <f t="shared" si="218"/>
        <v>0</v>
      </c>
      <c r="AQ302" s="185">
        <f t="shared" si="218"/>
        <v>0</v>
      </c>
      <c r="AR302" s="185">
        <f t="shared" si="218"/>
        <v>0</v>
      </c>
      <c r="AS302" s="185">
        <f t="shared" si="218"/>
        <v>0</v>
      </c>
      <c r="AT302" s="185">
        <f t="shared" si="218"/>
        <v>0</v>
      </c>
      <c r="AU302" s="185">
        <f t="shared" si="218"/>
        <v>0</v>
      </c>
    </row>
    <row r="303" spans="1:47">
      <c r="E303" s="36"/>
      <c r="G303" s="39"/>
      <c r="H303" s="39"/>
      <c r="I303" s="39"/>
      <c r="J303" s="39"/>
      <c r="K303" s="39"/>
    </row>
    <row r="304" spans="1:47">
      <c r="E304" s="327"/>
      <c r="F304" s="28"/>
      <c r="G304" s="324" t="str">
        <f>C306&amp;" Capital Costs"</f>
        <v>FOG Receiving Capital Costs</v>
      </c>
      <c r="H304" s="324"/>
      <c r="I304" s="324"/>
      <c r="J304" s="324"/>
      <c r="K304" s="324"/>
      <c r="L304" s="405" t="s">
        <v>79</v>
      </c>
      <c r="M304" s="256"/>
      <c r="N304" s="325" t="s">
        <v>490</v>
      </c>
      <c r="O304" s="311"/>
      <c r="P304" s="325" t="s">
        <v>491</v>
      </c>
      <c r="Q304" s="310"/>
      <c r="R304" s="325">
        <f>R$8</f>
        <v>2014</v>
      </c>
      <c r="S304" s="325">
        <f t="shared" ref="S304:AU304" si="219">S$8</f>
        <v>2015</v>
      </c>
      <c r="T304" s="325">
        <f t="shared" si="219"/>
        <v>2016</v>
      </c>
      <c r="U304" s="325">
        <f t="shared" si="219"/>
        <v>2017</v>
      </c>
      <c r="V304" s="325">
        <f t="shared" si="219"/>
        <v>2018</v>
      </c>
      <c r="W304" s="325">
        <f t="shared" si="219"/>
        <v>2019</v>
      </c>
      <c r="X304" s="325">
        <f t="shared" si="219"/>
        <v>2020</v>
      </c>
      <c r="Y304" s="325">
        <f t="shared" si="219"/>
        <v>2021</v>
      </c>
      <c r="Z304" s="325">
        <f t="shared" si="219"/>
        <v>2022</v>
      </c>
      <c r="AA304" s="325">
        <f t="shared" si="219"/>
        <v>2023</v>
      </c>
      <c r="AB304" s="325">
        <f t="shared" si="219"/>
        <v>2024</v>
      </c>
      <c r="AC304" s="325">
        <f t="shared" si="219"/>
        <v>2025</v>
      </c>
      <c r="AD304" s="325">
        <f t="shared" si="219"/>
        <v>2026</v>
      </c>
      <c r="AE304" s="325">
        <f t="shared" si="219"/>
        <v>2027</v>
      </c>
      <c r="AF304" s="325">
        <f t="shared" si="219"/>
        <v>2028</v>
      </c>
      <c r="AG304" s="325">
        <f t="shared" si="219"/>
        <v>2029</v>
      </c>
      <c r="AH304" s="325">
        <f t="shared" si="219"/>
        <v>2030</v>
      </c>
      <c r="AI304" s="325">
        <f t="shared" si="219"/>
        <v>2031</v>
      </c>
      <c r="AJ304" s="325">
        <f t="shared" si="219"/>
        <v>2032</v>
      </c>
      <c r="AK304" s="325">
        <f t="shared" si="219"/>
        <v>2033</v>
      </c>
      <c r="AL304" s="325">
        <f t="shared" si="219"/>
        <v>2034</v>
      </c>
      <c r="AM304" s="325">
        <f t="shared" si="219"/>
        <v>2035</v>
      </c>
      <c r="AN304" s="325">
        <f t="shared" si="219"/>
        <v>2036</v>
      </c>
      <c r="AO304" s="325">
        <f t="shared" si="219"/>
        <v>2037</v>
      </c>
      <c r="AP304" s="325">
        <f t="shared" si="219"/>
        <v>2038</v>
      </c>
      <c r="AQ304" s="325">
        <f t="shared" si="219"/>
        <v>2039</v>
      </c>
      <c r="AR304" s="325">
        <f t="shared" si="219"/>
        <v>2040</v>
      </c>
      <c r="AS304" s="325">
        <f t="shared" si="219"/>
        <v>2041</v>
      </c>
      <c r="AT304" s="325">
        <f t="shared" si="219"/>
        <v>2042</v>
      </c>
      <c r="AU304" s="325">
        <f t="shared" si="219"/>
        <v>2043</v>
      </c>
    </row>
    <row r="305" spans="1:47">
      <c r="E305" s="325"/>
      <c r="G305" s="39"/>
      <c r="H305" s="39"/>
      <c r="I305" s="39"/>
      <c r="J305" s="39"/>
      <c r="K305" s="39"/>
    </row>
    <row r="306" spans="1:47">
      <c r="A306" s="38" t="str">
        <f>$J$4&amp;"-"</f>
        <v>1X-</v>
      </c>
      <c r="B306" s="38" t="s">
        <v>306</v>
      </c>
      <c r="C306" s="38" t="s">
        <v>161</v>
      </c>
      <c r="D306" s="186">
        <f>CapExEsc</f>
        <v>0.03</v>
      </c>
      <c r="E306" s="325"/>
      <c r="G306" s="36" t="s">
        <v>8</v>
      </c>
      <c r="H306" s="39"/>
      <c r="I306" s="39"/>
      <c r="J306" s="70"/>
      <c r="K306" s="39"/>
      <c r="L306" s="43" t="str">
        <f>"["&amp;CostBaseYr&amp;" $]"</f>
        <v>[2013 $]</v>
      </c>
      <c r="N306" s="52">
        <f ca="1">SUMIFS(OFFSET(Assumptions!$I$65,0,MATCH($A306,Configurations,0)-1,COUNT(Assumptions!$A$65:$A$84),1),Assumptions!$E$65:$E$84,$C306)</f>
        <v>0</v>
      </c>
      <c r="O306" s="52"/>
      <c r="P306" s="322"/>
      <c r="Q306" s="52"/>
      <c r="R306" s="52">
        <f t="shared" ref="R306:AU306" ca="1" si="220">R307*IF($P306=0,$N306,$P306)*(1+$D306)^(R$8-CostBaseYr)</f>
        <v>0</v>
      </c>
      <c r="S306" s="52">
        <f t="shared" ca="1" si="220"/>
        <v>0</v>
      </c>
      <c r="T306" s="52">
        <f t="shared" ca="1" si="220"/>
        <v>0</v>
      </c>
      <c r="U306" s="52">
        <f t="shared" ca="1" si="220"/>
        <v>0</v>
      </c>
      <c r="V306" s="52">
        <f t="shared" ca="1" si="220"/>
        <v>0</v>
      </c>
      <c r="W306" s="52">
        <f t="shared" ca="1" si="220"/>
        <v>0</v>
      </c>
      <c r="X306" s="52">
        <f t="shared" ca="1" si="220"/>
        <v>0</v>
      </c>
      <c r="Y306" s="52">
        <f t="shared" ca="1" si="220"/>
        <v>0</v>
      </c>
      <c r="Z306" s="52">
        <f t="shared" ca="1" si="220"/>
        <v>0</v>
      </c>
      <c r="AA306" s="52">
        <f t="shared" ca="1" si="220"/>
        <v>0</v>
      </c>
      <c r="AB306" s="52">
        <f t="shared" ca="1" si="220"/>
        <v>0</v>
      </c>
      <c r="AC306" s="52">
        <f t="shared" ca="1" si="220"/>
        <v>0</v>
      </c>
      <c r="AD306" s="52">
        <f t="shared" ca="1" si="220"/>
        <v>0</v>
      </c>
      <c r="AE306" s="52">
        <f t="shared" ca="1" si="220"/>
        <v>0</v>
      </c>
      <c r="AF306" s="52">
        <f t="shared" ca="1" si="220"/>
        <v>0</v>
      </c>
      <c r="AG306" s="52">
        <f t="shared" ca="1" si="220"/>
        <v>0</v>
      </c>
      <c r="AH306" s="52">
        <f t="shared" ca="1" si="220"/>
        <v>0</v>
      </c>
      <c r="AI306" s="52">
        <f t="shared" ca="1" si="220"/>
        <v>0</v>
      </c>
      <c r="AJ306" s="52">
        <f t="shared" ca="1" si="220"/>
        <v>0</v>
      </c>
      <c r="AK306" s="52">
        <f t="shared" ca="1" si="220"/>
        <v>0</v>
      </c>
      <c r="AL306" s="52">
        <f t="shared" ca="1" si="220"/>
        <v>0</v>
      </c>
      <c r="AM306" s="52">
        <f t="shared" ca="1" si="220"/>
        <v>0</v>
      </c>
      <c r="AN306" s="52">
        <f t="shared" ca="1" si="220"/>
        <v>0</v>
      </c>
      <c r="AO306" s="52">
        <f t="shared" ca="1" si="220"/>
        <v>0</v>
      </c>
      <c r="AP306" s="52">
        <f t="shared" ca="1" si="220"/>
        <v>0</v>
      </c>
      <c r="AQ306" s="52">
        <f t="shared" ca="1" si="220"/>
        <v>0</v>
      </c>
      <c r="AR306" s="52">
        <f t="shared" ca="1" si="220"/>
        <v>0</v>
      </c>
      <c r="AS306" s="52">
        <f t="shared" ca="1" si="220"/>
        <v>0</v>
      </c>
      <c r="AT306" s="52">
        <f t="shared" ca="1" si="220"/>
        <v>0</v>
      </c>
      <c r="AU306" s="52">
        <f t="shared" ca="1" si="220"/>
        <v>0</v>
      </c>
    </row>
    <row r="307" spans="1:47">
      <c r="E307" s="325"/>
      <c r="G307" s="36" t="s">
        <v>10</v>
      </c>
      <c r="H307" s="39"/>
      <c r="I307" s="39"/>
      <c r="J307" s="39"/>
      <c r="K307" s="39"/>
      <c r="L307" s="43"/>
      <c r="R307" s="54">
        <f>Assumptions!M$60</f>
        <v>1</v>
      </c>
      <c r="S307" s="54">
        <f>Assumptions!N$60</f>
        <v>0</v>
      </c>
      <c r="T307" s="54">
        <f>Assumptions!O$60</f>
        <v>0</v>
      </c>
      <c r="U307" s="54">
        <f>Assumptions!P$60</f>
        <v>0</v>
      </c>
      <c r="V307" s="54">
        <f>Assumptions!Q$60</f>
        <v>0</v>
      </c>
      <c r="W307" s="54">
        <f>Assumptions!R$60</f>
        <v>0</v>
      </c>
      <c r="X307" s="54">
        <f>Assumptions!S$60</f>
        <v>0</v>
      </c>
      <c r="Y307" s="54">
        <f>Assumptions!T$60</f>
        <v>0</v>
      </c>
      <c r="Z307" s="54">
        <f>Assumptions!U$60</f>
        <v>0</v>
      </c>
      <c r="AA307" s="54">
        <f>Assumptions!V$60</f>
        <v>0</v>
      </c>
      <c r="AB307" s="54">
        <f>Assumptions!W$60</f>
        <v>0</v>
      </c>
      <c r="AC307" s="54">
        <f>Assumptions!X$60</f>
        <v>0</v>
      </c>
      <c r="AD307" s="54">
        <f>Assumptions!Y$60</f>
        <v>0</v>
      </c>
      <c r="AE307" s="54">
        <f>Assumptions!Z$60</f>
        <v>0</v>
      </c>
      <c r="AF307" s="54">
        <f>Assumptions!AA$60</f>
        <v>0</v>
      </c>
      <c r="AG307" s="54">
        <f>Assumptions!AB$60</f>
        <v>0</v>
      </c>
      <c r="AH307" s="54">
        <f>Assumptions!AC$60</f>
        <v>0</v>
      </c>
      <c r="AI307" s="54">
        <f>Assumptions!AD$60</f>
        <v>0</v>
      </c>
      <c r="AJ307" s="54">
        <f>Assumptions!AE$60</f>
        <v>0</v>
      </c>
      <c r="AK307" s="54">
        <f>Assumptions!AF$60</f>
        <v>0</v>
      </c>
      <c r="AL307" s="54">
        <f>Assumptions!AG$60</f>
        <v>0</v>
      </c>
      <c r="AM307" s="54">
        <f>Assumptions!AH$60</f>
        <v>0</v>
      </c>
      <c r="AN307" s="54">
        <f>Assumptions!AI$60</f>
        <v>0</v>
      </c>
      <c r="AO307" s="54">
        <f>Assumptions!AJ$60</f>
        <v>0</v>
      </c>
      <c r="AP307" s="54">
        <f>Assumptions!AK$60</f>
        <v>0</v>
      </c>
      <c r="AQ307" s="54">
        <f>Assumptions!AL$60</f>
        <v>0</v>
      </c>
      <c r="AR307" s="54">
        <f>Assumptions!AM$60</f>
        <v>0</v>
      </c>
      <c r="AS307" s="54">
        <f>Assumptions!AN$60</f>
        <v>0</v>
      </c>
      <c r="AT307" s="54">
        <f>Assumptions!AO$60</f>
        <v>0</v>
      </c>
      <c r="AU307" s="54">
        <f>Assumptions!AP$60</f>
        <v>0</v>
      </c>
    </row>
    <row r="308" spans="1:47">
      <c r="E308" s="326"/>
      <c r="G308" s="39"/>
      <c r="H308" s="39"/>
      <c r="I308" s="39"/>
      <c r="J308" s="39"/>
      <c r="K308" s="39"/>
    </row>
    <row r="309" spans="1:47">
      <c r="E309" s="327"/>
      <c r="F309" s="28"/>
      <c r="G309" s="324" t="str">
        <f>C306&amp;" O&amp;M"</f>
        <v>FOG Receiving O&amp;M</v>
      </c>
      <c r="H309" s="324"/>
      <c r="I309" s="324"/>
      <c r="J309" s="324"/>
      <c r="K309" s="324"/>
      <c r="L309" s="405" t="s">
        <v>79</v>
      </c>
      <c r="M309" s="256"/>
      <c r="N309" s="325" t="s">
        <v>490</v>
      </c>
      <c r="O309" s="311"/>
      <c r="P309" s="325" t="s">
        <v>491</v>
      </c>
      <c r="Q309" s="310"/>
      <c r="R309" s="325">
        <f>R$8</f>
        <v>2014</v>
      </c>
      <c r="S309" s="325">
        <f t="shared" ref="S309:AU309" si="221">S$8</f>
        <v>2015</v>
      </c>
      <c r="T309" s="325">
        <f t="shared" si="221"/>
        <v>2016</v>
      </c>
      <c r="U309" s="325">
        <f t="shared" si="221"/>
        <v>2017</v>
      </c>
      <c r="V309" s="325">
        <f t="shared" si="221"/>
        <v>2018</v>
      </c>
      <c r="W309" s="325">
        <f t="shared" si="221"/>
        <v>2019</v>
      </c>
      <c r="X309" s="325">
        <f t="shared" si="221"/>
        <v>2020</v>
      </c>
      <c r="Y309" s="325">
        <f t="shared" si="221"/>
        <v>2021</v>
      </c>
      <c r="Z309" s="325">
        <f t="shared" si="221"/>
        <v>2022</v>
      </c>
      <c r="AA309" s="325">
        <f t="shared" si="221"/>
        <v>2023</v>
      </c>
      <c r="AB309" s="325">
        <f t="shared" si="221"/>
        <v>2024</v>
      </c>
      <c r="AC309" s="325">
        <f t="shared" si="221"/>
        <v>2025</v>
      </c>
      <c r="AD309" s="325">
        <f t="shared" si="221"/>
        <v>2026</v>
      </c>
      <c r="AE309" s="325">
        <f t="shared" si="221"/>
        <v>2027</v>
      </c>
      <c r="AF309" s="325">
        <f t="shared" si="221"/>
        <v>2028</v>
      </c>
      <c r="AG309" s="325">
        <f t="shared" si="221"/>
        <v>2029</v>
      </c>
      <c r="AH309" s="325">
        <f t="shared" si="221"/>
        <v>2030</v>
      </c>
      <c r="AI309" s="325">
        <f t="shared" si="221"/>
        <v>2031</v>
      </c>
      <c r="AJ309" s="325">
        <f t="shared" si="221"/>
        <v>2032</v>
      </c>
      <c r="AK309" s="325">
        <f t="shared" si="221"/>
        <v>2033</v>
      </c>
      <c r="AL309" s="325">
        <f t="shared" si="221"/>
        <v>2034</v>
      </c>
      <c r="AM309" s="325">
        <f t="shared" si="221"/>
        <v>2035</v>
      </c>
      <c r="AN309" s="325">
        <f t="shared" si="221"/>
        <v>2036</v>
      </c>
      <c r="AO309" s="325">
        <f t="shared" si="221"/>
        <v>2037</v>
      </c>
      <c r="AP309" s="325">
        <f t="shared" si="221"/>
        <v>2038</v>
      </c>
      <c r="AQ309" s="325">
        <f t="shared" si="221"/>
        <v>2039</v>
      </c>
      <c r="AR309" s="325">
        <f t="shared" si="221"/>
        <v>2040</v>
      </c>
      <c r="AS309" s="325">
        <f t="shared" si="221"/>
        <v>2041</v>
      </c>
      <c r="AT309" s="325">
        <f t="shared" si="221"/>
        <v>2042</v>
      </c>
      <c r="AU309" s="325">
        <f t="shared" si="221"/>
        <v>2043</v>
      </c>
    </row>
    <row r="310" spans="1:47">
      <c r="E310" s="325"/>
      <c r="G310" s="39"/>
      <c r="H310" s="39"/>
      <c r="I310" s="39"/>
      <c r="J310" s="39"/>
      <c r="K310" s="39"/>
    </row>
    <row r="311" spans="1:47">
      <c r="E311" s="325"/>
      <c r="G311" s="39" t="s">
        <v>23</v>
      </c>
      <c r="H311" s="39"/>
      <c r="I311" s="39"/>
      <c r="J311" s="39"/>
      <c r="K311" s="39"/>
    </row>
    <row r="312" spans="1:47">
      <c r="A312" s="38" t="str">
        <f t="shared" ref="A312:A319" si="222">$J$4&amp;"-"</f>
        <v>1X-</v>
      </c>
      <c r="B312" s="38" t="s">
        <v>262</v>
      </c>
      <c r="C312" s="38" t="str">
        <f>C306</f>
        <v>FOG Receiving</v>
      </c>
      <c r="D312" s="186">
        <f>LaborEsc</f>
        <v>0.02</v>
      </c>
      <c r="E312" s="325"/>
      <c r="G312" s="36" t="s">
        <v>125</v>
      </c>
      <c r="I312" s="39"/>
      <c r="K312" s="39"/>
      <c r="L312" s="43" t="s">
        <v>266</v>
      </c>
      <c r="N312" s="70">
        <f ca="1">SUMIFS(OFFSET(Assumptions!$I$90,0,MATCH($A312,Configurations,0)-1,COUNT(Assumptions!$A$90:$A$183),1),Assumptions!$D$90:$D$183,$B312&amp;$C312)</f>
        <v>0</v>
      </c>
      <c r="O312" s="313"/>
      <c r="P312" s="323"/>
      <c r="Q312" s="313"/>
      <c r="R312" s="50">
        <f t="shared" ref="R312:AU312" ca="1" si="223">IF(OR(R$99&lt;InServiceYr,R$99&gt;(InServiceYr+analysis_period-1)),0,IF($P312=0,$N312,$P312)*LaborCost*(1+$D312)^(R$99-CostBaseYr))</f>
        <v>0</v>
      </c>
      <c r="S312" s="50">
        <f t="shared" ca="1" si="223"/>
        <v>0</v>
      </c>
      <c r="T312" s="50">
        <f t="shared" ca="1" si="223"/>
        <v>0</v>
      </c>
      <c r="U312" s="50">
        <f t="shared" ca="1" si="223"/>
        <v>0</v>
      </c>
      <c r="V312" s="50">
        <f t="shared" ca="1" si="223"/>
        <v>0</v>
      </c>
      <c r="W312" s="50">
        <f t="shared" ca="1" si="223"/>
        <v>0</v>
      </c>
      <c r="X312" s="50">
        <f t="shared" ca="1" si="223"/>
        <v>0</v>
      </c>
      <c r="Y312" s="50">
        <f t="shared" ca="1" si="223"/>
        <v>0</v>
      </c>
      <c r="Z312" s="50">
        <f t="shared" ca="1" si="223"/>
        <v>0</v>
      </c>
      <c r="AA312" s="50">
        <f t="shared" ca="1" si="223"/>
        <v>0</v>
      </c>
      <c r="AB312" s="50">
        <f t="shared" ca="1" si="223"/>
        <v>0</v>
      </c>
      <c r="AC312" s="50">
        <f t="shared" ca="1" si="223"/>
        <v>0</v>
      </c>
      <c r="AD312" s="50">
        <f t="shared" ca="1" si="223"/>
        <v>0</v>
      </c>
      <c r="AE312" s="50">
        <f t="shared" ca="1" si="223"/>
        <v>0</v>
      </c>
      <c r="AF312" s="50">
        <f t="shared" ca="1" si="223"/>
        <v>0</v>
      </c>
      <c r="AG312" s="50">
        <f t="shared" ca="1" si="223"/>
        <v>0</v>
      </c>
      <c r="AH312" s="50">
        <f t="shared" ca="1" si="223"/>
        <v>0</v>
      </c>
      <c r="AI312" s="50">
        <f t="shared" ca="1" si="223"/>
        <v>0</v>
      </c>
      <c r="AJ312" s="50">
        <f t="shared" ca="1" si="223"/>
        <v>0</v>
      </c>
      <c r="AK312" s="50">
        <f t="shared" ca="1" si="223"/>
        <v>0</v>
      </c>
      <c r="AL312" s="50">
        <f t="shared" si="223"/>
        <v>0</v>
      </c>
      <c r="AM312" s="50">
        <f t="shared" si="223"/>
        <v>0</v>
      </c>
      <c r="AN312" s="50">
        <f t="shared" si="223"/>
        <v>0</v>
      </c>
      <c r="AO312" s="50">
        <f t="shared" si="223"/>
        <v>0</v>
      </c>
      <c r="AP312" s="50">
        <f t="shared" si="223"/>
        <v>0</v>
      </c>
      <c r="AQ312" s="50">
        <f t="shared" si="223"/>
        <v>0</v>
      </c>
      <c r="AR312" s="50">
        <f t="shared" si="223"/>
        <v>0</v>
      </c>
      <c r="AS312" s="50">
        <f t="shared" si="223"/>
        <v>0</v>
      </c>
      <c r="AT312" s="50">
        <f t="shared" si="223"/>
        <v>0</v>
      </c>
      <c r="AU312" s="50">
        <f t="shared" si="223"/>
        <v>0</v>
      </c>
    </row>
    <row r="313" spans="1:47">
      <c r="A313" s="38" t="str">
        <f t="shared" si="222"/>
        <v>1X-</v>
      </c>
      <c r="B313" s="38" t="s">
        <v>270</v>
      </c>
      <c r="C313" s="38" t="str">
        <f>C312</f>
        <v>FOG Receiving</v>
      </c>
      <c r="D313" s="186">
        <f>OMEsc</f>
        <v>0.02</v>
      </c>
      <c r="E313" s="325"/>
      <c r="G313" s="36" t="s">
        <v>126</v>
      </c>
      <c r="I313" s="39"/>
      <c r="K313" s="39"/>
      <c r="L313" s="43" t="str">
        <f>"["&amp;CostBaseYr&amp;" $]"</f>
        <v>[2013 $]</v>
      </c>
      <c r="N313" s="70">
        <f ca="1">SUMIFS(OFFSET(Assumptions!$I$90,0,MATCH($A313,Configurations,0)-1,COUNT(Assumptions!$A$90:$A$183),1),Assumptions!$D$90:$D$183,$B313&amp;$C313)</f>
        <v>0</v>
      </c>
      <c r="O313" s="313"/>
      <c r="P313" s="323"/>
      <c r="Q313" s="313"/>
      <c r="R313" s="50">
        <f t="shared" ref="R313:AG315" ca="1" si="224">IF(OR(R$99&lt;InServiceYr,R$99&gt;(InServiceYr+analysis_period-1)),0,IF($P313=0,$N313,$P313)*(1+$D313)^(R$99-CostBaseYr))</f>
        <v>0</v>
      </c>
      <c r="S313" s="50">
        <f t="shared" ca="1" si="224"/>
        <v>0</v>
      </c>
      <c r="T313" s="50">
        <f t="shared" ca="1" si="224"/>
        <v>0</v>
      </c>
      <c r="U313" s="50">
        <f t="shared" ca="1" si="224"/>
        <v>0</v>
      </c>
      <c r="V313" s="50">
        <f t="shared" ca="1" si="224"/>
        <v>0</v>
      </c>
      <c r="W313" s="50">
        <f t="shared" ca="1" si="224"/>
        <v>0</v>
      </c>
      <c r="X313" s="50">
        <f t="shared" ca="1" si="224"/>
        <v>0</v>
      </c>
      <c r="Y313" s="50">
        <f t="shared" ca="1" si="224"/>
        <v>0</v>
      </c>
      <c r="Z313" s="50">
        <f t="shared" ca="1" si="224"/>
        <v>0</v>
      </c>
      <c r="AA313" s="50">
        <f t="shared" ca="1" si="224"/>
        <v>0</v>
      </c>
      <c r="AB313" s="50">
        <f t="shared" ca="1" si="224"/>
        <v>0</v>
      </c>
      <c r="AC313" s="50">
        <f t="shared" ca="1" si="224"/>
        <v>0</v>
      </c>
      <c r="AD313" s="50">
        <f t="shared" ca="1" si="224"/>
        <v>0</v>
      </c>
      <c r="AE313" s="50">
        <f t="shared" ca="1" si="224"/>
        <v>0</v>
      </c>
      <c r="AF313" s="50">
        <f t="shared" ca="1" si="224"/>
        <v>0</v>
      </c>
      <c r="AG313" s="50">
        <f t="shared" ca="1" si="224"/>
        <v>0</v>
      </c>
      <c r="AH313" s="50">
        <f t="shared" ref="S313:AU315" ca="1" si="225">IF(OR(AH$99&lt;InServiceYr,AH$99&gt;(InServiceYr+analysis_period-1)),0,IF($P313=0,$N313,$P313)*(1+$D313)^(AH$99-CostBaseYr))</f>
        <v>0</v>
      </c>
      <c r="AI313" s="50">
        <f t="shared" ca="1" si="225"/>
        <v>0</v>
      </c>
      <c r="AJ313" s="50">
        <f t="shared" ca="1" si="225"/>
        <v>0</v>
      </c>
      <c r="AK313" s="50">
        <f t="shared" ca="1" si="225"/>
        <v>0</v>
      </c>
      <c r="AL313" s="50">
        <f t="shared" si="225"/>
        <v>0</v>
      </c>
      <c r="AM313" s="50">
        <f t="shared" si="225"/>
        <v>0</v>
      </c>
      <c r="AN313" s="50">
        <f t="shared" si="225"/>
        <v>0</v>
      </c>
      <c r="AO313" s="50">
        <f t="shared" si="225"/>
        <v>0</v>
      </c>
      <c r="AP313" s="50">
        <f t="shared" si="225"/>
        <v>0</v>
      </c>
      <c r="AQ313" s="50">
        <f t="shared" si="225"/>
        <v>0</v>
      </c>
      <c r="AR313" s="50">
        <f t="shared" si="225"/>
        <v>0</v>
      </c>
      <c r="AS313" s="50">
        <f t="shared" si="225"/>
        <v>0</v>
      </c>
      <c r="AT313" s="50">
        <f t="shared" si="225"/>
        <v>0</v>
      </c>
      <c r="AU313" s="50">
        <f t="shared" si="225"/>
        <v>0</v>
      </c>
    </row>
    <row r="314" spans="1:47">
      <c r="A314" s="38" t="str">
        <f t="shared" si="222"/>
        <v>1X-</v>
      </c>
      <c r="B314" s="38" t="s">
        <v>263</v>
      </c>
      <c r="C314" s="38" t="str">
        <f t="shared" ref="C314:C318" si="226">C313</f>
        <v>FOG Receiving</v>
      </c>
      <c r="D314" s="186">
        <f>OMEsc</f>
        <v>0.02</v>
      </c>
      <c r="E314" s="325"/>
      <c r="G314" s="36" t="s">
        <v>127</v>
      </c>
      <c r="I314" s="39"/>
      <c r="K314" s="39"/>
      <c r="L314" s="43" t="str">
        <f>"["&amp;CostBaseYr&amp;" $]"</f>
        <v>[2013 $]</v>
      </c>
      <c r="N314" s="70">
        <f ca="1">SUMIFS(OFFSET(Assumptions!$I$90,0,MATCH($A314,Configurations,0)-1,COUNT(Assumptions!$A$90:$A$183),1),Assumptions!$D$90:$D$183,$B314&amp;$C314)</f>
        <v>0</v>
      </c>
      <c r="O314" s="313"/>
      <c r="P314" s="323"/>
      <c r="Q314" s="313"/>
      <c r="R314" s="50">
        <f t="shared" ca="1" si="224"/>
        <v>0</v>
      </c>
      <c r="S314" s="50">
        <f t="shared" ca="1" si="225"/>
        <v>0</v>
      </c>
      <c r="T314" s="50">
        <f t="shared" ca="1" si="225"/>
        <v>0</v>
      </c>
      <c r="U314" s="50">
        <f t="shared" ca="1" si="225"/>
        <v>0</v>
      </c>
      <c r="V314" s="50">
        <f t="shared" ca="1" si="225"/>
        <v>0</v>
      </c>
      <c r="W314" s="50">
        <f t="shared" ca="1" si="225"/>
        <v>0</v>
      </c>
      <c r="X314" s="50">
        <f t="shared" ca="1" si="225"/>
        <v>0</v>
      </c>
      <c r="Y314" s="50">
        <f t="shared" ca="1" si="225"/>
        <v>0</v>
      </c>
      <c r="Z314" s="50">
        <f t="shared" ca="1" si="225"/>
        <v>0</v>
      </c>
      <c r="AA314" s="50">
        <f t="shared" ca="1" si="225"/>
        <v>0</v>
      </c>
      <c r="AB314" s="50">
        <f t="shared" ca="1" si="225"/>
        <v>0</v>
      </c>
      <c r="AC314" s="50">
        <f t="shared" ca="1" si="225"/>
        <v>0</v>
      </c>
      <c r="AD314" s="50">
        <f t="shared" ca="1" si="225"/>
        <v>0</v>
      </c>
      <c r="AE314" s="50">
        <f t="shared" ca="1" si="225"/>
        <v>0</v>
      </c>
      <c r="AF314" s="50">
        <f t="shared" ca="1" si="225"/>
        <v>0</v>
      </c>
      <c r="AG314" s="50">
        <f t="shared" ca="1" si="225"/>
        <v>0</v>
      </c>
      <c r="AH314" s="50">
        <f t="shared" ca="1" si="225"/>
        <v>0</v>
      </c>
      <c r="AI314" s="50">
        <f t="shared" ca="1" si="225"/>
        <v>0</v>
      </c>
      <c r="AJ314" s="50">
        <f t="shared" ca="1" si="225"/>
        <v>0</v>
      </c>
      <c r="AK314" s="50">
        <f t="shared" ca="1" si="225"/>
        <v>0</v>
      </c>
      <c r="AL314" s="50">
        <f t="shared" si="225"/>
        <v>0</v>
      </c>
      <c r="AM314" s="50">
        <f t="shared" si="225"/>
        <v>0</v>
      </c>
      <c r="AN314" s="50">
        <f t="shared" si="225"/>
        <v>0</v>
      </c>
      <c r="AO314" s="50">
        <f t="shared" si="225"/>
        <v>0</v>
      </c>
      <c r="AP314" s="50">
        <f t="shared" si="225"/>
        <v>0</v>
      </c>
      <c r="AQ314" s="50">
        <f t="shared" si="225"/>
        <v>0</v>
      </c>
      <c r="AR314" s="50">
        <f t="shared" si="225"/>
        <v>0</v>
      </c>
      <c r="AS314" s="50">
        <f t="shared" si="225"/>
        <v>0</v>
      </c>
      <c r="AT314" s="50">
        <f t="shared" si="225"/>
        <v>0</v>
      </c>
      <c r="AU314" s="50">
        <f t="shared" si="225"/>
        <v>0</v>
      </c>
    </row>
    <row r="315" spans="1:47">
      <c r="A315" s="38" t="str">
        <f t="shared" si="222"/>
        <v>1X-</v>
      </c>
      <c r="B315" s="38" t="s">
        <v>277</v>
      </c>
      <c r="C315" s="38" t="str">
        <f t="shared" si="226"/>
        <v>FOG Receiving</v>
      </c>
      <c r="D315" s="186">
        <f>OMEsc</f>
        <v>0.02</v>
      </c>
      <c r="E315" s="325"/>
      <c r="G315" s="36" t="s">
        <v>276</v>
      </c>
      <c r="I315" s="39"/>
      <c r="K315" s="39"/>
      <c r="L315" s="43" t="str">
        <f>"["&amp;CostBaseYr&amp;" $]"</f>
        <v>[2013 $]</v>
      </c>
      <c r="N315" s="70">
        <f ca="1">SUMIFS(OFFSET(Assumptions!$I$90,0,MATCH($A315,Configurations,0)-1,COUNT(Assumptions!$A$90:$A$183),1),Assumptions!$D$90:$D$183,$B315&amp;$C315)</f>
        <v>0</v>
      </c>
      <c r="O315" s="313"/>
      <c r="P315" s="323"/>
      <c r="Q315" s="313"/>
      <c r="R315" s="50">
        <f t="shared" ca="1" si="224"/>
        <v>0</v>
      </c>
      <c r="S315" s="50">
        <f t="shared" ca="1" si="225"/>
        <v>0</v>
      </c>
      <c r="T315" s="50">
        <f t="shared" ca="1" si="225"/>
        <v>0</v>
      </c>
      <c r="U315" s="50">
        <f t="shared" ca="1" si="225"/>
        <v>0</v>
      </c>
      <c r="V315" s="50">
        <f t="shared" ca="1" si="225"/>
        <v>0</v>
      </c>
      <c r="W315" s="50">
        <f t="shared" ca="1" si="225"/>
        <v>0</v>
      </c>
      <c r="X315" s="50">
        <f t="shared" ca="1" si="225"/>
        <v>0</v>
      </c>
      <c r="Y315" s="50">
        <f t="shared" ca="1" si="225"/>
        <v>0</v>
      </c>
      <c r="Z315" s="50">
        <f t="shared" ca="1" si="225"/>
        <v>0</v>
      </c>
      <c r="AA315" s="50">
        <f t="shared" ca="1" si="225"/>
        <v>0</v>
      </c>
      <c r="AB315" s="50">
        <f t="shared" ca="1" si="225"/>
        <v>0</v>
      </c>
      <c r="AC315" s="50">
        <f t="shared" ca="1" si="225"/>
        <v>0</v>
      </c>
      <c r="AD315" s="50">
        <f t="shared" ca="1" si="225"/>
        <v>0</v>
      </c>
      <c r="AE315" s="50">
        <f t="shared" ca="1" si="225"/>
        <v>0</v>
      </c>
      <c r="AF315" s="50">
        <f t="shared" ca="1" si="225"/>
        <v>0</v>
      </c>
      <c r="AG315" s="50">
        <f t="shared" ca="1" si="225"/>
        <v>0</v>
      </c>
      <c r="AH315" s="50">
        <f t="shared" ca="1" si="225"/>
        <v>0</v>
      </c>
      <c r="AI315" s="50">
        <f t="shared" ca="1" si="225"/>
        <v>0</v>
      </c>
      <c r="AJ315" s="50">
        <f t="shared" ca="1" si="225"/>
        <v>0</v>
      </c>
      <c r="AK315" s="50">
        <f t="shared" ca="1" si="225"/>
        <v>0</v>
      </c>
      <c r="AL315" s="50">
        <f t="shared" si="225"/>
        <v>0</v>
      </c>
      <c r="AM315" s="50">
        <f t="shared" si="225"/>
        <v>0</v>
      </c>
      <c r="AN315" s="50">
        <f t="shared" si="225"/>
        <v>0</v>
      </c>
      <c r="AO315" s="50">
        <f t="shared" si="225"/>
        <v>0</v>
      </c>
      <c r="AP315" s="50">
        <f t="shared" si="225"/>
        <v>0</v>
      </c>
      <c r="AQ315" s="50">
        <f t="shared" si="225"/>
        <v>0</v>
      </c>
      <c r="AR315" s="50">
        <f t="shared" si="225"/>
        <v>0</v>
      </c>
      <c r="AS315" s="50">
        <f t="shared" si="225"/>
        <v>0</v>
      </c>
      <c r="AT315" s="50">
        <f t="shared" si="225"/>
        <v>0</v>
      </c>
      <c r="AU315" s="50">
        <f t="shared" si="225"/>
        <v>0</v>
      </c>
    </row>
    <row r="316" spans="1:47">
      <c r="A316" s="38" t="str">
        <f t="shared" si="222"/>
        <v>1X-</v>
      </c>
      <c r="B316" s="38" t="s">
        <v>274</v>
      </c>
      <c r="C316" s="38" t="str">
        <f t="shared" si="226"/>
        <v>FOG Receiving</v>
      </c>
      <c r="D316" s="186"/>
      <c r="E316" s="325"/>
      <c r="G316" s="36" t="s">
        <v>16</v>
      </c>
      <c r="I316" s="39"/>
      <c r="K316" s="39"/>
      <c r="L316" s="43" t="s">
        <v>275</v>
      </c>
      <c r="N316" s="70">
        <f ca="1">SUMIFS(OFFSET(Assumptions!$I$90,0,MATCH($A316,Configurations,0)-1,COUNT(Assumptions!$A$90:$A$183),1),Assumptions!$D$90:$D$183,$B316&amp;$C316)</f>
        <v>0</v>
      </c>
      <c r="O316" s="313"/>
      <c r="P316" s="323"/>
      <c r="Q316" s="313"/>
      <c r="R316" s="50">
        <f t="shared" ref="R316:AU316" ca="1" si="227">IF(OR(R$99&lt;InServiceYr,R$99&gt;(InServiceYr+analysis_period-1)),0,IF($P316=0,$N316,$P316)*R$505)</f>
        <v>0</v>
      </c>
      <c r="S316" s="50">
        <f t="shared" ca="1" si="227"/>
        <v>0</v>
      </c>
      <c r="T316" s="50">
        <f t="shared" ca="1" si="227"/>
        <v>0</v>
      </c>
      <c r="U316" s="50">
        <f t="shared" ca="1" si="227"/>
        <v>0</v>
      </c>
      <c r="V316" s="50">
        <f t="shared" ca="1" si="227"/>
        <v>0</v>
      </c>
      <c r="W316" s="50">
        <f t="shared" ca="1" si="227"/>
        <v>0</v>
      </c>
      <c r="X316" s="50">
        <f t="shared" ca="1" si="227"/>
        <v>0</v>
      </c>
      <c r="Y316" s="50">
        <f t="shared" ca="1" si="227"/>
        <v>0</v>
      </c>
      <c r="Z316" s="50">
        <f t="shared" ca="1" si="227"/>
        <v>0</v>
      </c>
      <c r="AA316" s="50">
        <f t="shared" ca="1" si="227"/>
        <v>0</v>
      </c>
      <c r="AB316" s="50">
        <f t="shared" ca="1" si="227"/>
        <v>0</v>
      </c>
      <c r="AC316" s="50">
        <f t="shared" ca="1" si="227"/>
        <v>0</v>
      </c>
      <c r="AD316" s="50">
        <f t="shared" ca="1" si="227"/>
        <v>0</v>
      </c>
      <c r="AE316" s="50">
        <f t="shared" ca="1" si="227"/>
        <v>0</v>
      </c>
      <c r="AF316" s="50">
        <f t="shared" ca="1" si="227"/>
        <v>0</v>
      </c>
      <c r="AG316" s="50">
        <f t="shared" ca="1" si="227"/>
        <v>0</v>
      </c>
      <c r="AH316" s="50">
        <f t="shared" ca="1" si="227"/>
        <v>0</v>
      </c>
      <c r="AI316" s="50">
        <f t="shared" ca="1" si="227"/>
        <v>0</v>
      </c>
      <c r="AJ316" s="50">
        <f t="shared" ca="1" si="227"/>
        <v>0</v>
      </c>
      <c r="AK316" s="50">
        <f t="shared" ca="1" si="227"/>
        <v>0</v>
      </c>
      <c r="AL316" s="50">
        <f t="shared" si="227"/>
        <v>0</v>
      </c>
      <c r="AM316" s="50">
        <f t="shared" si="227"/>
        <v>0</v>
      </c>
      <c r="AN316" s="50">
        <f t="shared" si="227"/>
        <v>0</v>
      </c>
      <c r="AO316" s="50">
        <f t="shared" si="227"/>
        <v>0</v>
      </c>
      <c r="AP316" s="50">
        <f t="shared" si="227"/>
        <v>0</v>
      </c>
      <c r="AQ316" s="50">
        <f t="shared" si="227"/>
        <v>0</v>
      </c>
      <c r="AR316" s="50">
        <f t="shared" si="227"/>
        <v>0</v>
      </c>
      <c r="AS316" s="50">
        <f t="shared" si="227"/>
        <v>0</v>
      </c>
      <c r="AT316" s="50">
        <f t="shared" si="227"/>
        <v>0</v>
      </c>
      <c r="AU316" s="50">
        <f t="shared" si="227"/>
        <v>0</v>
      </c>
    </row>
    <row r="317" spans="1:47">
      <c r="A317" s="38" t="str">
        <f t="shared" si="222"/>
        <v>1X-</v>
      </c>
      <c r="B317" s="38" t="s">
        <v>257</v>
      </c>
      <c r="C317" s="38" t="str">
        <f t="shared" si="226"/>
        <v>FOG Receiving</v>
      </c>
      <c r="D317" s="186"/>
      <c r="E317" s="325"/>
      <c r="G317" s="36" t="s">
        <v>284</v>
      </c>
      <c r="I317" s="39"/>
      <c r="K317" s="39"/>
      <c r="L317" s="43" t="s">
        <v>293</v>
      </c>
      <c r="N317" s="70">
        <f ca="1">SUMIFS(OFFSET(Assumptions!$I$90,0,MATCH($A317,Configurations,0)-1,COUNT(Assumptions!$A$90:$A$183),1),Assumptions!$D$90:$D$183,$B317&amp;$C317)</f>
        <v>0</v>
      </c>
      <c r="O317" s="313"/>
      <c r="P317" s="323"/>
      <c r="Q317" s="313"/>
      <c r="R317" s="50">
        <f t="shared" ref="R317:AU317" ca="1" si="228">IF(OR(R$99&lt;InServiceYr,R$99&gt;(InServiceYr+analysis_period-1)),0,IF($P317=0,$N317,$P317)*R$501)</f>
        <v>0</v>
      </c>
      <c r="S317" s="50">
        <f t="shared" ca="1" si="228"/>
        <v>0</v>
      </c>
      <c r="T317" s="50">
        <f t="shared" ca="1" si="228"/>
        <v>0</v>
      </c>
      <c r="U317" s="50">
        <f t="shared" ca="1" si="228"/>
        <v>0</v>
      </c>
      <c r="V317" s="50">
        <f t="shared" ca="1" si="228"/>
        <v>0</v>
      </c>
      <c r="W317" s="50">
        <f t="shared" ca="1" si="228"/>
        <v>0</v>
      </c>
      <c r="X317" s="50">
        <f t="shared" ca="1" si="228"/>
        <v>0</v>
      </c>
      <c r="Y317" s="50">
        <f t="shared" ca="1" si="228"/>
        <v>0</v>
      </c>
      <c r="Z317" s="50">
        <f t="shared" ca="1" si="228"/>
        <v>0</v>
      </c>
      <c r="AA317" s="50">
        <f t="shared" ca="1" si="228"/>
        <v>0</v>
      </c>
      <c r="AB317" s="50">
        <f t="shared" ca="1" si="228"/>
        <v>0</v>
      </c>
      <c r="AC317" s="50">
        <f t="shared" ca="1" si="228"/>
        <v>0</v>
      </c>
      <c r="AD317" s="50">
        <f t="shared" ca="1" si="228"/>
        <v>0</v>
      </c>
      <c r="AE317" s="50">
        <f t="shared" ca="1" si="228"/>
        <v>0</v>
      </c>
      <c r="AF317" s="50">
        <f t="shared" ca="1" si="228"/>
        <v>0</v>
      </c>
      <c r="AG317" s="50">
        <f t="shared" ca="1" si="228"/>
        <v>0</v>
      </c>
      <c r="AH317" s="50">
        <f t="shared" ca="1" si="228"/>
        <v>0</v>
      </c>
      <c r="AI317" s="50">
        <f t="shared" ca="1" si="228"/>
        <v>0</v>
      </c>
      <c r="AJ317" s="50">
        <f t="shared" ca="1" si="228"/>
        <v>0</v>
      </c>
      <c r="AK317" s="50">
        <f t="shared" ca="1" si="228"/>
        <v>0</v>
      </c>
      <c r="AL317" s="50">
        <f t="shared" si="228"/>
        <v>0</v>
      </c>
      <c r="AM317" s="50">
        <f t="shared" si="228"/>
        <v>0</v>
      </c>
      <c r="AN317" s="50">
        <f t="shared" si="228"/>
        <v>0</v>
      </c>
      <c r="AO317" s="50">
        <f t="shared" si="228"/>
        <v>0</v>
      </c>
      <c r="AP317" s="50">
        <f t="shared" si="228"/>
        <v>0</v>
      </c>
      <c r="AQ317" s="50">
        <f t="shared" si="228"/>
        <v>0</v>
      </c>
      <c r="AR317" s="50">
        <f t="shared" si="228"/>
        <v>0</v>
      </c>
      <c r="AS317" s="50">
        <f t="shared" si="228"/>
        <v>0</v>
      </c>
      <c r="AT317" s="50">
        <f t="shared" si="228"/>
        <v>0</v>
      </c>
      <c r="AU317" s="50">
        <f t="shared" si="228"/>
        <v>0</v>
      </c>
    </row>
    <row r="318" spans="1:47">
      <c r="A318" s="38" t="str">
        <f t="shared" si="222"/>
        <v>1X-</v>
      </c>
      <c r="B318" s="38" t="s">
        <v>864</v>
      </c>
      <c r="C318" s="38" t="str">
        <f t="shared" si="226"/>
        <v>FOG Receiving</v>
      </c>
      <c r="D318" s="186">
        <f>GHGEsc</f>
        <v>0.02</v>
      </c>
      <c r="E318" s="325"/>
      <c r="G318" s="36" t="s">
        <v>865</v>
      </c>
      <c r="I318" s="39"/>
      <c r="K318" s="39"/>
      <c r="L318" s="43" t="s">
        <v>866</v>
      </c>
      <c r="N318" s="70">
        <f ca="1">SUMIFS(OFFSET(Assumptions!$I$90,0,MATCH($A318,Configurations,0)-1,COUNT(Assumptions!$A$90:$A$183),1),Assumptions!$D$90:$D$183,$B318&amp;$C318)</f>
        <v>0</v>
      </c>
      <c r="O318" s="313"/>
      <c r="P318" s="323"/>
      <c r="Q318" s="313"/>
      <c r="R318" s="50">
        <f t="shared" ref="R318:AU318" ca="1" si="229">IF(OR(R$99&lt;InServiceYr,R$99&gt;(InServiceYr+analysis_period-1)),0,IF($P318=0,$N318,$P318)*R$513)</f>
        <v>0</v>
      </c>
      <c r="S318" s="50">
        <f t="shared" ca="1" si="229"/>
        <v>0</v>
      </c>
      <c r="T318" s="50">
        <f t="shared" ca="1" si="229"/>
        <v>0</v>
      </c>
      <c r="U318" s="50">
        <f t="shared" ca="1" si="229"/>
        <v>0</v>
      </c>
      <c r="V318" s="50">
        <f t="shared" ca="1" si="229"/>
        <v>0</v>
      </c>
      <c r="W318" s="50">
        <f t="shared" ca="1" si="229"/>
        <v>0</v>
      </c>
      <c r="X318" s="50">
        <f t="shared" ca="1" si="229"/>
        <v>0</v>
      </c>
      <c r="Y318" s="50">
        <f t="shared" ca="1" si="229"/>
        <v>0</v>
      </c>
      <c r="Z318" s="50">
        <f t="shared" ca="1" si="229"/>
        <v>0</v>
      </c>
      <c r="AA318" s="50">
        <f t="shared" ca="1" si="229"/>
        <v>0</v>
      </c>
      <c r="AB318" s="50">
        <f t="shared" ca="1" si="229"/>
        <v>0</v>
      </c>
      <c r="AC318" s="50">
        <f t="shared" ca="1" si="229"/>
        <v>0</v>
      </c>
      <c r="AD318" s="50">
        <f t="shared" ca="1" si="229"/>
        <v>0</v>
      </c>
      <c r="AE318" s="50">
        <f t="shared" ca="1" si="229"/>
        <v>0</v>
      </c>
      <c r="AF318" s="50">
        <f t="shared" ca="1" si="229"/>
        <v>0</v>
      </c>
      <c r="AG318" s="50">
        <f t="shared" ca="1" si="229"/>
        <v>0</v>
      </c>
      <c r="AH318" s="50">
        <f t="shared" ca="1" si="229"/>
        <v>0</v>
      </c>
      <c r="AI318" s="50">
        <f t="shared" ca="1" si="229"/>
        <v>0</v>
      </c>
      <c r="AJ318" s="50">
        <f t="shared" ca="1" si="229"/>
        <v>0</v>
      </c>
      <c r="AK318" s="50">
        <f t="shared" ca="1" si="229"/>
        <v>0</v>
      </c>
      <c r="AL318" s="50">
        <f t="shared" si="229"/>
        <v>0</v>
      </c>
      <c r="AM318" s="50">
        <f t="shared" si="229"/>
        <v>0</v>
      </c>
      <c r="AN318" s="50">
        <f t="shared" si="229"/>
        <v>0</v>
      </c>
      <c r="AO318" s="50">
        <f t="shared" si="229"/>
        <v>0</v>
      </c>
      <c r="AP318" s="50">
        <f t="shared" si="229"/>
        <v>0</v>
      </c>
      <c r="AQ318" s="50">
        <f t="shared" si="229"/>
        <v>0</v>
      </c>
      <c r="AR318" s="50">
        <f t="shared" si="229"/>
        <v>0</v>
      </c>
      <c r="AS318" s="50">
        <f t="shared" si="229"/>
        <v>0</v>
      </c>
      <c r="AT318" s="50">
        <f t="shared" si="229"/>
        <v>0</v>
      </c>
      <c r="AU318" s="50">
        <f t="shared" si="229"/>
        <v>0</v>
      </c>
    </row>
    <row r="319" spans="1:47">
      <c r="A319" s="38" t="str">
        <f t="shared" si="222"/>
        <v>1X-</v>
      </c>
      <c r="B319" s="38" t="s">
        <v>273</v>
      </c>
      <c r="C319" s="38" t="str">
        <f>C317</f>
        <v>FOG Receiving</v>
      </c>
      <c r="D319" s="186">
        <f>LaborEsc</f>
        <v>0.02</v>
      </c>
      <c r="E319" s="325"/>
      <c r="G319" s="36" t="s">
        <v>291</v>
      </c>
      <c r="I319" s="39"/>
      <c r="K319" s="39"/>
      <c r="L319" s="43" t="str">
        <f>"["&amp;CostBaseYr&amp;" $]"</f>
        <v>[2013 $]</v>
      </c>
      <c r="N319" s="70">
        <f ca="1">SUMIFS(OFFSET(Assumptions!$I$90,0,MATCH($A319,Configurations,0)-1,COUNT(Assumptions!$A$90:$A$183),1),Assumptions!$D$90:$D$183,$B319&amp;$C319)</f>
        <v>0</v>
      </c>
      <c r="O319" s="313"/>
      <c r="P319" s="323"/>
      <c r="Q319" s="313"/>
      <c r="R319" s="50">
        <f t="shared" ref="R319:AU319" ca="1" si="230">IF(OR(R$99&lt;InServiceYr,R$99&gt;(InServiceYr+analysis_period-1)),0,IF($P319=0,$N319,$P319)*(1+$D319)^(R$99-CostBaseYr))*R$509</f>
        <v>0</v>
      </c>
      <c r="S319" s="50">
        <f t="shared" ca="1" si="230"/>
        <v>0</v>
      </c>
      <c r="T319" s="50">
        <f t="shared" ca="1" si="230"/>
        <v>0</v>
      </c>
      <c r="U319" s="50">
        <f t="shared" ca="1" si="230"/>
        <v>0</v>
      </c>
      <c r="V319" s="50">
        <f t="shared" ca="1" si="230"/>
        <v>0</v>
      </c>
      <c r="W319" s="50">
        <f t="shared" ca="1" si="230"/>
        <v>0</v>
      </c>
      <c r="X319" s="50">
        <f t="shared" ca="1" si="230"/>
        <v>0</v>
      </c>
      <c r="Y319" s="50">
        <f t="shared" ca="1" si="230"/>
        <v>0</v>
      </c>
      <c r="Z319" s="50">
        <f t="shared" ca="1" si="230"/>
        <v>0</v>
      </c>
      <c r="AA319" s="50">
        <f t="shared" ca="1" si="230"/>
        <v>0</v>
      </c>
      <c r="AB319" s="50">
        <f t="shared" ca="1" si="230"/>
        <v>0</v>
      </c>
      <c r="AC319" s="50">
        <f t="shared" ca="1" si="230"/>
        <v>0</v>
      </c>
      <c r="AD319" s="50">
        <f t="shared" ca="1" si="230"/>
        <v>0</v>
      </c>
      <c r="AE319" s="50">
        <f t="shared" ca="1" si="230"/>
        <v>0</v>
      </c>
      <c r="AF319" s="50">
        <f t="shared" ca="1" si="230"/>
        <v>0</v>
      </c>
      <c r="AG319" s="50">
        <f t="shared" ca="1" si="230"/>
        <v>0</v>
      </c>
      <c r="AH319" s="50">
        <f t="shared" ca="1" si="230"/>
        <v>0</v>
      </c>
      <c r="AI319" s="50">
        <f t="shared" ca="1" si="230"/>
        <v>0</v>
      </c>
      <c r="AJ319" s="50">
        <f t="shared" ca="1" si="230"/>
        <v>0</v>
      </c>
      <c r="AK319" s="50">
        <f t="shared" ca="1" si="230"/>
        <v>0</v>
      </c>
      <c r="AL319" s="50">
        <f t="shared" si="230"/>
        <v>0</v>
      </c>
      <c r="AM319" s="50">
        <f t="shared" si="230"/>
        <v>0</v>
      </c>
      <c r="AN319" s="50">
        <f t="shared" si="230"/>
        <v>0</v>
      </c>
      <c r="AO319" s="50">
        <f t="shared" si="230"/>
        <v>0</v>
      </c>
      <c r="AP319" s="50">
        <f t="shared" si="230"/>
        <v>0</v>
      </c>
      <c r="AQ319" s="50">
        <f t="shared" si="230"/>
        <v>0</v>
      </c>
      <c r="AR319" s="50">
        <f t="shared" si="230"/>
        <v>0</v>
      </c>
      <c r="AS319" s="50">
        <f t="shared" si="230"/>
        <v>0</v>
      </c>
      <c r="AT319" s="50">
        <f t="shared" si="230"/>
        <v>0</v>
      </c>
      <c r="AU319" s="50">
        <f t="shared" si="230"/>
        <v>0</v>
      </c>
    </row>
    <row r="320" spans="1:47">
      <c r="D320" s="186"/>
      <c r="E320" s="325"/>
      <c r="G320" s="39" t="s">
        <v>304</v>
      </c>
      <c r="I320" s="39"/>
      <c r="K320" s="39"/>
      <c r="L320" s="43"/>
      <c r="N320" s="70"/>
      <c r="O320" s="313"/>
      <c r="P320" s="70"/>
      <c r="Q320" s="313"/>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row>
    <row r="321" spans="1:47">
      <c r="A321" s="38" t="str">
        <f>$J$4&amp;"-"</f>
        <v>1X-</v>
      </c>
      <c r="B321" s="38" t="s">
        <v>265</v>
      </c>
      <c r="C321" s="38" t="str">
        <f>C312</f>
        <v>FOG Receiving</v>
      </c>
      <c r="D321" s="186"/>
      <c r="E321" s="325"/>
      <c r="G321" s="36" t="s">
        <v>108</v>
      </c>
      <c r="I321" s="39"/>
      <c r="K321" s="39"/>
      <c r="L321" s="43" t="s">
        <v>293</v>
      </c>
      <c r="N321" s="70">
        <f ca="1">SUMIFS(OFFSET(Assumptions!$I$90,0,MATCH($A321,Configurations,0)-1,COUNT(Assumptions!$A$90:$A$183),1),Assumptions!$D$90:$D$183,$B321&amp;$C321)</f>
        <v>0</v>
      </c>
      <c r="O321" s="313"/>
      <c r="P321" s="323"/>
      <c r="Q321" s="313"/>
      <c r="R321" s="50">
        <f t="shared" ref="R321:AU321" ca="1" si="231">IF(OR(R$99&lt;InServiceYr,R$99&gt;(InServiceYr+analysis_period-1)),0,IF($P321=0,$N321,$P321)*R$501)</f>
        <v>0</v>
      </c>
      <c r="S321" s="50">
        <f t="shared" ca="1" si="231"/>
        <v>0</v>
      </c>
      <c r="T321" s="50">
        <f t="shared" ca="1" si="231"/>
        <v>0</v>
      </c>
      <c r="U321" s="50">
        <f t="shared" ca="1" si="231"/>
        <v>0</v>
      </c>
      <c r="V321" s="50">
        <f t="shared" ca="1" si="231"/>
        <v>0</v>
      </c>
      <c r="W321" s="50">
        <f t="shared" ca="1" si="231"/>
        <v>0</v>
      </c>
      <c r="X321" s="50">
        <f t="shared" ca="1" si="231"/>
        <v>0</v>
      </c>
      <c r="Y321" s="50">
        <f t="shared" ca="1" si="231"/>
        <v>0</v>
      </c>
      <c r="Z321" s="50">
        <f t="shared" ca="1" si="231"/>
        <v>0</v>
      </c>
      <c r="AA321" s="50">
        <f t="shared" ca="1" si="231"/>
        <v>0</v>
      </c>
      <c r="AB321" s="50">
        <f t="shared" ca="1" si="231"/>
        <v>0</v>
      </c>
      <c r="AC321" s="50">
        <f t="shared" ca="1" si="231"/>
        <v>0</v>
      </c>
      <c r="AD321" s="50">
        <f t="shared" ca="1" si="231"/>
        <v>0</v>
      </c>
      <c r="AE321" s="50">
        <f t="shared" ca="1" si="231"/>
        <v>0</v>
      </c>
      <c r="AF321" s="50">
        <f t="shared" ca="1" si="231"/>
        <v>0</v>
      </c>
      <c r="AG321" s="50">
        <f t="shared" ca="1" si="231"/>
        <v>0</v>
      </c>
      <c r="AH321" s="50">
        <f t="shared" ca="1" si="231"/>
        <v>0</v>
      </c>
      <c r="AI321" s="50">
        <f t="shared" ca="1" si="231"/>
        <v>0</v>
      </c>
      <c r="AJ321" s="50">
        <f t="shared" ca="1" si="231"/>
        <v>0</v>
      </c>
      <c r="AK321" s="50">
        <f t="shared" ca="1" si="231"/>
        <v>0</v>
      </c>
      <c r="AL321" s="50">
        <f t="shared" si="231"/>
        <v>0</v>
      </c>
      <c r="AM321" s="50">
        <f t="shared" si="231"/>
        <v>0</v>
      </c>
      <c r="AN321" s="50">
        <f t="shared" si="231"/>
        <v>0</v>
      </c>
      <c r="AO321" s="50">
        <f t="shared" si="231"/>
        <v>0</v>
      </c>
      <c r="AP321" s="50">
        <f t="shared" si="231"/>
        <v>0</v>
      </c>
      <c r="AQ321" s="50">
        <f t="shared" si="231"/>
        <v>0</v>
      </c>
      <c r="AR321" s="50">
        <f t="shared" si="231"/>
        <v>0</v>
      </c>
      <c r="AS321" s="50">
        <f t="shared" si="231"/>
        <v>0</v>
      </c>
      <c r="AT321" s="50">
        <f t="shared" si="231"/>
        <v>0</v>
      </c>
      <c r="AU321" s="50">
        <f t="shared" si="231"/>
        <v>0</v>
      </c>
    </row>
    <row r="322" spans="1:47">
      <c r="A322" s="38" t="str">
        <f>$J$4&amp;"-"</f>
        <v>1X-</v>
      </c>
      <c r="B322" s="38" t="s">
        <v>289</v>
      </c>
      <c r="C322" s="38" t="str">
        <f>C312</f>
        <v>FOG Receiving</v>
      </c>
      <c r="D322" s="186">
        <f>LaborEsc</f>
        <v>0.02</v>
      </c>
      <c r="E322" s="325"/>
      <c r="G322" s="36" t="s">
        <v>292</v>
      </c>
      <c r="I322" s="39"/>
      <c r="K322" s="39"/>
      <c r="L322" s="43" t="str">
        <f>"["&amp;CostBaseYr&amp;" $]"</f>
        <v>[2013 $]</v>
      </c>
      <c r="N322" s="70">
        <f ca="1">SUMIFS(OFFSET(Assumptions!$I$90,0,MATCH($A322,Configurations,0)-1,COUNT(Assumptions!$A$90:$A$183),1),Assumptions!$D$90:$D$183,$B322&amp;$C322)</f>
        <v>0</v>
      </c>
      <c r="O322" s="313"/>
      <c r="P322" s="323"/>
      <c r="Q322" s="313"/>
      <c r="R322" s="50">
        <f t="shared" ref="R322:AU322" ca="1" si="232">IF(OR(R$99&lt;InServiceYr,R$99&gt;(InServiceYr+analysis_period-1)),0,IF($P322=0,$N322,$P322)*(1+$D322)^(R$99-CostBaseYr))</f>
        <v>0</v>
      </c>
      <c r="S322" s="50">
        <f t="shared" ca="1" si="232"/>
        <v>0</v>
      </c>
      <c r="T322" s="50">
        <f t="shared" ca="1" si="232"/>
        <v>0</v>
      </c>
      <c r="U322" s="50">
        <f t="shared" ca="1" si="232"/>
        <v>0</v>
      </c>
      <c r="V322" s="50">
        <f t="shared" ca="1" si="232"/>
        <v>0</v>
      </c>
      <c r="W322" s="50">
        <f t="shared" ca="1" si="232"/>
        <v>0</v>
      </c>
      <c r="X322" s="50">
        <f t="shared" ca="1" si="232"/>
        <v>0</v>
      </c>
      <c r="Y322" s="50">
        <f t="shared" ca="1" si="232"/>
        <v>0</v>
      </c>
      <c r="Z322" s="50">
        <f t="shared" ca="1" si="232"/>
        <v>0</v>
      </c>
      <c r="AA322" s="50">
        <f t="shared" ca="1" si="232"/>
        <v>0</v>
      </c>
      <c r="AB322" s="50">
        <f t="shared" ca="1" si="232"/>
        <v>0</v>
      </c>
      <c r="AC322" s="50">
        <f t="shared" ca="1" si="232"/>
        <v>0</v>
      </c>
      <c r="AD322" s="50">
        <f t="shared" ca="1" si="232"/>
        <v>0</v>
      </c>
      <c r="AE322" s="50">
        <f t="shared" ca="1" si="232"/>
        <v>0</v>
      </c>
      <c r="AF322" s="50">
        <f t="shared" ca="1" si="232"/>
        <v>0</v>
      </c>
      <c r="AG322" s="50">
        <f t="shared" ca="1" si="232"/>
        <v>0</v>
      </c>
      <c r="AH322" s="50">
        <f t="shared" ca="1" si="232"/>
        <v>0</v>
      </c>
      <c r="AI322" s="50">
        <f t="shared" ca="1" si="232"/>
        <v>0</v>
      </c>
      <c r="AJ322" s="50">
        <f t="shared" ca="1" si="232"/>
        <v>0</v>
      </c>
      <c r="AK322" s="50">
        <f t="shared" ca="1" si="232"/>
        <v>0</v>
      </c>
      <c r="AL322" s="50">
        <f t="shared" si="232"/>
        <v>0</v>
      </c>
      <c r="AM322" s="50">
        <f t="shared" si="232"/>
        <v>0</v>
      </c>
      <c r="AN322" s="50">
        <f t="shared" si="232"/>
        <v>0</v>
      </c>
      <c r="AO322" s="50">
        <f t="shared" si="232"/>
        <v>0</v>
      </c>
      <c r="AP322" s="50">
        <f t="shared" si="232"/>
        <v>0</v>
      </c>
      <c r="AQ322" s="50">
        <f t="shared" si="232"/>
        <v>0</v>
      </c>
      <c r="AR322" s="50">
        <f t="shared" si="232"/>
        <v>0</v>
      </c>
      <c r="AS322" s="50">
        <f t="shared" si="232"/>
        <v>0</v>
      </c>
      <c r="AT322" s="50">
        <f t="shared" si="232"/>
        <v>0</v>
      </c>
      <c r="AU322" s="50">
        <f t="shared" si="232"/>
        <v>0</v>
      </c>
    </row>
    <row r="323" spans="1:47" s="60" customFormat="1">
      <c r="D323" s="187"/>
      <c r="E323" s="325"/>
      <c r="G323" s="39" t="s">
        <v>305</v>
      </c>
      <c r="I323" s="39"/>
      <c r="K323" s="39"/>
      <c r="L323" s="174"/>
      <c r="N323" s="188"/>
      <c r="O323" s="314"/>
      <c r="P323" s="185"/>
      <c r="Q323" s="314"/>
      <c r="R323" s="185">
        <f ca="1">SUM(R312:R319)-SUM(R321:R322)</f>
        <v>0</v>
      </c>
      <c r="S323" s="185">
        <f t="shared" ref="S323:AU323" ca="1" si="233">SUM(S312:S319)-SUM(S321:S322)</f>
        <v>0</v>
      </c>
      <c r="T323" s="185">
        <f t="shared" ca="1" si="233"/>
        <v>0</v>
      </c>
      <c r="U323" s="185">
        <f t="shared" ca="1" si="233"/>
        <v>0</v>
      </c>
      <c r="V323" s="185">
        <f t="shared" ca="1" si="233"/>
        <v>0</v>
      </c>
      <c r="W323" s="185">
        <f t="shared" ca="1" si="233"/>
        <v>0</v>
      </c>
      <c r="X323" s="185">
        <f t="shared" ca="1" si="233"/>
        <v>0</v>
      </c>
      <c r="Y323" s="185">
        <f t="shared" ca="1" si="233"/>
        <v>0</v>
      </c>
      <c r="Z323" s="185">
        <f t="shared" ca="1" si="233"/>
        <v>0</v>
      </c>
      <c r="AA323" s="185">
        <f t="shared" ca="1" si="233"/>
        <v>0</v>
      </c>
      <c r="AB323" s="185">
        <f t="shared" ca="1" si="233"/>
        <v>0</v>
      </c>
      <c r="AC323" s="185">
        <f t="shared" ca="1" si="233"/>
        <v>0</v>
      </c>
      <c r="AD323" s="185">
        <f t="shared" ca="1" si="233"/>
        <v>0</v>
      </c>
      <c r="AE323" s="185">
        <f t="shared" ca="1" si="233"/>
        <v>0</v>
      </c>
      <c r="AF323" s="185">
        <f t="shared" ca="1" si="233"/>
        <v>0</v>
      </c>
      <c r="AG323" s="185">
        <f t="shared" ca="1" si="233"/>
        <v>0</v>
      </c>
      <c r="AH323" s="185">
        <f t="shared" ca="1" si="233"/>
        <v>0</v>
      </c>
      <c r="AI323" s="185">
        <f t="shared" ca="1" si="233"/>
        <v>0</v>
      </c>
      <c r="AJ323" s="185">
        <f t="shared" ca="1" si="233"/>
        <v>0</v>
      </c>
      <c r="AK323" s="185">
        <f t="shared" ca="1" si="233"/>
        <v>0</v>
      </c>
      <c r="AL323" s="185">
        <f t="shared" si="233"/>
        <v>0</v>
      </c>
      <c r="AM323" s="185">
        <f t="shared" si="233"/>
        <v>0</v>
      </c>
      <c r="AN323" s="185">
        <f t="shared" si="233"/>
        <v>0</v>
      </c>
      <c r="AO323" s="185">
        <f t="shared" si="233"/>
        <v>0</v>
      </c>
      <c r="AP323" s="185">
        <f t="shared" si="233"/>
        <v>0</v>
      </c>
      <c r="AQ323" s="185">
        <f t="shared" si="233"/>
        <v>0</v>
      </c>
      <c r="AR323" s="185">
        <f t="shared" si="233"/>
        <v>0</v>
      </c>
      <c r="AS323" s="185">
        <f t="shared" si="233"/>
        <v>0</v>
      </c>
      <c r="AT323" s="185">
        <f t="shared" si="233"/>
        <v>0</v>
      </c>
      <c r="AU323" s="185">
        <f t="shared" si="233"/>
        <v>0</v>
      </c>
    </row>
    <row r="324" spans="1:47">
      <c r="E324" s="36"/>
      <c r="G324" s="39"/>
      <c r="H324" s="39"/>
      <c r="I324" s="39"/>
      <c r="J324" s="39"/>
      <c r="K324" s="39"/>
    </row>
    <row r="325" spans="1:47">
      <c r="E325" s="327"/>
      <c r="F325" s="28"/>
      <c r="G325" s="324" t="str">
        <f>C327&amp;" Capital Costs"</f>
        <v>Gas Cleaning Capital Costs</v>
      </c>
      <c r="H325" s="324"/>
      <c r="I325" s="324"/>
      <c r="J325" s="324"/>
      <c r="K325" s="324"/>
      <c r="L325" s="405" t="s">
        <v>79</v>
      </c>
      <c r="M325" s="256"/>
      <c r="N325" s="325" t="s">
        <v>490</v>
      </c>
      <c r="O325" s="311"/>
      <c r="P325" s="325" t="s">
        <v>491</v>
      </c>
      <c r="Q325" s="310"/>
      <c r="R325" s="325">
        <f>R$8</f>
        <v>2014</v>
      </c>
      <c r="S325" s="325">
        <f t="shared" ref="S325:AU325" si="234">S$8</f>
        <v>2015</v>
      </c>
      <c r="T325" s="325">
        <f t="shared" si="234"/>
        <v>2016</v>
      </c>
      <c r="U325" s="325">
        <f t="shared" si="234"/>
        <v>2017</v>
      </c>
      <c r="V325" s="325">
        <f t="shared" si="234"/>
        <v>2018</v>
      </c>
      <c r="W325" s="325">
        <f t="shared" si="234"/>
        <v>2019</v>
      </c>
      <c r="X325" s="325">
        <f t="shared" si="234"/>
        <v>2020</v>
      </c>
      <c r="Y325" s="325">
        <f t="shared" si="234"/>
        <v>2021</v>
      </c>
      <c r="Z325" s="325">
        <f t="shared" si="234"/>
        <v>2022</v>
      </c>
      <c r="AA325" s="325">
        <f t="shared" si="234"/>
        <v>2023</v>
      </c>
      <c r="AB325" s="325">
        <f t="shared" si="234"/>
        <v>2024</v>
      </c>
      <c r="AC325" s="325">
        <f t="shared" si="234"/>
        <v>2025</v>
      </c>
      <c r="AD325" s="325">
        <f t="shared" si="234"/>
        <v>2026</v>
      </c>
      <c r="AE325" s="325">
        <f t="shared" si="234"/>
        <v>2027</v>
      </c>
      <c r="AF325" s="325">
        <f t="shared" si="234"/>
        <v>2028</v>
      </c>
      <c r="AG325" s="325">
        <f t="shared" si="234"/>
        <v>2029</v>
      </c>
      <c r="AH325" s="325">
        <f t="shared" si="234"/>
        <v>2030</v>
      </c>
      <c r="AI325" s="325">
        <f t="shared" si="234"/>
        <v>2031</v>
      </c>
      <c r="AJ325" s="325">
        <f t="shared" si="234"/>
        <v>2032</v>
      </c>
      <c r="AK325" s="325">
        <f t="shared" si="234"/>
        <v>2033</v>
      </c>
      <c r="AL325" s="325">
        <f t="shared" si="234"/>
        <v>2034</v>
      </c>
      <c r="AM325" s="325">
        <f t="shared" si="234"/>
        <v>2035</v>
      </c>
      <c r="AN325" s="325">
        <f t="shared" si="234"/>
        <v>2036</v>
      </c>
      <c r="AO325" s="325">
        <f t="shared" si="234"/>
        <v>2037</v>
      </c>
      <c r="AP325" s="325">
        <f t="shared" si="234"/>
        <v>2038</v>
      </c>
      <c r="AQ325" s="325">
        <f t="shared" si="234"/>
        <v>2039</v>
      </c>
      <c r="AR325" s="325">
        <f t="shared" si="234"/>
        <v>2040</v>
      </c>
      <c r="AS325" s="325">
        <f t="shared" si="234"/>
        <v>2041</v>
      </c>
      <c r="AT325" s="325">
        <f t="shared" si="234"/>
        <v>2042</v>
      </c>
      <c r="AU325" s="325">
        <f t="shared" si="234"/>
        <v>2043</v>
      </c>
    </row>
    <row r="326" spans="1:47">
      <c r="E326" s="325"/>
      <c r="G326" s="39"/>
      <c r="H326" s="39"/>
      <c r="I326" s="39"/>
      <c r="J326" s="39"/>
      <c r="K326" s="39"/>
    </row>
    <row r="327" spans="1:47">
      <c r="A327" s="38" t="str">
        <f>$J$4&amp;"-"</f>
        <v>1X-</v>
      </c>
      <c r="B327" s="38" t="s">
        <v>306</v>
      </c>
      <c r="C327" s="38" t="s">
        <v>162</v>
      </c>
      <c r="D327" s="186">
        <f>CapExEsc</f>
        <v>0.03</v>
      </c>
      <c r="E327" s="325"/>
      <c r="G327" s="36" t="s">
        <v>8</v>
      </c>
      <c r="H327" s="39"/>
      <c r="I327" s="39"/>
      <c r="J327" s="70"/>
      <c r="K327" s="39"/>
      <c r="L327" s="43" t="str">
        <f>"["&amp;CostBaseYr&amp;" $]"</f>
        <v>[2013 $]</v>
      </c>
      <c r="N327" s="52">
        <f ca="1">SUMIFS(OFFSET(Assumptions!$I$65,0,MATCH($A327,Configurations,0)-1,COUNT(Assumptions!$A$65:$A$84),1),Assumptions!$E$65:$E$84,$C327)</f>
        <v>696000</v>
      </c>
      <c r="O327" s="52"/>
      <c r="P327" s="322"/>
      <c r="Q327" s="52"/>
      <c r="R327" s="52">
        <f t="shared" ref="R327:AU327" ca="1" si="235">R328*IF($P327=0,$N327,$P327)*(1+$D327)^(R$8-CostBaseYr)</f>
        <v>716880</v>
      </c>
      <c r="S327" s="52">
        <f t="shared" ca="1" si="235"/>
        <v>0</v>
      </c>
      <c r="T327" s="52">
        <f t="shared" ca="1" si="235"/>
        <v>0</v>
      </c>
      <c r="U327" s="52">
        <f t="shared" ca="1" si="235"/>
        <v>0</v>
      </c>
      <c r="V327" s="52">
        <f t="shared" ca="1" si="235"/>
        <v>0</v>
      </c>
      <c r="W327" s="52">
        <f t="shared" ca="1" si="235"/>
        <v>0</v>
      </c>
      <c r="X327" s="52">
        <f t="shared" ca="1" si="235"/>
        <v>0</v>
      </c>
      <c r="Y327" s="52">
        <f t="shared" ca="1" si="235"/>
        <v>0</v>
      </c>
      <c r="Z327" s="52">
        <f t="shared" ca="1" si="235"/>
        <v>0</v>
      </c>
      <c r="AA327" s="52">
        <f t="shared" ca="1" si="235"/>
        <v>0</v>
      </c>
      <c r="AB327" s="52">
        <f t="shared" ca="1" si="235"/>
        <v>0</v>
      </c>
      <c r="AC327" s="52">
        <f t="shared" ca="1" si="235"/>
        <v>0</v>
      </c>
      <c r="AD327" s="52">
        <f t="shared" ca="1" si="235"/>
        <v>0</v>
      </c>
      <c r="AE327" s="52">
        <f t="shared" ca="1" si="235"/>
        <v>0</v>
      </c>
      <c r="AF327" s="52">
        <f t="shared" ca="1" si="235"/>
        <v>0</v>
      </c>
      <c r="AG327" s="52">
        <f t="shared" ca="1" si="235"/>
        <v>0</v>
      </c>
      <c r="AH327" s="52">
        <f t="shared" ca="1" si="235"/>
        <v>0</v>
      </c>
      <c r="AI327" s="52">
        <f t="shared" ca="1" si="235"/>
        <v>0</v>
      </c>
      <c r="AJ327" s="52">
        <f t="shared" ca="1" si="235"/>
        <v>0</v>
      </c>
      <c r="AK327" s="52">
        <f t="shared" ca="1" si="235"/>
        <v>0</v>
      </c>
      <c r="AL327" s="52">
        <f t="shared" ca="1" si="235"/>
        <v>0</v>
      </c>
      <c r="AM327" s="52">
        <f t="shared" ca="1" si="235"/>
        <v>0</v>
      </c>
      <c r="AN327" s="52">
        <f t="shared" ca="1" si="235"/>
        <v>0</v>
      </c>
      <c r="AO327" s="52">
        <f t="shared" ca="1" si="235"/>
        <v>0</v>
      </c>
      <c r="AP327" s="52">
        <f t="shared" ca="1" si="235"/>
        <v>0</v>
      </c>
      <c r="AQ327" s="52">
        <f t="shared" ca="1" si="235"/>
        <v>0</v>
      </c>
      <c r="AR327" s="52">
        <f t="shared" ca="1" si="235"/>
        <v>0</v>
      </c>
      <c r="AS327" s="52">
        <f t="shared" ca="1" si="235"/>
        <v>0</v>
      </c>
      <c r="AT327" s="52">
        <f t="shared" ca="1" si="235"/>
        <v>0</v>
      </c>
      <c r="AU327" s="52">
        <f t="shared" ca="1" si="235"/>
        <v>0</v>
      </c>
    </row>
    <row r="328" spans="1:47">
      <c r="E328" s="325"/>
      <c r="G328" s="36" t="s">
        <v>10</v>
      </c>
      <c r="H328" s="39"/>
      <c r="I328" s="39"/>
      <c r="J328" s="39"/>
      <c r="K328" s="39"/>
      <c r="L328" s="43"/>
      <c r="R328" s="54">
        <f>Assumptions!M$60</f>
        <v>1</v>
      </c>
      <c r="S328" s="54">
        <f>Assumptions!N$60</f>
        <v>0</v>
      </c>
      <c r="T328" s="54">
        <f>Assumptions!O$60</f>
        <v>0</v>
      </c>
      <c r="U328" s="54">
        <f>Assumptions!P$60</f>
        <v>0</v>
      </c>
      <c r="V328" s="54">
        <f>Assumptions!Q$60</f>
        <v>0</v>
      </c>
      <c r="W328" s="54">
        <f>Assumptions!R$60</f>
        <v>0</v>
      </c>
      <c r="X328" s="54">
        <f>Assumptions!S$60</f>
        <v>0</v>
      </c>
      <c r="Y328" s="54">
        <f>Assumptions!T$60</f>
        <v>0</v>
      </c>
      <c r="Z328" s="54">
        <f>Assumptions!U$60</f>
        <v>0</v>
      </c>
      <c r="AA328" s="54">
        <f>Assumptions!V$60</f>
        <v>0</v>
      </c>
      <c r="AB328" s="54">
        <f>Assumptions!W$60</f>
        <v>0</v>
      </c>
      <c r="AC328" s="54">
        <f>Assumptions!X$60</f>
        <v>0</v>
      </c>
      <c r="AD328" s="54">
        <f>Assumptions!Y$60</f>
        <v>0</v>
      </c>
      <c r="AE328" s="54">
        <f>Assumptions!Z$60</f>
        <v>0</v>
      </c>
      <c r="AF328" s="54">
        <f>Assumptions!AA$60</f>
        <v>0</v>
      </c>
      <c r="AG328" s="54">
        <f>Assumptions!AB$60</f>
        <v>0</v>
      </c>
      <c r="AH328" s="54">
        <f>Assumptions!AC$60</f>
        <v>0</v>
      </c>
      <c r="AI328" s="54">
        <f>Assumptions!AD$60</f>
        <v>0</v>
      </c>
      <c r="AJ328" s="54">
        <f>Assumptions!AE$60</f>
        <v>0</v>
      </c>
      <c r="AK328" s="54">
        <f>Assumptions!AF$60</f>
        <v>0</v>
      </c>
      <c r="AL328" s="54">
        <f>Assumptions!AG$60</f>
        <v>0</v>
      </c>
      <c r="AM328" s="54">
        <f>Assumptions!AH$60</f>
        <v>0</v>
      </c>
      <c r="AN328" s="54">
        <f>Assumptions!AI$60</f>
        <v>0</v>
      </c>
      <c r="AO328" s="54">
        <f>Assumptions!AJ$60</f>
        <v>0</v>
      </c>
      <c r="AP328" s="54">
        <f>Assumptions!AK$60</f>
        <v>0</v>
      </c>
      <c r="AQ328" s="54">
        <f>Assumptions!AL$60</f>
        <v>0</v>
      </c>
      <c r="AR328" s="54">
        <f>Assumptions!AM$60</f>
        <v>0</v>
      </c>
      <c r="AS328" s="54">
        <f>Assumptions!AN$60</f>
        <v>0</v>
      </c>
      <c r="AT328" s="54">
        <f>Assumptions!AO$60</f>
        <v>0</v>
      </c>
      <c r="AU328" s="54">
        <f>Assumptions!AP$60</f>
        <v>0</v>
      </c>
    </row>
    <row r="329" spans="1:47">
      <c r="E329" s="326"/>
      <c r="G329" s="39"/>
      <c r="H329" s="39"/>
      <c r="I329" s="39"/>
      <c r="J329" s="39"/>
      <c r="K329" s="39"/>
    </row>
    <row r="330" spans="1:47">
      <c r="E330" s="327"/>
      <c r="F330" s="28"/>
      <c r="G330" s="324" t="str">
        <f>C327&amp;" O&amp;M"</f>
        <v>Gas Cleaning O&amp;M</v>
      </c>
      <c r="H330" s="324"/>
      <c r="I330" s="324"/>
      <c r="J330" s="324"/>
      <c r="K330" s="324"/>
      <c r="L330" s="405" t="s">
        <v>79</v>
      </c>
      <c r="M330" s="256"/>
      <c r="N330" s="325" t="s">
        <v>490</v>
      </c>
      <c r="O330" s="311"/>
      <c r="P330" s="325" t="s">
        <v>491</v>
      </c>
      <c r="Q330" s="310"/>
      <c r="R330" s="325">
        <f>R$8</f>
        <v>2014</v>
      </c>
      <c r="S330" s="325">
        <f t="shared" ref="S330:AU330" si="236">S$8</f>
        <v>2015</v>
      </c>
      <c r="T330" s="325">
        <f t="shared" si="236"/>
        <v>2016</v>
      </c>
      <c r="U330" s="325">
        <f t="shared" si="236"/>
        <v>2017</v>
      </c>
      <c r="V330" s="325">
        <f t="shared" si="236"/>
        <v>2018</v>
      </c>
      <c r="W330" s="325">
        <f t="shared" si="236"/>
        <v>2019</v>
      </c>
      <c r="X330" s="325">
        <f t="shared" si="236"/>
        <v>2020</v>
      </c>
      <c r="Y330" s="325">
        <f t="shared" si="236"/>
        <v>2021</v>
      </c>
      <c r="Z330" s="325">
        <f t="shared" si="236"/>
        <v>2022</v>
      </c>
      <c r="AA330" s="325">
        <f t="shared" si="236"/>
        <v>2023</v>
      </c>
      <c r="AB330" s="325">
        <f t="shared" si="236"/>
        <v>2024</v>
      </c>
      <c r="AC330" s="325">
        <f t="shared" si="236"/>
        <v>2025</v>
      </c>
      <c r="AD330" s="325">
        <f t="shared" si="236"/>
        <v>2026</v>
      </c>
      <c r="AE330" s="325">
        <f t="shared" si="236"/>
        <v>2027</v>
      </c>
      <c r="AF330" s="325">
        <f t="shared" si="236"/>
        <v>2028</v>
      </c>
      <c r="AG330" s="325">
        <f t="shared" si="236"/>
        <v>2029</v>
      </c>
      <c r="AH330" s="325">
        <f t="shared" si="236"/>
        <v>2030</v>
      </c>
      <c r="AI330" s="325">
        <f t="shared" si="236"/>
        <v>2031</v>
      </c>
      <c r="AJ330" s="325">
        <f t="shared" si="236"/>
        <v>2032</v>
      </c>
      <c r="AK330" s="325">
        <f t="shared" si="236"/>
        <v>2033</v>
      </c>
      <c r="AL330" s="325">
        <f t="shared" si="236"/>
        <v>2034</v>
      </c>
      <c r="AM330" s="325">
        <f t="shared" si="236"/>
        <v>2035</v>
      </c>
      <c r="AN330" s="325">
        <f t="shared" si="236"/>
        <v>2036</v>
      </c>
      <c r="AO330" s="325">
        <f t="shared" si="236"/>
        <v>2037</v>
      </c>
      <c r="AP330" s="325">
        <f t="shared" si="236"/>
        <v>2038</v>
      </c>
      <c r="AQ330" s="325">
        <f t="shared" si="236"/>
        <v>2039</v>
      </c>
      <c r="AR330" s="325">
        <f t="shared" si="236"/>
        <v>2040</v>
      </c>
      <c r="AS330" s="325">
        <f t="shared" si="236"/>
        <v>2041</v>
      </c>
      <c r="AT330" s="325">
        <f t="shared" si="236"/>
        <v>2042</v>
      </c>
      <c r="AU330" s="325">
        <f t="shared" si="236"/>
        <v>2043</v>
      </c>
    </row>
    <row r="331" spans="1:47">
      <c r="E331" s="325"/>
      <c r="G331" s="39"/>
      <c r="H331" s="39"/>
      <c r="I331" s="39"/>
      <c r="J331" s="39"/>
      <c r="K331" s="39"/>
    </row>
    <row r="332" spans="1:47">
      <c r="E332" s="325"/>
      <c r="G332" s="39" t="s">
        <v>23</v>
      </c>
      <c r="H332" s="39"/>
      <c r="I332" s="39"/>
      <c r="J332" s="39"/>
      <c r="K332" s="39"/>
    </row>
    <row r="333" spans="1:47">
      <c r="A333" s="38" t="str">
        <f t="shared" ref="A333:A340" si="237">$J$4&amp;"-"</f>
        <v>1X-</v>
      </c>
      <c r="B333" s="38" t="s">
        <v>262</v>
      </c>
      <c r="C333" s="38" t="str">
        <f>C327</f>
        <v>Gas Cleaning</v>
      </c>
      <c r="D333" s="186">
        <f>LaborEsc</f>
        <v>0.02</v>
      </c>
      <c r="E333" s="325"/>
      <c r="G333" s="36" t="s">
        <v>125</v>
      </c>
      <c r="I333" s="39"/>
      <c r="K333" s="39"/>
      <c r="L333" s="43" t="s">
        <v>266</v>
      </c>
      <c r="N333" s="70">
        <f ca="1">SUMIFS(OFFSET(Assumptions!$I$90,0,MATCH($A333,Configurations,0)-1,COUNT(Assumptions!$A$90:$A$183),1),Assumptions!$D$90:$D$183,$B333&amp;$C333)</f>
        <v>1460</v>
      </c>
      <c r="O333" s="313"/>
      <c r="P333" s="323"/>
      <c r="Q333" s="313"/>
      <c r="R333" s="50">
        <f t="shared" ref="R333:AU333" ca="1" si="238">IF(OR(R$99&lt;InServiceYr,R$99&gt;(InServiceYr+analysis_period-1)),0,IF($P333=0,$N333,$P333)*LaborCost*(1+$D333)^(R$99-CostBaseYr))</f>
        <v>52122</v>
      </c>
      <c r="S333" s="50">
        <f t="shared" ca="1" si="238"/>
        <v>53164.44</v>
      </c>
      <c r="T333" s="50">
        <f t="shared" ca="1" si="238"/>
        <v>54227.728799999997</v>
      </c>
      <c r="U333" s="50">
        <f t="shared" ca="1" si="238"/>
        <v>55312.283375999999</v>
      </c>
      <c r="V333" s="50">
        <f t="shared" ca="1" si="238"/>
        <v>56418.52904352</v>
      </c>
      <c r="W333" s="50">
        <f t="shared" ca="1" si="238"/>
        <v>57546.899624390404</v>
      </c>
      <c r="X333" s="50">
        <f t="shared" ca="1" si="238"/>
        <v>58697.837616878198</v>
      </c>
      <c r="Y333" s="50">
        <f t="shared" ca="1" si="238"/>
        <v>59871.794369215771</v>
      </c>
      <c r="Z333" s="50">
        <f t="shared" ca="1" si="238"/>
        <v>61069.230256600087</v>
      </c>
      <c r="AA333" s="50">
        <f t="shared" ca="1" si="238"/>
        <v>62290.614861732087</v>
      </c>
      <c r="AB333" s="50">
        <f t="shared" ca="1" si="238"/>
        <v>63536.427158966719</v>
      </c>
      <c r="AC333" s="50">
        <f t="shared" ca="1" si="238"/>
        <v>64807.155702146061</v>
      </c>
      <c r="AD333" s="50">
        <f t="shared" ca="1" si="238"/>
        <v>66103.298816188981</v>
      </c>
      <c r="AE333" s="50">
        <f t="shared" ca="1" si="238"/>
        <v>67425.364792512773</v>
      </c>
      <c r="AF333" s="50">
        <f t="shared" ca="1" si="238"/>
        <v>68773.872088363001</v>
      </c>
      <c r="AG333" s="50">
        <f t="shared" ca="1" si="238"/>
        <v>70149.349530130276</v>
      </c>
      <c r="AH333" s="50">
        <f t="shared" ca="1" si="238"/>
        <v>71552.33652073289</v>
      </c>
      <c r="AI333" s="50">
        <f t="shared" ca="1" si="238"/>
        <v>72983.383251147534</v>
      </c>
      <c r="AJ333" s="50">
        <f t="shared" ca="1" si="238"/>
        <v>74443.050916170483</v>
      </c>
      <c r="AK333" s="50">
        <f t="shared" ca="1" si="238"/>
        <v>75931.911934493895</v>
      </c>
      <c r="AL333" s="50">
        <f t="shared" si="238"/>
        <v>0</v>
      </c>
      <c r="AM333" s="50">
        <f t="shared" si="238"/>
        <v>0</v>
      </c>
      <c r="AN333" s="50">
        <f t="shared" si="238"/>
        <v>0</v>
      </c>
      <c r="AO333" s="50">
        <f t="shared" si="238"/>
        <v>0</v>
      </c>
      <c r="AP333" s="50">
        <f t="shared" si="238"/>
        <v>0</v>
      </c>
      <c r="AQ333" s="50">
        <f t="shared" si="238"/>
        <v>0</v>
      </c>
      <c r="AR333" s="50">
        <f t="shared" si="238"/>
        <v>0</v>
      </c>
      <c r="AS333" s="50">
        <f t="shared" si="238"/>
        <v>0</v>
      </c>
      <c r="AT333" s="50">
        <f t="shared" si="238"/>
        <v>0</v>
      </c>
      <c r="AU333" s="50">
        <f t="shared" si="238"/>
        <v>0</v>
      </c>
    </row>
    <row r="334" spans="1:47">
      <c r="A334" s="38" t="str">
        <f t="shared" si="237"/>
        <v>1X-</v>
      </c>
      <c r="B334" s="38" t="s">
        <v>270</v>
      </c>
      <c r="C334" s="38" t="str">
        <f>C333</f>
        <v>Gas Cleaning</v>
      </c>
      <c r="D334" s="186">
        <f>OMEsc</f>
        <v>0.02</v>
      </c>
      <c r="E334" s="325"/>
      <c r="G334" s="36" t="s">
        <v>126</v>
      </c>
      <c r="I334" s="39"/>
      <c r="K334" s="39"/>
      <c r="L334" s="43" t="str">
        <f>"["&amp;CostBaseYr&amp;" $]"</f>
        <v>[2013 $]</v>
      </c>
      <c r="N334" s="70">
        <f ca="1">SUMIFS(OFFSET(Assumptions!$I$90,0,MATCH($A334,Configurations,0)-1,COUNT(Assumptions!$A$90:$A$183),1),Assumptions!$D$90:$D$183,$B334&amp;$C334)</f>
        <v>13000</v>
      </c>
      <c r="O334" s="313"/>
      <c r="P334" s="323"/>
      <c r="Q334" s="313"/>
      <c r="R334" s="50">
        <f t="shared" ref="R334:AG336" ca="1" si="239">IF(OR(R$99&lt;InServiceYr,R$99&gt;(InServiceYr+analysis_period-1)),0,IF($P334=0,$N334,$P334)*(1+$D334)^(R$99-CostBaseYr))</f>
        <v>13260</v>
      </c>
      <c r="S334" s="50">
        <f t="shared" ca="1" si="239"/>
        <v>13525.2</v>
      </c>
      <c r="T334" s="50">
        <f t="shared" ca="1" si="239"/>
        <v>13795.704</v>
      </c>
      <c r="U334" s="50">
        <f t="shared" ca="1" si="239"/>
        <v>14071.61808</v>
      </c>
      <c r="V334" s="50">
        <f t="shared" ca="1" si="239"/>
        <v>14353.0504416</v>
      </c>
      <c r="W334" s="50">
        <f t="shared" ca="1" si="239"/>
        <v>14640.111450432001</v>
      </c>
      <c r="X334" s="50">
        <f t="shared" ca="1" si="239"/>
        <v>14932.913679440637</v>
      </c>
      <c r="Y334" s="50">
        <f t="shared" ca="1" si="239"/>
        <v>15231.571953029452</v>
      </c>
      <c r="Z334" s="50">
        <f t="shared" ca="1" si="239"/>
        <v>15536.203392090041</v>
      </c>
      <c r="AA334" s="50">
        <f t="shared" ca="1" si="239"/>
        <v>15846.927459931843</v>
      </c>
      <c r="AB334" s="50">
        <f t="shared" ca="1" si="239"/>
        <v>16163.866009130476</v>
      </c>
      <c r="AC334" s="50">
        <f t="shared" ca="1" si="239"/>
        <v>16487.143329313087</v>
      </c>
      <c r="AD334" s="50">
        <f t="shared" ca="1" si="239"/>
        <v>16816.886195899348</v>
      </c>
      <c r="AE334" s="50">
        <f t="shared" ca="1" si="239"/>
        <v>17153.223919817337</v>
      </c>
      <c r="AF334" s="50">
        <f t="shared" ca="1" si="239"/>
        <v>17496.288398213681</v>
      </c>
      <c r="AG334" s="50">
        <f t="shared" ca="1" si="239"/>
        <v>17846.214166177957</v>
      </c>
      <c r="AH334" s="50">
        <f t="shared" ref="S334:AU336" ca="1" si="240">IF(OR(AH$99&lt;InServiceYr,AH$99&gt;(InServiceYr+analysis_period-1)),0,IF($P334=0,$N334,$P334)*(1+$D334)^(AH$99-CostBaseYr))</f>
        <v>18203.138449501515</v>
      </c>
      <c r="AI334" s="50">
        <f t="shared" ca="1" si="240"/>
        <v>18567.201218491544</v>
      </c>
      <c r="AJ334" s="50">
        <f t="shared" ca="1" si="240"/>
        <v>18938.545242861375</v>
      </c>
      <c r="AK334" s="50">
        <f t="shared" ca="1" si="240"/>
        <v>19317.316147718604</v>
      </c>
      <c r="AL334" s="50">
        <f t="shared" si="240"/>
        <v>0</v>
      </c>
      <c r="AM334" s="50">
        <f t="shared" si="240"/>
        <v>0</v>
      </c>
      <c r="AN334" s="50">
        <f t="shared" si="240"/>
        <v>0</v>
      </c>
      <c r="AO334" s="50">
        <f t="shared" si="240"/>
        <v>0</v>
      </c>
      <c r="AP334" s="50">
        <f t="shared" si="240"/>
        <v>0</v>
      </c>
      <c r="AQ334" s="50">
        <f t="shared" si="240"/>
        <v>0</v>
      </c>
      <c r="AR334" s="50">
        <f t="shared" si="240"/>
        <v>0</v>
      </c>
      <c r="AS334" s="50">
        <f t="shared" si="240"/>
        <v>0</v>
      </c>
      <c r="AT334" s="50">
        <f t="shared" si="240"/>
        <v>0</v>
      </c>
      <c r="AU334" s="50">
        <f t="shared" si="240"/>
        <v>0</v>
      </c>
    </row>
    <row r="335" spans="1:47">
      <c r="A335" s="38" t="str">
        <f t="shared" si="237"/>
        <v>1X-</v>
      </c>
      <c r="B335" s="38" t="s">
        <v>263</v>
      </c>
      <c r="C335" s="38" t="str">
        <f t="shared" ref="C335:C339" si="241">C334</f>
        <v>Gas Cleaning</v>
      </c>
      <c r="D335" s="186">
        <f>OMEsc</f>
        <v>0.02</v>
      </c>
      <c r="E335" s="325"/>
      <c r="G335" s="36" t="s">
        <v>127</v>
      </c>
      <c r="I335" s="39"/>
      <c r="K335" s="39"/>
      <c r="L335" s="43" t="str">
        <f>"["&amp;CostBaseYr&amp;" $]"</f>
        <v>[2013 $]</v>
      </c>
      <c r="N335" s="70">
        <f ca="1">SUMIFS(OFFSET(Assumptions!$I$90,0,MATCH($A335,Configurations,0)-1,COUNT(Assumptions!$A$90:$A$183),1),Assumptions!$D$90:$D$183,$B335&amp;$C335)</f>
        <v>0</v>
      </c>
      <c r="O335" s="313"/>
      <c r="P335" s="323"/>
      <c r="Q335" s="313"/>
      <c r="R335" s="50">
        <f t="shared" ca="1" si="239"/>
        <v>0</v>
      </c>
      <c r="S335" s="50">
        <f t="shared" ca="1" si="240"/>
        <v>0</v>
      </c>
      <c r="T335" s="50">
        <f t="shared" ca="1" si="240"/>
        <v>0</v>
      </c>
      <c r="U335" s="50">
        <f t="shared" ca="1" si="240"/>
        <v>0</v>
      </c>
      <c r="V335" s="50">
        <f t="shared" ca="1" si="240"/>
        <v>0</v>
      </c>
      <c r="W335" s="50">
        <f t="shared" ca="1" si="240"/>
        <v>0</v>
      </c>
      <c r="X335" s="50">
        <f t="shared" ca="1" si="240"/>
        <v>0</v>
      </c>
      <c r="Y335" s="50">
        <f t="shared" ca="1" si="240"/>
        <v>0</v>
      </c>
      <c r="Z335" s="50">
        <f t="shared" ca="1" si="240"/>
        <v>0</v>
      </c>
      <c r="AA335" s="50">
        <f t="shared" ca="1" si="240"/>
        <v>0</v>
      </c>
      <c r="AB335" s="50">
        <f t="shared" ca="1" si="240"/>
        <v>0</v>
      </c>
      <c r="AC335" s="50">
        <f t="shared" ca="1" si="240"/>
        <v>0</v>
      </c>
      <c r="AD335" s="50">
        <f t="shared" ca="1" si="240"/>
        <v>0</v>
      </c>
      <c r="AE335" s="50">
        <f t="shared" ca="1" si="240"/>
        <v>0</v>
      </c>
      <c r="AF335" s="50">
        <f t="shared" ca="1" si="240"/>
        <v>0</v>
      </c>
      <c r="AG335" s="50">
        <f t="shared" ca="1" si="240"/>
        <v>0</v>
      </c>
      <c r="AH335" s="50">
        <f t="shared" ca="1" si="240"/>
        <v>0</v>
      </c>
      <c r="AI335" s="50">
        <f t="shared" ca="1" si="240"/>
        <v>0</v>
      </c>
      <c r="AJ335" s="50">
        <f t="shared" ca="1" si="240"/>
        <v>0</v>
      </c>
      <c r="AK335" s="50">
        <f t="shared" ca="1" si="240"/>
        <v>0</v>
      </c>
      <c r="AL335" s="50">
        <f t="shared" si="240"/>
        <v>0</v>
      </c>
      <c r="AM335" s="50">
        <f t="shared" si="240"/>
        <v>0</v>
      </c>
      <c r="AN335" s="50">
        <f t="shared" si="240"/>
        <v>0</v>
      </c>
      <c r="AO335" s="50">
        <f t="shared" si="240"/>
        <v>0</v>
      </c>
      <c r="AP335" s="50">
        <f t="shared" si="240"/>
        <v>0</v>
      </c>
      <c r="AQ335" s="50">
        <f t="shared" si="240"/>
        <v>0</v>
      </c>
      <c r="AR335" s="50">
        <f t="shared" si="240"/>
        <v>0</v>
      </c>
      <c r="AS335" s="50">
        <f t="shared" si="240"/>
        <v>0</v>
      </c>
      <c r="AT335" s="50">
        <f t="shared" si="240"/>
        <v>0</v>
      </c>
      <c r="AU335" s="50">
        <f t="shared" si="240"/>
        <v>0</v>
      </c>
    </row>
    <row r="336" spans="1:47">
      <c r="A336" s="38" t="str">
        <f t="shared" si="237"/>
        <v>1X-</v>
      </c>
      <c r="B336" s="38" t="s">
        <v>277</v>
      </c>
      <c r="C336" s="38" t="str">
        <f t="shared" si="241"/>
        <v>Gas Cleaning</v>
      </c>
      <c r="D336" s="186">
        <f>OMEsc</f>
        <v>0.02</v>
      </c>
      <c r="E336" s="325"/>
      <c r="G336" s="36" t="s">
        <v>276</v>
      </c>
      <c r="I336" s="39"/>
      <c r="K336" s="39"/>
      <c r="L336" s="43" t="str">
        <f>"["&amp;CostBaseYr&amp;" $]"</f>
        <v>[2013 $]</v>
      </c>
      <c r="N336" s="70">
        <f ca="1">SUMIFS(OFFSET(Assumptions!$I$90,0,MATCH($A336,Configurations,0)-1,COUNT(Assumptions!$A$90:$A$183),1),Assumptions!$D$90:$D$183,$B336&amp;$C336)</f>
        <v>30000</v>
      </c>
      <c r="O336" s="313"/>
      <c r="P336" s="323"/>
      <c r="Q336" s="313"/>
      <c r="R336" s="50">
        <f t="shared" ca="1" si="239"/>
        <v>30600</v>
      </c>
      <c r="S336" s="50">
        <f t="shared" ca="1" si="240"/>
        <v>31212</v>
      </c>
      <c r="T336" s="50">
        <f t="shared" ca="1" si="240"/>
        <v>31836.239999999998</v>
      </c>
      <c r="U336" s="50">
        <f t="shared" ca="1" si="240"/>
        <v>32472.964799999998</v>
      </c>
      <c r="V336" s="50">
        <f t="shared" ca="1" si="240"/>
        <v>33122.424096000002</v>
      </c>
      <c r="W336" s="50">
        <f t="shared" ca="1" si="240"/>
        <v>33784.872577920003</v>
      </c>
      <c r="X336" s="50">
        <f t="shared" ca="1" si="240"/>
        <v>34460.570029478396</v>
      </c>
      <c r="Y336" s="50">
        <f t="shared" ca="1" si="240"/>
        <v>35149.781430067967</v>
      </c>
      <c r="Z336" s="50">
        <f t="shared" ca="1" si="240"/>
        <v>35852.777058669322</v>
      </c>
      <c r="AA336" s="50">
        <f t="shared" ca="1" si="240"/>
        <v>36569.83259984271</v>
      </c>
      <c r="AB336" s="50">
        <f t="shared" ca="1" si="240"/>
        <v>37301.229251839562</v>
      </c>
      <c r="AC336" s="50">
        <f t="shared" ca="1" si="240"/>
        <v>38047.253836876356</v>
      </c>
      <c r="AD336" s="50">
        <f t="shared" ca="1" si="240"/>
        <v>38808.19891361388</v>
      </c>
      <c r="AE336" s="50">
        <f t="shared" ca="1" si="240"/>
        <v>39584.362891886165</v>
      </c>
      <c r="AF336" s="50">
        <f t="shared" ca="1" si="240"/>
        <v>40376.05014972388</v>
      </c>
      <c r="AG336" s="50">
        <f t="shared" ca="1" si="240"/>
        <v>41183.571152718359</v>
      </c>
      <c r="AH336" s="50">
        <f t="shared" ca="1" si="240"/>
        <v>42007.242575772732</v>
      </c>
      <c r="AI336" s="50">
        <f t="shared" ca="1" si="240"/>
        <v>42847.38742728818</v>
      </c>
      <c r="AJ336" s="50">
        <f t="shared" ca="1" si="240"/>
        <v>43704.335175833941</v>
      </c>
      <c r="AK336" s="50">
        <f t="shared" ca="1" si="240"/>
        <v>44578.42187935063</v>
      </c>
      <c r="AL336" s="50">
        <f t="shared" si="240"/>
        <v>0</v>
      </c>
      <c r="AM336" s="50">
        <f t="shared" si="240"/>
        <v>0</v>
      </c>
      <c r="AN336" s="50">
        <f t="shared" si="240"/>
        <v>0</v>
      </c>
      <c r="AO336" s="50">
        <f t="shared" si="240"/>
        <v>0</v>
      </c>
      <c r="AP336" s="50">
        <f t="shared" si="240"/>
        <v>0</v>
      </c>
      <c r="AQ336" s="50">
        <f t="shared" si="240"/>
        <v>0</v>
      </c>
      <c r="AR336" s="50">
        <f t="shared" si="240"/>
        <v>0</v>
      </c>
      <c r="AS336" s="50">
        <f t="shared" si="240"/>
        <v>0</v>
      </c>
      <c r="AT336" s="50">
        <f t="shared" si="240"/>
        <v>0</v>
      </c>
      <c r="AU336" s="50">
        <f t="shared" si="240"/>
        <v>0</v>
      </c>
    </row>
    <row r="337" spans="1:47">
      <c r="A337" s="38" t="str">
        <f t="shared" si="237"/>
        <v>1X-</v>
      </c>
      <c r="B337" s="38" t="s">
        <v>274</v>
      </c>
      <c r="C337" s="38" t="str">
        <f t="shared" si="241"/>
        <v>Gas Cleaning</v>
      </c>
      <c r="D337" s="186"/>
      <c r="E337" s="325"/>
      <c r="G337" s="36" t="s">
        <v>16</v>
      </c>
      <c r="I337" s="39"/>
      <c r="K337" s="39"/>
      <c r="L337" s="43" t="s">
        <v>275</v>
      </c>
      <c r="N337" s="70">
        <f ca="1">SUMIFS(OFFSET(Assumptions!$I$90,0,MATCH($A337,Configurations,0)-1,COUNT(Assumptions!$A$90:$A$183),1),Assumptions!$D$90:$D$183,$B337&amp;$C337)</f>
        <v>0</v>
      </c>
      <c r="O337" s="313"/>
      <c r="P337" s="323"/>
      <c r="Q337" s="313"/>
      <c r="R337" s="50">
        <f t="shared" ref="R337:AU337" ca="1" si="242">IF(OR(R$99&lt;InServiceYr,R$99&gt;(InServiceYr+analysis_period-1)),0,IF($P337=0,$N337,$P337)*R$505)</f>
        <v>0</v>
      </c>
      <c r="S337" s="50">
        <f t="shared" ca="1" si="242"/>
        <v>0</v>
      </c>
      <c r="T337" s="50">
        <f t="shared" ca="1" si="242"/>
        <v>0</v>
      </c>
      <c r="U337" s="50">
        <f t="shared" ca="1" si="242"/>
        <v>0</v>
      </c>
      <c r="V337" s="50">
        <f t="shared" ca="1" si="242"/>
        <v>0</v>
      </c>
      <c r="W337" s="50">
        <f t="shared" ca="1" si="242"/>
        <v>0</v>
      </c>
      <c r="X337" s="50">
        <f t="shared" ca="1" si="242"/>
        <v>0</v>
      </c>
      <c r="Y337" s="50">
        <f t="shared" ca="1" si="242"/>
        <v>0</v>
      </c>
      <c r="Z337" s="50">
        <f t="shared" ca="1" si="242"/>
        <v>0</v>
      </c>
      <c r="AA337" s="50">
        <f t="shared" ca="1" si="242"/>
        <v>0</v>
      </c>
      <c r="AB337" s="50">
        <f t="shared" ca="1" si="242"/>
        <v>0</v>
      </c>
      <c r="AC337" s="50">
        <f t="shared" ca="1" si="242"/>
        <v>0</v>
      </c>
      <c r="AD337" s="50">
        <f t="shared" ca="1" si="242"/>
        <v>0</v>
      </c>
      <c r="AE337" s="50">
        <f t="shared" ca="1" si="242"/>
        <v>0</v>
      </c>
      <c r="AF337" s="50">
        <f t="shared" ca="1" si="242"/>
        <v>0</v>
      </c>
      <c r="AG337" s="50">
        <f t="shared" ca="1" si="242"/>
        <v>0</v>
      </c>
      <c r="AH337" s="50">
        <f t="shared" ca="1" si="242"/>
        <v>0</v>
      </c>
      <c r="AI337" s="50">
        <f t="shared" ca="1" si="242"/>
        <v>0</v>
      </c>
      <c r="AJ337" s="50">
        <f t="shared" ca="1" si="242"/>
        <v>0</v>
      </c>
      <c r="AK337" s="50">
        <f t="shared" ca="1" si="242"/>
        <v>0</v>
      </c>
      <c r="AL337" s="50">
        <f t="shared" si="242"/>
        <v>0</v>
      </c>
      <c r="AM337" s="50">
        <f t="shared" si="242"/>
        <v>0</v>
      </c>
      <c r="AN337" s="50">
        <f t="shared" si="242"/>
        <v>0</v>
      </c>
      <c r="AO337" s="50">
        <f t="shared" si="242"/>
        <v>0</v>
      </c>
      <c r="AP337" s="50">
        <f t="shared" si="242"/>
        <v>0</v>
      </c>
      <c r="AQ337" s="50">
        <f t="shared" si="242"/>
        <v>0</v>
      </c>
      <c r="AR337" s="50">
        <f t="shared" si="242"/>
        <v>0</v>
      </c>
      <c r="AS337" s="50">
        <f t="shared" si="242"/>
        <v>0</v>
      </c>
      <c r="AT337" s="50">
        <f t="shared" si="242"/>
        <v>0</v>
      </c>
      <c r="AU337" s="50">
        <f t="shared" si="242"/>
        <v>0</v>
      </c>
    </row>
    <row r="338" spans="1:47">
      <c r="A338" s="38" t="str">
        <f t="shared" si="237"/>
        <v>1X-</v>
      </c>
      <c r="B338" s="38" t="s">
        <v>257</v>
      </c>
      <c r="C338" s="38" t="str">
        <f t="shared" si="241"/>
        <v>Gas Cleaning</v>
      </c>
      <c r="D338" s="186"/>
      <c r="E338" s="325"/>
      <c r="G338" s="36" t="s">
        <v>284</v>
      </c>
      <c r="I338" s="39"/>
      <c r="K338" s="39"/>
      <c r="L338" s="43" t="s">
        <v>293</v>
      </c>
      <c r="N338" s="70">
        <f ca="1">SUMIFS(OFFSET(Assumptions!$I$90,0,MATCH($A338,Configurations,0)-1,COUNT(Assumptions!$A$90:$A$183),1),Assumptions!$D$90:$D$183,$B338&amp;$C338)</f>
        <v>196010</v>
      </c>
      <c r="O338" s="313"/>
      <c r="P338" s="323"/>
      <c r="Q338" s="313"/>
      <c r="R338" s="50">
        <f t="shared" ref="R338:AU338" ca="1" si="243">IF(OR(R$99&lt;InServiceYr,R$99&gt;(InServiceYr+analysis_period-1)),0,IF($P338=0,$N338,$P338)*R$501)</f>
        <v>12658.630803864207</v>
      </c>
      <c r="S338" s="50">
        <f t="shared" ca="1" si="243"/>
        <v>12737.538774947772</v>
      </c>
      <c r="T338" s="50">
        <f t="shared" ca="1" si="243"/>
        <v>13286.653326356565</v>
      </c>
      <c r="U338" s="50">
        <f t="shared" ca="1" si="243"/>
        <v>13685.219678312775</v>
      </c>
      <c r="V338" s="50">
        <f t="shared" ca="1" si="243"/>
        <v>14015.45922427961</v>
      </c>
      <c r="W338" s="50">
        <f t="shared" ca="1" si="243"/>
        <v>14194.762957849085</v>
      </c>
      <c r="X338" s="50">
        <f t="shared" ca="1" si="243"/>
        <v>14425.746858026192</v>
      </c>
      <c r="Y338" s="50">
        <f t="shared" ca="1" si="243"/>
        <v>14781.167879439816</v>
      </c>
      <c r="Z338" s="50">
        <f t="shared" ca="1" si="243"/>
        <v>15135.039117372518</v>
      </c>
      <c r="AA338" s="50">
        <f t="shared" ca="1" si="243"/>
        <v>15513.45226939313</v>
      </c>
      <c r="AB338" s="50">
        <f t="shared" ca="1" si="243"/>
        <v>15849.470589728022</v>
      </c>
      <c r="AC338" s="50">
        <f t="shared" ca="1" si="243"/>
        <v>16154.67368095327</v>
      </c>
      <c r="AD338" s="50">
        <f t="shared" ca="1" si="243"/>
        <v>16527.843365448523</v>
      </c>
      <c r="AE338" s="50">
        <f t="shared" ca="1" si="243"/>
        <v>16904.54032774123</v>
      </c>
      <c r="AF338" s="50">
        <f t="shared" ca="1" si="243"/>
        <v>17306.472897633364</v>
      </c>
      <c r="AG338" s="50">
        <f t="shared" ca="1" si="243"/>
        <v>17756.732113862636</v>
      </c>
      <c r="AH338" s="50">
        <f t="shared" ca="1" si="243"/>
        <v>18191.9044986638</v>
      </c>
      <c r="AI338" s="50">
        <f t="shared" ca="1" si="243"/>
        <v>18663.831278506015</v>
      </c>
      <c r="AJ338" s="50">
        <f t="shared" ca="1" si="243"/>
        <v>19163.434290903384</v>
      </c>
      <c r="AK338" s="50">
        <f t="shared" ca="1" si="243"/>
        <v>19684.742291611805</v>
      </c>
      <c r="AL338" s="50">
        <f t="shared" si="243"/>
        <v>0</v>
      </c>
      <c r="AM338" s="50">
        <f t="shared" si="243"/>
        <v>0</v>
      </c>
      <c r="AN338" s="50">
        <f t="shared" si="243"/>
        <v>0</v>
      </c>
      <c r="AO338" s="50">
        <f t="shared" si="243"/>
        <v>0</v>
      </c>
      <c r="AP338" s="50">
        <f t="shared" si="243"/>
        <v>0</v>
      </c>
      <c r="AQ338" s="50">
        <f t="shared" si="243"/>
        <v>0</v>
      </c>
      <c r="AR338" s="50">
        <f t="shared" si="243"/>
        <v>0</v>
      </c>
      <c r="AS338" s="50">
        <f t="shared" si="243"/>
        <v>0</v>
      </c>
      <c r="AT338" s="50">
        <f t="shared" si="243"/>
        <v>0</v>
      </c>
      <c r="AU338" s="50">
        <f t="shared" si="243"/>
        <v>0</v>
      </c>
    </row>
    <row r="339" spans="1:47">
      <c r="A339" s="38" t="str">
        <f t="shared" si="237"/>
        <v>1X-</v>
      </c>
      <c r="B339" s="38" t="s">
        <v>864</v>
      </c>
      <c r="C339" s="38" t="str">
        <f t="shared" si="241"/>
        <v>Gas Cleaning</v>
      </c>
      <c r="D339" s="186">
        <f>GHGEsc</f>
        <v>0.02</v>
      </c>
      <c r="E339" s="325"/>
      <c r="G339" s="36" t="s">
        <v>865</v>
      </c>
      <c r="I339" s="39"/>
      <c r="K339" s="39"/>
      <c r="L339" s="43" t="s">
        <v>866</v>
      </c>
      <c r="N339" s="70">
        <f ca="1">SUMIFS(OFFSET(Assumptions!$I$90,0,MATCH($A339,Configurations,0)-1,COUNT(Assumptions!$A$90:$A$183),1),Assumptions!$D$90:$D$183,$B339&amp;$C339)</f>
        <v>0</v>
      </c>
      <c r="O339" s="313"/>
      <c r="P339" s="323"/>
      <c r="Q339" s="313"/>
      <c r="R339" s="50">
        <f t="shared" ref="R339:AU339" ca="1" si="244">IF(OR(R$99&lt;InServiceYr,R$99&gt;(InServiceYr+analysis_period-1)),0,IF($P339=0,$N339,$P339)*R$513)</f>
        <v>0</v>
      </c>
      <c r="S339" s="50">
        <f t="shared" ca="1" si="244"/>
        <v>0</v>
      </c>
      <c r="T339" s="50">
        <f t="shared" ca="1" si="244"/>
        <v>0</v>
      </c>
      <c r="U339" s="50">
        <f t="shared" ca="1" si="244"/>
        <v>0</v>
      </c>
      <c r="V339" s="50">
        <f t="shared" ca="1" si="244"/>
        <v>0</v>
      </c>
      <c r="W339" s="50">
        <f t="shared" ca="1" si="244"/>
        <v>0</v>
      </c>
      <c r="X339" s="50">
        <f t="shared" ca="1" si="244"/>
        <v>0</v>
      </c>
      <c r="Y339" s="50">
        <f t="shared" ca="1" si="244"/>
        <v>0</v>
      </c>
      <c r="Z339" s="50">
        <f t="shared" ca="1" si="244"/>
        <v>0</v>
      </c>
      <c r="AA339" s="50">
        <f t="shared" ca="1" si="244"/>
        <v>0</v>
      </c>
      <c r="AB339" s="50">
        <f t="shared" ca="1" si="244"/>
        <v>0</v>
      </c>
      <c r="AC339" s="50">
        <f t="shared" ca="1" si="244"/>
        <v>0</v>
      </c>
      <c r="AD339" s="50">
        <f t="shared" ca="1" si="244"/>
        <v>0</v>
      </c>
      <c r="AE339" s="50">
        <f t="shared" ca="1" si="244"/>
        <v>0</v>
      </c>
      <c r="AF339" s="50">
        <f t="shared" ca="1" si="244"/>
        <v>0</v>
      </c>
      <c r="AG339" s="50">
        <f t="shared" ca="1" si="244"/>
        <v>0</v>
      </c>
      <c r="AH339" s="50">
        <f t="shared" ca="1" si="244"/>
        <v>0</v>
      </c>
      <c r="AI339" s="50">
        <f t="shared" ca="1" si="244"/>
        <v>0</v>
      </c>
      <c r="AJ339" s="50">
        <f t="shared" ca="1" si="244"/>
        <v>0</v>
      </c>
      <c r="AK339" s="50">
        <f t="shared" ca="1" si="244"/>
        <v>0</v>
      </c>
      <c r="AL339" s="50">
        <f t="shared" si="244"/>
        <v>0</v>
      </c>
      <c r="AM339" s="50">
        <f t="shared" si="244"/>
        <v>0</v>
      </c>
      <c r="AN339" s="50">
        <f t="shared" si="244"/>
        <v>0</v>
      </c>
      <c r="AO339" s="50">
        <f t="shared" si="244"/>
        <v>0</v>
      </c>
      <c r="AP339" s="50">
        <f t="shared" si="244"/>
        <v>0</v>
      </c>
      <c r="AQ339" s="50">
        <f t="shared" si="244"/>
        <v>0</v>
      </c>
      <c r="AR339" s="50">
        <f t="shared" si="244"/>
        <v>0</v>
      </c>
      <c r="AS339" s="50">
        <f t="shared" si="244"/>
        <v>0</v>
      </c>
      <c r="AT339" s="50">
        <f t="shared" si="244"/>
        <v>0</v>
      </c>
      <c r="AU339" s="50">
        <f t="shared" si="244"/>
        <v>0</v>
      </c>
    </row>
    <row r="340" spans="1:47">
      <c r="A340" s="38" t="str">
        <f t="shared" si="237"/>
        <v>1X-</v>
      </c>
      <c r="B340" s="38" t="s">
        <v>273</v>
      </c>
      <c r="C340" s="38" t="str">
        <f>C338</f>
        <v>Gas Cleaning</v>
      </c>
      <c r="D340" s="186">
        <f>LaborEsc</f>
        <v>0.02</v>
      </c>
      <c r="E340" s="325"/>
      <c r="G340" s="36" t="s">
        <v>291</v>
      </c>
      <c r="I340" s="39"/>
      <c r="K340" s="39"/>
      <c r="L340" s="43" t="str">
        <f>"["&amp;CostBaseYr&amp;" $]"</f>
        <v>[2013 $]</v>
      </c>
      <c r="N340" s="70">
        <f ca="1">SUMIFS(OFFSET(Assumptions!$I$90,0,MATCH($A340,Configurations,0)-1,COUNT(Assumptions!$A$90:$A$183),1),Assumptions!$D$90:$D$183,$B340&amp;$C340)</f>
        <v>0</v>
      </c>
      <c r="O340" s="313"/>
      <c r="P340" s="323"/>
      <c r="Q340" s="313"/>
      <c r="R340" s="50">
        <f t="shared" ref="R340:AU340" ca="1" si="245">IF(OR(R$99&lt;InServiceYr,R$99&gt;(InServiceYr+analysis_period-1)),0,IF($P340=0,$N340,$P340)*(1+$D340)^(R$99-CostBaseYr))*R$509</f>
        <v>0</v>
      </c>
      <c r="S340" s="50">
        <f t="shared" ca="1" si="245"/>
        <v>0</v>
      </c>
      <c r="T340" s="50">
        <f t="shared" ca="1" si="245"/>
        <v>0</v>
      </c>
      <c r="U340" s="50">
        <f t="shared" ca="1" si="245"/>
        <v>0</v>
      </c>
      <c r="V340" s="50">
        <f t="shared" ca="1" si="245"/>
        <v>0</v>
      </c>
      <c r="W340" s="50">
        <f t="shared" ca="1" si="245"/>
        <v>0</v>
      </c>
      <c r="X340" s="50">
        <f t="shared" ca="1" si="245"/>
        <v>0</v>
      </c>
      <c r="Y340" s="50">
        <f t="shared" ca="1" si="245"/>
        <v>0</v>
      </c>
      <c r="Z340" s="50">
        <f t="shared" ca="1" si="245"/>
        <v>0</v>
      </c>
      <c r="AA340" s="50">
        <f t="shared" ca="1" si="245"/>
        <v>0</v>
      </c>
      <c r="AB340" s="50">
        <f t="shared" ca="1" si="245"/>
        <v>0</v>
      </c>
      <c r="AC340" s="50">
        <f t="shared" ca="1" si="245"/>
        <v>0</v>
      </c>
      <c r="AD340" s="50">
        <f t="shared" ca="1" si="245"/>
        <v>0</v>
      </c>
      <c r="AE340" s="50">
        <f t="shared" ca="1" si="245"/>
        <v>0</v>
      </c>
      <c r="AF340" s="50">
        <f t="shared" ca="1" si="245"/>
        <v>0</v>
      </c>
      <c r="AG340" s="50">
        <f t="shared" ca="1" si="245"/>
        <v>0</v>
      </c>
      <c r="AH340" s="50">
        <f t="shared" ca="1" si="245"/>
        <v>0</v>
      </c>
      <c r="AI340" s="50">
        <f t="shared" ca="1" si="245"/>
        <v>0</v>
      </c>
      <c r="AJ340" s="50">
        <f t="shared" ca="1" si="245"/>
        <v>0</v>
      </c>
      <c r="AK340" s="50">
        <f t="shared" ca="1" si="245"/>
        <v>0</v>
      </c>
      <c r="AL340" s="50">
        <f t="shared" si="245"/>
        <v>0</v>
      </c>
      <c r="AM340" s="50">
        <f t="shared" si="245"/>
        <v>0</v>
      </c>
      <c r="AN340" s="50">
        <f t="shared" si="245"/>
        <v>0</v>
      </c>
      <c r="AO340" s="50">
        <f t="shared" si="245"/>
        <v>0</v>
      </c>
      <c r="AP340" s="50">
        <f t="shared" si="245"/>
        <v>0</v>
      </c>
      <c r="AQ340" s="50">
        <f t="shared" si="245"/>
        <v>0</v>
      </c>
      <c r="AR340" s="50">
        <f t="shared" si="245"/>
        <v>0</v>
      </c>
      <c r="AS340" s="50">
        <f t="shared" si="245"/>
        <v>0</v>
      </c>
      <c r="AT340" s="50">
        <f t="shared" si="245"/>
        <v>0</v>
      </c>
      <c r="AU340" s="50">
        <f t="shared" si="245"/>
        <v>0</v>
      </c>
    </row>
    <row r="341" spans="1:47">
      <c r="D341" s="186"/>
      <c r="E341" s="325"/>
      <c r="G341" s="39" t="s">
        <v>304</v>
      </c>
      <c r="I341" s="39"/>
      <c r="K341" s="39"/>
      <c r="L341" s="43"/>
      <c r="N341" s="70"/>
      <c r="O341" s="313"/>
      <c r="P341" s="70"/>
      <c r="Q341" s="313"/>
      <c r="R341" s="50"/>
      <c r="S341" s="50"/>
      <c r="T341" s="50"/>
      <c r="U341" s="50"/>
      <c r="V341" s="50"/>
      <c r="W341" s="50"/>
      <c r="X341" s="50"/>
      <c r="Y341" s="50"/>
      <c r="Z341" s="50"/>
      <c r="AA341" s="50"/>
      <c r="AB341" s="50"/>
      <c r="AC341" s="50"/>
      <c r="AD341" s="50"/>
      <c r="AE341" s="50"/>
      <c r="AF341" s="50"/>
      <c r="AG341" s="50"/>
      <c r="AH341" s="50"/>
      <c r="AI341" s="50"/>
      <c r="AJ341" s="50"/>
      <c r="AK341" s="50"/>
      <c r="AL341" s="50"/>
      <c r="AM341" s="50"/>
      <c r="AN341" s="50"/>
      <c r="AO341" s="50"/>
      <c r="AP341" s="50"/>
      <c r="AQ341" s="50"/>
      <c r="AR341" s="50"/>
      <c r="AS341" s="50"/>
      <c r="AT341" s="50"/>
      <c r="AU341" s="50"/>
    </row>
    <row r="342" spans="1:47">
      <c r="A342" s="38" t="str">
        <f>$J$4&amp;"-"</f>
        <v>1X-</v>
      </c>
      <c r="B342" s="38" t="s">
        <v>265</v>
      </c>
      <c r="C342" s="38" t="str">
        <f>C333</f>
        <v>Gas Cleaning</v>
      </c>
      <c r="D342" s="186"/>
      <c r="E342" s="325"/>
      <c r="G342" s="36" t="s">
        <v>108</v>
      </c>
      <c r="I342" s="39"/>
      <c r="K342" s="39"/>
      <c r="L342" s="43" t="s">
        <v>293</v>
      </c>
      <c r="N342" s="70">
        <f ca="1">SUMIFS(OFFSET(Assumptions!$I$90,0,MATCH($A342,Configurations,0)-1,COUNT(Assumptions!$A$90:$A$183),1),Assumptions!$D$90:$D$183,$B342&amp;$C342)</f>
        <v>0</v>
      </c>
      <c r="O342" s="313"/>
      <c r="P342" s="323"/>
      <c r="Q342" s="313"/>
      <c r="R342" s="50">
        <f t="shared" ref="R342:AU342" ca="1" si="246">IF(OR(R$99&lt;InServiceYr,R$99&gt;(InServiceYr+analysis_period-1)),0,IF($P342=0,$N342,$P342)*R$501)</f>
        <v>0</v>
      </c>
      <c r="S342" s="50">
        <f t="shared" ca="1" si="246"/>
        <v>0</v>
      </c>
      <c r="T342" s="50">
        <f t="shared" ca="1" si="246"/>
        <v>0</v>
      </c>
      <c r="U342" s="50">
        <f t="shared" ca="1" si="246"/>
        <v>0</v>
      </c>
      <c r="V342" s="50">
        <f t="shared" ca="1" si="246"/>
        <v>0</v>
      </c>
      <c r="W342" s="50">
        <f t="shared" ca="1" si="246"/>
        <v>0</v>
      </c>
      <c r="X342" s="50">
        <f t="shared" ca="1" si="246"/>
        <v>0</v>
      </c>
      <c r="Y342" s="50">
        <f t="shared" ca="1" si="246"/>
        <v>0</v>
      </c>
      <c r="Z342" s="50">
        <f t="shared" ca="1" si="246"/>
        <v>0</v>
      </c>
      <c r="AA342" s="50">
        <f t="shared" ca="1" si="246"/>
        <v>0</v>
      </c>
      <c r="AB342" s="50">
        <f t="shared" ca="1" si="246"/>
        <v>0</v>
      </c>
      <c r="AC342" s="50">
        <f t="shared" ca="1" si="246"/>
        <v>0</v>
      </c>
      <c r="AD342" s="50">
        <f t="shared" ca="1" si="246"/>
        <v>0</v>
      </c>
      <c r="AE342" s="50">
        <f t="shared" ca="1" si="246"/>
        <v>0</v>
      </c>
      <c r="AF342" s="50">
        <f t="shared" ca="1" si="246"/>
        <v>0</v>
      </c>
      <c r="AG342" s="50">
        <f t="shared" ca="1" si="246"/>
        <v>0</v>
      </c>
      <c r="AH342" s="50">
        <f t="shared" ca="1" si="246"/>
        <v>0</v>
      </c>
      <c r="AI342" s="50">
        <f t="shared" ca="1" si="246"/>
        <v>0</v>
      </c>
      <c r="AJ342" s="50">
        <f t="shared" ca="1" si="246"/>
        <v>0</v>
      </c>
      <c r="AK342" s="50">
        <f t="shared" ca="1" si="246"/>
        <v>0</v>
      </c>
      <c r="AL342" s="50">
        <f t="shared" si="246"/>
        <v>0</v>
      </c>
      <c r="AM342" s="50">
        <f t="shared" si="246"/>
        <v>0</v>
      </c>
      <c r="AN342" s="50">
        <f t="shared" si="246"/>
        <v>0</v>
      </c>
      <c r="AO342" s="50">
        <f t="shared" si="246"/>
        <v>0</v>
      </c>
      <c r="AP342" s="50">
        <f t="shared" si="246"/>
        <v>0</v>
      </c>
      <c r="AQ342" s="50">
        <f t="shared" si="246"/>
        <v>0</v>
      </c>
      <c r="AR342" s="50">
        <f t="shared" si="246"/>
        <v>0</v>
      </c>
      <c r="AS342" s="50">
        <f t="shared" si="246"/>
        <v>0</v>
      </c>
      <c r="AT342" s="50">
        <f t="shared" si="246"/>
        <v>0</v>
      </c>
      <c r="AU342" s="50">
        <f t="shared" si="246"/>
        <v>0</v>
      </c>
    </row>
    <row r="343" spans="1:47">
      <c r="A343" s="38" t="str">
        <f>$J$4&amp;"-"</f>
        <v>1X-</v>
      </c>
      <c r="B343" s="38" t="s">
        <v>289</v>
      </c>
      <c r="C343" s="38" t="str">
        <f>C333</f>
        <v>Gas Cleaning</v>
      </c>
      <c r="D343" s="186">
        <f>LaborEsc</f>
        <v>0.02</v>
      </c>
      <c r="E343" s="325"/>
      <c r="G343" s="36" t="s">
        <v>292</v>
      </c>
      <c r="I343" s="39"/>
      <c r="K343" s="39"/>
      <c r="L343" s="43" t="str">
        <f>"["&amp;CostBaseYr&amp;" $]"</f>
        <v>[2013 $]</v>
      </c>
      <c r="N343" s="70">
        <f ca="1">SUMIFS(OFFSET(Assumptions!$I$90,0,MATCH($A343,Configurations,0)-1,COUNT(Assumptions!$A$90:$A$183),1),Assumptions!$D$90:$D$183,$B343&amp;$C343)</f>
        <v>0</v>
      </c>
      <c r="O343" s="313"/>
      <c r="P343" s="323"/>
      <c r="Q343" s="313"/>
      <c r="R343" s="50">
        <f t="shared" ref="R343:AU343" ca="1" si="247">IF(OR(R$99&lt;InServiceYr,R$99&gt;(InServiceYr+analysis_period-1)),0,IF($P343=0,$N343,$P343)*(1+$D343)^(R$99-CostBaseYr))</f>
        <v>0</v>
      </c>
      <c r="S343" s="50">
        <f t="shared" ca="1" si="247"/>
        <v>0</v>
      </c>
      <c r="T343" s="50">
        <f t="shared" ca="1" si="247"/>
        <v>0</v>
      </c>
      <c r="U343" s="50">
        <f t="shared" ca="1" si="247"/>
        <v>0</v>
      </c>
      <c r="V343" s="50">
        <f t="shared" ca="1" si="247"/>
        <v>0</v>
      </c>
      <c r="W343" s="50">
        <f t="shared" ca="1" si="247"/>
        <v>0</v>
      </c>
      <c r="X343" s="50">
        <f t="shared" ca="1" si="247"/>
        <v>0</v>
      </c>
      <c r="Y343" s="50">
        <f t="shared" ca="1" si="247"/>
        <v>0</v>
      </c>
      <c r="Z343" s="50">
        <f t="shared" ca="1" si="247"/>
        <v>0</v>
      </c>
      <c r="AA343" s="50">
        <f t="shared" ca="1" si="247"/>
        <v>0</v>
      </c>
      <c r="AB343" s="50">
        <f t="shared" ca="1" si="247"/>
        <v>0</v>
      </c>
      <c r="AC343" s="50">
        <f t="shared" ca="1" si="247"/>
        <v>0</v>
      </c>
      <c r="AD343" s="50">
        <f t="shared" ca="1" si="247"/>
        <v>0</v>
      </c>
      <c r="AE343" s="50">
        <f t="shared" ca="1" si="247"/>
        <v>0</v>
      </c>
      <c r="AF343" s="50">
        <f t="shared" ca="1" si="247"/>
        <v>0</v>
      </c>
      <c r="AG343" s="50">
        <f t="shared" ca="1" si="247"/>
        <v>0</v>
      </c>
      <c r="AH343" s="50">
        <f t="shared" ca="1" si="247"/>
        <v>0</v>
      </c>
      <c r="AI343" s="50">
        <f t="shared" ca="1" si="247"/>
        <v>0</v>
      </c>
      <c r="AJ343" s="50">
        <f t="shared" ca="1" si="247"/>
        <v>0</v>
      </c>
      <c r="AK343" s="50">
        <f t="shared" ca="1" si="247"/>
        <v>0</v>
      </c>
      <c r="AL343" s="50">
        <f t="shared" si="247"/>
        <v>0</v>
      </c>
      <c r="AM343" s="50">
        <f t="shared" si="247"/>
        <v>0</v>
      </c>
      <c r="AN343" s="50">
        <f t="shared" si="247"/>
        <v>0</v>
      </c>
      <c r="AO343" s="50">
        <f t="shared" si="247"/>
        <v>0</v>
      </c>
      <c r="AP343" s="50">
        <f t="shared" si="247"/>
        <v>0</v>
      </c>
      <c r="AQ343" s="50">
        <f t="shared" si="247"/>
        <v>0</v>
      </c>
      <c r="AR343" s="50">
        <f t="shared" si="247"/>
        <v>0</v>
      </c>
      <c r="AS343" s="50">
        <f t="shared" si="247"/>
        <v>0</v>
      </c>
      <c r="AT343" s="50">
        <f t="shared" si="247"/>
        <v>0</v>
      </c>
      <c r="AU343" s="50">
        <f t="shared" si="247"/>
        <v>0</v>
      </c>
    </row>
    <row r="344" spans="1:47" s="60" customFormat="1">
      <c r="D344" s="187"/>
      <c r="E344" s="325"/>
      <c r="G344" s="39" t="s">
        <v>305</v>
      </c>
      <c r="I344" s="39"/>
      <c r="K344" s="39"/>
      <c r="L344" s="174"/>
      <c r="N344" s="188"/>
      <c r="O344" s="314"/>
      <c r="P344" s="185"/>
      <c r="Q344" s="314"/>
      <c r="R344" s="185">
        <f ca="1">SUM(R333:R340)-SUM(R342:R343)</f>
        <v>108640.6308038642</v>
      </c>
      <c r="S344" s="185">
        <f t="shared" ref="S344:AU344" ca="1" si="248">SUM(S333:S340)-SUM(S342:S343)</f>
        <v>110639.17877494777</v>
      </c>
      <c r="T344" s="185">
        <f t="shared" ca="1" si="248"/>
        <v>113146.32612635657</v>
      </c>
      <c r="U344" s="185">
        <f t="shared" ca="1" si="248"/>
        <v>115542.08593431277</v>
      </c>
      <c r="V344" s="185">
        <f t="shared" ca="1" si="248"/>
        <v>117909.46280539961</v>
      </c>
      <c r="W344" s="185">
        <f t="shared" ca="1" si="248"/>
        <v>120166.6466105915</v>
      </c>
      <c r="X344" s="185">
        <f t="shared" ca="1" si="248"/>
        <v>122517.06818382343</v>
      </c>
      <c r="Y344" s="185">
        <f t="shared" ca="1" si="248"/>
        <v>125034.31563175299</v>
      </c>
      <c r="Z344" s="185">
        <f t="shared" ca="1" si="248"/>
        <v>127593.24982473197</v>
      </c>
      <c r="AA344" s="185">
        <f t="shared" ca="1" si="248"/>
        <v>130220.82719089978</v>
      </c>
      <c r="AB344" s="185">
        <f t="shared" ca="1" si="248"/>
        <v>132850.99300966476</v>
      </c>
      <c r="AC344" s="185">
        <f t="shared" ca="1" si="248"/>
        <v>135496.22654928878</v>
      </c>
      <c r="AD344" s="185">
        <f t="shared" ca="1" si="248"/>
        <v>138256.22729115075</v>
      </c>
      <c r="AE344" s="185">
        <f t="shared" ca="1" si="248"/>
        <v>141067.49193195751</v>
      </c>
      <c r="AF344" s="185">
        <f t="shared" ca="1" si="248"/>
        <v>143952.68353393392</v>
      </c>
      <c r="AG344" s="185">
        <f t="shared" ca="1" si="248"/>
        <v>146935.86696288924</v>
      </c>
      <c r="AH344" s="185">
        <f t="shared" ca="1" si="248"/>
        <v>149954.62204467092</v>
      </c>
      <c r="AI344" s="185">
        <f t="shared" ca="1" si="248"/>
        <v>153061.80317543331</v>
      </c>
      <c r="AJ344" s="185">
        <f t="shared" ca="1" si="248"/>
        <v>156249.36562576919</v>
      </c>
      <c r="AK344" s="185">
        <f t="shared" ca="1" si="248"/>
        <v>159512.39225317491</v>
      </c>
      <c r="AL344" s="185">
        <f t="shared" si="248"/>
        <v>0</v>
      </c>
      <c r="AM344" s="185">
        <f t="shared" si="248"/>
        <v>0</v>
      </c>
      <c r="AN344" s="185">
        <f t="shared" si="248"/>
        <v>0</v>
      </c>
      <c r="AO344" s="185">
        <f t="shared" si="248"/>
        <v>0</v>
      </c>
      <c r="AP344" s="185">
        <f t="shared" si="248"/>
        <v>0</v>
      </c>
      <c r="AQ344" s="185">
        <f t="shared" si="248"/>
        <v>0</v>
      </c>
      <c r="AR344" s="185">
        <f t="shared" si="248"/>
        <v>0</v>
      </c>
      <c r="AS344" s="185">
        <f t="shared" si="248"/>
        <v>0</v>
      </c>
      <c r="AT344" s="185">
        <f t="shared" si="248"/>
        <v>0</v>
      </c>
      <c r="AU344" s="185">
        <f t="shared" si="248"/>
        <v>0</v>
      </c>
    </row>
    <row r="345" spans="1:47">
      <c r="E345" s="36"/>
      <c r="G345" s="39"/>
      <c r="H345" s="39"/>
      <c r="I345" s="39"/>
      <c r="J345" s="39"/>
      <c r="K345" s="39"/>
    </row>
    <row r="346" spans="1:47">
      <c r="E346" s="327"/>
      <c r="F346" s="28"/>
      <c r="G346" s="324" t="str">
        <f>C348&amp;" Capital Costs"</f>
        <v>Gravity Belt Thickener Capital Costs</v>
      </c>
      <c r="H346" s="324"/>
      <c r="I346" s="324"/>
      <c r="J346" s="324"/>
      <c r="K346" s="324"/>
      <c r="L346" s="405" t="s">
        <v>79</v>
      </c>
      <c r="M346" s="256"/>
      <c r="N346" s="325" t="s">
        <v>490</v>
      </c>
      <c r="O346" s="311"/>
      <c r="P346" s="325" t="s">
        <v>491</v>
      </c>
      <c r="Q346" s="310"/>
      <c r="R346" s="325">
        <f>R$8</f>
        <v>2014</v>
      </c>
      <c r="S346" s="325">
        <f t="shared" ref="S346:AU346" si="249">S$8</f>
        <v>2015</v>
      </c>
      <c r="T346" s="325">
        <f t="shared" si="249"/>
        <v>2016</v>
      </c>
      <c r="U346" s="325">
        <f t="shared" si="249"/>
        <v>2017</v>
      </c>
      <c r="V346" s="325">
        <f t="shared" si="249"/>
        <v>2018</v>
      </c>
      <c r="W346" s="325">
        <f t="shared" si="249"/>
        <v>2019</v>
      </c>
      <c r="X346" s="325">
        <f t="shared" si="249"/>
        <v>2020</v>
      </c>
      <c r="Y346" s="325">
        <f t="shared" si="249"/>
        <v>2021</v>
      </c>
      <c r="Z346" s="325">
        <f t="shared" si="249"/>
        <v>2022</v>
      </c>
      <c r="AA346" s="325">
        <f t="shared" si="249"/>
        <v>2023</v>
      </c>
      <c r="AB346" s="325">
        <f t="shared" si="249"/>
        <v>2024</v>
      </c>
      <c r="AC346" s="325">
        <f t="shared" si="249"/>
        <v>2025</v>
      </c>
      <c r="AD346" s="325">
        <f t="shared" si="249"/>
        <v>2026</v>
      </c>
      <c r="AE346" s="325">
        <f t="shared" si="249"/>
        <v>2027</v>
      </c>
      <c r="AF346" s="325">
        <f t="shared" si="249"/>
        <v>2028</v>
      </c>
      <c r="AG346" s="325">
        <f t="shared" si="249"/>
        <v>2029</v>
      </c>
      <c r="AH346" s="325">
        <f t="shared" si="249"/>
        <v>2030</v>
      </c>
      <c r="AI346" s="325">
        <f t="shared" si="249"/>
        <v>2031</v>
      </c>
      <c r="AJ346" s="325">
        <f t="shared" si="249"/>
        <v>2032</v>
      </c>
      <c r="AK346" s="325">
        <f t="shared" si="249"/>
        <v>2033</v>
      </c>
      <c r="AL346" s="325">
        <f t="shared" si="249"/>
        <v>2034</v>
      </c>
      <c r="AM346" s="325">
        <f t="shared" si="249"/>
        <v>2035</v>
      </c>
      <c r="AN346" s="325">
        <f t="shared" si="249"/>
        <v>2036</v>
      </c>
      <c r="AO346" s="325">
        <f t="shared" si="249"/>
        <v>2037</v>
      </c>
      <c r="AP346" s="325">
        <f t="shared" si="249"/>
        <v>2038</v>
      </c>
      <c r="AQ346" s="325">
        <f t="shared" si="249"/>
        <v>2039</v>
      </c>
      <c r="AR346" s="325">
        <f t="shared" si="249"/>
        <v>2040</v>
      </c>
      <c r="AS346" s="325">
        <f t="shared" si="249"/>
        <v>2041</v>
      </c>
      <c r="AT346" s="325">
        <f t="shared" si="249"/>
        <v>2042</v>
      </c>
      <c r="AU346" s="325">
        <f t="shared" si="249"/>
        <v>2043</v>
      </c>
    </row>
    <row r="347" spans="1:47">
      <c r="E347" s="325"/>
      <c r="G347" s="39"/>
      <c r="H347" s="39"/>
      <c r="I347" s="39"/>
      <c r="J347" s="39"/>
      <c r="K347" s="39"/>
    </row>
    <row r="348" spans="1:47">
      <c r="A348" s="38" t="str">
        <f>$J$4&amp;"-"</f>
        <v>1X-</v>
      </c>
      <c r="B348" s="38" t="s">
        <v>306</v>
      </c>
      <c r="C348" s="38" t="s">
        <v>135</v>
      </c>
      <c r="D348" s="186">
        <f>CapExEsc</f>
        <v>0.03</v>
      </c>
      <c r="E348" s="325"/>
      <c r="G348" s="36" t="s">
        <v>8</v>
      </c>
      <c r="H348" s="39"/>
      <c r="I348" s="39"/>
      <c r="J348" s="70"/>
      <c r="K348" s="39"/>
      <c r="L348" s="43" t="str">
        <f>"["&amp;CostBaseYr&amp;" $]"</f>
        <v>[2013 $]</v>
      </c>
      <c r="N348" s="52">
        <f ca="1">SUMIFS(OFFSET(Assumptions!$I$65,0,MATCH($A348,Configurations,0)-1,COUNT(Assumptions!$A$65:$A$84),1),Assumptions!$E$65:$E$84,$C348)</f>
        <v>2050000</v>
      </c>
      <c r="O348" s="52"/>
      <c r="P348" s="322"/>
      <c r="Q348" s="52"/>
      <c r="R348" s="52">
        <f t="shared" ref="R348:AU348" ca="1" si="250">R349*IF($P348=0,$N348,$P348)*(1+$D348)^(R$8-CostBaseYr)</f>
        <v>2111500</v>
      </c>
      <c r="S348" s="52">
        <f t="shared" ca="1" si="250"/>
        <v>0</v>
      </c>
      <c r="T348" s="52">
        <f t="shared" ca="1" si="250"/>
        <v>0</v>
      </c>
      <c r="U348" s="52">
        <f t="shared" ca="1" si="250"/>
        <v>0</v>
      </c>
      <c r="V348" s="52">
        <f t="shared" ca="1" si="250"/>
        <v>0</v>
      </c>
      <c r="W348" s="52">
        <f t="shared" ca="1" si="250"/>
        <v>0</v>
      </c>
      <c r="X348" s="52">
        <f t="shared" ca="1" si="250"/>
        <v>0</v>
      </c>
      <c r="Y348" s="52">
        <f t="shared" ca="1" si="250"/>
        <v>0</v>
      </c>
      <c r="Z348" s="52">
        <f t="shared" ca="1" si="250"/>
        <v>0</v>
      </c>
      <c r="AA348" s="52">
        <f t="shared" ca="1" si="250"/>
        <v>0</v>
      </c>
      <c r="AB348" s="52">
        <f t="shared" ca="1" si="250"/>
        <v>0</v>
      </c>
      <c r="AC348" s="52">
        <f t="shared" ca="1" si="250"/>
        <v>0</v>
      </c>
      <c r="AD348" s="52">
        <f t="shared" ca="1" si="250"/>
        <v>0</v>
      </c>
      <c r="AE348" s="52">
        <f t="shared" ca="1" si="250"/>
        <v>0</v>
      </c>
      <c r="AF348" s="52">
        <f t="shared" ca="1" si="250"/>
        <v>0</v>
      </c>
      <c r="AG348" s="52">
        <f t="shared" ca="1" si="250"/>
        <v>0</v>
      </c>
      <c r="AH348" s="52">
        <f t="shared" ca="1" si="250"/>
        <v>0</v>
      </c>
      <c r="AI348" s="52">
        <f t="shared" ca="1" si="250"/>
        <v>0</v>
      </c>
      <c r="AJ348" s="52">
        <f t="shared" ca="1" si="250"/>
        <v>0</v>
      </c>
      <c r="AK348" s="52">
        <f t="shared" ca="1" si="250"/>
        <v>0</v>
      </c>
      <c r="AL348" s="52">
        <f t="shared" ca="1" si="250"/>
        <v>0</v>
      </c>
      <c r="AM348" s="52">
        <f t="shared" ca="1" si="250"/>
        <v>0</v>
      </c>
      <c r="AN348" s="52">
        <f t="shared" ca="1" si="250"/>
        <v>0</v>
      </c>
      <c r="AO348" s="52">
        <f t="shared" ca="1" si="250"/>
        <v>0</v>
      </c>
      <c r="AP348" s="52">
        <f t="shared" ca="1" si="250"/>
        <v>0</v>
      </c>
      <c r="AQ348" s="52">
        <f t="shared" ca="1" si="250"/>
        <v>0</v>
      </c>
      <c r="AR348" s="52">
        <f t="shared" ca="1" si="250"/>
        <v>0</v>
      </c>
      <c r="AS348" s="52">
        <f t="shared" ca="1" si="250"/>
        <v>0</v>
      </c>
      <c r="AT348" s="52">
        <f t="shared" ca="1" si="250"/>
        <v>0</v>
      </c>
      <c r="AU348" s="52">
        <f t="shared" ca="1" si="250"/>
        <v>0</v>
      </c>
    </row>
    <row r="349" spans="1:47">
      <c r="E349" s="325"/>
      <c r="G349" s="36" t="s">
        <v>10</v>
      </c>
      <c r="H349" s="39"/>
      <c r="I349" s="39"/>
      <c r="J349" s="39"/>
      <c r="K349" s="39"/>
      <c r="L349" s="43"/>
      <c r="R349" s="54">
        <f>Assumptions!M$60</f>
        <v>1</v>
      </c>
      <c r="S349" s="54">
        <f>Assumptions!N$60</f>
        <v>0</v>
      </c>
      <c r="T349" s="54">
        <f>Assumptions!O$60</f>
        <v>0</v>
      </c>
      <c r="U349" s="54">
        <f>Assumptions!P$60</f>
        <v>0</v>
      </c>
      <c r="V349" s="54">
        <f>Assumptions!Q$60</f>
        <v>0</v>
      </c>
      <c r="W349" s="54">
        <f>Assumptions!R$60</f>
        <v>0</v>
      </c>
      <c r="X349" s="54">
        <f>Assumptions!S$60</f>
        <v>0</v>
      </c>
      <c r="Y349" s="54">
        <f>Assumptions!T$60</f>
        <v>0</v>
      </c>
      <c r="Z349" s="54">
        <f>Assumptions!U$60</f>
        <v>0</v>
      </c>
      <c r="AA349" s="54">
        <f>Assumptions!V$60</f>
        <v>0</v>
      </c>
      <c r="AB349" s="54">
        <f>Assumptions!W$60</f>
        <v>0</v>
      </c>
      <c r="AC349" s="54">
        <f>Assumptions!X$60</f>
        <v>0</v>
      </c>
      <c r="AD349" s="54">
        <f>Assumptions!Y$60</f>
        <v>0</v>
      </c>
      <c r="AE349" s="54">
        <f>Assumptions!Z$60</f>
        <v>0</v>
      </c>
      <c r="AF349" s="54">
        <f>Assumptions!AA$60</f>
        <v>0</v>
      </c>
      <c r="AG349" s="54">
        <f>Assumptions!AB$60</f>
        <v>0</v>
      </c>
      <c r="AH349" s="54">
        <f>Assumptions!AC$60</f>
        <v>0</v>
      </c>
      <c r="AI349" s="54">
        <f>Assumptions!AD$60</f>
        <v>0</v>
      </c>
      <c r="AJ349" s="54">
        <f>Assumptions!AE$60</f>
        <v>0</v>
      </c>
      <c r="AK349" s="54">
        <f>Assumptions!AF$60</f>
        <v>0</v>
      </c>
      <c r="AL349" s="54">
        <f>Assumptions!AG$60</f>
        <v>0</v>
      </c>
      <c r="AM349" s="54">
        <f>Assumptions!AH$60</f>
        <v>0</v>
      </c>
      <c r="AN349" s="54">
        <f>Assumptions!AI$60</f>
        <v>0</v>
      </c>
      <c r="AO349" s="54">
        <f>Assumptions!AJ$60</f>
        <v>0</v>
      </c>
      <c r="AP349" s="54">
        <f>Assumptions!AK$60</f>
        <v>0</v>
      </c>
      <c r="AQ349" s="54">
        <f>Assumptions!AL$60</f>
        <v>0</v>
      </c>
      <c r="AR349" s="54">
        <f>Assumptions!AM$60</f>
        <v>0</v>
      </c>
      <c r="AS349" s="54">
        <f>Assumptions!AN$60</f>
        <v>0</v>
      </c>
      <c r="AT349" s="54">
        <f>Assumptions!AO$60</f>
        <v>0</v>
      </c>
      <c r="AU349" s="54">
        <f>Assumptions!AP$60</f>
        <v>0</v>
      </c>
    </row>
    <row r="350" spans="1:47">
      <c r="E350" s="326"/>
      <c r="G350" s="39"/>
      <c r="H350" s="39"/>
      <c r="I350" s="39"/>
      <c r="J350" s="39"/>
      <c r="K350" s="39"/>
    </row>
    <row r="351" spans="1:47">
      <c r="E351" s="327"/>
      <c r="F351" s="28"/>
      <c r="G351" s="324" t="str">
        <f>C348&amp;" O&amp;M"</f>
        <v>Gravity Belt Thickener O&amp;M</v>
      </c>
      <c r="H351" s="324"/>
      <c r="I351" s="324"/>
      <c r="J351" s="324"/>
      <c r="K351" s="324"/>
      <c r="L351" s="405" t="s">
        <v>79</v>
      </c>
      <c r="M351" s="256"/>
      <c r="N351" s="325" t="s">
        <v>490</v>
      </c>
      <c r="O351" s="311"/>
      <c r="P351" s="325" t="s">
        <v>491</v>
      </c>
      <c r="Q351" s="310"/>
      <c r="R351" s="325">
        <f>R$8</f>
        <v>2014</v>
      </c>
      <c r="S351" s="325">
        <f t="shared" ref="S351:AU351" si="251">S$8</f>
        <v>2015</v>
      </c>
      <c r="T351" s="325">
        <f t="shared" si="251"/>
        <v>2016</v>
      </c>
      <c r="U351" s="325">
        <f t="shared" si="251"/>
        <v>2017</v>
      </c>
      <c r="V351" s="325">
        <f t="shared" si="251"/>
        <v>2018</v>
      </c>
      <c r="W351" s="325">
        <f t="shared" si="251"/>
        <v>2019</v>
      </c>
      <c r="X351" s="325">
        <f t="shared" si="251"/>
        <v>2020</v>
      </c>
      <c r="Y351" s="325">
        <f t="shared" si="251"/>
        <v>2021</v>
      </c>
      <c r="Z351" s="325">
        <f t="shared" si="251"/>
        <v>2022</v>
      </c>
      <c r="AA351" s="325">
        <f t="shared" si="251"/>
        <v>2023</v>
      </c>
      <c r="AB351" s="325">
        <f t="shared" si="251"/>
        <v>2024</v>
      </c>
      <c r="AC351" s="325">
        <f t="shared" si="251"/>
        <v>2025</v>
      </c>
      <c r="AD351" s="325">
        <f t="shared" si="251"/>
        <v>2026</v>
      </c>
      <c r="AE351" s="325">
        <f t="shared" si="251"/>
        <v>2027</v>
      </c>
      <c r="AF351" s="325">
        <f t="shared" si="251"/>
        <v>2028</v>
      </c>
      <c r="AG351" s="325">
        <f t="shared" si="251"/>
        <v>2029</v>
      </c>
      <c r="AH351" s="325">
        <f t="shared" si="251"/>
        <v>2030</v>
      </c>
      <c r="AI351" s="325">
        <f t="shared" si="251"/>
        <v>2031</v>
      </c>
      <c r="AJ351" s="325">
        <f t="shared" si="251"/>
        <v>2032</v>
      </c>
      <c r="AK351" s="325">
        <f t="shared" si="251"/>
        <v>2033</v>
      </c>
      <c r="AL351" s="325">
        <f t="shared" si="251"/>
        <v>2034</v>
      </c>
      <c r="AM351" s="325">
        <f t="shared" si="251"/>
        <v>2035</v>
      </c>
      <c r="AN351" s="325">
        <f t="shared" si="251"/>
        <v>2036</v>
      </c>
      <c r="AO351" s="325">
        <f t="shared" si="251"/>
        <v>2037</v>
      </c>
      <c r="AP351" s="325">
        <f t="shared" si="251"/>
        <v>2038</v>
      </c>
      <c r="AQ351" s="325">
        <f t="shared" si="251"/>
        <v>2039</v>
      </c>
      <c r="AR351" s="325">
        <f t="shared" si="251"/>
        <v>2040</v>
      </c>
      <c r="AS351" s="325">
        <f t="shared" si="251"/>
        <v>2041</v>
      </c>
      <c r="AT351" s="325">
        <f t="shared" si="251"/>
        <v>2042</v>
      </c>
      <c r="AU351" s="325">
        <f t="shared" si="251"/>
        <v>2043</v>
      </c>
    </row>
    <row r="352" spans="1:47">
      <c r="E352" s="325"/>
      <c r="G352" s="39"/>
      <c r="H352" s="39"/>
      <c r="I352" s="39"/>
      <c r="J352" s="39"/>
      <c r="K352" s="39"/>
    </row>
    <row r="353" spans="1:47">
      <c r="E353" s="325"/>
      <c r="G353" s="39" t="s">
        <v>23</v>
      </c>
      <c r="H353" s="39"/>
      <c r="I353" s="39"/>
      <c r="J353" s="39"/>
      <c r="K353" s="39"/>
    </row>
    <row r="354" spans="1:47">
      <c r="A354" s="38" t="str">
        <f t="shared" ref="A354:A361" si="252">$J$4&amp;"-"</f>
        <v>1X-</v>
      </c>
      <c r="B354" s="38" t="s">
        <v>262</v>
      </c>
      <c r="C354" s="38" t="str">
        <f>C348</f>
        <v>Gravity Belt Thickener</v>
      </c>
      <c r="D354" s="186">
        <f>LaborEsc</f>
        <v>0.02</v>
      </c>
      <c r="E354" s="325"/>
      <c r="G354" s="36" t="s">
        <v>125</v>
      </c>
      <c r="I354" s="39"/>
      <c r="K354" s="39"/>
      <c r="L354" s="43" t="s">
        <v>266</v>
      </c>
      <c r="N354" s="70">
        <f ca="1">SUMIFS(OFFSET(Assumptions!$I$90,0,MATCH($A354,Configurations,0)-1,COUNT(Assumptions!$A$90:$A$183),1),Assumptions!$D$90:$D$183,$B354&amp;$C354)</f>
        <v>5110</v>
      </c>
      <c r="O354" s="313"/>
      <c r="P354" s="323"/>
      <c r="Q354" s="313"/>
      <c r="R354" s="50">
        <f t="shared" ref="R354:AU354" ca="1" si="253">IF(OR(R$99&lt;InServiceYr,R$99&gt;(InServiceYr+analysis_period-1)),0,IF($P354=0,$N354,$P354)*LaborCost*(1+$D354)^(R$99-CostBaseYr))</f>
        <v>182427</v>
      </c>
      <c r="S354" s="50">
        <f t="shared" ca="1" si="253"/>
        <v>186075.54</v>
      </c>
      <c r="T354" s="50">
        <f t="shared" ca="1" si="253"/>
        <v>189797.0508</v>
      </c>
      <c r="U354" s="50">
        <f t="shared" ca="1" si="253"/>
        <v>193592.99181599999</v>
      </c>
      <c r="V354" s="50">
        <f t="shared" ca="1" si="253"/>
        <v>197464.85165232001</v>
      </c>
      <c r="W354" s="50">
        <f t="shared" ca="1" si="253"/>
        <v>201414.14868536641</v>
      </c>
      <c r="X354" s="50">
        <f t="shared" ca="1" si="253"/>
        <v>205442.43165907369</v>
      </c>
      <c r="Y354" s="50">
        <f t="shared" ca="1" si="253"/>
        <v>209551.28029225519</v>
      </c>
      <c r="Z354" s="50">
        <f t="shared" ca="1" si="253"/>
        <v>213742.30589810028</v>
      </c>
      <c r="AA354" s="50">
        <f t="shared" ca="1" si="253"/>
        <v>218017.15201606232</v>
      </c>
      <c r="AB354" s="50">
        <f t="shared" ca="1" si="253"/>
        <v>222377.49505638352</v>
      </c>
      <c r="AC354" s="50">
        <f t="shared" ca="1" si="253"/>
        <v>226825.04495751121</v>
      </c>
      <c r="AD354" s="50">
        <f t="shared" ca="1" si="253"/>
        <v>231361.54585666143</v>
      </c>
      <c r="AE354" s="50">
        <f t="shared" ca="1" si="253"/>
        <v>235988.77677379467</v>
      </c>
      <c r="AF354" s="50">
        <f t="shared" ca="1" si="253"/>
        <v>240708.55230927051</v>
      </c>
      <c r="AG354" s="50">
        <f t="shared" ca="1" si="253"/>
        <v>245522.72335545596</v>
      </c>
      <c r="AH354" s="50">
        <f t="shared" ca="1" si="253"/>
        <v>250433.17782256511</v>
      </c>
      <c r="AI354" s="50">
        <f t="shared" ca="1" si="253"/>
        <v>255441.84137901638</v>
      </c>
      <c r="AJ354" s="50">
        <f t="shared" ca="1" si="253"/>
        <v>260550.6782065967</v>
      </c>
      <c r="AK354" s="50">
        <f t="shared" ca="1" si="253"/>
        <v>265761.69177072868</v>
      </c>
      <c r="AL354" s="50">
        <f t="shared" si="253"/>
        <v>0</v>
      </c>
      <c r="AM354" s="50">
        <f t="shared" si="253"/>
        <v>0</v>
      </c>
      <c r="AN354" s="50">
        <f t="shared" si="253"/>
        <v>0</v>
      </c>
      <c r="AO354" s="50">
        <f t="shared" si="253"/>
        <v>0</v>
      </c>
      <c r="AP354" s="50">
        <f t="shared" si="253"/>
        <v>0</v>
      </c>
      <c r="AQ354" s="50">
        <f t="shared" si="253"/>
        <v>0</v>
      </c>
      <c r="AR354" s="50">
        <f t="shared" si="253"/>
        <v>0</v>
      </c>
      <c r="AS354" s="50">
        <f t="shared" si="253"/>
        <v>0</v>
      </c>
      <c r="AT354" s="50">
        <f t="shared" si="253"/>
        <v>0</v>
      </c>
      <c r="AU354" s="50">
        <f t="shared" si="253"/>
        <v>0</v>
      </c>
    </row>
    <row r="355" spans="1:47">
      <c r="A355" s="38" t="str">
        <f t="shared" si="252"/>
        <v>1X-</v>
      </c>
      <c r="B355" s="38" t="s">
        <v>270</v>
      </c>
      <c r="C355" s="38" t="str">
        <f>C354</f>
        <v>Gravity Belt Thickener</v>
      </c>
      <c r="D355" s="186">
        <f>OMEsc</f>
        <v>0.02</v>
      </c>
      <c r="E355" s="325"/>
      <c r="G355" s="36" t="s">
        <v>126</v>
      </c>
      <c r="I355" s="39"/>
      <c r="K355" s="39"/>
      <c r="L355" s="43" t="str">
        <f>"["&amp;CostBaseYr&amp;" $]"</f>
        <v>[2013 $]</v>
      </c>
      <c r="N355" s="70">
        <f ca="1">SUMIFS(OFFSET(Assumptions!$I$90,0,MATCH($A355,Configurations,0)-1,COUNT(Assumptions!$A$90:$A$183),1),Assumptions!$D$90:$D$183,$B355&amp;$C355)</f>
        <v>25000</v>
      </c>
      <c r="O355" s="313"/>
      <c r="P355" s="323"/>
      <c r="Q355" s="313"/>
      <c r="R355" s="50">
        <f t="shared" ref="R355:AG357" ca="1" si="254">IF(OR(R$99&lt;InServiceYr,R$99&gt;(InServiceYr+analysis_period-1)),0,IF($P355=0,$N355,$P355)*(1+$D355)^(R$99-CostBaseYr))</f>
        <v>25500</v>
      </c>
      <c r="S355" s="50">
        <f t="shared" ca="1" si="254"/>
        <v>26010</v>
      </c>
      <c r="T355" s="50">
        <f t="shared" ca="1" si="254"/>
        <v>26530.199999999997</v>
      </c>
      <c r="U355" s="50">
        <f t="shared" ca="1" si="254"/>
        <v>27060.804</v>
      </c>
      <c r="V355" s="50">
        <f t="shared" ca="1" si="254"/>
        <v>27602.020080000002</v>
      </c>
      <c r="W355" s="50">
        <f t="shared" ca="1" si="254"/>
        <v>28154.060481600001</v>
      </c>
      <c r="X355" s="50">
        <f t="shared" ca="1" si="254"/>
        <v>28717.141691231995</v>
      </c>
      <c r="Y355" s="50">
        <f t="shared" ca="1" si="254"/>
        <v>29291.48452505664</v>
      </c>
      <c r="Z355" s="50">
        <f t="shared" ca="1" si="254"/>
        <v>29877.31421555777</v>
      </c>
      <c r="AA355" s="50">
        <f t="shared" ca="1" si="254"/>
        <v>30474.860499868926</v>
      </c>
      <c r="AB355" s="50">
        <f t="shared" ca="1" si="254"/>
        <v>31084.357709866301</v>
      </c>
      <c r="AC355" s="50">
        <f t="shared" ca="1" si="254"/>
        <v>31706.044864063631</v>
      </c>
      <c r="AD355" s="50">
        <f t="shared" ca="1" si="254"/>
        <v>32340.165761344902</v>
      </c>
      <c r="AE355" s="50">
        <f t="shared" ca="1" si="254"/>
        <v>32986.969076571804</v>
      </c>
      <c r="AF355" s="50">
        <f t="shared" ca="1" si="254"/>
        <v>33646.708458103232</v>
      </c>
      <c r="AG355" s="50">
        <f t="shared" ca="1" si="254"/>
        <v>34319.642627265304</v>
      </c>
      <c r="AH355" s="50">
        <f t="shared" ref="S355:AU357" ca="1" si="255">IF(OR(AH$99&lt;InServiceYr,AH$99&gt;(InServiceYr+analysis_period-1)),0,IF($P355=0,$N355,$P355)*(1+$D355)^(AH$99-CostBaseYr))</f>
        <v>35006.035479810613</v>
      </c>
      <c r="AI355" s="50">
        <f t="shared" ca="1" si="255"/>
        <v>35706.156189406815</v>
      </c>
      <c r="AJ355" s="50">
        <f t="shared" ca="1" si="255"/>
        <v>36420.279313194951</v>
      </c>
      <c r="AK355" s="50">
        <f t="shared" ca="1" si="255"/>
        <v>37148.684899458858</v>
      </c>
      <c r="AL355" s="50">
        <f t="shared" si="255"/>
        <v>0</v>
      </c>
      <c r="AM355" s="50">
        <f t="shared" si="255"/>
        <v>0</v>
      </c>
      <c r="AN355" s="50">
        <f t="shared" si="255"/>
        <v>0</v>
      </c>
      <c r="AO355" s="50">
        <f t="shared" si="255"/>
        <v>0</v>
      </c>
      <c r="AP355" s="50">
        <f t="shared" si="255"/>
        <v>0</v>
      </c>
      <c r="AQ355" s="50">
        <f t="shared" si="255"/>
        <v>0</v>
      </c>
      <c r="AR355" s="50">
        <f t="shared" si="255"/>
        <v>0</v>
      </c>
      <c r="AS355" s="50">
        <f t="shared" si="255"/>
        <v>0</v>
      </c>
      <c r="AT355" s="50">
        <f t="shared" si="255"/>
        <v>0</v>
      </c>
      <c r="AU355" s="50">
        <f t="shared" si="255"/>
        <v>0</v>
      </c>
    </row>
    <row r="356" spans="1:47">
      <c r="A356" s="38" t="str">
        <f t="shared" si="252"/>
        <v>1X-</v>
      </c>
      <c r="B356" s="38" t="s">
        <v>263</v>
      </c>
      <c r="C356" s="38" t="str">
        <f t="shared" ref="C356:C360" si="256">C355</f>
        <v>Gravity Belt Thickener</v>
      </c>
      <c r="D356" s="186">
        <f>OMEsc</f>
        <v>0.02</v>
      </c>
      <c r="E356" s="325"/>
      <c r="G356" s="36" t="s">
        <v>127</v>
      </c>
      <c r="I356" s="39"/>
      <c r="K356" s="39"/>
      <c r="L356" s="43" t="str">
        <f>"["&amp;CostBaseYr&amp;" $]"</f>
        <v>[2013 $]</v>
      </c>
      <c r="N356" s="70">
        <f ca="1">SUMIFS(OFFSET(Assumptions!$I$90,0,MATCH($A356,Configurations,0)-1,COUNT(Assumptions!$A$90:$A$183),1),Assumptions!$D$90:$D$183,$B356&amp;$C356)</f>
        <v>28000</v>
      </c>
      <c r="O356" s="313"/>
      <c r="P356" s="323"/>
      <c r="Q356" s="313"/>
      <c r="R356" s="50">
        <f t="shared" ca="1" si="254"/>
        <v>28560</v>
      </c>
      <c r="S356" s="50">
        <f t="shared" ca="1" si="255"/>
        <v>29131.200000000001</v>
      </c>
      <c r="T356" s="50">
        <f t="shared" ca="1" si="255"/>
        <v>29713.823999999997</v>
      </c>
      <c r="U356" s="50">
        <f t="shared" ca="1" si="255"/>
        <v>30308.100480000001</v>
      </c>
      <c r="V356" s="50">
        <f t="shared" ca="1" si="255"/>
        <v>30914.262489600002</v>
      </c>
      <c r="W356" s="50">
        <f t="shared" ca="1" si="255"/>
        <v>31532.547739392001</v>
      </c>
      <c r="X356" s="50">
        <f t="shared" ca="1" si="255"/>
        <v>32163.198694179835</v>
      </c>
      <c r="Y356" s="50">
        <f t="shared" ca="1" si="255"/>
        <v>32806.462668063432</v>
      </c>
      <c r="Z356" s="50">
        <f t="shared" ca="1" si="255"/>
        <v>33462.591921424704</v>
      </c>
      <c r="AA356" s="50">
        <f t="shared" ca="1" si="255"/>
        <v>34131.843759853196</v>
      </c>
      <c r="AB356" s="50">
        <f t="shared" ca="1" si="255"/>
        <v>34814.480635050255</v>
      </c>
      <c r="AC356" s="50">
        <f t="shared" ca="1" si="255"/>
        <v>35510.770247751265</v>
      </c>
      <c r="AD356" s="50">
        <f t="shared" ca="1" si="255"/>
        <v>36220.985652706288</v>
      </c>
      <c r="AE356" s="50">
        <f t="shared" ca="1" si="255"/>
        <v>36945.405365760424</v>
      </c>
      <c r="AF356" s="50">
        <f t="shared" ca="1" si="255"/>
        <v>37684.313473075621</v>
      </c>
      <c r="AG356" s="50">
        <f t="shared" ca="1" si="255"/>
        <v>38437.99974253714</v>
      </c>
      <c r="AH356" s="50">
        <f t="shared" ca="1" si="255"/>
        <v>39206.759737387882</v>
      </c>
      <c r="AI356" s="50">
        <f t="shared" ca="1" si="255"/>
        <v>39990.894932135634</v>
      </c>
      <c r="AJ356" s="50">
        <f t="shared" ca="1" si="255"/>
        <v>40790.71283077835</v>
      </c>
      <c r="AK356" s="50">
        <f t="shared" ca="1" si="255"/>
        <v>41606.527087393915</v>
      </c>
      <c r="AL356" s="50">
        <f t="shared" si="255"/>
        <v>0</v>
      </c>
      <c r="AM356" s="50">
        <f t="shared" si="255"/>
        <v>0</v>
      </c>
      <c r="AN356" s="50">
        <f t="shared" si="255"/>
        <v>0</v>
      </c>
      <c r="AO356" s="50">
        <f t="shared" si="255"/>
        <v>0</v>
      </c>
      <c r="AP356" s="50">
        <f t="shared" si="255"/>
        <v>0</v>
      </c>
      <c r="AQ356" s="50">
        <f t="shared" si="255"/>
        <v>0</v>
      </c>
      <c r="AR356" s="50">
        <f t="shared" si="255"/>
        <v>0</v>
      </c>
      <c r="AS356" s="50">
        <f t="shared" si="255"/>
        <v>0</v>
      </c>
      <c r="AT356" s="50">
        <f t="shared" si="255"/>
        <v>0</v>
      </c>
      <c r="AU356" s="50">
        <f t="shared" si="255"/>
        <v>0</v>
      </c>
    </row>
    <row r="357" spans="1:47">
      <c r="A357" s="38" t="str">
        <f t="shared" si="252"/>
        <v>1X-</v>
      </c>
      <c r="B357" s="38" t="s">
        <v>277</v>
      </c>
      <c r="C357" s="38" t="str">
        <f t="shared" si="256"/>
        <v>Gravity Belt Thickener</v>
      </c>
      <c r="D357" s="186">
        <f>OMEsc</f>
        <v>0.02</v>
      </c>
      <c r="E357" s="325"/>
      <c r="G357" s="36" t="s">
        <v>276</v>
      </c>
      <c r="I357" s="39"/>
      <c r="K357" s="39"/>
      <c r="L357" s="43" t="str">
        <f>"["&amp;CostBaseYr&amp;" $]"</f>
        <v>[2013 $]</v>
      </c>
      <c r="N357" s="70">
        <f ca="1">SUMIFS(OFFSET(Assumptions!$I$90,0,MATCH($A357,Configurations,0)-1,COUNT(Assumptions!$A$90:$A$183),1),Assumptions!$D$90:$D$183,$B357&amp;$C357)</f>
        <v>0</v>
      </c>
      <c r="O357" s="313"/>
      <c r="P357" s="323"/>
      <c r="Q357" s="313"/>
      <c r="R357" s="50">
        <f t="shared" ca="1" si="254"/>
        <v>0</v>
      </c>
      <c r="S357" s="50">
        <f t="shared" ca="1" si="255"/>
        <v>0</v>
      </c>
      <c r="T357" s="50">
        <f t="shared" ca="1" si="255"/>
        <v>0</v>
      </c>
      <c r="U357" s="50">
        <f t="shared" ca="1" si="255"/>
        <v>0</v>
      </c>
      <c r="V357" s="50">
        <f t="shared" ca="1" si="255"/>
        <v>0</v>
      </c>
      <c r="W357" s="50">
        <f t="shared" ca="1" si="255"/>
        <v>0</v>
      </c>
      <c r="X357" s="50">
        <f t="shared" ca="1" si="255"/>
        <v>0</v>
      </c>
      <c r="Y357" s="50">
        <f t="shared" ca="1" si="255"/>
        <v>0</v>
      </c>
      <c r="Z357" s="50">
        <f t="shared" ca="1" si="255"/>
        <v>0</v>
      </c>
      <c r="AA357" s="50">
        <f t="shared" ca="1" si="255"/>
        <v>0</v>
      </c>
      <c r="AB357" s="50">
        <f t="shared" ca="1" si="255"/>
        <v>0</v>
      </c>
      <c r="AC357" s="50">
        <f t="shared" ca="1" si="255"/>
        <v>0</v>
      </c>
      <c r="AD357" s="50">
        <f t="shared" ca="1" si="255"/>
        <v>0</v>
      </c>
      <c r="AE357" s="50">
        <f t="shared" ca="1" si="255"/>
        <v>0</v>
      </c>
      <c r="AF357" s="50">
        <f t="shared" ca="1" si="255"/>
        <v>0</v>
      </c>
      <c r="AG357" s="50">
        <f t="shared" ca="1" si="255"/>
        <v>0</v>
      </c>
      <c r="AH357" s="50">
        <f t="shared" ca="1" si="255"/>
        <v>0</v>
      </c>
      <c r="AI357" s="50">
        <f t="shared" ca="1" si="255"/>
        <v>0</v>
      </c>
      <c r="AJ357" s="50">
        <f t="shared" ca="1" si="255"/>
        <v>0</v>
      </c>
      <c r="AK357" s="50">
        <f t="shared" ca="1" si="255"/>
        <v>0</v>
      </c>
      <c r="AL357" s="50">
        <f t="shared" si="255"/>
        <v>0</v>
      </c>
      <c r="AM357" s="50">
        <f t="shared" si="255"/>
        <v>0</v>
      </c>
      <c r="AN357" s="50">
        <f t="shared" si="255"/>
        <v>0</v>
      </c>
      <c r="AO357" s="50">
        <f t="shared" si="255"/>
        <v>0</v>
      </c>
      <c r="AP357" s="50">
        <f t="shared" si="255"/>
        <v>0</v>
      </c>
      <c r="AQ357" s="50">
        <f t="shared" si="255"/>
        <v>0</v>
      </c>
      <c r="AR357" s="50">
        <f t="shared" si="255"/>
        <v>0</v>
      </c>
      <c r="AS357" s="50">
        <f t="shared" si="255"/>
        <v>0</v>
      </c>
      <c r="AT357" s="50">
        <f t="shared" si="255"/>
        <v>0</v>
      </c>
      <c r="AU357" s="50">
        <f t="shared" si="255"/>
        <v>0</v>
      </c>
    </row>
    <row r="358" spans="1:47">
      <c r="A358" s="38" t="str">
        <f t="shared" si="252"/>
        <v>1X-</v>
      </c>
      <c r="B358" s="38" t="s">
        <v>274</v>
      </c>
      <c r="C358" s="38" t="str">
        <f t="shared" si="256"/>
        <v>Gravity Belt Thickener</v>
      </c>
      <c r="D358" s="186"/>
      <c r="E358" s="325"/>
      <c r="G358" s="36" t="s">
        <v>16</v>
      </c>
      <c r="I358" s="39"/>
      <c r="K358" s="39"/>
      <c r="L358" s="43" t="s">
        <v>275</v>
      </c>
      <c r="N358" s="70">
        <f ca="1">SUMIFS(OFFSET(Assumptions!$I$90,0,MATCH($A358,Configurations,0)-1,COUNT(Assumptions!$A$90:$A$183),1),Assumptions!$D$90:$D$183,$B358&amp;$C358)</f>
        <v>0</v>
      </c>
      <c r="O358" s="313"/>
      <c r="P358" s="323"/>
      <c r="Q358" s="313"/>
      <c r="R358" s="50">
        <f t="shared" ref="R358:AU358" ca="1" si="257">IF(OR(R$99&lt;InServiceYr,R$99&gt;(InServiceYr+analysis_period-1)),0,IF($P358=0,$N358,$P358)*R$505)</f>
        <v>0</v>
      </c>
      <c r="S358" s="50">
        <f t="shared" ca="1" si="257"/>
        <v>0</v>
      </c>
      <c r="T358" s="50">
        <f t="shared" ca="1" si="257"/>
        <v>0</v>
      </c>
      <c r="U358" s="50">
        <f t="shared" ca="1" si="257"/>
        <v>0</v>
      </c>
      <c r="V358" s="50">
        <f t="shared" ca="1" si="257"/>
        <v>0</v>
      </c>
      <c r="W358" s="50">
        <f t="shared" ca="1" si="257"/>
        <v>0</v>
      </c>
      <c r="X358" s="50">
        <f t="shared" ca="1" si="257"/>
        <v>0</v>
      </c>
      <c r="Y358" s="50">
        <f t="shared" ca="1" si="257"/>
        <v>0</v>
      </c>
      <c r="Z358" s="50">
        <f t="shared" ca="1" si="257"/>
        <v>0</v>
      </c>
      <c r="AA358" s="50">
        <f t="shared" ca="1" si="257"/>
        <v>0</v>
      </c>
      <c r="AB358" s="50">
        <f t="shared" ca="1" si="257"/>
        <v>0</v>
      </c>
      <c r="AC358" s="50">
        <f t="shared" ca="1" si="257"/>
        <v>0</v>
      </c>
      <c r="AD358" s="50">
        <f t="shared" ca="1" si="257"/>
        <v>0</v>
      </c>
      <c r="AE358" s="50">
        <f t="shared" ca="1" si="257"/>
        <v>0</v>
      </c>
      <c r="AF358" s="50">
        <f t="shared" ca="1" si="257"/>
        <v>0</v>
      </c>
      <c r="AG358" s="50">
        <f t="shared" ca="1" si="257"/>
        <v>0</v>
      </c>
      <c r="AH358" s="50">
        <f t="shared" ca="1" si="257"/>
        <v>0</v>
      </c>
      <c r="AI358" s="50">
        <f t="shared" ca="1" si="257"/>
        <v>0</v>
      </c>
      <c r="AJ358" s="50">
        <f t="shared" ca="1" si="257"/>
        <v>0</v>
      </c>
      <c r="AK358" s="50">
        <f t="shared" ca="1" si="257"/>
        <v>0</v>
      </c>
      <c r="AL358" s="50">
        <f t="shared" si="257"/>
        <v>0</v>
      </c>
      <c r="AM358" s="50">
        <f t="shared" si="257"/>
        <v>0</v>
      </c>
      <c r="AN358" s="50">
        <f t="shared" si="257"/>
        <v>0</v>
      </c>
      <c r="AO358" s="50">
        <f t="shared" si="257"/>
        <v>0</v>
      </c>
      <c r="AP358" s="50">
        <f t="shared" si="257"/>
        <v>0</v>
      </c>
      <c r="AQ358" s="50">
        <f t="shared" si="257"/>
        <v>0</v>
      </c>
      <c r="AR358" s="50">
        <f t="shared" si="257"/>
        <v>0</v>
      </c>
      <c r="AS358" s="50">
        <f t="shared" si="257"/>
        <v>0</v>
      </c>
      <c r="AT358" s="50">
        <f t="shared" si="257"/>
        <v>0</v>
      </c>
      <c r="AU358" s="50">
        <f t="shared" si="257"/>
        <v>0</v>
      </c>
    </row>
    <row r="359" spans="1:47">
      <c r="A359" s="38" t="str">
        <f t="shared" si="252"/>
        <v>1X-</v>
      </c>
      <c r="B359" s="38" t="s">
        <v>257</v>
      </c>
      <c r="C359" s="38" t="str">
        <f t="shared" si="256"/>
        <v>Gravity Belt Thickener</v>
      </c>
      <c r="D359" s="186"/>
      <c r="E359" s="325"/>
      <c r="G359" s="36" t="s">
        <v>284</v>
      </c>
      <c r="I359" s="39"/>
      <c r="K359" s="39"/>
      <c r="L359" s="43" t="s">
        <v>293</v>
      </c>
      <c r="N359" s="70">
        <f ca="1">SUMIFS(OFFSET(Assumptions!$I$90,0,MATCH($A359,Configurations,0)-1,COUNT(Assumptions!$A$90:$A$183),1),Assumptions!$D$90:$D$183,$B359&amp;$C359)</f>
        <v>57670</v>
      </c>
      <c r="O359" s="313"/>
      <c r="P359" s="323"/>
      <c r="Q359" s="313"/>
      <c r="R359" s="50">
        <f t="shared" ref="R359:AU359" ca="1" si="258">IF(OR(R$99&lt;InServiceYr,R$99&gt;(InServiceYr+analysis_period-1)),0,IF($P359=0,$N359,$P359)*R$501)</f>
        <v>3724.4183381401403</v>
      </c>
      <c r="S359" s="50">
        <f t="shared" ca="1" si="258"/>
        <v>3747.6346163524208</v>
      </c>
      <c r="T359" s="50">
        <f t="shared" ca="1" si="258"/>
        <v>3909.1949254169845</v>
      </c>
      <c r="U359" s="50">
        <f t="shared" ca="1" si="258"/>
        <v>4026.4609910121817</v>
      </c>
      <c r="V359" s="50">
        <f t="shared" ca="1" si="258"/>
        <v>4123.6239654313813</v>
      </c>
      <c r="W359" s="50">
        <f t="shared" ca="1" si="258"/>
        <v>4176.3786530236048</v>
      </c>
      <c r="X359" s="50">
        <f t="shared" ca="1" si="258"/>
        <v>4244.3386628354192</v>
      </c>
      <c r="Y359" s="50">
        <f t="shared" ca="1" si="258"/>
        <v>4348.910522969717</v>
      </c>
      <c r="Z359" s="50">
        <f t="shared" ca="1" si="258"/>
        <v>4453.0264063000513</v>
      </c>
      <c r="AA359" s="50">
        <f t="shared" ca="1" si="258"/>
        <v>4564.363003805428</v>
      </c>
      <c r="AB359" s="50">
        <f t="shared" ca="1" si="258"/>
        <v>4663.2262073854145</v>
      </c>
      <c r="AC359" s="50">
        <f t="shared" ca="1" si="258"/>
        <v>4753.0229640353818</v>
      </c>
      <c r="AD359" s="50">
        <f t="shared" ca="1" si="258"/>
        <v>4862.8168301893602</v>
      </c>
      <c r="AE359" s="50">
        <f t="shared" ca="1" si="258"/>
        <v>4973.6484908975908</v>
      </c>
      <c r="AF359" s="50">
        <f t="shared" ca="1" si="258"/>
        <v>5091.9049640656904</v>
      </c>
      <c r="AG359" s="50">
        <f t="shared" ca="1" si="258"/>
        <v>5224.3800877835738</v>
      </c>
      <c r="AH359" s="50">
        <f t="shared" ca="1" si="258"/>
        <v>5352.4163687461933</v>
      </c>
      <c r="AI359" s="50">
        <f t="shared" ca="1" si="258"/>
        <v>5491.2665161544919</v>
      </c>
      <c r="AJ359" s="50">
        <f t="shared" ca="1" si="258"/>
        <v>5638.2595559226475</v>
      </c>
      <c r="AK359" s="50">
        <f t="shared" ca="1" si="258"/>
        <v>5791.6386304640209</v>
      </c>
      <c r="AL359" s="50">
        <f t="shared" si="258"/>
        <v>0</v>
      </c>
      <c r="AM359" s="50">
        <f t="shared" si="258"/>
        <v>0</v>
      </c>
      <c r="AN359" s="50">
        <f t="shared" si="258"/>
        <v>0</v>
      </c>
      <c r="AO359" s="50">
        <f t="shared" si="258"/>
        <v>0</v>
      </c>
      <c r="AP359" s="50">
        <f t="shared" si="258"/>
        <v>0</v>
      </c>
      <c r="AQ359" s="50">
        <f t="shared" si="258"/>
        <v>0</v>
      </c>
      <c r="AR359" s="50">
        <f t="shared" si="258"/>
        <v>0</v>
      </c>
      <c r="AS359" s="50">
        <f t="shared" si="258"/>
        <v>0</v>
      </c>
      <c r="AT359" s="50">
        <f t="shared" si="258"/>
        <v>0</v>
      </c>
      <c r="AU359" s="50">
        <f t="shared" si="258"/>
        <v>0</v>
      </c>
    </row>
    <row r="360" spans="1:47">
      <c r="A360" s="38" t="str">
        <f t="shared" si="252"/>
        <v>1X-</v>
      </c>
      <c r="B360" s="38" t="s">
        <v>864</v>
      </c>
      <c r="C360" s="38" t="str">
        <f t="shared" si="256"/>
        <v>Gravity Belt Thickener</v>
      </c>
      <c r="D360" s="186">
        <f>GHGEsc</f>
        <v>0.02</v>
      </c>
      <c r="E360" s="325"/>
      <c r="G360" s="36" t="s">
        <v>865</v>
      </c>
      <c r="I360" s="39"/>
      <c r="K360" s="39"/>
      <c r="L360" s="43" t="s">
        <v>866</v>
      </c>
      <c r="N360" s="70">
        <f ca="1">SUMIFS(OFFSET(Assumptions!$I$90,0,MATCH($A360,Configurations,0)-1,COUNT(Assumptions!$A$90:$A$183),1),Assumptions!$D$90:$D$183,$B360&amp;$C360)</f>
        <v>0</v>
      </c>
      <c r="O360" s="313"/>
      <c r="P360" s="323"/>
      <c r="Q360" s="313"/>
      <c r="R360" s="50">
        <f t="shared" ref="R360:AU360" ca="1" si="259">IF(OR(R$99&lt;InServiceYr,R$99&gt;(InServiceYr+analysis_period-1)),0,IF($P360=0,$N360,$P360)*R$513)</f>
        <v>0</v>
      </c>
      <c r="S360" s="50">
        <f t="shared" ca="1" si="259"/>
        <v>0</v>
      </c>
      <c r="T360" s="50">
        <f t="shared" ca="1" si="259"/>
        <v>0</v>
      </c>
      <c r="U360" s="50">
        <f t="shared" ca="1" si="259"/>
        <v>0</v>
      </c>
      <c r="V360" s="50">
        <f t="shared" ca="1" si="259"/>
        <v>0</v>
      </c>
      <c r="W360" s="50">
        <f t="shared" ca="1" si="259"/>
        <v>0</v>
      </c>
      <c r="X360" s="50">
        <f t="shared" ca="1" si="259"/>
        <v>0</v>
      </c>
      <c r="Y360" s="50">
        <f t="shared" ca="1" si="259"/>
        <v>0</v>
      </c>
      <c r="Z360" s="50">
        <f t="shared" ca="1" si="259"/>
        <v>0</v>
      </c>
      <c r="AA360" s="50">
        <f t="shared" ca="1" si="259"/>
        <v>0</v>
      </c>
      <c r="AB360" s="50">
        <f t="shared" ca="1" si="259"/>
        <v>0</v>
      </c>
      <c r="AC360" s="50">
        <f t="shared" ca="1" si="259"/>
        <v>0</v>
      </c>
      <c r="AD360" s="50">
        <f t="shared" ca="1" si="259"/>
        <v>0</v>
      </c>
      <c r="AE360" s="50">
        <f t="shared" ca="1" si="259"/>
        <v>0</v>
      </c>
      <c r="AF360" s="50">
        <f t="shared" ca="1" si="259"/>
        <v>0</v>
      </c>
      <c r="AG360" s="50">
        <f t="shared" ca="1" si="259"/>
        <v>0</v>
      </c>
      <c r="AH360" s="50">
        <f t="shared" ca="1" si="259"/>
        <v>0</v>
      </c>
      <c r="AI360" s="50">
        <f t="shared" ca="1" si="259"/>
        <v>0</v>
      </c>
      <c r="AJ360" s="50">
        <f t="shared" ca="1" si="259"/>
        <v>0</v>
      </c>
      <c r="AK360" s="50">
        <f t="shared" ca="1" si="259"/>
        <v>0</v>
      </c>
      <c r="AL360" s="50">
        <f t="shared" si="259"/>
        <v>0</v>
      </c>
      <c r="AM360" s="50">
        <f t="shared" si="259"/>
        <v>0</v>
      </c>
      <c r="AN360" s="50">
        <f t="shared" si="259"/>
        <v>0</v>
      </c>
      <c r="AO360" s="50">
        <f t="shared" si="259"/>
        <v>0</v>
      </c>
      <c r="AP360" s="50">
        <f t="shared" si="259"/>
        <v>0</v>
      </c>
      <c r="AQ360" s="50">
        <f t="shared" si="259"/>
        <v>0</v>
      </c>
      <c r="AR360" s="50">
        <f t="shared" si="259"/>
        <v>0</v>
      </c>
      <c r="AS360" s="50">
        <f t="shared" si="259"/>
        <v>0</v>
      </c>
      <c r="AT360" s="50">
        <f t="shared" si="259"/>
        <v>0</v>
      </c>
      <c r="AU360" s="50">
        <f t="shared" si="259"/>
        <v>0</v>
      </c>
    </row>
    <row r="361" spans="1:47">
      <c r="A361" s="38" t="str">
        <f t="shared" si="252"/>
        <v>1X-</v>
      </c>
      <c r="B361" s="38" t="s">
        <v>273</v>
      </c>
      <c r="C361" s="38" t="str">
        <f>C359</f>
        <v>Gravity Belt Thickener</v>
      </c>
      <c r="D361" s="186">
        <f>LaborEsc</f>
        <v>0.02</v>
      </c>
      <c r="E361" s="325"/>
      <c r="G361" s="36" t="s">
        <v>291</v>
      </c>
      <c r="I361" s="39"/>
      <c r="K361" s="39"/>
      <c r="L361" s="43" t="str">
        <f>"["&amp;CostBaseYr&amp;" $]"</f>
        <v>[2013 $]</v>
      </c>
      <c r="N361" s="70">
        <f ca="1">SUMIFS(OFFSET(Assumptions!$I$90,0,MATCH($A361,Configurations,0)-1,COUNT(Assumptions!$A$90:$A$183),1),Assumptions!$D$90:$D$183,$B361&amp;$C361)</f>
        <v>0</v>
      </c>
      <c r="O361" s="313"/>
      <c r="P361" s="323"/>
      <c r="Q361" s="313"/>
      <c r="R361" s="50">
        <f t="shared" ref="R361:AU361" ca="1" si="260">IF(OR(R$99&lt;InServiceYr,R$99&gt;(InServiceYr+analysis_period-1)),0,IF($P361=0,$N361,$P361)*(1+$D361)^(R$99-CostBaseYr))*R$509</f>
        <v>0</v>
      </c>
      <c r="S361" s="50">
        <f t="shared" ca="1" si="260"/>
        <v>0</v>
      </c>
      <c r="T361" s="50">
        <f t="shared" ca="1" si="260"/>
        <v>0</v>
      </c>
      <c r="U361" s="50">
        <f t="shared" ca="1" si="260"/>
        <v>0</v>
      </c>
      <c r="V361" s="50">
        <f t="shared" ca="1" si="260"/>
        <v>0</v>
      </c>
      <c r="W361" s="50">
        <f t="shared" ca="1" si="260"/>
        <v>0</v>
      </c>
      <c r="X361" s="50">
        <f t="shared" ca="1" si="260"/>
        <v>0</v>
      </c>
      <c r="Y361" s="50">
        <f t="shared" ca="1" si="260"/>
        <v>0</v>
      </c>
      <c r="Z361" s="50">
        <f t="shared" ca="1" si="260"/>
        <v>0</v>
      </c>
      <c r="AA361" s="50">
        <f t="shared" ca="1" si="260"/>
        <v>0</v>
      </c>
      <c r="AB361" s="50">
        <f t="shared" ca="1" si="260"/>
        <v>0</v>
      </c>
      <c r="AC361" s="50">
        <f t="shared" ca="1" si="260"/>
        <v>0</v>
      </c>
      <c r="AD361" s="50">
        <f t="shared" ca="1" si="260"/>
        <v>0</v>
      </c>
      <c r="AE361" s="50">
        <f t="shared" ca="1" si="260"/>
        <v>0</v>
      </c>
      <c r="AF361" s="50">
        <f t="shared" ca="1" si="260"/>
        <v>0</v>
      </c>
      <c r="AG361" s="50">
        <f t="shared" ca="1" si="260"/>
        <v>0</v>
      </c>
      <c r="AH361" s="50">
        <f t="shared" ca="1" si="260"/>
        <v>0</v>
      </c>
      <c r="AI361" s="50">
        <f t="shared" ca="1" si="260"/>
        <v>0</v>
      </c>
      <c r="AJ361" s="50">
        <f t="shared" ca="1" si="260"/>
        <v>0</v>
      </c>
      <c r="AK361" s="50">
        <f t="shared" ca="1" si="260"/>
        <v>0</v>
      </c>
      <c r="AL361" s="50">
        <f t="shared" si="260"/>
        <v>0</v>
      </c>
      <c r="AM361" s="50">
        <f t="shared" si="260"/>
        <v>0</v>
      </c>
      <c r="AN361" s="50">
        <f t="shared" si="260"/>
        <v>0</v>
      </c>
      <c r="AO361" s="50">
        <f t="shared" si="260"/>
        <v>0</v>
      </c>
      <c r="AP361" s="50">
        <f t="shared" si="260"/>
        <v>0</v>
      </c>
      <c r="AQ361" s="50">
        <f t="shared" si="260"/>
        <v>0</v>
      </c>
      <c r="AR361" s="50">
        <f t="shared" si="260"/>
        <v>0</v>
      </c>
      <c r="AS361" s="50">
        <f t="shared" si="260"/>
        <v>0</v>
      </c>
      <c r="AT361" s="50">
        <f t="shared" si="260"/>
        <v>0</v>
      </c>
      <c r="AU361" s="50">
        <f t="shared" si="260"/>
        <v>0</v>
      </c>
    </row>
    <row r="362" spans="1:47">
      <c r="D362" s="186"/>
      <c r="E362" s="325"/>
      <c r="G362" s="39" t="s">
        <v>304</v>
      </c>
      <c r="I362" s="39"/>
      <c r="K362" s="39"/>
      <c r="L362" s="43"/>
      <c r="N362" s="70"/>
      <c r="O362" s="313"/>
      <c r="P362" s="70"/>
      <c r="Q362" s="313"/>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row>
    <row r="363" spans="1:47">
      <c r="A363" s="38" t="str">
        <f>$J$4&amp;"-"</f>
        <v>1X-</v>
      </c>
      <c r="B363" s="38" t="s">
        <v>265</v>
      </c>
      <c r="C363" s="38" t="str">
        <f>C354</f>
        <v>Gravity Belt Thickener</v>
      </c>
      <c r="D363" s="186"/>
      <c r="E363" s="325"/>
      <c r="G363" s="36" t="s">
        <v>108</v>
      </c>
      <c r="I363" s="39"/>
      <c r="K363" s="39"/>
      <c r="L363" s="43" t="s">
        <v>293</v>
      </c>
      <c r="N363" s="70">
        <f ca="1">SUMIFS(OFFSET(Assumptions!$I$90,0,MATCH($A363,Configurations,0)-1,COUNT(Assumptions!$A$90:$A$183),1),Assumptions!$D$90:$D$183,$B363&amp;$C363)</f>
        <v>0</v>
      </c>
      <c r="O363" s="313"/>
      <c r="P363" s="323"/>
      <c r="Q363" s="313"/>
      <c r="R363" s="50">
        <f t="shared" ref="R363:AU363" ca="1" si="261">IF(OR(R$99&lt;InServiceYr,R$99&gt;(InServiceYr+analysis_period-1)),0,IF($P363=0,$N363,$P363)*R$501)</f>
        <v>0</v>
      </c>
      <c r="S363" s="50">
        <f t="shared" ca="1" si="261"/>
        <v>0</v>
      </c>
      <c r="T363" s="50">
        <f t="shared" ca="1" si="261"/>
        <v>0</v>
      </c>
      <c r="U363" s="50">
        <f t="shared" ca="1" si="261"/>
        <v>0</v>
      </c>
      <c r="V363" s="50">
        <f t="shared" ca="1" si="261"/>
        <v>0</v>
      </c>
      <c r="W363" s="50">
        <f t="shared" ca="1" si="261"/>
        <v>0</v>
      </c>
      <c r="X363" s="50">
        <f t="shared" ca="1" si="261"/>
        <v>0</v>
      </c>
      <c r="Y363" s="50">
        <f t="shared" ca="1" si="261"/>
        <v>0</v>
      </c>
      <c r="Z363" s="50">
        <f t="shared" ca="1" si="261"/>
        <v>0</v>
      </c>
      <c r="AA363" s="50">
        <f t="shared" ca="1" si="261"/>
        <v>0</v>
      </c>
      <c r="AB363" s="50">
        <f t="shared" ca="1" si="261"/>
        <v>0</v>
      </c>
      <c r="AC363" s="50">
        <f t="shared" ca="1" si="261"/>
        <v>0</v>
      </c>
      <c r="AD363" s="50">
        <f t="shared" ca="1" si="261"/>
        <v>0</v>
      </c>
      <c r="AE363" s="50">
        <f t="shared" ca="1" si="261"/>
        <v>0</v>
      </c>
      <c r="AF363" s="50">
        <f t="shared" ca="1" si="261"/>
        <v>0</v>
      </c>
      <c r="AG363" s="50">
        <f t="shared" ca="1" si="261"/>
        <v>0</v>
      </c>
      <c r="AH363" s="50">
        <f t="shared" ca="1" si="261"/>
        <v>0</v>
      </c>
      <c r="AI363" s="50">
        <f t="shared" ca="1" si="261"/>
        <v>0</v>
      </c>
      <c r="AJ363" s="50">
        <f t="shared" ca="1" si="261"/>
        <v>0</v>
      </c>
      <c r="AK363" s="50">
        <f t="shared" ca="1" si="261"/>
        <v>0</v>
      </c>
      <c r="AL363" s="50">
        <f t="shared" si="261"/>
        <v>0</v>
      </c>
      <c r="AM363" s="50">
        <f t="shared" si="261"/>
        <v>0</v>
      </c>
      <c r="AN363" s="50">
        <f t="shared" si="261"/>
        <v>0</v>
      </c>
      <c r="AO363" s="50">
        <f t="shared" si="261"/>
        <v>0</v>
      </c>
      <c r="AP363" s="50">
        <f t="shared" si="261"/>
        <v>0</v>
      </c>
      <c r="AQ363" s="50">
        <f t="shared" si="261"/>
        <v>0</v>
      </c>
      <c r="AR363" s="50">
        <f t="shared" si="261"/>
        <v>0</v>
      </c>
      <c r="AS363" s="50">
        <f t="shared" si="261"/>
        <v>0</v>
      </c>
      <c r="AT363" s="50">
        <f t="shared" si="261"/>
        <v>0</v>
      </c>
      <c r="AU363" s="50">
        <f t="shared" si="261"/>
        <v>0</v>
      </c>
    </row>
    <row r="364" spans="1:47">
      <c r="A364" s="38" t="str">
        <f>$J$4&amp;"-"</f>
        <v>1X-</v>
      </c>
      <c r="B364" s="38" t="s">
        <v>289</v>
      </c>
      <c r="C364" s="38" t="str">
        <f>C354</f>
        <v>Gravity Belt Thickener</v>
      </c>
      <c r="D364" s="186">
        <f>LaborEsc</f>
        <v>0.02</v>
      </c>
      <c r="E364" s="325"/>
      <c r="G364" s="36" t="s">
        <v>292</v>
      </c>
      <c r="I364" s="39"/>
      <c r="K364" s="39"/>
      <c r="L364" s="43" t="str">
        <f>"["&amp;CostBaseYr&amp;" $]"</f>
        <v>[2013 $]</v>
      </c>
      <c r="N364" s="70">
        <f ca="1">SUMIFS(OFFSET(Assumptions!$I$90,0,MATCH($A364,Configurations,0)-1,COUNT(Assumptions!$A$90:$A$183),1),Assumptions!$D$90:$D$183,$B364&amp;$C364)</f>
        <v>0</v>
      </c>
      <c r="O364" s="313"/>
      <c r="P364" s="323"/>
      <c r="Q364" s="313"/>
      <c r="R364" s="50">
        <f t="shared" ref="R364:AU364" ca="1" si="262">IF(OR(R$99&lt;InServiceYr,R$99&gt;(InServiceYr+analysis_period-1)),0,IF($P364=0,$N364,$P364)*(1+$D364)^(R$99-CostBaseYr))</f>
        <v>0</v>
      </c>
      <c r="S364" s="50">
        <f t="shared" ca="1" si="262"/>
        <v>0</v>
      </c>
      <c r="T364" s="50">
        <f t="shared" ca="1" si="262"/>
        <v>0</v>
      </c>
      <c r="U364" s="50">
        <f t="shared" ca="1" si="262"/>
        <v>0</v>
      </c>
      <c r="V364" s="50">
        <f t="shared" ca="1" si="262"/>
        <v>0</v>
      </c>
      <c r="W364" s="50">
        <f t="shared" ca="1" si="262"/>
        <v>0</v>
      </c>
      <c r="X364" s="50">
        <f t="shared" ca="1" si="262"/>
        <v>0</v>
      </c>
      <c r="Y364" s="50">
        <f t="shared" ca="1" si="262"/>
        <v>0</v>
      </c>
      <c r="Z364" s="50">
        <f t="shared" ca="1" si="262"/>
        <v>0</v>
      </c>
      <c r="AA364" s="50">
        <f t="shared" ca="1" si="262"/>
        <v>0</v>
      </c>
      <c r="AB364" s="50">
        <f t="shared" ca="1" si="262"/>
        <v>0</v>
      </c>
      <c r="AC364" s="50">
        <f t="shared" ca="1" si="262"/>
        <v>0</v>
      </c>
      <c r="AD364" s="50">
        <f t="shared" ca="1" si="262"/>
        <v>0</v>
      </c>
      <c r="AE364" s="50">
        <f t="shared" ca="1" si="262"/>
        <v>0</v>
      </c>
      <c r="AF364" s="50">
        <f t="shared" ca="1" si="262"/>
        <v>0</v>
      </c>
      <c r="AG364" s="50">
        <f t="shared" ca="1" si="262"/>
        <v>0</v>
      </c>
      <c r="AH364" s="50">
        <f t="shared" ca="1" si="262"/>
        <v>0</v>
      </c>
      <c r="AI364" s="50">
        <f t="shared" ca="1" si="262"/>
        <v>0</v>
      </c>
      <c r="AJ364" s="50">
        <f t="shared" ca="1" si="262"/>
        <v>0</v>
      </c>
      <c r="AK364" s="50">
        <f t="shared" ca="1" si="262"/>
        <v>0</v>
      </c>
      <c r="AL364" s="50">
        <f t="shared" si="262"/>
        <v>0</v>
      </c>
      <c r="AM364" s="50">
        <f t="shared" si="262"/>
        <v>0</v>
      </c>
      <c r="AN364" s="50">
        <f t="shared" si="262"/>
        <v>0</v>
      </c>
      <c r="AO364" s="50">
        <f t="shared" si="262"/>
        <v>0</v>
      </c>
      <c r="AP364" s="50">
        <f t="shared" si="262"/>
        <v>0</v>
      </c>
      <c r="AQ364" s="50">
        <f t="shared" si="262"/>
        <v>0</v>
      </c>
      <c r="AR364" s="50">
        <f t="shared" si="262"/>
        <v>0</v>
      </c>
      <c r="AS364" s="50">
        <f t="shared" si="262"/>
        <v>0</v>
      </c>
      <c r="AT364" s="50">
        <f t="shared" si="262"/>
        <v>0</v>
      </c>
      <c r="AU364" s="50">
        <f t="shared" si="262"/>
        <v>0</v>
      </c>
    </row>
    <row r="365" spans="1:47" s="60" customFormat="1">
      <c r="D365" s="187"/>
      <c r="E365" s="325"/>
      <c r="G365" s="39" t="s">
        <v>305</v>
      </c>
      <c r="I365" s="39"/>
      <c r="K365" s="39"/>
      <c r="L365" s="174"/>
      <c r="N365" s="188"/>
      <c r="O365" s="314"/>
      <c r="P365" s="185"/>
      <c r="Q365" s="314"/>
      <c r="R365" s="185">
        <f ca="1">SUM(R354:R361)-SUM(R363:R364)</f>
        <v>240211.41833814015</v>
      </c>
      <c r="S365" s="185">
        <f t="shared" ref="S365:AU365" ca="1" si="263">SUM(S354:S361)-SUM(S363:S364)</f>
        <v>244964.37461635243</v>
      </c>
      <c r="T365" s="185">
        <f t="shared" ca="1" si="263"/>
        <v>249950.26972541696</v>
      </c>
      <c r="U365" s="185">
        <f t="shared" ca="1" si="263"/>
        <v>254988.35728701219</v>
      </c>
      <c r="V365" s="185">
        <f t="shared" ca="1" si="263"/>
        <v>260104.75818735137</v>
      </c>
      <c r="W365" s="185">
        <f t="shared" ca="1" si="263"/>
        <v>265277.13555938203</v>
      </c>
      <c r="X365" s="185">
        <f t="shared" ca="1" si="263"/>
        <v>270567.11070732091</v>
      </c>
      <c r="Y365" s="185">
        <f t="shared" ca="1" si="263"/>
        <v>275998.13800834498</v>
      </c>
      <c r="Z365" s="185">
        <f t="shared" ca="1" si="263"/>
        <v>281535.23844138283</v>
      </c>
      <c r="AA365" s="185">
        <f t="shared" ca="1" si="263"/>
        <v>287188.21927958989</v>
      </c>
      <c r="AB365" s="185">
        <f t="shared" ca="1" si="263"/>
        <v>292939.55960868549</v>
      </c>
      <c r="AC365" s="185">
        <f t="shared" ca="1" si="263"/>
        <v>298794.88303336152</v>
      </c>
      <c r="AD365" s="185">
        <f t="shared" ca="1" si="263"/>
        <v>304785.51410090202</v>
      </c>
      <c r="AE365" s="185">
        <f t="shared" ca="1" si="263"/>
        <v>310894.79970702453</v>
      </c>
      <c r="AF365" s="185">
        <f t="shared" ca="1" si="263"/>
        <v>317131.47920451505</v>
      </c>
      <c r="AG365" s="185">
        <f t="shared" ca="1" si="263"/>
        <v>323504.74581304198</v>
      </c>
      <c r="AH365" s="185">
        <f t="shared" ca="1" si="263"/>
        <v>329998.38940850983</v>
      </c>
      <c r="AI365" s="185">
        <f t="shared" ca="1" si="263"/>
        <v>336630.15901671333</v>
      </c>
      <c r="AJ365" s="185">
        <f t="shared" ca="1" si="263"/>
        <v>343399.92990649265</v>
      </c>
      <c r="AK365" s="185">
        <f t="shared" ca="1" si="263"/>
        <v>350308.54238804546</v>
      </c>
      <c r="AL365" s="185">
        <f t="shared" si="263"/>
        <v>0</v>
      </c>
      <c r="AM365" s="185">
        <f t="shared" si="263"/>
        <v>0</v>
      </c>
      <c r="AN365" s="185">
        <f t="shared" si="263"/>
        <v>0</v>
      </c>
      <c r="AO365" s="185">
        <f t="shared" si="263"/>
        <v>0</v>
      </c>
      <c r="AP365" s="185">
        <f t="shared" si="263"/>
        <v>0</v>
      </c>
      <c r="AQ365" s="185">
        <f t="shared" si="263"/>
        <v>0</v>
      </c>
      <c r="AR365" s="185">
        <f t="shared" si="263"/>
        <v>0</v>
      </c>
      <c r="AS365" s="185">
        <f t="shared" si="263"/>
        <v>0</v>
      </c>
      <c r="AT365" s="185">
        <f t="shared" si="263"/>
        <v>0</v>
      </c>
      <c r="AU365" s="185">
        <f t="shared" si="263"/>
        <v>0</v>
      </c>
    </row>
    <row r="366" spans="1:47">
      <c r="E366" s="36"/>
      <c r="G366" s="39"/>
      <c r="H366" s="39"/>
      <c r="I366" s="39"/>
      <c r="J366" s="39"/>
      <c r="K366" s="39"/>
    </row>
    <row r="367" spans="1:47">
      <c r="E367" s="327"/>
      <c r="F367" s="28"/>
      <c r="G367" s="324" t="str">
        <f>C369&amp;" Capital Costs"</f>
        <v>Gravity Thickener Capital Costs</v>
      </c>
      <c r="H367" s="324"/>
      <c r="I367" s="324"/>
      <c r="J367" s="324"/>
      <c r="K367" s="324"/>
      <c r="L367" s="405" t="s">
        <v>79</v>
      </c>
      <c r="M367" s="256"/>
      <c r="N367" s="325" t="s">
        <v>490</v>
      </c>
      <c r="O367" s="311"/>
      <c r="P367" s="325" t="s">
        <v>491</v>
      </c>
      <c r="Q367" s="310"/>
      <c r="R367" s="325">
        <f>R$8</f>
        <v>2014</v>
      </c>
      <c r="S367" s="325">
        <f t="shared" ref="S367:AU367" si="264">S$8</f>
        <v>2015</v>
      </c>
      <c r="T367" s="325">
        <f t="shared" si="264"/>
        <v>2016</v>
      </c>
      <c r="U367" s="325">
        <f t="shared" si="264"/>
        <v>2017</v>
      </c>
      <c r="V367" s="325">
        <f t="shared" si="264"/>
        <v>2018</v>
      </c>
      <c r="W367" s="325">
        <f t="shared" si="264"/>
        <v>2019</v>
      </c>
      <c r="X367" s="325">
        <f t="shared" si="264"/>
        <v>2020</v>
      </c>
      <c r="Y367" s="325">
        <f t="shared" si="264"/>
        <v>2021</v>
      </c>
      <c r="Z367" s="325">
        <f t="shared" si="264"/>
        <v>2022</v>
      </c>
      <c r="AA367" s="325">
        <f t="shared" si="264"/>
        <v>2023</v>
      </c>
      <c r="AB367" s="325">
        <f t="shared" si="264"/>
        <v>2024</v>
      </c>
      <c r="AC367" s="325">
        <f t="shared" si="264"/>
        <v>2025</v>
      </c>
      <c r="AD367" s="325">
        <f t="shared" si="264"/>
        <v>2026</v>
      </c>
      <c r="AE367" s="325">
        <f t="shared" si="264"/>
        <v>2027</v>
      </c>
      <c r="AF367" s="325">
        <f t="shared" si="264"/>
        <v>2028</v>
      </c>
      <c r="AG367" s="325">
        <f t="shared" si="264"/>
        <v>2029</v>
      </c>
      <c r="AH367" s="325">
        <f t="shared" si="264"/>
        <v>2030</v>
      </c>
      <c r="AI367" s="325">
        <f t="shared" si="264"/>
        <v>2031</v>
      </c>
      <c r="AJ367" s="325">
        <f t="shared" si="264"/>
        <v>2032</v>
      </c>
      <c r="AK367" s="325">
        <f t="shared" si="264"/>
        <v>2033</v>
      </c>
      <c r="AL367" s="325">
        <f t="shared" si="264"/>
        <v>2034</v>
      </c>
      <c r="AM367" s="325">
        <f t="shared" si="264"/>
        <v>2035</v>
      </c>
      <c r="AN367" s="325">
        <f t="shared" si="264"/>
        <v>2036</v>
      </c>
      <c r="AO367" s="325">
        <f t="shared" si="264"/>
        <v>2037</v>
      </c>
      <c r="AP367" s="325">
        <f t="shared" si="264"/>
        <v>2038</v>
      </c>
      <c r="AQ367" s="325">
        <f t="shared" si="264"/>
        <v>2039</v>
      </c>
      <c r="AR367" s="325">
        <f t="shared" si="264"/>
        <v>2040</v>
      </c>
      <c r="AS367" s="325">
        <f t="shared" si="264"/>
        <v>2041</v>
      </c>
      <c r="AT367" s="325">
        <f t="shared" si="264"/>
        <v>2042</v>
      </c>
      <c r="AU367" s="325">
        <f t="shared" si="264"/>
        <v>2043</v>
      </c>
    </row>
    <row r="368" spans="1:47">
      <c r="E368" s="325"/>
      <c r="G368" s="39"/>
      <c r="H368" s="39"/>
      <c r="I368" s="39"/>
      <c r="J368" s="39"/>
      <c r="K368" s="39"/>
    </row>
    <row r="369" spans="1:47">
      <c r="A369" s="38" t="str">
        <f>$J$4&amp;"-"</f>
        <v>1X-</v>
      </c>
      <c r="B369" s="38" t="s">
        <v>306</v>
      </c>
      <c r="C369" s="38" t="s">
        <v>29</v>
      </c>
      <c r="D369" s="186">
        <f>CapExEsc</f>
        <v>0.03</v>
      </c>
      <c r="E369" s="325"/>
      <c r="G369" s="36" t="s">
        <v>8</v>
      </c>
      <c r="H369" s="39"/>
      <c r="I369" s="39"/>
      <c r="J369" s="70"/>
      <c r="K369" s="39"/>
      <c r="L369" s="43" t="str">
        <f>"["&amp;CostBaseYr&amp;" $]"</f>
        <v>[2013 $]</v>
      </c>
      <c r="N369" s="52">
        <f ca="1">SUMIFS(OFFSET(Assumptions!$I$65,0,MATCH($A369,Configurations,0)-1,COUNT(Assumptions!$A$65:$A$84),1),Assumptions!$E$65:$E$84,$C369)</f>
        <v>1029000</v>
      </c>
      <c r="O369" s="52"/>
      <c r="P369" s="322"/>
      <c r="Q369" s="52"/>
      <c r="R369" s="52">
        <f t="shared" ref="R369:AU369" ca="1" si="265">R370*IF($P369=0,$N369,$P369)*(1+$D369)^(R$8-CostBaseYr)</f>
        <v>1059870</v>
      </c>
      <c r="S369" s="52">
        <f t="shared" ca="1" si="265"/>
        <v>0</v>
      </c>
      <c r="T369" s="52">
        <f t="shared" ca="1" si="265"/>
        <v>0</v>
      </c>
      <c r="U369" s="52">
        <f t="shared" ca="1" si="265"/>
        <v>0</v>
      </c>
      <c r="V369" s="52">
        <f t="shared" ca="1" si="265"/>
        <v>0</v>
      </c>
      <c r="W369" s="52">
        <f t="shared" ca="1" si="265"/>
        <v>0</v>
      </c>
      <c r="X369" s="52">
        <f t="shared" ca="1" si="265"/>
        <v>0</v>
      </c>
      <c r="Y369" s="52">
        <f t="shared" ca="1" si="265"/>
        <v>0</v>
      </c>
      <c r="Z369" s="52">
        <f t="shared" ca="1" si="265"/>
        <v>0</v>
      </c>
      <c r="AA369" s="52">
        <f t="shared" ca="1" si="265"/>
        <v>0</v>
      </c>
      <c r="AB369" s="52">
        <f t="shared" ca="1" si="265"/>
        <v>0</v>
      </c>
      <c r="AC369" s="52">
        <f t="shared" ca="1" si="265"/>
        <v>0</v>
      </c>
      <c r="AD369" s="52">
        <f t="shared" ca="1" si="265"/>
        <v>0</v>
      </c>
      <c r="AE369" s="52">
        <f t="shared" ca="1" si="265"/>
        <v>0</v>
      </c>
      <c r="AF369" s="52">
        <f t="shared" ca="1" si="265"/>
        <v>0</v>
      </c>
      <c r="AG369" s="52">
        <f t="shared" ca="1" si="265"/>
        <v>0</v>
      </c>
      <c r="AH369" s="52">
        <f t="shared" ca="1" si="265"/>
        <v>0</v>
      </c>
      <c r="AI369" s="52">
        <f t="shared" ca="1" si="265"/>
        <v>0</v>
      </c>
      <c r="AJ369" s="52">
        <f t="shared" ca="1" si="265"/>
        <v>0</v>
      </c>
      <c r="AK369" s="52">
        <f t="shared" ca="1" si="265"/>
        <v>0</v>
      </c>
      <c r="AL369" s="52">
        <f t="shared" ca="1" si="265"/>
        <v>0</v>
      </c>
      <c r="AM369" s="52">
        <f t="shared" ca="1" si="265"/>
        <v>0</v>
      </c>
      <c r="AN369" s="52">
        <f t="shared" ca="1" si="265"/>
        <v>0</v>
      </c>
      <c r="AO369" s="52">
        <f t="shared" ca="1" si="265"/>
        <v>0</v>
      </c>
      <c r="AP369" s="52">
        <f t="shared" ca="1" si="265"/>
        <v>0</v>
      </c>
      <c r="AQ369" s="52">
        <f t="shared" ca="1" si="265"/>
        <v>0</v>
      </c>
      <c r="AR369" s="52">
        <f t="shared" ca="1" si="265"/>
        <v>0</v>
      </c>
      <c r="AS369" s="52">
        <f t="shared" ca="1" si="265"/>
        <v>0</v>
      </c>
      <c r="AT369" s="52">
        <f t="shared" ca="1" si="265"/>
        <v>0</v>
      </c>
      <c r="AU369" s="52">
        <f t="shared" ca="1" si="265"/>
        <v>0</v>
      </c>
    </row>
    <row r="370" spans="1:47">
      <c r="E370" s="325"/>
      <c r="G370" s="36" t="s">
        <v>10</v>
      </c>
      <c r="H370" s="39"/>
      <c r="I370" s="39"/>
      <c r="J370" s="39"/>
      <c r="K370" s="39"/>
      <c r="L370" s="43"/>
      <c r="R370" s="54">
        <f>Assumptions!M$60</f>
        <v>1</v>
      </c>
      <c r="S370" s="54">
        <f>Assumptions!N$60</f>
        <v>0</v>
      </c>
      <c r="T370" s="54">
        <f>Assumptions!O$60</f>
        <v>0</v>
      </c>
      <c r="U370" s="54">
        <f>Assumptions!P$60</f>
        <v>0</v>
      </c>
      <c r="V370" s="54">
        <f>Assumptions!Q$60</f>
        <v>0</v>
      </c>
      <c r="W370" s="54">
        <f>Assumptions!R$60</f>
        <v>0</v>
      </c>
      <c r="X370" s="54">
        <f>Assumptions!S$60</f>
        <v>0</v>
      </c>
      <c r="Y370" s="54">
        <f>Assumptions!T$60</f>
        <v>0</v>
      </c>
      <c r="Z370" s="54">
        <f>Assumptions!U$60</f>
        <v>0</v>
      </c>
      <c r="AA370" s="54">
        <f>Assumptions!V$60</f>
        <v>0</v>
      </c>
      <c r="AB370" s="54">
        <f>Assumptions!W$60</f>
        <v>0</v>
      </c>
      <c r="AC370" s="54">
        <f>Assumptions!X$60</f>
        <v>0</v>
      </c>
      <c r="AD370" s="54">
        <f>Assumptions!Y$60</f>
        <v>0</v>
      </c>
      <c r="AE370" s="54">
        <f>Assumptions!Z$60</f>
        <v>0</v>
      </c>
      <c r="AF370" s="54">
        <f>Assumptions!AA$60</f>
        <v>0</v>
      </c>
      <c r="AG370" s="54">
        <f>Assumptions!AB$60</f>
        <v>0</v>
      </c>
      <c r="AH370" s="54">
        <f>Assumptions!AC$60</f>
        <v>0</v>
      </c>
      <c r="AI370" s="54">
        <f>Assumptions!AD$60</f>
        <v>0</v>
      </c>
      <c r="AJ370" s="54">
        <f>Assumptions!AE$60</f>
        <v>0</v>
      </c>
      <c r="AK370" s="54">
        <f>Assumptions!AF$60</f>
        <v>0</v>
      </c>
      <c r="AL370" s="54">
        <f>Assumptions!AG$60</f>
        <v>0</v>
      </c>
      <c r="AM370" s="54">
        <f>Assumptions!AH$60</f>
        <v>0</v>
      </c>
      <c r="AN370" s="54">
        <f>Assumptions!AI$60</f>
        <v>0</v>
      </c>
      <c r="AO370" s="54">
        <f>Assumptions!AJ$60</f>
        <v>0</v>
      </c>
      <c r="AP370" s="54">
        <f>Assumptions!AK$60</f>
        <v>0</v>
      </c>
      <c r="AQ370" s="54">
        <f>Assumptions!AL$60</f>
        <v>0</v>
      </c>
      <c r="AR370" s="54">
        <f>Assumptions!AM$60</f>
        <v>0</v>
      </c>
      <c r="AS370" s="54">
        <f>Assumptions!AN$60</f>
        <v>0</v>
      </c>
      <c r="AT370" s="54">
        <f>Assumptions!AO$60</f>
        <v>0</v>
      </c>
      <c r="AU370" s="54">
        <f>Assumptions!AP$60</f>
        <v>0</v>
      </c>
    </row>
    <row r="371" spans="1:47">
      <c r="E371" s="326"/>
      <c r="G371" s="39"/>
      <c r="H371" s="39"/>
      <c r="I371" s="39"/>
      <c r="J371" s="39"/>
      <c r="K371" s="39"/>
    </row>
    <row r="372" spans="1:47">
      <c r="E372" s="327"/>
      <c r="F372" s="28"/>
      <c r="G372" s="324" t="str">
        <f>C369&amp;" O&amp;M"</f>
        <v>Gravity Thickener O&amp;M</v>
      </c>
      <c r="H372" s="324"/>
      <c r="I372" s="324"/>
      <c r="J372" s="324"/>
      <c r="K372" s="324"/>
      <c r="L372" s="405" t="s">
        <v>79</v>
      </c>
      <c r="M372" s="256"/>
      <c r="N372" s="325" t="s">
        <v>490</v>
      </c>
      <c r="O372" s="311"/>
      <c r="P372" s="325" t="s">
        <v>491</v>
      </c>
      <c r="Q372" s="310"/>
      <c r="R372" s="325">
        <f>R$8</f>
        <v>2014</v>
      </c>
      <c r="S372" s="325">
        <f t="shared" ref="S372:AU372" si="266">S$8</f>
        <v>2015</v>
      </c>
      <c r="T372" s="325">
        <f t="shared" si="266"/>
        <v>2016</v>
      </c>
      <c r="U372" s="325">
        <f t="shared" si="266"/>
        <v>2017</v>
      </c>
      <c r="V372" s="325">
        <f t="shared" si="266"/>
        <v>2018</v>
      </c>
      <c r="W372" s="325">
        <f t="shared" si="266"/>
        <v>2019</v>
      </c>
      <c r="X372" s="325">
        <f t="shared" si="266"/>
        <v>2020</v>
      </c>
      <c r="Y372" s="325">
        <f t="shared" si="266"/>
        <v>2021</v>
      </c>
      <c r="Z372" s="325">
        <f t="shared" si="266"/>
        <v>2022</v>
      </c>
      <c r="AA372" s="325">
        <f t="shared" si="266"/>
        <v>2023</v>
      </c>
      <c r="AB372" s="325">
        <f t="shared" si="266"/>
        <v>2024</v>
      </c>
      <c r="AC372" s="325">
        <f t="shared" si="266"/>
        <v>2025</v>
      </c>
      <c r="AD372" s="325">
        <f t="shared" si="266"/>
        <v>2026</v>
      </c>
      <c r="AE372" s="325">
        <f t="shared" si="266"/>
        <v>2027</v>
      </c>
      <c r="AF372" s="325">
        <f t="shared" si="266"/>
        <v>2028</v>
      </c>
      <c r="AG372" s="325">
        <f t="shared" si="266"/>
        <v>2029</v>
      </c>
      <c r="AH372" s="325">
        <f t="shared" si="266"/>
        <v>2030</v>
      </c>
      <c r="AI372" s="325">
        <f t="shared" si="266"/>
        <v>2031</v>
      </c>
      <c r="AJ372" s="325">
        <f t="shared" si="266"/>
        <v>2032</v>
      </c>
      <c r="AK372" s="325">
        <f t="shared" si="266"/>
        <v>2033</v>
      </c>
      <c r="AL372" s="325">
        <f t="shared" si="266"/>
        <v>2034</v>
      </c>
      <c r="AM372" s="325">
        <f t="shared" si="266"/>
        <v>2035</v>
      </c>
      <c r="AN372" s="325">
        <f t="shared" si="266"/>
        <v>2036</v>
      </c>
      <c r="AO372" s="325">
        <f t="shared" si="266"/>
        <v>2037</v>
      </c>
      <c r="AP372" s="325">
        <f t="shared" si="266"/>
        <v>2038</v>
      </c>
      <c r="AQ372" s="325">
        <f t="shared" si="266"/>
        <v>2039</v>
      </c>
      <c r="AR372" s="325">
        <f t="shared" si="266"/>
        <v>2040</v>
      </c>
      <c r="AS372" s="325">
        <f t="shared" si="266"/>
        <v>2041</v>
      </c>
      <c r="AT372" s="325">
        <f t="shared" si="266"/>
        <v>2042</v>
      </c>
      <c r="AU372" s="325">
        <f t="shared" si="266"/>
        <v>2043</v>
      </c>
    </row>
    <row r="373" spans="1:47">
      <c r="E373" s="325"/>
      <c r="G373" s="39"/>
      <c r="H373" s="39"/>
      <c r="I373" s="39"/>
      <c r="J373" s="39"/>
      <c r="K373" s="39"/>
    </row>
    <row r="374" spans="1:47">
      <c r="E374" s="325"/>
      <c r="G374" s="39" t="s">
        <v>23</v>
      </c>
      <c r="H374" s="39"/>
      <c r="I374" s="39"/>
      <c r="J374" s="39"/>
      <c r="K374" s="39"/>
    </row>
    <row r="375" spans="1:47">
      <c r="A375" s="38" t="str">
        <f t="shared" ref="A375:A382" si="267">$J$4&amp;"-"</f>
        <v>1X-</v>
      </c>
      <c r="B375" s="38" t="s">
        <v>262</v>
      </c>
      <c r="C375" s="38" t="str">
        <f>C369</f>
        <v>Gravity Thickener</v>
      </c>
      <c r="D375" s="186">
        <f>LaborEsc</f>
        <v>0.02</v>
      </c>
      <c r="E375" s="325"/>
      <c r="G375" s="36" t="s">
        <v>125</v>
      </c>
      <c r="I375" s="39"/>
      <c r="K375" s="39"/>
      <c r="L375" s="43" t="s">
        <v>266</v>
      </c>
      <c r="N375" s="70">
        <f ca="1">SUMIFS(OFFSET(Assumptions!$I$90,0,MATCH($A375,Configurations,0)-1,COUNT(Assumptions!$A$90:$A$183),1),Assumptions!$D$90:$D$183,$B375&amp;$C375)</f>
        <v>1460</v>
      </c>
      <c r="O375" s="313"/>
      <c r="P375" s="323"/>
      <c r="Q375" s="313"/>
      <c r="R375" s="50">
        <f t="shared" ref="R375:AU375" ca="1" si="268">IF(OR(R$99&lt;InServiceYr,R$99&gt;(InServiceYr+analysis_period-1)),0,IF($P375=0,$N375,$P375)*LaborCost*(1+$D375)^(R$99-CostBaseYr))</f>
        <v>52122</v>
      </c>
      <c r="S375" s="50">
        <f t="shared" ca="1" si="268"/>
        <v>53164.44</v>
      </c>
      <c r="T375" s="50">
        <f t="shared" ca="1" si="268"/>
        <v>54227.728799999997</v>
      </c>
      <c r="U375" s="50">
        <f t="shared" ca="1" si="268"/>
        <v>55312.283375999999</v>
      </c>
      <c r="V375" s="50">
        <f t="shared" ca="1" si="268"/>
        <v>56418.52904352</v>
      </c>
      <c r="W375" s="50">
        <f t="shared" ca="1" si="268"/>
        <v>57546.899624390404</v>
      </c>
      <c r="X375" s="50">
        <f t="shared" ca="1" si="268"/>
        <v>58697.837616878198</v>
      </c>
      <c r="Y375" s="50">
        <f t="shared" ca="1" si="268"/>
        <v>59871.794369215771</v>
      </c>
      <c r="Z375" s="50">
        <f t="shared" ca="1" si="268"/>
        <v>61069.230256600087</v>
      </c>
      <c r="AA375" s="50">
        <f t="shared" ca="1" si="268"/>
        <v>62290.614861732087</v>
      </c>
      <c r="AB375" s="50">
        <f t="shared" ca="1" si="268"/>
        <v>63536.427158966719</v>
      </c>
      <c r="AC375" s="50">
        <f t="shared" ca="1" si="268"/>
        <v>64807.155702146061</v>
      </c>
      <c r="AD375" s="50">
        <f t="shared" ca="1" si="268"/>
        <v>66103.298816188981</v>
      </c>
      <c r="AE375" s="50">
        <f t="shared" ca="1" si="268"/>
        <v>67425.364792512773</v>
      </c>
      <c r="AF375" s="50">
        <f t="shared" ca="1" si="268"/>
        <v>68773.872088363001</v>
      </c>
      <c r="AG375" s="50">
        <f t="shared" ca="1" si="268"/>
        <v>70149.349530130276</v>
      </c>
      <c r="AH375" s="50">
        <f t="shared" ca="1" si="268"/>
        <v>71552.33652073289</v>
      </c>
      <c r="AI375" s="50">
        <f t="shared" ca="1" si="268"/>
        <v>72983.383251147534</v>
      </c>
      <c r="AJ375" s="50">
        <f t="shared" ca="1" si="268"/>
        <v>74443.050916170483</v>
      </c>
      <c r="AK375" s="50">
        <f t="shared" ca="1" si="268"/>
        <v>75931.911934493895</v>
      </c>
      <c r="AL375" s="50">
        <f t="shared" si="268"/>
        <v>0</v>
      </c>
      <c r="AM375" s="50">
        <f t="shared" si="268"/>
        <v>0</v>
      </c>
      <c r="AN375" s="50">
        <f t="shared" si="268"/>
        <v>0</v>
      </c>
      <c r="AO375" s="50">
        <f t="shared" si="268"/>
        <v>0</v>
      </c>
      <c r="AP375" s="50">
        <f t="shared" si="268"/>
        <v>0</v>
      </c>
      <c r="AQ375" s="50">
        <f t="shared" si="268"/>
        <v>0</v>
      </c>
      <c r="AR375" s="50">
        <f t="shared" si="268"/>
        <v>0</v>
      </c>
      <c r="AS375" s="50">
        <f t="shared" si="268"/>
        <v>0</v>
      </c>
      <c r="AT375" s="50">
        <f t="shared" si="268"/>
        <v>0</v>
      </c>
      <c r="AU375" s="50">
        <f t="shared" si="268"/>
        <v>0</v>
      </c>
    </row>
    <row r="376" spans="1:47">
      <c r="A376" s="38" t="str">
        <f t="shared" si="267"/>
        <v>1X-</v>
      </c>
      <c r="B376" s="38" t="s">
        <v>270</v>
      </c>
      <c r="C376" s="38" t="str">
        <f>C375</f>
        <v>Gravity Thickener</v>
      </c>
      <c r="D376" s="186">
        <f>OMEsc</f>
        <v>0.02</v>
      </c>
      <c r="E376" s="325"/>
      <c r="G376" s="36" t="s">
        <v>126</v>
      </c>
      <c r="I376" s="39"/>
      <c r="K376" s="39"/>
      <c r="L376" s="43" t="str">
        <f>"["&amp;CostBaseYr&amp;" $]"</f>
        <v>[2013 $]</v>
      </c>
      <c r="N376" s="70">
        <f ca="1">SUMIFS(OFFSET(Assumptions!$I$90,0,MATCH($A376,Configurations,0)-1,COUNT(Assumptions!$A$90:$A$183),1),Assumptions!$D$90:$D$183,$B376&amp;$C376)</f>
        <v>10000</v>
      </c>
      <c r="O376" s="313"/>
      <c r="P376" s="323"/>
      <c r="Q376" s="313"/>
      <c r="R376" s="50">
        <f t="shared" ref="R376:AG378" ca="1" si="269">IF(OR(R$99&lt;InServiceYr,R$99&gt;(InServiceYr+analysis_period-1)),0,IF($P376=0,$N376,$P376)*(1+$D376)^(R$99-CostBaseYr))</f>
        <v>10200</v>
      </c>
      <c r="S376" s="50">
        <f t="shared" ca="1" si="269"/>
        <v>10404</v>
      </c>
      <c r="T376" s="50">
        <f t="shared" ca="1" si="269"/>
        <v>10612.08</v>
      </c>
      <c r="U376" s="50">
        <f t="shared" ca="1" si="269"/>
        <v>10824.321599999999</v>
      </c>
      <c r="V376" s="50">
        <f t="shared" ca="1" si="269"/>
        <v>11040.808032000001</v>
      </c>
      <c r="W376" s="50">
        <f t="shared" ca="1" si="269"/>
        <v>11261.62419264</v>
      </c>
      <c r="X376" s="50">
        <f t="shared" ca="1" si="269"/>
        <v>11486.856676492798</v>
      </c>
      <c r="Y376" s="50">
        <f t="shared" ca="1" si="269"/>
        <v>11716.593810022656</v>
      </c>
      <c r="Z376" s="50">
        <f t="shared" ca="1" si="269"/>
        <v>11950.925686223109</v>
      </c>
      <c r="AA376" s="50">
        <f t="shared" ca="1" si="269"/>
        <v>12189.944199947571</v>
      </c>
      <c r="AB376" s="50">
        <f t="shared" ca="1" si="269"/>
        <v>12433.74308394652</v>
      </c>
      <c r="AC376" s="50">
        <f t="shared" ca="1" si="269"/>
        <v>12682.417945625453</v>
      </c>
      <c r="AD376" s="50">
        <f t="shared" ca="1" si="269"/>
        <v>12936.066304537961</v>
      </c>
      <c r="AE376" s="50">
        <f t="shared" ca="1" si="269"/>
        <v>13194.787630628722</v>
      </c>
      <c r="AF376" s="50">
        <f t="shared" ca="1" si="269"/>
        <v>13458.683383241292</v>
      </c>
      <c r="AG376" s="50">
        <f t="shared" ca="1" si="269"/>
        <v>13727.857050906121</v>
      </c>
      <c r="AH376" s="50">
        <f t="shared" ref="S376:AU378" ca="1" si="270">IF(OR(AH$99&lt;InServiceYr,AH$99&gt;(InServiceYr+analysis_period-1)),0,IF($P376=0,$N376,$P376)*(1+$D376)^(AH$99-CostBaseYr))</f>
        <v>14002.414191924245</v>
      </c>
      <c r="AI376" s="50">
        <f t="shared" ca="1" si="270"/>
        <v>14282.462475762728</v>
      </c>
      <c r="AJ376" s="50">
        <f t="shared" ca="1" si="270"/>
        <v>14568.11172527798</v>
      </c>
      <c r="AK376" s="50">
        <f t="shared" ca="1" si="270"/>
        <v>14859.473959783543</v>
      </c>
      <c r="AL376" s="50">
        <f t="shared" si="270"/>
        <v>0</v>
      </c>
      <c r="AM376" s="50">
        <f t="shared" si="270"/>
        <v>0</v>
      </c>
      <c r="AN376" s="50">
        <f t="shared" si="270"/>
        <v>0</v>
      </c>
      <c r="AO376" s="50">
        <f t="shared" si="270"/>
        <v>0</v>
      </c>
      <c r="AP376" s="50">
        <f t="shared" si="270"/>
        <v>0</v>
      </c>
      <c r="AQ376" s="50">
        <f t="shared" si="270"/>
        <v>0</v>
      </c>
      <c r="AR376" s="50">
        <f t="shared" si="270"/>
        <v>0</v>
      </c>
      <c r="AS376" s="50">
        <f t="shared" si="270"/>
        <v>0</v>
      </c>
      <c r="AT376" s="50">
        <f t="shared" si="270"/>
        <v>0</v>
      </c>
      <c r="AU376" s="50">
        <f t="shared" si="270"/>
        <v>0</v>
      </c>
    </row>
    <row r="377" spans="1:47">
      <c r="A377" s="38" t="str">
        <f t="shared" si="267"/>
        <v>1X-</v>
      </c>
      <c r="B377" s="38" t="s">
        <v>263</v>
      </c>
      <c r="C377" s="38" t="str">
        <f t="shared" ref="C377:C381" si="271">C376</f>
        <v>Gravity Thickener</v>
      </c>
      <c r="D377" s="186">
        <f>OMEsc</f>
        <v>0.02</v>
      </c>
      <c r="E377" s="325"/>
      <c r="G377" s="36" t="s">
        <v>127</v>
      </c>
      <c r="I377" s="39"/>
      <c r="K377" s="39"/>
      <c r="L377" s="43" t="str">
        <f>"["&amp;CostBaseYr&amp;" $]"</f>
        <v>[2013 $]</v>
      </c>
      <c r="N377" s="70">
        <f ca="1">SUMIFS(OFFSET(Assumptions!$I$90,0,MATCH($A377,Configurations,0)-1,COUNT(Assumptions!$A$90:$A$183),1),Assumptions!$D$90:$D$183,$B377&amp;$C377)</f>
        <v>0</v>
      </c>
      <c r="O377" s="313"/>
      <c r="P377" s="323"/>
      <c r="Q377" s="313"/>
      <c r="R377" s="50">
        <f t="shared" ca="1" si="269"/>
        <v>0</v>
      </c>
      <c r="S377" s="50">
        <f t="shared" ca="1" si="270"/>
        <v>0</v>
      </c>
      <c r="T377" s="50">
        <f t="shared" ca="1" si="270"/>
        <v>0</v>
      </c>
      <c r="U377" s="50">
        <f t="shared" ca="1" si="270"/>
        <v>0</v>
      </c>
      <c r="V377" s="50">
        <f t="shared" ca="1" si="270"/>
        <v>0</v>
      </c>
      <c r="W377" s="50">
        <f t="shared" ca="1" si="270"/>
        <v>0</v>
      </c>
      <c r="X377" s="50">
        <f t="shared" ca="1" si="270"/>
        <v>0</v>
      </c>
      <c r="Y377" s="50">
        <f t="shared" ca="1" si="270"/>
        <v>0</v>
      </c>
      <c r="Z377" s="50">
        <f t="shared" ca="1" si="270"/>
        <v>0</v>
      </c>
      <c r="AA377" s="50">
        <f t="shared" ca="1" si="270"/>
        <v>0</v>
      </c>
      <c r="AB377" s="50">
        <f t="shared" ca="1" si="270"/>
        <v>0</v>
      </c>
      <c r="AC377" s="50">
        <f t="shared" ca="1" si="270"/>
        <v>0</v>
      </c>
      <c r="AD377" s="50">
        <f t="shared" ca="1" si="270"/>
        <v>0</v>
      </c>
      <c r="AE377" s="50">
        <f t="shared" ca="1" si="270"/>
        <v>0</v>
      </c>
      <c r="AF377" s="50">
        <f t="shared" ca="1" si="270"/>
        <v>0</v>
      </c>
      <c r="AG377" s="50">
        <f t="shared" ca="1" si="270"/>
        <v>0</v>
      </c>
      <c r="AH377" s="50">
        <f t="shared" ca="1" si="270"/>
        <v>0</v>
      </c>
      <c r="AI377" s="50">
        <f t="shared" ca="1" si="270"/>
        <v>0</v>
      </c>
      <c r="AJ377" s="50">
        <f t="shared" ca="1" si="270"/>
        <v>0</v>
      </c>
      <c r="AK377" s="50">
        <f t="shared" ca="1" si="270"/>
        <v>0</v>
      </c>
      <c r="AL377" s="50">
        <f t="shared" si="270"/>
        <v>0</v>
      </c>
      <c r="AM377" s="50">
        <f t="shared" si="270"/>
        <v>0</v>
      </c>
      <c r="AN377" s="50">
        <f t="shared" si="270"/>
        <v>0</v>
      </c>
      <c r="AO377" s="50">
        <f t="shared" si="270"/>
        <v>0</v>
      </c>
      <c r="AP377" s="50">
        <f t="shared" si="270"/>
        <v>0</v>
      </c>
      <c r="AQ377" s="50">
        <f t="shared" si="270"/>
        <v>0</v>
      </c>
      <c r="AR377" s="50">
        <f t="shared" si="270"/>
        <v>0</v>
      </c>
      <c r="AS377" s="50">
        <f t="shared" si="270"/>
        <v>0</v>
      </c>
      <c r="AT377" s="50">
        <f t="shared" si="270"/>
        <v>0</v>
      </c>
      <c r="AU377" s="50">
        <f t="shared" si="270"/>
        <v>0</v>
      </c>
    </row>
    <row r="378" spans="1:47">
      <c r="A378" s="38" t="str">
        <f t="shared" si="267"/>
        <v>1X-</v>
      </c>
      <c r="B378" s="38" t="s">
        <v>277</v>
      </c>
      <c r="C378" s="38" t="str">
        <f t="shared" si="271"/>
        <v>Gravity Thickener</v>
      </c>
      <c r="D378" s="186">
        <f>OMEsc</f>
        <v>0.02</v>
      </c>
      <c r="E378" s="325"/>
      <c r="G378" s="36" t="s">
        <v>276</v>
      </c>
      <c r="I378" s="39"/>
      <c r="K378" s="39"/>
      <c r="L378" s="43" t="str">
        <f>"["&amp;CostBaseYr&amp;" $]"</f>
        <v>[2013 $]</v>
      </c>
      <c r="N378" s="70">
        <f ca="1">SUMIFS(OFFSET(Assumptions!$I$90,0,MATCH($A378,Configurations,0)-1,COUNT(Assumptions!$A$90:$A$183),1),Assumptions!$D$90:$D$183,$B378&amp;$C378)</f>
        <v>0</v>
      </c>
      <c r="O378" s="313"/>
      <c r="P378" s="323"/>
      <c r="Q378" s="313"/>
      <c r="R378" s="50">
        <f t="shared" ca="1" si="269"/>
        <v>0</v>
      </c>
      <c r="S378" s="50">
        <f t="shared" ca="1" si="270"/>
        <v>0</v>
      </c>
      <c r="T378" s="50">
        <f t="shared" ca="1" si="270"/>
        <v>0</v>
      </c>
      <c r="U378" s="50">
        <f t="shared" ca="1" si="270"/>
        <v>0</v>
      </c>
      <c r="V378" s="50">
        <f t="shared" ca="1" si="270"/>
        <v>0</v>
      </c>
      <c r="W378" s="50">
        <f t="shared" ca="1" si="270"/>
        <v>0</v>
      </c>
      <c r="X378" s="50">
        <f t="shared" ca="1" si="270"/>
        <v>0</v>
      </c>
      <c r="Y378" s="50">
        <f t="shared" ca="1" si="270"/>
        <v>0</v>
      </c>
      <c r="Z378" s="50">
        <f t="shared" ca="1" si="270"/>
        <v>0</v>
      </c>
      <c r="AA378" s="50">
        <f t="shared" ca="1" si="270"/>
        <v>0</v>
      </c>
      <c r="AB378" s="50">
        <f t="shared" ca="1" si="270"/>
        <v>0</v>
      </c>
      <c r="AC378" s="50">
        <f t="shared" ca="1" si="270"/>
        <v>0</v>
      </c>
      <c r="AD378" s="50">
        <f t="shared" ca="1" si="270"/>
        <v>0</v>
      </c>
      <c r="AE378" s="50">
        <f t="shared" ca="1" si="270"/>
        <v>0</v>
      </c>
      <c r="AF378" s="50">
        <f t="shared" ca="1" si="270"/>
        <v>0</v>
      </c>
      <c r="AG378" s="50">
        <f t="shared" ca="1" si="270"/>
        <v>0</v>
      </c>
      <c r="AH378" s="50">
        <f t="shared" ca="1" si="270"/>
        <v>0</v>
      </c>
      <c r="AI378" s="50">
        <f t="shared" ca="1" si="270"/>
        <v>0</v>
      </c>
      <c r="AJ378" s="50">
        <f t="shared" ca="1" si="270"/>
        <v>0</v>
      </c>
      <c r="AK378" s="50">
        <f t="shared" ca="1" si="270"/>
        <v>0</v>
      </c>
      <c r="AL378" s="50">
        <f t="shared" si="270"/>
        <v>0</v>
      </c>
      <c r="AM378" s="50">
        <f t="shared" si="270"/>
        <v>0</v>
      </c>
      <c r="AN378" s="50">
        <f t="shared" si="270"/>
        <v>0</v>
      </c>
      <c r="AO378" s="50">
        <f t="shared" si="270"/>
        <v>0</v>
      </c>
      <c r="AP378" s="50">
        <f t="shared" si="270"/>
        <v>0</v>
      </c>
      <c r="AQ378" s="50">
        <f t="shared" si="270"/>
        <v>0</v>
      </c>
      <c r="AR378" s="50">
        <f t="shared" si="270"/>
        <v>0</v>
      </c>
      <c r="AS378" s="50">
        <f t="shared" si="270"/>
        <v>0</v>
      </c>
      <c r="AT378" s="50">
        <f t="shared" si="270"/>
        <v>0</v>
      </c>
      <c r="AU378" s="50">
        <f t="shared" si="270"/>
        <v>0</v>
      </c>
    </row>
    <row r="379" spans="1:47">
      <c r="A379" s="38" t="str">
        <f t="shared" si="267"/>
        <v>1X-</v>
      </c>
      <c r="B379" s="38" t="s">
        <v>274</v>
      </c>
      <c r="C379" s="38" t="str">
        <f t="shared" si="271"/>
        <v>Gravity Thickener</v>
      </c>
      <c r="D379" s="186"/>
      <c r="E379" s="325"/>
      <c r="G379" s="36" t="s">
        <v>16</v>
      </c>
      <c r="I379" s="39"/>
      <c r="K379" s="39"/>
      <c r="L379" s="43" t="s">
        <v>275</v>
      </c>
      <c r="N379" s="70">
        <f ca="1">SUMIFS(OFFSET(Assumptions!$I$90,0,MATCH($A379,Configurations,0)-1,COUNT(Assumptions!$A$90:$A$183),1),Assumptions!$D$90:$D$183,$B379&amp;$C379)</f>
        <v>0</v>
      </c>
      <c r="O379" s="313"/>
      <c r="P379" s="323"/>
      <c r="Q379" s="313"/>
      <c r="R379" s="50">
        <f t="shared" ref="R379:AU379" ca="1" si="272">IF(OR(R$99&lt;InServiceYr,R$99&gt;(InServiceYr+analysis_period-1)),0,IF($P379=0,$N379,$P379)*R$505)</f>
        <v>0</v>
      </c>
      <c r="S379" s="50">
        <f t="shared" ca="1" si="272"/>
        <v>0</v>
      </c>
      <c r="T379" s="50">
        <f t="shared" ca="1" si="272"/>
        <v>0</v>
      </c>
      <c r="U379" s="50">
        <f t="shared" ca="1" si="272"/>
        <v>0</v>
      </c>
      <c r="V379" s="50">
        <f t="shared" ca="1" si="272"/>
        <v>0</v>
      </c>
      <c r="W379" s="50">
        <f t="shared" ca="1" si="272"/>
        <v>0</v>
      </c>
      <c r="X379" s="50">
        <f t="shared" ca="1" si="272"/>
        <v>0</v>
      </c>
      <c r="Y379" s="50">
        <f t="shared" ca="1" si="272"/>
        <v>0</v>
      </c>
      <c r="Z379" s="50">
        <f t="shared" ca="1" si="272"/>
        <v>0</v>
      </c>
      <c r="AA379" s="50">
        <f t="shared" ca="1" si="272"/>
        <v>0</v>
      </c>
      <c r="AB379" s="50">
        <f t="shared" ca="1" si="272"/>
        <v>0</v>
      </c>
      <c r="AC379" s="50">
        <f t="shared" ca="1" si="272"/>
        <v>0</v>
      </c>
      <c r="AD379" s="50">
        <f t="shared" ca="1" si="272"/>
        <v>0</v>
      </c>
      <c r="AE379" s="50">
        <f t="shared" ca="1" si="272"/>
        <v>0</v>
      </c>
      <c r="AF379" s="50">
        <f t="shared" ca="1" si="272"/>
        <v>0</v>
      </c>
      <c r="AG379" s="50">
        <f t="shared" ca="1" si="272"/>
        <v>0</v>
      </c>
      <c r="AH379" s="50">
        <f t="shared" ca="1" si="272"/>
        <v>0</v>
      </c>
      <c r="AI379" s="50">
        <f t="shared" ca="1" si="272"/>
        <v>0</v>
      </c>
      <c r="AJ379" s="50">
        <f t="shared" ca="1" si="272"/>
        <v>0</v>
      </c>
      <c r="AK379" s="50">
        <f t="shared" ca="1" si="272"/>
        <v>0</v>
      </c>
      <c r="AL379" s="50">
        <f t="shared" si="272"/>
        <v>0</v>
      </c>
      <c r="AM379" s="50">
        <f t="shared" si="272"/>
        <v>0</v>
      </c>
      <c r="AN379" s="50">
        <f t="shared" si="272"/>
        <v>0</v>
      </c>
      <c r="AO379" s="50">
        <f t="shared" si="272"/>
        <v>0</v>
      </c>
      <c r="AP379" s="50">
        <f t="shared" si="272"/>
        <v>0</v>
      </c>
      <c r="AQ379" s="50">
        <f t="shared" si="272"/>
        <v>0</v>
      </c>
      <c r="AR379" s="50">
        <f t="shared" si="272"/>
        <v>0</v>
      </c>
      <c r="AS379" s="50">
        <f t="shared" si="272"/>
        <v>0</v>
      </c>
      <c r="AT379" s="50">
        <f t="shared" si="272"/>
        <v>0</v>
      </c>
      <c r="AU379" s="50">
        <f t="shared" si="272"/>
        <v>0</v>
      </c>
    </row>
    <row r="380" spans="1:47">
      <c r="A380" s="38" t="str">
        <f t="shared" si="267"/>
        <v>1X-</v>
      </c>
      <c r="B380" s="38" t="s">
        <v>257</v>
      </c>
      <c r="C380" s="38" t="str">
        <f t="shared" si="271"/>
        <v>Gravity Thickener</v>
      </c>
      <c r="D380" s="186"/>
      <c r="E380" s="325"/>
      <c r="G380" s="36" t="s">
        <v>284</v>
      </c>
      <c r="I380" s="39"/>
      <c r="K380" s="39"/>
      <c r="L380" s="43" t="s">
        <v>293</v>
      </c>
      <c r="N380" s="70">
        <f ca="1">SUMIFS(OFFSET(Assumptions!$I$90,0,MATCH($A380,Configurations,0)-1,COUNT(Assumptions!$A$90:$A$183),1),Assumptions!$D$90:$D$183,$B380&amp;$C380)</f>
        <v>8400</v>
      </c>
      <c r="O380" s="313"/>
      <c r="P380" s="323"/>
      <c r="Q380" s="313"/>
      <c r="R380" s="50">
        <f t="shared" ref="R380:AU380" ca="1" si="273">IF(OR(R$99&lt;InServiceYr,R$99&gt;(InServiceYr+analysis_period-1)),0,IF($P380=0,$N380,$P380)*R$501)</f>
        <v>542.48507092729631</v>
      </c>
      <c r="S380" s="50">
        <f t="shared" ca="1" si="273"/>
        <v>545.86666858609908</v>
      </c>
      <c r="T380" s="50">
        <f t="shared" ca="1" si="273"/>
        <v>569.3989487342235</v>
      </c>
      <c r="U380" s="50">
        <f t="shared" ca="1" si="273"/>
        <v>586.4794923617535</v>
      </c>
      <c r="V380" s="50">
        <f t="shared" ca="1" si="273"/>
        <v>600.63189369903944</v>
      </c>
      <c r="W380" s="50">
        <f t="shared" ca="1" si="273"/>
        <v>608.31594737989042</v>
      </c>
      <c r="X380" s="50">
        <f t="shared" ca="1" si="273"/>
        <v>618.21475234641093</v>
      </c>
      <c r="Y380" s="50">
        <f t="shared" ca="1" si="273"/>
        <v>633.4463047155474</v>
      </c>
      <c r="Z380" s="50">
        <f t="shared" ca="1" si="273"/>
        <v>648.61144118121092</v>
      </c>
      <c r="AA380" s="50">
        <f t="shared" ca="1" si="273"/>
        <v>664.82832030458803</v>
      </c>
      <c r="AB380" s="50">
        <f t="shared" ca="1" si="273"/>
        <v>679.22837076534552</v>
      </c>
      <c r="AC380" s="50">
        <f t="shared" ca="1" si="273"/>
        <v>692.30783592677653</v>
      </c>
      <c r="AD380" s="50">
        <f t="shared" ca="1" si="273"/>
        <v>708.3000064780756</v>
      </c>
      <c r="AE380" s="50">
        <f t="shared" ca="1" si="273"/>
        <v>724.44333836552391</v>
      </c>
      <c r="AF380" s="50">
        <f t="shared" ca="1" si="273"/>
        <v>741.66814111586268</v>
      </c>
      <c r="AG380" s="50">
        <f t="shared" ca="1" si="273"/>
        <v>760.96398018696061</v>
      </c>
      <c r="AH380" s="50">
        <f t="shared" ca="1" si="273"/>
        <v>779.61327375529777</v>
      </c>
      <c r="AI380" s="50">
        <f t="shared" ca="1" si="273"/>
        <v>799.8376753198844</v>
      </c>
      <c r="AJ380" s="50">
        <f t="shared" ca="1" si="273"/>
        <v>821.2481406233785</v>
      </c>
      <c r="AK380" s="50">
        <f t="shared" ca="1" si="273"/>
        <v>843.58877225416643</v>
      </c>
      <c r="AL380" s="50">
        <f t="shared" si="273"/>
        <v>0</v>
      </c>
      <c r="AM380" s="50">
        <f t="shared" si="273"/>
        <v>0</v>
      </c>
      <c r="AN380" s="50">
        <f t="shared" si="273"/>
        <v>0</v>
      </c>
      <c r="AO380" s="50">
        <f t="shared" si="273"/>
        <v>0</v>
      </c>
      <c r="AP380" s="50">
        <f t="shared" si="273"/>
        <v>0</v>
      </c>
      <c r="AQ380" s="50">
        <f t="shared" si="273"/>
        <v>0</v>
      </c>
      <c r="AR380" s="50">
        <f t="shared" si="273"/>
        <v>0</v>
      </c>
      <c r="AS380" s="50">
        <f t="shared" si="273"/>
        <v>0</v>
      </c>
      <c r="AT380" s="50">
        <f t="shared" si="273"/>
        <v>0</v>
      </c>
      <c r="AU380" s="50">
        <f t="shared" si="273"/>
        <v>0</v>
      </c>
    </row>
    <row r="381" spans="1:47">
      <c r="A381" s="38" t="str">
        <f t="shared" si="267"/>
        <v>1X-</v>
      </c>
      <c r="B381" s="38" t="s">
        <v>864</v>
      </c>
      <c r="C381" s="38" t="str">
        <f t="shared" si="271"/>
        <v>Gravity Thickener</v>
      </c>
      <c r="D381" s="186">
        <f>GHGEsc</f>
        <v>0.02</v>
      </c>
      <c r="E381" s="325"/>
      <c r="G381" s="36" t="s">
        <v>865</v>
      </c>
      <c r="I381" s="39"/>
      <c r="K381" s="39"/>
      <c r="L381" s="43" t="s">
        <v>866</v>
      </c>
      <c r="N381" s="70">
        <f ca="1">SUMIFS(OFFSET(Assumptions!$I$90,0,MATCH($A381,Configurations,0)-1,COUNT(Assumptions!$A$90:$A$183),1),Assumptions!$D$90:$D$183,$B381&amp;$C381)</f>
        <v>0</v>
      </c>
      <c r="O381" s="313"/>
      <c r="P381" s="323"/>
      <c r="Q381" s="313"/>
      <c r="R381" s="50">
        <f t="shared" ref="R381:AU381" ca="1" si="274">IF(OR(R$99&lt;InServiceYr,R$99&gt;(InServiceYr+analysis_period-1)),0,IF($P381=0,$N381,$P381)*R$513)</f>
        <v>0</v>
      </c>
      <c r="S381" s="50">
        <f t="shared" ca="1" si="274"/>
        <v>0</v>
      </c>
      <c r="T381" s="50">
        <f t="shared" ca="1" si="274"/>
        <v>0</v>
      </c>
      <c r="U381" s="50">
        <f t="shared" ca="1" si="274"/>
        <v>0</v>
      </c>
      <c r="V381" s="50">
        <f t="shared" ca="1" si="274"/>
        <v>0</v>
      </c>
      <c r="W381" s="50">
        <f t="shared" ca="1" si="274"/>
        <v>0</v>
      </c>
      <c r="X381" s="50">
        <f t="shared" ca="1" si="274"/>
        <v>0</v>
      </c>
      <c r="Y381" s="50">
        <f t="shared" ca="1" si="274"/>
        <v>0</v>
      </c>
      <c r="Z381" s="50">
        <f t="shared" ca="1" si="274"/>
        <v>0</v>
      </c>
      <c r="AA381" s="50">
        <f t="shared" ca="1" si="274"/>
        <v>0</v>
      </c>
      <c r="AB381" s="50">
        <f t="shared" ca="1" si="274"/>
        <v>0</v>
      </c>
      <c r="AC381" s="50">
        <f t="shared" ca="1" si="274"/>
        <v>0</v>
      </c>
      <c r="AD381" s="50">
        <f t="shared" ca="1" si="274"/>
        <v>0</v>
      </c>
      <c r="AE381" s="50">
        <f t="shared" ca="1" si="274"/>
        <v>0</v>
      </c>
      <c r="AF381" s="50">
        <f t="shared" ca="1" si="274"/>
        <v>0</v>
      </c>
      <c r="AG381" s="50">
        <f t="shared" ca="1" si="274"/>
        <v>0</v>
      </c>
      <c r="AH381" s="50">
        <f t="shared" ca="1" si="274"/>
        <v>0</v>
      </c>
      <c r="AI381" s="50">
        <f t="shared" ca="1" si="274"/>
        <v>0</v>
      </c>
      <c r="AJ381" s="50">
        <f t="shared" ca="1" si="274"/>
        <v>0</v>
      </c>
      <c r="AK381" s="50">
        <f t="shared" ca="1" si="274"/>
        <v>0</v>
      </c>
      <c r="AL381" s="50">
        <f t="shared" si="274"/>
        <v>0</v>
      </c>
      <c r="AM381" s="50">
        <f t="shared" si="274"/>
        <v>0</v>
      </c>
      <c r="AN381" s="50">
        <f t="shared" si="274"/>
        <v>0</v>
      </c>
      <c r="AO381" s="50">
        <f t="shared" si="274"/>
        <v>0</v>
      </c>
      <c r="AP381" s="50">
        <f t="shared" si="274"/>
        <v>0</v>
      </c>
      <c r="AQ381" s="50">
        <f t="shared" si="274"/>
        <v>0</v>
      </c>
      <c r="AR381" s="50">
        <f t="shared" si="274"/>
        <v>0</v>
      </c>
      <c r="AS381" s="50">
        <f t="shared" si="274"/>
        <v>0</v>
      </c>
      <c r="AT381" s="50">
        <f t="shared" si="274"/>
        <v>0</v>
      </c>
      <c r="AU381" s="50">
        <f t="shared" si="274"/>
        <v>0</v>
      </c>
    </row>
    <row r="382" spans="1:47">
      <c r="A382" s="38" t="str">
        <f t="shared" si="267"/>
        <v>1X-</v>
      </c>
      <c r="B382" s="38" t="s">
        <v>273</v>
      </c>
      <c r="C382" s="38" t="str">
        <f>C380</f>
        <v>Gravity Thickener</v>
      </c>
      <c r="D382" s="186">
        <f>LaborEsc</f>
        <v>0.02</v>
      </c>
      <c r="E382" s="325"/>
      <c r="G382" s="36" t="s">
        <v>291</v>
      </c>
      <c r="I382" s="39"/>
      <c r="K382" s="39"/>
      <c r="L382" s="43" t="str">
        <f>"["&amp;CostBaseYr&amp;" $]"</f>
        <v>[2013 $]</v>
      </c>
      <c r="N382" s="70">
        <f ca="1">SUMIFS(OFFSET(Assumptions!$I$90,0,MATCH($A382,Configurations,0)-1,COUNT(Assumptions!$A$90:$A$183),1),Assumptions!$D$90:$D$183,$B382&amp;$C382)</f>
        <v>0</v>
      </c>
      <c r="O382" s="313"/>
      <c r="P382" s="323"/>
      <c r="Q382" s="313"/>
      <c r="R382" s="50">
        <f t="shared" ref="R382:AU382" ca="1" si="275">IF(OR(R$99&lt;InServiceYr,R$99&gt;(InServiceYr+analysis_period-1)),0,IF($P382=0,$N382,$P382)*(1+$D382)^(R$99-CostBaseYr))*R$509</f>
        <v>0</v>
      </c>
      <c r="S382" s="50">
        <f t="shared" ca="1" si="275"/>
        <v>0</v>
      </c>
      <c r="T382" s="50">
        <f t="shared" ca="1" si="275"/>
        <v>0</v>
      </c>
      <c r="U382" s="50">
        <f t="shared" ca="1" si="275"/>
        <v>0</v>
      </c>
      <c r="V382" s="50">
        <f t="shared" ca="1" si="275"/>
        <v>0</v>
      </c>
      <c r="W382" s="50">
        <f t="shared" ca="1" si="275"/>
        <v>0</v>
      </c>
      <c r="X382" s="50">
        <f t="shared" ca="1" si="275"/>
        <v>0</v>
      </c>
      <c r="Y382" s="50">
        <f t="shared" ca="1" si="275"/>
        <v>0</v>
      </c>
      <c r="Z382" s="50">
        <f t="shared" ca="1" si="275"/>
        <v>0</v>
      </c>
      <c r="AA382" s="50">
        <f t="shared" ca="1" si="275"/>
        <v>0</v>
      </c>
      <c r="AB382" s="50">
        <f t="shared" ca="1" si="275"/>
        <v>0</v>
      </c>
      <c r="AC382" s="50">
        <f t="shared" ca="1" si="275"/>
        <v>0</v>
      </c>
      <c r="AD382" s="50">
        <f t="shared" ca="1" si="275"/>
        <v>0</v>
      </c>
      <c r="AE382" s="50">
        <f t="shared" ca="1" si="275"/>
        <v>0</v>
      </c>
      <c r="AF382" s="50">
        <f t="shared" ca="1" si="275"/>
        <v>0</v>
      </c>
      <c r="AG382" s="50">
        <f t="shared" ca="1" si="275"/>
        <v>0</v>
      </c>
      <c r="AH382" s="50">
        <f t="shared" ca="1" si="275"/>
        <v>0</v>
      </c>
      <c r="AI382" s="50">
        <f t="shared" ca="1" si="275"/>
        <v>0</v>
      </c>
      <c r="AJ382" s="50">
        <f t="shared" ca="1" si="275"/>
        <v>0</v>
      </c>
      <c r="AK382" s="50">
        <f t="shared" ca="1" si="275"/>
        <v>0</v>
      </c>
      <c r="AL382" s="50">
        <f t="shared" si="275"/>
        <v>0</v>
      </c>
      <c r="AM382" s="50">
        <f t="shared" si="275"/>
        <v>0</v>
      </c>
      <c r="AN382" s="50">
        <f t="shared" si="275"/>
        <v>0</v>
      </c>
      <c r="AO382" s="50">
        <f t="shared" si="275"/>
        <v>0</v>
      </c>
      <c r="AP382" s="50">
        <f t="shared" si="275"/>
        <v>0</v>
      </c>
      <c r="AQ382" s="50">
        <f t="shared" si="275"/>
        <v>0</v>
      </c>
      <c r="AR382" s="50">
        <f t="shared" si="275"/>
        <v>0</v>
      </c>
      <c r="AS382" s="50">
        <f t="shared" si="275"/>
        <v>0</v>
      </c>
      <c r="AT382" s="50">
        <f t="shared" si="275"/>
        <v>0</v>
      </c>
      <c r="AU382" s="50">
        <f t="shared" si="275"/>
        <v>0</v>
      </c>
    </row>
    <row r="383" spans="1:47">
      <c r="D383" s="186"/>
      <c r="E383" s="325"/>
      <c r="G383" s="39" t="s">
        <v>304</v>
      </c>
      <c r="I383" s="39"/>
      <c r="K383" s="39"/>
      <c r="L383" s="43"/>
      <c r="N383" s="70"/>
      <c r="O383" s="313"/>
      <c r="P383" s="70"/>
      <c r="Q383" s="313"/>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row>
    <row r="384" spans="1:47">
      <c r="A384" s="38" t="str">
        <f>$J$4&amp;"-"</f>
        <v>1X-</v>
      </c>
      <c r="B384" s="38" t="s">
        <v>265</v>
      </c>
      <c r="C384" s="38" t="str">
        <f>C375</f>
        <v>Gravity Thickener</v>
      </c>
      <c r="D384" s="186"/>
      <c r="E384" s="325"/>
      <c r="G384" s="36" t="s">
        <v>108</v>
      </c>
      <c r="I384" s="39"/>
      <c r="K384" s="39"/>
      <c r="L384" s="43" t="s">
        <v>293</v>
      </c>
      <c r="N384" s="70">
        <f ca="1">SUMIFS(OFFSET(Assumptions!$I$90,0,MATCH($A384,Configurations,0)-1,COUNT(Assumptions!$A$90:$A$183),1),Assumptions!$D$90:$D$183,$B384&amp;$C384)</f>
        <v>0</v>
      </c>
      <c r="O384" s="313"/>
      <c r="P384" s="323"/>
      <c r="Q384" s="313"/>
      <c r="R384" s="50">
        <f t="shared" ref="R384:AU384" ca="1" si="276">IF(OR(R$99&lt;InServiceYr,R$99&gt;(InServiceYr+analysis_period-1)),0,IF($P384=0,$N384,$P384)*R$501)</f>
        <v>0</v>
      </c>
      <c r="S384" s="50">
        <f t="shared" ca="1" si="276"/>
        <v>0</v>
      </c>
      <c r="T384" s="50">
        <f t="shared" ca="1" si="276"/>
        <v>0</v>
      </c>
      <c r="U384" s="50">
        <f t="shared" ca="1" si="276"/>
        <v>0</v>
      </c>
      <c r="V384" s="50">
        <f t="shared" ca="1" si="276"/>
        <v>0</v>
      </c>
      <c r="W384" s="50">
        <f t="shared" ca="1" si="276"/>
        <v>0</v>
      </c>
      <c r="X384" s="50">
        <f t="shared" ca="1" si="276"/>
        <v>0</v>
      </c>
      <c r="Y384" s="50">
        <f t="shared" ca="1" si="276"/>
        <v>0</v>
      </c>
      <c r="Z384" s="50">
        <f t="shared" ca="1" si="276"/>
        <v>0</v>
      </c>
      <c r="AA384" s="50">
        <f t="shared" ca="1" si="276"/>
        <v>0</v>
      </c>
      <c r="AB384" s="50">
        <f t="shared" ca="1" si="276"/>
        <v>0</v>
      </c>
      <c r="AC384" s="50">
        <f t="shared" ca="1" si="276"/>
        <v>0</v>
      </c>
      <c r="AD384" s="50">
        <f t="shared" ca="1" si="276"/>
        <v>0</v>
      </c>
      <c r="AE384" s="50">
        <f t="shared" ca="1" si="276"/>
        <v>0</v>
      </c>
      <c r="AF384" s="50">
        <f t="shared" ca="1" si="276"/>
        <v>0</v>
      </c>
      <c r="AG384" s="50">
        <f t="shared" ca="1" si="276"/>
        <v>0</v>
      </c>
      <c r="AH384" s="50">
        <f t="shared" ca="1" si="276"/>
        <v>0</v>
      </c>
      <c r="AI384" s="50">
        <f t="shared" ca="1" si="276"/>
        <v>0</v>
      </c>
      <c r="AJ384" s="50">
        <f t="shared" ca="1" si="276"/>
        <v>0</v>
      </c>
      <c r="AK384" s="50">
        <f t="shared" ca="1" si="276"/>
        <v>0</v>
      </c>
      <c r="AL384" s="50">
        <f t="shared" si="276"/>
        <v>0</v>
      </c>
      <c r="AM384" s="50">
        <f t="shared" si="276"/>
        <v>0</v>
      </c>
      <c r="AN384" s="50">
        <f t="shared" si="276"/>
        <v>0</v>
      </c>
      <c r="AO384" s="50">
        <f t="shared" si="276"/>
        <v>0</v>
      </c>
      <c r="AP384" s="50">
        <f t="shared" si="276"/>
        <v>0</v>
      </c>
      <c r="AQ384" s="50">
        <f t="shared" si="276"/>
        <v>0</v>
      </c>
      <c r="AR384" s="50">
        <f t="shared" si="276"/>
        <v>0</v>
      </c>
      <c r="AS384" s="50">
        <f t="shared" si="276"/>
        <v>0</v>
      </c>
      <c r="AT384" s="50">
        <f t="shared" si="276"/>
        <v>0</v>
      </c>
      <c r="AU384" s="50">
        <f t="shared" si="276"/>
        <v>0</v>
      </c>
    </row>
    <row r="385" spans="1:47">
      <c r="A385" s="38" t="str">
        <f>$J$4&amp;"-"</f>
        <v>1X-</v>
      </c>
      <c r="B385" s="38" t="s">
        <v>289</v>
      </c>
      <c r="C385" s="38" t="str">
        <f>C375</f>
        <v>Gravity Thickener</v>
      </c>
      <c r="D385" s="186">
        <f>LaborEsc</f>
        <v>0.02</v>
      </c>
      <c r="E385" s="325"/>
      <c r="G385" s="36" t="s">
        <v>292</v>
      </c>
      <c r="I385" s="39"/>
      <c r="K385" s="39"/>
      <c r="L385" s="43" t="str">
        <f>"["&amp;CostBaseYr&amp;" $]"</f>
        <v>[2013 $]</v>
      </c>
      <c r="N385" s="70">
        <f ca="1">SUMIFS(OFFSET(Assumptions!$I$90,0,MATCH($A385,Configurations,0)-1,COUNT(Assumptions!$A$90:$A$183),1),Assumptions!$D$90:$D$183,$B385&amp;$C385)</f>
        <v>0</v>
      </c>
      <c r="O385" s="313"/>
      <c r="P385" s="323"/>
      <c r="Q385" s="313"/>
      <c r="R385" s="50">
        <f t="shared" ref="R385:AU385" ca="1" si="277">IF(OR(R$99&lt;InServiceYr,R$99&gt;(InServiceYr+analysis_period-1)),0,IF($P385=0,$N385,$P385)*(1+$D385)^(R$99-CostBaseYr))</f>
        <v>0</v>
      </c>
      <c r="S385" s="50">
        <f t="shared" ca="1" si="277"/>
        <v>0</v>
      </c>
      <c r="T385" s="50">
        <f t="shared" ca="1" si="277"/>
        <v>0</v>
      </c>
      <c r="U385" s="50">
        <f t="shared" ca="1" si="277"/>
        <v>0</v>
      </c>
      <c r="V385" s="50">
        <f t="shared" ca="1" si="277"/>
        <v>0</v>
      </c>
      <c r="W385" s="50">
        <f t="shared" ca="1" si="277"/>
        <v>0</v>
      </c>
      <c r="X385" s="50">
        <f t="shared" ca="1" si="277"/>
        <v>0</v>
      </c>
      <c r="Y385" s="50">
        <f t="shared" ca="1" si="277"/>
        <v>0</v>
      </c>
      <c r="Z385" s="50">
        <f t="shared" ca="1" si="277"/>
        <v>0</v>
      </c>
      <c r="AA385" s="50">
        <f t="shared" ca="1" si="277"/>
        <v>0</v>
      </c>
      <c r="AB385" s="50">
        <f t="shared" ca="1" si="277"/>
        <v>0</v>
      </c>
      <c r="AC385" s="50">
        <f t="shared" ca="1" si="277"/>
        <v>0</v>
      </c>
      <c r="AD385" s="50">
        <f t="shared" ca="1" si="277"/>
        <v>0</v>
      </c>
      <c r="AE385" s="50">
        <f t="shared" ca="1" si="277"/>
        <v>0</v>
      </c>
      <c r="AF385" s="50">
        <f t="shared" ca="1" si="277"/>
        <v>0</v>
      </c>
      <c r="AG385" s="50">
        <f t="shared" ca="1" si="277"/>
        <v>0</v>
      </c>
      <c r="AH385" s="50">
        <f t="shared" ca="1" si="277"/>
        <v>0</v>
      </c>
      <c r="AI385" s="50">
        <f t="shared" ca="1" si="277"/>
        <v>0</v>
      </c>
      <c r="AJ385" s="50">
        <f t="shared" ca="1" si="277"/>
        <v>0</v>
      </c>
      <c r="AK385" s="50">
        <f t="shared" ca="1" si="277"/>
        <v>0</v>
      </c>
      <c r="AL385" s="50">
        <f t="shared" si="277"/>
        <v>0</v>
      </c>
      <c r="AM385" s="50">
        <f t="shared" si="277"/>
        <v>0</v>
      </c>
      <c r="AN385" s="50">
        <f t="shared" si="277"/>
        <v>0</v>
      </c>
      <c r="AO385" s="50">
        <f t="shared" si="277"/>
        <v>0</v>
      </c>
      <c r="AP385" s="50">
        <f t="shared" si="277"/>
        <v>0</v>
      </c>
      <c r="AQ385" s="50">
        <f t="shared" si="277"/>
        <v>0</v>
      </c>
      <c r="AR385" s="50">
        <f t="shared" si="277"/>
        <v>0</v>
      </c>
      <c r="AS385" s="50">
        <f t="shared" si="277"/>
        <v>0</v>
      </c>
      <c r="AT385" s="50">
        <f t="shared" si="277"/>
        <v>0</v>
      </c>
      <c r="AU385" s="50">
        <f t="shared" si="277"/>
        <v>0</v>
      </c>
    </row>
    <row r="386" spans="1:47" s="60" customFormat="1">
      <c r="D386" s="187"/>
      <c r="E386" s="325"/>
      <c r="G386" s="39" t="s">
        <v>305</v>
      </c>
      <c r="I386" s="39"/>
      <c r="K386" s="39"/>
      <c r="L386" s="174"/>
      <c r="N386" s="188"/>
      <c r="O386" s="314"/>
      <c r="P386" s="185"/>
      <c r="Q386" s="314"/>
      <c r="R386" s="185">
        <f ca="1">SUM(R375:R382)-SUM(R384:R385)</f>
        <v>62864.485070927294</v>
      </c>
      <c r="S386" s="185">
        <f t="shared" ref="S386:AU386" ca="1" si="278">SUM(S375:S382)-SUM(S384:S385)</f>
        <v>64114.306668586105</v>
      </c>
      <c r="T386" s="185">
        <f t="shared" ca="1" si="278"/>
        <v>65409.207748734225</v>
      </c>
      <c r="U386" s="185">
        <f t="shared" ca="1" si="278"/>
        <v>66723.084468361762</v>
      </c>
      <c r="V386" s="185">
        <f t="shared" ca="1" si="278"/>
        <v>68059.968969219044</v>
      </c>
      <c r="W386" s="185">
        <f t="shared" ca="1" si="278"/>
        <v>69416.839764410295</v>
      </c>
      <c r="X386" s="185">
        <f t="shared" ca="1" si="278"/>
        <v>70802.909045717402</v>
      </c>
      <c r="Y386" s="185">
        <f t="shared" ca="1" si="278"/>
        <v>72221.834483953964</v>
      </c>
      <c r="Z386" s="185">
        <f t="shared" ca="1" si="278"/>
        <v>73668.767384004415</v>
      </c>
      <c r="AA386" s="185">
        <f t="shared" ca="1" si="278"/>
        <v>75145.387381984241</v>
      </c>
      <c r="AB386" s="185">
        <f t="shared" ca="1" si="278"/>
        <v>76649.398613678582</v>
      </c>
      <c r="AC386" s="185">
        <f t="shared" ca="1" si="278"/>
        <v>78181.881483698293</v>
      </c>
      <c r="AD386" s="185">
        <f t="shared" ca="1" si="278"/>
        <v>79747.665127205022</v>
      </c>
      <c r="AE386" s="185">
        <f t="shared" ca="1" si="278"/>
        <v>81344.595761507022</v>
      </c>
      <c r="AF386" s="185">
        <f t="shared" ca="1" si="278"/>
        <v>82974.223612720161</v>
      </c>
      <c r="AG386" s="185">
        <f t="shared" ca="1" si="278"/>
        <v>84638.170561223364</v>
      </c>
      <c r="AH386" s="185">
        <f t="shared" ca="1" si="278"/>
        <v>86334.363986412427</v>
      </c>
      <c r="AI386" s="185">
        <f t="shared" ca="1" si="278"/>
        <v>88065.683402230148</v>
      </c>
      <c r="AJ386" s="185">
        <f t="shared" ca="1" si="278"/>
        <v>89832.410782071849</v>
      </c>
      <c r="AK386" s="185">
        <f t="shared" ca="1" si="278"/>
        <v>91634.974666531605</v>
      </c>
      <c r="AL386" s="185">
        <f t="shared" si="278"/>
        <v>0</v>
      </c>
      <c r="AM386" s="185">
        <f t="shared" si="278"/>
        <v>0</v>
      </c>
      <c r="AN386" s="185">
        <f t="shared" si="278"/>
        <v>0</v>
      </c>
      <c r="AO386" s="185">
        <f t="shared" si="278"/>
        <v>0</v>
      </c>
      <c r="AP386" s="185">
        <f t="shared" si="278"/>
        <v>0</v>
      </c>
      <c r="AQ386" s="185">
        <f t="shared" si="278"/>
        <v>0</v>
      </c>
      <c r="AR386" s="185">
        <f t="shared" si="278"/>
        <v>0</v>
      </c>
      <c r="AS386" s="185">
        <f t="shared" si="278"/>
        <v>0</v>
      </c>
      <c r="AT386" s="185">
        <f t="shared" si="278"/>
        <v>0</v>
      </c>
      <c r="AU386" s="185">
        <f t="shared" si="278"/>
        <v>0</v>
      </c>
    </row>
    <row r="387" spans="1:47">
      <c r="E387" s="36"/>
      <c r="G387" s="39"/>
      <c r="H387" s="39"/>
      <c r="I387" s="39"/>
      <c r="J387" s="39"/>
      <c r="K387" s="39"/>
    </row>
    <row r="388" spans="1:47">
      <c r="E388" s="327"/>
      <c r="F388" s="28"/>
      <c r="G388" s="324" t="str">
        <f>C390&amp;" Capital Costs"</f>
        <v>Pre-Dewatering  Capital Costs</v>
      </c>
      <c r="H388" s="324"/>
      <c r="I388" s="324"/>
      <c r="J388" s="324"/>
      <c r="K388" s="324"/>
      <c r="L388" s="405" t="s">
        <v>79</v>
      </c>
      <c r="M388" s="256"/>
      <c r="N388" s="325" t="s">
        <v>490</v>
      </c>
      <c r="O388" s="311"/>
      <c r="P388" s="325" t="s">
        <v>491</v>
      </c>
      <c r="Q388" s="310"/>
      <c r="R388" s="325">
        <f>R$8</f>
        <v>2014</v>
      </c>
      <c r="S388" s="325">
        <f t="shared" ref="S388:AU388" si="279">S$8</f>
        <v>2015</v>
      </c>
      <c r="T388" s="325">
        <f t="shared" si="279"/>
        <v>2016</v>
      </c>
      <c r="U388" s="325">
        <f t="shared" si="279"/>
        <v>2017</v>
      </c>
      <c r="V388" s="325">
        <f t="shared" si="279"/>
        <v>2018</v>
      </c>
      <c r="W388" s="325">
        <f t="shared" si="279"/>
        <v>2019</v>
      </c>
      <c r="X388" s="325">
        <f t="shared" si="279"/>
        <v>2020</v>
      </c>
      <c r="Y388" s="325">
        <f t="shared" si="279"/>
        <v>2021</v>
      </c>
      <c r="Z388" s="325">
        <f t="shared" si="279"/>
        <v>2022</v>
      </c>
      <c r="AA388" s="325">
        <f t="shared" si="279"/>
        <v>2023</v>
      </c>
      <c r="AB388" s="325">
        <f t="shared" si="279"/>
        <v>2024</v>
      </c>
      <c r="AC388" s="325">
        <f t="shared" si="279"/>
        <v>2025</v>
      </c>
      <c r="AD388" s="325">
        <f t="shared" si="279"/>
        <v>2026</v>
      </c>
      <c r="AE388" s="325">
        <f t="shared" si="279"/>
        <v>2027</v>
      </c>
      <c r="AF388" s="325">
        <f t="shared" si="279"/>
        <v>2028</v>
      </c>
      <c r="AG388" s="325">
        <f t="shared" si="279"/>
        <v>2029</v>
      </c>
      <c r="AH388" s="325">
        <f t="shared" si="279"/>
        <v>2030</v>
      </c>
      <c r="AI388" s="325">
        <f t="shared" si="279"/>
        <v>2031</v>
      </c>
      <c r="AJ388" s="325">
        <f t="shared" si="279"/>
        <v>2032</v>
      </c>
      <c r="AK388" s="325">
        <f t="shared" si="279"/>
        <v>2033</v>
      </c>
      <c r="AL388" s="325">
        <f t="shared" si="279"/>
        <v>2034</v>
      </c>
      <c r="AM388" s="325">
        <f t="shared" si="279"/>
        <v>2035</v>
      </c>
      <c r="AN388" s="325">
        <f t="shared" si="279"/>
        <v>2036</v>
      </c>
      <c r="AO388" s="325">
        <f t="shared" si="279"/>
        <v>2037</v>
      </c>
      <c r="AP388" s="325">
        <f t="shared" si="279"/>
        <v>2038</v>
      </c>
      <c r="AQ388" s="325">
        <f t="shared" si="279"/>
        <v>2039</v>
      </c>
      <c r="AR388" s="325">
        <f t="shared" si="279"/>
        <v>2040</v>
      </c>
      <c r="AS388" s="325">
        <f t="shared" si="279"/>
        <v>2041</v>
      </c>
      <c r="AT388" s="325">
        <f t="shared" si="279"/>
        <v>2042</v>
      </c>
      <c r="AU388" s="325">
        <f t="shared" si="279"/>
        <v>2043</v>
      </c>
    </row>
    <row r="389" spans="1:47">
      <c r="E389" s="325"/>
      <c r="G389" s="39"/>
      <c r="H389" s="39"/>
      <c r="I389" s="39"/>
      <c r="J389" s="39"/>
      <c r="K389" s="39"/>
    </row>
    <row r="390" spans="1:47">
      <c r="A390" s="38" t="str">
        <f>$J$4&amp;"-"</f>
        <v>1X-</v>
      </c>
      <c r="B390" s="38" t="s">
        <v>306</v>
      </c>
      <c r="C390" s="38" t="s">
        <v>163</v>
      </c>
      <c r="D390" s="186">
        <f>CapExEsc</f>
        <v>0.03</v>
      </c>
      <c r="E390" s="325"/>
      <c r="G390" s="36" t="s">
        <v>8</v>
      </c>
      <c r="H390" s="39"/>
      <c r="I390" s="39"/>
      <c r="J390" s="70"/>
      <c r="K390" s="39"/>
      <c r="L390" s="43" t="str">
        <f>"["&amp;CostBaseYr&amp;" $]"</f>
        <v>[2013 $]</v>
      </c>
      <c r="N390" s="52">
        <f ca="1">SUMIFS(OFFSET(Assumptions!$I$65,0,MATCH($A390,Configurations,0)-1,COUNT(Assumptions!$A$65:$A$84),1),Assumptions!$E$65:$E$84,$C390)</f>
        <v>4064000</v>
      </c>
      <c r="O390" s="52"/>
      <c r="P390" s="322"/>
      <c r="Q390" s="52"/>
      <c r="R390" s="52">
        <f t="shared" ref="R390:AU390" ca="1" si="280">R391*IF($P390=0,$N390,$P390)*(1+$D390)^(R$8-CostBaseYr)</f>
        <v>4185920</v>
      </c>
      <c r="S390" s="52">
        <f t="shared" ca="1" si="280"/>
        <v>0</v>
      </c>
      <c r="T390" s="52">
        <f t="shared" ca="1" si="280"/>
        <v>0</v>
      </c>
      <c r="U390" s="52">
        <f t="shared" ca="1" si="280"/>
        <v>0</v>
      </c>
      <c r="V390" s="52">
        <f t="shared" ca="1" si="280"/>
        <v>0</v>
      </c>
      <c r="W390" s="52">
        <f t="shared" ca="1" si="280"/>
        <v>0</v>
      </c>
      <c r="X390" s="52">
        <f t="shared" ca="1" si="280"/>
        <v>0</v>
      </c>
      <c r="Y390" s="52">
        <f t="shared" ca="1" si="280"/>
        <v>0</v>
      </c>
      <c r="Z390" s="52">
        <f t="shared" ca="1" si="280"/>
        <v>0</v>
      </c>
      <c r="AA390" s="52">
        <f t="shared" ca="1" si="280"/>
        <v>0</v>
      </c>
      <c r="AB390" s="52">
        <f t="shared" ca="1" si="280"/>
        <v>0</v>
      </c>
      <c r="AC390" s="52">
        <f t="shared" ca="1" si="280"/>
        <v>0</v>
      </c>
      <c r="AD390" s="52">
        <f t="shared" ca="1" si="280"/>
        <v>0</v>
      </c>
      <c r="AE390" s="52">
        <f t="shared" ca="1" si="280"/>
        <v>0</v>
      </c>
      <c r="AF390" s="52">
        <f t="shared" ca="1" si="280"/>
        <v>0</v>
      </c>
      <c r="AG390" s="52">
        <f t="shared" ca="1" si="280"/>
        <v>0</v>
      </c>
      <c r="AH390" s="52">
        <f t="shared" ca="1" si="280"/>
        <v>0</v>
      </c>
      <c r="AI390" s="52">
        <f t="shared" ca="1" si="280"/>
        <v>0</v>
      </c>
      <c r="AJ390" s="52">
        <f t="shared" ca="1" si="280"/>
        <v>0</v>
      </c>
      <c r="AK390" s="52">
        <f t="shared" ca="1" si="280"/>
        <v>0</v>
      </c>
      <c r="AL390" s="52">
        <f t="shared" ca="1" si="280"/>
        <v>0</v>
      </c>
      <c r="AM390" s="52">
        <f t="shared" ca="1" si="280"/>
        <v>0</v>
      </c>
      <c r="AN390" s="52">
        <f t="shared" ca="1" si="280"/>
        <v>0</v>
      </c>
      <c r="AO390" s="52">
        <f t="shared" ca="1" si="280"/>
        <v>0</v>
      </c>
      <c r="AP390" s="52">
        <f t="shared" ca="1" si="280"/>
        <v>0</v>
      </c>
      <c r="AQ390" s="52">
        <f t="shared" ca="1" si="280"/>
        <v>0</v>
      </c>
      <c r="AR390" s="52">
        <f t="shared" ca="1" si="280"/>
        <v>0</v>
      </c>
      <c r="AS390" s="52">
        <f t="shared" ca="1" si="280"/>
        <v>0</v>
      </c>
      <c r="AT390" s="52">
        <f t="shared" ca="1" si="280"/>
        <v>0</v>
      </c>
      <c r="AU390" s="52">
        <f t="shared" ca="1" si="280"/>
        <v>0</v>
      </c>
    </row>
    <row r="391" spans="1:47">
      <c r="E391" s="325"/>
      <c r="G391" s="36" t="s">
        <v>10</v>
      </c>
      <c r="H391" s="39"/>
      <c r="I391" s="39"/>
      <c r="J391" s="39"/>
      <c r="K391" s="39"/>
      <c r="L391" s="43"/>
      <c r="R391" s="54">
        <f>Assumptions!M$60</f>
        <v>1</v>
      </c>
      <c r="S391" s="54">
        <f>Assumptions!N$60</f>
        <v>0</v>
      </c>
      <c r="T391" s="54">
        <f>Assumptions!O$60</f>
        <v>0</v>
      </c>
      <c r="U391" s="54">
        <f>Assumptions!P$60</f>
        <v>0</v>
      </c>
      <c r="V391" s="54">
        <f>Assumptions!Q$60</f>
        <v>0</v>
      </c>
      <c r="W391" s="54">
        <f>Assumptions!R$60</f>
        <v>0</v>
      </c>
      <c r="X391" s="54">
        <f>Assumptions!S$60</f>
        <v>0</v>
      </c>
      <c r="Y391" s="54">
        <f>Assumptions!T$60</f>
        <v>0</v>
      </c>
      <c r="Z391" s="54">
        <f>Assumptions!U$60</f>
        <v>0</v>
      </c>
      <c r="AA391" s="54">
        <f>Assumptions!V$60</f>
        <v>0</v>
      </c>
      <c r="AB391" s="54">
        <f>Assumptions!W$60</f>
        <v>0</v>
      </c>
      <c r="AC391" s="54">
        <f>Assumptions!X$60</f>
        <v>0</v>
      </c>
      <c r="AD391" s="54">
        <f>Assumptions!Y$60</f>
        <v>0</v>
      </c>
      <c r="AE391" s="54">
        <f>Assumptions!Z$60</f>
        <v>0</v>
      </c>
      <c r="AF391" s="54">
        <f>Assumptions!AA$60</f>
        <v>0</v>
      </c>
      <c r="AG391" s="54">
        <f>Assumptions!AB$60</f>
        <v>0</v>
      </c>
      <c r="AH391" s="54">
        <f>Assumptions!AC$60</f>
        <v>0</v>
      </c>
      <c r="AI391" s="54">
        <f>Assumptions!AD$60</f>
        <v>0</v>
      </c>
      <c r="AJ391" s="54">
        <f>Assumptions!AE$60</f>
        <v>0</v>
      </c>
      <c r="AK391" s="54">
        <f>Assumptions!AF$60</f>
        <v>0</v>
      </c>
      <c r="AL391" s="54">
        <f>Assumptions!AG$60</f>
        <v>0</v>
      </c>
      <c r="AM391" s="54">
        <f>Assumptions!AH$60</f>
        <v>0</v>
      </c>
      <c r="AN391" s="54">
        <f>Assumptions!AI$60</f>
        <v>0</v>
      </c>
      <c r="AO391" s="54">
        <f>Assumptions!AJ$60</f>
        <v>0</v>
      </c>
      <c r="AP391" s="54">
        <f>Assumptions!AK$60</f>
        <v>0</v>
      </c>
      <c r="AQ391" s="54">
        <f>Assumptions!AL$60</f>
        <v>0</v>
      </c>
      <c r="AR391" s="54">
        <f>Assumptions!AM$60</f>
        <v>0</v>
      </c>
      <c r="AS391" s="54">
        <f>Assumptions!AN$60</f>
        <v>0</v>
      </c>
      <c r="AT391" s="54">
        <f>Assumptions!AO$60</f>
        <v>0</v>
      </c>
      <c r="AU391" s="54">
        <f>Assumptions!AP$60</f>
        <v>0</v>
      </c>
    </row>
    <row r="392" spans="1:47">
      <c r="E392" s="326"/>
      <c r="G392" s="39"/>
      <c r="H392" s="39"/>
      <c r="I392" s="39"/>
      <c r="J392" s="39"/>
      <c r="K392" s="39"/>
    </row>
    <row r="393" spans="1:47">
      <c r="E393" s="327"/>
      <c r="F393" s="28"/>
      <c r="G393" s="324" t="str">
        <f>C390&amp;" O&amp;M"</f>
        <v>Pre-Dewatering  O&amp;M</v>
      </c>
      <c r="H393" s="324"/>
      <c r="I393" s="324"/>
      <c r="J393" s="324"/>
      <c r="K393" s="324"/>
      <c r="L393" s="405" t="s">
        <v>79</v>
      </c>
      <c r="M393" s="256"/>
      <c r="N393" s="325" t="s">
        <v>490</v>
      </c>
      <c r="O393" s="311"/>
      <c r="P393" s="325" t="s">
        <v>491</v>
      </c>
      <c r="Q393" s="310"/>
      <c r="R393" s="325">
        <f>R$8</f>
        <v>2014</v>
      </c>
      <c r="S393" s="325">
        <f t="shared" ref="S393:AU393" si="281">S$8</f>
        <v>2015</v>
      </c>
      <c r="T393" s="325">
        <f t="shared" si="281"/>
        <v>2016</v>
      </c>
      <c r="U393" s="325">
        <f t="shared" si="281"/>
        <v>2017</v>
      </c>
      <c r="V393" s="325">
        <f t="shared" si="281"/>
        <v>2018</v>
      </c>
      <c r="W393" s="325">
        <f t="shared" si="281"/>
        <v>2019</v>
      </c>
      <c r="X393" s="325">
        <f t="shared" si="281"/>
        <v>2020</v>
      </c>
      <c r="Y393" s="325">
        <f t="shared" si="281"/>
        <v>2021</v>
      </c>
      <c r="Z393" s="325">
        <f t="shared" si="281"/>
        <v>2022</v>
      </c>
      <c r="AA393" s="325">
        <f t="shared" si="281"/>
        <v>2023</v>
      </c>
      <c r="AB393" s="325">
        <f t="shared" si="281"/>
        <v>2024</v>
      </c>
      <c r="AC393" s="325">
        <f t="shared" si="281"/>
        <v>2025</v>
      </c>
      <c r="AD393" s="325">
        <f t="shared" si="281"/>
        <v>2026</v>
      </c>
      <c r="AE393" s="325">
        <f t="shared" si="281"/>
        <v>2027</v>
      </c>
      <c r="AF393" s="325">
        <f t="shared" si="281"/>
        <v>2028</v>
      </c>
      <c r="AG393" s="325">
        <f t="shared" si="281"/>
        <v>2029</v>
      </c>
      <c r="AH393" s="325">
        <f t="shared" si="281"/>
        <v>2030</v>
      </c>
      <c r="AI393" s="325">
        <f t="shared" si="281"/>
        <v>2031</v>
      </c>
      <c r="AJ393" s="325">
        <f t="shared" si="281"/>
        <v>2032</v>
      </c>
      <c r="AK393" s="325">
        <f t="shared" si="281"/>
        <v>2033</v>
      </c>
      <c r="AL393" s="325">
        <f t="shared" si="281"/>
        <v>2034</v>
      </c>
      <c r="AM393" s="325">
        <f t="shared" si="281"/>
        <v>2035</v>
      </c>
      <c r="AN393" s="325">
        <f t="shared" si="281"/>
        <v>2036</v>
      </c>
      <c r="AO393" s="325">
        <f t="shared" si="281"/>
        <v>2037</v>
      </c>
      <c r="AP393" s="325">
        <f t="shared" si="281"/>
        <v>2038</v>
      </c>
      <c r="AQ393" s="325">
        <f t="shared" si="281"/>
        <v>2039</v>
      </c>
      <c r="AR393" s="325">
        <f t="shared" si="281"/>
        <v>2040</v>
      </c>
      <c r="AS393" s="325">
        <f t="shared" si="281"/>
        <v>2041</v>
      </c>
      <c r="AT393" s="325">
        <f t="shared" si="281"/>
        <v>2042</v>
      </c>
      <c r="AU393" s="325">
        <f t="shared" si="281"/>
        <v>2043</v>
      </c>
    </row>
    <row r="394" spans="1:47">
      <c r="E394" s="325"/>
      <c r="G394" s="39"/>
      <c r="H394" s="39"/>
      <c r="I394" s="39"/>
      <c r="J394" s="39"/>
      <c r="K394" s="39"/>
    </row>
    <row r="395" spans="1:47">
      <c r="E395" s="325"/>
      <c r="G395" s="39" t="s">
        <v>23</v>
      </c>
      <c r="H395" s="39"/>
      <c r="I395" s="39"/>
      <c r="J395" s="39"/>
      <c r="K395" s="39"/>
    </row>
    <row r="396" spans="1:47">
      <c r="A396" s="38" t="str">
        <f t="shared" ref="A396:A403" si="282">$J$4&amp;"-"</f>
        <v>1X-</v>
      </c>
      <c r="B396" s="38" t="s">
        <v>262</v>
      </c>
      <c r="C396" s="38" t="str">
        <f>C390</f>
        <v xml:space="preserve">Pre-Dewatering </v>
      </c>
      <c r="D396" s="186">
        <f>LaborEsc</f>
        <v>0.02</v>
      </c>
      <c r="E396" s="325"/>
      <c r="G396" s="36" t="s">
        <v>125</v>
      </c>
      <c r="I396" s="39"/>
      <c r="K396" s="39"/>
      <c r="L396" s="43" t="s">
        <v>266</v>
      </c>
      <c r="N396" s="70">
        <f ca="1">SUMIFS(OFFSET(Assumptions!$I$90,0,MATCH($A396,Configurations,0)-1,COUNT(Assumptions!$A$90:$A$183),1),Assumptions!$D$90:$D$183,$B396&amp;$C396)</f>
        <v>5110</v>
      </c>
      <c r="O396" s="313"/>
      <c r="P396" s="323"/>
      <c r="Q396" s="313"/>
      <c r="R396" s="50">
        <f t="shared" ref="R396:AU396" ca="1" si="283">IF(OR(R$99&lt;InServiceYr,R$99&gt;(InServiceYr+analysis_period-1)),0,IF($P396=0,$N396,$P396)*LaborCost*(1+$D396)^(R$99-CostBaseYr))</f>
        <v>182427</v>
      </c>
      <c r="S396" s="50">
        <f t="shared" ca="1" si="283"/>
        <v>186075.54</v>
      </c>
      <c r="T396" s="50">
        <f t="shared" ca="1" si="283"/>
        <v>189797.0508</v>
      </c>
      <c r="U396" s="50">
        <f t="shared" ca="1" si="283"/>
        <v>193592.99181599999</v>
      </c>
      <c r="V396" s="50">
        <f t="shared" ca="1" si="283"/>
        <v>197464.85165232001</v>
      </c>
      <c r="W396" s="50">
        <f t="shared" ca="1" si="283"/>
        <v>201414.14868536641</v>
      </c>
      <c r="X396" s="50">
        <f t="shared" ca="1" si="283"/>
        <v>205442.43165907369</v>
      </c>
      <c r="Y396" s="50">
        <f t="shared" ca="1" si="283"/>
        <v>209551.28029225519</v>
      </c>
      <c r="Z396" s="50">
        <f t="shared" ca="1" si="283"/>
        <v>213742.30589810028</v>
      </c>
      <c r="AA396" s="50">
        <f t="shared" ca="1" si="283"/>
        <v>218017.15201606232</v>
      </c>
      <c r="AB396" s="50">
        <f t="shared" ca="1" si="283"/>
        <v>222377.49505638352</v>
      </c>
      <c r="AC396" s="50">
        <f t="shared" ca="1" si="283"/>
        <v>226825.04495751121</v>
      </c>
      <c r="AD396" s="50">
        <f t="shared" ca="1" si="283"/>
        <v>231361.54585666143</v>
      </c>
      <c r="AE396" s="50">
        <f t="shared" ca="1" si="283"/>
        <v>235988.77677379467</v>
      </c>
      <c r="AF396" s="50">
        <f t="shared" ca="1" si="283"/>
        <v>240708.55230927051</v>
      </c>
      <c r="AG396" s="50">
        <f t="shared" ca="1" si="283"/>
        <v>245522.72335545596</v>
      </c>
      <c r="AH396" s="50">
        <f t="shared" ca="1" si="283"/>
        <v>250433.17782256511</v>
      </c>
      <c r="AI396" s="50">
        <f t="shared" ca="1" si="283"/>
        <v>255441.84137901638</v>
      </c>
      <c r="AJ396" s="50">
        <f t="shared" ca="1" si="283"/>
        <v>260550.6782065967</v>
      </c>
      <c r="AK396" s="50">
        <f t="shared" ca="1" si="283"/>
        <v>265761.69177072868</v>
      </c>
      <c r="AL396" s="50">
        <f t="shared" si="283"/>
        <v>0</v>
      </c>
      <c r="AM396" s="50">
        <f t="shared" si="283"/>
        <v>0</v>
      </c>
      <c r="AN396" s="50">
        <f t="shared" si="283"/>
        <v>0</v>
      </c>
      <c r="AO396" s="50">
        <f t="shared" si="283"/>
        <v>0</v>
      </c>
      <c r="AP396" s="50">
        <f t="shared" si="283"/>
        <v>0</v>
      </c>
      <c r="AQ396" s="50">
        <f t="shared" si="283"/>
        <v>0</v>
      </c>
      <c r="AR396" s="50">
        <f t="shared" si="283"/>
        <v>0</v>
      </c>
      <c r="AS396" s="50">
        <f t="shared" si="283"/>
        <v>0</v>
      </c>
      <c r="AT396" s="50">
        <f t="shared" si="283"/>
        <v>0</v>
      </c>
      <c r="AU396" s="50">
        <f t="shared" si="283"/>
        <v>0</v>
      </c>
    </row>
    <row r="397" spans="1:47">
      <c r="A397" s="38" t="str">
        <f t="shared" si="282"/>
        <v>1X-</v>
      </c>
      <c r="B397" s="38" t="s">
        <v>270</v>
      </c>
      <c r="C397" s="38" t="str">
        <f>C396</f>
        <v xml:space="preserve">Pre-Dewatering </v>
      </c>
      <c r="D397" s="186">
        <f>OMEsc</f>
        <v>0.02</v>
      </c>
      <c r="E397" s="325"/>
      <c r="G397" s="36" t="s">
        <v>126</v>
      </c>
      <c r="I397" s="39"/>
      <c r="K397" s="39"/>
      <c r="L397" s="43" t="str">
        <f>"["&amp;CostBaseYr&amp;" $]"</f>
        <v>[2013 $]</v>
      </c>
      <c r="N397" s="70">
        <f ca="1">SUMIFS(OFFSET(Assumptions!$I$90,0,MATCH($A397,Configurations,0)-1,COUNT(Assumptions!$A$90:$A$183),1),Assumptions!$D$90:$D$183,$B397&amp;$C397)</f>
        <v>59000</v>
      </c>
      <c r="O397" s="313"/>
      <c r="P397" s="323"/>
      <c r="Q397" s="313"/>
      <c r="R397" s="50">
        <f t="shared" ref="R397:AG399" ca="1" si="284">IF(OR(R$99&lt;InServiceYr,R$99&gt;(InServiceYr+analysis_period-1)),0,IF($P397=0,$N397,$P397)*(1+$D397)^(R$99-CostBaseYr))</f>
        <v>60180</v>
      </c>
      <c r="S397" s="50">
        <f t="shared" ca="1" si="284"/>
        <v>61383.6</v>
      </c>
      <c r="T397" s="50">
        <f t="shared" ca="1" si="284"/>
        <v>62611.271999999997</v>
      </c>
      <c r="U397" s="50">
        <f t="shared" ca="1" si="284"/>
        <v>63863.497439999999</v>
      </c>
      <c r="V397" s="50">
        <f t="shared" ca="1" si="284"/>
        <v>65140.767388799999</v>
      </c>
      <c r="W397" s="50">
        <f t="shared" ca="1" si="284"/>
        <v>66443.582736576005</v>
      </c>
      <c r="X397" s="50">
        <f t="shared" ca="1" si="284"/>
        <v>67772.454391307503</v>
      </c>
      <c r="Y397" s="50">
        <f t="shared" ca="1" si="284"/>
        <v>69127.90347913366</v>
      </c>
      <c r="Z397" s="50">
        <f t="shared" ca="1" si="284"/>
        <v>70510.461548716339</v>
      </c>
      <c r="AA397" s="50">
        <f t="shared" ca="1" si="284"/>
        <v>71920.67077969067</v>
      </c>
      <c r="AB397" s="50">
        <f t="shared" ca="1" si="284"/>
        <v>73359.084195284464</v>
      </c>
      <c r="AC397" s="50">
        <f t="shared" ca="1" si="284"/>
        <v>74826.265879190178</v>
      </c>
      <c r="AD397" s="50">
        <f t="shared" ca="1" si="284"/>
        <v>76322.791196773964</v>
      </c>
      <c r="AE397" s="50">
        <f t="shared" ca="1" si="284"/>
        <v>77849.247020709459</v>
      </c>
      <c r="AF397" s="50">
        <f t="shared" ca="1" si="284"/>
        <v>79406.231961123631</v>
      </c>
      <c r="AG397" s="50">
        <f t="shared" ca="1" si="284"/>
        <v>80994.356600346116</v>
      </c>
      <c r="AH397" s="50">
        <f t="shared" ref="S397:AU399" ca="1" si="285">IF(OR(AH$99&lt;InServiceYr,AH$99&gt;(InServiceYr+analysis_period-1)),0,IF($P397=0,$N397,$P397)*(1+$D397)^(AH$99-CostBaseYr))</f>
        <v>82614.243732353047</v>
      </c>
      <c r="AI397" s="50">
        <f t="shared" ca="1" si="285"/>
        <v>84266.528607000088</v>
      </c>
      <c r="AJ397" s="50">
        <f t="shared" ca="1" si="285"/>
        <v>85951.859179140083</v>
      </c>
      <c r="AK397" s="50">
        <f t="shared" ca="1" si="285"/>
        <v>87670.896362722895</v>
      </c>
      <c r="AL397" s="50">
        <f t="shared" si="285"/>
        <v>0</v>
      </c>
      <c r="AM397" s="50">
        <f t="shared" si="285"/>
        <v>0</v>
      </c>
      <c r="AN397" s="50">
        <f t="shared" si="285"/>
        <v>0</v>
      </c>
      <c r="AO397" s="50">
        <f t="shared" si="285"/>
        <v>0</v>
      </c>
      <c r="AP397" s="50">
        <f t="shared" si="285"/>
        <v>0</v>
      </c>
      <c r="AQ397" s="50">
        <f t="shared" si="285"/>
        <v>0</v>
      </c>
      <c r="AR397" s="50">
        <f t="shared" si="285"/>
        <v>0</v>
      </c>
      <c r="AS397" s="50">
        <f t="shared" si="285"/>
        <v>0</v>
      </c>
      <c r="AT397" s="50">
        <f t="shared" si="285"/>
        <v>0</v>
      </c>
      <c r="AU397" s="50">
        <f t="shared" si="285"/>
        <v>0</v>
      </c>
    </row>
    <row r="398" spans="1:47">
      <c r="A398" s="38" t="str">
        <f t="shared" si="282"/>
        <v>1X-</v>
      </c>
      <c r="B398" s="38" t="s">
        <v>263</v>
      </c>
      <c r="C398" s="38" t="str">
        <f t="shared" ref="C398:C402" si="286">C397</f>
        <v xml:space="preserve">Pre-Dewatering </v>
      </c>
      <c r="D398" s="186">
        <f>OMEsc</f>
        <v>0.02</v>
      </c>
      <c r="E398" s="325"/>
      <c r="G398" s="36" t="s">
        <v>127</v>
      </c>
      <c r="I398" s="39"/>
      <c r="K398" s="39"/>
      <c r="L398" s="43" t="str">
        <f>"["&amp;CostBaseYr&amp;" $]"</f>
        <v>[2013 $]</v>
      </c>
      <c r="N398" s="70">
        <f ca="1">SUMIFS(OFFSET(Assumptions!$I$90,0,MATCH($A398,Configurations,0)-1,COUNT(Assumptions!$A$90:$A$183),1),Assumptions!$D$90:$D$183,$B398&amp;$C398)</f>
        <v>108000</v>
      </c>
      <c r="O398" s="313"/>
      <c r="P398" s="323"/>
      <c r="Q398" s="313"/>
      <c r="R398" s="50">
        <f t="shared" ca="1" si="284"/>
        <v>110160</v>
      </c>
      <c r="S398" s="50">
        <f t="shared" ca="1" si="285"/>
        <v>112363.2</v>
      </c>
      <c r="T398" s="50">
        <f t="shared" ca="1" si="285"/>
        <v>114610.46399999999</v>
      </c>
      <c r="U398" s="50">
        <f t="shared" ca="1" si="285"/>
        <v>116902.67328</v>
      </c>
      <c r="V398" s="50">
        <f t="shared" ca="1" si="285"/>
        <v>119240.7267456</v>
      </c>
      <c r="W398" s="50">
        <f t="shared" ca="1" si="285"/>
        <v>121625.54128051201</v>
      </c>
      <c r="X398" s="50">
        <f t="shared" ca="1" si="285"/>
        <v>124058.05210612222</v>
      </c>
      <c r="Y398" s="50">
        <f t="shared" ca="1" si="285"/>
        <v>126539.21314824467</v>
      </c>
      <c r="Z398" s="50">
        <f t="shared" ca="1" si="285"/>
        <v>129069.99741120957</v>
      </c>
      <c r="AA398" s="50">
        <f t="shared" ca="1" si="285"/>
        <v>131651.39735943376</v>
      </c>
      <c r="AB398" s="50">
        <f t="shared" ca="1" si="285"/>
        <v>134284.4253066224</v>
      </c>
      <c r="AC398" s="50">
        <f t="shared" ca="1" si="285"/>
        <v>136970.11381275489</v>
      </c>
      <c r="AD398" s="50">
        <f t="shared" ca="1" si="285"/>
        <v>139709.51608900997</v>
      </c>
      <c r="AE398" s="50">
        <f t="shared" ca="1" si="285"/>
        <v>142503.70641079018</v>
      </c>
      <c r="AF398" s="50">
        <f t="shared" ca="1" si="285"/>
        <v>145353.78053900597</v>
      </c>
      <c r="AG398" s="50">
        <f t="shared" ca="1" si="285"/>
        <v>148260.85614978609</v>
      </c>
      <c r="AH398" s="50">
        <f t="shared" ca="1" si="285"/>
        <v>151226.07327278182</v>
      </c>
      <c r="AI398" s="50">
        <f t="shared" ca="1" si="285"/>
        <v>154250.59473823744</v>
      </c>
      <c r="AJ398" s="50">
        <f t="shared" ca="1" si="285"/>
        <v>157335.6066330022</v>
      </c>
      <c r="AK398" s="50">
        <f t="shared" ca="1" si="285"/>
        <v>160482.31876566226</v>
      </c>
      <c r="AL398" s="50">
        <f t="shared" si="285"/>
        <v>0</v>
      </c>
      <c r="AM398" s="50">
        <f t="shared" si="285"/>
        <v>0</v>
      </c>
      <c r="AN398" s="50">
        <f t="shared" si="285"/>
        <v>0</v>
      </c>
      <c r="AO398" s="50">
        <f t="shared" si="285"/>
        <v>0</v>
      </c>
      <c r="AP398" s="50">
        <f t="shared" si="285"/>
        <v>0</v>
      </c>
      <c r="AQ398" s="50">
        <f t="shared" si="285"/>
        <v>0</v>
      </c>
      <c r="AR398" s="50">
        <f t="shared" si="285"/>
        <v>0</v>
      </c>
      <c r="AS398" s="50">
        <f t="shared" si="285"/>
        <v>0</v>
      </c>
      <c r="AT398" s="50">
        <f t="shared" si="285"/>
        <v>0</v>
      </c>
      <c r="AU398" s="50">
        <f t="shared" si="285"/>
        <v>0</v>
      </c>
    </row>
    <row r="399" spans="1:47">
      <c r="A399" s="38" t="str">
        <f t="shared" si="282"/>
        <v>1X-</v>
      </c>
      <c r="B399" s="38" t="s">
        <v>277</v>
      </c>
      <c r="C399" s="38" t="str">
        <f t="shared" si="286"/>
        <v xml:space="preserve">Pre-Dewatering </v>
      </c>
      <c r="D399" s="186">
        <f>OMEsc</f>
        <v>0.02</v>
      </c>
      <c r="E399" s="325"/>
      <c r="G399" s="36" t="s">
        <v>276</v>
      </c>
      <c r="I399" s="39"/>
      <c r="K399" s="39"/>
      <c r="L399" s="43" t="str">
        <f>"["&amp;CostBaseYr&amp;" $]"</f>
        <v>[2013 $]</v>
      </c>
      <c r="N399" s="70">
        <f ca="1">SUMIFS(OFFSET(Assumptions!$I$90,0,MATCH($A399,Configurations,0)-1,COUNT(Assumptions!$A$90:$A$183),1),Assumptions!$D$90:$D$183,$B399&amp;$C399)</f>
        <v>0</v>
      </c>
      <c r="O399" s="313"/>
      <c r="P399" s="323"/>
      <c r="Q399" s="313"/>
      <c r="R399" s="50">
        <f t="shared" ca="1" si="284"/>
        <v>0</v>
      </c>
      <c r="S399" s="50">
        <f t="shared" ca="1" si="285"/>
        <v>0</v>
      </c>
      <c r="T399" s="50">
        <f t="shared" ca="1" si="285"/>
        <v>0</v>
      </c>
      <c r="U399" s="50">
        <f t="shared" ca="1" si="285"/>
        <v>0</v>
      </c>
      <c r="V399" s="50">
        <f t="shared" ca="1" si="285"/>
        <v>0</v>
      </c>
      <c r="W399" s="50">
        <f t="shared" ca="1" si="285"/>
        <v>0</v>
      </c>
      <c r="X399" s="50">
        <f t="shared" ca="1" si="285"/>
        <v>0</v>
      </c>
      <c r="Y399" s="50">
        <f t="shared" ca="1" si="285"/>
        <v>0</v>
      </c>
      <c r="Z399" s="50">
        <f t="shared" ca="1" si="285"/>
        <v>0</v>
      </c>
      <c r="AA399" s="50">
        <f t="shared" ca="1" si="285"/>
        <v>0</v>
      </c>
      <c r="AB399" s="50">
        <f t="shared" ca="1" si="285"/>
        <v>0</v>
      </c>
      <c r="AC399" s="50">
        <f t="shared" ca="1" si="285"/>
        <v>0</v>
      </c>
      <c r="AD399" s="50">
        <f t="shared" ca="1" si="285"/>
        <v>0</v>
      </c>
      <c r="AE399" s="50">
        <f t="shared" ca="1" si="285"/>
        <v>0</v>
      </c>
      <c r="AF399" s="50">
        <f t="shared" ca="1" si="285"/>
        <v>0</v>
      </c>
      <c r="AG399" s="50">
        <f t="shared" ca="1" si="285"/>
        <v>0</v>
      </c>
      <c r="AH399" s="50">
        <f t="shared" ca="1" si="285"/>
        <v>0</v>
      </c>
      <c r="AI399" s="50">
        <f t="shared" ca="1" si="285"/>
        <v>0</v>
      </c>
      <c r="AJ399" s="50">
        <f t="shared" ca="1" si="285"/>
        <v>0</v>
      </c>
      <c r="AK399" s="50">
        <f t="shared" ca="1" si="285"/>
        <v>0</v>
      </c>
      <c r="AL399" s="50">
        <f t="shared" si="285"/>
        <v>0</v>
      </c>
      <c r="AM399" s="50">
        <f t="shared" si="285"/>
        <v>0</v>
      </c>
      <c r="AN399" s="50">
        <f t="shared" si="285"/>
        <v>0</v>
      </c>
      <c r="AO399" s="50">
        <f t="shared" si="285"/>
        <v>0</v>
      </c>
      <c r="AP399" s="50">
        <f t="shared" si="285"/>
        <v>0</v>
      </c>
      <c r="AQ399" s="50">
        <f t="shared" si="285"/>
        <v>0</v>
      </c>
      <c r="AR399" s="50">
        <f t="shared" si="285"/>
        <v>0</v>
      </c>
      <c r="AS399" s="50">
        <f t="shared" si="285"/>
        <v>0</v>
      </c>
      <c r="AT399" s="50">
        <f t="shared" si="285"/>
        <v>0</v>
      </c>
      <c r="AU399" s="50">
        <f t="shared" si="285"/>
        <v>0</v>
      </c>
    </row>
    <row r="400" spans="1:47">
      <c r="A400" s="38" t="str">
        <f t="shared" si="282"/>
        <v>1X-</v>
      </c>
      <c r="B400" s="38" t="s">
        <v>274</v>
      </c>
      <c r="C400" s="38" t="str">
        <f t="shared" si="286"/>
        <v xml:space="preserve">Pre-Dewatering </v>
      </c>
      <c r="D400" s="186"/>
      <c r="E400" s="325"/>
      <c r="G400" s="36" t="s">
        <v>16</v>
      </c>
      <c r="I400" s="39"/>
      <c r="K400" s="39"/>
      <c r="L400" s="43" t="s">
        <v>275</v>
      </c>
      <c r="N400" s="70">
        <f ca="1">SUMIFS(OFFSET(Assumptions!$I$90,0,MATCH($A400,Configurations,0)-1,COUNT(Assumptions!$A$90:$A$183),1),Assumptions!$D$90:$D$183,$B400&amp;$C400)</f>
        <v>0</v>
      </c>
      <c r="O400" s="313"/>
      <c r="P400" s="323"/>
      <c r="Q400" s="313"/>
      <c r="R400" s="50">
        <f t="shared" ref="R400:AU400" ca="1" si="287">IF(OR(R$99&lt;InServiceYr,R$99&gt;(InServiceYr+analysis_period-1)),0,IF($P400=0,$N400,$P400)*R$505)</f>
        <v>0</v>
      </c>
      <c r="S400" s="50">
        <f t="shared" ca="1" si="287"/>
        <v>0</v>
      </c>
      <c r="T400" s="50">
        <f t="shared" ca="1" si="287"/>
        <v>0</v>
      </c>
      <c r="U400" s="50">
        <f t="shared" ca="1" si="287"/>
        <v>0</v>
      </c>
      <c r="V400" s="50">
        <f t="shared" ca="1" si="287"/>
        <v>0</v>
      </c>
      <c r="W400" s="50">
        <f t="shared" ca="1" si="287"/>
        <v>0</v>
      </c>
      <c r="X400" s="50">
        <f t="shared" ca="1" si="287"/>
        <v>0</v>
      </c>
      <c r="Y400" s="50">
        <f t="shared" ca="1" si="287"/>
        <v>0</v>
      </c>
      <c r="Z400" s="50">
        <f t="shared" ca="1" si="287"/>
        <v>0</v>
      </c>
      <c r="AA400" s="50">
        <f t="shared" ca="1" si="287"/>
        <v>0</v>
      </c>
      <c r="AB400" s="50">
        <f t="shared" ca="1" si="287"/>
        <v>0</v>
      </c>
      <c r="AC400" s="50">
        <f t="shared" ca="1" si="287"/>
        <v>0</v>
      </c>
      <c r="AD400" s="50">
        <f t="shared" ca="1" si="287"/>
        <v>0</v>
      </c>
      <c r="AE400" s="50">
        <f t="shared" ca="1" si="287"/>
        <v>0</v>
      </c>
      <c r="AF400" s="50">
        <f t="shared" ca="1" si="287"/>
        <v>0</v>
      </c>
      <c r="AG400" s="50">
        <f t="shared" ca="1" si="287"/>
        <v>0</v>
      </c>
      <c r="AH400" s="50">
        <f t="shared" ca="1" si="287"/>
        <v>0</v>
      </c>
      <c r="AI400" s="50">
        <f t="shared" ca="1" si="287"/>
        <v>0</v>
      </c>
      <c r="AJ400" s="50">
        <f t="shared" ca="1" si="287"/>
        <v>0</v>
      </c>
      <c r="AK400" s="50">
        <f t="shared" ca="1" si="287"/>
        <v>0</v>
      </c>
      <c r="AL400" s="50">
        <f t="shared" si="287"/>
        <v>0</v>
      </c>
      <c r="AM400" s="50">
        <f t="shared" si="287"/>
        <v>0</v>
      </c>
      <c r="AN400" s="50">
        <f t="shared" si="287"/>
        <v>0</v>
      </c>
      <c r="AO400" s="50">
        <f t="shared" si="287"/>
        <v>0</v>
      </c>
      <c r="AP400" s="50">
        <f t="shared" si="287"/>
        <v>0</v>
      </c>
      <c r="AQ400" s="50">
        <f t="shared" si="287"/>
        <v>0</v>
      </c>
      <c r="AR400" s="50">
        <f t="shared" si="287"/>
        <v>0</v>
      </c>
      <c r="AS400" s="50">
        <f t="shared" si="287"/>
        <v>0</v>
      </c>
      <c r="AT400" s="50">
        <f t="shared" si="287"/>
        <v>0</v>
      </c>
      <c r="AU400" s="50">
        <f t="shared" si="287"/>
        <v>0</v>
      </c>
    </row>
    <row r="401" spans="1:47">
      <c r="A401" s="38" t="str">
        <f t="shared" si="282"/>
        <v>1X-</v>
      </c>
      <c r="B401" s="38" t="s">
        <v>257</v>
      </c>
      <c r="C401" s="38" t="str">
        <f t="shared" si="286"/>
        <v xml:space="preserve">Pre-Dewatering </v>
      </c>
      <c r="D401" s="186"/>
      <c r="E401" s="325"/>
      <c r="G401" s="36" t="s">
        <v>284</v>
      </c>
      <c r="I401" s="39"/>
      <c r="K401" s="39"/>
      <c r="L401" s="43" t="s">
        <v>293</v>
      </c>
      <c r="N401" s="70">
        <f ca="1">SUMIFS(OFFSET(Assumptions!$I$90,0,MATCH($A401,Configurations,0)-1,COUNT(Assumptions!$A$90:$A$183),1),Assumptions!$D$90:$D$183,$B401&amp;$C401)</f>
        <v>98920</v>
      </c>
      <c r="O401" s="313"/>
      <c r="P401" s="323"/>
      <c r="Q401" s="313"/>
      <c r="R401" s="50">
        <f t="shared" ref="R401:AU401" ca="1" si="288">IF(OR(R$99&lt;InServiceYr,R$99&gt;(InServiceYr+analysis_period-1)),0,IF($P401=0,$N401,$P401)*R$501)</f>
        <v>6388.4075257295417</v>
      </c>
      <c r="S401" s="50">
        <f t="shared" ca="1" si="288"/>
        <v>6428.2298638734437</v>
      </c>
      <c r="T401" s="50">
        <f t="shared" ca="1" si="288"/>
        <v>6705.3504772368324</v>
      </c>
      <c r="U401" s="50">
        <f t="shared" ca="1" si="288"/>
        <v>6906.4942124315075</v>
      </c>
      <c r="V401" s="50">
        <f t="shared" ca="1" si="288"/>
        <v>7073.1555862748792</v>
      </c>
      <c r="W401" s="50">
        <f t="shared" ca="1" si="288"/>
        <v>7163.6444660498528</v>
      </c>
      <c r="X401" s="50">
        <f t="shared" ca="1" si="288"/>
        <v>7280.214678822259</v>
      </c>
      <c r="Y401" s="50">
        <f t="shared" ca="1" si="288"/>
        <v>7459.5843407692801</v>
      </c>
      <c r="Z401" s="50">
        <f t="shared" ca="1" si="288"/>
        <v>7638.1718763863555</v>
      </c>
      <c r="AA401" s="50">
        <f t="shared" ca="1" si="288"/>
        <v>7829.1449338726006</v>
      </c>
      <c r="AB401" s="50">
        <f t="shared" ca="1" si="288"/>
        <v>7998.7226709652359</v>
      </c>
      <c r="AC401" s="50">
        <f t="shared" ca="1" si="288"/>
        <v>8152.7489440329455</v>
      </c>
      <c r="AD401" s="50">
        <f t="shared" ca="1" si="288"/>
        <v>8341.0757905727678</v>
      </c>
      <c r="AE401" s="50">
        <f t="shared" ca="1" si="288"/>
        <v>8531.1827417997174</v>
      </c>
      <c r="AF401" s="50">
        <f t="shared" ca="1" si="288"/>
        <v>8734.0252999025161</v>
      </c>
      <c r="AG401" s="50">
        <f t="shared" ca="1" si="288"/>
        <v>8961.2567762016843</v>
      </c>
      <c r="AH401" s="50">
        <f t="shared" ca="1" si="288"/>
        <v>9180.8744095088168</v>
      </c>
      <c r="AI401" s="50">
        <f t="shared" ca="1" si="288"/>
        <v>9419.0408146003538</v>
      </c>
      <c r="AJ401" s="50">
        <f t="shared" ca="1" si="288"/>
        <v>9671.1745321981671</v>
      </c>
      <c r="AK401" s="50">
        <f t="shared" ca="1" si="288"/>
        <v>9934.2620656407307</v>
      </c>
      <c r="AL401" s="50">
        <f t="shared" si="288"/>
        <v>0</v>
      </c>
      <c r="AM401" s="50">
        <f t="shared" si="288"/>
        <v>0</v>
      </c>
      <c r="AN401" s="50">
        <f t="shared" si="288"/>
        <v>0</v>
      </c>
      <c r="AO401" s="50">
        <f t="shared" si="288"/>
        <v>0</v>
      </c>
      <c r="AP401" s="50">
        <f t="shared" si="288"/>
        <v>0</v>
      </c>
      <c r="AQ401" s="50">
        <f t="shared" si="288"/>
        <v>0</v>
      </c>
      <c r="AR401" s="50">
        <f t="shared" si="288"/>
        <v>0</v>
      </c>
      <c r="AS401" s="50">
        <f t="shared" si="288"/>
        <v>0</v>
      </c>
      <c r="AT401" s="50">
        <f t="shared" si="288"/>
        <v>0</v>
      </c>
      <c r="AU401" s="50">
        <f t="shared" si="288"/>
        <v>0</v>
      </c>
    </row>
    <row r="402" spans="1:47">
      <c r="A402" s="38" t="str">
        <f t="shared" si="282"/>
        <v>1X-</v>
      </c>
      <c r="B402" s="38" t="s">
        <v>864</v>
      </c>
      <c r="C402" s="38" t="str">
        <f t="shared" si="286"/>
        <v xml:space="preserve">Pre-Dewatering </v>
      </c>
      <c r="D402" s="186">
        <f>GHGEsc</f>
        <v>0.02</v>
      </c>
      <c r="E402" s="325"/>
      <c r="G402" s="36" t="s">
        <v>865</v>
      </c>
      <c r="I402" s="39"/>
      <c r="K402" s="39"/>
      <c r="L402" s="43" t="s">
        <v>866</v>
      </c>
      <c r="N402" s="70">
        <f ca="1">SUMIFS(OFFSET(Assumptions!$I$90,0,MATCH($A402,Configurations,0)-1,COUNT(Assumptions!$A$90:$A$183),1),Assumptions!$D$90:$D$183,$B402&amp;$C402)</f>
        <v>0</v>
      </c>
      <c r="O402" s="313"/>
      <c r="P402" s="323"/>
      <c r="Q402" s="313"/>
      <c r="R402" s="50">
        <f t="shared" ref="R402:AU402" ca="1" si="289">IF(OR(R$99&lt;InServiceYr,R$99&gt;(InServiceYr+analysis_period-1)),0,IF($P402=0,$N402,$P402)*R$513)</f>
        <v>0</v>
      </c>
      <c r="S402" s="50">
        <f t="shared" ca="1" si="289"/>
        <v>0</v>
      </c>
      <c r="T402" s="50">
        <f t="shared" ca="1" si="289"/>
        <v>0</v>
      </c>
      <c r="U402" s="50">
        <f t="shared" ca="1" si="289"/>
        <v>0</v>
      </c>
      <c r="V402" s="50">
        <f t="shared" ca="1" si="289"/>
        <v>0</v>
      </c>
      <c r="W402" s="50">
        <f t="shared" ca="1" si="289"/>
        <v>0</v>
      </c>
      <c r="X402" s="50">
        <f t="shared" ca="1" si="289"/>
        <v>0</v>
      </c>
      <c r="Y402" s="50">
        <f t="shared" ca="1" si="289"/>
        <v>0</v>
      </c>
      <c r="Z402" s="50">
        <f t="shared" ca="1" si="289"/>
        <v>0</v>
      </c>
      <c r="AA402" s="50">
        <f t="shared" ca="1" si="289"/>
        <v>0</v>
      </c>
      <c r="AB402" s="50">
        <f t="shared" ca="1" si="289"/>
        <v>0</v>
      </c>
      <c r="AC402" s="50">
        <f t="shared" ca="1" si="289"/>
        <v>0</v>
      </c>
      <c r="AD402" s="50">
        <f t="shared" ca="1" si="289"/>
        <v>0</v>
      </c>
      <c r="AE402" s="50">
        <f t="shared" ca="1" si="289"/>
        <v>0</v>
      </c>
      <c r="AF402" s="50">
        <f t="shared" ca="1" si="289"/>
        <v>0</v>
      </c>
      <c r="AG402" s="50">
        <f t="shared" ca="1" si="289"/>
        <v>0</v>
      </c>
      <c r="AH402" s="50">
        <f t="shared" ca="1" si="289"/>
        <v>0</v>
      </c>
      <c r="AI402" s="50">
        <f t="shared" ca="1" si="289"/>
        <v>0</v>
      </c>
      <c r="AJ402" s="50">
        <f t="shared" ca="1" si="289"/>
        <v>0</v>
      </c>
      <c r="AK402" s="50">
        <f t="shared" ca="1" si="289"/>
        <v>0</v>
      </c>
      <c r="AL402" s="50">
        <f t="shared" si="289"/>
        <v>0</v>
      </c>
      <c r="AM402" s="50">
        <f t="shared" si="289"/>
        <v>0</v>
      </c>
      <c r="AN402" s="50">
        <f t="shared" si="289"/>
        <v>0</v>
      </c>
      <c r="AO402" s="50">
        <f t="shared" si="289"/>
        <v>0</v>
      </c>
      <c r="AP402" s="50">
        <f t="shared" si="289"/>
        <v>0</v>
      </c>
      <c r="AQ402" s="50">
        <f t="shared" si="289"/>
        <v>0</v>
      </c>
      <c r="AR402" s="50">
        <f t="shared" si="289"/>
        <v>0</v>
      </c>
      <c r="AS402" s="50">
        <f t="shared" si="289"/>
        <v>0</v>
      </c>
      <c r="AT402" s="50">
        <f t="shared" si="289"/>
        <v>0</v>
      </c>
      <c r="AU402" s="50">
        <f t="shared" si="289"/>
        <v>0</v>
      </c>
    </row>
    <row r="403" spans="1:47">
      <c r="A403" s="38" t="str">
        <f t="shared" si="282"/>
        <v>1X-</v>
      </c>
      <c r="B403" s="38" t="s">
        <v>273</v>
      </c>
      <c r="C403" s="38" t="str">
        <f>C401</f>
        <v xml:space="preserve">Pre-Dewatering </v>
      </c>
      <c r="D403" s="186">
        <f>LaborEsc</f>
        <v>0.02</v>
      </c>
      <c r="E403" s="325"/>
      <c r="G403" s="36" t="s">
        <v>291</v>
      </c>
      <c r="I403" s="39"/>
      <c r="K403" s="39"/>
      <c r="L403" s="43" t="str">
        <f>"["&amp;CostBaseYr&amp;" $]"</f>
        <v>[2013 $]</v>
      </c>
      <c r="N403" s="70">
        <f ca="1">SUMIFS(OFFSET(Assumptions!$I$90,0,MATCH($A403,Configurations,0)-1,COUNT(Assumptions!$A$90:$A$183),1),Assumptions!$D$90:$D$183,$B403&amp;$C403)</f>
        <v>0</v>
      </c>
      <c r="O403" s="313"/>
      <c r="P403" s="323"/>
      <c r="Q403" s="313"/>
      <c r="R403" s="50">
        <f t="shared" ref="R403:AU403" ca="1" si="290">IF(OR(R$99&lt;InServiceYr,R$99&gt;(InServiceYr+analysis_period-1)),0,IF($P403=0,$N403,$P403)*(1+$D403)^(R$99-CostBaseYr))*R$509</f>
        <v>0</v>
      </c>
      <c r="S403" s="50">
        <f t="shared" ca="1" si="290"/>
        <v>0</v>
      </c>
      <c r="T403" s="50">
        <f t="shared" ca="1" si="290"/>
        <v>0</v>
      </c>
      <c r="U403" s="50">
        <f t="shared" ca="1" si="290"/>
        <v>0</v>
      </c>
      <c r="V403" s="50">
        <f t="shared" ca="1" si="290"/>
        <v>0</v>
      </c>
      <c r="W403" s="50">
        <f t="shared" ca="1" si="290"/>
        <v>0</v>
      </c>
      <c r="X403" s="50">
        <f t="shared" ca="1" si="290"/>
        <v>0</v>
      </c>
      <c r="Y403" s="50">
        <f t="shared" ca="1" si="290"/>
        <v>0</v>
      </c>
      <c r="Z403" s="50">
        <f t="shared" ca="1" si="290"/>
        <v>0</v>
      </c>
      <c r="AA403" s="50">
        <f t="shared" ca="1" si="290"/>
        <v>0</v>
      </c>
      <c r="AB403" s="50">
        <f t="shared" ca="1" si="290"/>
        <v>0</v>
      </c>
      <c r="AC403" s="50">
        <f t="shared" ca="1" si="290"/>
        <v>0</v>
      </c>
      <c r="AD403" s="50">
        <f t="shared" ca="1" si="290"/>
        <v>0</v>
      </c>
      <c r="AE403" s="50">
        <f t="shared" ca="1" si="290"/>
        <v>0</v>
      </c>
      <c r="AF403" s="50">
        <f t="shared" ca="1" si="290"/>
        <v>0</v>
      </c>
      <c r="AG403" s="50">
        <f t="shared" ca="1" si="290"/>
        <v>0</v>
      </c>
      <c r="AH403" s="50">
        <f t="shared" ca="1" si="290"/>
        <v>0</v>
      </c>
      <c r="AI403" s="50">
        <f t="shared" ca="1" si="290"/>
        <v>0</v>
      </c>
      <c r="AJ403" s="50">
        <f t="shared" ca="1" si="290"/>
        <v>0</v>
      </c>
      <c r="AK403" s="50">
        <f t="shared" ca="1" si="290"/>
        <v>0</v>
      </c>
      <c r="AL403" s="50">
        <f t="shared" si="290"/>
        <v>0</v>
      </c>
      <c r="AM403" s="50">
        <f t="shared" si="290"/>
        <v>0</v>
      </c>
      <c r="AN403" s="50">
        <f t="shared" si="290"/>
        <v>0</v>
      </c>
      <c r="AO403" s="50">
        <f t="shared" si="290"/>
        <v>0</v>
      </c>
      <c r="AP403" s="50">
        <f t="shared" si="290"/>
        <v>0</v>
      </c>
      <c r="AQ403" s="50">
        <f t="shared" si="290"/>
        <v>0</v>
      </c>
      <c r="AR403" s="50">
        <f t="shared" si="290"/>
        <v>0</v>
      </c>
      <c r="AS403" s="50">
        <f t="shared" si="290"/>
        <v>0</v>
      </c>
      <c r="AT403" s="50">
        <f t="shared" si="290"/>
        <v>0</v>
      </c>
      <c r="AU403" s="50">
        <f t="shared" si="290"/>
        <v>0</v>
      </c>
    </row>
    <row r="404" spans="1:47">
      <c r="D404" s="186"/>
      <c r="E404" s="325"/>
      <c r="G404" s="39" t="s">
        <v>304</v>
      </c>
      <c r="I404" s="39"/>
      <c r="K404" s="39"/>
      <c r="L404" s="43"/>
      <c r="N404" s="70"/>
      <c r="O404" s="313"/>
      <c r="P404" s="70"/>
      <c r="Q404" s="313"/>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row>
    <row r="405" spans="1:47">
      <c r="A405" s="38" t="str">
        <f>$J$4&amp;"-"</f>
        <v>1X-</v>
      </c>
      <c r="B405" s="38" t="s">
        <v>265</v>
      </c>
      <c r="C405" s="38" t="str">
        <f>C396</f>
        <v xml:space="preserve">Pre-Dewatering </v>
      </c>
      <c r="D405" s="186"/>
      <c r="E405" s="325"/>
      <c r="G405" s="36" t="s">
        <v>108</v>
      </c>
      <c r="I405" s="39"/>
      <c r="K405" s="39"/>
      <c r="L405" s="43" t="s">
        <v>293</v>
      </c>
      <c r="N405" s="70">
        <f ca="1">SUMIFS(OFFSET(Assumptions!$I$90,0,MATCH($A405,Configurations,0)-1,COUNT(Assumptions!$A$90:$A$183),1),Assumptions!$D$90:$D$183,$B405&amp;$C405)</f>
        <v>0</v>
      </c>
      <c r="O405" s="313"/>
      <c r="P405" s="323"/>
      <c r="Q405" s="313"/>
      <c r="R405" s="50">
        <f t="shared" ref="R405:AU405" ca="1" si="291">IF(OR(R$99&lt;InServiceYr,R$99&gt;(InServiceYr+analysis_period-1)),0,IF($P405=0,$N405,$P405)*R$501)</f>
        <v>0</v>
      </c>
      <c r="S405" s="50">
        <f t="shared" ca="1" si="291"/>
        <v>0</v>
      </c>
      <c r="T405" s="50">
        <f t="shared" ca="1" si="291"/>
        <v>0</v>
      </c>
      <c r="U405" s="50">
        <f t="shared" ca="1" si="291"/>
        <v>0</v>
      </c>
      <c r="V405" s="50">
        <f t="shared" ca="1" si="291"/>
        <v>0</v>
      </c>
      <c r="W405" s="50">
        <f t="shared" ca="1" si="291"/>
        <v>0</v>
      </c>
      <c r="X405" s="50">
        <f t="shared" ca="1" si="291"/>
        <v>0</v>
      </c>
      <c r="Y405" s="50">
        <f t="shared" ca="1" si="291"/>
        <v>0</v>
      </c>
      <c r="Z405" s="50">
        <f t="shared" ca="1" si="291"/>
        <v>0</v>
      </c>
      <c r="AA405" s="50">
        <f t="shared" ca="1" si="291"/>
        <v>0</v>
      </c>
      <c r="AB405" s="50">
        <f t="shared" ca="1" si="291"/>
        <v>0</v>
      </c>
      <c r="AC405" s="50">
        <f t="shared" ca="1" si="291"/>
        <v>0</v>
      </c>
      <c r="AD405" s="50">
        <f t="shared" ca="1" si="291"/>
        <v>0</v>
      </c>
      <c r="AE405" s="50">
        <f t="shared" ca="1" si="291"/>
        <v>0</v>
      </c>
      <c r="AF405" s="50">
        <f t="shared" ca="1" si="291"/>
        <v>0</v>
      </c>
      <c r="AG405" s="50">
        <f t="shared" ca="1" si="291"/>
        <v>0</v>
      </c>
      <c r="AH405" s="50">
        <f t="shared" ca="1" si="291"/>
        <v>0</v>
      </c>
      <c r="AI405" s="50">
        <f t="shared" ca="1" si="291"/>
        <v>0</v>
      </c>
      <c r="AJ405" s="50">
        <f t="shared" ca="1" si="291"/>
        <v>0</v>
      </c>
      <c r="AK405" s="50">
        <f t="shared" ca="1" si="291"/>
        <v>0</v>
      </c>
      <c r="AL405" s="50">
        <f t="shared" si="291"/>
        <v>0</v>
      </c>
      <c r="AM405" s="50">
        <f t="shared" si="291"/>
        <v>0</v>
      </c>
      <c r="AN405" s="50">
        <f t="shared" si="291"/>
        <v>0</v>
      </c>
      <c r="AO405" s="50">
        <f t="shared" si="291"/>
        <v>0</v>
      </c>
      <c r="AP405" s="50">
        <f t="shared" si="291"/>
        <v>0</v>
      </c>
      <c r="AQ405" s="50">
        <f t="shared" si="291"/>
        <v>0</v>
      </c>
      <c r="AR405" s="50">
        <f t="shared" si="291"/>
        <v>0</v>
      </c>
      <c r="AS405" s="50">
        <f t="shared" si="291"/>
        <v>0</v>
      </c>
      <c r="AT405" s="50">
        <f t="shared" si="291"/>
        <v>0</v>
      </c>
      <c r="AU405" s="50">
        <f t="shared" si="291"/>
        <v>0</v>
      </c>
    </row>
    <row r="406" spans="1:47">
      <c r="A406" s="38" t="str">
        <f>$J$4&amp;"-"</f>
        <v>1X-</v>
      </c>
      <c r="B406" s="38" t="s">
        <v>289</v>
      </c>
      <c r="C406" s="38" t="str">
        <f>C396</f>
        <v xml:space="preserve">Pre-Dewatering </v>
      </c>
      <c r="D406" s="186">
        <f>LaborEsc</f>
        <v>0.02</v>
      </c>
      <c r="E406" s="325"/>
      <c r="G406" s="36" t="s">
        <v>292</v>
      </c>
      <c r="I406" s="39"/>
      <c r="K406" s="39"/>
      <c r="L406" s="43" t="str">
        <f>"["&amp;CostBaseYr&amp;" $]"</f>
        <v>[2013 $]</v>
      </c>
      <c r="N406" s="70">
        <f ca="1">SUMIFS(OFFSET(Assumptions!$I$90,0,MATCH($A406,Configurations,0)-1,COUNT(Assumptions!$A$90:$A$183),1),Assumptions!$D$90:$D$183,$B406&amp;$C406)</f>
        <v>0</v>
      </c>
      <c r="O406" s="313"/>
      <c r="P406" s="323"/>
      <c r="Q406" s="313"/>
      <c r="R406" s="50">
        <f t="shared" ref="R406:AU406" ca="1" si="292">IF(OR(R$99&lt;InServiceYr,R$99&gt;(InServiceYr+analysis_period-1)),0,IF($P406=0,$N406,$P406)*(1+$D406)^(R$99-CostBaseYr))</f>
        <v>0</v>
      </c>
      <c r="S406" s="50">
        <f t="shared" ca="1" si="292"/>
        <v>0</v>
      </c>
      <c r="T406" s="50">
        <f t="shared" ca="1" si="292"/>
        <v>0</v>
      </c>
      <c r="U406" s="50">
        <f t="shared" ca="1" si="292"/>
        <v>0</v>
      </c>
      <c r="V406" s="50">
        <f t="shared" ca="1" si="292"/>
        <v>0</v>
      </c>
      <c r="W406" s="50">
        <f t="shared" ca="1" si="292"/>
        <v>0</v>
      </c>
      <c r="X406" s="50">
        <f t="shared" ca="1" si="292"/>
        <v>0</v>
      </c>
      <c r="Y406" s="50">
        <f t="shared" ca="1" si="292"/>
        <v>0</v>
      </c>
      <c r="Z406" s="50">
        <f t="shared" ca="1" si="292"/>
        <v>0</v>
      </c>
      <c r="AA406" s="50">
        <f t="shared" ca="1" si="292"/>
        <v>0</v>
      </c>
      <c r="AB406" s="50">
        <f t="shared" ca="1" si="292"/>
        <v>0</v>
      </c>
      <c r="AC406" s="50">
        <f t="shared" ca="1" si="292"/>
        <v>0</v>
      </c>
      <c r="AD406" s="50">
        <f t="shared" ca="1" si="292"/>
        <v>0</v>
      </c>
      <c r="AE406" s="50">
        <f t="shared" ca="1" si="292"/>
        <v>0</v>
      </c>
      <c r="AF406" s="50">
        <f t="shared" ca="1" si="292"/>
        <v>0</v>
      </c>
      <c r="AG406" s="50">
        <f t="shared" ca="1" si="292"/>
        <v>0</v>
      </c>
      <c r="AH406" s="50">
        <f t="shared" ca="1" si="292"/>
        <v>0</v>
      </c>
      <c r="AI406" s="50">
        <f t="shared" ca="1" si="292"/>
        <v>0</v>
      </c>
      <c r="AJ406" s="50">
        <f t="shared" ca="1" si="292"/>
        <v>0</v>
      </c>
      <c r="AK406" s="50">
        <f t="shared" ca="1" si="292"/>
        <v>0</v>
      </c>
      <c r="AL406" s="50">
        <f t="shared" si="292"/>
        <v>0</v>
      </c>
      <c r="AM406" s="50">
        <f t="shared" si="292"/>
        <v>0</v>
      </c>
      <c r="AN406" s="50">
        <f t="shared" si="292"/>
        <v>0</v>
      </c>
      <c r="AO406" s="50">
        <f t="shared" si="292"/>
        <v>0</v>
      </c>
      <c r="AP406" s="50">
        <f t="shared" si="292"/>
        <v>0</v>
      </c>
      <c r="AQ406" s="50">
        <f t="shared" si="292"/>
        <v>0</v>
      </c>
      <c r="AR406" s="50">
        <f t="shared" si="292"/>
        <v>0</v>
      </c>
      <c r="AS406" s="50">
        <f t="shared" si="292"/>
        <v>0</v>
      </c>
      <c r="AT406" s="50">
        <f t="shared" si="292"/>
        <v>0</v>
      </c>
      <c r="AU406" s="50">
        <f t="shared" si="292"/>
        <v>0</v>
      </c>
    </row>
    <row r="407" spans="1:47" s="60" customFormat="1">
      <c r="D407" s="187"/>
      <c r="E407" s="325"/>
      <c r="G407" s="39" t="s">
        <v>305</v>
      </c>
      <c r="I407" s="39"/>
      <c r="K407" s="39"/>
      <c r="L407" s="174"/>
      <c r="N407" s="188"/>
      <c r="O407" s="314"/>
      <c r="P407" s="185"/>
      <c r="Q407" s="314"/>
      <c r="R407" s="185">
        <f ca="1">SUM(R396:R403)-SUM(R405:R406)</f>
        <v>359155.40752572956</v>
      </c>
      <c r="S407" s="185">
        <f t="shared" ref="S407:AU407" ca="1" si="293">SUM(S396:S403)-SUM(S405:S406)</f>
        <v>366250.56986387348</v>
      </c>
      <c r="T407" s="185">
        <f t="shared" ca="1" si="293"/>
        <v>373724.13727723685</v>
      </c>
      <c r="U407" s="185">
        <f t="shared" ca="1" si="293"/>
        <v>381265.6567484315</v>
      </c>
      <c r="V407" s="185">
        <f t="shared" ca="1" si="293"/>
        <v>388919.50137299486</v>
      </c>
      <c r="W407" s="185">
        <f t="shared" ca="1" si="293"/>
        <v>396646.91716850427</v>
      </c>
      <c r="X407" s="185">
        <f t="shared" ca="1" si="293"/>
        <v>404553.15283532563</v>
      </c>
      <c r="Y407" s="185">
        <f t="shared" ca="1" si="293"/>
        <v>412677.98126040277</v>
      </c>
      <c r="Z407" s="185">
        <f t="shared" ca="1" si="293"/>
        <v>420960.93673441251</v>
      </c>
      <c r="AA407" s="185">
        <f t="shared" ca="1" si="293"/>
        <v>429418.3650890594</v>
      </c>
      <c r="AB407" s="185">
        <f t="shared" ca="1" si="293"/>
        <v>438019.7272292556</v>
      </c>
      <c r="AC407" s="185">
        <f t="shared" ca="1" si="293"/>
        <v>446774.17359348922</v>
      </c>
      <c r="AD407" s="185">
        <f t="shared" ca="1" si="293"/>
        <v>455734.92893301812</v>
      </c>
      <c r="AE407" s="185">
        <f t="shared" ca="1" si="293"/>
        <v>464872.91294709407</v>
      </c>
      <c r="AF407" s="185">
        <f t="shared" ca="1" si="293"/>
        <v>474202.59010930266</v>
      </c>
      <c r="AG407" s="185">
        <f t="shared" ca="1" si="293"/>
        <v>483739.19288178987</v>
      </c>
      <c r="AH407" s="185">
        <f t="shared" ca="1" si="293"/>
        <v>493454.3692372088</v>
      </c>
      <c r="AI407" s="185">
        <f t="shared" ca="1" si="293"/>
        <v>503378.00553885428</v>
      </c>
      <c r="AJ407" s="185">
        <f t="shared" ca="1" si="293"/>
        <v>513509.31855093717</v>
      </c>
      <c r="AK407" s="185">
        <f t="shared" ca="1" si="293"/>
        <v>523849.16896475456</v>
      </c>
      <c r="AL407" s="185">
        <f t="shared" si="293"/>
        <v>0</v>
      </c>
      <c r="AM407" s="185">
        <f t="shared" si="293"/>
        <v>0</v>
      </c>
      <c r="AN407" s="185">
        <f t="shared" si="293"/>
        <v>0</v>
      </c>
      <c r="AO407" s="185">
        <f t="shared" si="293"/>
        <v>0</v>
      </c>
      <c r="AP407" s="185">
        <f t="shared" si="293"/>
        <v>0</v>
      </c>
      <c r="AQ407" s="185">
        <f t="shared" si="293"/>
        <v>0</v>
      </c>
      <c r="AR407" s="185">
        <f t="shared" si="293"/>
        <v>0</v>
      </c>
      <c r="AS407" s="185">
        <f t="shared" si="293"/>
        <v>0</v>
      </c>
      <c r="AT407" s="185">
        <f t="shared" si="293"/>
        <v>0</v>
      </c>
      <c r="AU407" s="185">
        <f t="shared" si="293"/>
        <v>0</v>
      </c>
    </row>
    <row r="408" spans="1:47">
      <c r="E408" s="36"/>
      <c r="G408" s="39"/>
      <c r="H408" s="39"/>
      <c r="I408" s="39"/>
      <c r="J408" s="39"/>
      <c r="K408" s="39"/>
    </row>
    <row r="409" spans="1:47">
      <c r="E409" s="327"/>
      <c r="F409" s="28"/>
      <c r="G409" s="324" t="str">
        <f>C411&amp;" Capital Costs"</f>
        <v>Pre-Treatment (CAMBI) Capital Costs</v>
      </c>
      <c r="H409" s="324"/>
      <c r="I409" s="324"/>
      <c r="J409" s="324"/>
      <c r="K409" s="324"/>
      <c r="L409" s="405" t="s">
        <v>79</v>
      </c>
      <c r="M409" s="256"/>
      <c r="N409" s="325" t="s">
        <v>490</v>
      </c>
      <c r="O409" s="311"/>
      <c r="P409" s="325" t="s">
        <v>491</v>
      </c>
      <c r="Q409" s="310"/>
      <c r="R409" s="325">
        <f>R$8</f>
        <v>2014</v>
      </c>
      <c r="S409" s="325">
        <f t="shared" ref="S409:AU409" si="294">S$8</f>
        <v>2015</v>
      </c>
      <c r="T409" s="325">
        <f t="shared" si="294"/>
        <v>2016</v>
      </c>
      <c r="U409" s="325">
        <f t="shared" si="294"/>
        <v>2017</v>
      </c>
      <c r="V409" s="325">
        <f t="shared" si="294"/>
        <v>2018</v>
      </c>
      <c r="W409" s="325">
        <f t="shared" si="294"/>
        <v>2019</v>
      </c>
      <c r="X409" s="325">
        <f t="shared" si="294"/>
        <v>2020</v>
      </c>
      <c r="Y409" s="325">
        <f t="shared" si="294"/>
        <v>2021</v>
      </c>
      <c r="Z409" s="325">
        <f t="shared" si="294"/>
        <v>2022</v>
      </c>
      <c r="AA409" s="325">
        <f t="shared" si="294"/>
        <v>2023</v>
      </c>
      <c r="AB409" s="325">
        <f t="shared" si="294"/>
        <v>2024</v>
      </c>
      <c r="AC409" s="325">
        <f t="shared" si="294"/>
        <v>2025</v>
      </c>
      <c r="AD409" s="325">
        <f t="shared" si="294"/>
        <v>2026</v>
      </c>
      <c r="AE409" s="325">
        <f t="shared" si="294"/>
        <v>2027</v>
      </c>
      <c r="AF409" s="325">
        <f t="shared" si="294"/>
        <v>2028</v>
      </c>
      <c r="AG409" s="325">
        <f t="shared" si="294"/>
        <v>2029</v>
      </c>
      <c r="AH409" s="325">
        <f t="shared" si="294"/>
        <v>2030</v>
      </c>
      <c r="AI409" s="325">
        <f t="shared" si="294"/>
        <v>2031</v>
      </c>
      <c r="AJ409" s="325">
        <f t="shared" si="294"/>
        <v>2032</v>
      </c>
      <c r="AK409" s="325">
        <f t="shared" si="294"/>
        <v>2033</v>
      </c>
      <c r="AL409" s="325">
        <f t="shared" si="294"/>
        <v>2034</v>
      </c>
      <c r="AM409" s="325">
        <f t="shared" si="294"/>
        <v>2035</v>
      </c>
      <c r="AN409" s="325">
        <f t="shared" si="294"/>
        <v>2036</v>
      </c>
      <c r="AO409" s="325">
        <f t="shared" si="294"/>
        <v>2037</v>
      </c>
      <c r="AP409" s="325">
        <f t="shared" si="294"/>
        <v>2038</v>
      </c>
      <c r="AQ409" s="325">
        <f t="shared" si="294"/>
        <v>2039</v>
      </c>
      <c r="AR409" s="325">
        <f t="shared" si="294"/>
        <v>2040</v>
      </c>
      <c r="AS409" s="325">
        <f t="shared" si="294"/>
        <v>2041</v>
      </c>
      <c r="AT409" s="325">
        <f t="shared" si="294"/>
        <v>2042</v>
      </c>
      <c r="AU409" s="325">
        <f t="shared" si="294"/>
        <v>2043</v>
      </c>
    </row>
    <row r="410" spans="1:47">
      <c r="E410" s="325"/>
      <c r="G410" s="39"/>
      <c r="H410" s="39"/>
      <c r="I410" s="39"/>
      <c r="J410" s="39"/>
      <c r="K410" s="39"/>
    </row>
    <row r="411" spans="1:47">
      <c r="A411" s="38" t="str">
        <f>$J$4&amp;"-"</f>
        <v>1X-</v>
      </c>
      <c r="B411" s="38" t="s">
        <v>306</v>
      </c>
      <c r="C411" s="38" t="s">
        <v>138</v>
      </c>
      <c r="D411" s="186">
        <f>CapExEsc</f>
        <v>0.03</v>
      </c>
      <c r="E411" s="325"/>
      <c r="G411" s="36" t="s">
        <v>8</v>
      </c>
      <c r="H411" s="39"/>
      <c r="I411" s="39"/>
      <c r="J411" s="70"/>
      <c r="K411" s="39"/>
      <c r="L411" s="43" t="str">
        <f>"["&amp;CostBaseYr&amp;" $]"</f>
        <v>[2013 $]</v>
      </c>
      <c r="N411" s="52">
        <f ca="1">SUMIFS(OFFSET(Assumptions!$I$65,0,MATCH($A411,Configurations,0)-1,COUNT(Assumptions!$A$65:$A$84),1),Assumptions!$E$65:$E$84,$C411)</f>
        <v>5130000</v>
      </c>
      <c r="O411" s="52"/>
      <c r="P411" s="322"/>
      <c r="Q411" s="52"/>
      <c r="R411" s="52">
        <f t="shared" ref="R411:AU411" ca="1" si="295">R412*IF($P411=0,$N411,$P411)*(1+$D411)^(R$8-CostBaseYr)</f>
        <v>5283900</v>
      </c>
      <c r="S411" s="52">
        <f t="shared" ca="1" si="295"/>
        <v>0</v>
      </c>
      <c r="T411" s="52">
        <f t="shared" ca="1" si="295"/>
        <v>0</v>
      </c>
      <c r="U411" s="52">
        <f t="shared" ca="1" si="295"/>
        <v>0</v>
      </c>
      <c r="V411" s="52">
        <f t="shared" ca="1" si="295"/>
        <v>0</v>
      </c>
      <c r="W411" s="52">
        <f t="shared" ca="1" si="295"/>
        <v>0</v>
      </c>
      <c r="X411" s="52">
        <f t="shared" ca="1" si="295"/>
        <v>0</v>
      </c>
      <c r="Y411" s="52">
        <f t="shared" ca="1" si="295"/>
        <v>0</v>
      </c>
      <c r="Z411" s="52">
        <f t="shared" ca="1" si="295"/>
        <v>0</v>
      </c>
      <c r="AA411" s="52">
        <f t="shared" ca="1" si="295"/>
        <v>0</v>
      </c>
      <c r="AB411" s="52">
        <f t="shared" ca="1" si="295"/>
        <v>0</v>
      </c>
      <c r="AC411" s="52">
        <f t="shared" ca="1" si="295"/>
        <v>0</v>
      </c>
      <c r="AD411" s="52">
        <f t="shared" ca="1" si="295"/>
        <v>0</v>
      </c>
      <c r="AE411" s="52">
        <f t="shared" ca="1" si="295"/>
        <v>0</v>
      </c>
      <c r="AF411" s="52">
        <f t="shared" ca="1" si="295"/>
        <v>0</v>
      </c>
      <c r="AG411" s="52">
        <f t="shared" ca="1" si="295"/>
        <v>0</v>
      </c>
      <c r="AH411" s="52">
        <f t="shared" ca="1" si="295"/>
        <v>0</v>
      </c>
      <c r="AI411" s="52">
        <f t="shared" ca="1" si="295"/>
        <v>0</v>
      </c>
      <c r="AJ411" s="52">
        <f t="shared" ca="1" si="295"/>
        <v>0</v>
      </c>
      <c r="AK411" s="52">
        <f t="shared" ca="1" si="295"/>
        <v>0</v>
      </c>
      <c r="AL411" s="52">
        <f t="shared" ca="1" si="295"/>
        <v>0</v>
      </c>
      <c r="AM411" s="52">
        <f t="shared" ca="1" si="295"/>
        <v>0</v>
      </c>
      <c r="AN411" s="52">
        <f t="shared" ca="1" si="295"/>
        <v>0</v>
      </c>
      <c r="AO411" s="52">
        <f t="shared" ca="1" si="295"/>
        <v>0</v>
      </c>
      <c r="AP411" s="52">
        <f t="shared" ca="1" si="295"/>
        <v>0</v>
      </c>
      <c r="AQ411" s="52">
        <f t="shared" ca="1" si="295"/>
        <v>0</v>
      </c>
      <c r="AR411" s="52">
        <f t="shared" ca="1" si="295"/>
        <v>0</v>
      </c>
      <c r="AS411" s="52">
        <f t="shared" ca="1" si="295"/>
        <v>0</v>
      </c>
      <c r="AT411" s="52">
        <f t="shared" ca="1" si="295"/>
        <v>0</v>
      </c>
      <c r="AU411" s="52">
        <f t="shared" ca="1" si="295"/>
        <v>0</v>
      </c>
    </row>
    <row r="412" spans="1:47">
      <c r="E412" s="325"/>
      <c r="G412" s="36" t="s">
        <v>10</v>
      </c>
      <c r="H412" s="39"/>
      <c r="I412" s="39"/>
      <c r="J412" s="39"/>
      <c r="K412" s="39"/>
      <c r="L412" s="43"/>
      <c r="R412" s="54">
        <f>Assumptions!M$60</f>
        <v>1</v>
      </c>
      <c r="S412" s="54">
        <f>Assumptions!N$60</f>
        <v>0</v>
      </c>
      <c r="T412" s="54">
        <f>Assumptions!O$60</f>
        <v>0</v>
      </c>
      <c r="U412" s="54">
        <f>Assumptions!P$60</f>
        <v>0</v>
      </c>
      <c r="V412" s="54">
        <f>Assumptions!Q$60</f>
        <v>0</v>
      </c>
      <c r="W412" s="54">
        <f>Assumptions!R$60</f>
        <v>0</v>
      </c>
      <c r="X412" s="54">
        <f>Assumptions!S$60</f>
        <v>0</v>
      </c>
      <c r="Y412" s="54">
        <f>Assumptions!T$60</f>
        <v>0</v>
      </c>
      <c r="Z412" s="54">
        <f>Assumptions!U$60</f>
        <v>0</v>
      </c>
      <c r="AA412" s="54">
        <f>Assumptions!V$60</f>
        <v>0</v>
      </c>
      <c r="AB412" s="54">
        <f>Assumptions!W$60</f>
        <v>0</v>
      </c>
      <c r="AC412" s="54">
        <f>Assumptions!X$60</f>
        <v>0</v>
      </c>
      <c r="AD412" s="54">
        <f>Assumptions!Y$60</f>
        <v>0</v>
      </c>
      <c r="AE412" s="54">
        <f>Assumptions!Z$60</f>
        <v>0</v>
      </c>
      <c r="AF412" s="54">
        <f>Assumptions!AA$60</f>
        <v>0</v>
      </c>
      <c r="AG412" s="54">
        <f>Assumptions!AB$60</f>
        <v>0</v>
      </c>
      <c r="AH412" s="54">
        <f>Assumptions!AC$60</f>
        <v>0</v>
      </c>
      <c r="AI412" s="54">
        <f>Assumptions!AD$60</f>
        <v>0</v>
      </c>
      <c r="AJ412" s="54">
        <f>Assumptions!AE$60</f>
        <v>0</v>
      </c>
      <c r="AK412" s="54">
        <f>Assumptions!AF$60</f>
        <v>0</v>
      </c>
      <c r="AL412" s="54">
        <f>Assumptions!AG$60</f>
        <v>0</v>
      </c>
      <c r="AM412" s="54">
        <f>Assumptions!AH$60</f>
        <v>0</v>
      </c>
      <c r="AN412" s="54">
        <f>Assumptions!AI$60</f>
        <v>0</v>
      </c>
      <c r="AO412" s="54">
        <f>Assumptions!AJ$60</f>
        <v>0</v>
      </c>
      <c r="AP412" s="54">
        <f>Assumptions!AK$60</f>
        <v>0</v>
      </c>
      <c r="AQ412" s="54">
        <f>Assumptions!AL$60</f>
        <v>0</v>
      </c>
      <c r="AR412" s="54">
        <f>Assumptions!AM$60</f>
        <v>0</v>
      </c>
      <c r="AS412" s="54">
        <f>Assumptions!AN$60</f>
        <v>0</v>
      </c>
      <c r="AT412" s="54">
        <f>Assumptions!AO$60</f>
        <v>0</v>
      </c>
      <c r="AU412" s="54">
        <f>Assumptions!AP$60</f>
        <v>0</v>
      </c>
    </row>
    <row r="413" spans="1:47">
      <c r="E413" s="326"/>
      <c r="G413" s="39"/>
      <c r="H413" s="39"/>
      <c r="I413" s="39"/>
      <c r="J413" s="39"/>
      <c r="K413" s="39"/>
    </row>
    <row r="414" spans="1:47">
      <c r="E414" s="327"/>
      <c r="F414" s="28"/>
      <c r="G414" s="324" t="str">
        <f>C411&amp;" O&amp;M"</f>
        <v>Pre-Treatment (CAMBI) O&amp;M</v>
      </c>
      <c r="H414" s="324"/>
      <c r="I414" s="324"/>
      <c r="J414" s="324"/>
      <c r="K414" s="324"/>
      <c r="L414" s="405" t="s">
        <v>79</v>
      </c>
      <c r="M414" s="256"/>
      <c r="N414" s="325" t="s">
        <v>490</v>
      </c>
      <c r="O414" s="311"/>
      <c r="P414" s="325" t="s">
        <v>491</v>
      </c>
      <c r="Q414" s="310"/>
      <c r="R414" s="325">
        <f>R$8</f>
        <v>2014</v>
      </c>
      <c r="S414" s="325">
        <f t="shared" ref="S414:AU414" si="296">S$8</f>
        <v>2015</v>
      </c>
      <c r="T414" s="325">
        <f t="shared" si="296"/>
        <v>2016</v>
      </c>
      <c r="U414" s="325">
        <f t="shared" si="296"/>
        <v>2017</v>
      </c>
      <c r="V414" s="325">
        <f t="shared" si="296"/>
        <v>2018</v>
      </c>
      <c r="W414" s="325">
        <f t="shared" si="296"/>
        <v>2019</v>
      </c>
      <c r="X414" s="325">
        <f t="shared" si="296"/>
        <v>2020</v>
      </c>
      <c r="Y414" s="325">
        <f t="shared" si="296"/>
        <v>2021</v>
      </c>
      <c r="Z414" s="325">
        <f t="shared" si="296"/>
        <v>2022</v>
      </c>
      <c r="AA414" s="325">
        <f t="shared" si="296"/>
        <v>2023</v>
      </c>
      <c r="AB414" s="325">
        <f t="shared" si="296"/>
        <v>2024</v>
      </c>
      <c r="AC414" s="325">
        <f t="shared" si="296"/>
        <v>2025</v>
      </c>
      <c r="AD414" s="325">
        <f t="shared" si="296"/>
        <v>2026</v>
      </c>
      <c r="AE414" s="325">
        <f t="shared" si="296"/>
        <v>2027</v>
      </c>
      <c r="AF414" s="325">
        <f t="shared" si="296"/>
        <v>2028</v>
      </c>
      <c r="AG414" s="325">
        <f t="shared" si="296"/>
        <v>2029</v>
      </c>
      <c r="AH414" s="325">
        <f t="shared" si="296"/>
        <v>2030</v>
      </c>
      <c r="AI414" s="325">
        <f t="shared" si="296"/>
        <v>2031</v>
      </c>
      <c r="AJ414" s="325">
        <f t="shared" si="296"/>
        <v>2032</v>
      </c>
      <c r="AK414" s="325">
        <f t="shared" si="296"/>
        <v>2033</v>
      </c>
      <c r="AL414" s="325">
        <f t="shared" si="296"/>
        <v>2034</v>
      </c>
      <c r="AM414" s="325">
        <f t="shared" si="296"/>
        <v>2035</v>
      </c>
      <c r="AN414" s="325">
        <f t="shared" si="296"/>
        <v>2036</v>
      </c>
      <c r="AO414" s="325">
        <f t="shared" si="296"/>
        <v>2037</v>
      </c>
      <c r="AP414" s="325">
        <f t="shared" si="296"/>
        <v>2038</v>
      </c>
      <c r="AQ414" s="325">
        <f t="shared" si="296"/>
        <v>2039</v>
      </c>
      <c r="AR414" s="325">
        <f t="shared" si="296"/>
        <v>2040</v>
      </c>
      <c r="AS414" s="325">
        <f t="shared" si="296"/>
        <v>2041</v>
      </c>
      <c r="AT414" s="325">
        <f t="shared" si="296"/>
        <v>2042</v>
      </c>
      <c r="AU414" s="325">
        <f t="shared" si="296"/>
        <v>2043</v>
      </c>
    </row>
    <row r="415" spans="1:47">
      <c r="E415" s="325"/>
      <c r="G415" s="39"/>
      <c r="H415" s="39"/>
      <c r="I415" s="39"/>
      <c r="J415" s="39"/>
      <c r="K415" s="39"/>
    </row>
    <row r="416" spans="1:47">
      <c r="E416" s="325"/>
      <c r="G416" s="39" t="s">
        <v>23</v>
      </c>
      <c r="H416" s="39"/>
      <c r="I416" s="39"/>
      <c r="J416" s="39"/>
      <c r="K416" s="39"/>
    </row>
    <row r="417" spans="1:47">
      <c r="A417" s="38" t="str">
        <f t="shared" ref="A417:A424" si="297">$J$4&amp;"-"</f>
        <v>1X-</v>
      </c>
      <c r="B417" s="38" t="s">
        <v>262</v>
      </c>
      <c r="C417" s="38" t="str">
        <f>C411</f>
        <v>Pre-Treatment (CAMBI)</v>
      </c>
      <c r="D417" s="186">
        <f>LaborEsc</f>
        <v>0.02</v>
      </c>
      <c r="E417" s="325"/>
      <c r="G417" s="36" t="s">
        <v>125</v>
      </c>
      <c r="I417" s="39"/>
      <c r="K417" s="39"/>
      <c r="L417" s="43" t="s">
        <v>266</v>
      </c>
      <c r="N417" s="70">
        <f ca="1">SUMIFS(OFFSET(Assumptions!$I$90,0,MATCH($A417,Configurations,0)-1,COUNT(Assumptions!$A$90:$A$183),1),Assumptions!$D$90:$D$183,$B417&amp;$C417)</f>
        <v>10220</v>
      </c>
      <c r="O417" s="313"/>
      <c r="P417" s="323"/>
      <c r="Q417" s="313"/>
      <c r="R417" s="50">
        <f t="shared" ref="R417:AU417" ca="1" si="298">IF(OR(R$99&lt;InServiceYr,R$99&gt;(InServiceYr+analysis_period-1)),0,IF($P417=0,$N417,$P417)*LaborCost*(1+$D417)^(R$99-CostBaseYr))</f>
        <v>364854</v>
      </c>
      <c r="S417" s="50">
        <f t="shared" ca="1" si="298"/>
        <v>372151.08</v>
      </c>
      <c r="T417" s="50">
        <f t="shared" ca="1" si="298"/>
        <v>379594.10159999999</v>
      </c>
      <c r="U417" s="50">
        <f t="shared" ca="1" si="298"/>
        <v>387185.98363199999</v>
      </c>
      <c r="V417" s="50">
        <f t="shared" ca="1" si="298"/>
        <v>394929.70330464002</v>
      </c>
      <c r="W417" s="50">
        <f t="shared" ca="1" si="298"/>
        <v>402828.29737073282</v>
      </c>
      <c r="X417" s="50">
        <f t="shared" ca="1" si="298"/>
        <v>410884.86331814737</v>
      </c>
      <c r="Y417" s="50">
        <f t="shared" ca="1" si="298"/>
        <v>419102.56058451039</v>
      </c>
      <c r="Z417" s="50">
        <f t="shared" ca="1" si="298"/>
        <v>427484.61179620057</v>
      </c>
      <c r="AA417" s="50">
        <f t="shared" ca="1" si="298"/>
        <v>436034.30403212464</v>
      </c>
      <c r="AB417" s="50">
        <f t="shared" ca="1" si="298"/>
        <v>444754.99011276703</v>
      </c>
      <c r="AC417" s="50">
        <f t="shared" ca="1" si="298"/>
        <v>453650.08991502243</v>
      </c>
      <c r="AD417" s="50">
        <f t="shared" ca="1" si="298"/>
        <v>462723.09171332285</v>
      </c>
      <c r="AE417" s="50">
        <f t="shared" ca="1" si="298"/>
        <v>471977.55354758934</v>
      </c>
      <c r="AF417" s="50">
        <f t="shared" ca="1" si="298"/>
        <v>481417.10461854102</v>
      </c>
      <c r="AG417" s="50">
        <f t="shared" ca="1" si="298"/>
        <v>491045.44671091193</v>
      </c>
      <c r="AH417" s="50">
        <f t="shared" ca="1" si="298"/>
        <v>500866.35564513021</v>
      </c>
      <c r="AI417" s="50">
        <f t="shared" ca="1" si="298"/>
        <v>510883.68275803275</v>
      </c>
      <c r="AJ417" s="50">
        <f t="shared" ca="1" si="298"/>
        <v>521101.3564131934</v>
      </c>
      <c r="AK417" s="50">
        <f t="shared" ca="1" si="298"/>
        <v>531523.38354145736</v>
      </c>
      <c r="AL417" s="50">
        <f t="shared" si="298"/>
        <v>0</v>
      </c>
      <c r="AM417" s="50">
        <f t="shared" si="298"/>
        <v>0</v>
      </c>
      <c r="AN417" s="50">
        <f t="shared" si="298"/>
        <v>0</v>
      </c>
      <c r="AO417" s="50">
        <f t="shared" si="298"/>
        <v>0</v>
      </c>
      <c r="AP417" s="50">
        <f t="shared" si="298"/>
        <v>0</v>
      </c>
      <c r="AQ417" s="50">
        <f t="shared" si="298"/>
        <v>0</v>
      </c>
      <c r="AR417" s="50">
        <f t="shared" si="298"/>
        <v>0</v>
      </c>
      <c r="AS417" s="50">
        <f t="shared" si="298"/>
        <v>0</v>
      </c>
      <c r="AT417" s="50">
        <f t="shared" si="298"/>
        <v>0</v>
      </c>
      <c r="AU417" s="50">
        <f t="shared" si="298"/>
        <v>0</v>
      </c>
    </row>
    <row r="418" spans="1:47">
      <c r="A418" s="38" t="str">
        <f t="shared" si="297"/>
        <v>1X-</v>
      </c>
      <c r="B418" s="38" t="s">
        <v>270</v>
      </c>
      <c r="C418" s="38" t="str">
        <f>C417</f>
        <v>Pre-Treatment (CAMBI)</v>
      </c>
      <c r="D418" s="186">
        <f>OMEsc</f>
        <v>0.02</v>
      </c>
      <c r="E418" s="325"/>
      <c r="G418" s="36" t="s">
        <v>126</v>
      </c>
      <c r="I418" s="39"/>
      <c r="K418" s="39"/>
      <c r="L418" s="43" t="str">
        <f>"["&amp;CostBaseYr&amp;" $]"</f>
        <v>[2013 $]</v>
      </c>
      <c r="N418" s="70">
        <f ca="1">SUMIFS(OFFSET(Assumptions!$I$90,0,MATCH($A418,Configurations,0)-1,COUNT(Assumptions!$A$90:$A$183),1),Assumptions!$D$90:$D$183,$B418&amp;$C418)</f>
        <v>91000</v>
      </c>
      <c r="O418" s="313"/>
      <c r="P418" s="323"/>
      <c r="Q418" s="313"/>
      <c r="R418" s="50">
        <f t="shared" ref="R418:AG420" ca="1" si="299">IF(OR(R$99&lt;InServiceYr,R$99&gt;(InServiceYr+analysis_period-1)),0,IF($P418=0,$N418,$P418)*(1+$D418)^(R$99-CostBaseYr))</f>
        <v>92820</v>
      </c>
      <c r="S418" s="50">
        <f t="shared" ca="1" si="299"/>
        <v>94676.4</v>
      </c>
      <c r="T418" s="50">
        <f t="shared" ca="1" si="299"/>
        <v>96569.928</v>
      </c>
      <c r="U418" s="50">
        <f t="shared" ca="1" si="299"/>
        <v>98501.326560000001</v>
      </c>
      <c r="V418" s="50">
        <f t="shared" ca="1" si="299"/>
        <v>100471.3530912</v>
      </c>
      <c r="W418" s="50">
        <f t="shared" ca="1" si="299"/>
        <v>102480.78015302401</v>
      </c>
      <c r="X418" s="50">
        <f t="shared" ca="1" si="299"/>
        <v>104530.39575608446</v>
      </c>
      <c r="Y418" s="50">
        <f t="shared" ca="1" si="299"/>
        <v>106621.00367120616</v>
      </c>
      <c r="Z418" s="50">
        <f t="shared" ca="1" si="299"/>
        <v>108753.42374463029</v>
      </c>
      <c r="AA418" s="50">
        <f t="shared" ca="1" si="299"/>
        <v>110928.4922195229</v>
      </c>
      <c r="AB418" s="50">
        <f t="shared" ca="1" si="299"/>
        <v>113147.06206391333</v>
      </c>
      <c r="AC418" s="50">
        <f t="shared" ca="1" si="299"/>
        <v>115410.00330519163</v>
      </c>
      <c r="AD418" s="50">
        <f t="shared" ca="1" si="299"/>
        <v>117718.20337129544</v>
      </c>
      <c r="AE418" s="50">
        <f t="shared" ca="1" si="299"/>
        <v>120072.56743872137</v>
      </c>
      <c r="AF418" s="50">
        <f t="shared" ca="1" si="299"/>
        <v>122474.01878749576</v>
      </c>
      <c r="AG418" s="50">
        <f t="shared" ca="1" si="299"/>
        <v>124923.49916324569</v>
      </c>
      <c r="AH418" s="50">
        <f t="shared" ref="S418:AU420" ca="1" si="300">IF(OR(AH$99&lt;InServiceYr,AH$99&gt;(InServiceYr+analysis_period-1)),0,IF($P418=0,$N418,$P418)*(1+$D418)^(AH$99-CostBaseYr))</f>
        <v>127421.96914651062</v>
      </c>
      <c r="AI418" s="50">
        <f t="shared" ca="1" si="300"/>
        <v>129970.40852944081</v>
      </c>
      <c r="AJ418" s="50">
        <f t="shared" ca="1" si="300"/>
        <v>132569.81670002962</v>
      </c>
      <c r="AK418" s="50">
        <f t="shared" ca="1" si="300"/>
        <v>135221.21303403022</v>
      </c>
      <c r="AL418" s="50">
        <f t="shared" si="300"/>
        <v>0</v>
      </c>
      <c r="AM418" s="50">
        <f t="shared" si="300"/>
        <v>0</v>
      </c>
      <c r="AN418" s="50">
        <f t="shared" si="300"/>
        <v>0</v>
      </c>
      <c r="AO418" s="50">
        <f t="shared" si="300"/>
        <v>0</v>
      </c>
      <c r="AP418" s="50">
        <f t="shared" si="300"/>
        <v>0</v>
      </c>
      <c r="AQ418" s="50">
        <f t="shared" si="300"/>
        <v>0</v>
      </c>
      <c r="AR418" s="50">
        <f t="shared" si="300"/>
        <v>0</v>
      </c>
      <c r="AS418" s="50">
        <f t="shared" si="300"/>
        <v>0</v>
      </c>
      <c r="AT418" s="50">
        <f t="shared" si="300"/>
        <v>0</v>
      </c>
      <c r="AU418" s="50">
        <f t="shared" si="300"/>
        <v>0</v>
      </c>
    </row>
    <row r="419" spans="1:47">
      <c r="A419" s="38" t="str">
        <f t="shared" si="297"/>
        <v>1X-</v>
      </c>
      <c r="B419" s="38" t="s">
        <v>263</v>
      </c>
      <c r="C419" s="38" t="str">
        <f t="shared" ref="C419:C423" si="301">C418</f>
        <v>Pre-Treatment (CAMBI)</v>
      </c>
      <c r="D419" s="186">
        <f>OMEsc</f>
        <v>0.02</v>
      </c>
      <c r="E419" s="325"/>
      <c r="G419" s="36" t="s">
        <v>127</v>
      </c>
      <c r="I419" s="39"/>
      <c r="K419" s="39"/>
      <c r="L419" s="43" t="str">
        <f>"["&amp;CostBaseYr&amp;" $]"</f>
        <v>[2013 $]</v>
      </c>
      <c r="N419" s="70">
        <f ca="1">SUMIFS(OFFSET(Assumptions!$I$90,0,MATCH($A419,Configurations,0)-1,COUNT(Assumptions!$A$90:$A$183),1),Assumptions!$D$90:$D$183,$B419&amp;$C419)</f>
        <v>12000</v>
      </c>
      <c r="O419" s="313"/>
      <c r="P419" s="323"/>
      <c r="Q419" s="313"/>
      <c r="R419" s="50">
        <f t="shared" ca="1" si="299"/>
        <v>12240</v>
      </c>
      <c r="S419" s="50">
        <f t="shared" ca="1" si="300"/>
        <v>12484.8</v>
      </c>
      <c r="T419" s="50">
        <f t="shared" ca="1" si="300"/>
        <v>12734.495999999999</v>
      </c>
      <c r="U419" s="50">
        <f t="shared" ca="1" si="300"/>
        <v>12989.18592</v>
      </c>
      <c r="V419" s="50">
        <f t="shared" ca="1" si="300"/>
        <v>13248.9696384</v>
      </c>
      <c r="W419" s="50">
        <f t="shared" ca="1" si="300"/>
        <v>13513.949031168</v>
      </c>
      <c r="X419" s="50">
        <f t="shared" ca="1" si="300"/>
        <v>13784.228011791358</v>
      </c>
      <c r="Y419" s="50">
        <f t="shared" ca="1" si="300"/>
        <v>14059.912572027186</v>
      </c>
      <c r="Z419" s="50">
        <f t="shared" ca="1" si="300"/>
        <v>14341.11082346773</v>
      </c>
      <c r="AA419" s="50">
        <f t="shared" ca="1" si="300"/>
        <v>14627.933039937085</v>
      </c>
      <c r="AB419" s="50">
        <f t="shared" ca="1" si="300"/>
        <v>14920.491700735824</v>
      </c>
      <c r="AC419" s="50">
        <f t="shared" ca="1" si="300"/>
        <v>15218.901534750543</v>
      </c>
      <c r="AD419" s="50">
        <f t="shared" ca="1" si="300"/>
        <v>15523.279565445553</v>
      </c>
      <c r="AE419" s="50">
        <f t="shared" ca="1" si="300"/>
        <v>15833.745156754465</v>
      </c>
      <c r="AF419" s="50">
        <f t="shared" ca="1" si="300"/>
        <v>16150.420059889551</v>
      </c>
      <c r="AG419" s="50">
        <f t="shared" ca="1" si="300"/>
        <v>16473.428461087344</v>
      </c>
      <c r="AH419" s="50">
        <f t="shared" ca="1" si="300"/>
        <v>16802.897030309094</v>
      </c>
      <c r="AI419" s="50">
        <f t="shared" ca="1" si="300"/>
        <v>17138.954970915274</v>
      </c>
      <c r="AJ419" s="50">
        <f t="shared" ca="1" si="300"/>
        <v>17481.734070333576</v>
      </c>
      <c r="AK419" s="50">
        <f t="shared" ca="1" si="300"/>
        <v>17831.36875174025</v>
      </c>
      <c r="AL419" s="50">
        <f t="shared" si="300"/>
        <v>0</v>
      </c>
      <c r="AM419" s="50">
        <f t="shared" si="300"/>
        <v>0</v>
      </c>
      <c r="AN419" s="50">
        <f t="shared" si="300"/>
        <v>0</v>
      </c>
      <c r="AO419" s="50">
        <f t="shared" si="300"/>
        <v>0</v>
      </c>
      <c r="AP419" s="50">
        <f t="shared" si="300"/>
        <v>0</v>
      </c>
      <c r="AQ419" s="50">
        <f t="shared" si="300"/>
        <v>0</v>
      </c>
      <c r="AR419" s="50">
        <f t="shared" si="300"/>
        <v>0</v>
      </c>
      <c r="AS419" s="50">
        <f t="shared" si="300"/>
        <v>0</v>
      </c>
      <c r="AT419" s="50">
        <f t="shared" si="300"/>
        <v>0</v>
      </c>
      <c r="AU419" s="50">
        <f t="shared" si="300"/>
        <v>0</v>
      </c>
    </row>
    <row r="420" spans="1:47">
      <c r="A420" s="38" t="str">
        <f t="shared" si="297"/>
        <v>1X-</v>
      </c>
      <c r="B420" s="38" t="s">
        <v>277</v>
      </c>
      <c r="C420" s="38" t="str">
        <f t="shared" si="301"/>
        <v>Pre-Treatment (CAMBI)</v>
      </c>
      <c r="D420" s="186">
        <f>OMEsc</f>
        <v>0.02</v>
      </c>
      <c r="E420" s="325"/>
      <c r="G420" s="36" t="s">
        <v>276</v>
      </c>
      <c r="I420" s="39"/>
      <c r="K420" s="39"/>
      <c r="L420" s="43" t="str">
        <f>"["&amp;CostBaseYr&amp;" $]"</f>
        <v>[2013 $]</v>
      </c>
      <c r="N420" s="70">
        <f ca="1">SUMIFS(OFFSET(Assumptions!$I$90,0,MATCH($A420,Configurations,0)-1,COUNT(Assumptions!$A$90:$A$183),1),Assumptions!$D$90:$D$183,$B420&amp;$C420)</f>
        <v>0</v>
      </c>
      <c r="O420" s="313"/>
      <c r="P420" s="323"/>
      <c r="Q420" s="313"/>
      <c r="R420" s="50">
        <f t="shared" ca="1" si="299"/>
        <v>0</v>
      </c>
      <c r="S420" s="50">
        <f t="shared" ca="1" si="300"/>
        <v>0</v>
      </c>
      <c r="T420" s="50">
        <f t="shared" ca="1" si="300"/>
        <v>0</v>
      </c>
      <c r="U420" s="50">
        <f t="shared" ca="1" si="300"/>
        <v>0</v>
      </c>
      <c r="V420" s="50">
        <f t="shared" ca="1" si="300"/>
        <v>0</v>
      </c>
      <c r="W420" s="50">
        <f t="shared" ca="1" si="300"/>
        <v>0</v>
      </c>
      <c r="X420" s="50">
        <f t="shared" ca="1" si="300"/>
        <v>0</v>
      </c>
      <c r="Y420" s="50">
        <f t="shared" ca="1" si="300"/>
        <v>0</v>
      </c>
      <c r="Z420" s="50">
        <f t="shared" ca="1" si="300"/>
        <v>0</v>
      </c>
      <c r="AA420" s="50">
        <f t="shared" ca="1" si="300"/>
        <v>0</v>
      </c>
      <c r="AB420" s="50">
        <f t="shared" ca="1" si="300"/>
        <v>0</v>
      </c>
      <c r="AC420" s="50">
        <f t="shared" ca="1" si="300"/>
        <v>0</v>
      </c>
      <c r="AD420" s="50">
        <f t="shared" ca="1" si="300"/>
        <v>0</v>
      </c>
      <c r="AE420" s="50">
        <f t="shared" ca="1" si="300"/>
        <v>0</v>
      </c>
      <c r="AF420" s="50">
        <f t="shared" ca="1" si="300"/>
        <v>0</v>
      </c>
      <c r="AG420" s="50">
        <f t="shared" ca="1" si="300"/>
        <v>0</v>
      </c>
      <c r="AH420" s="50">
        <f t="shared" ca="1" si="300"/>
        <v>0</v>
      </c>
      <c r="AI420" s="50">
        <f t="shared" ca="1" si="300"/>
        <v>0</v>
      </c>
      <c r="AJ420" s="50">
        <f t="shared" ca="1" si="300"/>
        <v>0</v>
      </c>
      <c r="AK420" s="50">
        <f t="shared" ca="1" si="300"/>
        <v>0</v>
      </c>
      <c r="AL420" s="50">
        <f t="shared" si="300"/>
        <v>0</v>
      </c>
      <c r="AM420" s="50">
        <f t="shared" si="300"/>
        <v>0</v>
      </c>
      <c r="AN420" s="50">
        <f t="shared" si="300"/>
        <v>0</v>
      </c>
      <c r="AO420" s="50">
        <f t="shared" si="300"/>
        <v>0</v>
      </c>
      <c r="AP420" s="50">
        <f t="shared" si="300"/>
        <v>0</v>
      </c>
      <c r="AQ420" s="50">
        <f t="shared" si="300"/>
        <v>0</v>
      </c>
      <c r="AR420" s="50">
        <f t="shared" si="300"/>
        <v>0</v>
      </c>
      <c r="AS420" s="50">
        <f t="shared" si="300"/>
        <v>0</v>
      </c>
      <c r="AT420" s="50">
        <f t="shared" si="300"/>
        <v>0</v>
      </c>
      <c r="AU420" s="50">
        <f t="shared" si="300"/>
        <v>0</v>
      </c>
    </row>
    <row r="421" spans="1:47">
      <c r="A421" s="38" t="str">
        <f t="shared" si="297"/>
        <v>1X-</v>
      </c>
      <c r="B421" s="38" t="s">
        <v>274</v>
      </c>
      <c r="C421" s="38" t="str">
        <f t="shared" si="301"/>
        <v>Pre-Treatment (CAMBI)</v>
      </c>
      <c r="D421" s="186"/>
      <c r="E421" s="325"/>
      <c r="G421" s="36" t="s">
        <v>16</v>
      </c>
      <c r="I421" s="39"/>
      <c r="K421" s="39"/>
      <c r="L421" s="43" t="s">
        <v>275</v>
      </c>
      <c r="N421" s="70">
        <f ca="1">SUMIFS(OFFSET(Assumptions!$I$90,0,MATCH($A421,Configurations,0)-1,COUNT(Assumptions!$A$90:$A$183),1),Assumptions!$D$90:$D$183,$B421&amp;$C421)</f>
        <v>0</v>
      </c>
      <c r="O421" s="313"/>
      <c r="P421" s="323"/>
      <c r="Q421" s="313"/>
      <c r="R421" s="50">
        <f t="shared" ref="R421:AU421" ca="1" si="302">IF(OR(R$99&lt;InServiceYr,R$99&gt;(InServiceYr+analysis_period-1)),0,IF($P421=0,$N421,$P421)*R$505)</f>
        <v>0</v>
      </c>
      <c r="S421" s="50">
        <f t="shared" ca="1" si="302"/>
        <v>0</v>
      </c>
      <c r="T421" s="50">
        <f t="shared" ca="1" si="302"/>
        <v>0</v>
      </c>
      <c r="U421" s="50">
        <f t="shared" ca="1" si="302"/>
        <v>0</v>
      </c>
      <c r="V421" s="50">
        <f t="shared" ca="1" si="302"/>
        <v>0</v>
      </c>
      <c r="W421" s="50">
        <f t="shared" ca="1" si="302"/>
        <v>0</v>
      </c>
      <c r="X421" s="50">
        <f t="shared" ca="1" si="302"/>
        <v>0</v>
      </c>
      <c r="Y421" s="50">
        <f t="shared" ca="1" si="302"/>
        <v>0</v>
      </c>
      <c r="Z421" s="50">
        <f t="shared" ca="1" si="302"/>
        <v>0</v>
      </c>
      <c r="AA421" s="50">
        <f t="shared" ca="1" si="302"/>
        <v>0</v>
      </c>
      <c r="AB421" s="50">
        <f t="shared" ca="1" si="302"/>
        <v>0</v>
      </c>
      <c r="AC421" s="50">
        <f t="shared" ca="1" si="302"/>
        <v>0</v>
      </c>
      <c r="AD421" s="50">
        <f t="shared" ca="1" si="302"/>
        <v>0</v>
      </c>
      <c r="AE421" s="50">
        <f t="shared" ca="1" si="302"/>
        <v>0</v>
      </c>
      <c r="AF421" s="50">
        <f t="shared" ca="1" si="302"/>
        <v>0</v>
      </c>
      <c r="AG421" s="50">
        <f t="shared" ca="1" si="302"/>
        <v>0</v>
      </c>
      <c r="AH421" s="50">
        <f t="shared" ca="1" si="302"/>
        <v>0</v>
      </c>
      <c r="AI421" s="50">
        <f t="shared" ca="1" si="302"/>
        <v>0</v>
      </c>
      <c r="AJ421" s="50">
        <f t="shared" ca="1" si="302"/>
        <v>0</v>
      </c>
      <c r="AK421" s="50">
        <f t="shared" ca="1" si="302"/>
        <v>0</v>
      </c>
      <c r="AL421" s="50">
        <f t="shared" si="302"/>
        <v>0</v>
      </c>
      <c r="AM421" s="50">
        <f t="shared" si="302"/>
        <v>0</v>
      </c>
      <c r="AN421" s="50">
        <f t="shared" si="302"/>
        <v>0</v>
      </c>
      <c r="AO421" s="50">
        <f t="shared" si="302"/>
        <v>0</v>
      </c>
      <c r="AP421" s="50">
        <f t="shared" si="302"/>
        <v>0</v>
      </c>
      <c r="AQ421" s="50">
        <f t="shared" si="302"/>
        <v>0</v>
      </c>
      <c r="AR421" s="50">
        <f t="shared" si="302"/>
        <v>0</v>
      </c>
      <c r="AS421" s="50">
        <f t="shared" si="302"/>
        <v>0</v>
      </c>
      <c r="AT421" s="50">
        <f t="shared" si="302"/>
        <v>0</v>
      </c>
      <c r="AU421" s="50">
        <f t="shared" si="302"/>
        <v>0</v>
      </c>
    </row>
    <row r="422" spans="1:47">
      <c r="A422" s="38" t="str">
        <f t="shared" si="297"/>
        <v>1X-</v>
      </c>
      <c r="B422" s="38" t="s">
        <v>257</v>
      </c>
      <c r="C422" s="38" t="str">
        <f t="shared" si="301"/>
        <v>Pre-Treatment (CAMBI)</v>
      </c>
      <c r="D422" s="186"/>
      <c r="E422" s="325"/>
      <c r="G422" s="36" t="s">
        <v>284</v>
      </c>
      <c r="I422" s="39"/>
      <c r="K422" s="39"/>
      <c r="L422" s="43" t="s">
        <v>293</v>
      </c>
      <c r="N422" s="70">
        <f ca="1">SUMIFS(OFFSET(Assumptions!$I$90,0,MATCH($A422,Configurations,0)-1,COUNT(Assumptions!$A$90:$A$183),1),Assumptions!$D$90:$D$183,$B422&amp;$C422)</f>
        <v>32850</v>
      </c>
      <c r="O422" s="313"/>
      <c r="P422" s="323"/>
      <c r="Q422" s="313"/>
      <c r="R422" s="50">
        <f t="shared" ref="R422:AU422" ca="1" si="303">IF(OR(R$99&lt;InServiceYr,R$99&gt;(InServiceYr+analysis_period-1)),0,IF($P422=0,$N422,$P422)*R$501)</f>
        <v>2121.5041166621049</v>
      </c>
      <c r="S422" s="50">
        <f t="shared" ca="1" si="303"/>
        <v>2134.7285789349235</v>
      </c>
      <c r="T422" s="50">
        <f t="shared" ca="1" si="303"/>
        <v>2226.7566030856242</v>
      </c>
      <c r="U422" s="50">
        <f t="shared" ca="1" si="303"/>
        <v>2293.5537290575717</v>
      </c>
      <c r="V422" s="50">
        <f t="shared" ca="1" si="303"/>
        <v>2348.8997271444578</v>
      </c>
      <c r="W422" s="50">
        <f t="shared" ca="1" si="303"/>
        <v>2378.949865646357</v>
      </c>
      <c r="X422" s="50">
        <f t="shared" ca="1" si="303"/>
        <v>2417.6612636404284</v>
      </c>
      <c r="Y422" s="50">
        <f t="shared" ca="1" si="303"/>
        <v>2477.2275130840158</v>
      </c>
      <c r="Z422" s="50">
        <f t="shared" ca="1" si="303"/>
        <v>2536.5340289050928</v>
      </c>
      <c r="AA422" s="50">
        <f t="shared" ca="1" si="303"/>
        <v>2599.9536097625855</v>
      </c>
      <c r="AB422" s="50">
        <f t="shared" ca="1" si="303"/>
        <v>2656.2680928144764</v>
      </c>
      <c r="AC422" s="50">
        <f t="shared" ca="1" si="303"/>
        <v>2707.4181440707871</v>
      </c>
      <c r="AD422" s="50">
        <f t="shared" ca="1" si="303"/>
        <v>2769.9589539053318</v>
      </c>
      <c r="AE422" s="50">
        <f t="shared" ca="1" si="303"/>
        <v>2833.0909125366024</v>
      </c>
      <c r="AF422" s="50">
        <f t="shared" ca="1" si="303"/>
        <v>2900.4521947209632</v>
      </c>
      <c r="AG422" s="50">
        <f t="shared" ca="1" si="303"/>
        <v>2975.9127082311493</v>
      </c>
      <c r="AH422" s="50">
        <f t="shared" ca="1" si="303"/>
        <v>3048.8447670073251</v>
      </c>
      <c r="AI422" s="50">
        <f t="shared" ca="1" si="303"/>
        <v>3127.9366231259764</v>
      </c>
      <c r="AJ422" s="50">
        <f t="shared" ca="1" si="303"/>
        <v>3211.6668356521409</v>
      </c>
      <c r="AK422" s="50">
        <f t="shared" ca="1" si="303"/>
        <v>3299.0346629225437</v>
      </c>
      <c r="AL422" s="50">
        <f t="shared" si="303"/>
        <v>0</v>
      </c>
      <c r="AM422" s="50">
        <f t="shared" si="303"/>
        <v>0</v>
      </c>
      <c r="AN422" s="50">
        <f t="shared" si="303"/>
        <v>0</v>
      </c>
      <c r="AO422" s="50">
        <f t="shared" si="303"/>
        <v>0</v>
      </c>
      <c r="AP422" s="50">
        <f t="shared" si="303"/>
        <v>0</v>
      </c>
      <c r="AQ422" s="50">
        <f t="shared" si="303"/>
        <v>0</v>
      </c>
      <c r="AR422" s="50">
        <f t="shared" si="303"/>
        <v>0</v>
      </c>
      <c r="AS422" s="50">
        <f t="shared" si="303"/>
        <v>0</v>
      </c>
      <c r="AT422" s="50">
        <f t="shared" si="303"/>
        <v>0</v>
      </c>
      <c r="AU422" s="50">
        <f t="shared" si="303"/>
        <v>0</v>
      </c>
    </row>
    <row r="423" spans="1:47">
      <c r="A423" s="38" t="str">
        <f t="shared" si="297"/>
        <v>1X-</v>
      </c>
      <c r="B423" s="38" t="s">
        <v>864</v>
      </c>
      <c r="C423" s="38" t="str">
        <f t="shared" si="301"/>
        <v>Pre-Treatment (CAMBI)</v>
      </c>
      <c r="D423" s="186">
        <f>GHGEsc</f>
        <v>0.02</v>
      </c>
      <c r="E423" s="325"/>
      <c r="G423" s="36" t="s">
        <v>865</v>
      </c>
      <c r="I423" s="39"/>
      <c r="K423" s="39"/>
      <c r="L423" s="43" t="s">
        <v>866</v>
      </c>
      <c r="N423" s="70">
        <f ca="1">SUMIFS(OFFSET(Assumptions!$I$90,0,MATCH($A423,Configurations,0)-1,COUNT(Assumptions!$A$90:$A$183),1),Assumptions!$D$90:$D$183,$B423&amp;$C423)</f>
        <v>0</v>
      </c>
      <c r="O423" s="313"/>
      <c r="P423" s="323"/>
      <c r="Q423" s="313"/>
      <c r="R423" s="50">
        <f t="shared" ref="R423:AU423" ca="1" si="304">IF(OR(R$99&lt;InServiceYr,R$99&gt;(InServiceYr+analysis_period-1)),0,IF($P423=0,$N423,$P423)*R$513)</f>
        <v>0</v>
      </c>
      <c r="S423" s="50">
        <f t="shared" ca="1" si="304"/>
        <v>0</v>
      </c>
      <c r="T423" s="50">
        <f t="shared" ca="1" si="304"/>
        <v>0</v>
      </c>
      <c r="U423" s="50">
        <f t="shared" ca="1" si="304"/>
        <v>0</v>
      </c>
      <c r="V423" s="50">
        <f t="shared" ca="1" si="304"/>
        <v>0</v>
      </c>
      <c r="W423" s="50">
        <f t="shared" ca="1" si="304"/>
        <v>0</v>
      </c>
      <c r="X423" s="50">
        <f t="shared" ca="1" si="304"/>
        <v>0</v>
      </c>
      <c r="Y423" s="50">
        <f t="shared" ca="1" si="304"/>
        <v>0</v>
      </c>
      <c r="Z423" s="50">
        <f t="shared" ca="1" si="304"/>
        <v>0</v>
      </c>
      <c r="AA423" s="50">
        <f t="shared" ca="1" si="304"/>
        <v>0</v>
      </c>
      <c r="AB423" s="50">
        <f t="shared" ca="1" si="304"/>
        <v>0</v>
      </c>
      <c r="AC423" s="50">
        <f t="shared" ca="1" si="304"/>
        <v>0</v>
      </c>
      <c r="AD423" s="50">
        <f t="shared" ca="1" si="304"/>
        <v>0</v>
      </c>
      <c r="AE423" s="50">
        <f t="shared" ca="1" si="304"/>
        <v>0</v>
      </c>
      <c r="AF423" s="50">
        <f t="shared" ca="1" si="304"/>
        <v>0</v>
      </c>
      <c r="AG423" s="50">
        <f t="shared" ca="1" si="304"/>
        <v>0</v>
      </c>
      <c r="AH423" s="50">
        <f t="shared" ca="1" si="304"/>
        <v>0</v>
      </c>
      <c r="AI423" s="50">
        <f t="shared" ca="1" si="304"/>
        <v>0</v>
      </c>
      <c r="AJ423" s="50">
        <f t="shared" ca="1" si="304"/>
        <v>0</v>
      </c>
      <c r="AK423" s="50">
        <f t="shared" ca="1" si="304"/>
        <v>0</v>
      </c>
      <c r="AL423" s="50">
        <f t="shared" si="304"/>
        <v>0</v>
      </c>
      <c r="AM423" s="50">
        <f t="shared" si="304"/>
        <v>0</v>
      </c>
      <c r="AN423" s="50">
        <f t="shared" si="304"/>
        <v>0</v>
      </c>
      <c r="AO423" s="50">
        <f t="shared" si="304"/>
        <v>0</v>
      </c>
      <c r="AP423" s="50">
        <f t="shared" si="304"/>
        <v>0</v>
      </c>
      <c r="AQ423" s="50">
        <f t="shared" si="304"/>
        <v>0</v>
      </c>
      <c r="AR423" s="50">
        <f t="shared" si="304"/>
        <v>0</v>
      </c>
      <c r="AS423" s="50">
        <f t="shared" si="304"/>
        <v>0</v>
      </c>
      <c r="AT423" s="50">
        <f t="shared" si="304"/>
        <v>0</v>
      </c>
      <c r="AU423" s="50">
        <f t="shared" si="304"/>
        <v>0</v>
      </c>
    </row>
    <row r="424" spans="1:47">
      <c r="A424" s="38" t="str">
        <f t="shared" si="297"/>
        <v>1X-</v>
      </c>
      <c r="B424" s="38" t="s">
        <v>273</v>
      </c>
      <c r="C424" s="38" t="str">
        <f>C422</f>
        <v>Pre-Treatment (CAMBI)</v>
      </c>
      <c r="D424" s="186">
        <f>LaborEsc</f>
        <v>0.02</v>
      </c>
      <c r="E424" s="325"/>
      <c r="G424" s="36" t="s">
        <v>291</v>
      </c>
      <c r="I424" s="39"/>
      <c r="K424" s="39"/>
      <c r="L424" s="43" t="str">
        <f>"["&amp;CostBaseYr&amp;" $]"</f>
        <v>[2013 $]</v>
      </c>
      <c r="N424" s="70">
        <f ca="1">SUMIFS(OFFSET(Assumptions!$I$90,0,MATCH($A424,Configurations,0)-1,COUNT(Assumptions!$A$90:$A$183),1),Assumptions!$D$90:$D$183,$B424&amp;$C424)</f>
        <v>0</v>
      </c>
      <c r="O424" s="313"/>
      <c r="P424" s="323"/>
      <c r="Q424" s="313"/>
      <c r="R424" s="50">
        <f t="shared" ref="R424:AU424" ca="1" si="305">IF(OR(R$99&lt;InServiceYr,R$99&gt;(InServiceYr+analysis_period-1)),0,IF($P424=0,$N424,$P424)*(1+$D424)^(R$99-CostBaseYr))*R$509</f>
        <v>0</v>
      </c>
      <c r="S424" s="50">
        <f t="shared" ca="1" si="305"/>
        <v>0</v>
      </c>
      <c r="T424" s="50">
        <f t="shared" ca="1" si="305"/>
        <v>0</v>
      </c>
      <c r="U424" s="50">
        <f t="shared" ca="1" si="305"/>
        <v>0</v>
      </c>
      <c r="V424" s="50">
        <f t="shared" ca="1" si="305"/>
        <v>0</v>
      </c>
      <c r="W424" s="50">
        <f t="shared" ca="1" si="305"/>
        <v>0</v>
      </c>
      <c r="X424" s="50">
        <f t="shared" ca="1" si="305"/>
        <v>0</v>
      </c>
      <c r="Y424" s="50">
        <f t="shared" ca="1" si="305"/>
        <v>0</v>
      </c>
      <c r="Z424" s="50">
        <f t="shared" ca="1" si="305"/>
        <v>0</v>
      </c>
      <c r="AA424" s="50">
        <f t="shared" ca="1" si="305"/>
        <v>0</v>
      </c>
      <c r="AB424" s="50">
        <f t="shared" ca="1" si="305"/>
        <v>0</v>
      </c>
      <c r="AC424" s="50">
        <f t="shared" ca="1" si="305"/>
        <v>0</v>
      </c>
      <c r="AD424" s="50">
        <f t="shared" ca="1" si="305"/>
        <v>0</v>
      </c>
      <c r="AE424" s="50">
        <f t="shared" ca="1" si="305"/>
        <v>0</v>
      </c>
      <c r="AF424" s="50">
        <f t="shared" ca="1" si="305"/>
        <v>0</v>
      </c>
      <c r="AG424" s="50">
        <f t="shared" ca="1" si="305"/>
        <v>0</v>
      </c>
      <c r="AH424" s="50">
        <f t="shared" ca="1" si="305"/>
        <v>0</v>
      </c>
      <c r="AI424" s="50">
        <f t="shared" ca="1" si="305"/>
        <v>0</v>
      </c>
      <c r="AJ424" s="50">
        <f t="shared" ca="1" si="305"/>
        <v>0</v>
      </c>
      <c r="AK424" s="50">
        <f t="shared" ca="1" si="305"/>
        <v>0</v>
      </c>
      <c r="AL424" s="50">
        <f t="shared" si="305"/>
        <v>0</v>
      </c>
      <c r="AM424" s="50">
        <f t="shared" si="305"/>
        <v>0</v>
      </c>
      <c r="AN424" s="50">
        <f t="shared" si="305"/>
        <v>0</v>
      </c>
      <c r="AO424" s="50">
        <f t="shared" si="305"/>
        <v>0</v>
      </c>
      <c r="AP424" s="50">
        <f t="shared" si="305"/>
        <v>0</v>
      </c>
      <c r="AQ424" s="50">
        <f t="shared" si="305"/>
        <v>0</v>
      </c>
      <c r="AR424" s="50">
        <f t="shared" si="305"/>
        <v>0</v>
      </c>
      <c r="AS424" s="50">
        <f t="shared" si="305"/>
        <v>0</v>
      </c>
      <c r="AT424" s="50">
        <f t="shared" si="305"/>
        <v>0</v>
      </c>
      <c r="AU424" s="50">
        <f t="shared" si="305"/>
        <v>0</v>
      </c>
    </row>
    <row r="425" spans="1:47">
      <c r="D425" s="186"/>
      <c r="E425" s="325"/>
      <c r="G425" s="39" t="s">
        <v>304</v>
      </c>
      <c r="I425" s="39"/>
      <c r="K425" s="39"/>
      <c r="L425" s="43"/>
      <c r="N425" s="70"/>
      <c r="O425" s="313"/>
      <c r="P425" s="70"/>
      <c r="Q425" s="313"/>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row>
    <row r="426" spans="1:47">
      <c r="A426" s="38" t="str">
        <f>$J$4&amp;"-"</f>
        <v>1X-</v>
      </c>
      <c r="B426" s="38" t="s">
        <v>265</v>
      </c>
      <c r="C426" s="38" t="str">
        <f>C417</f>
        <v>Pre-Treatment (CAMBI)</v>
      </c>
      <c r="D426" s="186"/>
      <c r="E426" s="325"/>
      <c r="G426" s="36" t="s">
        <v>108</v>
      </c>
      <c r="I426" s="39"/>
      <c r="K426" s="39"/>
      <c r="L426" s="43" t="s">
        <v>293</v>
      </c>
      <c r="N426" s="70">
        <f ca="1">SUMIFS(OFFSET(Assumptions!$I$90,0,MATCH($A426,Configurations,0)-1,COUNT(Assumptions!$A$90:$A$183),1),Assumptions!$D$90:$D$183,$B426&amp;$C426)</f>
        <v>0</v>
      </c>
      <c r="O426" s="313"/>
      <c r="P426" s="323"/>
      <c r="Q426" s="313"/>
      <c r="R426" s="50">
        <f t="shared" ref="R426:AU426" ca="1" si="306">IF(OR(R$99&lt;InServiceYr,R$99&gt;(InServiceYr+analysis_period-1)),0,IF($P426=0,$N426,$P426)*R$501)</f>
        <v>0</v>
      </c>
      <c r="S426" s="50">
        <f t="shared" ca="1" si="306"/>
        <v>0</v>
      </c>
      <c r="T426" s="50">
        <f t="shared" ca="1" si="306"/>
        <v>0</v>
      </c>
      <c r="U426" s="50">
        <f t="shared" ca="1" si="306"/>
        <v>0</v>
      </c>
      <c r="V426" s="50">
        <f t="shared" ca="1" si="306"/>
        <v>0</v>
      </c>
      <c r="W426" s="50">
        <f t="shared" ca="1" si="306"/>
        <v>0</v>
      </c>
      <c r="X426" s="50">
        <f t="shared" ca="1" si="306"/>
        <v>0</v>
      </c>
      <c r="Y426" s="50">
        <f t="shared" ca="1" si="306"/>
        <v>0</v>
      </c>
      <c r="Z426" s="50">
        <f t="shared" ca="1" si="306"/>
        <v>0</v>
      </c>
      <c r="AA426" s="50">
        <f t="shared" ca="1" si="306"/>
        <v>0</v>
      </c>
      <c r="AB426" s="50">
        <f t="shared" ca="1" si="306"/>
        <v>0</v>
      </c>
      <c r="AC426" s="50">
        <f t="shared" ca="1" si="306"/>
        <v>0</v>
      </c>
      <c r="AD426" s="50">
        <f t="shared" ca="1" si="306"/>
        <v>0</v>
      </c>
      <c r="AE426" s="50">
        <f t="shared" ca="1" si="306"/>
        <v>0</v>
      </c>
      <c r="AF426" s="50">
        <f t="shared" ca="1" si="306"/>
        <v>0</v>
      </c>
      <c r="AG426" s="50">
        <f t="shared" ca="1" si="306"/>
        <v>0</v>
      </c>
      <c r="AH426" s="50">
        <f t="shared" ca="1" si="306"/>
        <v>0</v>
      </c>
      <c r="AI426" s="50">
        <f t="shared" ca="1" si="306"/>
        <v>0</v>
      </c>
      <c r="AJ426" s="50">
        <f t="shared" ca="1" si="306"/>
        <v>0</v>
      </c>
      <c r="AK426" s="50">
        <f t="shared" ca="1" si="306"/>
        <v>0</v>
      </c>
      <c r="AL426" s="50">
        <f t="shared" si="306"/>
        <v>0</v>
      </c>
      <c r="AM426" s="50">
        <f t="shared" si="306"/>
        <v>0</v>
      </c>
      <c r="AN426" s="50">
        <f t="shared" si="306"/>
        <v>0</v>
      </c>
      <c r="AO426" s="50">
        <f t="shared" si="306"/>
        <v>0</v>
      </c>
      <c r="AP426" s="50">
        <f t="shared" si="306"/>
        <v>0</v>
      </c>
      <c r="AQ426" s="50">
        <f t="shared" si="306"/>
        <v>0</v>
      </c>
      <c r="AR426" s="50">
        <f t="shared" si="306"/>
        <v>0</v>
      </c>
      <c r="AS426" s="50">
        <f t="shared" si="306"/>
        <v>0</v>
      </c>
      <c r="AT426" s="50">
        <f t="shared" si="306"/>
        <v>0</v>
      </c>
      <c r="AU426" s="50">
        <f t="shared" si="306"/>
        <v>0</v>
      </c>
    </row>
    <row r="427" spans="1:47">
      <c r="A427" s="38" t="str">
        <f>$J$4&amp;"-"</f>
        <v>1X-</v>
      </c>
      <c r="B427" s="38" t="s">
        <v>289</v>
      </c>
      <c r="C427" s="38" t="str">
        <f>C417</f>
        <v>Pre-Treatment (CAMBI)</v>
      </c>
      <c r="D427" s="186">
        <f>LaborEsc</f>
        <v>0.02</v>
      </c>
      <c r="E427" s="325"/>
      <c r="G427" s="36" t="s">
        <v>292</v>
      </c>
      <c r="I427" s="39"/>
      <c r="K427" s="39"/>
      <c r="L427" s="43" t="str">
        <f>"["&amp;CostBaseYr&amp;" $]"</f>
        <v>[2013 $]</v>
      </c>
      <c r="N427" s="70">
        <f ca="1">SUMIFS(OFFSET(Assumptions!$I$90,0,MATCH($A427,Configurations,0)-1,COUNT(Assumptions!$A$90:$A$183),1),Assumptions!$D$90:$D$183,$B427&amp;$C427)</f>
        <v>0</v>
      </c>
      <c r="O427" s="313"/>
      <c r="P427" s="323"/>
      <c r="Q427" s="313"/>
      <c r="R427" s="50">
        <f t="shared" ref="R427:AU427" ca="1" si="307">IF(OR(R$99&lt;InServiceYr,R$99&gt;(InServiceYr+analysis_period-1)),0,IF($P427=0,$N427,$P427)*(1+$D427)^(R$99-CostBaseYr))</f>
        <v>0</v>
      </c>
      <c r="S427" s="50">
        <f t="shared" ca="1" si="307"/>
        <v>0</v>
      </c>
      <c r="T427" s="50">
        <f t="shared" ca="1" si="307"/>
        <v>0</v>
      </c>
      <c r="U427" s="50">
        <f t="shared" ca="1" si="307"/>
        <v>0</v>
      </c>
      <c r="V427" s="50">
        <f t="shared" ca="1" si="307"/>
        <v>0</v>
      </c>
      <c r="W427" s="50">
        <f t="shared" ca="1" si="307"/>
        <v>0</v>
      </c>
      <c r="X427" s="50">
        <f t="shared" ca="1" si="307"/>
        <v>0</v>
      </c>
      <c r="Y427" s="50">
        <f t="shared" ca="1" si="307"/>
        <v>0</v>
      </c>
      <c r="Z427" s="50">
        <f t="shared" ca="1" si="307"/>
        <v>0</v>
      </c>
      <c r="AA427" s="50">
        <f t="shared" ca="1" si="307"/>
        <v>0</v>
      </c>
      <c r="AB427" s="50">
        <f t="shared" ca="1" si="307"/>
        <v>0</v>
      </c>
      <c r="AC427" s="50">
        <f t="shared" ca="1" si="307"/>
        <v>0</v>
      </c>
      <c r="AD427" s="50">
        <f t="shared" ca="1" si="307"/>
        <v>0</v>
      </c>
      <c r="AE427" s="50">
        <f t="shared" ca="1" si="307"/>
        <v>0</v>
      </c>
      <c r="AF427" s="50">
        <f t="shared" ca="1" si="307"/>
        <v>0</v>
      </c>
      <c r="AG427" s="50">
        <f t="shared" ca="1" si="307"/>
        <v>0</v>
      </c>
      <c r="AH427" s="50">
        <f t="shared" ca="1" si="307"/>
        <v>0</v>
      </c>
      <c r="AI427" s="50">
        <f t="shared" ca="1" si="307"/>
        <v>0</v>
      </c>
      <c r="AJ427" s="50">
        <f t="shared" ca="1" si="307"/>
        <v>0</v>
      </c>
      <c r="AK427" s="50">
        <f t="shared" ca="1" si="307"/>
        <v>0</v>
      </c>
      <c r="AL427" s="50">
        <f t="shared" si="307"/>
        <v>0</v>
      </c>
      <c r="AM427" s="50">
        <f t="shared" si="307"/>
        <v>0</v>
      </c>
      <c r="AN427" s="50">
        <f t="shared" si="307"/>
        <v>0</v>
      </c>
      <c r="AO427" s="50">
        <f t="shared" si="307"/>
        <v>0</v>
      </c>
      <c r="AP427" s="50">
        <f t="shared" si="307"/>
        <v>0</v>
      </c>
      <c r="AQ427" s="50">
        <f t="shared" si="307"/>
        <v>0</v>
      </c>
      <c r="AR427" s="50">
        <f t="shared" si="307"/>
        <v>0</v>
      </c>
      <c r="AS427" s="50">
        <f t="shared" si="307"/>
        <v>0</v>
      </c>
      <c r="AT427" s="50">
        <f t="shared" si="307"/>
        <v>0</v>
      </c>
      <c r="AU427" s="50">
        <f t="shared" si="307"/>
        <v>0</v>
      </c>
    </row>
    <row r="428" spans="1:47" s="60" customFormat="1">
      <c r="D428" s="187"/>
      <c r="E428" s="325"/>
      <c r="G428" s="39" t="s">
        <v>305</v>
      </c>
      <c r="I428" s="39"/>
      <c r="K428" s="39"/>
      <c r="L428" s="174"/>
      <c r="N428" s="188"/>
      <c r="O428" s="314"/>
      <c r="P428" s="185"/>
      <c r="Q428" s="314"/>
      <c r="R428" s="185">
        <f ca="1">SUM(R417:R424)-SUM(R426:R427)</f>
        <v>472035.50411666208</v>
      </c>
      <c r="S428" s="185">
        <f t="shared" ref="S428:AU428" ca="1" si="308">SUM(S417:S424)-SUM(S426:S427)</f>
        <v>481447.00857893488</v>
      </c>
      <c r="T428" s="185">
        <f t="shared" ca="1" si="308"/>
        <v>491125.2822030856</v>
      </c>
      <c r="U428" s="185">
        <f t="shared" ca="1" si="308"/>
        <v>500970.04984105757</v>
      </c>
      <c r="V428" s="185">
        <f t="shared" ca="1" si="308"/>
        <v>510998.92576138448</v>
      </c>
      <c r="W428" s="185">
        <f t="shared" ca="1" si="308"/>
        <v>521201.97642057121</v>
      </c>
      <c r="X428" s="185">
        <f t="shared" ca="1" si="308"/>
        <v>531617.14834966359</v>
      </c>
      <c r="Y428" s="185">
        <f t="shared" ca="1" si="308"/>
        <v>542260.70434082777</v>
      </c>
      <c r="Z428" s="185">
        <f t="shared" ca="1" si="308"/>
        <v>553115.68039320363</v>
      </c>
      <c r="AA428" s="185">
        <f t="shared" ca="1" si="308"/>
        <v>564190.68290134717</v>
      </c>
      <c r="AB428" s="185">
        <f t="shared" ca="1" si="308"/>
        <v>575478.81197023077</v>
      </c>
      <c r="AC428" s="185">
        <f t="shared" ca="1" si="308"/>
        <v>586986.41289903538</v>
      </c>
      <c r="AD428" s="185">
        <f t="shared" ca="1" si="308"/>
        <v>598734.53360396915</v>
      </c>
      <c r="AE428" s="185">
        <f t="shared" ca="1" si="308"/>
        <v>610716.95705560187</v>
      </c>
      <c r="AF428" s="185">
        <f t="shared" ca="1" si="308"/>
        <v>622941.99566064728</v>
      </c>
      <c r="AG428" s="185">
        <f t="shared" ca="1" si="308"/>
        <v>635418.28704347613</v>
      </c>
      <c r="AH428" s="185">
        <f t="shared" ca="1" si="308"/>
        <v>648140.06658895721</v>
      </c>
      <c r="AI428" s="185">
        <f t="shared" ca="1" si="308"/>
        <v>661120.9828815147</v>
      </c>
      <c r="AJ428" s="185">
        <f t="shared" ca="1" si="308"/>
        <v>674364.57401920878</v>
      </c>
      <c r="AK428" s="185">
        <f t="shared" ca="1" si="308"/>
        <v>687874.99999015033</v>
      </c>
      <c r="AL428" s="185">
        <f t="shared" si="308"/>
        <v>0</v>
      </c>
      <c r="AM428" s="185">
        <f t="shared" si="308"/>
        <v>0</v>
      </c>
      <c r="AN428" s="185">
        <f t="shared" si="308"/>
        <v>0</v>
      </c>
      <c r="AO428" s="185">
        <f t="shared" si="308"/>
        <v>0</v>
      </c>
      <c r="AP428" s="185">
        <f t="shared" si="308"/>
        <v>0</v>
      </c>
      <c r="AQ428" s="185">
        <f t="shared" si="308"/>
        <v>0</v>
      </c>
      <c r="AR428" s="185">
        <f t="shared" si="308"/>
        <v>0</v>
      </c>
      <c r="AS428" s="185">
        <f t="shared" si="308"/>
        <v>0</v>
      </c>
      <c r="AT428" s="185">
        <f t="shared" si="308"/>
        <v>0</v>
      </c>
      <c r="AU428" s="185">
        <f t="shared" si="308"/>
        <v>0</v>
      </c>
    </row>
    <row r="429" spans="1:47">
      <c r="E429" s="36"/>
      <c r="G429" s="39"/>
      <c r="H429" s="39"/>
      <c r="I429" s="39"/>
      <c r="J429" s="39"/>
      <c r="K429" s="39"/>
    </row>
    <row r="430" spans="1:47">
      <c r="E430" s="327"/>
      <c r="F430" s="28"/>
      <c r="G430" s="324" t="str">
        <f>C432&amp;" Capital Costs"</f>
        <v>Sitework Capital Costs</v>
      </c>
      <c r="H430" s="324"/>
      <c r="I430" s="324"/>
      <c r="J430" s="324"/>
      <c r="K430" s="324"/>
      <c r="L430" s="405" t="s">
        <v>79</v>
      </c>
      <c r="M430" s="256"/>
      <c r="N430" s="325" t="s">
        <v>490</v>
      </c>
      <c r="O430" s="311"/>
      <c r="P430" s="325" t="s">
        <v>491</v>
      </c>
      <c r="Q430" s="310"/>
      <c r="R430" s="325">
        <f>R$8</f>
        <v>2014</v>
      </c>
      <c r="S430" s="325">
        <f t="shared" ref="S430:AU430" si="309">S$8</f>
        <v>2015</v>
      </c>
      <c r="T430" s="325">
        <f t="shared" si="309"/>
        <v>2016</v>
      </c>
      <c r="U430" s="325">
        <f t="shared" si="309"/>
        <v>2017</v>
      </c>
      <c r="V430" s="325">
        <f t="shared" si="309"/>
        <v>2018</v>
      </c>
      <c r="W430" s="325">
        <f t="shared" si="309"/>
        <v>2019</v>
      </c>
      <c r="X430" s="325">
        <f t="shared" si="309"/>
        <v>2020</v>
      </c>
      <c r="Y430" s="325">
        <f t="shared" si="309"/>
        <v>2021</v>
      </c>
      <c r="Z430" s="325">
        <f t="shared" si="309"/>
        <v>2022</v>
      </c>
      <c r="AA430" s="325">
        <f t="shared" si="309"/>
        <v>2023</v>
      </c>
      <c r="AB430" s="325">
        <f t="shared" si="309"/>
        <v>2024</v>
      </c>
      <c r="AC430" s="325">
        <f t="shared" si="309"/>
        <v>2025</v>
      </c>
      <c r="AD430" s="325">
        <f t="shared" si="309"/>
        <v>2026</v>
      </c>
      <c r="AE430" s="325">
        <f t="shared" si="309"/>
        <v>2027</v>
      </c>
      <c r="AF430" s="325">
        <f t="shared" si="309"/>
        <v>2028</v>
      </c>
      <c r="AG430" s="325">
        <f t="shared" si="309"/>
        <v>2029</v>
      </c>
      <c r="AH430" s="325">
        <f t="shared" si="309"/>
        <v>2030</v>
      </c>
      <c r="AI430" s="325">
        <f t="shared" si="309"/>
        <v>2031</v>
      </c>
      <c r="AJ430" s="325">
        <f t="shared" si="309"/>
        <v>2032</v>
      </c>
      <c r="AK430" s="325">
        <f t="shared" si="309"/>
        <v>2033</v>
      </c>
      <c r="AL430" s="325">
        <f t="shared" si="309"/>
        <v>2034</v>
      </c>
      <c r="AM430" s="325">
        <f t="shared" si="309"/>
        <v>2035</v>
      </c>
      <c r="AN430" s="325">
        <f t="shared" si="309"/>
        <v>2036</v>
      </c>
      <c r="AO430" s="325">
        <f t="shared" si="309"/>
        <v>2037</v>
      </c>
      <c r="AP430" s="325">
        <f t="shared" si="309"/>
        <v>2038</v>
      </c>
      <c r="AQ430" s="325">
        <f t="shared" si="309"/>
        <v>2039</v>
      </c>
      <c r="AR430" s="325">
        <f t="shared" si="309"/>
        <v>2040</v>
      </c>
      <c r="AS430" s="325">
        <f t="shared" si="309"/>
        <v>2041</v>
      </c>
      <c r="AT430" s="325">
        <f t="shared" si="309"/>
        <v>2042</v>
      </c>
      <c r="AU430" s="325">
        <f t="shared" si="309"/>
        <v>2043</v>
      </c>
    </row>
    <row r="431" spans="1:47">
      <c r="E431" s="325"/>
      <c r="G431" s="39"/>
      <c r="H431" s="39"/>
      <c r="I431" s="39"/>
      <c r="J431" s="39"/>
      <c r="K431" s="39"/>
    </row>
    <row r="432" spans="1:47">
      <c r="A432" s="38" t="str">
        <f>$J$4&amp;"-"</f>
        <v>1X-</v>
      </c>
      <c r="B432" s="38" t="s">
        <v>306</v>
      </c>
      <c r="C432" s="38" t="s">
        <v>113</v>
      </c>
      <c r="D432" s="186">
        <f>CapExEsc</f>
        <v>0.03</v>
      </c>
      <c r="E432" s="325"/>
      <c r="G432" s="36" t="s">
        <v>8</v>
      </c>
      <c r="H432" s="39"/>
      <c r="I432" s="39"/>
      <c r="J432" s="70"/>
      <c r="K432" s="39"/>
      <c r="L432" s="43" t="str">
        <f>"["&amp;CostBaseYr&amp;" $]"</f>
        <v>[2013 $]</v>
      </c>
      <c r="N432" s="52">
        <f ca="1">SUMIFS(OFFSET(Assumptions!$I$65,0,MATCH($A432,Configurations,0)-1,COUNT(Assumptions!$A$65:$A$84),1),Assumptions!$E$65:$E$84,$C432)</f>
        <v>1094000</v>
      </c>
      <c r="O432" s="52"/>
      <c r="P432" s="322"/>
      <c r="Q432" s="52"/>
      <c r="R432" s="52">
        <f t="shared" ref="R432:AU432" ca="1" si="310">R433*IF($P432=0,$N432,$P432)*(1+$D432)^(R$8-CostBaseYr)</f>
        <v>1126820</v>
      </c>
      <c r="S432" s="52">
        <f t="shared" ca="1" si="310"/>
        <v>0</v>
      </c>
      <c r="T432" s="52">
        <f t="shared" ca="1" si="310"/>
        <v>0</v>
      </c>
      <c r="U432" s="52">
        <f t="shared" ca="1" si="310"/>
        <v>0</v>
      </c>
      <c r="V432" s="52">
        <f t="shared" ca="1" si="310"/>
        <v>0</v>
      </c>
      <c r="W432" s="52">
        <f t="shared" ca="1" si="310"/>
        <v>0</v>
      </c>
      <c r="X432" s="52">
        <f t="shared" ca="1" si="310"/>
        <v>0</v>
      </c>
      <c r="Y432" s="52">
        <f t="shared" ca="1" si="310"/>
        <v>0</v>
      </c>
      <c r="Z432" s="52">
        <f t="shared" ca="1" si="310"/>
        <v>0</v>
      </c>
      <c r="AA432" s="52">
        <f t="shared" ca="1" si="310"/>
        <v>0</v>
      </c>
      <c r="AB432" s="52">
        <f t="shared" ca="1" si="310"/>
        <v>0</v>
      </c>
      <c r="AC432" s="52">
        <f t="shared" ca="1" si="310"/>
        <v>0</v>
      </c>
      <c r="AD432" s="52">
        <f t="shared" ca="1" si="310"/>
        <v>0</v>
      </c>
      <c r="AE432" s="52">
        <f t="shared" ca="1" si="310"/>
        <v>0</v>
      </c>
      <c r="AF432" s="52">
        <f t="shared" ca="1" si="310"/>
        <v>0</v>
      </c>
      <c r="AG432" s="52">
        <f t="shared" ca="1" si="310"/>
        <v>0</v>
      </c>
      <c r="AH432" s="52">
        <f t="shared" ca="1" si="310"/>
        <v>0</v>
      </c>
      <c r="AI432" s="52">
        <f t="shared" ca="1" si="310"/>
        <v>0</v>
      </c>
      <c r="AJ432" s="52">
        <f t="shared" ca="1" si="310"/>
        <v>0</v>
      </c>
      <c r="AK432" s="52">
        <f t="shared" ca="1" si="310"/>
        <v>0</v>
      </c>
      <c r="AL432" s="52">
        <f t="shared" ca="1" si="310"/>
        <v>0</v>
      </c>
      <c r="AM432" s="52">
        <f t="shared" ca="1" si="310"/>
        <v>0</v>
      </c>
      <c r="AN432" s="52">
        <f t="shared" ca="1" si="310"/>
        <v>0</v>
      </c>
      <c r="AO432" s="52">
        <f t="shared" ca="1" si="310"/>
        <v>0</v>
      </c>
      <c r="AP432" s="52">
        <f t="shared" ca="1" si="310"/>
        <v>0</v>
      </c>
      <c r="AQ432" s="52">
        <f t="shared" ca="1" si="310"/>
        <v>0</v>
      </c>
      <c r="AR432" s="52">
        <f t="shared" ca="1" si="310"/>
        <v>0</v>
      </c>
      <c r="AS432" s="52">
        <f t="shared" ca="1" si="310"/>
        <v>0</v>
      </c>
      <c r="AT432" s="52">
        <f t="shared" ca="1" si="310"/>
        <v>0</v>
      </c>
      <c r="AU432" s="52">
        <f t="shared" ca="1" si="310"/>
        <v>0</v>
      </c>
    </row>
    <row r="433" spans="1:47">
      <c r="E433" s="325"/>
      <c r="G433" s="36" t="s">
        <v>10</v>
      </c>
      <c r="H433" s="39"/>
      <c r="I433" s="39"/>
      <c r="J433" s="39"/>
      <c r="K433" s="39"/>
      <c r="L433" s="43"/>
      <c r="R433" s="54">
        <f>Assumptions!M$60</f>
        <v>1</v>
      </c>
      <c r="S433" s="54">
        <f>Assumptions!N$60</f>
        <v>0</v>
      </c>
      <c r="T433" s="54">
        <f>Assumptions!O$60</f>
        <v>0</v>
      </c>
      <c r="U433" s="54">
        <f>Assumptions!P$60</f>
        <v>0</v>
      </c>
      <c r="V433" s="54">
        <f>Assumptions!Q$60</f>
        <v>0</v>
      </c>
      <c r="W433" s="54">
        <f>Assumptions!R$60</f>
        <v>0</v>
      </c>
      <c r="X433" s="54">
        <f>Assumptions!S$60</f>
        <v>0</v>
      </c>
      <c r="Y433" s="54">
        <f>Assumptions!T$60</f>
        <v>0</v>
      </c>
      <c r="Z433" s="54">
        <f>Assumptions!U$60</f>
        <v>0</v>
      </c>
      <c r="AA433" s="54">
        <f>Assumptions!V$60</f>
        <v>0</v>
      </c>
      <c r="AB433" s="54">
        <f>Assumptions!W$60</f>
        <v>0</v>
      </c>
      <c r="AC433" s="54">
        <f>Assumptions!X$60</f>
        <v>0</v>
      </c>
      <c r="AD433" s="54">
        <f>Assumptions!Y$60</f>
        <v>0</v>
      </c>
      <c r="AE433" s="54">
        <f>Assumptions!Z$60</f>
        <v>0</v>
      </c>
      <c r="AF433" s="54">
        <f>Assumptions!AA$60</f>
        <v>0</v>
      </c>
      <c r="AG433" s="54">
        <f>Assumptions!AB$60</f>
        <v>0</v>
      </c>
      <c r="AH433" s="54">
        <f>Assumptions!AC$60</f>
        <v>0</v>
      </c>
      <c r="AI433" s="54">
        <f>Assumptions!AD$60</f>
        <v>0</v>
      </c>
      <c r="AJ433" s="54">
        <f>Assumptions!AE$60</f>
        <v>0</v>
      </c>
      <c r="AK433" s="54">
        <f>Assumptions!AF$60</f>
        <v>0</v>
      </c>
      <c r="AL433" s="54">
        <f>Assumptions!AG$60</f>
        <v>0</v>
      </c>
      <c r="AM433" s="54">
        <f>Assumptions!AH$60</f>
        <v>0</v>
      </c>
      <c r="AN433" s="54">
        <f>Assumptions!AI$60</f>
        <v>0</v>
      </c>
      <c r="AO433" s="54">
        <f>Assumptions!AJ$60</f>
        <v>0</v>
      </c>
      <c r="AP433" s="54">
        <f>Assumptions!AK$60</f>
        <v>0</v>
      </c>
      <c r="AQ433" s="54">
        <f>Assumptions!AL$60</f>
        <v>0</v>
      </c>
      <c r="AR433" s="54">
        <f>Assumptions!AM$60</f>
        <v>0</v>
      </c>
      <c r="AS433" s="54">
        <f>Assumptions!AN$60</f>
        <v>0</v>
      </c>
      <c r="AT433" s="54">
        <f>Assumptions!AO$60</f>
        <v>0</v>
      </c>
      <c r="AU433" s="54">
        <f>Assumptions!AP$60</f>
        <v>0</v>
      </c>
    </row>
    <row r="434" spans="1:47">
      <c r="E434" s="36"/>
      <c r="G434" s="39"/>
      <c r="H434" s="39"/>
      <c r="I434" s="39"/>
      <c r="J434" s="39"/>
      <c r="K434" s="39"/>
    </row>
    <row r="435" spans="1:47">
      <c r="E435" s="327"/>
      <c r="F435" s="28"/>
      <c r="G435" s="324" t="str">
        <f>C437&amp;" Capital Costs"</f>
        <v>General Requirements Capital Costs</v>
      </c>
      <c r="H435" s="324"/>
      <c r="I435" s="324"/>
      <c r="J435" s="324"/>
      <c r="K435" s="324"/>
      <c r="L435" s="405" t="s">
        <v>79</v>
      </c>
      <c r="M435" s="256"/>
      <c r="N435" s="325" t="s">
        <v>490</v>
      </c>
      <c r="O435" s="311"/>
      <c r="P435" s="325" t="s">
        <v>491</v>
      </c>
      <c r="Q435" s="310"/>
      <c r="R435" s="325">
        <f>R$8</f>
        <v>2014</v>
      </c>
      <c r="S435" s="325">
        <f t="shared" ref="S435:AU435" si="311">S$8</f>
        <v>2015</v>
      </c>
      <c r="T435" s="325">
        <f t="shared" si="311"/>
        <v>2016</v>
      </c>
      <c r="U435" s="325">
        <f t="shared" si="311"/>
        <v>2017</v>
      </c>
      <c r="V435" s="325">
        <f t="shared" si="311"/>
        <v>2018</v>
      </c>
      <c r="W435" s="325">
        <f t="shared" si="311"/>
        <v>2019</v>
      </c>
      <c r="X435" s="325">
        <f t="shared" si="311"/>
        <v>2020</v>
      </c>
      <c r="Y435" s="325">
        <f t="shared" si="311"/>
        <v>2021</v>
      </c>
      <c r="Z435" s="325">
        <f t="shared" si="311"/>
        <v>2022</v>
      </c>
      <c r="AA435" s="325">
        <f t="shared" si="311"/>
        <v>2023</v>
      </c>
      <c r="AB435" s="325">
        <f t="shared" si="311"/>
        <v>2024</v>
      </c>
      <c r="AC435" s="325">
        <f t="shared" si="311"/>
        <v>2025</v>
      </c>
      <c r="AD435" s="325">
        <f t="shared" si="311"/>
        <v>2026</v>
      </c>
      <c r="AE435" s="325">
        <f t="shared" si="311"/>
        <v>2027</v>
      </c>
      <c r="AF435" s="325">
        <f t="shared" si="311"/>
        <v>2028</v>
      </c>
      <c r="AG435" s="325">
        <f t="shared" si="311"/>
        <v>2029</v>
      </c>
      <c r="AH435" s="325">
        <f t="shared" si="311"/>
        <v>2030</v>
      </c>
      <c r="AI435" s="325">
        <f t="shared" si="311"/>
        <v>2031</v>
      </c>
      <c r="AJ435" s="325">
        <f t="shared" si="311"/>
        <v>2032</v>
      </c>
      <c r="AK435" s="325">
        <f t="shared" si="311"/>
        <v>2033</v>
      </c>
      <c r="AL435" s="325">
        <f t="shared" si="311"/>
        <v>2034</v>
      </c>
      <c r="AM435" s="325">
        <f t="shared" si="311"/>
        <v>2035</v>
      </c>
      <c r="AN435" s="325">
        <f t="shared" si="311"/>
        <v>2036</v>
      </c>
      <c r="AO435" s="325">
        <f t="shared" si="311"/>
        <v>2037</v>
      </c>
      <c r="AP435" s="325">
        <f t="shared" si="311"/>
        <v>2038</v>
      </c>
      <c r="AQ435" s="325">
        <f t="shared" si="311"/>
        <v>2039</v>
      </c>
      <c r="AR435" s="325">
        <f t="shared" si="311"/>
        <v>2040</v>
      </c>
      <c r="AS435" s="325">
        <f t="shared" si="311"/>
        <v>2041</v>
      </c>
      <c r="AT435" s="325">
        <f t="shared" si="311"/>
        <v>2042</v>
      </c>
      <c r="AU435" s="325">
        <f t="shared" si="311"/>
        <v>2043</v>
      </c>
    </row>
    <row r="436" spans="1:47">
      <c r="E436" s="325"/>
      <c r="G436" s="39"/>
      <c r="H436" s="39"/>
      <c r="I436" s="39"/>
      <c r="J436" s="39"/>
      <c r="K436" s="39"/>
    </row>
    <row r="437" spans="1:47">
      <c r="A437" s="38" t="str">
        <f>$J$4&amp;"-"</f>
        <v>1X-</v>
      </c>
      <c r="B437" s="38" t="s">
        <v>306</v>
      </c>
      <c r="C437" s="38" t="s">
        <v>115</v>
      </c>
      <c r="D437" s="186">
        <f>CapExEsc</f>
        <v>0.03</v>
      </c>
      <c r="E437" s="325"/>
      <c r="G437" s="36" t="s">
        <v>8</v>
      </c>
      <c r="H437" s="39"/>
      <c r="I437" s="39"/>
      <c r="J437" s="70"/>
      <c r="K437" s="39"/>
      <c r="L437" s="43" t="str">
        <f>"["&amp;CostBaseYr&amp;" $]"</f>
        <v>[2013 $]</v>
      </c>
      <c r="N437" s="52">
        <f ca="1">SUMIFS(OFFSET(Assumptions!$I$65,0,MATCH($A437,Configurations,0)-1,COUNT(Assumptions!$A$65:$A$84),1),Assumptions!$E$65:$E$84,$C437)</f>
        <v>2189000</v>
      </c>
      <c r="O437" s="52"/>
      <c r="P437" s="322"/>
      <c r="Q437" s="52"/>
      <c r="R437" s="52">
        <f t="shared" ref="R437:AU437" ca="1" si="312">R438*IF($P437=0,$N437,$P437)*(1+$D437)^(R$8-CostBaseYr)</f>
        <v>2254670</v>
      </c>
      <c r="S437" s="52">
        <f t="shared" ca="1" si="312"/>
        <v>0</v>
      </c>
      <c r="T437" s="52">
        <f t="shared" ca="1" si="312"/>
        <v>0</v>
      </c>
      <c r="U437" s="52">
        <f t="shared" ca="1" si="312"/>
        <v>0</v>
      </c>
      <c r="V437" s="52">
        <f t="shared" ca="1" si="312"/>
        <v>0</v>
      </c>
      <c r="W437" s="52">
        <f t="shared" ca="1" si="312"/>
        <v>0</v>
      </c>
      <c r="X437" s="52">
        <f t="shared" ca="1" si="312"/>
        <v>0</v>
      </c>
      <c r="Y437" s="52">
        <f t="shared" ca="1" si="312"/>
        <v>0</v>
      </c>
      <c r="Z437" s="52">
        <f t="shared" ca="1" si="312"/>
        <v>0</v>
      </c>
      <c r="AA437" s="52">
        <f t="shared" ca="1" si="312"/>
        <v>0</v>
      </c>
      <c r="AB437" s="52">
        <f t="shared" ca="1" si="312"/>
        <v>0</v>
      </c>
      <c r="AC437" s="52">
        <f t="shared" ca="1" si="312"/>
        <v>0</v>
      </c>
      <c r="AD437" s="52">
        <f t="shared" ca="1" si="312"/>
        <v>0</v>
      </c>
      <c r="AE437" s="52">
        <f t="shared" ca="1" si="312"/>
        <v>0</v>
      </c>
      <c r="AF437" s="52">
        <f t="shared" ca="1" si="312"/>
        <v>0</v>
      </c>
      <c r="AG437" s="52">
        <f t="shared" ca="1" si="312"/>
        <v>0</v>
      </c>
      <c r="AH437" s="52">
        <f t="shared" ca="1" si="312"/>
        <v>0</v>
      </c>
      <c r="AI437" s="52">
        <f t="shared" ca="1" si="312"/>
        <v>0</v>
      </c>
      <c r="AJ437" s="52">
        <f t="shared" ca="1" si="312"/>
        <v>0</v>
      </c>
      <c r="AK437" s="52">
        <f t="shared" ca="1" si="312"/>
        <v>0</v>
      </c>
      <c r="AL437" s="52">
        <f t="shared" ca="1" si="312"/>
        <v>0</v>
      </c>
      <c r="AM437" s="52">
        <f t="shared" ca="1" si="312"/>
        <v>0</v>
      </c>
      <c r="AN437" s="52">
        <f t="shared" ca="1" si="312"/>
        <v>0</v>
      </c>
      <c r="AO437" s="52">
        <f t="shared" ca="1" si="312"/>
        <v>0</v>
      </c>
      <c r="AP437" s="52">
        <f t="shared" ca="1" si="312"/>
        <v>0</v>
      </c>
      <c r="AQ437" s="52">
        <f t="shared" ca="1" si="312"/>
        <v>0</v>
      </c>
      <c r="AR437" s="52">
        <f t="shared" ca="1" si="312"/>
        <v>0</v>
      </c>
      <c r="AS437" s="52">
        <f t="shared" ca="1" si="312"/>
        <v>0</v>
      </c>
      <c r="AT437" s="52">
        <f t="shared" ca="1" si="312"/>
        <v>0</v>
      </c>
      <c r="AU437" s="52">
        <f t="shared" ca="1" si="312"/>
        <v>0</v>
      </c>
    </row>
    <row r="438" spans="1:47">
      <c r="E438" s="325"/>
      <c r="G438" s="36" t="s">
        <v>10</v>
      </c>
      <c r="H438" s="39"/>
      <c r="I438" s="39"/>
      <c r="J438" s="39"/>
      <c r="K438" s="39"/>
      <c r="L438" s="43"/>
      <c r="R438" s="54">
        <f>Assumptions!M$60</f>
        <v>1</v>
      </c>
      <c r="S438" s="54">
        <f>Assumptions!N$60</f>
        <v>0</v>
      </c>
      <c r="T438" s="54">
        <f>Assumptions!O$60</f>
        <v>0</v>
      </c>
      <c r="U438" s="54">
        <f>Assumptions!P$60</f>
        <v>0</v>
      </c>
      <c r="V438" s="54">
        <f>Assumptions!Q$60</f>
        <v>0</v>
      </c>
      <c r="W438" s="54">
        <f>Assumptions!R$60</f>
        <v>0</v>
      </c>
      <c r="X438" s="54">
        <f>Assumptions!S$60</f>
        <v>0</v>
      </c>
      <c r="Y438" s="54">
        <f>Assumptions!T$60</f>
        <v>0</v>
      </c>
      <c r="Z438" s="54">
        <f>Assumptions!U$60</f>
        <v>0</v>
      </c>
      <c r="AA438" s="54">
        <f>Assumptions!V$60</f>
        <v>0</v>
      </c>
      <c r="AB438" s="54">
        <f>Assumptions!W$60</f>
        <v>0</v>
      </c>
      <c r="AC438" s="54">
        <f>Assumptions!X$60</f>
        <v>0</v>
      </c>
      <c r="AD438" s="54">
        <f>Assumptions!Y$60</f>
        <v>0</v>
      </c>
      <c r="AE438" s="54">
        <f>Assumptions!Z$60</f>
        <v>0</v>
      </c>
      <c r="AF438" s="54">
        <f>Assumptions!AA$60</f>
        <v>0</v>
      </c>
      <c r="AG438" s="54">
        <f>Assumptions!AB$60</f>
        <v>0</v>
      </c>
      <c r="AH438" s="54">
        <f>Assumptions!AC$60</f>
        <v>0</v>
      </c>
      <c r="AI438" s="54">
        <f>Assumptions!AD$60</f>
        <v>0</v>
      </c>
      <c r="AJ438" s="54">
        <f>Assumptions!AE$60</f>
        <v>0</v>
      </c>
      <c r="AK438" s="54">
        <f>Assumptions!AF$60</f>
        <v>0</v>
      </c>
      <c r="AL438" s="54">
        <f>Assumptions!AG$60</f>
        <v>0</v>
      </c>
      <c r="AM438" s="54">
        <f>Assumptions!AH$60</f>
        <v>0</v>
      </c>
      <c r="AN438" s="54">
        <f>Assumptions!AI$60</f>
        <v>0</v>
      </c>
      <c r="AO438" s="54">
        <f>Assumptions!AJ$60</f>
        <v>0</v>
      </c>
      <c r="AP438" s="54">
        <f>Assumptions!AK$60</f>
        <v>0</v>
      </c>
      <c r="AQ438" s="54">
        <f>Assumptions!AL$60</f>
        <v>0</v>
      </c>
      <c r="AR438" s="54">
        <f>Assumptions!AM$60</f>
        <v>0</v>
      </c>
      <c r="AS438" s="54">
        <f>Assumptions!AN$60</f>
        <v>0</v>
      </c>
      <c r="AT438" s="54">
        <f>Assumptions!AO$60</f>
        <v>0</v>
      </c>
      <c r="AU438" s="54">
        <f>Assumptions!AP$60</f>
        <v>0</v>
      </c>
    </row>
    <row r="439" spans="1:47">
      <c r="E439" s="36"/>
      <c r="G439" s="39"/>
      <c r="H439" s="39"/>
      <c r="I439" s="39"/>
      <c r="J439" s="39"/>
      <c r="K439" s="39"/>
    </row>
    <row r="440" spans="1:47">
      <c r="E440" s="327"/>
      <c r="F440" s="28"/>
      <c r="G440" s="324" t="str">
        <f>C442&amp;" Capital Costs"</f>
        <v>Contingencies Capital Costs</v>
      </c>
      <c r="H440" s="324"/>
      <c r="I440" s="324"/>
      <c r="J440" s="324"/>
      <c r="K440" s="324"/>
      <c r="L440" s="405" t="s">
        <v>79</v>
      </c>
      <c r="M440" s="256"/>
      <c r="N440" s="325" t="s">
        <v>490</v>
      </c>
      <c r="O440" s="311"/>
      <c r="P440" s="325" t="s">
        <v>491</v>
      </c>
      <c r="Q440" s="310"/>
      <c r="R440" s="325">
        <f>R$8</f>
        <v>2014</v>
      </c>
      <c r="S440" s="325">
        <f t="shared" ref="S440:AU440" si="313">S$8</f>
        <v>2015</v>
      </c>
      <c r="T440" s="325">
        <f t="shared" si="313"/>
        <v>2016</v>
      </c>
      <c r="U440" s="325">
        <f t="shared" si="313"/>
        <v>2017</v>
      </c>
      <c r="V440" s="325">
        <f t="shared" si="313"/>
        <v>2018</v>
      </c>
      <c r="W440" s="325">
        <f t="shared" si="313"/>
        <v>2019</v>
      </c>
      <c r="X440" s="325">
        <f t="shared" si="313"/>
        <v>2020</v>
      </c>
      <c r="Y440" s="325">
        <f t="shared" si="313"/>
        <v>2021</v>
      </c>
      <c r="Z440" s="325">
        <f t="shared" si="313"/>
        <v>2022</v>
      </c>
      <c r="AA440" s="325">
        <f t="shared" si="313"/>
        <v>2023</v>
      </c>
      <c r="AB440" s="325">
        <f t="shared" si="313"/>
        <v>2024</v>
      </c>
      <c r="AC440" s="325">
        <f t="shared" si="313"/>
        <v>2025</v>
      </c>
      <c r="AD440" s="325">
        <f t="shared" si="313"/>
        <v>2026</v>
      </c>
      <c r="AE440" s="325">
        <f t="shared" si="313"/>
        <v>2027</v>
      </c>
      <c r="AF440" s="325">
        <f t="shared" si="313"/>
        <v>2028</v>
      </c>
      <c r="AG440" s="325">
        <f t="shared" si="313"/>
        <v>2029</v>
      </c>
      <c r="AH440" s="325">
        <f t="shared" si="313"/>
        <v>2030</v>
      </c>
      <c r="AI440" s="325">
        <f t="shared" si="313"/>
        <v>2031</v>
      </c>
      <c r="AJ440" s="325">
        <f t="shared" si="313"/>
        <v>2032</v>
      </c>
      <c r="AK440" s="325">
        <f t="shared" si="313"/>
        <v>2033</v>
      </c>
      <c r="AL440" s="325">
        <f t="shared" si="313"/>
        <v>2034</v>
      </c>
      <c r="AM440" s="325">
        <f t="shared" si="313"/>
        <v>2035</v>
      </c>
      <c r="AN440" s="325">
        <f t="shared" si="313"/>
        <v>2036</v>
      </c>
      <c r="AO440" s="325">
        <f t="shared" si="313"/>
        <v>2037</v>
      </c>
      <c r="AP440" s="325">
        <f t="shared" si="313"/>
        <v>2038</v>
      </c>
      <c r="AQ440" s="325">
        <f t="shared" si="313"/>
        <v>2039</v>
      </c>
      <c r="AR440" s="325">
        <f t="shared" si="313"/>
        <v>2040</v>
      </c>
      <c r="AS440" s="325">
        <f t="shared" si="313"/>
        <v>2041</v>
      </c>
      <c r="AT440" s="325">
        <f t="shared" si="313"/>
        <v>2042</v>
      </c>
      <c r="AU440" s="325">
        <f t="shared" si="313"/>
        <v>2043</v>
      </c>
    </row>
    <row r="441" spans="1:47">
      <c r="E441" s="325"/>
      <c r="G441" s="39"/>
      <c r="H441" s="39"/>
      <c r="I441" s="39"/>
      <c r="J441" s="39"/>
      <c r="K441" s="39"/>
    </row>
    <row r="442" spans="1:47">
      <c r="A442" s="38" t="str">
        <f>$J$4&amp;"-"</f>
        <v>1X-</v>
      </c>
      <c r="B442" s="38" t="s">
        <v>306</v>
      </c>
      <c r="C442" s="38" t="s">
        <v>146</v>
      </c>
      <c r="D442" s="186">
        <f>CapExEsc</f>
        <v>0.03</v>
      </c>
      <c r="E442" s="325"/>
      <c r="G442" s="36" t="s">
        <v>8</v>
      </c>
      <c r="H442" s="39"/>
      <c r="I442" s="39"/>
      <c r="J442" s="70"/>
      <c r="K442" s="39"/>
      <c r="L442" s="43" t="str">
        <f>"["&amp;CostBaseYr&amp;" $]"</f>
        <v>[2013 $]</v>
      </c>
      <c r="N442" s="52">
        <f ca="1">SUMIFS(OFFSET(Assumptions!$I$65,0,MATCH($A442,Configurations,0)-1,COUNT(Assumptions!$A$65:$A$84),1),Assumptions!$E$65:$E$84,$C442)</f>
        <v>7551000</v>
      </c>
      <c r="O442" s="52"/>
      <c r="P442" s="322"/>
      <c r="Q442" s="52"/>
      <c r="R442" s="52">
        <f t="shared" ref="R442:AU442" ca="1" si="314">R443*IF($P442=0,$N442,$P442)*(1+$D442)^(R$8-CostBaseYr)</f>
        <v>7777530</v>
      </c>
      <c r="S442" s="52">
        <f t="shared" ca="1" si="314"/>
        <v>0</v>
      </c>
      <c r="T442" s="52">
        <f t="shared" ca="1" si="314"/>
        <v>0</v>
      </c>
      <c r="U442" s="52">
        <f t="shared" ca="1" si="314"/>
        <v>0</v>
      </c>
      <c r="V442" s="52">
        <f t="shared" ca="1" si="314"/>
        <v>0</v>
      </c>
      <c r="W442" s="52">
        <f t="shared" ca="1" si="314"/>
        <v>0</v>
      </c>
      <c r="X442" s="52">
        <f t="shared" ca="1" si="314"/>
        <v>0</v>
      </c>
      <c r="Y442" s="52">
        <f t="shared" ca="1" si="314"/>
        <v>0</v>
      </c>
      <c r="Z442" s="52">
        <f t="shared" ca="1" si="314"/>
        <v>0</v>
      </c>
      <c r="AA442" s="52">
        <f t="shared" ca="1" si="314"/>
        <v>0</v>
      </c>
      <c r="AB442" s="52">
        <f t="shared" ca="1" si="314"/>
        <v>0</v>
      </c>
      <c r="AC442" s="52">
        <f t="shared" ca="1" si="314"/>
        <v>0</v>
      </c>
      <c r="AD442" s="52">
        <f t="shared" ca="1" si="314"/>
        <v>0</v>
      </c>
      <c r="AE442" s="52">
        <f t="shared" ca="1" si="314"/>
        <v>0</v>
      </c>
      <c r="AF442" s="52">
        <f t="shared" ca="1" si="314"/>
        <v>0</v>
      </c>
      <c r="AG442" s="52">
        <f t="shared" ca="1" si="314"/>
        <v>0</v>
      </c>
      <c r="AH442" s="52">
        <f t="shared" ca="1" si="314"/>
        <v>0</v>
      </c>
      <c r="AI442" s="52">
        <f t="shared" ca="1" si="314"/>
        <v>0</v>
      </c>
      <c r="AJ442" s="52">
        <f t="shared" ca="1" si="314"/>
        <v>0</v>
      </c>
      <c r="AK442" s="52">
        <f t="shared" ca="1" si="314"/>
        <v>0</v>
      </c>
      <c r="AL442" s="52">
        <f t="shared" ca="1" si="314"/>
        <v>0</v>
      </c>
      <c r="AM442" s="52">
        <f t="shared" ca="1" si="314"/>
        <v>0</v>
      </c>
      <c r="AN442" s="52">
        <f t="shared" ca="1" si="314"/>
        <v>0</v>
      </c>
      <c r="AO442" s="52">
        <f t="shared" ca="1" si="314"/>
        <v>0</v>
      </c>
      <c r="AP442" s="52">
        <f t="shared" ca="1" si="314"/>
        <v>0</v>
      </c>
      <c r="AQ442" s="52">
        <f t="shared" ca="1" si="314"/>
        <v>0</v>
      </c>
      <c r="AR442" s="52">
        <f t="shared" ca="1" si="314"/>
        <v>0</v>
      </c>
      <c r="AS442" s="52">
        <f t="shared" ca="1" si="314"/>
        <v>0</v>
      </c>
      <c r="AT442" s="52">
        <f t="shared" ca="1" si="314"/>
        <v>0</v>
      </c>
      <c r="AU442" s="52">
        <f t="shared" ca="1" si="314"/>
        <v>0</v>
      </c>
    </row>
    <row r="443" spans="1:47">
      <c r="E443" s="325"/>
      <c r="G443" s="36" t="s">
        <v>10</v>
      </c>
      <c r="H443" s="39"/>
      <c r="I443" s="39"/>
      <c r="J443" s="39"/>
      <c r="K443" s="39"/>
      <c r="L443" s="43"/>
      <c r="R443" s="54">
        <f>Assumptions!M$60</f>
        <v>1</v>
      </c>
      <c r="S443" s="54">
        <f>Assumptions!N$60</f>
        <v>0</v>
      </c>
      <c r="T443" s="54">
        <f>Assumptions!O$60</f>
        <v>0</v>
      </c>
      <c r="U443" s="54">
        <f>Assumptions!P$60</f>
        <v>0</v>
      </c>
      <c r="V443" s="54">
        <f>Assumptions!Q$60</f>
        <v>0</v>
      </c>
      <c r="W443" s="54">
        <f>Assumptions!R$60</f>
        <v>0</v>
      </c>
      <c r="X443" s="54">
        <f>Assumptions!S$60</f>
        <v>0</v>
      </c>
      <c r="Y443" s="54">
        <f>Assumptions!T$60</f>
        <v>0</v>
      </c>
      <c r="Z443" s="54">
        <f>Assumptions!U$60</f>
        <v>0</v>
      </c>
      <c r="AA443" s="54">
        <f>Assumptions!V$60</f>
        <v>0</v>
      </c>
      <c r="AB443" s="54">
        <f>Assumptions!W$60</f>
        <v>0</v>
      </c>
      <c r="AC443" s="54">
        <f>Assumptions!X$60</f>
        <v>0</v>
      </c>
      <c r="AD443" s="54">
        <f>Assumptions!Y$60</f>
        <v>0</v>
      </c>
      <c r="AE443" s="54">
        <f>Assumptions!Z$60</f>
        <v>0</v>
      </c>
      <c r="AF443" s="54">
        <f>Assumptions!AA$60</f>
        <v>0</v>
      </c>
      <c r="AG443" s="54">
        <f>Assumptions!AB$60</f>
        <v>0</v>
      </c>
      <c r="AH443" s="54">
        <f>Assumptions!AC$60</f>
        <v>0</v>
      </c>
      <c r="AI443" s="54">
        <f>Assumptions!AD$60</f>
        <v>0</v>
      </c>
      <c r="AJ443" s="54">
        <f>Assumptions!AE$60</f>
        <v>0</v>
      </c>
      <c r="AK443" s="54">
        <f>Assumptions!AF$60</f>
        <v>0</v>
      </c>
      <c r="AL443" s="54">
        <f>Assumptions!AG$60</f>
        <v>0</v>
      </c>
      <c r="AM443" s="54">
        <f>Assumptions!AH$60</f>
        <v>0</v>
      </c>
      <c r="AN443" s="54">
        <f>Assumptions!AI$60</f>
        <v>0</v>
      </c>
      <c r="AO443" s="54">
        <f>Assumptions!AJ$60</f>
        <v>0</v>
      </c>
      <c r="AP443" s="54">
        <f>Assumptions!AK$60</f>
        <v>0</v>
      </c>
      <c r="AQ443" s="54">
        <f>Assumptions!AL$60</f>
        <v>0</v>
      </c>
      <c r="AR443" s="54">
        <f>Assumptions!AM$60</f>
        <v>0</v>
      </c>
      <c r="AS443" s="54">
        <f>Assumptions!AN$60</f>
        <v>0</v>
      </c>
      <c r="AT443" s="54">
        <f>Assumptions!AO$60</f>
        <v>0</v>
      </c>
      <c r="AU443" s="54">
        <f>Assumptions!AP$60</f>
        <v>0</v>
      </c>
    </row>
    <row r="444" spans="1:47">
      <c r="E444" s="36"/>
      <c r="G444" s="39"/>
      <c r="H444" s="39"/>
      <c r="I444" s="39"/>
      <c r="J444" s="39"/>
      <c r="K444" s="39"/>
    </row>
    <row r="445" spans="1:47">
      <c r="E445" s="327"/>
      <c r="F445" s="28"/>
      <c r="G445" s="324" t="str">
        <f>C447&amp;" Capital Costs"</f>
        <v>Engineering, Legal &amp; Admin Capital Costs</v>
      </c>
      <c r="H445" s="324"/>
      <c r="I445" s="324"/>
      <c r="J445" s="324"/>
      <c r="K445" s="324"/>
      <c r="L445" s="405" t="s">
        <v>79</v>
      </c>
      <c r="M445" s="256"/>
      <c r="N445" s="325" t="s">
        <v>490</v>
      </c>
      <c r="O445" s="311"/>
      <c r="P445" s="325" t="s">
        <v>491</v>
      </c>
      <c r="Q445" s="310"/>
      <c r="R445" s="325">
        <f>R$8</f>
        <v>2014</v>
      </c>
      <c r="S445" s="325">
        <f t="shared" ref="S445:AU445" si="315">S$8</f>
        <v>2015</v>
      </c>
      <c r="T445" s="325">
        <f t="shared" si="315"/>
        <v>2016</v>
      </c>
      <c r="U445" s="325">
        <f t="shared" si="315"/>
        <v>2017</v>
      </c>
      <c r="V445" s="325">
        <f t="shared" si="315"/>
        <v>2018</v>
      </c>
      <c r="W445" s="325">
        <f t="shared" si="315"/>
        <v>2019</v>
      </c>
      <c r="X445" s="325">
        <f t="shared" si="315"/>
        <v>2020</v>
      </c>
      <c r="Y445" s="325">
        <f t="shared" si="315"/>
        <v>2021</v>
      </c>
      <c r="Z445" s="325">
        <f t="shared" si="315"/>
        <v>2022</v>
      </c>
      <c r="AA445" s="325">
        <f t="shared" si="315"/>
        <v>2023</v>
      </c>
      <c r="AB445" s="325">
        <f t="shared" si="315"/>
        <v>2024</v>
      </c>
      <c r="AC445" s="325">
        <f t="shared" si="315"/>
        <v>2025</v>
      </c>
      <c r="AD445" s="325">
        <f t="shared" si="315"/>
        <v>2026</v>
      </c>
      <c r="AE445" s="325">
        <f t="shared" si="315"/>
        <v>2027</v>
      </c>
      <c r="AF445" s="325">
        <f t="shared" si="315"/>
        <v>2028</v>
      </c>
      <c r="AG445" s="325">
        <f t="shared" si="315"/>
        <v>2029</v>
      </c>
      <c r="AH445" s="325">
        <f t="shared" si="315"/>
        <v>2030</v>
      </c>
      <c r="AI445" s="325">
        <f t="shared" si="315"/>
        <v>2031</v>
      </c>
      <c r="AJ445" s="325">
        <f t="shared" si="315"/>
        <v>2032</v>
      </c>
      <c r="AK445" s="325">
        <f t="shared" si="315"/>
        <v>2033</v>
      </c>
      <c r="AL445" s="325">
        <f t="shared" si="315"/>
        <v>2034</v>
      </c>
      <c r="AM445" s="325">
        <f t="shared" si="315"/>
        <v>2035</v>
      </c>
      <c r="AN445" s="325">
        <f t="shared" si="315"/>
        <v>2036</v>
      </c>
      <c r="AO445" s="325">
        <f t="shared" si="315"/>
        <v>2037</v>
      </c>
      <c r="AP445" s="325">
        <f t="shared" si="315"/>
        <v>2038</v>
      </c>
      <c r="AQ445" s="325">
        <f t="shared" si="315"/>
        <v>2039</v>
      </c>
      <c r="AR445" s="325">
        <f t="shared" si="315"/>
        <v>2040</v>
      </c>
      <c r="AS445" s="325">
        <f t="shared" si="315"/>
        <v>2041</v>
      </c>
      <c r="AT445" s="325">
        <f t="shared" si="315"/>
        <v>2042</v>
      </c>
      <c r="AU445" s="325">
        <f t="shared" si="315"/>
        <v>2043</v>
      </c>
    </row>
    <row r="446" spans="1:47">
      <c r="E446" s="325"/>
      <c r="G446" s="39"/>
      <c r="H446" s="39"/>
      <c r="I446" s="39"/>
      <c r="J446" s="39"/>
      <c r="K446" s="39"/>
    </row>
    <row r="447" spans="1:47">
      <c r="A447" s="38" t="str">
        <f>$J$4&amp;"-"</f>
        <v>1X-</v>
      </c>
      <c r="B447" s="38" t="s">
        <v>306</v>
      </c>
      <c r="C447" s="38" t="s">
        <v>147</v>
      </c>
      <c r="D447" s="186">
        <f>CapExEsc</f>
        <v>0.03</v>
      </c>
      <c r="E447" s="325"/>
      <c r="G447" s="36" t="s">
        <v>8</v>
      </c>
      <c r="H447" s="39"/>
      <c r="I447" s="39"/>
      <c r="J447" s="70"/>
      <c r="K447" s="39"/>
      <c r="L447" s="43" t="str">
        <f>"["&amp;CostBaseYr&amp;" $]"</f>
        <v>[2013 $]</v>
      </c>
      <c r="N447" s="52">
        <f ca="1">SUMIFS(OFFSET(Assumptions!$I$65,0,MATCH($A447,Configurations,0)-1,COUNT(Assumptions!$A$65:$A$84),1),Assumptions!$E$65:$E$84,$C447)</f>
        <v>4908000</v>
      </c>
      <c r="O447" s="52"/>
      <c r="P447" s="322"/>
      <c r="Q447" s="52"/>
      <c r="R447" s="52">
        <f t="shared" ref="R447:AU447" ca="1" si="316">R448*IF($P447=0,$N447,$P447)*(1+$D447)^(R$8-CostBaseYr)</f>
        <v>5055240</v>
      </c>
      <c r="S447" s="52">
        <f t="shared" ca="1" si="316"/>
        <v>0</v>
      </c>
      <c r="T447" s="52">
        <f t="shared" ca="1" si="316"/>
        <v>0</v>
      </c>
      <c r="U447" s="52">
        <f t="shared" ca="1" si="316"/>
        <v>0</v>
      </c>
      <c r="V447" s="52">
        <f t="shared" ca="1" si="316"/>
        <v>0</v>
      </c>
      <c r="W447" s="52">
        <f t="shared" ca="1" si="316"/>
        <v>0</v>
      </c>
      <c r="X447" s="52">
        <f t="shared" ca="1" si="316"/>
        <v>0</v>
      </c>
      <c r="Y447" s="52">
        <f t="shared" ca="1" si="316"/>
        <v>0</v>
      </c>
      <c r="Z447" s="52">
        <f t="shared" ca="1" si="316"/>
        <v>0</v>
      </c>
      <c r="AA447" s="52">
        <f t="shared" ca="1" si="316"/>
        <v>0</v>
      </c>
      <c r="AB447" s="52">
        <f t="shared" ca="1" si="316"/>
        <v>0</v>
      </c>
      <c r="AC447" s="52">
        <f t="shared" ca="1" si="316"/>
        <v>0</v>
      </c>
      <c r="AD447" s="52">
        <f t="shared" ca="1" si="316"/>
        <v>0</v>
      </c>
      <c r="AE447" s="52">
        <f t="shared" ca="1" si="316"/>
        <v>0</v>
      </c>
      <c r="AF447" s="52">
        <f t="shared" ca="1" si="316"/>
        <v>0</v>
      </c>
      <c r="AG447" s="52">
        <f t="shared" ca="1" si="316"/>
        <v>0</v>
      </c>
      <c r="AH447" s="52">
        <f t="shared" ca="1" si="316"/>
        <v>0</v>
      </c>
      <c r="AI447" s="52">
        <f t="shared" ca="1" si="316"/>
        <v>0</v>
      </c>
      <c r="AJ447" s="52">
        <f t="shared" ca="1" si="316"/>
        <v>0</v>
      </c>
      <c r="AK447" s="52">
        <f t="shared" ca="1" si="316"/>
        <v>0</v>
      </c>
      <c r="AL447" s="52">
        <f t="shared" ca="1" si="316"/>
        <v>0</v>
      </c>
      <c r="AM447" s="52">
        <f t="shared" ca="1" si="316"/>
        <v>0</v>
      </c>
      <c r="AN447" s="52">
        <f t="shared" ca="1" si="316"/>
        <v>0</v>
      </c>
      <c r="AO447" s="52">
        <f t="shared" ca="1" si="316"/>
        <v>0</v>
      </c>
      <c r="AP447" s="52">
        <f t="shared" ca="1" si="316"/>
        <v>0</v>
      </c>
      <c r="AQ447" s="52">
        <f t="shared" ca="1" si="316"/>
        <v>0</v>
      </c>
      <c r="AR447" s="52">
        <f t="shared" ca="1" si="316"/>
        <v>0</v>
      </c>
      <c r="AS447" s="52">
        <f t="shared" ca="1" si="316"/>
        <v>0</v>
      </c>
      <c r="AT447" s="52">
        <f t="shared" ca="1" si="316"/>
        <v>0</v>
      </c>
      <c r="AU447" s="52">
        <f t="shared" ca="1" si="316"/>
        <v>0</v>
      </c>
    </row>
    <row r="448" spans="1:47">
      <c r="E448" s="325"/>
      <c r="G448" s="36" t="s">
        <v>10</v>
      </c>
      <c r="H448" s="39"/>
      <c r="I448" s="39"/>
      <c r="J448" s="39"/>
      <c r="K448" s="39"/>
      <c r="L448" s="43"/>
      <c r="R448" s="54">
        <f>Assumptions!M$60</f>
        <v>1</v>
      </c>
      <c r="S448" s="54">
        <f>Assumptions!N$60</f>
        <v>0</v>
      </c>
      <c r="T448" s="54">
        <f>Assumptions!O$60</f>
        <v>0</v>
      </c>
      <c r="U448" s="54">
        <f>Assumptions!P$60</f>
        <v>0</v>
      </c>
      <c r="V448" s="54">
        <f>Assumptions!Q$60</f>
        <v>0</v>
      </c>
      <c r="W448" s="54">
        <f>Assumptions!R$60</f>
        <v>0</v>
      </c>
      <c r="X448" s="54">
        <f>Assumptions!S$60</f>
        <v>0</v>
      </c>
      <c r="Y448" s="54">
        <f>Assumptions!T$60</f>
        <v>0</v>
      </c>
      <c r="Z448" s="54">
        <f>Assumptions!U$60</f>
        <v>0</v>
      </c>
      <c r="AA448" s="54">
        <f>Assumptions!V$60</f>
        <v>0</v>
      </c>
      <c r="AB448" s="54">
        <f>Assumptions!W$60</f>
        <v>0</v>
      </c>
      <c r="AC448" s="54">
        <f>Assumptions!X$60</f>
        <v>0</v>
      </c>
      <c r="AD448" s="54">
        <f>Assumptions!Y$60</f>
        <v>0</v>
      </c>
      <c r="AE448" s="54">
        <f>Assumptions!Z$60</f>
        <v>0</v>
      </c>
      <c r="AF448" s="54">
        <f>Assumptions!AA$60</f>
        <v>0</v>
      </c>
      <c r="AG448" s="54">
        <f>Assumptions!AB$60</f>
        <v>0</v>
      </c>
      <c r="AH448" s="54">
        <f>Assumptions!AC$60</f>
        <v>0</v>
      </c>
      <c r="AI448" s="54">
        <f>Assumptions!AD$60</f>
        <v>0</v>
      </c>
      <c r="AJ448" s="54">
        <f>Assumptions!AE$60</f>
        <v>0</v>
      </c>
      <c r="AK448" s="54">
        <f>Assumptions!AF$60</f>
        <v>0</v>
      </c>
      <c r="AL448" s="54">
        <f>Assumptions!AG$60</f>
        <v>0</v>
      </c>
      <c r="AM448" s="54">
        <f>Assumptions!AH$60</f>
        <v>0</v>
      </c>
      <c r="AN448" s="54">
        <f>Assumptions!AI$60</f>
        <v>0</v>
      </c>
      <c r="AO448" s="54">
        <f>Assumptions!AJ$60</f>
        <v>0</v>
      </c>
      <c r="AP448" s="54">
        <f>Assumptions!AK$60</f>
        <v>0</v>
      </c>
      <c r="AQ448" s="54">
        <f>Assumptions!AL$60</f>
        <v>0</v>
      </c>
      <c r="AR448" s="54">
        <f>Assumptions!AM$60</f>
        <v>0</v>
      </c>
      <c r="AS448" s="54">
        <f>Assumptions!AN$60</f>
        <v>0</v>
      </c>
      <c r="AT448" s="54">
        <f>Assumptions!AO$60</f>
        <v>0</v>
      </c>
      <c r="AU448" s="54">
        <f>Assumptions!AP$60</f>
        <v>0</v>
      </c>
    </row>
    <row r="449" spans="1:47">
      <c r="E449" s="36"/>
      <c r="G449" s="39"/>
      <c r="H449" s="39"/>
      <c r="I449" s="39"/>
      <c r="J449" s="39"/>
      <c r="K449" s="39"/>
    </row>
    <row r="450" spans="1:47">
      <c r="E450" s="327"/>
      <c r="F450" s="28"/>
      <c r="G450" s="324" t="str">
        <f>C453&amp;" O&amp;M"</f>
        <v>Land Application O&amp;M</v>
      </c>
      <c r="H450" s="324"/>
      <c r="I450" s="324"/>
      <c r="J450" s="324"/>
      <c r="K450" s="324"/>
      <c r="L450" s="405" t="s">
        <v>79</v>
      </c>
      <c r="M450" s="256"/>
      <c r="N450" s="325" t="s">
        <v>490</v>
      </c>
      <c r="O450" s="311"/>
      <c r="P450" s="325" t="s">
        <v>491</v>
      </c>
      <c r="Q450" s="310"/>
      <c r="R450" s="325">
        <f>R$8</f>
        <v>2014</v>
      </c>
      <c r="S450" s="325">
        <f t="shared" ref="S450:AU450" si="317">S$8</f>
        <v>2015</v>
      </c>
      <c r="T450" s="325">
        <f t="shared" si="317"/>
        <v>2016</v>
      </c>
      <c r="U450" s="325">
        <f t="shared" si="317"/>
        <v>2017</v>
      </c>
      <c r="V450" s="325">
        <f t="shared" si="317"/>
        <v>2018</v>
      </c>
      <c r="W450" s="325">
        <f t="shared" si="317"/>
        <v>2019</v>
      </c>
      <c r="X450" s="325">
        <f t="shared" si="317"/>
        <v>2020</v>
      </c>
      <c r="Y450" s="325">
        <f t="shared" si="317"/>
        <v>2021</v>
      </c>
      <c r="Z450" s="325">
        <f t="shared" si="317"/>
        <v>2022</v>
      </c>
      <c r="AA450" s="325">
        <f t="shared" si="317"/>
        <v>2023</v>
      </c>
      <c r="AB450" s="325">
        <f t="shared" si="317"/>
        <v>2024</v>
      </c>
      <c r="AC450" s="325">
        <f t="shared" si="317"/>
        <v>2025</v>
      </c>
      <c r="AD450" s="325">
        <f t="shared" si="317"/>
        <v>2026</v>
      </c>
      <c r="AE450" s="325">
        <f t="shared" si="317"/>
        <v>2027</v>
      </c>
      <c r="AF450" s="325">
        <f t="shared" si="317"/>
        <v>2028</v>
      </c>
      <c r="AG450" s="325">
        <f t="shared" si="317"/>
        <v>2029</v>
      </c>
      <c r="AH450" s="325">
        <f t="shared" si="317"/>
        <v>2030</v>
      </c>
      <c r="AI450" s="325">
        <f t="shared" si="317"/>
        <v>2031</v>
      </c>
      <c r="AJ450" s="325">
        <f t="shared" si="317"/>
        <v>2032</v>
      </c>
      <c r="AK450" s="325">
        <f t="shared" si="317"/>
        <v>2033</v>
      </c>
      <c r="AL450" s="325">
        <f t="shared" si="317"/>
        <v>2034</v>
      </c>
      <c r="AM450" s="325">
        <f t="shared" si="317"/>
        <v>2035</v>
      </c>
      <c r="AN450" s="325">
        <f t="shared" si="317"/>
        <v>2036</v>
      </c>
      <c r="AO450" s="325">
        <f t="shared" si="317"/>
        <v>2037</v>
      </c>
      <c r="AP450" s="325">
        <f t="shared" si="317"/>
        <v>2038</v>
      </c>
      <c r="AQ450" s="325">
        <f t="shared" si="317"/>
        <v>2039</v>
      </c>
      <c r="AR450" s="325">
        <f t="shared" si="317"/>
        <v>2040</v>
      </c>
      <c r="AS450" s="325">
        <f t="shared" si="317"/>
        <v>2041</v>
      </c>
      <c r="AT450" s="325">
        <f t="shared" si="317"/>
        <v>2042</v>
      </c>
      <c r="AU450" s="325">
        <f t="shared" si="317"/>
        <v>2043</v>
      </c>
    </row>
    <row r="451" spans="1:47">
      <c r="E451" s="325"/>
      <c r="G451" s="39"/>
      <c r="H451" s="39"/>
      <c r="I451" s="39"/>
      <c r="J451" s="39"/>
      <c r="K451" s="39"/>
    </row>
    <row r="452" spans="1:47">
      <c r="E452" s="325"/>
      <c r="G452" s="39" t="s">
        <v>23</v>
      </c>
      <c r="H452" s="39"/>
      <c r="I452" s="39"/>
      <c r="J452" s="39"/>
      <c r="K452" s="39"/>
    </row>
    <row r="453" spans="1:47">
      <c r="A453" s="38" t="str">
        <f t="shared" ref="A453:A460" si="318">$J$4&amp;"-"</f>
        <v>1X-</v>
      </c>
      <c r="B453" s="38" t="s">
        <v>262</v>
      </c>
      <c r="C453" s="38" t="s">
        <v>309</v>
      </c>
      <c r="D453" s="186">
        <f>LaborEsc</f>
        <v>0.02</v>
      </c>
      <c r="E453" s="325"/>
      <c r="G453" s="36" t="s">
        <v>125</v>
      </c>
      <c r="I453" s="39"/>
      <c r="K453" s="39"/>
      <c r="L453" s="43" t="s">
        <v>266</v>
      </c>
      <c r="N453" s="70">
        <f ca="1">SUMIFS(OFFSET(Assumptions!$I$90,0,MATCH($A453,Configurations,0)-1,COUNT(Assumptions!$A$90:$A$183),1),Assumptions!$D$90:$D$183,$B453&amp;$C453)</f>
        <v>0</v>
      </c>
      <c r="O453" s="313"/>
      <c r="P453" s="323"/>
      <c r="Q453" s="313"/>
      <c r="R453" s="50">
        <f t="shared" ref="R453:AU453" ca="1" si="319">IF(OR(R$99&lt;InServiceYr,R$99&gt;(InServiceYr+analysis_period-1)),0,IF($P453=0,$N453,$P453)*LaborCost*(1+$D453)^(R$99-CostBaseYr))</f>
        <v>0</v>
      </c>
      <c r="S453" s="50">
        <f t="shared" ca="1" si="319"/>
        <v>0</v>
      </c>
      <c r="T453" s="50">
        <f t="shared" ca="1" si="319"/>
        <v>0</v>
      </c>
      <c r="U453" s="50">
        <f t="shared" ca="1" si="319"/>
        <v>0</v>
      </c>
      <c r="V453" s="50">
        <f t="shared" ca="1" si="319"/>
        <v>0</v>
      </c>
      <c r="W453" s="50">
        <f t="shared" ca="1" si="319"/>
        <v>0</v>
      </c>
      <c r="X453" s="50">
        <f t="shared" ca="1" si="319"/>
        <v>0</v>
      </c>
      <c r="Y453" s="50">
        <f t="shared" ca="1" si="319"/>
        <v>0</v>
      </c>
      <c r="Z453" s="50">
        <f t="shared" ca="1" si="319"/>
        <v>0</v>
      </c>
      <c r="AA453" s="50">
        <f t="shared" ca="1" si="319"/>
        <v>0</v>
      </c>
      <c r="AB453" s="50">
        <f t="shared" ca="1" si="319"/>
        <v>0</v>
      </c>
      <c r="AC453" s="50">
        <f t="shared" ca="1" si="319"/>
        <v>0</v>
      </c>
      <c r="AD453" s="50">
        <f t="shared" ca="1" si="319"/>
        <v>0</v>
      </c>
      <c r="AE453" s="50">
        <f t="shared" ca="1" si="319"/>
        <v>0</v>
      </c>
      <c r="AF453" s="50">
        <f t="shared" ca="1" si="319"/>
        <v>0</v>
      </c>
      <c r="AG453" s="50">
        <f t="shared" ca="1" si="319"/>
        <v>0</v>
      </c>
      <c r="AH453" s="50">
        <f t="shared" ca="1" si="319"/>
        <v>0</v>
      </c>
      <c r="AI453" s="50">
        <f t="shared" ca="1" si="319"/>
        <v>0</v>
      </c>
      <c r="AJ453" s="50">
        <f t="shared" ca="1" si="319"/>
        <v>0</v>
      </c>
      <c r="AK453" s="50">
        <f t="shared" ca="1" si="319"/>
        <v>0</v>
      </c>
      <c r="AL453" s="50">
        <f t="shared" si="319"/>
        <v>0</v>
      </c>
      <c r="AM453" s="50">
        <f t="shared" si="319"/>
        <v>0</v>
      </c>
      <c r="AN453" s="50">
        <f t="shared" si="319"/>
        <v>0</v>
      </c>
      <c r="AO453" s="50">
        <f t="shared" si="319"/>
        <v>0</v>
      </c>
      <c r="AP453" s="50">
        <f t="shared" si="319"/>
        <v>0</v>
      </c>
      <c r="AQ453" s="50">
        <f t="shared" si="319"/>
        <v>0</v>
      </c>
      <c r="AR453" s="50">
        <f t="shared" si="319"/>
        <v>0</v>
      </c>
      <c r="AS453" s="50">
        <f t="shared" si="319"/>
        <v>0</v>
      </c>
      <c r="AT453" s="50">
        <f t="shared" si="319"/>
        <v>0</v>
      </c>
      <c r="AU453" s="50">
        <f t="shared" si="319"/>
        <v>0</v>
      </c>
    </row>
    <row r="454" spans="1:47">
      <c r="A454" s="38" t="str">
        <f t="shared" si="318"/>
        <v>1X-</v>
      </c>
      <c r="B454" s="38" t="s">
        <v>270</v>
      </c>
      <c r="C454" s="38" t="str">
        <f>C453</f>
        <v>Land Application</v>
      </c>
      <c r="D454" s="186">
        <f>OMEsc</f>
        <v>0.02</v>
      </c>
      <c r="E454" s="325"/>
      <c r="G454" s="36" t="s">
        <v>126</v>
      </c>
      <c r="I454" s="39"/>
      <c r="K454" s="39"/>
      <c r="L454" s="43" t="str">
        <f>"["&amp;CostBaseYr&amp;" $]"</f>
        <v>[2013 $]</v>
      </c>
      <c r="N454" s="70">
        <f ca="1">SUMIFS(OFFSET(Assumptions!$I$90,0,MATCH($A454,Configurations,0)-1,COUNT(Assumptions!$A$90:$A$183),1),Assumptions!$D$90:$D$183,$B454&amp;$C454)</f>
        <v>0</v>
      </c>
      <c r="O454" s="313"/>
      <c r="P454" s="323"/>
      <c r="Q454" s="313"/>
      <c r="R454" s="50">
        <f t="shared" ref="R454:AG456" ca="1" si="320">IF(OR(R$99&lt;InServiceYr,R$99&gt;(InServiceYr+analysis_period-1)),0,IF($P454=0,$N454,$P454)*(1+$D454)^(R$99-CostBaseYr))</f>
        <v>0</v>
      </c>
      <c r="S454" s="50">
        <f t="shared" ca="1" si="320"/>
        <v>0</v>
      </c>
      <c r="T454" s="50">
        <f t="shared" ca="1" si="320"/>
        <v>0</v>
      </c>
      <c r="U454" s="50">
        <f t="shared" ca="1" si="320"/>
        <v>0</v>
      </c>
      <c r="V454" s="50">
        <f t="shared" ca="1" si="320"/>
        <v>0</v>
      </c>
      <c r="W454" s="50">
        <f t="shared" ca="1" si="320"/>
        <v>0</v>
      </c>
      <c r="X454" s="50">
        <f t="shared" ca="1" si="320"/>
        <v>0</v>
      </c>
      <c r="Y454" s="50">
        <f t="shared" ca="1" si="320"/>
        <v>0</v>
      </c>
      <c r="Z454" s="50">
        <f t="shared" ca="1" si="320"/>
        <v>0</v>
      </c>
      <c r="AA454" s="50">
        <f t="shared" ca="1" si="320"/>
        <v>0</v>
      </c>
      <c r="AB454" s="50">
        <f t="shared" ca="1" si="320"/>
        <v>0</v>
      </c>
      <c r="AC454" s="50">
        <f t="shared" ca="1" si="320"/>
        <v>0</v>
      </c>
      <c r="AD454" s="50">
        <f t="shared" ca="1" si="320"/>
        <v>0</v>
      </c>
      <c r="AE454" s="50">
        <f t="shared" ca="1" si="320"/>
        <v>0</v>
      </c>
      <c r="AF454" s="50">
        <f t="shared" ca="1" si="320"/>
        <v>0</v>
      </c>
      <c r="AG454" s="50">
        <f t="shared" ca="1" si="320"/>
        <v>0</v>
      </c>
      <c r="AH454" s="50">
        <f t="shared" ref="S454:AU456" ca="1" si="321">IF(OR(AH$99&lt;InServiceYr,AH$99&gt;(InServiceYr+analysis_period-1)),0,IF($P454=0,$N454,$P454)*(1+$D454)^(AH$99-CostBaseYr))</f>
        <v>0</v>
      </c>
      <c r="AI454" s="50">
        <f t="shared" ca="1" si="321"/>
        <v>0</v>
      </c>
      <c r="AJ454" s="50">
        <f t="shared" ca="1" si="321"/>
        <v>0</v>
      </c>
      <c r="AK454" s="50">
        <f t="shared" ca="1" si="321"/>
        <v>0</v>
      </c>
      <c r="AL454" s="50">
        <f t="shared" si="321"/>
        <v>0</v>
      </c>
      <c r="AM454" s="50">
        <f t="shared" si="321"/>
        <v>0</v>
      </c>
      <c r="AN454" s="50">
        <f t="shared" si="321"/>
        <v>0</v>
      </c>
      <c r="AO454" s="50">
        <f t="shared" si="321"/>
        <v>0</v>
      </c>
      <c r="AP454" s="50">
        <f t="shared" si="321"/>
        <v>0</v>
      </c>
      <c r="AQ454" s="50">
        <f t="shared" si="321"/>
        <v>0</v>
      </c>
      <c r="AR454" s="50">
        <f t="shared" si="321"/>
        <v>0</v>
      </c>
      <c r="AS454" s="50">
        <f t="shared" si="321"/>
        <v>0</v>
      </c>
      <c r="AT454" s="50">
        <f t="shared" si="321"/>
        <v>0</v>
      </c>
      <c r="AU454" s="50">
        <f t="shared" si="321"/>
        <v>0</v>
      </c>
    </row>
    <row r="455" spans="1:47">
      <c r="A455" s="38" t="str">
        <f t="shared" si="318"/>
        <v>1X-</v>
      </c>
      <c r="B455" s="38" t="s">
        <v>263</v>
      </c>
      <c r="C455" s="38" t="str">
        <f t="shared" ref="C455:C459" si="322">C454</f>
        <v>Land Application</v>
      </c>
      <c r="D455" s="186">
        <f>OMEsc</f>
        <v>0.02</v>
      </c>
      <c r="E455" s="325"/>
      <c r="G455" s="36" t="s">
        <v>127</v>
      </c>
      <c r="I455" s="39"/>
      <c r="K455" s="39"/>
      <c r="L455" s="43" t="str">
        <f>"["&amp;CostBaseYr&amp;" $]"</f>
        <v>[2013 $]</v>
      </c>
      <c r="N455" s="70">
        <f ca="1">SUMIFS(OFFSET(Assumptions!$I$90,0,MATCH($A455,Configurations,0)-1,COUNT(Assumptions!$A$90:$A$183),1),Assumptions!$D$90:$D$183,$B455&amp;$C455)</f>
        <v>0</v>
      </c>
      <c r="O455" s="313"/>
      <c r="P455" s="323"/>
      <c r="Q455" s="313"/>
      <c r="R455" s="50">
        <f t="shared" ca="1" si="320"/>
        <v>0</v>
      </c>
      <c r="S455" s="50">
        <f t="shared" ca="1" si="321"/>
        <v>0</v>
      </c>
      <c r="T455" s="50">
        <f t="shared" ca="1" si="321"/>
        <v>0</v>
      </c>
      <c r="U455" s="50">
        <f t="shared" ca="1" si="321"/>
        <v>0</v>
      </c>
      <c r="V455" s="50">
        <f t="shared" ca="1" si="321"/>
        <v>0</v>
      </c>
      <c r="W455" s="50">
        <f t="shared" ca="1" si="321"/>
        <v>0</v>
      </c>
      <c r="X455" s="50">
        <f t="shared" ca="1" si="321"/>
        <v>0</v>
      </c>
      <c r="Y455" s="50">
        <f t="shared" ca="1" si="321"/>
        <v>0</v>
      </c>
      <c r="Z455" s="50">
        <f t="shared" ca="1" si="321"/>
        <v>0</v>
      </c>
      <c r="AA455" s="50">
        <f t="shared" ca="1" si="321"/>
        <v>0</v>
      </c>
      <c r="AB455" s="50">
        <f t="shared" ca="1" si="321"/>
        <v>0</v>
      </c>
      <c r="AC455" s="50">
        <f t="shared" ca="1" si="321"/>
        <v>0</v>
      </c>
      <c r="AD455" s="50">
        <f t="shared" ca="1" si="321"/>
        <v>0</v>
      </c>
      <c r="AE455" s="50">
        <f t="shared" ca="1" si="321"/>
        <v>0</v>
      </c>
      <c r="AF455" s="50">
        <f t="shared" ca="1" si="321"/>
        <v>0</v>
      </c>
      <c r="AG455" s="50">
        <f t="shared" ca="1" si="321"/>
        <v>0</v>
      </c>
      <c r="AH455" s="50">
        <f t="shared" ca="1" si="321"/>
        <v>0</v>
      </c>
      <c r="AI455" s="50">
        <f t="shared" ca="1" si="321"/>
        <v>0</v>
      </c>
      <c r="AJ455" s="50">
        <f t="shared" ca="1" si="321"/>
        <v>0</v>
      </c>
      <c r="AK455" s="50">
        <f t="shared" ca="1" si="321"/>
        <v>0</v>
      </c>
      <c r="AL455" s="50">
        <f t="shared" si="321"/>
        <v>0</v>
      </c>
      <c r="AM455" s="50">
        <f t="shared" si="321"/>
        <v>0</v>
      </c>
      <c r="AN455" s="50">
        <f t="shared" si="321"/>
        <v>0</v>
      </c>
      <c r="AO455" s="50">
        <f t="shared" si="321"/>
        <v>0</v>
      </c>
      <c r="AP455" s="50">
        <f t="shared" si="321"/>
        <v>0</v>
      </c>
      <c r="AQ455" s="50">
        <f t="shared" si="321"/>
        <v>0</v>
      </c>
      <c r="AR455" s="50">
        <f t="shared" si="321"/>
        <v>0</v>
      </c>
      <c r="AS455" s="50">
        <f t="shared" si="321"/>
        <v>0</v>
      </c>
      <c r="AT455" s="50">
        <f t="shared" si="321"/>
        <v>0</v>
      </c>
      <c r="AU455" s="50">
        <f t="shared" si="321"/>
        <v>0</v>
      </c>
    </row>
    <row r="456" spans="1:47">
      <c r="A456" s="38" t="str">
        <f t="shared" si="318"/>
        <v>1X-</v>
      </c>
      <c r="B456" s="38" t="s">
        <v>277</v>
      </c>
      <c r="C456" s="38" t="str">
        <f t="shared" si="322"/>
        <v>Land Application</v>
      </c>
      <c r="D456" s="186">
        <f>OMEsc</f>
        <v>0.02</v>
      </c>
      <c r="E456" s="325"/>
      <c r="G456" s="36" t="s">
        <v>276</v>
      </c>
      <c r="I456" s="39"/>
      <c r="K456" s="39"/>
      <c r="L456" s="43" t="str">
        <f>"["&amp;CostBaseYr&amp;" $]"</f>
        <v>[2013 $]</v>
      </c>
      <c r="N456" s="70">
        <f ca="1">SUMIFS(OFFSET(Assumptions!$I$90,0,MATCH($A456,Configurations,0)-1,COUNT(Assumptions!$A$90:$A$183),1),Assumptions!$D$90:$D$183,$B456&amp;$C456)</f>
        <v>163000</v>
      </c>
      <c r="O456" s="313"/>
      <c r="P456" s="323"/>
      <c r="Q456" s="313"/>
      <c r="R456" s="50">
        <f t="shared" ca="1" si="320"/>
        <v>166260</v>
      </c>
      <c r="S456" s="50">
        <f t="shared" ca="1" si="321"/>
        <v>169585.2</v>
      </c>
      <c r="T456" s="50">
        <f t="shared" ca="1" si="321"/>
        <v>172976.90399999998</v>
      </c>
      <c r="U456" s="50">
        <f t="shared" ca="1" si="321"/>
        <v>176436.44208000001</v>
      </c>
      <c r="V456" s="50">
        <f t="shared" ca="1" si="321"/>
        <v>179965.17092160002</v>
      </c>
      <c r="W456" s="50">
        <f t="shared" ca="1" si="321"/>
        <v>183564.474340032</v>
      </c>
      <c r="X456" s="50">
        <f t="shared" ca="1" si="321"/>
        <v>187235.76382683261</v>
      </c>
      <c r="Y456" s="50">
        <f t="shared" ca="1" si="321"/>
        <v>190980.47910336929</v>
      </c>
      <c r="Z456" s="50">
        <f t="shared" ca="1" si="321"/>
        <v>194800.08868543667</v>
      </c>
      <c r="AA456" s="50">
        <f t="shared" ca="1" si="321"/>
        <v>198696.0904591454</v>
      </c>
      <c r="AB456" s="50">
        <f t="shared" ca="1" si="321"/>
        <v>202670.01226832828</v>
      </c>
      <c r="AC456" s="50">
        <f t="shared" ca="1" si="321"/>
        <v>206723.41251369487</v>
      </c>
      <c r="AD456" s="50">
        <f t="shared" ca="1" si="321"/>
        <v>210857.88076396877</v>
      </c>
      <c r="AE456" s="50">
        <f t="shared" ca="1" si="321"/>
        <v>215075.03837924817</v>
      </c>
      <c r="AF456" s="50">
        <f t="shared" ca="1" si="321"/>
        <v>219376.53914683306</v>
      </c>
      <c r="AG456" s="50">
        <f t="shared" ca="1" si="321"/>
        <v>223764.06992976976</v>
      </c>
      <c r="AH456" s="50">
        <f t="shared" ca="1" si="321"/>
        <v>228239.35132836518</v>
      </c>
      <c r="AI456" s="50">
        <f t="shared" ca="1" si="321"/>
        <v>232804.13835493245</v>
      </c>
      <c r="AJ456" s="50">
        <f t="shared" ca="1" si="321"/>
        <v>237460.2211220311</v>
      </c>
      <c r="AK456" s="50">
        <f t="shared" ca="1" si="321"/>
        <v>242209.42554447174</v>
      </c>
      <c r="AL456" s="50">
        <f t="shared" si="321"/>
        <v>0</v>
      </c>
      <c r="AM456" s="50">
        <f t="shared" si="321"/>
        <v>0</v>
      </c>
      <c r="AN456" s="50">
        <f t="shared" si="321"/>
        <v>0</v>
      </c>
      <c r="AO456" s="50">
        <f t="shared" si="321"/>
        <v>0</v>
      </c>
      <c r="AP456" s="50">
        <f t="shared" si="321"/>
        <v>0</v>
      </c>
      <c r="AQ456" s="50">
        <f t="shared" si="321"/>
        <v>0</v>
      </c>
      <c r="AR456" s="50">
        <f t="shared" si="321"/>
        <v>0</v>
      </c>
      <c r="AS456" s="50">
        <f t="shared" si="321"/>
        <v>0</v>
      </c>
      <c r="AT456" s="50">
        <f t="shared" si="321"/>
        <v>0</v>
      </c>
      <c r="AU456" s="50">
        <f t="shared" si="321"/>
        <v>0</v>
      </c>
    </row>
    <row r="457" spans="1:47">
      <c r="A457" s="38" t="str">
        <f t="shared" si="318"/>
        <v>1X-</v>
      </c>
      <c r="B457" s="38" t="s">
        <v>274</v>
      </c>
      <c r="C457" s="38" t="str">
        <f t="shared" si="322"/>
        <v>Land Application</v>
      </c>
      <c r="D457" s="186"/>
      <c r="E457" s="325"/>
      <c r="G457" s="36" t="s">
        <v>16</v>
      </c>
      <c r="I457" s="39"/>
      <c r="K457" s="39"/>
      <c r="L457" s="43" t="s">
        <v>275</v>
      </c>
      <c r="N457" s="70">
        <f ca="1">SUMIFS(OFFSET(Assumptions!$I$90,0,MATCH($A457,Configurations,0)-1,COUNT(Assumptions!$A$90:$A$183),1),Assumptions!$D$90:$D$183,$B457&amp;$C457)</f>
        <v>0</v>
      </c>
      <c r="O457" s="313"/>
      <c r="P457" s="323"/>
      <c r="Q457" s="313"/>
      <c r="R457" s="50">
        <f t="shared" ref="R457:AU457" ca="1" si="323">IF(OR(R$99&lt;InServiceYr,R$99&gt;(InServiceYr+analysis_period-1)),0,IF($P457=0,$N457,$P457)*R$505)</f>
        <v>0</v>
      </c>
      <c r="S457" s="50">
        <f t="shared" ca="1" si="323"/>
        <v>0</v>
      </c>
      <c r="T457" s="50">
        <f t="shared" ca="1" si="323"/>
        <v>0</v>
      </c>
      <c r="U457" s="50">
        <f t="shared" ca="1" si="323"/>
        <v>0</v>
      </c>
      <c r="V457" s="50">
        <f t="shared" ca="1" si="323"/>
        <v>0</v>
      </c>
      <c r="W457" s="50">
        <f t="shared" ca="1" si="323"/>
        <v>0</v>
      </c>
      <c r="X457" s="50">
        <f t="shared" ca="1" si="323"/>
        <v>0</v>
      </c>
      <c r="Y457" s="50">
        <f t="shared" ca="1" si="323"/>
        <v>0</v>
      </c>
      <c r="Z457" s="50">
        <f t="shared" ca="1" si="323"/>
        <v>0</v>
      </c>
      <c r="AA457" s="50">
        <f t="shared" ca="1" si="323"/>
        <v>0</v>
      </c>
      <c r="AB457" s="50">
        <f t="shared" ca="1" si="323"/>
        <v>0</v>
      </c>
      <c r="AC457" s="50">
        <f t="shared" ca="1" si="323"/>
        <v>0</v>
      </c>
      <c r="AD457" s="50">
        <f t="shared" ca="1" si="323"/>
        <v>0</v>
      </c>
      <c r="AE457" s="50">
        <f t="shared" ca="1" si="323"/>
        <v>0</v>
      </c>
      <c r="AF457" s="50">
        <f t="shared" ca="1" si="323"/>
        <v>0</v>
      </c>
      <c r="AG457" s="50">
        <f t="shared" ca="1" si="323"/>
        <v>0</v>
      </c>
      <c r="AH457" s="50">
        <f t="shared" ca="1" si="323"/>
        <v>0</v>
      </c>
      <c r="AI457" s="50">
        <f t="shared" ca="1" si="323"/>
        <v>0</v>
      </c>
      <c r="AJ457" s="50">
        <f t="shared" ca="1" si="323"/>
        <v>0</v>
      </c>
      <c r="AK457" s="50">
        <f t="shared" ca="1" si="323"/>
        <v>0</v>
      </c>
      <c r="AL457" s="50">
        <f t="shared" si="323"/>
        <v>0</v>
      </c>
      <c r="AM457" s="50">
        <f t="shared" si="323"/>
        <v>0</v>
      </c>
      <c r="AN457" s="50">
        <f t="shared" si="323"/>
        <v>0</v>
      </c>
      <c r="AO457" s="50">
        <f t="shared" si="323"/>
        <v>0</v>
      </c>
      <c r="AP457" s="50">
        <f t="shared" si="323"/>
        <v>0</v>
      </c>
      <c r="AQ457" s="50">
        <f t="shared" si="323"/>
        <v>0</v>
      </c>
      <c r="AR457" s="50">
        <f t="shared" si="323"/>
        <v>0</v>
      </c>
      <c r="AS457" s="50">
        <f t="shared" si="323"/>
        <v>0</v>
      </c>
      <c r="AT457" s="50">
        <f t="shared" si="323"/>
        <v>0</v>
      </c>
      <c r="AU457" s="50">
        <f t="shared" si="323"/>
        <v>0</v>
      </c>
    </row>
    <row r="458" spans="1:47">
      <c r="A458" s="38" t="str">
        <f t="shared" si="318"/>
        <v>1X-</v>
      </c>
      <c r="B458" s="38" t="s">
        <v>257</v>
      </c>
      <c r="C458" s="38" t="str">
        <f t="shared" si="322"/>
        <v>Land Application</v>
      </c>
      <c r="D458" s="186"/>
      <c r="E458" s="325"/>
      <c r="G458" s="36" t="s">
        <v>284</v>
      </c>
      <c r="I458" s="39"/>
      <c r="K458" s="39"/>
      <c r="L458" s="43" t="s">
        <v>293</v>
      </c>
      <c r="N458" s="70">
        <f ca="1">SUMIFS(OFFSET(Assumptions!$I$90,0,MATCH($A458,Configurations,0)-1,COUNT(Assumptions!$A$90:$A$183),1),Assumptions!$D$90:$D$183,$B458&amp;$C458)</f>
        <v>0</v>
      </c>
      <c r="O458" s="313"/>
      <c r="P458" s="323"/>
      <c r="Q458" s="313"/>
      <c r="R458" s="50">
        <f t="shared" ref="R458:AU458" ca="1" si="324">IF(OR(R$99&lt;InServiceYr,R$99&gt;(InServiceYr+analysis_period-1)),0,IF($P458=0,$N458,$P458)*R$501)</f>
        <v>0</v>
      </c>
      <c r="S458" s="50">
        <f t="shared" ca="1" si="324"/>
        <v>0</v>
      </c>
      <c r="T458" s="50">
        <f t="shared" ca="1" si="324"/>
        <v>0</v>
      </c>
      <c r="U458" s="50">
        <f t="shared" ca="1" si="324"/>
        <v>0</v>
      </c>
      <c r="V458" s="50">
        <f t="shared" ca="1" si="324"/>
        <v>0</v>
      </c>
      <c r="W458" s="50">
        <f t="shared" ca="1" si="324"/>
        <v>0</v>
      </c>
      <c r="X458" s="50">
        <f t="shared" ca="1" si="324"/>
        <v>0</v>
      </c>
      <c r="Y458" s="50">
        <f t="shared" ca="1" si="324"/>
        <v>0</v>
      </c>
      <c r="Z458" s="50">
        <f t="shared" ca="1" si="324"/>
        <v>0</v>
      </c>
      <c r="AA458" s="50">
        <f t="shared" ca="1" si="324"/>
        <v>0</v>
      </c>
      <c r="AB458" s="50">
        <f t="shared" ca="1" si="324"/>
        <v>0</v>
      </c>
      <c r="AC458" s="50">
        <f t="shared" ca="1" si="324"/>
        <v>0</v>
      </c>
      <c r="AD458" s="50">
        <f t="shared" ca="1" si="324"/>
        <v>0</v>
      </c>
      <c r="AE458" s="50">
        <f t="shared" ca="1" si="324"/>
        <v>0</v>
      </c>
      <c r="AF458" s="50">
        <f t="shared" ca="1" si="324"/>
        <v>0</v>
      </c>
      <c r="AG458" s="50">
        <f t="shared" ca="1" si="324"/>
        <v>0</v>
      </c>
      <c r="AH458" s="50">
        <f t="shared" ca="1" si="324"/>
        <v>0</v>
      </c>
      <c r="AI458" s="50">
        <f t="shared" ca="1" si="324"/>
        <v>0</v>
      </c>
      <c r="AJ458" s="50">
        <f t="shared" ca="1" si="324"/>
        <v>0</v>
      </c>
      <c r="AK458" s="50">
        <f t="shared" ca="1" si="324"/>
        <v>0</v>
      </c>
      <c r="AL458" s="50">
        <f t="shared" si="324"/>
        <v>0</v>
      </c>
      <c r="AM458" s="50">
        <f t="shared" si="324"/>
        <v>0</v>
      </c>
      <c r="AN458" s="50">
        <f t="shared" si="324"/>
        <v>0</v>
      </c>
      <c r="AO458" s="50">
        <f t="shared" si="324"/>
        <v>0</v>
      </c>
      <c r="AP458" s="50">
        <f t="shared" si="324"/>
        <v>0</v>
      </c>
      <c r="AQ458" s="50">
        <f t="shared" si="324"/>
        <v>0</v>
      </c>
      <c r="AR458" s="50">
        <f t="shared" si="324"/>
        <v>0</v>
      </c>
      <c r="AS458" s="50">
        <f t="shared" si="324"/>
        <v>0</v>
      </c>
      <c r="AT458" s="50">
        <f t="shared" si="324"/>
        <v>0</v>
      </c>
      <c r="AU458" s="50">
        <f t="shared" si="324"/>
        <v>0</v>
      </c>
    </row>
    <row r="459" spans="1:47">
      <c r="A459" s="38" t="str">
        <f t="shared" si="318"/>
        <v>1X-</v>
      </c>
      <c r="B459" s="38" t="s">
        <v>864</v>
      </c>
      <c r="C459" s="38" t="str">
        <f t="shared" si="322"/>
        <v>Land Application</v>
      </c>
      <c r="D459" s="186">
        <f>GHGEsc</f>
        <v>0.02</v>
      </c>
      <c r="E459" s="325"/>
      <c r="G459" s="36" t="s">
        <v>865</v>
      </c>
      <c r="I459" s="39"/>
      <c r="K459" s="39"/>
      <c r="L459" s="43" t="s">
        <v>866</v>
      </c>
      <c r="N459" s="70">
        <f ca="1">SUMIFS(OFFSET(Assumptions!$I$90,0,MATCH($A459,Configurations,0)-1,COUNT(Assumptions!$A$90:$A$183),1),Assumptions!$D$90:$D$183,$B459&amp;$C459)</f>
        <v>0</v>
      </c>
      <c r="O459" s="313"/>
      <c r="P459" s="323"/>
      <c r="Q459" s="313"/>
      <c r="R459" s="50">
        <f t="shared" ref="R459:AU459" ca="1" si="325">IF(OR(R$99&lt;InServiceYr,R$99&gt;(InServiceYr+analysis_period-1)),0,IF($P459=0,$N459,$P459)*R$513)</f>
        <v>0</v>
      </c>
      <c r="S459" s="50">
        <f t="shared" ca="1" si="325"/>
        <v>0</v>
      </c>
      <c r="T459" s="50">
        <f t="shared" ca="1" si="325"/>
        <v>0</v>
      </c>
      <c r="U459" s="50">
        <f t="shared" ca="1" si="325"/>
        <v>0</v>
      </c>
      <c r="V459" s="50">
        <f t="shared" ca="1" si="325"/>
        <v>0</v>
      </c>
      <c r="W459" s="50">
        <f t="shared" ca="1" si="325"/>
        <v>0</v>
      </c>
      <c r="X459" s="50">
        <f t="shared" ca="1" si="325"/>
        <v>0</v>
      </c>
      <c r="Y459" s="50">
        <f t="shared" ca="1" si="325"/>
        <v>0</v>
      </c>
      <c r="Z459" s="50">
        <f t="shared" ca="1" si="325"/>
        <v>0</v>
      </c>
      <c r="AA459" s="50">
        <f t="shared" ca="1" si="325"/>
        <v>0</v>
      </c>
      <c r="AB459" s="50">
        <f t="shared" ca="1" si="325"/>
        <v>0</v>
      </c>
      <c r="AC459" s="50">
        <f t="shared" ca="1" si="325"/>
        <v>0</v>
      </c>
      <c r="AD459" s="50">
        <f t="shared" ca="1" si="325"/>
        <v>0</v>
      </c>
      <c r="AE459" s="50">
        <f t="shared" ca="1" si="325"/>
        <v>0</v>
      </c>
      <c r="AF459" s="50">
        <f t="shared" ca="1" si="325"/>
        <v>0</v>
      </c>
      <c r="AG459" s="50">
        <f t="shared" ca="1" si="325"/>
        <v>0</v>
      </c>
      <c r="AH459" s="50">
        <f t="shared" ca="1" si="325"/>
        <v>0</v>
      </c>
      <c r="AI459" s="50">
        <f t="shared" ca="1" si="325"/>
        <v>0</v>
      </c>
      <c r="AJ459" s="50">
        <f t="shared" ca="1" si="325"/>
        <v>0</v>
      </c>
      <c r="AK459" s="50">
        <f t="shared" ca="1" si="325"/>
        <v>0</v>
      </c>
      <c r="AL459" s="50">
        <f t="shared" si="325"/>
        <v>0</v>
      </c>
      <c r="AM459" s="50">
        <f t="shared" si="325"/>
        <v>0</v>
      </c>
      <c r="AN459" s="50">
        <f t="shared" si="325"/>
        <v>0</v>
      </c>
      <c r="AO459" s="50">
        <f t="shared" si="325"/>
        <v>0</v>
      </c>
      <c r="AP459" s="50">
        <f t="shared" si="325"/>
        <v>0</v>
      </c>
      <c r="AQ459" s="50">
        <f t="shared" si="325"/>
        <v>0</v>
      </c>
      <c r="AR459" s="50">
        <f t="shared" si="325"/>
        <v>0</v>
      </c>
      <c r="AS459" s="50">
        <f t="shared" si="325"/>
        <v>0</v>
      </c>
      <c r="AT459" s="50">
        <f t="shared" si="325"/>
        <v>0</v>
      </c>
      <c r="AU459" s="50">
        <f t="shared" si="325"/>
        <v>0</v>
      </c>
    </row>
    <row r="460" spans="1:47">
      <c r="A460" s="38" t="str">
        <f t="shared" si="318"/>
        <v>1X-</v>
      </c>
      <c r="B460" s="38" t="s">
        <v>273</v>
      </c>
      <c r="C460" s="38" t="str">
        <f>C458</f>
        <v>Land Application</v>
      </c>
      <c r="D460" s="186">
        <f>LaborEsc</f>
        <v>0.02</v>
      </c>
      <c r="E460" s="325"/>
      <c r="G460" s="36" t="s">
        <v>291</v>
      </c>
      <c r="I460" s="39"/>
      <c r="K460" s="39"/>
      <c r="L460" s="43" t="str">
        <f>"["&amp;CostBaseYr&amp;" $]"</f>
        <v>[2013 $]</v>
      </c>
      <c r="N460" s="70">
        <f ca="1">SUMIFS(OFFSET(Assumptions!$I$90,0,MATCH($A460,Configurations,0)-1,COUNT(Assumptions!$A$90:$A$183),1),Assumptions!$D$90:$D$183,$B460&amp;$C460)</f>
        <v>0</v>
      </c>
      <c r="O460" s="313"/>
      <c r="P460" s="323"/>
      <c r="Q460" s="313"/>
      <c r="R460" s="50">
        <f t="shared" ref="R460:AU460" ca="1" si="326">IF(OR(R$99&lt;InServiceYr,R$99&gt;(InServiceYr+analysis_period-1)),0,IF($P460=0,$N460,$P460)*(1+$D460)^(R$99-CostBaseYr))*R$509</f>
        <v>0</v>
      </c>
      <c r="S460" s="50">
        <f t="shared" ca="1" si="326"/>
        <v>0</v>
      </c>
      <c r="T460" s="50">
        <f t="shared" ca="1" si="326"/>
        <v>0</v>
      </c>
      <c r="U460" s="50">
        <f t="shared" ca="1" si="326"/>
        <v>0</v>
      </c>
      <c r="V460" s="50">
        <f t="shared" ca="1" si="326"/>
        <v>0</v>
      </c>
      <c r="W460" s="50">
        <f t="shared" ca="1" si="326"/>
        <v>0</v>
      </c>
      <c r="X460" s="50">
        <f t="shared" ca="1" si="326"/>
        <v>0</v>
      </c>
      <c r="Y460" s="50">
        <f t="shared" ca="1" si="326"/>
        <v>0</v>
      </c>
      <c r="Z460" s="50">
        <f t="shared" ca="1" si="326"/>
        <v>0</v>
      </c>
      <c r="AA460" s="50">
        <f t="shared" ca="1" si="326"/>
        <v>0</v>
      </c>
      <c r="AB460" s="50">
        <f t="shared" ca="1" si="326"/>
        <v>0</v>
      </c>
      <c r="AC460" s="50">
        <f t="shared" ca="1" si="326"/>
        <v>0</v>
      </c>
      <c r="AD460" s="50">
        <f t="shared" ca="1" si="326"/>
        <v>0</v>
      </c>
      <c r="AE460" s="50">
        <f t="shared" ca="1" si="326"/>
        <v>0</v>
      </c>
      <c r="AF460" s="50">
        <f t="shared" ca="1" si="326"/>
        <v>0</v>
      </c>
      <c r="AG460" s="50">
        <f t="shared" ca="1" si="326"/>
        <v>0</v>
      </c>
      <c r="AH460" s="50">
        <f t="shared" ca="1" si="326"/>
        <v>0</v>
      </c>
      <c r="AI460" s="50">
        <f t="shared" ca="1" si="326"/>
        <v>0</v>
      </c>
      <c r="AJ460" s="50">
        <f t="shared" ca="1" si="326"/>
        <v>0</v>
      </c>
      <c r="AK460" s="50">
        <f t="shared" ca="1" si="326"/>
        <v>0</v>
      </c>
      <c r="AL460" s="50">
        <f t="shared" si="326"/>
        <v>0</v>
      </c>
      <c r="AM460" s="50">
        <f t="shared" si="326"/>
        <v>0</v>
      </c>
      <c r="AN460" s="50">
        <f t="shared" si="326"/>
        <v>0</v>
      </c>
      <c r="AO460" s="50">
        <f t="shared" si="326"/>
        <v>0</v>
      </c>
      <c r="AP460" s="50">
        <f t="shared" si="326"/>
        <v>0</v>
      </c>
      <c r="AQ460" s="50">
        <f t="shared" si="326"/>
        <v>0</v>
      </c>
      <c r="AR460" s="50">
        <f t="shared" si="326"/>
        <v>0</v>
      </c>
      <c r="AS460" s="50">
        <f t="shared" si="326"/>
        <v>0</v>
      </c>
      <c r="AT460" s="50">
        <f t="shared" si="326"/>
        <v>0</v>
      </c>
      <c r="AU460" s="50">
        <f t="shared" si="326"/>
        <v>0</v>
      </c>
    </row>
    <row r="461" spans="1:47">
      <c r="D461" s="186"/>
      <c r="E461" s="325"/>
      <c r="G461" s="39" t="s">
        <v>304</v>
      </c>
      <c r="I461" s="39"/>
      <c r="K461" s="39"/>
      <c r="L461" s="43"/>
      <c r="N461" s="70"/>
      <c r="O461" s="313"/>
      <c r="P461" s="70"/>
      <c r="Q461" s="313"/>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row>
    <row r="462" spans="1:47">
      <c r="A462" s="38" t="str">
        <f>$J$4&amp;"-"</f>
        <v>1X-</v>
      </c>
      <c r="B462" s="38" t="s">
        <v>265</v>
      </c>
      <c r="C462" s="38" t="str">
        <f>C453</f>
        <v>Land Application</v>
      </c>
      <c r="D462" s="186"/>
      <c r="E462" s="325"/>
      <c r="G462" s="36" t="s">
        <v>108</v>
      </c>
      <c r="I462" s="39"/>
      <c r="K462" s="39"/>
      <c r="L462" s="43" t="s">
        <v>293</v>
      </c>
      <c r="N462" s="70">
        <f ca="1">SUMIFS(OFFSET(Assumptions!$I$90,0,MATCH($A462,Configurations,0)-1,COUNT(Assumptions!$A$90:$A$183),1),Assumptions!$D$90:$D$183,$B462&amp;$C462)</f>
        <v>0</v>
      </c>
      <c r="O462" s="313"/>
      <c r="P462" s="323"/>
      <c r="Q462" s="313"/>
      <c r="R462" s="50">
        <f t="shared" ref="R462:AU462" ca="1" si="327">IF(OR(R$99&lt;InServiceYr,R$99&gt;(InServiceYr+analysis_period-1)),0,IF($P462=0,$N462,$P462)*R$501)</f>
        <v>0</v>
      </c>
      <c r="S462" s="50">
        <f t="shared" ca="1" si="327"/>
        <v>0</v>
      </c>
      <c r="T462" s="50">
        <f t="shared" ca="1" si="327"/>
        <v>0</v>
      </c>
      <c r="U462" s="50">
        <f t="shared" ca="1" si="327"/>
        <v>0</v>
      </c>
      <c r="V462" s="50">
        <f t="shared" ca="1" si="327"/>
        <v>0</v>
      </c>
      <c r="W462" s="50">
        <f t="shared" ca="1" si="327"/>
        <v>0</v>
      </c>
      <c r="X462" s="50">
        <f t="shared" ca="1" si="327"/>
        <v>0</v>
      </c>
      <c r="Y462" s="50">
        <f t="shared" ca="1" si="327"/>
        <v>0</v>
      </c>
      <c r="Z462" s="50">
        <f t="shared" ca="1" si="327"/>
        <v>0</v>
      </c>
      <c r="AA462" s="50">
        <f t="shared" ca="1" si="327"/>
        <v>0</v>
      </c>
      <c r="AB462" s="50">
        <f t="shared" ca="1" si="327"/>
        <v>0</v>
      </c>
      <c r="AC462" s="50">
        <f t="shared" ca="1" si="327"/>
        <v>0</v>
      </c>
      <c r="AD462" s="50">
        <f t="shared" ca="1" si="327"/>
        <v>0</v>
      </c>
      <c r="AE462" s="50">
        <f t="shared" ca="1" si="327"/>
        <v>0</v>
      </c>
      <c r="AF462" s="50">
        <f t="shared" ca="1" si="327"/>
        <v>0</v>
      </c>
      <c r="AG462" s="50">
        <f t="shared" ca="1" si="327"/>
        <v>0</v>
      </c>
      <c r="AH462" s="50">
        <f t="shared" ca="1" si="327"/>
        <v>0</v>
      </c>
      <c r="AI462" s="50">
        <f t="shared" ca="1" si="327"/>
        <v>0</v>
      </c>
      <c r="AJ462" s="50">
        <f t="shared" ca="1" si="327"/>
        <v>0</v>
      </c>
      <c r="AK462" s="50">
        <f t="shared" ca="1" si="327"/>
        <v>0</v>
      </c>
      <c r="AL462" s="50">
        <f t="shared" si="327"/>
        <v>0</v>
      </c>
      <c r="AM462" s="50">
        <f t="shared" si="327"/>
        <v>0</v>
      </c>
      <c r="AN462" s="50">
        <f t="shared" si="327"/>
        <v>0</v>
      </c>
      <c r="AO462" s="50">
        <f t="shared" si="327"/>
        <v>0</v>
      </c>
      <c r="AP462" s="50">
        <f t="shared" si="327"/>
        <v>0</v>
      </c>
      <c r="AQ462" s="50">
        <f t="shared" si="327"/>
        <v>0</v>
      </c>
      <c r="AR462" s="50">
        <f t="shared" si="327"/>
        <v>0</v>
      </c>
      <c r="AS462" s="50">
        <f t="shared" si="327"/>
        <v>0</v>
      </c>
      <c r="AT462" s="50">
        <f t="shared" si="327"/>
        <v>0</v>
      </c>
      <c r="AU462" s="50">
        <f t="shared" si="327"/>
        <v>0</v>
      </c>
    </row>
    <row r="463" spans="1:47">
      <c r="A463" s="38" t="str">
        <f>$J$4&amp;"-"</f>
        <v>1X-</v>
      </c>
      <c r="B463" s="38" t="s">
        <v>289</v>
      </c>
      <c r="C463" s="38" t="str">
        <f>C453</f>
        <v>Land Application</v>
      </c>
      <c r="D463" s="186">
        <f>LaborEsc</f>
        <v>0.02</v>
      </c>
      <c r="E463" s="325"/>
      <c r="G463" s="36" t="s">
        <v>292</v>
      </c>
      <c r="I463" s="39"/>
      <c r="K463" s="39"/>
      <c r="L463" s="43" t="str">
        <f>"["&amp;CostBaseYr&amp;" $]"</f>
        <v>[2013 $]</v>
      </c>
      <c r="N463" s="70">
        <f ca="1">SUMIFS(OFFSET(Assumptions!$I$90,0,MATCH($A463,Configurations,0)-1,COUNT(Assumptions!$A$90:$A$183),1),Assumptions!$D$90:$D$183,$B463&amp;$C463)</f>
        <v>0</v>
      </c>
      <c r="O463" s="313"/>
      <c r="P463" s="323"/>
      <c r="Q463" s="313"/>
      <c r="R463" s="50">
        <f t="shared" ref="R463:AU463" ca="1" si="328">IF(OR(R$99&lt;InServiceYr,R$99&gt;(InServiceYr+analysis_period-1)),0,IF($P463=0,$N463,$P463)*(1+$D463)^(R$99-CostBaseYr))</f>
        <v>0</v>
      </c>
      <c r="S463" s="50">
        <f t="shared" ca="1" si="328"/>
        <v>0</v>
      </c>
      <c r="T463" s="50">
        <f t="shared" ca="1" si="328"/>
        <v>0</v>
      </c>
      <c r="U463" s="50">
        <f t="shared" ca="1" si="328"/>
        <v>0</v>
      </c>
      <c r="V463" s="50">
        <f t="shared" ca="1" si="328"/>
        <v>0</v>
      </c>
      <c r="W463" s="50">
        <f t="shared" ca="1" si="328"/>
        <v>0</v>
      </c>
      <c r="X463" s="50">
        <f t="shared" ca="1" si="328"/>
        <v>0</v>
      </c>
      <c r="Y463" s="50">
        <f t="shared" ca="1" si="328"/>
        <v>0</v>
      </c>
      <c r="Z463" s="50">
        <f t="shared" ca="1" si="328"/>
        <v>0</v>
      </c>
      <c r="AA463" s="50">
        <f t="shared" ca="1" si="328"/>
        <v>0</v>
      </c>
      <c r="AB463" s="50">
        <f t="shared" ca="1" si="328"/>
        <v>0</v>
      </c>
      <c r="AC463" s="50">
        <f t="shared" ca="1" si="328"/>
        <v>0</v>
      </c>
      <c r="AD463" s="50">
        <f t="shared" ca="1" si="328"/>
        <v>0</v>
      </c>
      <c r="AE463" s="50">
        <f t="shared" ca="1" si="328"/>
        <v>0</v>
      </c>
      <c r="AF463" s="50">
        <f t="shared" ca="1" si="328"/>
        <v>0</v>
      </c>
      <c r="AG463" s="50">
        <f t="shared" ca="1" si="328"/>
        <v>0</v>
      </c>
      <c r="AH463" s="50">
        <f t="shared" ca="1" si="328"/>
        <v>0</v>
      </c>
      <c r="AI463" s="50">
        <f t="shared" ca="1" si="328"/>
        <v>0</v>
      </c>
      <c r="AJ463" s="50">
        <f t="shared" ca="1" si="328"/>
        <v>0</v>
      </c>
      <c r="AK463" s="50">
        <f t="shared" ca="1" si="328"/>
        <v>0</v>
      </c>
      <c r="AL463" s="50">
        <f t="shared" si="328"/>
        <v>0</v>
      </c>
      <c r="AM463" s="50">
        <f t="shared" si="328"/>
        <v>0</v>
      </c>
      <c r="AN463" s="50">
        <f t="shared" si="328"/>
        <v>0</v>
      </c>
      <c r="AO463" s="50">
        <f t="shared" si="328"/>
        <v>0</v>
      </c>
      <c r="AP463" s="50">
        <f t="shared" si="328"/>
        <v>0</v>
      </c>
      <c r="AQ463" s="50">
        <f t="shared" si="328"/>
        <v>0</v>
      </c>
      <c r="AR463" s="50">
        <f t="shared" si="328"/>
        <v>0</v>
      </c>
      <c r="AS463" s="50">
        <f t="shared" si="328"/>
        <v>0</v>
      </c>
      <c r="AT463" s="50">
        <f t="shared" si="328"/>
        <v>0</v>
      </c>
      <c r="AU463" s="50">
        <f t="shared" si="328"/>
        <v>0</v>
      </c>
    </row>
    <row r="464" spans="1:47" s="60" customFormat="1">
      <c r="D464" s="187"/>
      <c r="E464" s="325"/>
      <c r="G464" s="39" t="s">
        <v>305</v>
      </c>
      <c r="I464" s="39"/>
      <c r="K464" s="39"/>
      <c r="L464" s="174"/>
      <c r="N464" s="188"/>
      <c r="O464" s="314"/>
      <c r="P464" s="185"/>
      <c r="Q464" s="314"/>
      <c r="R464" s="185">
        <f ca="1">SUM(R453:R460)-SUM(R462:R463)</f>
        <v>166260</v>
      </c>
      <c r="S464" s="185">
        <f t="shared" ref="S464:AU464" ca="1" si="329">SUM(S453:S460)-SUM(S462:S463)</f>
        <v>169585.2</v>
      </c>
      <c r="T464" s="185">
        <f t="shared" ca="1" si="329"/>
        <v>172976.90399999998</v>
      </c>
      <c r="U464" s="185">
        <f t="shared" ca="1" si="329"/>
        <v>176436.44208000001</v>
      </c>
      <c r="V464" s="185">
        <f t="shared" ca="1" si="329"/>
        <v>179965.17092160002</v>
      </c>
      <c r="W464" s="185">
        <f t="shared" ca="1" si="329"/>
        <v>183564.474340032</v>
      </c>
      <c r="X464" s="185">
        <f t="shared" ca="1" si="329"/>
        <v>187235.76382683261</v>
      </c>
      <c r="Y464" s="185">
        <f t="shared" ca="1" si="329"/>
        <v>190980.47910336929</v>
      </c>
      <c r="Z464" s="185">
        <f t="shared" ca="1" si="329"/>
        <v>194800.08868543667</v>
      </c>
      <c r="AA464" s="185">
        <f t="shared" ca="1" si="329"/>
        <v>198696.0904591454</v>
      </c>
      <c r="AB464" s="185">
        <f t="shared" ca="1" si="329"/>
        <v>202670.01226832828</v>
      </c>
      <c r="AC464" s="185">
        <f t="shared" ca="1" si="329"/>
        <v>206723.41251369487</v>
      </c>
      <c r="AD464" s="185">
        <f t="shared" ca="1" si="329"/>
        <v>210857.88076396877</v>
      </c>
      <c r="AE464" s="185">
        <f t="shared" ca="1" si="329"/>
        <v>215075.03837924817</v>
      </c>
      <c r="AF464" s="185">
        <f t="shared" ca="1" si="329"/>
        <v>219376.53914683306</v>
      </c>
      <c r="AG464" s="185">
        <f t="shared" ca="1" si="329"/>
        <v>223764.06992976976</v>
      </c>
      <c r="AH464" s="185">
        <f t="shared" ca="1" si="329"/>
        <v>228239.35132836518</v>
      </c>
      <c r="AI464" s="185">
        <f t="shared" ca="1" si="329"/>
        <v>232804.13835493245</v>
      </c>
      <c r="AJ464" s="185">
        <f t="shared" ca="1" si="329"/>
        <v>237460.2211220311</v>
      </c>
      <c r="AK464" s="185">
        <f t="shared" ca="1" si="329"/>
        <v>242209.42554447174</v>
      </c>
      <c r="AL464" s="185">
        <f t="shared" si="329"/>
        <v>0</v>
      </c>
      <c r="AM464" s="185">
        <f t="shared" si="329"/>
        <v>0</v>
      </c>
      <c r="AN464" s="185">
        <f t="shared" si="329"/>
        <v>0</v>
      </c>
      <c r="AO464" s="185">
        <f t="shared" si="329"/>
        <v>0</v>
      </c>
      <c r="AP464" s="185">
        <f t="shared" si="329"/>
        <v>0</v>
      </c>
      <c r="AQ464" s="185">
        <f t="shared" si="329"/>
        <v>0</v>
      </c>
      <c r="AR464" s="185">
        <f t="shared" si="329"/>
        <v>0</v>
      </c>
      <c r="AS464" s="185">
        <f t="shared" si="329"/>
        <v>0</v>
      </c>
      <c r="AT464" s="185">
        <f t="shared" si="329"/>
        <v>0</v>
      </c>
      <c r="AU464" s="185">
        <f t="shared" si="329"/>
        <v>0</v>
      </c>
    </row>
    <row r="465" spans="1:47">
      <c r="E465" s="36"/>
      <c r="G465" s="39"/>
      <c r="H465" s="39"/>
      <c r="I465" s="39"/>
      <c r="J465" s="39"/>
      <c r="K465" s="39"/>
    </row>
    <row r="466" spans="1:47">
      <c r="E466" s="327"/>
      <c r="F466" s="28"/>
      <c r="G466" s="324" t="str">
        <f>C469&amp;" O&amp;M"</f>
        <v>Land Disposal O&amp;M</v>
      </c>
      <c r="H466" s="324"/>
      <c r="I466" s="324"/>
      <c r="J466" s="324"/>
      <c r="K466" s="324"/>
      <c r="L466" s="405" t="s">
        <v>79</v>
      </c>
      <c r="M466" s="256"/>
      <c r="N466" s="325" t="s">
        <v>490</v>
      </c>
      <c r="O466" s="311"/>
      <c r="P466" s="325" t="s">
        <v>491</v>
      </c>
      <c r="Q466" s="310"/>
      <c r="R466" s="325">
        <f>R$8</f>
        <v>2014</v>
      </c>
      <c r="S466" s="325">
        <f t="shared" ref="S466:AU466" si="330">S$8</f>
        <v>2015</v>
      </c>
      <c r="T466" s="325">
        <f t="shared" si="330"/>
        <v>2016</v>
      </c>
      <c r="U466" s="325">
        <f t="shared" si="330"/>
        <v>2017</v>
      </c>
      <c r="V466" s="325">
        <f t="shared" si="330"/>
        <v>2018</v>
      </c>
      <c r="W466" s="325">
        <f t="shared" si="330"/>
        <v>2019</v>
      </c>
      <c r="X466" s="325">
        <f t="shared" si="330"/>
        <v>2020</v>
      </c>
      <c r="Y466" s="325">
        <f t="shared" si="330"/>
        <v>2021</v>
      </c>
      <c r="Z466" s="325">
        <f t="shared" si="330"/>
        <v>2022</v>
      </c>
      <c r="AA466" s="325">
        <f t="shared" si="330"/>
        <v>2023</v>
      </c>
      <c r="AB466" s="325">
        <f t="shared" si="330"/>
        <v>2024</v>
      </c>
      <c r="AC466" s="325">
        <f t="shared" si="330"/>
        <v>2025</v>
      </c>
      <c r="AD466" s="325">
        <f t="shared" si="330"/>
        <v>2026</v>
      </c>
      <c r="AE466" s="325">
        <f t="shared" si="330"/>
        <v>2027</v>
      </c>
      <c r="AF466" s="325">
        <f t="shared" si="330"/>
        <v>2028</v>
      </c>
      <c r="AG466" s="325">
        <f t="shared" si="330"/>
        <v>2029</v>
      </c>
      <c r="AH466" s="325">
        <f t="shared" si="330"/>
        <v>2030</v>
      </c>
      <c r="AI466" s="325">
        <f t="shared" si="330"/>
        <v>2031</v>
      </c>
      <c r="AJ466" s="325">
        <f t="shared" si="330"/>
        <v>2032</v>
      </c>
      <c r="AK466" s="325">
        <f t="shared" si="330"/>
        <v>2033</v>
      </c>
      <c r="AL466" s="325">
        <f t="shared" si="330"/>
        <v>2034</v>
      </c>
      <c r="AM466" s="325">
        <f t="shared" si="330"/>
        <v>2035</v>
      </c>
      <c r="AN466" s="325">
        <f t="shared" si="330"/>
        <v>2036</v>
      </c>
      <c r="AO466" s="325">
        <f t="shared" si="330"/>
        <v>2037</v>
      </c>
      <c r="AP466" s="325">
        <f t="shared" si="330"/>
        <v>2038</v>
      </c>
      <c r="AQ466" s="325">
        <f t="shared" si="330"/>
        <v>2039</v>
      </c>
      <c r="AR466" s="325">
        <f t="shared" si="330"/>
        <v>2040</v>
      </c>
      <c r="AS466" s="325">
        <f t="shared" si="330"/>
        <v>2041</v>
      </c>
      <c r="AT466" s="325">
        <f t="shared" si="330"/>
        <v>2042</v>
      </c>
      <c r="AU466" s="325">
        <f t="shared" si="330"/>
        <v>2043</v>
      </c>
    </row>
    <row r="467" spans="1:47">
      <c r="E467" s="325"/>
      <c r="G467" s="39"/>
      <c r="H467" s="39"/>
      <c r="I467" s="39"/>
      <c r="J467" s="39"/>
      <c r="K467" s="39"/>
    </row>
    <row r="468" spans="1:47">
      <c r="E468" s="325"/>
      <c r="G468" s="39" t="s">
        <v>23</v>
      </c>
      <c r="H468" s="39"/>
      <c r="I468" s="39"/>
      <c r="J468" s="39"/>
      <c r="K468" s="39"/>
    </row>
    <row r="469" spans="1:47">
      <c r="A469" s="38" t="str">
        <f t="shared" ref="A469:A476" si="331">$J$4&amp;"-"</f>
        <v>1X-</v>
      </c>
      <c r="B469" s="38" t="s">
        <v>262</v>
      </c>
      <c r="C469" s="38" t="s">
        <v>311</v>
      </c>
      <c r="D469" s="186">
        <f>LaborEsc</f>
        <v>0.02</v>
      </c>
      <c r="E469" s="325"/>
      <c r="G469" s="36" t="s">
        <v>125</v>
      </c>
      <c r="I469" s="39"/>
      <c r="K469" s="39"/>
      <c r="L469" s="43" t="s">
        <v>266</v>
      </c>
      <c r="N469" s="70">
        <f ca="1">SUMIFS(OFFSET(Assumptions!$I$90,0,MATCH($A469,Configurations,0)-1,COUNT(Assumptions!$A$90:$A$183),1),Assumptions!$D$90:$D$183,$B469&amp;$C469)</f>
        <v>0</v>
      </c>
      <c r="O469" s="313"/>
      <c r="P469" s="323"/>
      <c r="Q469" s="313"/>
      <c r="R469" s="50">
        <f t="shared" ref="R469:AU469" ca="1" si="332">IF(OR(R$99&lt;InServiceYr,R$99&gt;(InServiceYr+analysis_period-1)),0,IF($P469=0,$N469,$P469)*LaborCost*(1+$D469)^(R$99-CostBaseYr))</f>
        <v>0</v>
      </c>
      <c r="S469" s="50">
        <f t="shared" ca="1" si="332"/>
        <v>0</v>
      </c>
      <c r="T469" s="50">
        <f t="shared" ca="1" si="332"/>
        <v>0</v>
      </c>
      <c r="U469" s="50">
        <f t="shared" ca="1" si="332"/>
        <v>0</v>
      </c>
      <c r="V469" s="50">
        <f t="shared" ca="1" si="332"/>
        <v>0</v>
      </c>
      <c r="W469" s="50">
        <f t="shared" ca="1" si="332"/>
        <v>0</v>
      </c>
      <c r="X469" s="50">
        <f t="shared" ca="1" si="332"/>
        <v>0</v>
      </c>
      <c r="Y469" s="50">
        <f t="shared" ca="1" si="332"/>
        <v>0</v>
      </c>
      <c r="Z469" s="50">
        <f t="shared" ca="1" si="332"/>
        <v>0</v>
      </c>
      <c r="AA469" s="50">
        <f t="shared" ca="1" si="332"/>
        <v>0</v>
      </c>
      <c r="AB469" s="50">
        <f t="shared" ca="1" si="332"/>
        <v>0</v>
      </c>
      <c r="AC469" s="50">
        <f t="shared" ca="1" si="332"/>
        <v>0</v>
      </c>
      <c r="AD469" s="50">
        <f t="shared" ca="1" si="332"/>
        <v>0</v>
      </c>
      <c r="AE469" s="50">
        <f t="shared" ca="1" si="332"/>
        <v>0</v>
      </c>
      <c r="AF469" s="50">
        <f t="shared" ca="1" si="332"/>
        <v>0</v>
      </c>
      <c r="AG469" s="50">
        <f t="shared" ca="1" si="332"/>
        <v>0</v>
      </c>
      <c r="AH469" s="50">
        <f t="shared" ca="1" si="332"/>
        <v>0</v>
      </c>
      <c r="AI469" s="50">
        <f t="shared" ca="1" si="332"/>
        <v>0</v>
      </c>
      <c r="AJ469" s="50">
        <f t="shared" ca="1" si="332"/>
        <v>0</v>
      </c>
      <c r="AK469" s="50">
        <f t="shared" ca="1" si="332"/>
        <v>0</v>
      </c>
      <c r="AL469" s="50">
        <f t="shared" si="332"/>
        <v>0</v>
      </c>
      <c r="AM469" s="50">
        <f t="shared" si="332"/>
        <v>0</v>
      </c>
      <c r="AN469" s="50">
        <f t="shared" si="332"/>
        <v>0</v>
      </c>
      <c r="AO469" s="50">
        <f t="shared" si="332"/>
        <v>0</v>
      </c>
      <c r="AP469" s="50">
        <f t="shared" si="332"/>
        <v>0</v>
      </c>
      <c r="AQ469" s="50">
        <f t="shared" si="332"/>
        <v>0</v>
      </c>
      <c r="AR469" s="50">
        <f t="shared" si="332"/>
        <v>0</v>
      </c>
      <c r="AS469" s="50">
        <f t="shared" si="332"/>
        <v>0</v>
      </c>
      <c r="AT469" s="50">
        <f t="shared" si="332"/>
        <v>0</v>
      </c>
      <c r="AU469" s="50">
        <f t="shared" si="332"/>
        <v>0</v>
      </c>
    </row>
    <row r="470" spans="1:47">
      <c r="A470" s="38" t="str">
        <f t="shared" si="331"/>
        <v>1X-</v>
      </c>
      <c r="B470" s="38" t="s">
        <v>270</v>
      </c>
      <c r="C470" s="38" t="str">
        <f>C469</f>
        <v>Land Disposal</v>
      </c>
      <c r="D470" s="186">
        <f>OMEsc</f>
        <v>0.02</v>
      </c>
      <c r="E470" s="325"/>
      <c r="G470" s="36" t="s">
        <v>126</v>
      </c>
      <c r="I470" s="39"/>
      <c r="K470" s="39"/>
      <c r="L470" s="43" t="str">
        <f>"["&amp;CostBaseYr&amp;" $]"</f>
        <v>[2013 $]</v>
      </c>
      <c r="N470" s="70">
        <f ca="1">SUMIFS(OFFSET(Assumptions!$I$90,0,MATCH($A470,Configurations,0)-1,COUNT(Assumptions!$A$90:$A$183),1),Assumptions!$D$90:$D$183,$B470&amp;$C470)</f>
        <v>0</v>
      </c>
      <c r="O470" s="313"/>
      <c r="P470" s="323"/>
      <c r="Q470" s="313"/>
      <c r="R470" s="50">
        <f t="shared" ref="R470:AG472" ca="1" si="333">IF(OR(R$99&lt;InServiceYr,R$99&gt;(InServiceYr+analysis_period-1)),0,IF($P470=0,$N470,$P470)*(1+$D470)^(R$99-CostBaseYr))</f>
        <v>0</v>
      </c>
      <c r="S470" s="50">
        <f t="shared" ca="1" si="333"/>
        <v>0</v>
      </c>
      <c r="T470" s="50">
        <f t="shared" ca="1" si="333"/>
        <v>0</v>
      </c>
      <c r="U470" s="50">
        <f t="shared" ca="1" si="333"/>
        <v>0</v>
      </c>
      <c r="V470" s="50">
        <f t="shared" ca="1" si="333"/>
        <v>0</v>
      </c>
      <c r="W470" s="50">
        <f t="shared" ca="1" si="333"/>
        <v>0</v>
      </c>
      <c r="X470" s="50">
        <f t="shared" ca="1" si="333"/>
        <v>0</v>
      </c>
      <c r="Y470" s="50">
        <f t="shared" ca="1" si="333"/>
        <v>0</v>
      </c>
      <c r="Z470" s="50">
        <f t="shared" ca="1" si="333"/>
        <v>0</v>
      </c>
      <c r="AA470" s="50">
        <f t="shared" ca="1" si="333"/>
        <v>0</v>
      </c>
      <c r="AB470" s="50">
        <f t="shared" ca="1" si="333"/>
        <v>0</v>
      </c>
      <c r="AC470" s="50">
        <f t="shared" ca="1" si="333"/>
        <v>0</v>
      </c>
      <c r="AD470" s="50">
        <f t="shared" ca="1" si="333"/>
        <v>0</v>
      </c>
      <c r="AE470" s="50">
        <f t="shared" ca="1" si="333"/>
        <v>0</v>
      </c>
      <c r="AF470" s="50">
        <f t="shared" ca="1" si="333"/>
        <v>0</v>
      </c>
      <c r="AG470" s="50">
        <f t="shared" ca="1" si="333"/>
        <v>0</v>
      </c>
      <c r="AH470" s="50">
        <f t="shared" ref="S470:AU472" ca="1" si="334">IF(OR(AH$99&lt;InServiceYr,AH$99&gt;(InServiceYr+analysis_period-1)),0,IF($P470=0,$N470,$P470)*(1+$D470)^(AH$99-CostBaseYr))</f>
        <v>0</v>
      </c>
      <c r="AI470" s="50">
        <f t="shared" ca="1" si="334"/>
        <v>0</v>
      </c>
      <c r="AJ470" s="50">
        <f t="shared" ca="1" si="334"/>
        <v>0</v>
      </c>
      <c r="AK470" s="50">
        <f t="shared" ca="1" si="334"/>
        <v>0</v>
      </c>
      <c r="AL470" s="50">
        <f t="shared" si="334"/>
        <v>0</v>
      </c>
      <c r="AM470" s="50">
        <f t="shared" si="334"/>
        <v>0</v>
      </c>
      <c r="AN470" s="50">
        <f t="shared" si="334"/>
        <v>0</v>
      </c>
      <c r="AO470" s="50">
        <f t="shared" si="334"/>
        <v>0</v>
      </c>
      <c r="AP470" s="50">
        <f t="shared" si="334"/>
        <v>0</v>
      </c>
      <c r="AQ470" s="50">
        <f t="shared" si="334"/>
        <v>0</v>
      </c>
      <c r="AR470" s="50">
        <f t="shared" si="334"/>
        <v>0</v>
      </c>
      <c r="AS470" s="50">
        <f t="shared" si="334"/>
        <v>0</v>
      </c>
      <c r="AT470" s="50">
        <f t="shared" si="334"/>
        <v>0</v>
      </c>
      <c r="AU470" s="50">
        <f t="shared" si="334"/>
        <v>0</v>
      </c>
    </row>
    <row r="471" spans="1:47">
      <c r="A471" s="38" t="str">
        <f t="shared" si="331"/>
        <v>1X-</v>
      </c>
      <c r="B471" s="38" t="s">
        <v>263</v>
      </c>
      <c r="C471" s="38" t="str">
        <f t="shared" ref="C471:C475" si="335">C470</f>
        <v>Land Disposal</v>
      </c>
      <c r="D471" s="186">
        <f>OMEsc</f>
        <v>0.02</v>
      </c>
      <c r="E471" s="325"/>
      <c r="G471" s="36" t="s">
        <v>127</v>
      </c>
      <c r="I471" s="39"/>
      <c r="K471" s="39"/>
      <c r="L471" s="43" t="str">
        <f>"["&amp;CostBaseYr&amp;" $]"</f>
        <v>[2013 $]</v>
      </c>
      <c r="N471" s="70">
        <f ca="1">SUMIFS(OFFSET(Assumptions!$I$90,0,MATCH($A471,Configurations,0)-1,COUNT(Assumptions!$A$90:$A$183),1),Assumptions!$D$90:$D$183,$B471&amp;$C471)</f>
        <v>0</v>
      </c>
      <c r="O471" s="313"/>
      <c r="P471" s="323"/>
      <c r="Q471" s="313"/>
      <c r="R471" s="50">
        <f t="shared" ca="1" si="333"/>
        <v>0</v>
      </c>
      <c r="S471" s="50">
        <f t="shared" ca="1" si="334"/>
        <v>0</v>
      </c>
      <c r="T471" s="50">
        <f t="shared" ca="1" si="334"/>
        <v>0</v>
      </c>
      <c r="U471" s="50">
        <f t="shared" ca="1" si="334"/>
        <v>0</v>
      </c>
      <c r="V471" s="50">
        <f t="shared" ca="1" si="334"/>
        <v>0</v>
      </c>
      <c r="W471" s="50">
        <f t="shared" ca="1" si="334"/>
        <v>0</v>
      </c>
      <c r="X471" s="50">
        <f t="shared" ca="1" si="334"/>
        <v>0</v>
      </c>
      <c r="Y471" s="50">
        <f t="shared" ca="1" si="334"/>
        <v>0</v>
      </c>
      <c r="Z471" s="50">
        <f t="shared" ca="1" si="334"/>
        <v>0</v>
      </c>
      <c r="AA471" s="50">
        <f t="shared" ca="1" si="334"/>
        <v>0</v>
      </c>
      <c r="AB471" s="50">
        <f t="shared" ca="1" si="334"/>
        <v>0</v>
      </c>
      <c r="AC471" s="50">
        <f t="shared" ca="1" si="334"/>
        <v>0</v>
      </c>
      <c r="AD471" s="50">
        <f t="shared" ca="1" si="334"/>
        <v>0</v>
      </c>
      <c r="AE471" s="50">
        <f t="shared" ca="1" si="334"/>
        <v>0</v>
      </c>
      <c r="AF471" s="50">
        <f t="shared" ca="1" si="334"/>
        <v>0</v>
      </c>
      <c r="AG471" s="50">
        <f t="shared" ca="1" si="334"/>
        <v>0</v>
      </c>
      <c r="AH471" s="50">
        <f t="shared" ca="1" si="334"/>
        <v>0</v>
      </c>
      <c r="AI471" s="50">
        <f t="shared" ca="1" si="334"/>
        <v>0</v>
      </c>
      <c r="AJ471" s="50">
        <f t="shared" ca="1" si="334"/>
        <v>0</v>
      </c>
      <c r="AK471" s="50">
        <f t="shared" ca="1" si="334"/>
        <v>0</v>
      </c>
      <c r="AL471" s="50">
        <f t="shared" si="334"/>
        <v>0</v>
      </c>
      <c r="AM471" s="50">
        <f t="shared" si="334"/>
        <v>0</v>
      </c>
      <c r="AN471" s="50">
        <f t="shared" si="334"/>
        <v>0</v>
      </c>
      <c r="AO471" s="50">
        <f t="shared" si="334"/>
        <v>0</v>
      </c>
      <c r="AP471" s="50">
        <f t="shared" si="334"/>
        <v>0</v>
      </c>
      <c r="AQ471" s="50">
        <f t="shared" si="334"/>
        <v>0</v>
      </c>
      <c r="AR471" s="50">
        <f t="shared" si="334"/>
        <v>0</v>
      </c>
      <c r="AS471" s="50">
        <f t="shared" si="334"/>
        <v>0</v>
      </c>
      <c r="AT471" s="50">
        <f t="shared" si="334"/>
        <v>0</v>
      </c>
      <c r="AU471" s="50">
        <f t="shared" si="334"/>
        <v>0</v>
      </c>
    </row>
    <row r="472" spans="1:47">
      <c r="A472" s="38" t="str">
        <f t="shared" si="331"/>
        <v>1X-</v>
      </c>
      <c r="B472" s="38" t="s">
        <v>277</v>
      </c>
      <c r="C472" s="38" t="str">
        <f t="shared" si="335"/>
        <v>Land Disposal</v>
      </c>
      <c r="D472" s="186">
        <f>OMEsc</f>
        <v>0.02</v>
      </c>
      <c r="E472" s="325"/>
      <c r="G472" s="36" t="s">
        <v>276</v>
      </c>
      <c r="I472" s="39"/>
      <c r="K472" s="39"/>
      <c r="L472" s="43" t="str">
        <f>"["&amp;CostBaseYr&amp;" $]"</f>
        <v>[2013 $]</v>
      </c>
      <c r="N472" s="70">
        <f ca="1">SUMIFS(OFFSET(Assumptions!$I$90,0,MATCH($A472,Configurations,0)-1,COUNT(Assumptions!$A$90:$A$183),1),Assumptions!$D$90:$D$183,$B472&amp;$C472)</f>
        <v>0</v>
      </c>
      <c r="O472" s="313"/>
      <c r="P472" s="323"/>
      <c r="Q472" s="313"/>
      <c r="R472" s="50">
        <f t="shared" ca="1" si="333"/>
        <v>0</v>
      </c>
      <c r="S472" s="50">
        <f t="shared" ca="1" si="334"/>
        <v>0</v>
      </c>
      <c r="T472" s="50">
        <f t="shared" ca="1" si="334"/>
        <v>0</v>
      </c>
      <c r="U472" s="50">
        <f t="shared" ca="1" si="334"/>
        <v>0</v>
      </c>
      <c r="V472" s="50">
        <f t="shared" ca="1" si="334"/>
        <v>0</v>
      </c>
      <c r="W472" s="50">
        <f t="shared" ca="1" si="334"/>
        <v>0</v>
      </c>
      <c r="X472" s="50">
        <f t="shared" ca="1" si="334"/>
        <v>0</v>
      </c>
      <c r="Y472" s="50">
        <f t="shared" ca="1" si="334"/>
        <v>0</v>
      </c>
      <c r="Z472" s="50">
        <f t="shared" ca="1" si="334"/>
        <v>0</v>
      </c>
      <c r="AA472" s="50">
        <f t="shared" ca="1" si="334"/>
        <v>0</v>
      </c>
      <c r="AB472" s="50">
        <f t="shared" ca="1" si="334"/>
        <v>0</v>
      </c>
      <c r="AC472" s="50">
        <f t="shared" ca="1" si="334"/>
        <v>0</v>
      </c>
      <c r="AD472" s="50">
        <f t="shared" ca="1" si="334"/>
        <v>0</v>
      </c>
      <c r="AE472" s="50">
        <f t="shared" ca="1" si="334"/>
        <v>0</v>
      </c>
      <c r="AF472" s="50">
        <f t="shared" ca="1" si="334"/>
        <v>0</v>
      </c>
      <c r="AG472" s="50">
        <f t="shared" ca="1" si="334"/>
        <v>0</v>
      </c>
      <c r="AH472" s="50">
        <f t="shared" ca="1" si="334"/>
        <v>0</v>
      </c>
      <c r="AI472" s="50">
        <f t="shared" ca="1" si="334"/>
        <v>0</v>
      </c>
      <c r="AJ472" s="50">
        <f t="shared" ca="1" si="334"/>
        <v>0</v>
      </c>
      <c r="AK472" s="50">
        <f t="shared" ca="1" si="334"/>
        <v>0</v>
      </c>
      <c r="AL472" s="50">
        <f t="shared" si="334"/>
        <v>0</v>
      </c>
      <c r="AM472" s="50">
        <f t="shared" si="334"/>
        <v>0</v>
      </c>
      <c r="AN472" s="50">
        <f t="shared" si="334"/>
        <v>0</v>
      </c>
      <c r="AO472" s="50">
        <f t="shared" si="334"/>
        <v>0</v>
      </c>
      <c r="AP472" s="50">
        <f t="shared" si="334"/>
        <v>0</v>
      </c>
      <c r="AQ472" s="50">
        <f t="shared" si="334"/>
        <v>0</v>
      </c>
      <c r="AR472" s="50">
        <f t="shared" si="334"/>
        <v>0</v>
      </c>
      <c r="AS472" s="50">
        <f t="shared" si="334"/>
        <v>0</v>
      </c>
      <c r="AT472" s="50">
        <f t="shared" si="334"/>
        <v>0</v>
      </c>
      <c r="AU472" s="50">
        <f t="shared" si="334"/>
        <v>0</v>
      </c>
    </row>
    <row r="473" spans="1:47">
      <c r="A473" s="38" t="str">
        <f t="shared" si="331"/>
        <v>1X-</v>
      </c>
      <c r="B473" s="38" t="s">
        <v>274</v>
      </c>
      <c r="C473" s="38" t="str">
        <f t="shared" si="335"/>
        <v>Land Disposal</v>
      </c>
      <c r="D473" s="186"/>
      <c r="E473" s="325"/>
      <c r="G473" s="36" t="s">
        <v>16</v>
      </c>
      <c r="I473" s="39"/>
      <c r="K473" s="39"/>
      <c r="L473" s="43" t="s">
        <v>275</v>
      </c>
      <c r="N473" s="70">
        <f ca="1">SUMIFS(OFFSET(Assumptions!$I$90,0,MATCH($A473,Configurations,0)-1,COUNT(Assumptions!$A$90:$A$183),1),Assumptions!$D$90:$D$183,$B473&amp;$C473)</f>
        <v>0</v>
      </c>
      <c r="O473" s="313"/>
      <c r="P473" s="323"/>
      <c r="Q473" s="313"/>
      <c r="R473" s="50">
        <f t="shared" ref="R473:AU473" ca="1" si="336">IF(OR(R$99&lt;InServiceYr,R$99&gt;(InServiceYr+analysis_period-1)),0,IF($P473=0,$N473,$P473)*R$505)</f>
        <v>0</v>
      </c>
      <c r="S473" s="50">
        <f t="shared" ca="1" si="336"/>
        <v>0</v>
      </c>
      <c r="T473" s="50">
        <f t="shared" ca="1" si="336"/>
        <v>0</v>
      </c>
      <c r="U473" s="50">
        <f t="shared" ca="1" si="336"/>
        <v>0</v>
      </c>
      <c r="V473" s="50">
        <f t="shared" ca="1" si="336"/>
        <v>0</v>
      </c>
      <c r="W473" s="50">
        <f t="shared" ca="1" si="336"/>
        <v>0</v>
      </c>
      <c r="X473" s="50">
        <f t="shared" ca="1" si="336"/>
        <v>0</v>
      </c>
      <c r="Y473" s="50">
        <f t="shared" ca="1" si="336"/>
        <v>0</v>
      </c>
      <c r="Z473" s="50">
        <f t="shared" ca="1" si="336"/>
        <v>0</v>
      </c>
      <c r="AA473" s="50">
        <f t="shared" ca="1" si="336"/>
        <v>0</v>
      </c>
      <c r="AB473" s="50">
        <f t="shared" ca="1" si="336"/>
        <v>0</v>
      </c>
      <c r="AC473" s="50">
        <f t="shared" ca="1" si="336"/>
        <v>0</v>
      </c>
      <c r="AD473" s="50">
        <f t="shared" ca="1" si="336"/>
        <v>0</v>
      </c>
      <c r="AE473" s="50">
        <f t="shared" ca="1" si="336"/>
        <v>0</v>
      </c>
      <c r="AF473" s="50">
        <f t="shared" ca="1" si="336"/>
        <v>0</v>
      </c>
      <c r="AG473" s="50">
        <f t="shared" ca="1" si="336"/>
        <v>0</v>
      </c>
      <c r="AH473" s="50">
        <f t="shared" ca="1" si="336"/>
        <v>0</v>
      </c>
      <c r="AI473" s="50">
        <f t="shared" ca="1" si="336"/>
        <v>0</v>
      </c>
      <c r="AJ473" s="50">
        <f t="shared" ca="1" si="336"/>
        <v>0</v>
      </c>
      <c r="AK473" s="50">
        <f t="shared" ca="1" si="336"/>
        <v>0</v>
      </c>
      <c r="AL473" s="50">
        <f t="shared" si="336"/>
        <v>0</v>
      </c>
      <c r="AM473" s="50">
        <f t="shared" si="336"/>
        <v>0</v>
      </c>
      <c r="AN473" s="50">
        <f t="shared" si="336"/>
        <v>0</v>
      </c>
      <c r="AO473" s="50">
        <f t="shared" si="336"/>
        <v>0</v>
      </c>
      <c r="AP473" s="50">
        <f t="shared" si="336"/>
        <v>0</v>
      </c>
      <c r="AQ473" s="50">
        <f t="shared" si="336"/>
        <v>0</v>
      </c>
      <c r="AR473" s="50">
        <f t="shared" si="336"/>
        <v>0</v>
      </c>
      <c r="AS473" s="50">
        <f t="shared" si="336"/>
        <v>0</v>
      </c>
      <c r="AT473" s="50">
        <f t="shared" si="336"/>
        <v>0</v>
      </c>
      <c r="AU473" s="50">
        <f t="shared" si="336"/>
        <v>0</v>
      </c>
    </row>
    <row r="474" spans="1:47">
      <c r="A474" s="38" t="str">
        <f t="shared" si="331"/>
        <v>1X-</v>
      </c>
      <c r="B474" s="38" t="s">
        <v>257</v>
      </c>
      <c r="C474" s="38" t="str">
        <f t="shared" si="335"/>
        <v>Land Disposal</v>
      </c>
      <c r="D474" s="186"/>
      <c r="E474" s="325"/>
      <c r="G474" s="36" t="s">
        <v>284</v>
      </c>
      <c r="I474" s="39"/>
      <c r="K474" s="39"/>
      <c r="L474" s="43" t="s">
        <v>293</v>
      </c>
      <c r="N474" s="70">
        <f ca="1">SUMIFS(OFFSET(Assumptions!$I$90,0,MATCH($A474,Configurations,0)-1,COUNT(Assumptions!$A$90:$A$183),1),Assumptions!$D$90:$D$183,$B474&amp;$C474)</f>
        <v>0</v>
      </c>
      <c r="O474" s="313"/>
      <c r="P474" s="323"/>
      <c r="Q474" s="313"/>
      <c r="R474" s="50">
        <f t="shared" ref="R474:AU474" ca="1" si="337">IF(OR(R$99&lt;InServiceYr,R$99&gt;(InServiceYr+analysis_period-1)),0,IF($P474=0,$N474,$P474)*R$501)</f>
        <v>0</v>
      </c>
      <c r="S474" s="50">
        <f t="shared" ca="1" si="337"/>
        <v>0</v>
      </c>
      <c r="T474" s="50">
        <f t="shared" ca="1" si="337"/>
        <v>0</v>
      </c>
      <c r="U474" s="50">
        <f t="shared" ca="1" si="337"/>
        <v>0</v>
      </c>
      <c r="V474" s="50">
        <f t="shared" ca="1" si="337"/>
        <v>0</v>
      </c>
      <c r="W474" s="50">
        <f t="shared" ca="1" si="337"/>
        <v>0</v>
      </c>
      <c r="X474" s="50">
        <f t="shared" ca="1" si="337"/>
        <v>0</v>
      </c>
      <c r="Y474" s="50">
        <f t="shared" ca="1" si="337"/>
        <v>0</v>
      </c>
      <c r="Z474" s="50">
        <f t="shared" ca="1" si="337"/>
        <v>0</v>
      </c>
      <c r="AA474" s="50">
        <f t="shared" ca="1" si="337"/>
        <v>0</v>
      </c>
      <c r="AB474" s="50">
        <f t="shared" ca="1" si="337"/>
        <v>0</v>
      </c>
      <c r="AC474" s="50">
        <f t="shared" ca="1" si="337"/>
        <v>0</v>
      </c>
      <c r="AD474" s="50">
        <f t="shared" ca="1" si="337"/>
        <v>0</v>
      </c>
      <c r="AE474" s="50">
        <f t="shared" ca="1" si="337"/>
        <v>0</v>
      </c>
      <c r="AF474" s="50">
        <f t="shared" ca="1" si="337"/>
        <v>0</v>
      </c>
      <c r="AG474" s="50">
        <f t="shared" ca="1" si="337"/>
        <v>0</v>
      </c>
      <c r="AH474" s="50">
        <f t="shared" ca="1" si="337"/>
        <v>0</v>
      </c>
      <c r="AI474" s="50">
        <f t="shared" ca="1" si="337"/>
        <v>0</v>
      </c>
      <c r="AJ474" s="50">
        <f t="shared" ca="1" si="337"/>
        <v>0</v>
      </c>
      <c r="AK474" s="50">
        <f t="shared" ca="1" si="337"/>
        <v>0</v>
      </c>
      <c r="AL474" s="50">
        <f t="shared" si="337"/>
        <v>0</v>
      </c>
      <c r="AM474" s="50">
        <f t="shared" si="337"/>
        <v>0</v>
      </c>
      <c r="AN474" s="50">
        <f t="shared" si="337"/>
        <v>0</v>
      </c>
      <c r="AO474" s="50">
        <f t="shared" si="337"/>
        <v>0</v>
      </c>
      <c r="AP474" s="50">
        <f t="shared" si="337"/>
        <v>0</v>
      </c>
      <c r="AQ474" s="50">
        <f t="shared" si="337"/>
        <v>0</v>
      </c>
      <c r="AR474" s="50">
        <f t="shared" si="337"/>
        <v>0</v>
      </c>
      <c r="AS474" s="50">
        <f t="shared" si="337"/>
        <v>0</v>
      </c>
      <c r="AT474" s="50">
        <f t="shared" si="337"/>
        <v>0</v>
      </c>
      <c r="AU474" s="50">
        <f t="shared" si="337"/>
        <v>0</v>
      </c>
    </row>
    <row r="475" spans="1:47">
      <c r="A475" s="38" t="str">
        <f t="shared" si="331"/>
        <v>1X-</v>
      </c>
      <c r="B475" s="38" t="s">
        <v>864</v>
      </c>
      <c r="C475" s="38" t="str">
        <f t="shared" si="335"/>
        <v>Land Disposal</v>
      </c>
      <c r="D475" s="186">
        <f>GHGEsc</f>
        <v>0.02</v>
      </c>
      <c r="E475" s="325"/>
      <c r="G475" s="36" t="s">
        <v>865</v>
      </c>
      <c r="I475" s="39"/>
      <c r="K475" s="39"/>
      <c r="L475" s="43" t="s">
        <v>866</v>
      </c>
      <c r="N475" s="70">
        <f ca="1">SUMIFS(OFFSET(Assumptions!$I$90,0,MATCH($A475,Configurations,0)-1,COUNT(Assumptions!$A$90:$A$183),1),Assumptions!$D$90:$D$183,$B475&amp;$C475)</f>
        <v>0</v>
      </c>
      <c r="O475" s="313"/>
      <c r="P475" s="323"/>
      <c r="Q475" s="313"/>
      <c r="R475" s="50">
        <f t="shared" ref="R475:AU475" ca="1" si="338">IF(OR(R$99&lt;InServiceYr,R$99&gt;(InServiceYr+analysis_period-1)),0,IF($P475=0,$N475,$P475)*R$513)</f>
        <v>0</v>
      </c>
      <c r="S475" s="50">
        <f t="shared" ca="1" si="338"/>
        <v>0</v>
      </c>
      <c r="T475" s="50">
        <f t="shared" ca="1" si="338"/>
        <v>0</v>
      </c>
      <c r="U475" s="50">
        <f t="shared" ca="1" si="338"/>
        <v>0</v>
      </c>
      <c r="V475" s="50">
        <f t="shared" ca="1" si="338"/>
        <v>0</v>
      </c>
      <c r="W475" s="50">
        <f t="shared" ca="1" si="338"/>
        <v>0</v>
      </c>
      <c r="X475" s="50">
        <f t="shared" ca="1" si="338"/>
        <v>0</v>
      </c>
      <c r="Y475" s="50">
        <f t="shared" ca="1" si="338"/>
        <v>0</v>
      </c>
      <c r="Z475" s="50">
        <f t="shared" ca="1" si="338"/>
        <v>0</v>
      </c>
      <c r="AA475" s="50">
        <f t="shared" ca="1" si="338"/>
        <v>0</v>
      </c>
      <c r="AB475" s="50">
        <f t="shared" ca="1" si="338"/>
        <v>0</v>
      </c>
      <c r="AC475" s="50">
        <f t="shared" ca="1" si="338"/>
        <v>0</v>
      </c>
      <c r="AD475" s="50">
        <f t="shared" ca="1" si="338"/>
        <v>0</v>
      </c>
      <c r="AE475" s="50">
        <f t="shared" ca="1" si="338"/>
        <v>0</v>
      </c>
      <c r="AF475" s="50">
        <f t="shared" ca="1" si="338"/>
        <v>0</v>
      </c>
      <c r="AG475" s="50">
        <f t="shared" ca="1" si="338"/>
        <v>0</v>
      </c>
      <c r="AH475" s="50">
        <f t="shared" ca="1" si="338"/>
        <v>0</v>
      </c>
      <c r="AI475" s="50">
        <f t="shared" ca="1" si="338"/>
        <v>0</v>
      </c>
      <c r="AJ475" s="50">
        <f t="shared" ca="1" si="338"/>
        <v>0</v>
      </c>
      <c r="AK475" s="50">
        <f t="shared" ca="1" si="338"/>
        <v>0</v>
      </c>
      <c r="AL475" s="50">
        <f t="shared" si="338"/>
        <v>0</v>
      </c>
      <c r="AM475" s="50">
        <f t="shared" si="338"/>
        <v>0</v>
      </c>
      <c r="AN475" s="50">
        <f t="shared" si="338"/>
        <v>0</v>
      </c>
      <c r="AO475" s="50">
        <f t="shared" si="338"/>
        <v>0</v>
      </c>
      <c r="AP475" s="50">
        <f t="shared" si="338"/>
        <v>0</v>
      </c>
      <c r="AQ475" s="50">
        <f t="shared" si="338"/>
        <v>0</v>
      </c>
      <c r="AR475" s="50">
        <f t="shared" si="338"/>
        <v>0</v>
      </c>
      <c r="AS475" s="50">
        <f t="shared" si="338"/>
        <v>0</v>
      </c>
      <c r="AT475" s="50">
        <f t="shared" si="338"/>
        <v>0</v>
      </c>
      <c r="AU475" s="50">
        <f t="shared" si="338"/>
        <v>0</v>
      </c>
    </row>
    <row r="476" spans="1:47">
      <c r="A476" s="38" t="str">
        <f t="shared" si="331"/>
        <v>1X-</v>
      </c>
      <c r="B476" s="38" t="s">
        <v>273</v>
      </c>
      <c r="C476" s="38" t="str">
        <f>C474</f>
        <v>Land Disposal</v>
      </c>
      <c r="D476" s="186">
        <f>LaborEsc</f>
        <v>0.02</v>
      </c>
      <c r="E476" s="325"/>
      <c r="G476" s="36" t="s">
        <v>291</v>
      </c>
      <c r="I476" s="39"/>
      <c r="K476" s="39"/>
      <c r="L476" s="43" t="str">
        <f>"["&amp;CostBaseYr&amp;" $]"</f>
        <v>[2013 $]</v>
      </c>
      <c r="N476" s="70">
        <f ca="1">SUMIFS(OFFSET(Assumptions!$I$90,0,MATCH($A476,Configurations,0)-1,COUNT(Assumptions!$A$90:$A$183),1),Assumptions!$D$90:$D$183,$B476&amp;$C476)</f>
        <v>0</v>
      </c>
      <c r="O476" s="313"/>
      <c r="P476" s="323"/>
      <c r="Q476" s="313"/>
      <c r="R476" s="50">
        <f t="shared" ref="R476:AU476" ca="1" si="339">IF(OR(R$99&lt;InServiceYr,R$99&gt;(InServiceYr+analysis_period-1)),0,IF($P476=0,$N476,$P476)*(1+$D476)^(R$99-CostBaseYr))*R$509</f>
        <v>0</v>
      </c>
      <c r="S476" s="50">
        <f t="shared" ca="1" si="339"/>
        <v>0</v>
      </c>
      <c r="T476" s="50">
        <f t="shared" ca="1" si="339"/>
        <v>0</v>
      </c>
      <c r="U476" s="50">
        <f t="shared" ca="1" si="339"/>
        <v>0</v>
      </c>
      <c r="V476" s="50">
        <f t="shared" ca="1" si="339"/>
        <v>0</v>
      </c>
      <c r="W476" s="50">
        <f t="shared" ca="1" si="339"/>
        <v>0</v>
      </c>
      <c r="X476" s="50">
        <f t="shared" ca="1" si="339"/>
        <v>0</v>
      </c>
      <c r="Y476" s="50">
        <f t="shared" ca="1" si="339"/>
        <v>0</v>
      </c>
      <c r="Z476" s="50">
        <f t="shared" ca="1" si="339"/>
        <v>0</v>
      </c>
      <c r="AA476" s="50">
        <f t="shared" ca="1" si="339"/>
        <v>0</v>
      </c>
      <c r="AB476" s="50">
        <f t="shared" ca="1" si="339"/>
        <v>0</v>
      </c>
      <c r="AC476" s="50">
        <f t="shared" ca="1" si="339"/>
        <v>0</v>
      </c>
      <c r="AD476" s="50">
        <f t="shared" ca="1" si="339"/>
        <v>0</v>
      </c>
      <c r="AE476" s="50">
        <f t="shared" ca="1" si="339"/>
        <v>0</v>
      </c>
      <c r="AF476" s="50">
        <f t="shared" ca="1" si="339"/>
        <v>0</v>
      </c>
      <c r="AG476" s="50">
        <f t="shared" ca="1" si="339"/>
        <v>0</v>
      </c>
      <c r="AH476" s="50">
        <f t="shared" ca="1" si="339"/>
        <v>0</v>
      </c>
      <c r="AI476" s="50">
        <f t="shared" ca="1" si="339"/>
        <v>0</v>
      </c>
      <c r="AJ476" s="50">
        <f t="shared" ca="1" si="339"/>
        <v>0</v>
      </c>
      <c r="AK476" s="50">
        <f t="shared" ca="1" si="339"/>
        <v>0</v>
      </c>
      <c r="AL476" s="50">
        <f t="shared" si="339"/>
        <v>0</v>
      </c>
      <c r="AM476" s="50">
        <f t="shared" si="339"/>
        <v>0</v>
      </c>
      <c r="AN476" s="50">
        <f t="shared" si="339"/>
        <v>0</v>
      </c>
      <c r="AO476" s="50">
        <f t="shared" si="339"/>
        <v>0</v>
      </c>
      <c r="AP476" s="50">
        <f t="shared" si="339"/>
        <v>0</v>
      </c>
      <c r="AQ476" s="50">
        <f t="shared" si="339"/>
        <v>0</v>
      </c>
      <c r="AR476" s="50">
        <f t="shared" si="339"/>
        <v>0</v>
      </c>
      <c r="AS476" s="50">
        <f t="shared" si="339"/>
        <v>0</v>
      </c>
      <c r="AT476" s="50">
        <f t="shared" si="339"/>
        <v>0</v>
      </c>
      <c r="AU476" s="50">
        <f t="shared" si="339"/>
        <v>0</v>
      </c>
    </row>
    <row r="477" spans="1:47">
      <c r="D477" s="186"/>
      <c r="E477" s="325"/>
      <c r="G477" s="39" t="s">
        <v>304</v>
      </c>
      <c r="I477" s="39"/>
      <c r="K477" s="39"/>
      <c r="L477" s="43"/>
      <c r="N477" s="70"/>
      <c r="O477" s="313"/>
      <c r="P477" s="70"/>
      <c r="Q477" s="313"/>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row>
    <row r="478" spans="1:47">
      <c r="A478" s="38" t="str">
        <f>$J$4&amp;"-"</f>
        <v>1X-</v>
      </c>
      <c r="B478" s="38" t="s">
        <v>265</v>
      </c>
      <c r="C478" s="38" t="str">
        <f>C469</f>
        <v>Land Disposal</v>
      </c>
      <c r="D478" s="186"/>
      <c r="E478" s="325"/>
      <c r="G478" s="36" t="s">
        <v>108</v>
      </c>
      <c r="I478" s="39"/>
      <c r="K478" s="39"/>
      <c r="L478" s="43" t="s">
        <v>293</v>
      </c>
      <c r="N478" s="70">
        <f ca="1">SUMIFS(OFFSET(Assumptions!$I$90,0,MATCH($A478,Configurations,0)-1,COUNT(Assumptions!$A$90:$A$183),1),Assumptions!$D$90:$D$183,$B478&amp;$C478)</f>
        <v>0</v>
      </c>
      <c r="O478" s="313"/>
      <c r="P478" s="323"/>
      <c r="Q478" s="313"/>
      <c r="R478" s="50">
        <f t="shared" ref="R478:AU478" ca="1" si="340">IF(OR(R$99&lt;InServiceYr,R$99&gt;(InServiceYr+analysis_period-1)),0,IF($P478=0,$N478,$P478)*R$501)</f>
        <v>0</v>
      </c>
      <c r="S478" s="50">
        <f t="shared" ca="1" si="340"/>
        <v>0</v>
      </c>
      <c r="T478" s="50">
        <f t="shared" ca="1" si="340"/>
        <v>0</v>
      </c>
      <c r="U478" s="50">
        <f t="shared" ca="1" si="340"/>
        <v>0</v>
      </c>
      <c r="V478" s="50">
        <f t="shared" ca="1" si="340"/>
        <v>0</v>
      </c>
      <c r="W478" s="50">
        <f t="shared" ca="1" si="340"/>
        <v>0</v>
      </c>
      <c r="X478" s="50">
        <f t="shared" ca="1" si="340"/>
        <v>0</v>
      </c>
      <c r="Y478" s="50">
        <f t="shared" ca="1" si="340"/>
        <v>0</v>
      </c>
      <c r="Z478" s="50">
        <f t="shared" ca="1" si="340"/>
        <v>0</v>
      </c>
      <c r="AA478" s="50">
        <f t="shared" ca="1" si="340"/>
        <v>0</v>
      </c>
      <c r="AB478" s="50">
        <f t="shared" ca="1" si="340"/>
        <v>0</v>
      </c>
      <c r="AC478" s="50">
        <f t="shared" ca="1" si="340"/>
        <v>0</v>
      </c>
      <c r="AD478" s="50">
        <f t="shared" ca="1" si="340"/>
        <v>0</v>
      </c>
      <c r="AE478" s="50">
        <f t="shared" ca="1" si="340"/>
        <v>0</v>
      </c>
      <c r="AF478" s="50">
        <f t="shared" ca="1" si="340"/>
        <v>0</v>
      </c>
      <c r="AG478" s="50">
        <f t="shared" ca="1" si="340"/>
        <v>0</v>
      </c>
      <c r="AH478" s="50">
        <f t="shared" ca="1" si="340"/>
        <v>0</v>
      </c>
      <c r="AI478" s="50">
        <f t="shared" ca="1" si="340"/>
        <v>0</v>
      </c>
      <c r="AJ478" s="50">
        <f t="shared" ca="1" si="340"/>
        <v>0</v>
      </c>
      <c r="AK478" s="50">
        <f t="shared" ca="1" si="340"/>
        <v>0</v>
      </c>
      <c r="AL478" s="50">
        <f t="shared" si="340"/>
        <v>0</v>
      </c>
      <c r="AM478" s="50">
        <f t="shared" si="340"/>
        <v>0</v>
      </c>
      <c r="AN478" s="50">
        <f t="shared" si="340"/>
        <v>0</v>
      </c>
      <c r="AO478" s="50">
        <f t="shared" si="340"/>
        <v>0</v>
      </c>
      <c r="AP478" s="50">
        <f t="shared" si="340"/>
        <v>0</v>
      </c>
      <c r="AQ478" s="50">
        <f t="shared" si="340"/>
        <v>0</v>
      </c>
      <c r="AR478" s="50">
        <f t="shared" si="340"/>
        <v>0</v>
      </c>
      <c r="AS478" s="50">
        <f t="shared" si="340"/>
        <v>0</v>
      </c>
      <c r="AT478" s="50">
        <f t="shared" si="340"/>
        <v>0</v>
      </c>
      <c r="AU478" s="50">
        <f t="shared" si="340"/>
        <v>0</v>
      </c>
    </row>
    <row r="479" spans="1:47">
      <c r="A479" s="38" t="str">
        <f>$J$4&amp;"-"</f>
        <v>1X-</v>
      </c>
      <c r="B479" s="38" t="s">
        <v>289</v>
      </c>
      <c r="C479" s="38" t="str">
        <f>C469</f>
        <v>Land Disposal</v>
      </c>
      <c r="D479" s="186">
        <f>LaborEsc</f>
        <v>0.02</v>
      </c>
      <c r="E479" s="325"/>
      <c r="G479" s="36" t="s">
        <v>292</v>
      </c>
      <c r="I479" s="39"/>
      <c r="K479" s="39"/>
      <c r="L479" s="43" t="str">
        <f>"["&amp;CostBaseYr&amp;" $]"</f>
        <v>[2013 $]</v>
      </c>
      <c r="N479" s="70">
        <f ca="1">SUMIFS(OFFSET(Assumptions!$I$90,0,MATCH($A479,Configurations,0)-1,COUNT(Assumptions!$A$90:$A$183),1),Assumptions!$D$90:$D$183,$B479&amp;$C479)</f>
        <v>0</v>
      </c>
      <c r="O479" s="313"/>
      <c r="P479" s="323"/>
      <c r="Q479" s="313"/>
      <c r="R479" s="50">
        <f t="shared" ref="R479:AU479" ca="1" si="341">IF(OR(R$99&lt;InServiceYr,R$99&gt;(InServiceYr+analysis_period-1)),0,IF($P479=0,$N479,$P479)*(1+$D479)^(R$99-CostBaseYr))</f>
        <v>0</v>
      </c>
      <c r="S479" s="50">
        <f t="shared" ca="1" si="341"/>
        <v>0</v>
      </c>
      <c r="T479" s="50">
        <f t="shared" ca="1" si="341"/>
        <v>0</v>
      </c>
      <c r="U479" s="50">
        <f t="shared" ca="1" si="341"/>
        <v>0</v>
      </c>
      <c r="V479" s="50">
        <f t="shared" ca="1" si="341"/>
        <v>0</v>
      </c>
      <c r="W479" s="50">
        <f t="shared" ca="1" si="341"/>
        <v>0</v>
      </c>
      <c r="X479" s="50">
        <f t="shared" ca="1" si="341"/>
        <v>0</v>
      </c>
      <c r="Y479" s="50">
        <f t="shared" ca="1" si="341"/>
        <v>0</v>
      </c>
      <c r="Z479" s="50">
        <f t="shared" ca="1" si="341"/>
        <v>0</v>
      </c>
      <c r="AA479" s="50">
        <f t="shared" ca="1" si="341"/>
        <v>0</v>
      </c>
      <c r="AB479" s="50">
        <f t="shared" ca="1" si="341"/>
        <v>0</v>
      </c>
      <c r="AC479" s="50">
        <f t="shared" ca="1" si="341"/>
        <v>0</v>
      </c>
      <c r="AD479" s="50">
        <f t="shared" ca="1" si="341"/>
        <v>0</v>
      </c>
      <c r="AE479" s="50">
        <f t="shared" ca="1" si="341"/>
        <v>0</v>
      </c>
      <c r="AF479" s="50">
        <f t="shared" ca="1" si="341"/>
        <v>0</v>
      </c>
      <c r="AG479" s="50">
        <f t="shared" ca="1" si="341"/>
        <v>0</v>
      </c>
      <c r="AH479" s="50">
        <f t="shared" ca="1" si="341"/>
        <v>0</v>
      </c>
      <c r="AI479" s="50">
        <f t="shared" ca="1" si="341"/>
        <v>0</v>
      </c>
      <c r="AJ479" s="50">
        <f t="shared" ca="1" si="341"/>
        <v>0</v>
      </c>
      <c r="AK479" s="50">
        <f t="shared" ca="1" si="341"/>
        <v>0</v>
      </c>
      <c r="AL479" s="50">
        <f t="shared" si="341"/>
        <v>0</v>
      </c>
      <c r="AM479" s="50">
        <f t="shared" si="341"/>
        <v>0</v>
      </c>
      <c r="AN479" s="50">
        <f t="shared" si="341"/>
        <v>0</v>
      </c>
      <c r="AO479" s="50">
        <f t="shared" si="341"/>
        <v>0</v>
      </c>
      <c r="AP479" s="50">
        <f t="shared" si="341"/>
        <v>0</v>
      </c>
      <c r="AQ479" s="50">
        <f t="shared" si="341"/>
        <v>0</v>
      </c>
      <c r="AR479" s="50">
        <f t="shared" si="341"/>
        <v>0</v>
      </c>
      <c r="AS479" s="50">
        <f t="shared" si="341"/>
        <v>0</v>
      </c>
      <c r="AT479" s="50">
        <f t="shared" si="341"/>
        <v>0</v>
      </c>
      <c r="AU479" s="50">
        <f t="shared" si="341"/>
        <v>0</v>
      </c>
    </row>
    <row r="480" spans="1:47" s="60" customFormat="1">
      <c r="D480" s="187"/>
      <c r="E480" s="325"/>
      <c r="G480" s="39" t="s">
        <v>305</v>
      </c>
      <c r="I480" s="39"/>
      <c r="K480" s="39"/>
      <c r="L480" s="174"/>
      <c r="N480" s="188"/>
      <c r="O480" s="314"/>
      <c r="P480" s="185"/>
      <c r="Q480" s="314"/>
      <c r="R480" s="185">
        <f ca="1">SUM(R469:R476)-SUM(R478:R479)</f>
        <v>0</v>
      </c>
      <c r="S480" s="185">
        <f t="shared" ref="S480:AU480" ca="1" si="342">SUM(S469:S476)-SUM(S478:S479)</f>
        <v>0</v>
      </c>
      <c r="T480" s="185">
        <f t="shared" ca="1" si="342"/>
        <v>0</v>
      </c>
      <c r="U480" s="185">
        <f t="shared" ca="1" si="342"/>
        <v>0</v>
      </c>
      <c r="V480" s="185">
        <f t="shared" ca="1" si="342"/>
        <v>0</v>
      </c>
      <c r="W480" s="185">
        <f t="shared" ca="1" si="342"/>
        <v>0</v>
      </c>
      <c r="X480" s="185">
        <f t="shared" ca="1" si="342"/>
        <v>0</v>
      </c>
      <c r="Y480" s="185">
        <f t="shared" ca="1" si="342"/>
        <v>0</v>
      </c>
      <c r="Z480" s="185">
        <f t="shared" ca="1" si="342"/>
        <v>0</v>
      </c>
      <c r="AA480" s="185">
        <f t="shared" ca="1" si="342"/>
        <v>0</v>
      </c>
      <c r="AB480" s="185">
        <f t="shared" ca="1" si="342"/>
        <v>0</v>
      </c>
      <c r="AC480" s="185">
        <f t="shared" ca="1" si="342"/>
        <v>0</v>
      </c>
      <c r="AD480" s="185">
        <f t="shared" ca="1" si="342"/>
        <v>0</v>
      </c>
      <c r="AE480" s="185">
        <f t="shared" ca="1" si="342"/>
        <v>0</v>
      </c>
      <c r="AF480" s="185">
        <f t="shared" ca="1" si="342"/>
        <v>0</v>
      </c>
      <c r="AG480" s="185">
        <f t="shared" ca="1" si="342"/>
        <v>0</v>
      </c>
      <c r="AH480" s="185">
        <f t="shared" ca="1" si="342"/>
        <v>0</v>
      </c>
      <c r="AI480" s="185">
        <f t="shared" ca="1" si="342"/>
        <v>0</v>
      </c>
      <c r="AJ480" s="185">
        <f t="shared" ca="1" si="342"/>
        <v>0</v>
      </c>
      <c r="AK480" s="185">
        <f t="shared" ca="1" si="342"/>
        <v>0</v>
      </c>
      <c r="AL480" s="185">
        <f t="shared" si="342"/>
        <v>0</v>
      </c>
      <c r="AM480" s="185">
        <f t="shared" si="342"/>
        <v>0</v>
      </c>
      <c r="AN480" s="185">
        <f t="shared" si="342"/>
        <v>0</v>
      </c>
      <c r="AO480" s="185">
        <f t="shared" si="342"/>
        <v>0</v>
      </c>
      <c r="AP480" s="185">
        <f t="shared" si="342"/>
        <v>0</v>
      </c>
      <c r="AQ480" s="185">
        <f t="shared" si="342"/>
        <v>0</v>
      </c>
      <c r="AR480" s="185">
        <f t="shared" si="342"/>
        <v>0</v>
      </c>
      <c r="AS480" s="185">
        <f t="shared" si="342"/>
        <v>0</v>
      </c>
      <c r="AT480" s="185">
        <f t="shared" si="342"/>
        <v>0</v>
      </c>
      <c r="AU480" s="185">
        <f t="shared" si="342"/>
        <v>0</v>
      </c>
    </row>
    <row r="481" spans="1:47">
      <c r="E481" s="36"/>
      <c r="G481" s="39"/>
      <c r="H481" s="39"/>
      <c r="I481" s="39"/>
      <c r="J481" s="39"/>
      <c r="K481" s="39"/>
    </row>
    <row r="482" spans="1:47">
      <c r="E482" s="327"/>
      <c r="F482" s="28"/>
      <c r="G482" s="324" t="str">
        <f>C485&amp;" O&amp;M"</f>
        <v>General O&amp;M O&amp;M</v>
      </c>
      <c r="H482" s="324"/>
      <c r="I482" s="324"/>
      <c r="J482" s="324"/>
      <c r="K482" s="324"/>
      <c r="L482" s="405" t="s">
        <v>79</v>
      </c>
      <c r="M482" s="256"/>
      <c r="N482" s="325" t="s">
        <v>490</v>
      </c>
      <c r="O482" s="311"/>
      <c r="P482" s="325" t="s">
        <v>491</v>
      </c>
      <c r="Q482" s="310"/>
      <c r="R482" s="325">
        <f>R$8</f>
        <v>2014</v>
      </c>
      <c r="S482" s="325">
        <f t="shared" ref="S482:AU482" si="343">S$8</f>
        <v>2015</v>
      </c>
      <c r="T482" s="325">
        <f t="shared" si="343"/>
        <v>2016</v>
      </c>
      <c r="U482" s="325">
        <f t="shared" si="343"/>
        <v>2017</v>
      </c>
      <c r="V482" s="325">
        <f t="shared" si="343"/>
        <v>2018</v>
      </c>
      <c r="W482" s="325">
        <f t="shared" si="343"/>
        <v>2019</v>
      </c>
      <c r="X482" s="325">
        <f t="shared" si="343"/>
        <v>2020</v>
      </c>
      <c r="Y482" s="325">
        <f t="shared" si="343"/>
        <v>2021</v>
      </c>
      <c r="Z482" s="325">
        <f t="shared" si="343"/>
        <v>2022</v>
      </c>
      <c r="AA482" s="325">
        <f t="shared" si="343"/>
        <v>2023</v>
      </c>
      <c r="AB482" s="325">
        <f t="shared" si="343"/>
        <v>2024</v>
      </c>
      <c r="AC482" s="325">
        <f t="shared" si="343"/>
        <v>2025</v>
      </c>
      <c r="AD482" s="325">
        <f t="shared" si="343"/>
        <v>2026</v>
      </c>
      <c r="AE482" s="325">
        <f t="shared" si="343"/>
        <v>2027</v>
      </c>
      <c r="AF482" s="325">
        <f t="shared" si="343"/>
        <v>2028</v>
      </c>
      <c r="AG482" s="325">
        <f t="shared" si="343"/>
        <v>2029</v>
      </c>
      <c r="AH482" s="325">
        <f t="shared" si="343"/>
        <v>2030</v>
      </c>
      <c r="AI482" s="325">
        <f t="shared" si="343"/>
        <v>2031</v>
      </c>
      <c r="AJ482" s="325">
        <f t="shared" si="343"/>
        <v>2032</v>
      </c>
      <c r="AK482" s="325">
        <f t="shared" si="343"/>
        <v>2033</v>
      </c>
      <c r="AL482" s="325">
        <f t="shared" si="343"/>
        <v>2034</v>
      </c>
      <c r="AM482" s="325">
        <f t="shared" si="343"/>
        <v>2035</v>
      </c>
      <c r="AN482" s="325">
        <f t="shared" si="343"/>
        <v>2036</v>
      </c>
      <c r="AO482" s="325">
        <f t="shared" si="343"/>
        <v>2037</v>
      </c>
      <c r="AP482" s="325">
        <f t="shared" si="343"/>
        <v>2038</v>
      </c>
      <c r="AQ482" s="325">
        <f t="shared" si="343"/>
        <v>2039</v>
      </c>
      <c r="AR482" s="325">
        <f t="shared" si="343"/>
        <v>2040</v>
      </c>
      <c r="AS482" s="325">
        <f t="shared" si="343"/>
        <v>2041</v>
      </c>
      <c r="AT482" s="325">
        <f t="shared" si="343"/>
        <v>2042</v>
      </c>
      <c r="AU482" s="325">
        <f t="shared" si="343"/>
        <v>2043</v>
      </c>
    </row>
    <row r="483" spans="1:47">
      <c r="E483" s="325"/>
      <c r="G483" s="39"/>
      <c r="H483" s="39"/>
      <c r="I483" s="39"/>
      <c r="J483" s="39"/>
      <c r="K483" s="39"/>
    </row>
    <row r="484" spans="1:47">
      <c r="E484" s="325"/>
      <c r="G484" s="39" t="s">
        <v>23</v>
      </c>
      <c r="H484" s="39"/>
      <c r="I484" s="39"/>
      <c r="J484" s="39"/>
      <c r="K484" s="39"/>
    </row>
    <row r="485" spans="1:47">
      <c r="A485" s="38" t="str">
        <f t="shared" ref="A485:A492" si="344">$J$4&amp;"-"</f>
        <v>1X-</v>
      </c>
      <c r="B485" s="38" t="s">
        <v>262</v>
      </c>
      <c r="C485" s="38" t="s">
        <v>308</v>
      </c>
      <c r="D485" s="186">
        <f>LaborEsc</f>
        <v>0.02</v>
      </c>
      <c r="E485" s="325"/>
      <c r="G485" s="36" t="s">
        <v>125</v>
      </c>
      <c r="I485" s="39"/>
      <c r="K485" s="39"/>
      <c r="L485" s="43" t="s">
        <v>266</v>
      </c>
      <c r="N485" s="70">
        <f ca="1">SUMIFS(OFFSET(Assumptions!$I$90,0,MATCH($A485,Configurations,0)-1,COUNT(Assumptions!$A$90:$A$183),1),Assumptions!$D$90:$D$183,$B485&amp;$C485)</f>
        <v>0</v>
      </c>
      <c r="O485" s="313"/>
      <c r="P485" s="323"/>
      <c r="Q485" s="313"/>
      <c r="R485" s="50">
        <f t="shared" ref="R485:AU485" ca="1" si="345">IF(OR(R$99&lt;InServiceYr,R$99&gt;(InServiceYr+analysis_period-1)),0,IF($P485=0,$N485,$P485)*LaborCost*(1+$D485)^(R$99-CostBaseYr))</f>
        <v>0</v>
      </c>
      <c r="S485" s="50">
        <f t="shared" ca="1" si="345"/>
        <v>0</v>
      </c>
      <c r="T485" s="50">
        <f t="shared" ca="1" si="345"/>
        <v>0</v>
      </c>
      <c r="U485" s="50">
        <f t="shared" ca="1" si="345"/>
        <v>0</v>
      </c>
      <c r="V485" s="50">
        <f t="shared" ca="1" si="345"/>
        <v>0</v>
      </c>
      <c r="W485" s="50">
        <f t="shared" ca="1" si="345"/>
        <v>0</v>
      </c>
      <c r="X485" s="50">
        <f t="shared" ca="1" si="345"/>
        <v>0</v>
      </c>
      <c r="Y485" s="50">
        <f t="shared" ca="1" si="345"/>
        <v>0</v>
      </c>
      <c r="Z485" s="50">
        <f t="shared" ca="1" si="345"/>
        <v>0</v>
      </c>
      <c r="AA485" s="50">
        <f t="shared" ca="1" si="345"/>
        <v>0</v>
      </c>
      <c r="AB485" s="50">
        <f t="shared" ca="1" si="345"/>
        <v>0</v>
      </c>
      <c r="AC485" s="50">
        <f t="shared" ca="1" si="345"/>
        <v>0</v>
      </c>
      <c r="AD485" s="50">
        <f t="shared" ca="1" si="345"/>
        <v>0</v>
      </c>
      <c r="AE485" s="50">
        <f t="shared" ca="1" si="345"/>
        <v>0</v>
      </c>
      <c r="AF485" s="50">
        <f t="shared" ca="1" si="345"/>
        <v>0</v>
      </c>
      <c r="AG485" s="50">
        <f t="shared" ca="1" si="345"/>
        <v>0</v>
      </c>
      <c r="AH485" s="50">
        <f t="shared" ca="1" si="345"/>
        <v>0</v>
      </c>
      <c r="AI485" s="50">
        <f t="shared" ca="1" si="345"/>
        <v>0</v>
      </c>
      <c r="AJ485" s="50">
        <f t="shared" ca="1" si="345"/>
        <v>0</v>
      </c>
      <c r="AK485" s="50">
        <f t="shared" ca="1" si="345"/>
        <v>0</v>
      </c>
      <c r="AL485" s="50">
        <f t="shared" si="345"/>
        <v>0</v>
      </c>
      <c r="AM485" s="50">
        <f t="shared" si="345"/>
        <v>0</v>
      </c>
      <c r="AN485" s="50">
        <f t="shared" si="345"/>
        <v>0</v>
      </c>
      <c r="AO485" s="50">
        <f t="shared" si="345"/>
        <v>0</v>
      </c>
      <c r="AP485" s="50">
        <f t="shared" si="345"/>
        <v>0</v>
      </c>
      <c r="AQ485" s="50">
        <f t="shared" si="345"/>
        <v>0</v>
      </c>
      <c r="AR485" s="50">
        <f t="shared" si="345"/>
        <v>0</v>
      </c>
      <c r="AS485" s="50">
        <f t="shared" si="345"/>
        <v>0</v>
      </c>
      <c r="AT485" s="50">
        <f t="shared" si="345"/>
        <v>0</v>
      </c>
      <c r="AU485" s="50">
        <f t="shared" si="345"/>
        <v>0</v>
      </c>
    </row>
    <row r="486" spans="1:47">
      <c r="A486" s="38" t="str">
        <f t="shared" si="344"/>
        <v>1X-</v>
      </c>
      <c r="B486" s="38" t="s">
        <v>270</v>
      </c>
      <c r="C486" s="38" t="str">
        <f>C485</f>
        <v>General O&amp;M</v>
      </c>
      <c r="D486" s="186">
        <f>OMEsc</f>
        <v>0.02</v>
      </c>
      <c r="E486" s="325"/>
      <c r="G486" s="36" t="s">
        <v>126</v>
      </c>
      <c r="I486" s="39"/>
      <c r="K486" s="39"/>
      <c r="L486" s="43" t="str">
        <f>"["&amp;CostBaseYr&amp;" $]"</f>
        <v>[2013 $]</v>
      </c>
      <c r="N486" s="70">
        <f ca="1">SUMIFS(OFFSET(Assumptions!$I$90,0,MATCH($A486,Configurations,0)-1,COUNT(Assumptions!$A$90:$A$183),1),Assumptions!$D$90:$D$183,$B486&amp;$C486)</f>
        <v>0</v>
      </c>
      <c r="O486" s="313"/>
      <c r="P486" s="323"/>
      <c r="Q486" s="313"/>
      <c r="R486" s="50">
        <f t="shared" ref="R486:AG488" ca="1" si="346">IF(OR(R$99&lt;InServiceYr,R$99&gt;(InServiceYr+analysis_period-1)),0,IF($P486=0,$N486,$P486)*(1+$D486)^(R$99-CostBaseYr))</f>
        <v>0</v>
      </c>
      <c r="S486" s="50">
        <f t="shared" ca="1" si="346"/>
        <v>0</v>
      </c>
      <c r="T486" s="50">
        <f t="shared" ca="1" si="346"/>
        <v>0</v>
      </c>
      <c r="U486" s="50">
        <f t="shared" ca="1" si="346"/>
        <v>0</v>
      </c>
      <c r="V486" s="50">
        <f t="shared" ca="1" si="346"/>
        <v>0</v>
      </c>
      <c r="W486" s="50">
        <f t="shared" ca="1" si="346"/>
        <v>0</v>
      </c>
      <c r="X486" s="50">
        <f t="shared" ca="1" si="346"/>
        <v>0</v>
      </c>
      <c r="Y486" s="50">
        <f t="shared" ca="1" si="346"/>
        <v>0</v>
      </c>
      <c r="Z486" s="50">
        <f t="shared" ca="1" si="346"/>
        <v>0</v>
      </c>
      <c r="AA486" s="50">
        <f t="shared" ca="1" si="346"/>
        <v>0</v>
      </c>
      <c r="AB486" s="50">
        <f t="shared" ca="1" si="346"/>
        <v>0</v>
      </c>
      <c r="AC486" s="50">
        <f t="shared" ca="1" si="346"/>
        <v>0</v>
      </c>
      <c r="AD486" s="50">
        <f t="shared" ca="1" si="346"/>
        <v>0</v>
      </c>
      <c r="AE486" s="50">
        <f t="shared" ca="1" si="346"/>
        <v>0</v>
      </c>
      <c r="AF486" s="50">
        <f t="shared" ca="1" si="346"/>
        <v>0</v>
      </c>
      <c r="AG486" s="50">
        <f t="shared" ca="1" si="346"/>
        <v>0</v>
      </c>
      <c r="AH486" s="50">
        <f t="shared" ref="S486:AU488" ca="1" si="347">IF(OR(AH$99&lt;InServiceYr,AH$99&gt;(InServiceYr+analysis_period-1)),0,IF($P486=0,$N486,$P486)*(1+$D486)^(AH$99-CostBaseYr))</f>
        <v>0</v>
      </c>
      <c r="AI486" s="50">
        <f t="shared" ca="1" si="347"/>
        <v>0</v>
      </c>
      <c r="AJ486" s="50">
        <f t="shared" ca="1" si="347"/>
        <v>0</v>
      </c>
      <c r="AK486" s="50">
        <f t="shared" ca="1" si="347"/>
        <v>0</v>
      </c>
      <c r="AL486" s="50">
        <f t="shared" si="347"/>
        <v>0</v>
      </c>
      <c r="AM486" s="50">
        <f t="shared" si="347"/>
        <v>0</v>
      </c>
      <c r="AN486" s="50">
        <f t="shared" si="347"/>
        <v>0</v>
      </c>
      <c r="AO486" s="50">
        <f t="shared" si="347"/>
        <v>0</v>
      </c>
      <c r="AP486" s="50">
        <f t="shared" si="347"/>
        <v>0</v>
      </c>
      <c r="AQ486" s="50">
        <f t="shared" si="347"/>
        <v>0</v>
      </c>
      <c r="AR486" s="50">
        <f t="shared" si="347"/>
        <v>0</v>
      </c>
      <c r="AS486" s="50">
        <f t="shared" si="347"/>
        <v>0</v>
      </c>
      <c r="AT486" s="50">
        <f t="shared" si="347"/>
        <v>0</v>
      </c>
      <c r="AU486" s="50">
        <f t="shared" si="347"/>
        <v>0</v>
      </c>
    </row>
    <row r="487" spans="1:47">
      <c r="A487" s="38" t="str">
        <f t="shared" si="344"/>
        <v>1X-</v>
      </c>
      <c r="B487" s="38" t="s">
        <v>263</v>
      </c>
      <c r="C487" s="38" t="str">
        <f t="shared" ref="C487:C491" si="348">C486</f>
        <v>General O&amp;M</v>
      </c>
      <c r="D487" s="186">
        <f>OMEsc</f>
        <v>0.02</v>
      </c>
      <c r="E487" s="325"/>
      <c r="G487" s="36" t="s">
        <v>127</v>
      </c>
      <c r="I487" s="39"/>
      <c r="K487" s="39"/>
      <c r="L487" s="43" t="str">
        <f>"["&amp;CostBaseYr&amp;" $]"</f>
        <v>[2013 $]</v>
      </c>
      <c r="N487" s="70">
        <f ca="1">SUMIFS(OFFSET(Assumptions!$I$90,0,MATCH($A487,Configurations,0)-1,COUNT(Assumptions!$A$90:$A$183),1),Assumptions!$D$90:$D$183,$B487&amp;$C487)</f>
        <v>120000</v>
      </c>
      <c r="O487" s="313"/>
      <c r="P487" s="323"/>
      <c r="Q487" s="313"/>
      <c r="R487" s="50">
        <f t="shared" ca="1" si="346"/>
        <v>122400</v>
      </c>
      <c r="S487" s="50">
        <f t="shared" ca="1" si="347"/>
        <v>124848</v>
      </c>
      <c r="T487" s="50">
        <f t="shared" ca="1" si="347"/>
        <v>127344.95999999999</v>
      </c>
      <c r="U487" s="50">
        <f t="shared" ca="1" si="347"/>
        <v>129891.85919999999</v>
      </c>
      <c r="V487" s="50">
        <f t="shared" ca="1" si="347"/>
        <v>132489.69638400001</v>
      </c>
      <c r="W487" s="50">
        <f t="shared" ca="1" si="347"/>
        <v>135139.49031168001</v>
      </c>
      <c r="X487" s="50">
        <f t="shared" ca="1" si="347"/>
        <v>137842.28011791359</v>
      </c>
      <c r="Y487" s="50">
        <f t="shared" ca="1" si="347"/>
        <v>140599.12572027187</v>
      </c>
      <c r="Z487" s="50">
        <f t="shared" ca="1" si="347"/>
        <v>143411.10823467729</v>
      </c>
      <c r="AA487" s="50">
        <f t="shared" ca="1" si="347"/>
        <v>146279.33039937084</v>
      </c>
      <c r="AB487" s="50">
        <f t="shared" ca="1" si="347"/>
        <v>149204.91700735825</v>
      </c>
      <c r="AC487" s="50">
        <f t="shared" ca="1" si="347"/>
        <v>152189.01534750542</v>
      </c>
      <c r="AD487" s="50">
        <f t="shared" ca="1" si="347"/>
        <v>155232.79565445552</v>
      </c>
      <c r="AE487" s="50">
        <f t="shared" ca="1" si="347"/>
        <v>158337.45156754466</v>
      </c>
      <c r="AF487" s="50">
        <f t="shared" ca="1" si="347"/>
        <v>161504.20059889552</v>
      </c>
      <c r="AG487" s="50">
        <f t="shared" ca="1" si="347"/>
        <v>164734.28461087344</v>
      </c>
      <c r="AH487" s="50">
        <f t="shared" ca="1" si="347"/>
        <v>168028.97030309093</v>
      </c>
      <c r="AI487" s="50">
        <f t="shared" ca="1" si="347"/>
        <v>171389.54970915272</v>
      </c>
      <c r="AJ487" s="50">
        <f t="shared" ca="1" si="347"/>
        <v>174817.34070333577</v>
      </c>
      <c r="AK487" s="50">
        <f t="shared" ca="1" si="347"/>
        <v>178313.68751740252</v>
      </c>
      <c r="AL487" s="50">
        <f t="shared" si="347"/>
        <v>0</v>
      </c>
      <c r="AM487" s="50">
        <f t="shared" si="347"/>
        <v>0</v>
      </c>
      <c r="AN487" s="50">
        <f t="shared" si="347"/>
        <v>0</v>
      </c>
      <c r="AO487" s="50">
        <f t="shared" si="347"/>
        <v>0</v>
      </c>
      <c r="AP487" s="50">
        <f t="shared" si="347"/>
        <v>0</v>
      </c>
      <c r="AQ487" s="50">
        <f t="shared" si="347"/>
        <v>0</v>
      </c>
      <c r="AR487" s="50">
        <f t="shared" si="347"/>
        <v>0</v>
      </c>
      <c r="AS487" s="50">
        <f t="shared" si="347"/>
        <v>0</v>
      </c>
      <c r="AT487" s="50">
        <f t="shared" si="347"/>
        <v>0</v>
      </c>
      <c r="AU487" s="50">
        <f t="shared" si="347"/>
        <v>0</v>
      </c>
    </row>
    <row r="488" spans="1:47">
      <c r="A488" s="38" t="str">
        <f t="shared" si="344"/>
        <v>1X-</v>
      </c>
      <c r="B488" s="38" t="s">
        <v>277</v>
      </c>
      <c r="C488" s="38" t="str">
        <f t="shared" si="348"/>
        <v>General O&amp;M</v>
      </c>
      <c r="D488" s="186">
        <f>OMEsc</f>
        <v>0.02</v>
      </c>
      <c r="E488" s="325"/>
      <c r="G488" s="36" t="s">
        <v>276</v>
      </c>
      <c r="I488" s="39"/>
      <c r="K488" s="39"/>
      <c r="L488" s="43" t="str">
        <f>"["&amp;CostBaseYr&amp;" $]"</f>
        <v>[2013 $]</v>
      </c>
      <c r="N488" s="70">
        <f ca="1">SUMIFS(OFFSET(Assumptions!$I$90,0,MATCH($A488,Configurations,0)-1,COUNT(Assumptions!$A$90:$A$183),1),Assumptions!$D$90:$D$183,$B488&amp;$C488)</f>
        <v>0</v>
      </c>
      <c r="O488" s="313"/>
      <c r="P488" s="323"/>
      <c r="Q488" s="313"/>
      <c r="R488" s="50">
        <f t="shared" ca="1" si="346"/>
        <v>0</v>
      </c>
      <c r="S488" s="50">
        <f t="shared" ca="1" si="347"/>
        <v>0</v>
      </c>
      <c r="T488" s="50">
        <f t="shared" ca="1" si="347"/>
        <v>0</v>
      </c>
      <c r="U488" s="50">
        <f t="shared" ca="1" si="347"/>
        <v>0</v>
      </c>
      <c r="V488" s="50">
        <f t="shared" ca="1" si="347"/>
        <v>0</v>
      </c>
      <c r="W488" s="50">
        <f t="shared" ca="1" si="347"/>
        <v>0</v>
      </c>
      <c r="X488" s="50">
        <f t="shared" ca="1" si="347"/>
        <v>0</v>
      </c>
      <c r="Y488" s="50">
        <f t="shared" ca="1" si="347"/>
        <v>0</v>
      </c>
      <c r="Z488" s="50">
        <f t="shared" ca="1" si="347"/>
        <v>0</v>
      </c>
      <c r="AA488" s="50">
        <f t="shared" ca="1" si="347"/>
        <v>0</v>
      </c>
      <c r="AB488" s="50">
        <f t="shared" ca="1" si="347"/>
        <v>0</v>
      </c>
      <c r="AC488" s="50">
        <f t="shared" ca="1" si="347"/>
        <v>0</v>
      </c>
      <c r="AD488" s="50">
        <f t="shared" ca="1" si="347"/>
        <v>0</v>
      </c>
      <c r="AE488" s="50">
        <f t="shared" ca="1" si="347"/>
        <v>0</v>
      </c>
      <c r="AF488" s="50">
        <f t="shared" ca="1" si="347"/>
        <v>0</v>
      </c>
      <c r="AG488" s="50">
        <f t="shared" ca="1" si="347"/>
        <v>0</v>
      </c>
      <c r="AH488" s="50">
        <f t="shared" ca="1" si="347"/>
        <v>0</v>
      </c>
      <c r="AI488" s="50">
        <f t="shared" ca="1" si="347"/>
        <v>0</v>
      </c>
      <c r="AJ488" s="50">
        <f t="shared" ca="1" si="347"/>
        <v>0</v>
      </c>
      <c r="AK488" s="50">
        <f t="shared" ca="1" si="347"/>
        <v>0</v>
      </c>
      <c r="AL488" s="50">
        <f t="shared" si="347"/>
        <v>0</v>
      </c>
      <c r="AM488" s="50">
        <f t="shared" si="347"/>
        <v>0</v>
      </c>
      <c r="AN488" s="50">
        <f t="shared" si="347"/>
        <v>0</v>
      </c>
      <c r="AO488" s="50">
        <f t="shared" si="347"/>
        <v>0</v>
      </c>
      <c r="AP488" s="50">
        <f t="shared" si="347"/>
        <v>0</v>
      </c>
      <c r="AQ488" s="50">
        <f t="shared" si="347"/>
        <v>0</v>
      </c>
      <c r="AR488" s="50">
        <f t="shared" si="347"/>
        <v>0</v>
      </c>
      <c r="AS488" s="50">
        <f t="shared" si="347"/>
        <v>0</v>
      </c>
      <c r="AT488" s="50">
        <f t="shared" si="347"/>
        <v>0</v>
      </c>
      <c r="AU488" s="50">
        <f t="shared" si="347"/>
        <v>0</v>
      </c>
    </row>
    <row r="489" spans="1:47">
      <c r="A489" s="38" t="str">
        <f t="shared" si="344"/>
        <v>1X-</v>
      </c>
      <c r="B489" s="38" t="s">
        <v>274</v>
      </c>
      <c r="C489" s="38" t="str">
        <f t="shared" si="348"/>
        <v>General O&amp;M</v>
      </c>
      <c r="D489" s="186"/>
      <c r="E489" s="325"/>
      <c r="G489" s="36" t="s">
        <v>16</v>
      </c>
      <c r="I489" s="39"/>
      <c r="K489" s="39"/>
      <c r="L489" s="43" t="s">
        <v>275</v>
      </c>
      <c r="N489" s="70">
        <f ca="1">SUMIFS(OFFSET(Assumptions!$I$90,0,MATCH($A489,Configurations,0)-1,COUNT(Assumptions!$A$90:$A$183),1),Assumptions!$D$90:$D$183,$B489&amp;$C489)</f>
        <v>0</v>
      </c>
      <c r="O489" s="313"/>
      <c r="P489" s="323"/>
      <c r="Q489" s="313"/>
      <c r="R489" s="50">
        <f t="shared" ref="R489:AU489" ca="1" si="349">IF(OR(R$99&lt;InServiceYr,R$99&gt;(InServiceYr+analysis_period-1)),0,IF($P489=0,$N489,$P489)*R$505)</f>
        <v>0</v>
      </c>
      <c r="S489" s="50">
        <f t="shared" ca="1" si="349"/>
        <v>0</v>
      </c>
      <c r="T489" s="50">
        <f t="shared" ca="1" si="349"/>
        <v>0</v>
      </c>
      <c r="U489" s="50">
        <f t="shared" ca="1" si="349"/>
        <v>0</v>
      </c>
      <c r="V489" s="50">
        <f t="shared" ca="1" si="349"/>
        <v>0</v>
      </c>
      <c r="W489" s="50">
        <f t="shared" ca="1" si="349"/>
        <v>0</v>
      </c>
      <c r="X489" s="50">
        <f t="shared" ca="1" si="349"/>
        <v>0</v>
      </c>
      <c r="Y489" s="50">
        <f t="shared" ca="1" si="349"/>
        <v>0</v>
      </c>
      <c r="Z489" s="50">
        <f t="shared" ca="1" si="349"/>
        <v>0</v>
      </c>
      <c r="AA489" s="50">
        <f t="shared" ca="1" si="349"/>
        <v>0</v>
      </c>
      <c r="AB489" s="50">
        <f t="shared" ca="1" si="349"/>
        <v>0</v>
      </c>
      <c r="AC489" s="50">
        <f t="shared" ca="1" si="349"/>
        <v>0</v>
      </c>
      <c r="AD489" s="50">
        <f t="shared" ca="1" si="349"/>
        <v>0</v>
      </c>
      <c r="AE489" s="50">
        <f t="shared" ca="1" si="349"/>
        <v>0</v>
      </c>
      <c r="AF489" s="50">
        <f t="shared" ca="1" si="349"/>
        <v>0</v>
      </c>
      <c r="AG489" s="50">
        <f t="shared" ca="1" si="349"/>
        <v>0</v>
      </c>
      <c r="AH489" s="50">
        <f t="shared" ca="1" si="349"/>
        <v>0</v>
      </c>
      <c r="AI489" s="50">
        <f t="shared" ca="1" si="349"/>
        <v>0</v>
      </c>
      <c r="AJ489" s="50">
        <f t="shared" ca="1" si="349"/>
        <v>0</v>
      </c>
      <c r="AK489" s="50">
        <f t="shared" ca="1" si="349"/>
        <v>0</v>
      </c>
      <c r="AL489" s="50">
        <f t="shared" si="349"/>
        <v>0</v>
      </c>
      <c r="AM489" s="50">
        <f t="shared" si="349"/>
        <v>0</v>
      </c>
      <c r="AN489" s="50">
        <f t="shared" si="349"/>
        <v>0</v>
      </c>
      <c r="AO489" s="50">
        <f t="shared" si="349"/>
        <v>0</v>
      </c>
      <c r="AP489" s="50">
        <f t="shared" si="349"/>
        <v>0</v>
      </c>
      <c r="AQ489" s="50">
        <f t="shared" si="349"/>
        <v>0</v>
      </c>
      <c r="AR489" s="50">
        <f t="shared" si="349"/>
        <v>0</v>
      </c>
      <c r="AS489" s="50">
        <f t="shared" si="349"/>
        <v>0</v>
      </c>
      <c r="AT489" s="50">
        <f t="shared" si="349"/>
        <v>0</v>
      </c>
      <c r="AU489" s="50">
        <f t="shared" si="349"/>
        <v>0</v>
      </c>
    </row>
    <row r="490" spans="1:47">
      <c r="A490" s="38" t="str">
        <f t="shared" si="344"/>
        <v>1X-</v>
      </c>
      <c r="B490" s="38" t="s">
        <v>257</v>
      </c>
      <c r="C490" s="38" t="str">
        <f t="shared" si="348"/>
        <v>General O&amp;M</v>
      </c>
      <c r="D490" s="186"/>
      <c r="E490" s="325"/>
      <c r="G490" s="36" t="s">
        <v>284</v>
      </c>
      <c r="I490" s="39"/>
      <c r="K490" s="39"/>
      <c r="L490" s="43" t="s">
        <v>293</v>
      </c>
      <c r="N490" s="70">
        <f ca="1">SUMIFS(OFFSET(Assumptions!$I$90,0,MATCH($A490,Configurations,0)-1,COUNT(Assumptions!$A$90:$A$183),1),Assumptions!$D$90:$D$183,$B490&amp;$C490)</f>
        <v>0</v>
      </c>
      <c r="O490" s="313"/>
      <c r="P490" s="323"/>
      <c r="Q490" s="313"/>
      <c r="R490" s="50">
        <f t="shared" ref="R490:AU490" ca="1" si="350">IF(OR(R$99&lt;InServiceYr,R$99&gt;(InServiceYr+analysis_period-1)),0,IF($P490=0,$N490,$P490)*R$501)</f>
        <v>0</v>
      </c>
      <c r="S490" s="50">
        <f t="shared" ca="1" si="350"/>
        <v>0</v>
      </c>
      <c r="T490" s="50">
        <f t="shared" ca="1" si="350"/>
        <v>0</v>
      </c>
      <c r="U490" s="50">
        <f t="shared" ca="1" si="350"/>
        <v>0</v>
      </c>
      <c r="V490" s="50">
        <f t="shared" ca="1" si="350"/>
        <v>0</v>
      </c>
      <c r="W490" s="50">
        <f t="shared" ca="1" si="350"/>
        <v>0</v>
      </c>
      <c r="X490" s="50">
        <f t="shared" ca="1" si="350"/>
        <v>0</v>
      </c>
      <c r="Y490" s="50">
        <f t="shared" ca="1" si="350"/>
        <v>0</v>
      </c>
      <c r="Z490" s="50">
        <f t="shared" ca="1" si="350"/>
        <v>0</v>
      </c>
      <c r="AA490" s="50">
        <f t="shared" ca="1" si="350"/>
        <v>0</v>
      </c>
      <c r="AB490" s="50">
        <f t="shared" ca="1" si="350"/>
        <v>0</v>
      </c>
      <c r="AC490" s="50">
        <f t="shared" ca="1" si="350"/>
        <v>0</v>
      </c>
      <c r="AD490" s="50">
        <f t="shared" ca="1" si="350"/>
        <v>0</v>
      </c>
      <c r="AE490" s="50">
        <f t="shared" ca="1" si="350"/>
        <v>0</v>
      </c>
      <c r="AF490" s="50">
        <f t="shared" ca="1" si="350"/>
        <v>0</v>
      </c>
      <c r="AG490" s="50">
        <f t="shared" ca="1" si="350"/>
        <v>0</v>
      </c>
      <c r="AH490" s="50">
        <f t="shared" ca="1" si="350"/>
        <v>0</v>
      </c>
      <c r="AI490" s="50">
        <f t="shared" ca="1" si="350"/>
        <v>0</v>
      </c>
      <c r="AJ490" s="50">
        <f t="shared" ca="1" si="350"/>
        <v>0</v>
      </c>
      <c r="AK490" s="50">
        <f t="shared" ca="1" si="350"/>
        <v>0</v>
      </c>
      <c r="AL490" s="50">
        <f t="shared" si="350"/>
        <v>0</v>
      </c>
      <c r="AM490" s="50">
        <f t="shared" si="350"/>
        <v>0</v>
      </c>
      <c r="AN490" s="50">
        <f t="shared" si="350"/>
        <v>0</v>
      </c>
      <c r="AO490" s="50">
        <f t="shared" si="350"/>
        <v>0</v>
      </c>
      <c r="AP490" s="50">
        <f t="shared" si="350"/>
        <v>0</v>
      </c>
      <c r="AQ490" s="50">
        <f t="shared" si="350"/>
        <v>0</v>
      </c>
      <c r="AR490" s="50">
        <f t="shared" si="350"/>
        <v>0</v>
      </c>
      <c r="AS490" s="50">
        <f t="shared" si="350"/>
        <v>0</v>
      </c>
      <c r="AT490" s="50">
        <f t="shared" si="350"/>
        <v>0</v>
      </c>
      <c r="AU490" s="50">
        <f t="shared" si="350"/>
        <v>0</v>
      </c>
    </row>
    <row r="491" spans="1:47">
      <c r="A491" s="38" t="str">
        <f t="shared" si="344"/>
        <v>1X-</v>
      </c>
      <c r="B491" s="38" t="s">
        <v>864</v>
      </c>
      <c r="C491" s="38" t="str">
        <f t="shared" si="348"/>
        <v>General O&amp;M</v>
      </c>
      <c r="D491" s="186">
        <f>GHGEsc</f>
        <v>0.02</v>
      </c>
      <c r="E491" s="325"/>
      <c r="G491" s="36" t="s">
        <v>865</v>
      </c>
      <c r="I491" s="39"/>
      <c r="K491" s="39"/>
      <c r="L491" s="43" t="s">
        <v>866</v>
      </c>
      <c r="N491" s="70">
        <f ca="1">SUMIFS(OFFSET(Assumptions!$I$90,0,MATCH($A491,Configurations,0)-1,COUNT(Assumptions!$A$90:$A$183),1),Assumptions!$D$90:$D$183,$B491&amp;$C491)</f>
        <v>0</v>
      </c>
      <c r="O491" s="313"/>
      <c r="P491" s="323"/>
      <c r="Q491" s="313"/>
      <c r="R491" s="50">
        <f t="shared" ref="R491:AU491" ca="1" si="351">IF(OR(R$99&lt;InServiceYr,R$99&gt;(InServiceYr+analysis_period-1)),0,IF($P491=0,$N491,$P491)*R$513)</f>
        <v>0</v>
      </c>
      <c r="S491" s="50">
        <f t="shared" ca="1" si="351"/>
        <v>0</v>
      </c>
      <c r="T491" s="50">
        <f t="shared" ca="1" si="351"/>
        <v>0</v>
      </c>
      <c r="U491" s="50">
        <f t="shared" ca="1" si="351"/>
        <v>0</v>
      </c>
      <c r="V491" s="50">
        <f t="shared" ca="1" si="351"/>
        <v>0</v>
      </c>
      <c r="W491" s="50">
        <f t="shared" ca="1" si="351"/>
        <v>0</v>
      </c>
      <c r="X491" s="50">
        <f t="shared" ca="1" si="351"/>
        <v>0</v>
      </c>
      <c r="Y491" s="50">
        <f t="shared" ca="1" si="351"/>
        <v>0</v>
      </c>
      <c r="Z491" s="50">
        <f t="shared" ca="1" si="351"/>
        <v>0</v>
      </c>
      <c r="AA491" s="50">
        <f t="shared" ca="1" si="351"/>
        <v>0</v>
      </c>
      <c r="AB491" s="50">
        <f t="shared" ca="1" si="351"/>
        <v>0</v>
      </c>
      <c r="AC491" s="50">
        <f t="shared" ca="1" si="351"/>
        <v>0</v>
      </c>
      <c r="AD491" s="50">
        <f t="shared" ca="1" si="351"/>
        <v>0</v>
      </c>
      <c r="AE491" s="50">
        <f t="shared" ca="1" si="351"/>
        <v>0</v>
      </c>
      <c r="AF491" s="50">
        <f t="shared" ca="1" si="351"/>
        <v>0</v>
      </c>
      <c r="AG491" s="50">
        <f t="shared" ca="1" si="351"/>
        <v>0</v>
      </c>
      <c r="AH491" s="50">
        <f t="shared" ca="1" si="351"/>
        <v>0</v>
      </c>
      <c r="AI491" s="50">
        <f t="shared" ca="1" si="351"/>
        <v>0</v>
      </c>
      <c r="AJ491" s="50">
        <f t="shared" ca="1" si="351"/>
        <v>0</v>
      </c>
      <c r="AK491" s="50">
        <f t="shared" ca="1" si="351"/>
        <v>0</v>
      </c>
      <c r="AL491" s="50">
        <f t="shared" si="351"/>
        <v>0</v>
      </c>
      <c r="AM491" s="50">
        <f t="shared" si="351"/>
        <v>0</v>
      </c>
      <c r="AN491" s="50">
        <f t="shared" si="351"/>
        <v>0</v>
      </c>
      <c r="AO491" s="50">
        <f t="shared" si="351"/>
        <v>0</v>
      </c>
      <c r="AP491" s="50">
        <f t="shared" si="351"/>
        <v>0</v>
      </c>
      <c r="AQ491" s="50">
        <f t="shared" si="351"/>
        <v>0</v>
      </c>
      <c r="AR491" s="50">
        <f t="shared" si="351"/>
        <v>0</v>
      </c>
      <c r="AS491" s="50">
        <f t="shared" si="351"/>
        <v>0</v>
      </c>
      <c r="AT491" s="50">
        <f t="shared" si="351"/>
        <v>0</v>
      </c>
      <c r="AU491" s="50">
        <f t="shared" si="351"/>
        <v>0</v>
      </c>
    </row>
    <row r="492" spans="1:47">
      <c r="A492" s="38" t="str">
        <f t="shared" si="344"/>
        <v>1X-</v>
      </c>
      <c r="B492" s="38" t="s">
        <v>273</v>
      </c>
      <c r="C492" s="38" t="str">
        <f>C490</f>
        <v>General O&amp;M</v>
      </c>
      <c r="D492" s="186">
        <f>LaborEsc</f>
        <v>0.02</v>
      </c>
      <c r="E492" s="325"/>
      <c r="G492" s="36" t="s">
        <v>291</v>
      </c>
      <c r="I492" s="39"/>
      <c r="K492" s="39"/>
      <c r="L492" s="43" t="str">
        <f>"["&amp;CostBaseYr&amp;" $]"</f>
        <v>[2013 $]</v>
      </c>
      <c r="N492" s="70">
        <f ca="1">SUMIFS(OFFSET(Assumptions!$I$90,0,MATCH($A492,Configurations,0)-1,COUNT(Assumptions!$A$90:$A$183),1),Assumptions!$D$90:$D$183,$B492&amp;$C492)</f>
        <v>0</v>
      </c>
      <c r="O492" s="313"/>
      <c r="P492" s="323"/>
      <c r="Q492" s="313"/>
      <c r="R492" s="50">
        <f t="shared" ref="R492:AU492" ca="1" si="352">IF(OR(R$99&lt;InServiceYr,R$99&gt;(InServiceYr+analysis_period-1)),0,IF($P492=0,$N492,$P492)*(1+$D492)^(R$99-CostBaseYr))*R$509</f>
        <v>0</v>
      </c>
      <c r="S492" s="50">
        <f t="shared" ca="1" si="352"/>
        <v>0</v>
      </c>
      <c r="T492" s="50">
        <f t="shared" ca="1" si="352"/>
        <v>0</v>
      </c>
      <c r="U492" s="50">
        <f t="shared" ca="1" si="352"/>
        <v>0</v>
      </c>
      <c r="V492" s="50">
        <f t="shared" ca="1" si="352"/>
        <v>0</v>
      </c>
      <c r="W492" s="50">
        <f t="shared" ca="1" si="352"/>
        <v>0</v>
      </c>
      <c r="X492" s="50">
        <f t="shared" ca="1" si="352"/>
        <v>0</v>
      </c>
      <c r="Y492" s="50">
        <f t="shared" ca="1" si="352"/>
        <v>0</v>
      </c>
      <c r="Z492" s="50">
        <f t="shared" ca="1" si="352"/>
        <v>0</v>
      </c>
      <c r="AA492" s="50">
        <f t="shared" ca="1" si="352"/>
        <v>0</v>
      </c>
      <c r="AB492" s="50">
        <f t="shared" ca="1" si="352"/>
        <v>0</v>
      </c>
      <c r="AC492" s="50">
        <f t="shared" ca="1" si="352"/>
        <v>0</v>
      </c>
      <c r="AD492" s="50">
        <f t="shared" ca="1" si="352"/>
        <v>0</v>
      </c>
      <c r="AE492" s="50">
        <f t="shared" ca="1" si="352"/>
        <v>0</v>
      </c>
      <c r="AF492" s="50">
        <f t="shared" ca="1" si="352"/>
        <v>0</v>
      </c>
      <c r="AG492" s="50">
        <f t="shared" ca="1" si="352"/>
        <v>0</v>
      </c>
      <c r="AH492" s="50">
        <f t="shared" ca="1" si="352"/>
        <v>0</v>
      </c>
      <c r="AI492" s="50">
        <f t="shared" ca="1" si="352"/>
        <v>0</v>
      </c>
      <c r="AJ492" s="50">
        <f t="shared" ca="1" si="352"/>
        <v>0</v>
      </c>
      <c r="AK492" s="50">
        <f t="shared" ca="1" si="352"/>
        <v>0</v>
      </c>
      <c r="AL492" s="50">
        <f t="shared" si="352"/>
        <v>0</v>
      </c>
      <c r="AM492" s="50">
        <f t="shared" si="352"/>
        <v>0</v>
      </c>
      <c r="AN492" s="50">
        <f t="shared" si="352"/>
        <v>0</v>
      </c>
      <c r="AO492" s="50">
        <f t="shared" si="352"/>
        <v>0</v>
      </c>
      <c r="AP492" s="50">
        <f t="shared" si="352"/>
        <v>0</v>
      </c>
      <c r="AQ492" s="50">
        <f t="shared" si="352"/>
        <v>0</v>
      </c>
      <c r="AR492" s="50">
        <f t="shared" si="352"/>
        <v>0</v>
      </c>
      <c r="AS492" s="50">
        <f t="shared" si="352"/>
        <v>0</v>
      </c>
      <c r="AT492" s="50">
        <f t="shared" si="352"/>
        <v>0</v>
      </c>
      <c r="AU492" s="50">
        <f t="shared" si="352"/>
        <v>0</v>
      </c>
    </row>
    <row r="493" spans="1:47">
      <c r="D493" s="186"/>
      <c r="E493" s="325"/>
      <c r="G493" s="39" t="s">
        <v>304</v>
      </c>
      <c r="I493" s="39"/>
      <c r="K493" s="39"/>
      <c r="L493" s="43"/>
      <c r="N493" s="70"/>
      <c r="O493" s="313"/>
      <c r="P493" s="70"/>
      <c r="Q493" s="313"/>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row>
    <row r="494" spans="1:47">
      <c r="A494" s="38" t="str">
        <f>$J$4&amp;"-"</f>
        <v>1X-</v>
      </c>
      <c r="B494" s="38" t="s">
        <v>265</v>
      </c>
      <c r="C494" s="38" t="str">
        <f>C485</f>
        <v>General O&amp;M</v>
      </c>
      <c r="D494" s="186"/>
      <c r="E494" s="325"/>
      <c r="G494" s="36" t="s">
        <v>108</v>
      </c>
      <c r="I494" s="39"/>
      <c r="K494" s="39"/>
      <c r="L494" s="43" t="s">
        <v>293</v>
      </c>
      <c r="N494" s="70">
        <f ca="1">SUMIFS(OFFSET(Assumptions!$I$90,0,MATCH($A494,Configurations,0)-1,COUNT(Assumptions!$A$90:$A$183),1),Assumptions!$D$90:$D$183,$B494&amp;$C494)</f>
        <v>0</v>
      </c>
      <c r="O494" s="313"/>
      <c r="P494" s="323"/>
      <c r="Q494" s="313"/>
      <c r="R494" s="50">
        <f t="shared" ref="R494:AU494" ca="1" si="353">IF(OR(R$99&lt;InServiceYr,R$99&gt;(InServiceYr+analysis_period-1)),0,IF($P494=0,$N494,$P494)*R$501)</f>
        <v>0</v>
      </c>
      <c r="S494" s="50">
        <f t="shared" ca="1" si="353"/>
        <v>0</v>
      </c>
      <c r="T494" s="50">
        <f t="shared" ca="1" si="353"/>
        <v>0</v>
      </c>
      <c r="U494" s="50">
        <f t="shared" ca="1" si="353"/>
        <v>0</v>
      </c>
      <c r="V494" s="50">
        <f t="shared" ca="1" si="353"/>
        <v>0</v>
      </c>
      <c r="W494" s="50">
        <f t="shared" ca="1" si="353"/>
        <v>0</v>
      </c>
      <c r="X494" s="50">
        <f t="shared" ca="1" si="353"/>
        <v>0</v>
      </c>
      <c r="Y494" s="50">
        <f t="shared" ca="1" si="353"/>
        <v>0</v>
      </c>
      <c r="Z494" s="50">
        <f t="shared" ca="1" si="353"/>
        <v>0</v>
      </c>
      <c r="AA494" s="50">
        <f t="shared" ca="1" si="353"/>
        <v>0</v>
      </c>
      <c r="AB494" s="50">
        <f t="shared" ca="1" si="353"/>
        <v>0</v>
      </c>
      <c r="AC494" s="50">
        <f t="shared" ca="1" si="353"/>
        <v>0</v>
      </c>
      <c r="AD494" s="50">
        <f t="shared" ca="1" si="353"/>
        <v>0</v>
      </c>
      <c r="AE494" s="50">
        <f t="shared" ca="1" si="353"/>
        <v>0</v>
      </c>
      <c r="AF494" s="50">
        <f t="shared" ca="1" si="353"/>
        <v>0</v>
      </c>
      <c r="AG494" s="50">
        <f t="shared" ca="1" si="353"/>
        <v>0</v>
      </c>
      <c r="AH494" s="50">
        <f t="shared" ca="1" si="353"/>
        <v>0</v>
      </c>
      <c r="AI494" s="50">
        <f t="shared" ca="1" si="353"/>
        <v>0</v>
      </c>
      <c r="AJ494" s="50">
        <f t="shared" ca="1" si="353"/>
        <v>0</v>
      </c>
      <c r="AK494" s="50">
        <f t="shared" ca="1" si="353"/>
        <v>0</v>
      </c>
      <c r="AL494" s="50">
        <f t="shared" si="353"/>
        <v>0</v>
      </c>
      <c r="AM494" s="50">
        <f t="shared" si="353"/>
        <v>0</v>
      </c>
      <c r="AN494" s="50">
        <f t="shared" si="353"/>
        <v>0</v>
      </c>
      <c r="AO494" s="50">
        <f t="shared" si="353"/>
        <v>0</v>
      </c>
      <c r="AP494" s="50">
        <f t="shared" si="353"/>
        <v>0</v>
      </c>
      <c r="AQ494" s="50">
        <f t="shared" si="353"/>
        <v>0</v>
      </c>
      <c r="AR494" s="50">
        <f t="shared" si="353"/>
        <v>0</v>
      </c>
      <c r="AS494" s="50">
        <f t="shared" si="353"/>
        <v>0</v>
      </c>
      <c r="AT494" s="50">
        <f t="shared" si="353"/>
        <v>0</v>
      </c>
      <c r="AU494" s="50">
        <f t="shared" si="353"/>
        <v>0</v>
      </c>
    </row>
    <row r="495" spans="1:47">
      <c r="A495" s="38" t="str">
        <f>$J$4&amp;"-"</f>
        <v>1X-</v>
      </c>
      <c r="B495" s="38" t="s">
        <v>289</v>
      </c>
      <c r="C495" s="38" t="str">
        <f>C485</f>
        <v>General O&amp;M</v>
      </c>
      <c r="D495" s="186">
        <f>LaborEsc</f>
        <v>0.02</v>
      </c>
      <c r="E495" s="325"/>
      <c r="G495" s="36" t="s">
        <v>292</v>
      </c>
      <c r="I495" s="39"/>
      <c r="K495" s="39"/>
      <c r="L495" s="43" t="str">
        <f>"["&amp;CostBaseYr&amp;" $]"</f>
        <v>[2013 $]</v>
      </c>
      <c r="N495" s="70">
        <f ca="1">SUMIFS(OFFSET(Assumptions!$I$90,0,MATCH($A495,Configurations,0)-1,COUNT(Assumptions!$A$90:$A$183),1),Assumptions!$D$90:$D$183,$B495&amp;$C495)</f>
        <v>0</v>
      </c>
      <c r="O495" s="313"/>
      <c r="P495" s="323"/>
      <c r="Q495" s="313"/>
      <c r="R495" s="50">
        <f t="shared" ref="R495:AU495" ca="1" si="354">IF(OR(R$99&lt;InServiceYr,R$99&gt;(InServiceYr+analysis_period-1)),0,IF($P495=0,$N495,$P495)*(1+$D495)^(R$99-CostBaseYr))</f>
        <v>0</v>
      </c>
      <c r="S495" s="50">
        <f t="shared" ca="1" si="354"/>
        <v>0</v>
      </c>
      <c r="T495" s="50">
        <f t="shared" ca="1" si="354"/>
        <v>0</v>
      </c>
      <c r="U495" s="50">
        <f t="shared" ca="1" si="354"/>
        <v>0</v>
      </c>
      <c r="V495" s="50">
        <f t="shared" ca="1" si="354"/>
        <v>0</v>
      </c>
      <c r="W495" s="50">
        <f t="shared" ca="1" si="354"/>
        <v>0</v>
      </c>
      <c r="X495" s="50">
        <f t="shared" ca="1" si="354"/>
        <v>0</v>
      </c>
      <c r="Y495" s="50">
        <f t="shared" ca="1" si="354"/>
        <v>0</v>
      </c>
      <c r="Z495" s="50">
        <f t="shared" ca="1" si="354"/>
        <v>0</v>
      </c>
      <c r="AA495" s="50">
        <f t="shared" ca="1" si="354"/>
        <v>0</v>
      </c>
      <c r="AB495" s="50">
        <f t="shared" ca="1" si="354"/>
        <v>0</v>
      </c>
      <c r="AC495" s="50">
        <f t="shared" ca="1" si="354"/>
        <v>0</v>
      </c>
      <c r="AD495" s="50">
        <f t="shared" ca="1" si="354"/>
        <v>0</v>
      </c>
      <c r="AE495" s="50">
        <f t="shared" ca="1" si="354"/>
        <v>0</v>
      </c>
      <c r="AF495" s="50">
        <f t="shared" ca="1" si="354"/>
        <v>0</v>
      </c>
      <c r="AG495" s="50">
        <f t="shared" ca="1" si="354"/>
        <v>0</v>
      </c>
      <c r="AH495" s="50">
        <f t="shared" ca="1" si="354"/>
        <v>0</v>
      </c>
      <c r="AI495" s="50">
        <f t="shared" ca="1" si="354"/>
        <v>0</v>
      </c>
      <c r="AJ495" s="50">
        <f t="shared" ca="1" si="354"/>
        <v>0</v>
      </c>
      <c r="AK495" s="50">
        <f t="shared" ca="1" si="354"/>
        <v>0</v>
      </c>
      <c r="AL495" s="50">
        <f t="shared" si="354"/>
        <v>0</v>
      </c>
      <c r="AM495" s="50">
        <f t="shared" si="354"/>
        <v>0</v>
      </c>
      <c r="AN495" s="50">
        <f t="shared" si="354"/>
        <v>0</v>
      </c>
      <c r="AO495" s="50">
        <f t="shared" si="354"/>
        <v>0</v>
      </c>
      <c r="AP495" s="50">
        <f t="shared" si="354"/>
        <v>0</v>
      </c>
      <c r="AQ495" s="50">
        <f t="shared" si="354"/>
        <v>0</v>
      </c>
      <c r="AR495" s="50">
        <f t="shared" si="354"/>
        <v>0</v>
      </c>
      <c r="AS495" s="50">
        <f t="shared" si="354"/>
        <v>0</v>
      </c>
      <c r="AT495" s="50">
        <f t="shared" si="354"/>
        <v>0</v>
      </c>
      <c r="AU495" s="50">
        <f t="shared" si="354"/>
        <v>0</v>
      </c>
    </row>
    <row r="496" spans="1:47" s="60" customFormat="1">
      <c r="D496" s="187"/>
      <c r="E496" s="325"/>
      <c r="G496" s="39" t="s">
        <v>305</v>
      </c>
      <c r="I496" s="39"/>
      <c r="K496" s="39"/>
      <c r="L496" s="174"/>
      <c r="N496" s="188"/>
      <c r="O496" s="314"/>
      <c r="P496" s="185"/>
      <c r="Q496" s="314"/>
      <c r="R496" s="185">
        <f ca="1">SUM(R485:R492)-SUM(R494:R495)</f>
        <v>122400</v>
      </c>
      <c r="S496" s="185">
        <f t="shared" ref="S496:AU496" ca="1" si="355">SUM(S485:S492)-SUM(S494:S495)</f>
        <v>124848</v>
      </c>
      <c r="T496" s="185">
        <f t="shared" ca="1" si="355"/>
        <v>127344.95999999999</v>
      </c>
      <c r="U496" s="185">
        <f t="shared" ca="1" si="355"/>
        <v>129891.85919999999</v>
      </c>
      <c r="V496" s="185">
        <f t="shared" ca="1" si="355"/>
        <v>132489.69638400001</v>
      </c>
      <c r="W496" s="185">
        <f t="shared" ca="1" si="355"/>
        <v>135139.49031168001</v>
      </c>
      <c r="X496" s="185">
        <f t="shared" ca="1" si="355"/>
        <v>137842.28011791359</v>
      </c>
      <c r="Y496" s="185">
        <f t="shared" ca="1" si="355"/>
        <v>140599.12572027187</v>
      </c>
      <c r="Z496" s="185">
        <f t="shared" ca="1" si="355"/>
        <v>143411.10823467729</v>
      </c>
      <c r="AA496" s="185">
        <f t="shared" ca="1" si="355"/>
        <v>146279.33039937084</v>
      </c>
      <c r="AB496" s="185">
        <f t="shared" ca="1" si="355"/>
        <v>149204.91700735825</v>
      </c>
      <c r="AC496" s="185">
        <f t="shared" ca="1" si="355"/>
        <v>152189.01534750542</v>
      </c>
      <c r="AD496" s="185">
        <f t="shared" ca="1" si="355"/>
        <v>155232.79565445552</v>
      </c>
      <c r="AE496" s="185">
        <f t="shared" ca="1" si="355"/>
        <v>158337.45156754466</v>
      </c>
      <c r="AF496" s="185">
        <f t="shared" ca="1" si="355"/>
        <v>161504.20059889552</v>
      </c>
      <c r="AG496" s="185">
        <f t="shared" ca="1" si="355"/>
        <v>164734.28461087344</v>
      </c>
      <c r="AH496" s="185">
        <f t="shared" ca="1" si="355"/>
        <v>168028.97030309093</v>
      </c>
      <c r="AI496" s="185">
        <f t="shared" ca="1" si="355"/>
        <v>171389.54970915272</v>
      </c>
      <c r="AJ496" s="185">
        <f t="shared" ca="1" si="355"/>
        <v>174817.34070333577</v>
      </c>
      <c r="AK496" s="185">
        <f t="shared" ca="1" si="355"/>
        <v>178313.68751740252</v>
      </c>
      <c r="AL496" s="185">
        <f t="shared" si="355"/>
        <v>0</v>
      </c>
      <c r="AM496" s="185">
        <f t="shared" si="355"/>
        <v>0</v>
      </c>
      <c r="AN496" s="185">
        <f t="shared" si="355"/>
        <v>0</v>
      </c>
      <c r="AO496" s="185">
        <f t="shared" si="355"/>
        <v>0</v>
      </c>
      <c r="AP496" s="185">
        <f t="shared" si="355"/>
        <v>0</v>
      </c>
      <c r="AQ496" s="185">
        <f t="shared" si="355"/>
        <v>0</v>
      </c>
      <c r="AR496" s="185">
        <f t="shared" si="355"/>
        <v>0</v>
      </c>
      <c r="AS496" s="185">
        <f t="shared" si="355"/>
        <v>0</v>
      </c>
      <c r="AT496" s="185">
        <f t="shared" si="355"/>
        <v>0</v>
      </c>
      <c r="AU496" s="185">
        <f t="shared" si="355"/>
        <v>0</v>
      </c>
    </row>
    <row r="497" spans="1:16384">
      <c r="E497" s="36"/>
      <c r="G497" s="39"/>
      <c r="H497" s="39"/>
      <c r="I497" s="39"/>
      <c r="J497" s="39"/>
      <c r="K497" s="39"/>
    </row>
    <row r="498" spans="1:16384">
      <c r="E498" s="36"/>
      <c r="G498" s="39"/>
      <c r="H498" s="39"/>
      <c r="I498" s="39"/>
      <c r="J498" s="39"/>
      <c r="K498" s="39"/>
    </row>
    <row r="499" spans="1:16384">
      <c r="E499" s="327"/>
      <c r="F499" s="28"/>
      <c r="G499" s="324" t="s">
        <v>6</v>
      </c>
      <c r="H499" s="324"/>
      <c r="I499" s="324"/>
      <c r="J499" s="324"/>
      <c r="K499" s="324"/>
      <c r="L499" s="405" t="s">
        <v>79</v>
      </c>
      <c r="M499" s="256"/>
      <c r="N499" s="325"/>
      <c r="O499" s="311"/>
      <c r="P499" s="325"/>
      <c r="Q499" s="310"/>
      <c r="R499" s="325">
        <f>R$8</f>
        <v>2014</v>
      </c>
      <c r="S499" s="325">
        <f t="shared" ref="S499:AU499" si="356">S$8</f>
        <v>2015</v>
      </c>
      <c r="T499" s="325">
        <f t="shared" si="356"/>
        <v>2016</v>
      </c>
      <c r="U499" s="325">
        <f t="shared" si="356"/>
        <v>2017</v>
      </c>
      <c r="V499" s="325">
        <f t="shared" si="356"/>
        <v>2018</v>
      </c>
      <c r="W499" s="325">
        <f t="shared" si="356"/>
        <v>2019</v>
      </c>
      <c r="X499" s="325">
        <f t="shared" si="356"/>
        <v>2020</v>
      </c>
      <c r="Y499" s="325">
        <f t="shared" si="356"/>
        <v>2021</v>
      </c>
      <c r="Z499" s="325">
        <f t="shared" si="356"/>
        <v>2022</v>
      </c>
      <c r="AA499" s="325">
        <f t="shared" si="356"/>
        <v>2023</v>
      </c>
      <c r="AB499" s="325">
        <f t="shared" si="356"/>
        <v>2024</v>
      </c>
      <c r="AC499" s="325">
        <f t="shared" si="356"/>
        <v>2025</v>
      </c>
      <c r="AD499" s="325">
        <f t="shared" si="356"/>
        <v>2026</v>
      </c>
      <c r="AE499" s="325">
        <f t="shared" si="356"/>
        <v>2027</v>
      </c>
      <c r="AF499" s="325">
        <f t="shared" si="356"/>
        <v>2028</v>
      </c>
      <c r="AG499" s="325">
        <f t="shared" si="356"/>
        <v>2029</v>
      </c>
      <c r="AH499" s="325">
        <f t="shared" si="356"/>
        <v>2030</v>
      </c>
      <c r="AI499" s="325">
        <f t="shared" si="356"/>
        <v>2031</v>
      </c>
      <c r="AJ499" s="325">
        <f t="shared" si="356"/>
        <v>2032</v>
      </c>
      <c r="AK499" s="325">
        <f t="shared" si="356"/>
        <v>2033</v>
      </c>
      <c r="AL499" s="325">
        <f t="shared" si="356"/>
        <v>2034</v>
      </c>
      <c r="AM499" s="325">
        <f t="shared" si="356"/>
        <v>2035</v>
      </c>
      <c r="AN499" s="325">
        <f t="shared" si="356"/>
        <v>2036</v>
      </c>
      <c r="AO499" s="325">
        <f t="shared" si="356"/>
        <v>2037</v>
      </c>
      <c r="AP499" s="325">
        <f t="shared" si="356"/>
        <v>2038</v>
      </c>
      <c r="AQ499" s="325">
        <f t="shared" si="356"/>
        <v>2039</v>
      </c>
      <c r="AR499" s="325">
        <f t="shared" si="356"/>
        <v>2040</v>
      </c>
      <c r="AS499" s="325">
        <f t="shared" si="356"/>
        <v>2041</v>
      </c>
      <c r="AT499" s="325">
        <f t="shared" si="356"/>
        <v>2042</v>
      </c>
      <c r="AU499" s="325">
        <f t="shared" si="356"/>
        <v>2043</v>
      </c>
    </row>
    <row r="500" spans="1:16384">
      <c r="E500" s="325"/>
      <c r="G500" s="39"/>
      <c r="H500" s="39"/>
      <c r="I500" s="39"/>
      <c r="J500" s="39"/>
      <c r="K500" s="39"/>
    </row>
    <row r="501" spans="1:16384">
      <c r="E501" s="325"/>
      <c r="G501" s="36" t="s">
        <v>90</v>
      </c>
      <c r="H501" s="39"/>
      <c r="I501" s="39"/>
      <c r="J501" s="70"/>
      <c r="K501" s="39"/>
      <c r="L501" s="43" t="str">
        <f>Assumptions!G29</f>
        <v>[Nominal $/kWh]</v>
      </c>
      <c r="N501" s="320"/>
      <c r="P501" s="320"/>
      <c r="Q501" s="52"/>
      <c r="R501" s="52">
        <f>Assumptions!M29</f>
        <v>6.4581556062773368E-2</v>
      </c>
      <c r="S501" s="52">
        <f>Assumptions!N29</f>
        <v>6.4984127212630846E-2</v>
      </c>
      <c r="T501" s="52">
        <f>Assumptions!O29</f>
        <v>6.7785589135026608E-2</v>
      </c>
      <c r="U501" s="52">
        <f>Assumptions!P29</f>
        <v>6.981898718592304E-2</v>
      </c>
      <c r="V501" s="52">
        <f>Assumptions!Q29</f>
        <v>7.1503796868933267E-2</v>
      </c>
      <c r="W501" s="52">
        <f>Assumptions!R29</f>
        <v>7.2418565164272669E-2</v>
      </c>
      <c r="X501" s="52">
        <f>Assumptions!S29</f>
        <v>7.3596994326953685E-2</v>
      </c>
      <c r="Y501" s="52">
        <f>Assumptions!T29</f>
        <v>7.5410274370898506E-2</v>
      </c>
      <c r="Z501" s="52">
        <f>Assumptions!U29</f>
        <v>7.7215647759667966E-2</v>
      </c>
      <c r="AA501" s="52">
        <f>Assumptions!V29</f>
        <v>7.9146228607689051E-2</v>
      </c>
      <c r="AB501" s="52">
        <f>Assumptions!W29</f>
        <v>8.0860520329207805E-2</v>
      </c>
      <c r="AC501" s="52">
        <f>Assumptions!X29</f>
        <v>8.2417599515092449E-2</v>
      </c>
      <c r="AD501" s="52">
        <f>Assumptions!Y29</f>
        <v>8.4321429342628054E-2</v>
      </c>
      <c r="AE501" s="52">
        <f>Assumptions!Z29</f>
        <v>8.6243254567324276E-2</v>
      </c>
      <c r="AF501" s="52">
        <f>Assumptions!AA29</f>
        <v>8.829382632331699E-2</v>
      </c>
      <c r="AG501" s="52">
        <f>Assumptions!AB29</f>
        <v>9.0590950022257213E-2</v>
      </c>
      <c r="AH501" s="52">
        <f>Assumptions!AC29</f>
        <v>9.2811104018487828E-2</v>
      </c>
      <c r="AI501" s="52">
        <f>Assumptions!AD29</f>
        <v>9.521877087141481E-2</v>
      </c>
      <c r="AJ501" s="52">
        <f>Assumptions!AE29</f>
        <v>9.776763578849744E-2</v>
      </c>
      <c r="AK501" s="52">
        <f>Assumptions!AF29</f>
        <v>0.10042723479216267</v>
      </c>
      <c r="AL501" s="52">
        <f>Assumptions!AG29</f>
        <v>0.10338391809597851</v>
      </c>
      <c r="AM501" s="52">
        <f>Assumptions!AH29</f>
        <v>0.10713549812003452</v>
      </c>
      <c r="AN501" s="52">
        <f>Assumptions!AI29</f>
        <v>0.11152585678161221</v>
      </c>
      <c r="AO501" s="52">
        <f>Assumptions!AJ29</f>
        <v>0.11570324377054081</v>
      </c>
      <c r="AP501" s="52">
        <f>Assumptions!AK29</f>
        <v>0.11992306893841188</v>
      </c>
      <c r="AQ501" s="52">
        <f>Assumptions!AL29</f>
        <v>0.12437235076287895</v>
      </c>
      <c r="AR501" s="52">
        <f>Assumptions!AM29</f>
        <v>0.12798765946565488</v>
      </c>
      <c r="AS501" s="52">
        <f>Assumptions!AN29</f>
        <v>0.13080338797389929</v>
      </c>
      <c r="AT501" s="52">
        <f>Assumptions!AO29</f>
        <v>0.13368106250932507</v>
      </c>
      <c r="AU501" s="52">
        <f>Assumptions!AP29</f>
        <v>0.13662204588453022</v>
      </c>
    </row>
    <row r="502" spans="1:16384">
      <c r="E502" s="36"/>
      <c r="G502" s="37"/>
      <c r="H502" s="37"/>
      <c r="I502" s="37"/>
      <c r="J502" s="37"/>
      <c r="K502" s="37"/>
      <c r="L502" s="43"/>
      <c r="M502" s="43"/>
      <c r="N502" s="48"/>
      <c r="O502" s="43"/>
      <c r="P502" s="48"/>
      <c r="Q502" s="43"/>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row>
    <row r="503" spans="1:16384">
      <c r="E503" s="327"/>
      <c r="F503" s="28"/>
      <c r="G503" s="324" t="s">
        <v>16</v>
      </c>
      <c r="H503" s="324"/>
      <c r="I503" s="324"/>
      <c r="J503" s="324"/>
      <c r="K503" s="324"/>
      <c r="L503" s="405" t="s">
        <v>79</v>
      </c>
      <c r="M503" s="256"/>
      <c r="N503" s="325"/>
      <c r="O503" s="311"/>
      <c r="P503" s="325"/>
      <c r="Q503" s="310"/>
      <c r="R503" s="325">
        <f>R$8</f>
        <v>2014</v>
      </c>
      <c r="S503" s="325">
        <f t="shared" ref="S503:AU503" si="357">S$8</f>
        <v>2015</v>
      </c>
      <c r="T503" s="325">
        <f t="shared" si="357"/>
        <v>2016</v>
      </c>
      <c r="U503" s="325">
        <f t="shared" si="357"/>
        <v>2017</v>
      </c>
      <c r="V503" s="325">
        <f t="shared" si="357"/>
        <v>2018</v>
      </c>
      <c r="W503" s="325">
        <f t="shared" si="357"/>
        <v>2019</v>
      </c>
      <c r="X503" s="325">
        <f t="shared" si="357"/>
        <v>2020</v>
      </c>
      <c r="Y503" s="325">
        <f t="shared" si="357"/>
        <v>2021</v>
      </c>
      <c r="Z503" s="325">
        <f t="shared" si="357"/>
        <v>2022</v>
      </c>
      <c r="AA503" s="325">
        <f t="shared" si="357"/>
        <v>2023</v>
      </c>
      <c r="AB503" s="325">
        <f t="shared" si="357"/>
        <v>2024</v>
      </c>
      <c r="AC503" s="325">
        <f t="shared" si="357"/>
        <v>2025</v>
      </c>
      <c r="AD503" s="325">
        <f t="shared" si="357"/>
        <v>2026</v>
      </c>
      <c r="AE503" s="325">
        <f t="shared" si="357"/>
        <v>2027</v>
      </c>
      <c r="AF503" s="325">
        <f t="shared" si="357"/>
        <v>2028</v>
      </c>
      <c r="AG503" s="325">
        <f t="shared" si="357"/>
        <v>2029</v>
      </c>
      <c r="AH503" s="325">
        <f t="shared" si="357"/>
        <v>2030</v>
      </c>
      <c r="AI503" s="325">
        <f t="shared" si="357"/>
        <v>2031</v>
      </c>
      <c r="AJ503" s="325">
        <f t="shared" si="357"/>
        <v>2032</v>
      </c>
      <c r="AK503" s="325">
        <f t="shared" si="357"/>
        <v>2033</v>
      </c>
      <c r="AL503" s="325">
        <f t="shared" si="357"/>
        <v>2034</v>
      </c>
      <c r="AM503" s="325">
        <f t="shared" si="357"/>
        <v>2035</v>
      </c>
      <c r="AN503" s="325">
        <f t="shared" si="357"/>
        <v>2036</v>
      </c>
      <c r="AO503" s="325">
        <f t="shared" si="357"/>
        <v>2037</v>
      </c>
      <c r="AP503" s="325">
        <f t="shared" si="357"/>
        <v>2038</v>
      </c>
      <c r="AQ503" s="325">
        <f t="shared" si="357"/>
        <v>2039</v>
      </c>
      <c r="AR503" s="325">
        <f t="shared" si="357"/>
        <v>2040</v>
      </c>
      <c r="AS503" s="325">
        <f t="shared" si="357"/>
        <v>2041</v>
      </c>
      <c r="AT503" s="325">
        <f t="shared" si="357"/>
        <v>2042</v>
      </c>
      <c r="AU503" s="325">
        <f t="shared" si="357"/>
        <v>2043</v>
      </c>
    </row>
    <row r="504" spans="1:16384">
      <c r="E504" s="325"/>
      <c r="G504" s="39"/>
      <c r="H504" s="39"/>
      <c r="I504" s="39"/>
      <c r="J504" s="39"/>
      <c r="K504" s="39"/>
    </row>
    <row r="505" spans="1:16384">
      <c r="E505" s="325"/>
      <c r="G505" s="36" t="s">
        <v>4</v>
      </c>
      <c r="H505" s="39"/>
      <c r="I505" s="39"/>
      <c r="J505" s="70"/>
      <c r="K505" s="39"/>
      <c r="L505" s="43" t="str">
        <f>Assumptions!G30</f>
        <v>[Nominal $/GJ]</v>
      </c>
      <c r="N505" s="320"/>
      <c r="P505" s="320"/>
      <c r="Q505" s="52"/>
      <c r="R505" s="52">
        <f>Assumptions!M30/1000</f>
        <v>4.349162302177351E-3</v>
      </c>
      <c r="S505" s="52">
        <f>Assumptions!N30/1000</f>
        <v>4.4637464839421513E-3</v>
      </c>
      <c r="T505" s="52">
        <f>Assumptions!O30/1000</f>
        <v>4.9882201407370225E-3</v>
      </c>
      <c r="U505" s="52">
        <f>Assumptions!P30/1000</f>
        <v>5.274039417731349E-3</v>
      </c>
      <c r="V505" s="52">
        <f>Assumptions!Q30/1000</f>
        <v>5.6269550228721333E-3</v>
      </c>
      <c r="W505" s="52">
        <f>Assumptions!R30/1000</f>
        <v>5.8540511616013337E-3</v>
      </c>
      <c r="X505" s="52">
        <f>Assumptions!S30/1000</f>
        <v>6.038428026177464E-3</v>
      </c>
      <c r="Y505" s="52">
        <f>Assumptions!T30/1000</f>
        <v>6.2668036784831469E-3</v>
      </c>
      <c r="Z505" s="52">
        <f>Assumptions!U30/1000</f>
        <v>6.5922054798412668E-3</v>
      </c>
      <c r="AA505" s="52">
        <f>Assumptions!V30/1000</f>
        <v>6.9223010408478308E-3</v>
      </c>
      <c r="AB505" s="52">
        <f>Assumptions!W30/1000</f>
        <v>7.1632208510517392E-3</v>
      </c>
      <c r="AC505" s="52">
        <f>Assumptions!X30/1000</f>
        <v>7.3414909032361933E-3</v>
      </c>
      <c r="AD505" s="52">
        <f>Assumptions!Y30/1000</f>
        <v>7.6021404150132107E-3</v>
      </c>
      <c r="AE505" s="52">
        <f>Assumptions!Z30/1000</f>
        <v>7.7884635419133022E-3</v>
      </c>
      <c r="AF505" s="52">
        <f>Assumptions!AA30/1000</f>
        <v>8.0591711100798397E-3</v>
      </c>
      <c r="AG505" s="52">
        <f>Assumptions!AB30/1000</f>
        <v>8.3231988786498338E-3</v>
      </c>
      <c r="AH505" s="52">
        <f>Assumptions!AC30/1000</f>
        <v>8.5753643914497045E-3</v>
      </c>
      <c r="AI505" s="52">
        <f>Assumptions!AD30/1000</f>
        <v>8.8888916249159466E-3</v>
      </c>
      <c r="AJ505" s="52">
        <f>Assumptions!AE30/1000</f>
        <v>9.1809181054485871E-3</v>
      </c>
      <c r="AK505" s="52">
        <f>Assumptions!AF30/1000</f>
        <v>9.5487976739560727E-3</v>
      </c>
      <c r="AL505" s="52">
        <f>Assumptions!AG30/1000</f>
        <v>1.0077524695274986E-2</v>
      </c>
      <c r="AM505" s="52">
        <f>Assumptions!AH30/1000</f>
        <v>1.0655171564681258E-2</v>
      </c>
      <c r="AN505" s="52">
        <f>Assumptions!AI30/1000</f>
        <v>1.1383030107873128E-2</v>
      </c>
      <c r="AO505" s="52">
        <f>Assumptions!AJ30/1000</f>
        <v>1.2092621250722151E-2</v>
      </c>
      <c r="AP505" s="52">
        <f>Assumptions!AK30/1000</f>
        <v>1.2829558563080681E-2</v>
      </c>
      <c r="AQ505" s="52">
        <f>Assumptions!AL30/1000</f>
        <v>1.3272130091772659E-2</v>
      </c>
      <c r="AR505" s="52">
        <f>Assumptions!AM30/1000</f>
        <v>1.3882156894314641E-2</v>
      </c>
      <c r="AS505" s="52">
        <f>Assumptions!AN30/1000</f>
        <v>1.442356101319291E-2</v>
      </c>
      <c r="AT505" s="52">
        <f>Assumptions!AO30/1000</f>
        <v>1.4986079892707432E-2</v>
      </c>
      <c r="AU505" s="52">
        <f>Assumptions!AP30/1000</f>
        <v>1.5570537008523021E-2</v>
      </c>
    </row>
    <row r="506" spans="1:16384">
      <c r="G506" s="37"/>
      <c r="H506" s="37"/>
      <c r="I506" s="37"/>
      <c r="J506" s="37"/>
      <c r="K506" s="37"/>
      <c r="L506" s="43"/>
      <c r="M506" s="43"/>
      <c r="N506" s="51"/>
      <c r="O506" s="43"/>
      <c r="P506" s="51"/>
      <c r="Q506" s="43"/>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0"/>
      <c r="AW506" s="50"/>
      <c r="AX506" s="50"/>
      <c r="AY506" s="50"/>
      <c r="AZ506" s="50"/>
      <c r="BA506" s="50"/>
      <c r="BB506" s="50"/>
      <c r="BC506" s="50"/>
      <c r="BD506" s="50"/>
      <c r="BE506" s="50"/>
      <c r="BF506" s="50"/>
      <c r="BG506" s="50"/>
      <c r="BH506" s="50"/>
      <c r="BI506" s="50"/>
      <c r="BJ506" s="50"/>
      <c r="BK506" s="50"/>
      <c r="BL506" s="50"/>
      <c r="BM506" s="50"/>
      <c r="BN506" s="50"/>
      <c r="BO506" s="50"/>
      <c r="BP506" s="50"/>
      <c r="BQ506" s="50"/>
      <c r="BR506" s="50"/>
      <c r="BS506" s="50"/>
      <c r="BT506" s="50"/>
      <c r="BU506" s="50"/>
    </row>
    <row r="507" spans="1:16384">
      <c r="A507" s="327"/>
      <c r="B507" s="28"/>
      <c r="C507" s="324"/>
      <c r="D507" s="324"/>
      <c r="E507" s="324"/>
      <c r="F507" s="28"/>
      <c r="G507" s="324" t="s">
        <v>303</v>
      </c>
      <c r="H507" s="324"/>
      <c r="I507" s="256"/>
      <c r="J507" s="325"/>
      <c r="K507" s="311"/>
      <c r="L507" s="325"/>
      <c r="M507" s="310"/>
      <c r="N507" s="325"/>
      <c r="O507" s="325"/>
      <c r="P507" s="325"/>
      <c r="Q507" s="325"/>
      <c r="R507" s="325">
        <f>R$8</f>
        <v>2014</v>
      </c>
      <c r="S507" s="325">
        <f t="shared" ref="S507:AU507" si="358">S$8</f>
        <v>2015</v>
      </c>
      <c r="T507" s="325">
        <f t="shared" si="358"/>
        <v>2016</v>
      </c>
      <c r="U507" s="325">
        <f t="shared" si="358"/>
        <v>2017</v>
      </c>
      <c r="V507" s="325">
        <f t="shared" si="358"/>
        <v>2018</v>
      </c>
      <c r="W507" s="325">
        <f t="shared" si="358"/>
        <v>2019</v>
      </c>
      <c r="X507" s="325">
        <f t="shared" si="358"/>
        <v>2020</v>
      </c>
      <c r="Y507" s="325">
        <f t="shared" si="358"/>
        <v>2021</v>
      </c>
      <c r="Z507" s="325">
        <f t="shared" si="358"/>
        <v>2022</v>
      </c>
      <c r="AA507" s="325">
        <f t="shared" si="358"/>
        <v>2023</v>
      </c>
      <c r="AB507" s="325">
        <f t="shared" si="358"/>
        <v>2024</v>
      </c>
      <c r="AC507" s="325">
        <f t="shared" si="358"/>
        <v>2025</v>
      </c>
      <c r="AD507" s="325">
        <f t="shared" si="358"/>
        <v>2026</v>
      </c>
      <c r="AE507" s="325">
        <f t="shared" si="358"/>
        <v>2027</v>
      </c>
      <c r="AF507" s="325">
        <f t="shared" si="358"/>
        <v>2028</v>
      </c>
      <c r="AG507" s="325">
        <f t="shared" si="358"/>
        <v>2029</v>
      </c>
      <c r="AH507" s="325">
        <f t="shared" si="358"/>
        <v>2030</v>
      </c>
      <c r="AI507" s="325">
        <f t="shared" si="358"/>
        <v>2031</v>
      </c>
      <c r="AJ507" s="325">
        <f t="shared" si="358"/>
        <v>2032</v>
      </c>
      <c r="AK507" s="325">
        <f t="shared" si="358"/>
        <v>2033</v>
      </c>
      <c r="AL507" s="325">
        <f t="shared" si="358"/>
        <v>2034</v>
      </c>
      <c r="AM507" s="325">
        <f t="shared" si="358"/>
        <v>2035</v>
      </c>
      <c r="AN507" s="325">
        <f t="shared" si="358"/>
        <v>2036</v>
      </c>
      <c r="AO507" s="325">
        <f t="shared" si="358"/>
        <v>2037</v>
      </c>
      <c r="AP507" s="325">
        <f t="shared" si="358"/>
        <v>2038</v>
      </c>
      <c r="AQ507" s="325">
        <f t="shared" si="358"/>
        <v>2039</v>
      </c>
      <c r="AR507" s="325">
        <f t="shared" si="358"/>
        <v>2040</v>
      </c>
      <c r="AS507" s="325">
        <f t="shared" si="358"/>
        <v>2041</v>
      </c>
      <c r="AT507" s="325">
        <f t="shared" si="358"/>
        <v>2042</v>
      </c>
      <c r="AU507" s="325">
        <f t="shared" si="358"/>
        <v>2043</v>
      </c>
      <c r="BB507" s="311"/>
      <c r="BC507" s="325"/>
      <c r="BD507" s="310"/>
      <c r="BE507" s="325"/>
      <c r="BF507" s="325"/>
      <c r="BG507" s="325"/>
      <c r="BH507" s="325"/>
      <c r="BI507" s="325"/>
      <c r="BJ507" s="325"/>
      <c r="BK507" s="325"/>
      <c r="BL507" s="325"/>
      <c r="BM507" s="325"/>
      <c r="BN507" s="325"/>
      <c r="BO507" s="325"/>
      <c r="BP507" s="325"/>
      <c r="BQ507" s="325"/>
      <c r="BR507" s="325"/>
      <c r="BS507" s="325"/>
      <c r="BT507" s="325"/>
      <c r="BU507" s="325"/>
      <c r="BV507" s="325"/>
      <c r="BW507" s="325"/>
      <c r="BX507" s="325"/>
      <c r="BY507" s="325"/>
      <c r="BZ507" s="325"/>
      <c r="CA507" s="325"/>
      <c r="CB507" s="325"/>
      <c r="CC507" s="325"/>
      <c r="CD507" s="325"/>
      <c r="CE507" s="325"/>
      <c r="CF507" s="325"/>
      <c r="CG507" s="325"/>
      <c r="CH507" s="325"/>
      <c r="CI507" s="327"/>
      <c r="CJ507" s="28"/>
      <c r="CK507" s="324"/>
      <c r="CL507" s="324"/>
      <c r="CM507" s="324"/>
      <c r="CN507" s="324"/>
      <c r="CO507" s="324"/>
      <c r="CP507" s="324"/>
      <c r="CQ507" s="256"/>
      <c r="CR507" s="325"/>
      <c r="CS507" s="311"/>
      <c r="CT507" s="325"/>
      <c r="CU507" s="310"/>
      <c r="CV507" s="325"/>
      <c r="CW507" s="325"/>
      <c r="CX507" s="325"/>
      <c r="CY507" s="325"/>
      <c r="CZ507" s="325"/>
      <c r="DA507" s="325"/>
      <c r="DB507" s="325"/>
      <c r="DC507" s="325"/>
      <c r="DD507" s="325"/>
      <c r="DE507" s="325"/>
      <c r="DF507" s="325"/>
      <c r="DG507" s="325"/>
      <c r="DH507" s="325"/>
      <c r="DI507" s="325"/>
      <c r="DJ507" s="325"/>
      <c r="DK507" s="325"/>
      <c r="DL507" s="325"/>
      <c r="DM507" s="325"/>
      <c r="DN507" s="325"/>
      <c r="DO507" s="325"/>
      <c r="DP507" s="325"/>
      <c r="DQ507" s="325"/>
      <c r="DR507" s="325"/>
      <c r="DS507" s="325"/>
      <c r="DT507" s="325"/>
      <c r="DU507" s="325"/>
      <c r="DV507" s="325"/>
      <c r="DW507" s="325"/>
      <c r="DX507" s="325"/>
      <c r="DY507" s="325"/>
      <c r="DZ507" s="327"/>
      <c r="EA507" s="28"/>
      <c r="EB507" s="324"/>
      <c r="EC507" s="324"/>
      <c r="ED507" s="324"/>
      <c r="EE507" s="324"/>
      <c r="EF507" s="324"/>
      <c r="EG507" s="324"/>
      <c r="EH507" s="256"/>
      <c r="EI507" s="325"/>
      <c r="EJ507" s="311"/>
      <c r="EK507" s="325"/>
      <c r="EL507" s="310"/>
      <c r="EM507" s="325"/>
      <c r="EN507" s="325"/>
      <c r="EO507" s="325"/>
      <c r="EP507" s="325"/>
      <c r="EQ507" s="325"/>
      <c r="ER507" s="325"/>
      <c r="ES507" s="325"/>
      <c r="ET507" s="325"/>
      <c r="EU507" s="325"/>
      <c r="EV507" s="325"/>
      <c r="EW507" s="325"/>
      <c r="EX507" s="325"/>
      <c r="EY507" s="325"/>
      <c r="EZ507" s="325"/>
      <c r="FA507" s="325"/>
      <c r="FB507" s="325"/>
      <c r="FC507" s="325"/>
      <c r="FD507" s="325"/>
      <c r="FE507" s="325"/>
      <c r="FF507" s="325"/>
      <c r="FG507" s="325"/>
      <c r="FH507" s="325"/>
      <c r="FI507" s="325"/>
      <c r="FJ507" s="325"/>
      <c r="FK507" s="325"/>
      <c r="FL507" s="325"/>
      <c r="FM507" s="325"/>
      <c r="FN507" s="325"/>
      <c r="FO507" s="325"/>
      <c r="FP507" s="325"/>
      <c r="FQ507" s="327"/>
      <c r="FR507" s="28"/>
      <c r="FS507" s="324"/>
      <c r="FT507" s="324"/>
      <c r="FU507" s="324"/>
      <c r="FV507" s="324"/>
      <c r="FW507" s="324"/>
      <c r="FX507" s="324"/>
      <c r="FY507" s="256"/>
      <c r="FZ507" s="325"/>
      <c r="GA507" s="311"/>
      <c r="GB507" s="325"/>
      <c r="GC507" s="310"/>
      <c r="GD507" s="325"/>
      <c r="GE507" s="325"/>
      <c r="GF507" s="325"/>
      <c r="GG507" s="325"/>
      <c r="GH507" s="325"/>
      <c r="GI507" s="325"/>
      <c r="GJ507" s="325"/>
      <c r="GK507" s="325"/>
      <c r="GL507" s="325"/>
      <c r="GM507" s="325"/>
      <c r="GN507" s="325"/>
      <c r="GO507" s="325"/>
      <c r="GP507" s="325"/>
      <c r="GQ507" s="325"/>
      <c r="GR507" s="325"/>
      <c r="GS507" s="325"/>
      <c r="GT507" s="325"/>
      <c r="GU507" s="325"/>
      <c r="GV507" s="325"/>
      <c r="GW507" s="325"/>
      <c r="GX507" s="325"/>
      <c r="GY507" s="325"/>
      <c r="GZ507" s="325"/>
      <c r="HA507" s="325"/>
      <c r="HB507" s="325"/>
      <c r="HC507" s="325"/>
      <c r="HD507" s="325"/>
      <c r="HE507" s="325"/>
      <c r="HF507" s="325"/>
      <c r="HG507" s="325"/>
      <c r="HH507" s="327"/>
      <c r="HI507" s="28"/>
      <c r="HJ507" s="324"/>
      <c r="HK507" s="324"/>
      <c r="HL507" s="324"/>
      <c r="HM507" s="324"/>
      <c r="HN507" s="324"/>
      <c r="HO507" s="324"/>
      <c r="HP507" s="256"/>
      <c r="HQ507" s="325"/>
      <c r="HR507" s="311"/>
      <c r="HS507" s="325"/>
      <c r="HT507" s="310"/>
      <c r="HU507" s="325"/>
      <c r="HV507" s="325"/>
      <c r="HW507" s="325"/>
      <c r="HX507" s="325"/>
      <c r="HY507" s="325"/>
      <c r="HZ507" s="325"/>
      <c r="IA507" s="325"/>
      <c r="IB507" s="325"/>
      <c r="IC507" s="325"/>
      <c r="ID507" s="325"/>
      <c r="IE507" s="325"/>
      <c r="IF507" s="325"/>
      <c r="IG507" s="325"/>
      <c r="IH507" s="325"/>
      <c r="II507" s="325"/>
      <c r="IJ507" s="325"/>
      <c r="IK507" s="325"/>
      <c r="IL507" s="325"/>
      <c r="IM507" s="325"/>
      <c r="IN507" s="325"/>
      <c r="IO507" s="325"/>
      <c r="IP507" s="325"/>
      <c r="IQ507" s="325"/>
      <c r="IR507" s="325"/>
      <c r="IS507" s="325"/>
      <c r="IT507" s="325"/>
      <c r="IU507" s="325"/>
      <c r="IV507" s="325"/>
      <c r="IW507" s="325"/>
      <c r="IX507" s="325"/>
      <c r="IY507" s="327"/>
      <c r="IZ507" s="28"/>
      <c r="JA507" s="324"/>
      <c r="JB507" s="324"/>
      <c r="JC507" s="324"/>
      <c r="JD507" s="324"/>
      <c r="JE507" s="324"/>
      <c r="JF507" s="324"/>
      <c r="JG507" s="256"/>
      <c r="JH507" s="325"/>
      <c r="JI507" s="311"/>
      <c r="JJ507" s="325"/>
      <c r="JK507" s="310"/>
      <c r="JL507" s="325"/>
      <c r="JM507" s="325"/>
      <c r="JN507" s="325"/>
      <c r="JO507" s="325"/>
      <c r="JP507" s="325"/>
      <c r="JQ507" s="325"/>
      <c r="JR507" s="325"/>
      <c r="JS507" s="325"/>
      <c r="JT507" s="325"/>
      <c r="JU507" s="325"/>
      <c r="JV507" s="325"/>
      <c r="JW507" s="325"/>
      <c r="JX507" s="325"/>
      <c r="JY507" s="325"/>
      <c r="JZ507" s="325"/>
      <c r="KA507" s="325"/>
      <c r="KB507" s="325"/>
      <c r="KC507" s="325"/>
      <c r="KD507" s="325"/>
      <c r="KE507" s="325"/>
      <c r="KF507" s="325"/>
      <c r="KG507" s="325"/>
      <c r="KH507" s="325"/>
      <c r="KI507" s="325"/>
      <c r="KJ507" s="325"/>
      <c r="KK507" s="325"/>
      <c r="KL507" s="325"/>
      <c r="KM507" s="325"/>
      <c r="KN507" s="325"/>
      <c r="KO507" s="325"/>
      <c r="KP507" s="327"/>
      <c r="KQ507" s="28"/>
      <c r="KR507" s="324"/>
      <c r="KS507" s="324"/>
      <c r="KT507" s="324"/>
      <c r="KU507" s="324"/>
      <c r="KV507" s="324"/>
      <c r="KW507" s="324"/>
      <c r="KX507" s="256"/>
      <c r="KY507" s="325"/>
      <c r="KZ507" s="311"/>
      <c r="LA507" s="325"/>
      <c r="LB507" s="310"/>
      <c r="LC507" s="325"/>
      <c r="LD507" s="325"/>
      <c r="LE507" s="325"/>
      <c r="LF507" s="325"/>
      <c r="LG507" s="325"/>
      <c r="LH507" s="325"/>
      <c r="LI507" s="325"/>
      <c r="LJ507" s="325"/>
      <c r="LK507" s="325"/>
      <c r="LL507" s="325"/>
      <c r="LM507" s="325"/>
      <c r="LN507" s="325"/>
      <c r="LO507" s="325"/>
      <c r="LP507" s="325"/>
      <c r="LQ507" s="325"/>
      <c r="LR507" s="325"/>
      <c r="LS507" s="325"/>
      <c r="LT507" s="325"/>
      <c r="LU507" s="325"/>
      <c r="LV507" s="325"/>
      <c r="LW507" s="325"/>
      <c r="LX507" s="325"/>
      <c r="LY507" s="325"/>
      <c r="LZ507" s="325"/>
      <c r="MA507" s="325"/>
      <c r="MB507" s="325"/>
      <c r="MC507" s="325"/>
      <c r="MD507" s="325"/>
      <c r="ME507" s="325"/>
      <c r="MF507" s="325"/>
      <c r="MG507" s="327"/>
      <c r="MH507" s="28"/>
      <c r="MI507" s="324"/>
      <c r="MJ507" s="324"/>
      <c r="MK507" s="324"/>
      <c r="ML507" s="324"/>
      <c r="MM507" s="324"/>
      <c r="MN507" s="324"/>
      <c r="MO507" s="256"/>
      <c r="MP507" s="325"/>
      <c r="MQ507" s="311"/>
      <c r="MR507" s="325"/>
      <c r="MS507" s="310"/>
      <c r="MT507" s="325"/>
      <c r="MU507" s="325"/>
      <c r="MV507" s="325"/>
      <c r="MW507" s="325"/>
      <c r="MX507" s="325"/>
      <c r="MY507" s="325"/>
      <c r="MZ507" s="325"/>
      <c r="NA507" s="325"/>
      <c r="NB507" s="325"/>
      <c r="NC507" s="325"/>
      <c r="ND507" s="325"/>
      <c r="NE507" s="325"/>
      <c r="NF507" s="325"/>
      <c r="NG507" s="325"/>
      <c r="NH507" s="325"/>
      <c r="NI507" s="325"/>
      <c r="NJ507" s="325"/>
      <c r="NK507" s="325"/>
      <c r="NL507" s="325"/>
      <c r="NM507" s="325"/>
      <c r="NN507" s="325"/>
      <c r="NO507" s="325"/>
      <c r="NP507" s="325"/>
      <c r="NQ507" s="325"/>
      <c r="NR507" s="325"/>
      <c r="NS507" s="325"/>
      <c r="NT507" s="325"/>
      <c r="NU507" s="325"/>
      <c r="NV507" s="325"/>
      <c r="NW507" s="325"/>
      <c r="NX507" s="327"/>
      <c r="NY507" s="28"/>
      <c r="NZ507" s="324"/>
      <c r="OA507" s="324"/>
      <c r="OB507" s="324"/>
      <c r="OC507" s="324"/>
      <c r="OD507" s="324"/>
      <c r="OE507" s="324"/>
      <c r="OF507" s="256"/>
      <c r="OG507" s="325"/>
      <c r="OH507" s="311"/>
      <c r="OI507" s="325"/>
      <c r="OJ507" s="310"/>
      <c r="OK507" s="325"/>
      <c r="OL507" s="325"/>
      <c r="OM507" s="325"/>
      <c r="ON507" s="325"/>
      <c r="OO507" s="325"/>
      <c r="OP507" s="325"/>
      <c r="OQ507" s="325"/>
      <c r="OR507" s="325"/>
      <c r="OS507" s="325"/>
      <c r="OT507" s="325"/>
      <c r="OU507" s="325"/>
      <c r="OV507" s="325"/>
      <c r="OW507" s="325"/>
      <c r="OX507" s="325"/>
      <c r="OY507" s="325"/>
      <c r="OZ507" s="325"/>
      <c r="PA507" s="325"/>
      <c r="PB507" s="325"/>
      <c r="PC507" s="325"/>
      <c r="PD507" s="325"/>
      <c r="PE507" s="325"/>
      <c r="PF507" s="325"/>
      <c r="PG507" s="325"/>
      <c r="PH507" s="325"/>
      <c r="PI507" s="325"/>
      <c r="PJ507" s="325"/>
      <c r="PK507" s="325"/>
      <c r="PL507" s="325"/>
      <c r="PM507" s="325"/>
      <c r="PN507" s="325"/>
      <c r="PO507" s="327"/>
      <c r="PP507" s="28"/>
      <c r="PQ507" s="324"/>
      <c r="PR507" s="324"/>
      <c r="PS507" s="324"/>
      <c r="PT507" s="324"/>
      <c r="PU507" s="324"/>
      <c r="PV507" s="324"/>
      <c r="PW507" s="256"/>
      <c r="PX507" s="325"/>
      <c r="PY507" s="311"/>
      <c r="PZ507" s="325"/>
      <c r="QA507" s="310"/>
      <c r="QB507" s="325"/>
      <c r="QC507" s="325"/>
      <c r="QD507" s="325"/>
      <c r="QE507" s="325"/>
      <c r="QF507" s="325"/>
      <c r="QG507" s="325"/>
      <c r="QH507" s="325"/>
      <c r="QI507" s="325"/>
      <c r="QJ507" s="325"/>
      <c r="QK507" s="325"/>
      <c r="QL507" s="325"/>
      <c r="QM507" s="325"/>
      <c r="QN507" s="325"/>
      <c r="QO507" s="325"/>
      <c r="QP507" s="325"/>
      <c r="QQ507" s="325"/>
      <c r="QR507" s="325"/>
      <c r="QS507" s="325"/>
      <c r="QT507" s="325"/>
      <c r="QU507" s="325"/>
      <c r="QV507" s="325"/>
      <c r="QW507" s="325"/>
      <c r="QX507" s="325"/>
      <c r="QY507" s="325"/>
      <c r="QZ507" s="325"/>
      <c r="RA507" s="325"/>
      <c r="RB507" s="325"/>
      <c r="RC507" s="325"/>
      <c r="RD507" s="325"/>
      <c r="RE507" s="325"/>
      <c r="RF507" s="327"/>
      <c r="RG507" s="28"/>
      <c r="RH507" s="324"/>
      <c r="RI507" s="324"/>
      <c r="RJ507" s="324"/>
      <c r="RK507" s="324"/>
      <c r="RL507" s="324"/>
      <c r="RM507" s="324"/>
      <c r="RN507" s="256"/>
      <c r="RO507" s="325"/>
      <c r="RP507" s="311"/>
      <c r="RQ507" s="325"/>
      <c r="RR507" s="310"/>
      <c r="RS507" s="325"/>
      <c r="RT507" s="325"/>
      <c r="RU507" s="325"/>
      <c r="RV507" s="325"/>
      <c r="RW507" s="325"/>
      <c r="RX507" s="325"/>
      <c r="RY507" s="325"/>
      <c r="RZ507" s="325"/>
      <c r="SA507" s="325"/>
      <c r="SB507" s="325"/>
      <c r="SC507" s="325"/>
      <c r="SD507" s="325"/>
      <c r="SE507" s="325"/>
      <c r="SF507" s="325"/>
      <c r="SG507" s="325"/>
      <c r="SH507" s="325"/>
      <c r="SI507" s="325"/>
      <c r="SJ507" s="325"/>
      <c r="SK507" s="325"/>
      <c r="SL507" s="325"/>
      <c r="SM507" s="325"/>
      <c r="SN507" s="325"/>
      <c r="SO507" s="325"/>
      <c r="SP507" s="325"/>
      <c r="SQ507" s="325"/>
      <c r="SR507" s="325"/>
      <c r="SS507" s="325"/>
      <c r="ST507" s="325"/>
      <c r="SU507" s="325"/>
      <c r="SV507" s="325"/>
      <c r="SW507" s="327"/>
      <c r="SX507" s="28"/>
      <c r="SY507" s="324"/>
      <c r="SZ507" s="324"/>
      <c r="TA507" s="324"/>
      <c r="TB507" s="324"/>
      <c r="TC507" s="324"/>
      <c r="TD507" s="324"/>
      <c r="TE507" s="256"/>
      <c r="TF507" s="325"/>
      <c r="TG507" s="311"/>
      <c r="TH507" s="325"/>
      <c r="TI507" s="310"/>
      <c r="TJ507" s="325"/>
      <c r="TK507" s="325"/>
      <c r="TL507" s="325"/>
      <c r="TM507" s="325"/>
      <c r="TN507" s="325"/>
      <c r="TO507" s="325"/>
      <c r="TP507" s="325"/>
      <c r="TQ507" s="325"/>
      <c r="TR507" s="325"/>
      <c r="TS507" s="325"/>
      <c r="TT507" s="325"/>
      <c r="TU507" s="325"/>
      <c r="TV507" s="325"/>
      <c r="TW507" s="325"/>
      <c r="TX507" s="325"/>
      <c r="TY507" s="325"/>
      <c r="TZ507" s="325"/>
      <c r="UA507" s="325"/>
      <c r="UB507" s="325"/>
      <c r="UC507" s="325"/>
      <c r="UD507" s="325"/>
      <c r="UE507" s="325"/>
      <c r="UF507" s="325"/>
      <c r="UG507" s="325"/>
      <c r="UH507" s="325"/>
      <c r="UI507" s="325"/>
      <c r="UJ507" s="325"/>
      <c r="UK507" s="325"/>
      <c r="UL507" s="325"/>
      <c r="UM507" s="325"/>
      <c r="UN507" s="327"/>
      <c r="UO507" s="28"/>
      <c r="UP507" s="324"/>
      <c r="UQ507" s="324"/>
      <c r="UR507" s="324"/>
      <c r="US507" s="324"/>
      <c r="UT507" s="324"/>
      <c r="UU507" s="324"/>
      <c r="UV507" s="256"/>
      <c r="UW507" s="325"/>
      <c r="UX507" s="311"/>
      <c r="UY507" s="325"/>
      <c r="UZ507" s="310"/>
      <c r="VA507" s="325"/>
      <c r="VB507" s="325"/>
      <c r="VC507" s="325"/>
      <c r="VD507" s="325"/>
      <c r="VE507" s="325"/>
      <c r="VF507" s="325"/>
      <c r="VG507" s="325"/>
      <c r="VH507" s="325"/>
      <c r="VI507" s="325"/>
      <c r="VJ507" s="325"/>
      <c r="VK507" s="325"/>
      <c r="VL507" s="325"/>
      <c r="VM507" s="325"/>
      <c r="VN507" s="325"/>
      <c r="VO507" s="325"/>
      <c r="VP507" s="325"/>
      <c r="VQ507" s="325"/>
      <c r="VR507" s="325"/>
      <c r="VS507" s="325"/>
      <c r="VT507" s="325"/>
      <c r="VU507" s="325"/>
      <c r="VV507" s="325"/>
      <c r="VW507" s="325"/>
      <c r="VX507" s="325"/>
      <c r="VY507" s="325"/>
      <c r="VZ507" s="325"/>
      <c r="WA507" s="325"/>
      <c r="WB507" s="325"/>
      <c r="WC507" s="325"/>
      <c r="WD507" s="325"/>
      <c r="WE507" s="327"/>
      <c r="WF507" s="28"/>
      <c r="WG507" s="324"/>
      <c r="WH507" s="324"/>
      <c r="WI507" s="324"/>
      <c r="WJ507" s="324"/>
      <c r="WK507" s="324"/>
      <c r="WL507" s="324"/>
      <c r="WM507" s="256"/>
      <c r="WN507" s="325"/>
      <c r="WO507" s="311"/>
      <c r="WP507" s="325"/>
      <c r="WQ507" s="310"/>
      <c r="WR507" s="325"/>
      <c r="WS507" s="325"/>
      <c r="WT507" s="325"/>
      <c r="WU507" s="325"/>
      <c r="WV507" s="325"/>
      <c r="WW507" s="325"/>
      <c r="WX507" s="325"/>
      <c r="WY507" s="325"/>
      <c r="WZ507" s="325"/>
      <c r="XA507" s="325"/>
      <c r="XB507" s="325"/>
      <c r="XC507" s="325"/>
      <c r="XD507" s="325"/>
      <c r="XE507" s="325"/>
      <c r="XF507" s="325"/>
      <c r="XG507" s="325"/>
      <c r="XH507" s="325"/>
      <c r="XI507" s="325"/>
      <c r="XJ507" s="325"/>
      <c r="XK507" s="325"/>
      <c r="XL507" s="325"/>
      <c r="XM507" s="325"/>
      <c r="XN507" s="325"/>
      <c r="XO507" s="325"/>
      <c r="XP507" s="325"/>
      <c r="XQ507" s="325"/>
      <c r="XR507" s="325"/>
      <c r="XS507" s="325"/>
      <c r="XT507" s="325"/>
      <c r="XU507" s="325"/>
      <c r="XV507" s="327"/>
      <c r="XW507" s="28"/>
      <c r="XX507" s="324"/>
      <c r="XY507" s="324"/>
      <c r="XZ507" s="324"/>
      <c r="YA507" s="324"/>
      <c r="YB507" s="324"/>
      <c r="YC507" s="324"/>
      <c r="YD507" s="256"/>
      <c r="YE507" s="325"/>
      <c r="YF507" s="311"/>
      <c r="YG507" s="325"/>
      <c r="YH507" s="310"/>
      <c r="YI507" s="325"/>
      <c r="YJ507" s="325"/>
      <c r="YK507" s="325"/>
      <c r="YL507" s="325"/>
      <c r="YM507" s="325"/>
      <c r="YN507" s="325"/>
      <c r="YO507" s="325"/>
      <c r="YP507" s="325"/>
      <c r="YQ507" s="325"/>
      <c r="YR507" s="325"/>
      <c r="YS507" s="325"/>
      <c r="YT507" s="325"/>
      <c r="YU507" s="325"/>
      <c r="YV507" s="325"/>
      <c r="YW507" s="325"/>
      <c r="YX507" s="325"/>
      <c r="YY507" s="325"/>
      <c r="YZ507" s="325"/>
      <c r="ZA507" s="325"/>
      <c r="ZB507" s="325"/>
      <c r="ZC507" s="325"/>
      <c r="ZD507" s="325"/>
      <c r="ZE507" s="325"/>
      <c r="ZF507" s="325"/>
      <c r="ZG507" s="325"/>
      <c r="ZH507" s="325"/>
      <c r="ZI507" s="325"/>
      <c r="ZJ507" s="325"/>
      <c r="ZK507" s="325"/>
      <c r="ZL507" s="325"/>
      <c r="ZM507" s="327"/>
      <c r="ZN507" s="28"/>
      <c r="ZO507" s="324"/>
      <c r="ZP507" s="324"/>
      <c r="ZQ507" s="324"/>
      <c r="ZR507" s="324"/>
      <c r="ZS507" s="324"/>
      <c r="ZT507" s="324"/>
      <c r="ZU507" s="256"/>
      <c r="ZV507" s="325"/>
      <c r="ZW507" s="311"/>
      <c r="ZX507" s="325"/>
      <c r="ZY507" s="310"/>
      <c r="ZZ507" s="325"/>
      <c r="AAA507" s="325"/>
      <c r="AAB507" s="325"/>
      <c r="AAC507" s="325"/>
      <c r="AAD507" s="325"/>
      <c r="AAE507" s="325"/>
      <c r="AAF507" s="325"/>
      <c r="AAG507" s="325"/>
      <c r="AAH507" s="325"/>
      <c r="AAI507" s="325"/>
      <c r="AAJ507" s="325"/>
      <c r="AAK507" s="325"/>
      <c r="AAL507" s="325"/>
      <c r="AAM507" s="325"/>
      <c r="AAN507" s="325"/>
      <c r="AAO507" s="325"/>
      <c r="AAP507" s="325"/>
      <c r="AAQ507" s="325"/>
      <c r="AAR507" s="325"/>
      <c r="AAS507" s="325"/>
      <c r="AAT507" s="325"/>
      <c r="AAU507" s="325"/>
      <c r="AAV507" s="325"/>
      <c r="AAW507" s="325"/>
      <c r="AAX507" s="325"/>
      <c r="AAY507" s="325"/>
      <c r="AAZ507" s="325"/>
      <c r="ABA507" s="325"/>
      <c r="ABB507" s="325"/>
      <c r="ABC507" s="325"/>
      <c r="ABD507" s="327"/>
      <c r="ABE507" s="28"/>
      <c r="ABF507" s="324"/>
      <c r="ABG507" s="324"/>
      <c r="ABH507" s="324"/>
      <c r="ABI507" s="324"/>
      <c r="ABJ507" s="324"/>
      <c r="ABK507" s="324"/>
      <c r="ABL507" s="256"/>
      <c r="ABM507" s="325"/>
      <c r="ABN507" s="311"/>
      <c r="ABO507" s="325"/>
      <c r="ABP507" s="310"/>
      <c r="ABQ507" s="325"/>
      <c r="ABR507" s="325"/>
      <c r="ABS507" s="325"/>
      <c r="ABT507" s="325"/>
      <c r="ABU507" s="325"/>
      <c r="ABV507" s="325"/>
      <c r="ABW507" s="325"/>
      <c r="ABX507" s="325"/>
      <c r="ABY507" s="325"/>
      <c r="ABZ507" s="325"/>
      <c r="ACA507" s="325"/>
      <c r="ACB507" s="325"/>
      <c r="ACC507" s="325"/>
      <c r="ACD507" s="325"/>
      <c r="ACE507" s="325"/>
      <c r="ACF507" s="325"/>
      <c r="ACG507" s="325"/>
      <c r="ACH507" s="325"/>
      <c r="ACI507" s="325"/>
      <c r="ACJ507" s="325"/>
      <c r="ACK507" s="325"/>
      <c r="ACL507" s="325"/>
      <c r="ACM507" s="325"/>
      <c r="ACN507" s="325"/>
      <c r="ACO507" s="325"/>
      <c r="ACP507" s="325"/>
      <c r="ACQ507" s="325"/>
      <c r="ACR507" s="325"/>
      <c r="ACS507" s="325"/>
      <c r="ACT507" s="325"/>
      <c r="ACU507" s="327"/>
      <c r="ACV507" s="28"/>
      <c r="ACW507" s="324"/>
      <c r="ACX507" s="324"/>
      <c r="ACY507" s="324"/>
      <c r="ACZ507" s="324"/>
      <c r="ADA507" s="324"/>
      <c r="ADB507" s="324"/>
      <c r="ADC507" s="256"/>
      <c r="ADD507" s="325"/>
      <c r="ADE507" s="311"/>
      <c r="ADF507" s="325"/>
      <c r="ADG507" s="310"/>
      <c r="ADH507" s="325"/>
      <c r="ADI507" s="325"/>
      <c r="ADJ507" s="325"/>
      <c r="ADK507" s="325"/>
      <c r="ADL507" s="325"/>
      <c r="ADM507" s="325"/>
      <c r="ADN507" s="325"/>
      <c r="ADO507" s="325"/>
      <c r="ADP507" s="325"/>
      <c r="ADQ507" s="325"/>
      <c r="ADR507" s="325"/>
      <c r="ADS507" s="325"/>
      <c r="ADT507" s="325"/>
      <c r="ADU507" s="325"/>
      <c r="ADV507" s="325"/>
      <c r="ADW507" s="325"/>
      <c r="ADX507" s="325"/>
      <c r="ADY507" s="325"/>
      <c r="ADZ507" s="325"/>
      <c r="AEA507" s="325"/>
      <c r="AEB507" s="325"/>
      <c r="AEC507" s="325"/>
      <c r="AED507" s="325"/>
      <c r="AEE507" s="325"/>
      <c r="AEF507" s="325"/>
      <c r="AEG507" s="325"/>
      <c r="AEH507" s="325"/>
      <c r="AEI507" s="325"/>
      <c r="AEJ507" s="325"/>
      <c r="AEK507" s="325"/>
      <c r="AEL507" s="327"/>
      <c r="AEM507" s="28"/>
      <c r="AEN507" s="324"/>
      <c r="AEO507" s="324"/>
      <c r="AEP507" s="324"/>
      <c r="AEQ507" s="324"/>
      <c r="AER507" s="324"/>
      <c r="AES507" s="324"/>
      <c r="AET507" s="256"/>
      <c r="AEU507" s="325"/>
      <c r="AEV507" s="311"/>
      <c r="AEW507" s="325"/>
      <c r="AEX507" s="310"/>
      <c r="AEY507" s="325"/>
      <c r="AEZ507" s="325"/>
      <c r="AFA507" s="325"/>
      <c r="AFB507" s="325"/>
      <c r="AFC507" s="325"/>
      <c r="AFD507" s="325"/>
      <c r="AFE507" s="325"/>
      <c r="AFF507" s="325"/>
      <c r="AFG507" s="325"/>
      <c r="AFH507" s="325"/>
      <c r="AFI507" s="325"/>
      <c r="AFJ507" s="325"/>
      <c r="AFK507" s="325"/>
      <c r="AFL507" s="325"/>
      <c r="AFM507" s="325"/>
      <c r="AFN507" s="325"/>
      <c r="AFO507" s="325"/>
      <c r="AFP507" s="325"/>
      <c r="AFQ507" s="325"/>
      <c r="AFR507" s="325"/>
      <c r="AFS507" s="325"/>
      <c r="AFT507" s="325"/>
      <c r="AFU507" s="325"/>
      <c r="AFV507" s="325"/>
      <c r="AFW507" s="325"/>
      <c r="AFX507" s="325"/>
      <c r="AFY507" s="325"/>
      <c r="AFZ507" s="325"/>
      <c r="AGA507" s="325"/>
      <c r="AGB507" s="325"/>
      <c r="AGC507" s="327"/>
      <c r="AGD507" s="28"/>
      <c r="AGE507" s="324"/>
      <c r="AGF507" s="324"/>
      <c r="AGG507" s="324"/>
      <c r="AGH507" s="324"/>
      <c r="AGI507" s="324"/>
      <c r="AGJ507" s="324"/>
      <c r="AGK507" s="256"/>
      <c r="AGL507" s="325"/>
      <c r="AGM507" s="311"/>
      <c r="AGN507" s="325"/>
      <c r="AGO507" s="310"/>
      <c r="AGP507" s="325"/>
      <c r="AGQ507" s="325"/>
      <c r="AGR507" s="325"/>
      <c r="AGS507" s="325"/>
      <c r="AGT507" s="325"/>
      <c r="AGU507" s="325"/>
      <c r="AGV507" s="325"/>
      <c r="AGW507" s="325"/>
      <c r="AGX507" s="325"/>
      <c r="AGY507" s="325"/>
      <c r="AGZ507" s="325"/>
      <c r="AHA507" s="325"/>
      <c r="AHB507" s="325"/>
      <c r="AHC507" s="325"/>
      <c r="AHD507" s="325"/>
      <c r="AHE507" s="325"/>
      <c r="AHF507" s="325"/>
      <c r="AHG507" s="325"/>
      <c r="AHH507" s="325"/>
      <c r="AHI507" s="325"/>
      <c r="AHJ507" s="325"/>
      <c r="AHK507" s="325"/>
      <c r="AHL507" s="325"/>
      <c r="AHM507" s="325"/>
      <c r="AHN507" s="325"/>
      <c r="AHO507" s="325"/>
      <c r="AHP507" s="325"/>
      <c r="AHQ507" s="325"/>
      <c r="AHR507" s="325"/>
      <c r="AHS507" s="325"/>
      <c r="AHT507" s="327"/>
      <c r="AHU507" s="28"/>
      <c r="AHV507" s="324"/>
      <c r="AHW507" s="324"/>
      <c r="AHX507" s="324"/>
      <c r="AHY507" s="324"/>
      <c r="AHZ507" s="324"/>
      <c r="AIA507" s="324"/>
      <c r="AIB507" s="256"/>
      <c r="AIC507" s="325"/>
      <c r="AID507" s="311"/>
      <c r="AIE507" s="325"/>
      <c r="AIF507" s="310"/>
      <c r="AIG507" s="325"/>
      <c r="AIH507" s="325"/>
      <c r="AII507" s="325"/>
      <c r="AIJ507" s="325"/>
      <c r="AIK507" s="325"/>
      <c r="AIL507" s="325"/>
      <c r="AIM507" s="325"/>
      <c r="AIN507" s="325"/>
      <c r="AIO507" s="325"/>
      <c r="AIP507" s="325"/>
      <c r="AIQ507" s="325"/>
      <c r="AIR507" s="325"/>
      <c r="AIS507" s="325"/>
      <c r="AIT507" s="325"/>
      <c r="AIU507" s="325"/>
      <c r="AIV507" s="325"/>
      <c r="AIW507" s="325"/>
      <c r="AIX507" s="325"/>
      <c r="AIY507" s="325"/>
      <c r="AIZ507" s="325"/>
      <c r="AJA507" s="325"/>
      <c r="AJB507" s="325"/>
      <c r="AJC507" s="325"/>
      <c r="AJD507" s="325"/>
      <c r="AJE507" s="325"/>
      <c r="AJF507" s="325"/>
      <c r="AJG507" s="325"/>
      <c r="AJH507" s="325"/>
      <c r="AJI507" s="325"/>
      <c r="AJJ507" s="325"/>
      <c r="AJK507" s="327"/>
      <c r="AJL507" s="28"/>
      <c r="AJM507" s="324"/>
      <c r="AJN507" s="324"/>
      <c r="AJO507" s="324"/>
      <c r="AJP507" s="324"/>
      <c r="AJQ507" s="324"/>
      <c r="AJR507" s="324"/>
      <c r="AJS507" s="256"/>
      <c r="AJT507" s="325"/>
      <c r="AJU507" s="311"/>
      <c r="AJV507" s="325"/>
      <c r="AJW507" s="310"/>
      <c r="AJX507" s="325"/>
      <c r="AJY507" s="325"/>
      <c r="AJZ507" s="325"/>
      <c r="AKA507" s="325"/>
      <c r="AKB507" s="325"/>
      <c r="AKC507" s="325"/>
      <c r="AKD507" s="325"/>
      <c r="AKE507" s="325"/>
      <c r="AKF507" s="325"/>
      <c r="AKG507" s="325"/>
      <c r="AKH507" s="325"/>
      <c r="AKI507" s="325"/>
      <c r="AKJ507" s="325"/>
      <c r="AKK507" s="325"/>
      <c r="AKL507" s="325"/>
      <c r="AKM507" s="325"/>
      <c r="AKN507" s="325"/>
      <c r="AKO507" s="325"/>
      <c r="AKP507" s="325"/>
      <c r="AKQ507" s="325"/>
      <c r="AKR507" s="325"/>
      <c r="AKS507" s="325"/>
      <c r="AKT507" s="325"/>
      <c r="AKU507" s="325"/>
      <c r="AKV507" s="325"/>
      <c r="AKW507" s="325"/>
      <c r="AKX507" s="325"/>
      <c r="AKY507" s="325"/>
      <c r="AKZ507" s="325"/>
      <c r="ALA507" s="325"/>
      <c r="ALB507" s="327"/>
      <c r="ALC507" s="28"/>
      <c r="ALD507" s="324"/>
      <c r="ALE507" s="324"/>
      <c r="ALF507" s="324"/>
      <c r="ALG507" s="324"/>
      <c r="ALH507" s="324"/>
      <c r="ALI507" s="324"/>
      <c r="ALJ507" s="256"/>
      <c r="ALK507" s="325"/>
      <c r="ALL507" s="311"/>
      <c r="ALM507" s="325"/>
      <c r="ALN507" s="310"/>
      <c r="ALO507" s="325"/>
      <c r="ALP507" s="325"/>
      <c r="ALQ507" s="325"/>
      <c r="ALR507" s="325"/>
      <c r="ALS507" s="325"/>
      <c r="ALT507" s="325"/>
      <c r="ALU507" s="325"/>
      <c r="ALV507" s="325"/>
      <c r="ALW507" s="325"/>
      <c r="ALX507" s="325"/>
      <c r="ALY507" s="325"/>
      <c r="ALZ507" s="325"/>
      <c r="AMA507" s="325"/>
      <c r="AMB507" s="325"/>
      <c r="AMC507" s="325"/>
      <c r="AMD507" s="325"/>
      <c r="AME507" s="325"/>
      <c r="AMF507" s="325"/>
      <c r="AMG507" s="325"/>
      <c r="AMH507" s="325"/>
      <c r="AMI507" s="325"/>
      <c r="AMJ507" s="325"/>
      <c r="AMK507" s="325"/>
      <c r="AML507" s="325"/>
      <c r="AMM507" s="325"/>
      <c r="AMN507" s="325"/>
      <c r="AMO507" s="325"/>
      <c r="AMP507" s="325"/>
      <c r="AMQ507" s="325"/>
      <c r="AMR507" s="325"/>
      <c r="AMS507" s="327"/>
      <c r="AMT507" s="28"/>
      <c r="AMU507" s="324"/>
      <c r="AMV507" s="324"/>
      <c r="AMW507" s="324"/>
      <c r="AMX507" s="324"/>
      <c r="AMY507" s="324"/>
      <c r="AMZ507" s="324"/>
      <c r="ANA507" s="256"/>
      <c r="ANB507" s="325"/>
      <c r="ANC507" s="311"/>
      <c r="AND507" s="325"/>
      <c r="ANE507" s="310"/>
      <c r="ANF507" s="325"/>
      <c r="ANG507" s="325"/>
      <c r="ANH507" s="325"/>
      <c r="ANI507" s="325"/>
      <c r="ANJ507" s="325"/>
      <c r="ANK507" s="325"/>
      <c r="ANL507" s="325"/>
      <c r="ANM507" s="325"/>
      <c r="ANN507" s="325"/>
      <c r="ANO507" s="325"/>
      <c r="ANP507" s="325"/>
      <c r="ANQ507" s="325"/>
      <c r="ANR507" s="325"/>
      <c r="ANS507" s="325"/>
      <c r="ANT507" s="325"/>
      <c r="ANU507" s="325"/>
      <c r="ANV507" s="325"/>
      <c r="ANW507" s="325"/>
      <c r="ANX507" s="325"/>
      <c r="ANY507" s="325"/>
      <c r="ANZ507" s="325"/>
      <c r="AOA507" s="325"/>
      <c r="AOB507" s="325"/>
      <c r="AOC507" s="325"/>
      <c r="AOD507" s="325"/>
      <c r="AOE507" s="325"/>
      <c r="AOF507" s="325"/>
      <c r="AOG507" s="325"/>
      <c r="AOH507" s="325"/>
      <c r="AOI507" s="325"/>
      <c r="AOJ507" s="327"/>
      <c r="AOK507" s="28"/>
      <c r="AOL507" s="324"/>
      <c r="AOM507" s="324"/>
      <c r="AON507" s="324"/>
      <c r="AOO507" s="324"/>
      <c r="AOP507" s="324"/>
      <c r="AOQ507" s="324"/>
      <c r="AOR507" s="256"/>
      <c r="AOS507" s="325"/>
      <c r="AOT507" s="311"/>
      <c r="AOU507" s="325"/>
      <c r="AOV507" s="310"/>
      <c r="AOW507" s="325"/>
      <c r="AOX507" s="325"/>
      <c r="AOY507" s="325"/>
      <c r="AOZ507" s="325"/>
      <c r="APA507" s="325"/>
      <c r="APB507" s="325"/>
      <c r="APC507" s="325"/>
      <c r="APD507" s="325"/>
      <c r="APE507" s="325"/>
      <c r="APF507" s="325"/>
      <c r="APG507" s="325"/>
      <c r="APH507" s="325"/>
      <c r="API507" s="325"/>
      <c r="APJ507" s="325"/>
      <c r="APK507" s="325"/>
      <c r="APL507" s="325"/>
      <c r="APM507" s="325"/>
      <c r="APN507" s="325"/>
      <c r="APO507" s="325"/>
      <c r="APP507" s="325"/>
      <c r="APQ507" s="325"/>
      <c r="APR507" s="325"/>
      <c r="APS507" s="325"/>
      <c r="APT507" s="325"/>
      <c r="APU507" s="325"/>
      <c r="APV507" s="325"/>
      <c r="APW507" s="325"/>
      <c r="APX507" s="325"/>
      <c r="APY507" s="325"/>
      <c r="APZ507" s="325"/>
      <c r="AQA507" s="327"/>
      <c r="AQB507" s="28"/>
      <c r="AQC507" s="324"/>
      <c r="AQD507" s="324"/>
      <c r="AQE507" s="324"/>
      <c r="AQF507" s="324"/>
      <c r="AQG507" s="324"/>
      <c r="AQH507" s="324"/>
      <c r="AQI507" s="256"/>
      <c r="AQJ507" s="325"/>
      <c r="AQK507" s="311"/>
      <c r="AQL507" s="325"/>
      <c r="AQM507" s="310"/>
      <c r="AQN507" s="325"/>
      <c r="AQO507" s="325"/>
      <c r="AQP507" s="325"/>
      <c r="AQQ507" s="325"/>
      <c r="AQR507" s="325"/>
      <c r="AQS507" s="325"/>
      <c r="AQT507" s="325"/>
      <c r="AQU507" s="325"/>
      <c r="AQV507" s="325"/>
      <c r="AQW507" s="325"/>
      <c r="AQX507" s="325"/>
      <c r="AQY507" s="325"/>
      <c r="AQZ507" s="325"/>
      <c r="ARA507" s="325"/>
      <c r="ARB507" s="325"/>
      <c r="ARC507" s="325"/>
      <c r="ARD507" s="325"/>
      <c r="ARE507" s="325"/>
      <c r="ARF507" s="325"/>
      <c r="ARG507" s="325"/>
      <c r="ARH507" s="325"/>
      <c r="ARI507" s="325"/>
      <c r="ARJ507" s="325"/>
      <c r="ARK507" s="325"/>
      <c r="ARL507" s="325"/>
      <c r="ARM507" s="325"/>
      <c r="ARN507" s="325"/>
      <c r="ARO507" s="325"/>
      <c r="ARP507" s="325"/>
      <c r="ARQ507" s="325"/>
      <c r="ARR507" s="327"/>
      <c r="ARS507" s="28"/>
      <c r="ART507" s="324"/>
      <c r="ARU507" s="324"/>
      <c r="ARV507" s="324"/>
      <c r="ARW507" s="324"/>
      <c r="ARX507" s="324"/>
      <c r="ARY507" s="324"/>
      <c r="ARZ507" s="256"/>
      <c r="ASA507" s="325"/>
      <c r="ASB507" s="311"/>
      <c r="ASC507" s="325"/>
      <c r="ASD507" s="310"/>
      <c r="ASE507" s="325"/>
      <c r="ASF507" s="325"/>
      <c r="ASG507" s="325"/>
      <c r="ASH507" s="325"/>
      <c r="ASI507" s="325"/>
      <c r="ASJ507" s="325"/>
      <c r="ASK507" s="325"/>
      <c r="ASL507" s="325"/>
      <c r="ASM507" s="325"/>
      <c r="ASN507" s="325"/>
      <c r="ASO507" s="325"/>
      <c r="ASP507" s="325"/>
      <c r="ASQ507" s="325"/>
      <c r="ASR507" s="325"/>
      <c r="ASS507" s="325"/>
      <c r="AST507" s="325"/>
      <c r="ASU507" s="325"/>
      <c r="ASV507" s="325"/>
      <c r="ASW507" s="325"/>
      <c r="ASX507" s="325"/>
      <c r="ASY507" s="325"/>
      <c r="ASZ507" s="325"/>
      <c r="ATA507" s="325"/>
      <c r="ATB507" s="325"/>
      <c r="ATC507" s="325"/>
      <c r="ATD507" s="325"/>
      <c r="ATE507" s="325"/>
      <c r="ATF507" s="325"/>
      <c r="ATG507" s="325"/>
      <c r="ATH507" s="325"/>
      <c r="ATI507" s="327"/>
      <c r="ATJ507" s="28"/>
      <c r="ATK507" s="324"/>
      <c r="ATL507" s="324"/>
      <c r="ATM507" s="324"/>
      <c r="ATN507" s="324"/>
      <c r="ATO507" s="324"/>
      <c r="ATP507" s="324"/>
      <c r="ATQ507" s="256"/>
      <c r="ATR507" s="325"/>
      <c r="ATS507" s="311"/>
      <c r="ATT507" s="325"/>
      <c r="ATU507" s="310"/>
      <c r="ATV507" s="325"/>
      <c r="ATW507" s="325"/>
      <c r="ATX507" s="325"/>
      <c r="ATY507" s="325"/>
      <c r="ATZ507" s="325"/>
      <c r="AUA507" s="325"/>
      <c r="AUB507" s="325"/>
      <c r="AUC507" s="325"/>
      <c r="AUD507" s="325"/>
      <c r="AUE507" s="325"/>
      <c r="AUF507" s="325"/>
      <c r="AUG507" s="325"/>
      <c r="AUH507" s="325"/>
      <c r="AUI507" s="325"/>
      <c r="AUJ507" s="325"/>
      <c r="AUK507" s="325"/>
      <c r="AUL507" s="325"/>
      <c r="AUM507" s="325"/>
      <c r="AUN507" s="325"/>
      <c r="AUO507" s="325"/>
      <c r="AUP507" s="325"/>
      <c r="AUQ507" s="325"/>
      <c r="AUR507" s="325"/>
      <c r="AUS507" s="325"/>
      <c r="AUT507" s="325"/>
      <c r="AUU507" s="325"/>
      <c r="AUV507" s="325"/>
      <c r="AUW507" s="325"/>
      <c r="AUX507" s="325"/>
      <c r="AUY507" s="325"/>
      <c r="AUZ507" s="327"/>
      <c r="AVA507" s="28"/>
      <c r="AVB507" s="324"/>
      <c r="AVC507" s="324"/>
      <c r="AVD507" s="324"/>
      <c r="AVE507" s="324"/>
      <c r="AVF507" s="324"/>
      <c r="AVG507" s="324"/>
      <c r="AVH507" s="256"/>
      <c r="AVI507" s="325"/>
      <c r="AVJ507" s="311"/>
      <c r="AVK507" s="325"/>
      <c r="AVL507" s="310"/>
      <c r="AVM507" s="325"/>
      <c r="AVN507" s="325"/>
      <c r="AVO507" s="325"/>
      <c r="AVP507" s="325"/>
      <c r="AVQ507" s="325"/>
      <c r="AVR507" s="325"/>
      <c r="AVS507" s="325"/>
      <c r="AVT507" s="325"/>
      <c r="AVU507" s="325"/>
      <c r="AVV507" s="325"/>
      <c r="AVW507" s="325"/>
      <c r="AVX507" s="325"/>
      <c r="AVY507" s="325"/>
      <c r="AVZ507" s="325"/>
      <c r="AWA507" s="325"/>
      <c r="AWB507" s="325"/>
      <c r="AWC507" s="325"/>
      <c r="AWD507" s="325"/>
      <c r="AWE507" s="325"/>
      <c r="AWF507" s="325"/>
      <c r="AWG507" s="325"/>
      <c r="AWH507" s="325"/>
      <c r="AWI507" s="325"/>
      <c r="AWJ507" s="325"/>
      <c r="AWK507" s="325"/>
      <c r="AWL507" s="325"/>
      <c r="AWM507" s="325"/>
      <c r="AWN507" s="325"/>
      <c r="AWO507" s="325"/>
      <c r="AWP507" s="325"/>
      <c r="AWQ507" s="327"/>
      <c r="AWR507" s="28"/>
      <c r="AWS507" s="324"/>
      <c r="AWT507" s="324"/>
      <c r="AWU507" s="324"/>
      <c r="AWV507" s="324"/>
      <c r="AWW507" s="324"/>
      <c r="AWX507" s="324"/>
      <c r="AWY507" s="256"/>
      <c r="AWZ507" s="325"/>
      <c r="AXA507" s="311"/>
      <c r="AXB507" s="325"/>
      <c r="AXC507" s="310"/>
      <c r="AXD507" s="325"/>
      <c r="AXE507" s="325"/>
      <c r="AXF507" s="325"/>
      <c r="AXG507" s="325"/>
      <c r="AXH507" s="325"/>
      <c r="AXI507" s="325"/>
      <c r="AXJ507" s="325"/>
      <c r="AXK507" s="325"/>
      <c r="AXL507" s="325"/>
      <c r="AXM507" s="325"/>
      <c r="AXN507" s="325"/>
      <c r="AXO507" s="325"/>
      <c r="AXP507" s="325"/>
      <c r="AXQ507" s="325"/>
      <c r="AXR507" s="325"/>
      <c r="AXS507" s="325"/>
      <c r="AXT507" s="325"/>
      <c r="AXU507" s="325"/>
      <c r="AXV507" s="325"/>
      <c r="AXW507" s="325"/>
      <c r="AXX507" s="325"/>
      <c r="AXY507" s="325"/>
      <c r="AXZ507" s="325"/>
      <c r="AYA507" s="325"/>
      <c r="AYB507" s="325"/>
      <c r="AYC507" s="325"/>
      <c r="AYD507" s="325"/>
      <c r="AYE507" s="325"/>
      <c r="AYF507" s="325"/>
      <c r="AYG507" s="325"/>
      <c r="AYH507" s="327"/>
      <c r="AYI507" s="28"/>
      <c r="AYJ507" s="324"/>
      <c r="AYK507" s="324"/>
      <c r="AYL507" s="324"/>
      <c r="AYM507" s="324"/>
      <c r="AYN507" s="324"/>
      <c r="AYO507" s="324"/>
      <c r="AYP507" s="256"/>
      <c r="AYQ507" s="325"/>
      <c r="AYR507" s="311"/>
      <c r="AYS507" s="325"/>
      <c r="AYT507" s="310"/>
      <c r="AYU507" s="325"/>
      <c r="AYV507" s="325"/>
      <c r="AYW507" s="325"/>
      <c r="AYX507" s="325"/>
      <c r="AYY507" s="325"/>
      <c r="AYZ507" s="325"/>
      <c r="AZA507" s="325"/>
      <c r="AZB507" s="325"/>
      <c r="AZC507" s="325"/>
      <c r="AZD507" s="325"/>
      <c r="AZE507" s="325"/>
      <c r="AZF507" s="325"/>
      <c r="AZG507" s="325"/>
      <c r="AZH507" s="325"/>
      <c r="AZI507" s="325"/>
      <c r="AZJ507" s="325"/>
      <c r="AZK507" s="325"/>
      <c r="AZL507" s="325"/>
      <c r="AZM507" s="325"/>
      <c r="AZN507" s="325"/>
      <c r="AZO507" s="325"/>
      <c r="AZP507" s="325"/>
      <c r="AZQ507" s="325"/>
      <c r="AZR507" s="325"/>
      <c r="AZS507" s="325"/>
      <c r="AZT507" s="325"/>
      <c r="AZU507" s="325"/>
      <c r="AZV507" s="325"/>
      <c r="AZW507" s="325"/>
      <c r="AZX507" s="325"/>
      <c r="AZY507" s="327"/>
      <c r="AZZ507" s="28"/>
      <c r="BAA507" s="324"/>
      <c r="BAB507" s="324"/>
      <c r="BAC507" s="324"/>
      <c r="BAD507" s="324"/>
      <c r="BAE507" s="324"/>
      <c r="BAF507" s="324"/>
      <c r="BAG507" s="256"/>
      <c r="BAH507" s="325"/>
      <c r="BAI507" s="311"/>
      <c r="BAJ507" s="325"/>
      <c r="BAK507" s="310"/>
      <c r="BAL507" s="325"/>
      <c r="BAM507" s="325"/>
      <c r="BAN507" s="325"/>
      <c r="BAO507" s="325"/>
      <c r="BAP507" s="325"/>
      <c r="BAQ507" s="325"/>
      <c r="BAR507" s="325"/>
      <c r="BAS507" s="325"/>
      <c r="BAT507" s="325"/>
      <c r="BAU507" s="325"/>
      <c r="BAV507" s="325"/>
      <c r="BAW507" s="325"/>
      <c r="BAX507" s="325"/>
      <c r="BAY507" s="325"/>
      <c r="BAZ507" s="325"/>
      <c r="BBA507" s="325"/>
      <c r="BBB507" s="325"/>
      <c r="BBC507" s="325"/>
      <c r="BBD507" s="325"/>
      <c r="BBE507" s="325"/>
      <c r="BBF507" s="325"/>
      <c r="BBG507" s="325"/>
      <c r="BBH507" s="325"/>
      <c r="BBI507" s="325"/>
      <c r="BBJ507" s="325"/>
      <c r="BBK507" s="325"/>
      <c r="BBL507" s="325"/>
      <c r="BBM507" s="325"/>
      <c r="BBN507" s="325"/>
      <c r="BBO507" s="325"/>
      <c r="BBP507" s="327"/>
      <c r="BBQ507" s="28"/>
      <c r="BBR507" s="324"/>
      <c r="BBS507" s="324"/>
      <c r="BBT507" s="324"/>
      <c r="BBU507" s="324"/>
      <c r="BBV507" s="324"/>
      <c r="BBW507" s="324"/>
      <c r="BBX507" s="256"/>
      <c r="BBY507" s="325"/>
      <c r="BBZ507" s="311"/>
      <c r="BCA507" s="325"/>
      <c r="BCB507" s="310"/>
      <c r="BCC507" s="325"/>
      <c r="BCD507" s="325"/>
      <c r="BCE507" s="325"/>
      <c r="BCF507" s="325"/>
      <c r="BCG507" s="325"/>
      <c r="BCH507" s="325"/>
      <c r="BCI507" s="325"/>
      <c r="BCJ507" s="325"/>
      <c r="BCK507" s="325"/>
      <c r="BCL507" s="325"/>
      <c r="BCM507" s="325"/>
      <c r="BCN507" s="325"/>
      <c r="BCO507" s="325"/>
      <c r="BCP507" s="325"/>
      <c r="BCQ507" s="325"/>
      <c r="BCR507" s="325"/>
      <c r="BCS507" s="325"/>
      <c r="BCT507" s="325"/>
      <c r="BCU507" s="325"/>
      <c r="BCV507" s="325"/>
      <c r="BCW507" s="325"/>
      <c r="BCX507" s="325"/>
      <c r="BCY507" s="325"/>
      <c r="BCZ507" s="325"/>
      <c r="BDA507" s="325"/>
      <c r="BDB507" s="325"/>
      <c r="BDC507" s="325"/>
      <c r="BDD507" s="325"/>
      <c r="BDE507" s="325"/>
      <c r="BDF507" s="325"/>
      <c r="BDG507" s="327"/>
      <c r="BDH507" s="28"/>
      <c r="BDI507" s="324"/>
      <c r="BDJ507" s="324"/>
      <c r="BDK507" s="324"/>
      <c r="BDL507" s="324"/>
      <c r="BDM507" s="324"/>
      <c r="BDN507" s="324"/>
      <c r="BDO507" s="256"/>
      <c r="BDP507" s="325"/>
      <c r="BDQ507" s="311"/>
      <c r="BDR507" s="325"/>
      <c r="BDS507" s="310"/>
      <c r="BDT507" s="325"/>
      <c r="BDU507" s="325"/>
      <c r="BDV507" s="325"/>
      <c r="BDW507" s="325"/>
      <c r="BDX507" s="325"/>
      <c r="BDY507" s="325"/>
      <c r="BDZ507" s="325"/>
      <c r="BEA507" s="325"/>
      <c r="BEB507" s="325"/>
      <c r="BEC507" s="325"/>
      <c r="BED507" s="325"/>
      <c r="BEE507" s="325"/>
      <c r="BEF507" s="325"/>
      <c r="BEG507" s="325"/>
      <c r="BEH507" s="325"/>
      <c r="BEI507" s="325"/>
      <c r="BEJ507" s="325"/>
      <c r="BEK507" s="325"/>
      <c r="BEL507" s="325"/>
      <c r="BEM507" s="325"/>
      <c r="BEN507" s="325"/>
      <c r="BEO507" s="325"/>
      <c r="BEP507" s="325"/>
      <c r="BEQ507" s="325"/>
      <c r="BER507" s="325"/>
      <c r="BES507" s="325"/>
      <c r="BET507" s="325"/>
      <c r="BEU507" s="325"/>
      <c r="BEV507" s="325"/>
      <c r="BEW507" s="325"/>
      <c r="BEX507" s="327"/>
      <c r="BEY507" s="28"/>
      <c r="BEZ507" s="324"/>
      <c r="BFA507" s="324"/>
      <c r="BFB507" s="324"/>
      <c r="BFC507" s="324"/>
      <c r="BFD507" s="324"/>
      <c r="BFE507" s="324"/>
      <c r="BFF507" s="256"/>
      <c r="BFG507" s="325"/>
      <c r="BFH507" s="311"/>
      <c r="BFI507" s="325"/>
      <c r="BFJ507" s="310"/>
      <c r="BFK507" s="325"/>
      <c r="BFL507" s="325"/>
      <c r="BFM507" s="325"/>
      <c r="BFN507" s="325"/>
      <c r="BFO507" s="325"/>
      <c r="BFP507" s="325"/>
      <c r="BFQ507" s="325"/>
      <c r="BFR507" s="325"/>
      <c r="BFS507" s="325"/>
      <c r="BFT507" s="325"/>
      <c r="BFU507" s="325"/>
      <c r="BFV507" s="325"/>
      <c r="BFW507" s="325"/>
      <c r="BFX507" s="325"/>
      <c r="BFY507" s="325"/>
      <c r="BFZ507" s="325"/>
      <c r="BGA507" s="325"/>
      <c r="BGB507" s="325"/>
      <c r="BGC507" s="325"/>
      <c r="BGD507" s="325"/>
      <c r="BGE507" s="325"/>
      <c r="BGF507" s="325"/>
      <c r="BGG507" s="325"/>
      <c r="BGH507" s="325"/>
      <c r="BGI507" s="325"/>
      <c r="BGJ507" s="325"/>
      <c r="BGK507" s="325"/>
      <c r="BGL507" s="325"/>
      <c r="BGM507" s="325"/>
      <c r="BGN507" s="325"/>
      <c r="BGO507" s="327"/>
      <c r="BGP507" s="28"/>
      <c r="BGQ507" s="324"/>
      <c r="BGR507" s="324"/>
      <c r="BGS507" s="324"/>
      <c r="BGT507" s="324"/>
      <c r="BGU507" s="324"/>
      <c r="BGV507" s="324"/>
      <c r="BGW507" s="256"/>
      <c r="BGX507" s="325"/>
      <c r="BGY507" s="311"/>
      <c r="BGZ507" s="325"/>
      <c r="BHA507" s="310"/>
      <c r="BHB507" s="325"/>
      <c r="BHC507" s="325"/>
      <c r="BHD507" s="325"/>
      <c r="BHE507" s="325"/>
      <c r="BHF507" s="325"/>
      <c r="BHG507" s="325"/>
      <c r="BHH507" s="325"/>
      <c r="BHI507" s="325"/>
      <c r="BHJ507" s="325"/>
      <c r="BHK507" s="325"/>
      <c r="BHL507" s="325"/>
      <c r="BHM507" s="325"/>
      <c r="BHN507" s="325"/>
      <c r="BHO507" s="325"/>
      <c r="BHP507" s="325"/>
      <c r="BHQ507" s="325"/>
      <c r="BHR507" s="325"/>
      <c r="BHS507" s="325"/>
      <c r="BHT507" s="325"/>
      <c r="BHU507" s="325"/>
      <c r="BHV507" s="325"/>
      <c r="BHW507" s="325"/>
      <c r="BHX507" s="325"/>
      <c r="BHY507" s="325"/>
      <c r="BHZ507" s="325"/>
      <c r="BIA507" s="325"/>
      <c r="BIB507" s="325"/>
      <c r="BIC507" s="325"/>
      <c r="BID507" s="325"/>
      <c r="BIE507" s="325"/>
      <c r="BIF507" s="327"/>
      <c r="BIG507" s="28"/>
      <c r="BIH507" s="324"/>
      <c r="BII507" s="324"/>
      <c r="BIJ507" s="324"/>
      <c r="BIK507" s="324"/>
      <c r="BIL507" s="324"/>
      <c r="BIM507" s="324"/>
      <c r="BIN507" s="256"/>
      <c r="BIO507" s="325"/>
      <c r="BIP507" s="311"/>
      <c r="BIQ507" s="325"/>
      <c r="BIR507" s="310"/>
      <c r="BIS507" s="325"/>
      <c r="BIT507" s="325"/>
      <c r="BIU507" s="325"/>
      <c r="BIV507" s="325"/>
      <c r="BIW507" s="325"/>
      <c r="BIX507" s="325"/>
      <c r="BIY507" s="325"/>
      <c r="BIZ507" s="325"/>
      <c r="BJA507" s="325"/>
      <c r="BJB507" s="325"/>
      <c r="BJC507" s="325"/>
      <c r="BJD507" s="325"/>
      <c r="BJE507" s="325"/>
      <c r="BJF507" s="325"/>
      <c r="BJG507" s="325"/>
      <c r="BJH507" s="325"/>
      <c r="BJI507" s="325"/>
      <c r="BJJ507" s="325"/>
      <c r="BJK507" s="325"/>
      <c r="BJL507" s="325"/>
      <c r="BJM507" s="325"/>
      <c r="BJN507" s="325"/>
      <c r="BJO507" s="325"/>
      <c r="BJP507" s="325"/>
      <c r="BJQ507" s="325"/>
      <c r="BJR507" s="325"/>
      <c r="BJS507" s="325"/>
      <c r="BJT507" s="325"/>
      <c r="BJU507" s="325"/>
      <c r="BJV507" s="325"/>
      <c r="BJW507" s="327"/>
      <c r="BJX507" s="28"/>
      <c r="BJY507" s="324"/>
      <c r="BJZ507" s="324"/>
      <c r="BKA507" s="324"/>
      <c r="BKB507" s="324"/>
      <c r="BKC507" s="324"/>
      <c r="BKD507" s="324"/>
      <c r="BKE507" s="256"/>
      <c r="BKF507" s="325"/>
      <c r="BKG507" s="311"/>
      <c r="BKH507" s="325"/>
      <c r="BKI507" s="310"/>
      <c r="BKJ507" s="325"/>
      <c r="BKK507" s="325"/>
      <c r="BKL507" s="325"/>
      <c r="BKM507" s="325"/>
      <c r="BKN507" s="325"/>
      <c r="BKO507" s="325"/>
      <c r="BKP507" s="325"/>
      <c r="BKQ507" s="325"/>
      <c r="BKR507" s="325"/>
      <c r="BKS507" s="325"/>
      <c r="BKT507" s="325"/>
      <c r="BKU507" s="325"/>
      <c r="BKV507" s="325"/>
      <c r="BKW507" s="325"/>
      <c r="BKX507" s="325"/>
      <c r="BKY507" s="325"/>
      <c r="BKZ507" s="325"/>
      <c r="BLA507" s="325"/>
      <c r="BLB507" s="325"/>
      <c r="BLC507" s="325"/>
      <c r="BLD507" s="325"/>
      <c r="BLE507" s="325"/>
      <c r="BLF507" s="325"/>
      <c r="BLG507" s="325"/>
      <c r="BLH507" s="325"/>
      <c r="BLI507" s="325"/>
      <c r="BLJ507" s="325"/>
      <c r="BLK507" s="325"/>
      <c r="BLL507" s="325"/>
      <c r="BLM507" s="325"/>
      <c r="BLN507" s="327"/>
      <c r="BLO507" s="28"/>
      <c r="BLP507" s="324"/>
      <c r="BLQ507" s="324"/>
      <c r="BLR507" s="324"/>
      <c r="BLS507" s="324"/>
      <c r="BLT507" s="324"/>
      <c r="BLU507" s="324"/>
      <c r="BLV507" s="256"/>
      <c r="BLW507" s="325"/>
      <c r="BLX507" s="311"/>
      <c r="BLY507" s="325"/>
      <c r="BLZ507" s="310"/>
      <c r="BMA507" s="325"/>
      <c r="BMB507" s="325"/>
      <c r="BMC507" s="325"/>
      <c r="BMD507" s="325"/>
      <c r="BME507" s="325"/>
      <c r="BMF507" s="325"/>
      <c r="BMG507" s="325"/>
      <c r="BMH507" s="325"/>
      <c r="BMI507" s="325"/>
      <c r="BMJ507" s="325"/>
      <c r="BMK507" s="325"/>
      <c r="BML507" s="325"/>
      <c r="BMM507" s="325"/>
      <c r="BMN507" s="325"/>
      <c r="BMO507" s="325"/>
      <c r="BMP507" s="325"/>
      <c r="BMQ507" s="325"/>
      <c r="BMR507" s="325"/>
      <c r="BMS507" s="325"/>
      <c r="BMT507" s="325"/>
      <c r="BMU507" s="325"/>
      <c r="BMV507" s="325"/>
      <c r="BMW507" s="325"/>
      <c r="BMX507" s="325"/>
      <c r="BMY507" s="325"/>
      <c r="BMZ507" s="325"/>
      <c r="BNA507" s="325"/>
      <c r="BNB507" s="325"/>
      <c r="BNC507" s="325"/>
      <c r="BND507" s="325"/>
      <c r="BNE507" s="327"/>
      <c r="BNF507" s="28"/>
      <c r="BNG507" s="324"/>
      <c r="BNH507" s="324"/>
      <c r="BNI507" s="324"/>
      <c r="BNJ507" s="324"/>
      <c r="BNK507" s="324"/>
      <c r="BNL507" s="324"/>
      <c r="BNM507" s="256"/>
      <c r="BNN507" s="325"/>
      <c r="BNO507" s="311"/>
      <c r="BNP507" s="325"/>
      <c r="BNQ507" s="310"/>
      <c r="BNR507" s="325"/>
      <c r="BNS507" s="325"/>
      <c r="BNT507" s="325"/>
      <c r="BNU507" s="325"/>
      <c r="BNV507" s="325"/>
      <c r="BNW507" s="325"/>
      <c r="BNX507" s="325"/>
      <c r="BNY507" s="325"/>
      <c r="BNZ507" s="325"/>
      <c r="BOA507" s="325"/>
      <c r="BOB507" s="325"/>
      <c r="BOC507" s="325"/>
      <c r="BOD507" s="325"/>
      <c r="BOE507" s="325"/>
      <c r="BOF507" s="325"/>
      <c r="BOG507" s="325"/>
      <c r="BOH507" s="325"/>
      <c r="BOI507" s="325"/>
      <c r="BOJ507" s="325"/>
      <c r="BOK507" s="325"/>
      <c r="BOL507" s="325"/>
      <c r="BOM507" s="325"/>
      <c r="BON507" s="325"/>
      <c r="BOO507" s="325"/>
      <c r="BOP507" s="325"/>
      <c r="BOQ507" s="325"/>
      <c r="BOR507" s="325"/>
      <c r="BOS507" s="325"/>
      <c r="BOT507" s="325"/>
      <c r="BOU507" s="325"/>
      <c r="BOV507" s="327"/>
      <c r="BOW507" s="28"/>
      <c r="BOX507" s="324"/>
      <c r="BOY507" s="324"/>
      <c r="BOZ507" s="324"/>
      <c r="BPA507" s="324"/>
      <c r="BPB507" s="324"/>
      <c r="BPC507" s="324"/>
      <c r="BPD507" s="256"/>
      <c r="BPE507" s="325"/>
      <c r="BPF507" s="311"/>
      <c r="BPG507" s="325"/>
      <c r="BPH507" s="310"/>
      <c r="BPI507" s="325"/>
      <c r="BPJ507" s="325"/>
      <c r="BPK507" s="325"/>
      <c r="BPL507" s="325"/>
      <c r="BPM507" s="325"/>
      <c r="BPN507" s="325"/>
      <c r="BPO507" s="325"/>
      <c r="BPP507" s="325"/>
      <c r="BPQ507" s="325"/>
      <c r="BPR507" s="325"/>
      <c r="BPS507" s="325"/>
      <c r="BPT507" s="325"/>
      <c r="BPU507" s="325"/>
      <c r="BPV507" s="325"/>
      <c r="BPW507" s="325"/>
      <c r="BPX507" s="325"/>
      <c r="BPY507" s="325"/>
      <c r="BPZ507" s="325"/>
      <c r="BQA507" s="325"/>
      <c r="BQB507" s="325"/>
      <c r="BQC507" s="325"/>
      <c r="BQD507" s="325"/>
      <c r="BQE507" s="325"/>
      <c r="BQF507" s="325"/>
      <c r="BQG507" s="325"/>
      <c r="BQH507" s="325"/>
      <c r="BQI507" s="325"/>
      <c r="BQJ507" s="325"/>
      <c r="BQK507" s="325"/>
      <c r="BQL507" s="325"/>
      <c r="BQM507" s="327"/>
      <c r="BQN507" s="28"/>
      <c r="BQO507" s="324"/>
      <c r="BQP507" s="324"/>
      <c r="BQQ507" s="324"/>
      <c r="BQR507" s="324"/>
      <c r="BQS507" s="324"/>
      <c r="BQT507" s="324"/>
      <c r="BQU507" s="256"/>
      <c r="BQV507" s="325"/>
      <c r="BQW507" s="311"/>
      <c r="BQX507" s="325"/>
      <c r="BQY507" s="310"/>
      <c r="BQZ507" s="325"/>
      <c r="BRA507" s="325"/>
      <c r="BRB507" s="325"/>
      <c r="BRC507" s="325"/>
      <c r="BRD507" s="325"/>
      <c r="BRE507" s="325"/>
      <c r="BRF507" s="325"/>
      <c r="BRG507" s="325"/>
      <c r="BRH507" s="325"/>
      <c r="BRI507" s="325"/>
      <c r="BRJ507" s="325"/>
      <c r="BRK507" s="325"/>
      <c r="BRL507" s="325"/>
      <c r="BRM507" s="325"/>
      <c r="BRN507" s="325"/>
      <c r="BRO507" s="325"/>
      <c r="BRP507" s="325"/>
      <c r="BRQ507" s="325"/>
      <c r="BRR507" s="325"/>
      <c r="BRS507" s="325"/>
      <c r="BRT507" s="325"/>
      <c r="BRU507" s="325"/>
      <c r="BRV507" s="325"/>
      <c r="BRW507" s="325"/>
      <c r="BRX507" s="325"/>
      <c r="BRY507" s="325"/>
      <c r="BRZ507" s="325"/>
      <c r="BSA507" s="325"/>
      <c r="BSB507" s="325"/>
      <c r="BSC507" s="325"/>
      <c r="BSD507" s="327"/>
      <c r="BSE507" s="28"/>
      <c r="BSF507" s="324"/>
      <c r="BSG507" s="324"/>
      <c r="BSH507" s="324"/>
      <c r="BSI507" s="324"/>
      <c r="BSJ507" s="324"/>
      <c r="BSK507" s="324"/>
      <c r="BSL507" s="256"/>
      <c r="BSM507" s="325"/>
      <c r="BSN507" s="311"/>
      <c r="BSO507" s="325"/>
      <c r="BSP507" s="310"/>
      <c r="BSQ507" s="325"/>
      <c r="BSR507" s="325"/>
      <c r="BSS507" s="325"/>
      <c r="BST507" s="325"/>
      <c r="BSU507" s="325"/>
      <c r="BSV507" s="325"/>
      <c r="BSW507" s="325"/>
      <c r="BSX507" s="325"/>
      <c r="BSY507" s="325"/>
      <c r="BSZ507" s="325"/>
      <c r="BTA507" s="325"/>
      <c r="BTB507" s="325"/>
      <c r="BTC507" s="325"/>
      <c r="BTD507" s="325"/>
      <c r="BTE507" s="325"/>
      <c r="BTF507" s="325"/>
      <c r="BTG507" s="325"/>
      <c r="BTH507" s="325"/>
      <c r="BTI507" s="325"/>
      <c r="BTJ507" s="325"/>
      <c r="BTK507" s="325"/>
      <c r="BTL507" s="325"/>
      <c r="BTM507" s="325"/>
      <c r="BTN507" s="325"/>
      <c r="BTO507" s="325"/>
      <c r="BTP507" s="325"/>
      <c r="BTQ507" s="325"/>
      <c r="BTR507" s="325"/>
      <c r="BTS507" s="325"/>
      <c r="BTT507" s="325"/>
      <c r="BTU507" s="327"/>
      <c r="BTV507" s="28"/>
      <c r="BTW507" s="324"/>
      <c r="BTX507" s="324"/>
      <c r="BTY507" s="324"/>
      <c r="BTZ507" s="324"/>
      <c r="BUA507" s="324"/>
      <c r="BUB507" s="324"/>
      <c r="BUC507" s="256"/>
      <c r="BUD507" s="325"/>
      <c r="BUE507" s="311"/>
      <c r="BUF507" s="325"/>
      <c r="BUG507" s="310"/>
      <c r="BUH507" s="325"/>
      <c r="BUI507" s="325"/>
      <c r="BUJ507" s="325"/>
      <c r="BUK507" s="325"/>
      <c r="BUL507" s="325"/>
      <c r="BUM507" s="325"/>
      <c r="BUN507" s="325"/>
      <c r="BUO507" s="325"/>
      <c r="BUP507" s="325"/>
      <c r="BUQ507" s="325"/>
      <c r="BUR507" s="325"/>
      <c r="BUS507" s="325"/>
      <c r="BUT507" s="325"/>
      <c r="BUU507" s="325"/>
      <c r="BUV507" s="325"/>
      <c r="BUW507" s="325"/>
      <c r="BUX507" s="325"/>
      <c r="BUY507" s="325"/>
      <c r="BUZ507" s="325"/>
      <c r="BVA507" s="325"/>
      <c r="BVB507" s="325"/>
      <c r="BVC507" s="325"/>
      <c r="BVD507" s="325"/>
      <c r="BVE507" s="325"/>
      <c r="BVF507" s="325"/>
      <c r="BVG507" s="325"/>
      <c r="BVH507" s="325"/>
      <c r="BVI507" s="325"/>
      <c r="BVJ507" s="325"/>
      <c r="BVK507" s="325"/>
      <c r="BVL507" s="327"/>
      <c r="BVM507" s="28"/>
      <c r="BVN507" s="324"/>
      <c r="BVO507" s="324"/>
      <c r="BVP507" s="324"/>
      <c r="BVQ507" s="324"/>
      <c r="BVR507" s="324"/>
      <c r="BVS507" s="324"/>
      <c r="BVT507" s="256"/>
      <c r="BVU507" s="325"/>
      <c r="BVV507" s="311"/>
      <c r="BVW507" s="325"/>
      <c r="BVX507" s="310"/>
      <c r="BVY507" s="325"/>
      <c r="BVZ507" s="325"/>
      <c r="BWA507" s="325"/>
      <c r="BWB507" s="325"/>
      <c r="BWC507" s="325"/>
      <c r="BWD507" s="325"/>
      <c r="BWE507" s="325"/>
      <c r="BWF507" s="325"/>
      <c r="BWG507" s="325"/>
      <c r="BWH507" s="325"/>
      <c r="BWI507" s="325"/>
      <c r="BWJ507" s="325"/>
      <c r="BWK507" s="325"/>
      <c r="BWL507" s="325"/>
      <c r="BWM507" s="325"/>
      <c r="BWN507" s="325"/>
      <c r="BWO507" s="325"/>
      <c r="BWP507" s="325"/>
      <c r="BWQ507" s="325"/>
      <c r="BWR507" s="325"/>
      <c r="BWS507" s="325"/>
      <c r="BWT507" s="325"/>
      <c r="BWU507" s="325"/>
      <c r="BWV507" s="325"/>
      <c r="BWW507" s="325"/>
      <c r="BWX507" s="325"/>
      <c r="BWY507" s="325"/>
      <c r="BWZ507" s="325"/>
      <c r="BXA507" s="325"/>
      <c r="BXB507" s="325"/>
      <c r="BXC507" s="327"/>
      <c r="BXD507" s="28"/>
      <c r="BXE507" s="324"/>
      <c r="BXF507" s="324"/>
      <c r="BXG507" s="324"/>
      <c r="BXH507" s="324"/>
      <c r="BXI507" s="324"/>
      <c r="BXJ507" s="324"/>
      <c r="BXK507" s="256"/>
      <c r="BXL507" s="325"/>
      <c r="BXM507" s="311"/>
      <c r="BXN507" s="325"/>
      <c r="BXO507" s="310"/>
      <c r="BXP507" s="325"/>
      <c r="BXQ507" s="325"/>
      <c r="BXR507" s="325"/>
      <c r="BXS507" s="325"/>
      <c r="BXT507" s="325"/>
      <c r="BXU507" s="325"/>
      <c r="BXV507" s="325"/>
      <c r="BXW507" s="325"/>
      <c r="BXX507" s="325"/>
      <c r="BXY507" s="325"/>
      <c r="BXZ507" s="325"/>
      <c r="BYA507" s="325"/>
      <c r="BYB507" s="325"/>
      <c r="BYC507" s="325"/>
      <c r="BYD507" s="325"/>
      <c r="BYE507" s="325"/>
      <c r="BYF507" s="325"/>
      <c r="BYG507" s="325"/>
      <c r="BYH507" s="325"/>
      <c r="BYI507" s="325"/>
      <c r="BYJ507" s="325"/>
      <c r="BYK507" s="325"/>
      <c r="BYL507" s="325"/>
      <c r="BYM507" s="325"/>
      <c r="BYN507" s="325"/>
      <c r="BYO507" s="325"/>
      <c r="BYP507" s="325"/>
      <c r="BYQ507" s="325"/>
      <c r="BYR507" s="325"/>
      <c r="BYS507" s="325"/>
      <c r="BYT507" s="327"/>
      <c r="BYU507" s="28"/>
      <c r="BYV507" s="324"/>
      <c r="BYW507" s="324"/>
      <c r="BYX507" s="324"/>
      <c r="BYY507" s="324"/>
      <c r="BYZ507" s="324"/>
      <c r="BZA507" s="324"/>
      <c r="BZB507" s="256"/>
      <c r="BZC507" s="325"/>
      <c r="BZD507" s="311"/>
      <c r="BZE507" s="325"/>
      <c r="BZF507" s="310"/>
      <c r="BZG507" s="325"/>
      <c r="BZH507" s="325"/>
      <c r="BZI507" s="325"/>
      <c r="BZJ507" s="325"/>
      <c r="BZK507" s="325"/>
      <c r="BZL507" s="325"/>
      <c r="BZM507" s="325"/>
      <c r="BZN507" s="325"/>
      <c r="BZO507" s="325"/>
      <c r="BZP507" s="325"/>
      <c r="BZQ507" s="325"/>
      <c r="BZR507" s="325"/>
      <c r="BZS507" s="325"/>
      <c r="BZT507" s="325"/>
      <c r="BZU507" s="325"/>
      <c r="BZV507" s="325"/>
      <c r="BZW507" s="325"/>
      <c r="BZX507" s="325"/>
      <c r="BZY507" s="325"/>
      <c r="BZZ507" s="325"/>
      <c r="CAA507" s="325"/>
      <c r="CAB507" s="325"/>
      <c r="CAC507" s="325"/>
      <c r="CAD507" s="325"/>
      <c r="CAE507" s="325"/>
      <c r="CAF507" s="325"/>
      <c r="CAG507" s="325"/>
      <c r="CAH507" s="325"/>
      <c r="CAI507" s="325"/>
      <c r="CAJ507" s="325"/>
      <c r="CAK507" s="327"/>
      <c r="CAL507" s="28"/>
      <c r="CAM507" s="324"/>
      <c r="CAN507" s="324"/>
      <c r="CAO507" s="324"/>
      <c r="CAP507" s="324"/>
      <c r="CAQ507" s="324"/>
      <c r="CAR507" s="324"/>
      <c r="CAS507" s="256"/>
      <c r="CAT507" s="325"/>
      <c r="CAU507" s="311"/>
      <c r="CAV507" s="325"/>
      <c r="CAW507" s="310"/>
      <c r="CAX507" s="325"/>
      <c r="CAY507" s="325"/>
      <c r="CAZ507" s="325"/>
      <c r="CBA507" s="325"/>
      <c r="CBB507" s="325"/>
      <c r="CBC507" s="325"/>
      <c r="CBD507" s="325"/>
      <c r="CBE507" s="325"/>
      <c r="CBF507" s="325"/>
      <c r="CBG507" s="325"/>
      <c r="CBH507" s="325"/>
      <c r="CBI507" s="325"/>
      <c r="CBJ507" s="325"/>
      <c r="CBK507" s="325"/>
      <c r="CBL507" s="325"/>
      <c r="CBM507" s="325"/>
      <c r="CBN507" s="325"/>
      <c r="CBO507" s="325"/>
      <c r="CBP507" s="325"/>
      <c r="CBQ507" s="325"/>
      <c r="CBR507" s="325"/>
      <c r="CBS507" s="325"/>
      <c r="CBT507" s="325"/>
      <c r="CBU507" s="325"/>
      <c r="CBV507" s="325"/>
      <c r="CBW507" s="325"/>
      <c r="CBX507" s="325"/>
      <c r="CBY507" s="325"/>
      <c r="CBZ507" s="325"/>
      <c r="CCA507" s="325"/>
      <c r="CCB507" s="327"/>
      <c r="CCC507" s="28"/>
      <c r="CCD507" s="324"/>
      <c r="CCE507" s="324"/>
      <c r="CCF507" s="324"/>
      <c r="CCG507" s="324"/>
      <c r="CCH507" s="324"/>
      <c r="CCI507" s="324"/>
      <c r="CCJ507" s="256"/>
      <c r="CCK507" s="325"/>
      <c r="CCL507" s="311"/>
      <c r="CCM507" s="325"/>
      <c r="CCN507" s="310"/>
      <c r="CCO507" s="325"/>
      <c r="CCP507" s="325"/>
      <c r="CCQ507" s="325"/>
      <c r="CCR507" s="325"/>
      <c r="CCS507" s="325"/>
      <c r="CCT507" s="325"/>
      <c r="CCU507" s="325"/>
      <c r="CCV507" s="325"/>
      <c r="CCW507" s="325"/>
      <c r="CCX507" s="325"/>
      <c r="CCY507" s="325"/>
      <c r="CCZ507" s="325"/>
      <c r="CDA507" s="325"/>
      <c r="CDB507" s="325"/>
      <c r="CDC507" s="325"/>
      <c r="CDD507" s="325"/>
      <c r="CDE507" s="325"/>
      <c r="CDF507" s="325"/>
      <c r="CDG507" s="325"/>
      <c r="CDH507" s="325"/>
      <c r="CDI507" s="325"/>
      <c r="CDJ507" s="325"/>
      <c r="CDK507" s="325"/>
      <c r="CDL507" s="325"/>
      <c r="CDM507" s="325"/>
      <c r="CDN507" s="325"/>
      <c r="CDO507" s="325"/>
      <c r="CDP507" s="325"/>
      <c r="CDQ507" s="325"/>
      <c r="CDR507" s="325"/>
      <c r="CDS507" s="327"/>
      <c r="CDT507" s="28"/>
      <c r="CDU507" s="324"/>
      <c r="CDV507" s="324"/>
      <c r="CDW507" s="324"/>
      <c r="CDX507" s="324"/>
      <c r="CDY507" s="324"/>
      <c r="CDZ507" s="324"/>
      <c r="CEA507" s="256"/>
      <c r="CEB507" s="325"/>
      <c r="CEC507" s="311"/>
      <c r="CED507" s="325"/>
      <c r="CEE507" s="310"/>
      <c r="CEF507" s="325"/>
      <c r="CEG507" s="325"/>
      <c r="CEH507" s="325"/>
      <c r="CEI507" s="325"/>
      <c r="CEJ507" s="325"/>
      <c r="CEK507" s="325"/>
      <c r="CEL507" s="325"/>
      <c r="CEM507" s="325"/>
      <c r="CEN507" s="325"/>
      <c r="CEO507" s="325"/>
      <c r="CEP507" s="325"/>
      <c r="CEQ507" s="325"/>
      <c r="CER507" s="325"/>
      <c r="CES507" s="325"/>
      <c r="CET507" s="325"/>
      <c r="CEU507" s="325"/>
      <c r="CEV507" s="325"/>
      <c r="CEW507" s="325"/>
      <c r="CEX507" s="325"/>
      <c r="CEY507" s="325"/>
      <c r="CEZ507" s="325"/>
      <c r="CFA507" s="325"/>
      <c r="CFB507" s="325"/>
      <c r="CFC507" s="325"/>
      <c r="CFD507" s="325"/>
      <c r="CFE507" s="325"/>
      <c r="CFF507" s="325"/>
      <c r="CFG507" s="325"/>
      <c r="CFH507" s="325"/>
      <c r="CFI507" s="325"/>
      <c r="CFJ507" s="327"/>
      <c r="CFK507" s="28"/>
      <c r="CFL507" s="324"/>
      <c r="CFM507" s="324"/>
      <c r="CFN507" s="324"/>
      <c r="CFO507" s="324"/>
      <c r="CFP507" s="324"/>
      <c r="CFQ507" s="324"/>
      <c r="CFR507" s="256"/>
      <c r="CFS507" s="325"/>
      <c r="CFT507" s="311"/>
      <c r="CFU507" s="325"/>
      <c r="CFV507" s="310"/>
      <c r="CFW507" s="325"/>
      <c r="CFX507" s="325"/>
      <c r="CFY507" s="325"/>
      <c r="CFZ507" s="325"/>
      <c r="CGA507" s="325"/>
      <c r="CGB507" s="325"/>
      <c r="CGC507" s="325"/>
      <c r="CGD507" s="325"/>
      <c r="CGE507" s="325"/>
      <c r="CGF507" s="325"/>
      <c r="CGG507" s="325"/>
      <c r="CGH507" s="325"/>
      <c r="CGI507" s="325"/>
      <c r="CGJ507" s="325"/>
      <c r="CGK507" s="325"/>
      <c r="CGL507" s="325"/>
      <c r="CGM507" s="325"/>
      <c r="CGN507" s="325"/>
      <c r="CGO507" s="325"/>
      <c r="CGP507" s="325"/>
      <c r="CGQ507" s="325"/>
      <c r="CGR507" s="325"/>
      <c r="CGS507" s="325"/>
      <c r="CGT507" s="325"/>
      <c r="CGU507" s="325"/>
      <c r="CGV507" s="325"/>
      <c r="CGW507" s="325"/>
      <c r="CGX507" s="325"/>
      <c r="CGY507" s="325"/>
      <c r="CGZ507" s="325"/>
      <c r="CHA507" s="327"/>
      <c r="CHB507" s="28"/>
      <c r="CHC507" s="324"/>
      <c r="CHD507" s="324"/>
      <c r="CHE507" s="324"/>
      <c r="CHF507" s="324"/>
      <c r="CHG507" s="324"/>
      <c r="CHH507" s="324"/>
      <c r="CHI507" s="256"/>
      <c r="CHJ507" s="325"/>
      <c r="CHK507" s="311"/>
      <c r="CHL507" s="325"/>
      <c r="CHM507" s="310"/>
      <c r="CHN507" s="325"/>
      <c r="CHO507" s="325"/>
      <c r="CHP507" s="325"/>
      <c r="CHQ507" s="325"/>
      <c r="CHR507" s="325"/>
      <c r="CHS507" s="325"/>
      <c r="CHT507" s="325"/>
      <c r="CHU507" s="325"/>
      <c r="CHV507" s="325"/>
      <c r="CHW507" s="325"/>
      <c r="CHX507" s="325"/>
      <c r="CHY507" s="325"/>
      <c r="CHZ507" s="325"/>
      <c r="CIA507" s="325"/>
      <c r="CIB507" s="325"/>
      <c r="CIC507" s="325"/>
      <c r="CID507" s="325"/>
      <c r="CIE507" s="325"/>
      <c r="CIF507" s="325"/>
      <c r="CIG507" s="325"/>
      <c r="CIH507" s="325"/>
      <c r="CII507" s="325"/>
      <c r="CIJ507" s="325"/>
      <c r="CIK507" s="325"/>
      <c r="CIL507" s="325"/>
      <c r="CIM507" s="325"/>
      <c r="CIN507" s="325"/>
      <c r="CIO507" s="325"/>
      <c r="CIP507" s="325"/>
      <c r="CIQ507" s="325"/>
      <c r="CIR507" s="327"/>
      <c r="CIS507" s="28"/>
      <c r="CIT507" s="324"/>
      <c r="CIU507" s="324"/>
      <c r="CIV507" s="324"/>
      <c r="CIW507" s="324"/>
      <c r="CIX507" s="324"/>
      <c r="CIY507" s="324"/>
      <c r="CIZ507" s="256"/>
      <c r="CJA507" s="325"/>
      <c r="CJB507" s="311"/>
      <c r="CJC507" s="325"/>
      <c r="CJD507" s="310"/>
      <c r="CJE507" s="325"/>
      <c r="CJF507" s="325"/>
      <c r="CJG507" s="325"/>
      <c r="CJH507" s="325"/>
      <c r="CJI507" s="325"/>
      <c r="CJJ507" s="325"/>
      <c r="CJK507" s="325"/>
      <c r="CJL507" s="325"/>
      <c r="CJM507" s="325"/>
      <c r="CJN507" s="325"/>
      <c r="CJO507" s="325"/>
      <c r="CJP507" s="325"/>
      <c r="CJQ507" s="325"/>
      <c r="CJR507" s="325"/>
      <c r="CJS507" s="325"/>
      <c r="CJT507" s="325"/>
      <c r="CJU507" s="325"/>
      <c r="CJV507" s="325"/>
      <c r="CJW507" s="325"/>
      <c r="CJX507" s="325"/>
      <c r="CJY507" s="325"/>
      <c r="CJZ507" s="325"/>
      <c r="CKA507" s="325"/>
      <c r="CKB507" s="325"/>
      <c r="CKC507" s="325"/>
      <c r="CKD507" s="325"/>
      <c r="CKE507" s="325"/>
      <c r="CKF507" s="325"/>
      <c r="CKG507" s="325"/>
      <c r="CKH507" s="325"/>
      <c r="CKI507" s="327"/>
      <c r="CKJ507" s="28"/>
      <c r="CKK507" s="324"/>
      <c r="CKL507" s="324"/>
      <c r="CKM507" s="324"/>
      <c r="CKN507" s="324"/>
      <c r="CKO507" s="324"/>
      <c r="CKP507" s="324"/>
      <c r="CKQ507" s="256"/>
      <c r="CKR507" s="325"/>
      <c r="CKS507" s="311"/>
      <c r="CKT507" s="325"/>
      <c r="CKU507" s="310"/>
      <c r="CKV507" s="325"/>
      <c r="CKW507" s="325"/>
      <c r="CKX507" s="325"/>
      <c r="CKY507" s="325"/>
      <c r="CKZ507" s="325"/>
      <c r="CLA507" s="325"/>
      <c r="CLB507" s="325"/>
      <c r="CLC507" s="325"/>
      <c r="CLD507" s="325"/>
      <c r="CLE507" s="325"/>
      <c r="CLF507" s="325"/>
      <c r="CLG507" s="325"/>
      <c r="CLH507" s="325"/>
      <c r="CLI507" s="325"/>
      <c r="CLJ507" s="325"/>
      <c r="CLK507" s="325"/>
      <c r="CLL507" s="325"/>
      <c r="CLM507" s="325"/>
      <c r="CLN507" s="325"/>
      <c r="CLO507" s="325"/>
      <c r="CLP507" s="325"/>
      <c r="CLQ507" s="325"/>
      <c r="CLR507" s="325"/>
      <c r="CLS507" s="325"/>
      <c r="CLT507" s="325"/>
      <c r="CLU507" s="325"/>
      <c r="CLV507" s="325"/>
      <c r="CLW507" s="325"/>
      <c r="CLX507" s="325"/>
      <c r="CLY507" s="325"/>
      <c r="CLZ507" s="327"/>
      <c r="CMA507" s="28"/>
      <c r="CMB507" s="324"/>
      <c r="CMC507" s="324"/>
      <c r="CMD507" s="324"/>
      <c r="CME507" s="324"/>
      <c r="CMF507" s="324"/>
      <c r="CMG507" s="324"/>
      <c r="CMH507" s="256"/>
      <c r="CMI507" s="325"/>
      <c r="CMJ507" s="311"/>
      <c r="CMK507" s="325"/>
      <c r="CML507" s="310"/>
      <c r="CMM507" s="325"/>
      <c r="CMN507" s="325"/>
      <c r="CMO507" s="325"/>
      <c r="CMP507" s="325"/>
      <c r="CMQ507" s="325"/>
      <c r="CMR507" s="325"/>
      <c r="CMS507" s="325"/>
      <c r="CMT507" s="325"/>
      <c r="CMU507" s="325"/>
      <c r="CMV507" s="325"/>
      <c r="CMW507" s="325"/>
      <c r="CMX507" s="325"/>
      <c r="CMY507" s="325"/>
      <c r="CMZ507" s="325"/>
      <c r="CNA507" s="325"/>
      <c r="CNB507" s="325"/>
      <c r="CNC507" s="325"/>
      <c r="CND507" s="325"/>
      <c r="CNE507" s="325"/>
      <c r="CNF507" s="325"/>
      <c r="CNG507" s="325"/>
      <c r="CNH507" s="325"/>
      <c r="CNI507" s="325"/>
      <c r="CNJ507" s="325"/>
      <c r="CNK507" s="325"/>
      <c r="CNL507" s="325"/>
      <c r="CNM507" s="325"/>
      <c r="CNN507" s="325"/>
      <c r="CNO507" s="325"/>
      <c r="CNP507" s="325"/>
      <c r="CNQ507" s="327"/>
      <c r="CNR507" s="28"/>
      <c r="CNS507" s="324"/>
      <c r="CNT507" s="324"/>
      <c r="CNU507" s="324"/>
      <c r="CNV507" s="324"/>
      <c r="CNW507" s="324"/>
      <c r="CNX507" s="324"/>
      <c r="CNY507" s="256"/>
      <c r="CNZ507" s="325"/>
      <c r="COA507" s="311"/>
      <c r="COB507" s="325"/>
      <c r="COC507" s="310"/>
      <c r="COD507" s="325"/>
      <c r="COE507" s="325"/>
      <c r="COF507" s="325"/>
      <c r="COG507" s="325"/>
      <c r="COH507" s="325"/>
      <c r="COI507" s="325"/>
      <c r="COJ507" s="325"/>
      <c r="COK507" s="325"/>
      <c r="COL507" s="325"/>
      <c r="COM507" s="325"/>
      <c r="CON507" s="325"/>
      <c r="COO507" s="325"/>
      <c r="COP507" s="325"/>
      <c r="COQ507" s="325"/>
      <c r="COR507" s="325"/>
      <c r="COS507" s="325"/>
      <c r="COT507" s="325"/>
      <c r="COU507" s="325"/>
      <c r="COV507" s="325"/>
      <c r="COW507" s="325"/>
      <c r="COX507" s="325"/>
      <c r="COY507" s="325"/>
      <c r="COZ507" s="325"/>
      <c r="CPA507" s="325"/>
      <c r="CPB507" s="325"/>
      <c r="CPC507" s="325"/>
      <c r="CPD507" s="325"/>
      <c r="CPE507" s="325"/>
      <c r="CPF507" s="325"/>
      <c r="CPG507" s="325"/>
      <c r="CPH507" s="327"/>
      <c r="CPI507" s="28"/>
      <c r="CPJ507" s="324"/>
      <c r="CPK507" s="324"/>
      <c r="CPL507" s="324"/>
      <c r="CPM507" s="324"/>
      <c r="CPN507" s="324"/>
      <c r="CPO507" s="324"/>
      <c r="CPP507" s="256"/>
      <c r="CPQ507" s="325"/>
      <c r="CPR507" s="311"/>
      <c r="CPS507" s="325"/>
      <c r="CPT507" s="310"/>
      <c r="CPU507" s="325"/>
      <c r="CPV507" s="325"/>
      <c r="CPW507" s="325"/>
      <c r="CPX507" s="325"/>
      <c r="CPY507" s="325"/>
      <c r="CPZ507" s="325"/>
      <c r="CQA507" s="325"/>
      <c r="CQB507" s="325"/>
      <c r="CQC507" s="325"/>
      <c r="CQD507" s="325"/>
      <c r="CQE507" s="325"/>
      <c r="CQF507" s="325"/>
      <c r="CQG507" s="325"/>
      <c r="CQH507" s="325"/>
      <c r="CQI507" s="325"/>
      <c r="CQJ507" s="325"/>
      <c r="CQK507" s="325"/>
      <c r="CQL507" s="325"/>
      <c r="CQM507" s="325"/>
      <c r="CQN507" s="325"/>
      <c r="CQO507" s="325"/>
      <c r="CQP507" s="325"/>
      <c r="CQQ507" s="325"/>
      <c r="CQR507" s="325"/>
      <c r="CQS507" s="325"/>
      <c r="CQT507" s="325"/>
      <c r="CQU507" s="325"/>
      <c r="CQV507" s="325"/>
      <c r="CQW507" s="325"/>
      <c r="CQX507" s="325"/>
      <c r="CQY507" s="327"/>
      <c r="CQZ507" s="28"/>
      <c r="CRA507" s="324"/>
      <c r="CRB507" s="324"/>
      <c r="CRC507" s="324"/>
      <c r="CRD507" s="324"/>
      <c r="CRE507" s="324"/>
      <c r="CRF507" s="324"/>
      <c r="CRG507" s="256"/>
      <c r="CRH507" s="325"/>
      <c r="CRI507" s="311"/>
      <c r="CRJ507" s="325"/>
      <c r="CRK507" s="310"/>
      <c r="CRL507" s="325"/>
      <c r="CRM507" s="325"/>
      <c r="CRN507" s="325"/>
      <c r="CRO507" s="325"/>
      <c r="CRP507" s="325"/>
      <c r="CRQ507" s="325"/>
      <c r="CRR507" s="325"/>
      <c r="CRS507" s="325"/>
      <c r="CRT507" s="325"/>
      <c r="CRU507" s="325"/>
      <c r="CRV507" s="325"/>
      <c r="CRW507" s="325"/>
      <c r="CRX507" s="325"/>
      <c r="CRY507" s="325"/>
      <c r="CRZ507" s="325"/>
      <c r="CSA507" s="325"/>
      <c r="CSB507" s="325"/>
      <c r="CSC507" s="325"/>
      <c r="CSD507" s="325"/>
      <c r="CSE507" s="325"/>
      <c r="CSF507" s="325"/>
      <c r="CSG507" s="325"/>
      <c r="CSH507" s="325"/>
      <c r="CSI507" s="325"/>
      <c r="CSJ507" s="325"/>
      <c r="CSK507" s="325"/>
      <c r="CSL507" s="325"/>
      <c r="CSM507" s="325"/>
      <c r="CSN507" s="325"/>
      <c r="CSO507" s="325"/>
      <c r="CSP507" s="327"/>
      <c r="CSQ507" s="28"/>
      <c r="CSR507" s="324"/>
      <c r="CSS507" s="324"/>
      <c r="CST507" s="324"/>
      <c r="CSU507" s="324"/>
      <c r="CSV507" s="324"/>
      <c r="CSW507" s="324"/>
      <c r="CSX507" s="256"/>
      <c r="CSY507" s="325"/>
      <c r="CSZ507" s="311"/>
      <c r="CTA507" s="325"/>
      <c r="CTB507" s="310"/>
      <c r="CTC507" s="325"/>
      <c r="CTD507" s="325"/>
      <c r="CTE507" s="325"/>
      <c r="CTF507" s="325"/>
      <c r="CTG507" s="325"/>
      <c r="CTH507" s="325"/>
      <c r="CTI507" s="325"/>
      <c r="CTJ507" s="325"/>
      <c r="CTK507" s="325"/>
      <c r="CTL507" s="325"/>
      <c r="CTM507" s="325"/>
      <c r="CTN507" s="325"/>
      <c r="CTO507" s="325"/>
      <c r="CTP507" s="325"/>
      <c r="CTQ507" s="325"/>
      <c r="CTR507" s="325"/>
      <c r="CTS507" s="325"/>
      <c r="CTT507" s="325"/>
      <c r="CTU507" s="325"/>
      <c r="CTV507" s="325"/>
      <c r="CTW507" s="325"/>
      <c r="CTX507" s="325"/>
      <c r="CTY507" s="325"/>
      <c r="CTZ507" s="325"/>
      <c r="CUA507" s="325"/>
      <c r="CUB507" s="325"/>
      <c r="CUC507" s="325"/>
      <c r="CUD507" s="325"/>
      <c r="CUE507" s="325"/>
      <c r="CUF507" s="325"/>
      <c r="CUG507" s="327"/>
      <c r="CUH507" s="28"/>
      <c r="CUI507" s="324"/>
      <c r="CUJ507" s="324"/>
      <c r="CUK507" s="324"/>
      <c r="CUL507" s="324"/>
      <c r="CUM507" s="324"/>
      <c r="CUN507" s="324"/>
      <c r="CUO507" s="256"/>
      <c r="CUP507" s="325"/>
      <c r="CUQ507" s="311"/>
      <c r="CUR507" s="325"/>
      <c r="CUS507" s="310"/>
      <c r="CUT507" s="325"/>
      <c r="CUU507" s="325"/>
      <c r="CUV507" s="325"/>
      <c r="CUW507" s="325"/>
      <c r="CUX507" s="325"/>
      <c r="CUY507" s="325"/>
      <c r="CUZ507" s="325"/>
      <c r="CVA507" s="325"/>
      <c r="CVB507" s="325"/>
      <c r="CVC507" s="325"/>
      <c r="CVD507" s="325"/>
      <c r="CVE507" s="325"/>
      <c r="CVF507" s="325"/>
      <c r="CVG507" s="325"/>
      <c r="CVH507" s="325"/>
      <c r="CVI507" s="325"/>
      <c r="CVJ507" s="325"/>
      <c r="CVK507" s="325"/>
      <c r="CVL507" s="325"/>
      <c r="CVM507" s="325"/>
      <c r="CVN507" s="325"/>
      <c r="CVO507" s="325"/>
      <c r="CVP507" s="325"/>
      <c r="CVQ507" s="325"/>
      <c r="CVR507" s="325"/>
      <c r="CVS507" s="325"/>
      <c r="CVT507" s="325"/>
      <c r="CVU507" s="325"/>
      <c r="CVV507" s="325"/>
      <c r="CVW507" s="325"/>
      <c r="CVX507" s="327"/>
      <c r="CVY507" s="28"/>
      <c r="CVZ507" s="324"/>
      <c r="CWA507" s="324"/>
      <c r="CWB507" s="324"/>
      <c r="CWC507" s="324"/>
      <c r="CWD507" s="324"/>
      <c r="CWE507" s="324"/>
      <c r="CWF507" s="256"/>
      <c r="CWG507" s="325"/>
      <c r="CWH507" s="311"/>
      <c r="CWI507" s="325"/>
      <c r="CWJ507" s="310"/>
      <c r="CWK507" s="325"/>
      <c r="CWL507" s="325"/>
      <c r="CWM507" s="325"/>
      <c r="CWN507" s="325"/>
      <c r="CWO507" s="325"/>
      <c r="CWP507" s="325"/>
      <c r="CWQ507" s="325"/>
      <c r="CWR507" s="325"/>
      <c r="CWS507" s="325"/>
      <c r="CWT507" s="325"/>
      <c r="CWU507" s="325"/>
      <c r="CWV507" s="325"/>
      <c r="CWW507" s="325"/>
      <c r="CWX507" s="325"/>
      <c r="CWY507" s="325"/>
      <c r="CWZ507" s="325"/>
      <c r="CXA507" s="325"/>
      <c r="CXB507" s="325"/>
      <c r="CXC507" s="325"/>
      <c r="CXD507" s="325"/>
      <c r="CXE507" s="325"/>
      <c r="CXF507" s="325"/>
      <c r="CXG507" s="325"/>
      <c r="CXH507" s="325"/>
      <c r="CXI507" s="325"/>
      <c r="CXJ507" s="325"/>
      <c r="CXK507" s="325"/>
      <c r="CXL507" s="325"/>
      <c r="CXM507" s="325"/>
      <c r="CXN507" s="325"/>
      <c r="CXO507" s="327"/>
      <c r="CXP507" s="28"/>
      <c r="CXQ507" s="324"/>
      <c r="CXR507" s="324"/>
      <c r="CXS507" s="324"/>
      <c r="CXT507" s="324"/>
      <c r="CXU507" s="324"/>
      <c r="CXV507" s="324"/>
      <c r="CXW507" s="256"/>
      <c r="CXX507" s="325"/>
      <c r="CXY507" s="311"/>
      <c r="CXZ507" s="325"/>
      <c r="CYA507" s="310"/>
      <c r="CYB507" s="325"/>
      <c r="CYC507" s="325"/>
      <c r="CYD507" s="325"/>
      <c r="CYE507" s="325"/>
      <c r="CYF507" s="325"/>
      <c r="CYG507" s="325"/>
      <c r="CYH507" s="325"/>
      <c r="CYI507" s="325"/>
      <c r="CYJ507" s="325"/>
      <c r="CYK507" s="325"/>
      <c r="CYL507" s="325"/>
      <c r="CYM507" s="325"/>
      <c r="CYN507" s="325"/>
      <c r="CYO507" s="325"/>
      <c r="CYP507" s="325"/>
      <c r="CYQ507" s="325"/>
      <c r="CYR507" s="325"/>
      <c r="CYS507" s="325"/>
      <c r="CYT507" s="325"/>
      <c r="CYU507" s="325"/>
      <c r="CYV507" s="325"/>
      <c r="CYW507" s="325"/>
      <c r="CYX507" s="325"/>
      <c r="CYY507" s="325"/>
      <c r="CYZ507" s="325"/>
      <c r="CZA507" s="325"/>
      <c r="CZB507" s="325"/>
      <c r="CZC507" s="325"/>
      <c r="CZD507" s="325"/>
      <c r="CZE507" s="325"/>
      <c r="CZF507" s="327"/>
      <c r="CZG507" s="28"/>
      <c r="CZH507" s="324"/>
      <c r="CZI507" s="324"/>
      <c r="CZJ507" s="324"/>
      <c r="CZK507" s="324"/>
      <c r="CZL507" s="324"/>
      <c r="CZM507" s="324"/>
      <c r="CZN507" s="256"/>
      <c r="CZO507" s="325"/>
      <c r="CZP507" s="311"/>
      <c r="CZQ507" s="325"/>
      <c r="CZR507" s="310"/>
      <c r="CZS507" s="325"/>
      <c r="CZT507" s="325"/>
      <c r="CZU507" s="325"/>
      <c r="CZV507" s="325"/>
      <c r="CZW507" s="325"/>
      <c r="CZX507" s="325"/>
      <c r="CZY507" s="325"/>
      <c r="CZZ507" s="325"/>
      <c r="DAA507" s="325"/>
      <c r="DAB507" s="325"/>
      <c r="DAC507" s="325"/>
      <c r="DAD507" s="325"/>
      <c r="DAE507" s="325"/>
      <c r="DAF507" s="325"/>
      <c r="DAG507" s="325"/>
      <c r="DAH507" s="325"/>
      <c r="DAI507" s="325"/>
      <c r="DAJ507" s="325"/>
      <c r="DAK507" s="325"/>
      <c r="DAL507" s="325"/>
      <c r="DAM507" s="325"/>
      <c r="DAN507" s="325"/>
      <c r="DAO507" s="325"/>
      <c r="DAP507" s="325"/>
      <c r="DAQ507" s="325"/>
      <c r="DAR507" s="325"/>
      <c r="DAS507" s="325"/>
      <c r="DAT507" s="325"/>
      <c r="DAU507" s="325"/>
      <c r="DAV507" s="325"/>
      <c r="DAW507" s="327"/>
      <c r="DAX507" s="28"/>
      <c r="DAY507" s="324"/>
      <c r="DAZ507" s="324"/>
      <c r="DBA507" s="324"/>
      <c r="DBB507" s="324"/>
      <c r="DBC507" s="324"/>
      <c r="DBD507" s="324"/>
      <c r="DBE507" s="256"/>
      <c r="DBF507" s="325"/>
      <c r="DBG507" s="311"/>
      <c r="DBH507" s="325"/>
      <c r="DBI507" s="310"/>
      <c r="DBJ507" s="325"/>
      <c r="DBK507" s="325"/>
      <c r="DBL507" s="325"/>
      <c r="DBM507" s="325"/>
      <c r="DBN507" s="325"/>
      <c r="DBO507" s="325"/>
      <c r="DBP507" s="325"/>
      <c r="DBQ507" s="325"/>
      <c r="DBR507" s="325"/>
      <c r="DBS507" s="325"/>
      <c r="DBT507" s="325"/>
      <c r="DBU507" s="325"/>
      <c r="DBV507" s="325"/>
      <c r="DBW507" s="325"/>
      <c r="DBX507" s="325"/>
      <c r="DBY507" s="325"/>
      <c r="DBZ507" s="325"/>
      <c r="DCA507" s="325"/>
      <c r="DCB507" s="325"/>
      <c r="DCC507" s="325"/>
      <c r="DCD507" s="325"/>
      <c r="DCE507" s="325"/>
      <c r="DCF507" s="325"/>
      <c r="DCG507" s="325"/>
      <c r="DCH507" s="325"/>
      <c r="DCI507" s="325"/>
      <c r="DCJ507" s="325"/>
      <c r="DCK507" s="325"/>
      <c r="DCL507" s="325"/>
      <c r="DCM507" s="325"/>
      <c r="DCN507" s="327"/>
      <c r="DCO507" s="28"/>
      <c r="DCP507" s="324"/>
      <c r="DCQ507" s="324"/>
      <c r="DCR507" s="324"/>
      <c r="DCS507" s="324"/>
      <c r="DCT507" s="324"/>
      <c r="DCU507" s="324"/>
      <c r="DCV507" s="256"/>
      <c r="DCW507" s="325"/>
      <c r="DCX507" s="311"/>
      <c r="DCY507" s="325"/>
      <c r="DCZ507" s="310"/>
      <c r="DDA507" s="325"/>
      <c r="DDB507" s="325"/>
      <c r="DDC507" s="325"/>
      <c r="DDD507" s="325"/>
      <c r="DDE507" s="325"/>
      <c r="DDF507" s="325"/>
      <c r="DDG507" s="325"/>
      <c r="DDH507" s="325"/>
      <c r="DDI507" s="325"/>
      <c r="DDJ507" s="325"/>
      <c r="DDK507" s="325"/>
      <c r="DDL507" s="325"/>
      <c r="DDM507" s="325"/>
      <c r="DDN507" s="325"/>
      <c r="DDO507" s="325"/>
      <c r="DDP507" s="325"/>
      <c r="DDQ507" s="325"/>
      <c r="DDR507" s="325"/>
      <c r="DDS507" s="325"/>
      <c r="DDT507" s="325"/>
      <c r="DDU507" s="325"/>
      <c r="DDV507" s="325"/>
      <c r="DDW507" s="325"/>
      <c r="DDX507" s="325"/>
      <c r="DDY507" s="325"/>
      <c r="DDZ507" s="325"/>
      <c r="DEA507" s="325"/>
      <c r="DEB507" s="325"/>
      <c r="DEC507" s="325"/>
      <c r="DED507" s="325"/>
      <c r="DEE507" s="327"/>
      <c r="DEF507" s="28"/>
      <c r="DEG507" s="324"/>
      <c r="DEH507" s="324"/>
      <c r="DEI507" s="324"/>
      <c r="DEJ507" s="324"/>
      <c r="DEK507" s="324"/>
      <c r="DEL507" s="324"/>
      <c r="DEM507" s="256"/>
      <c r="DEN507" s="325"/>
      <c r="DEO507" s="311"/>
      <c r="DEP507" s="325"/>
      <c r="DEQ507" s="310"/>
      <c r="DER507" s="325"/>
      <c r="DES507" s="325"/>
      <c r="DET507" s="325"/>
      <c r="DEU507" s="325"/>
      <c r="DEV507" s="325"/>
      <c r="DEW507" s="325"/>
      <c r="DEX507" s="325"/>
      <c r="DEY507" s="325"/>
      <c r="DEZ507" s="325"/>
      <c r="DFA507" s="325"/>
      <c r="DFB507" s="325"/>
      <c r="DFC507" s="325"/>
      <c r="DFD507" s="325"/>
      <c r="DFE507" s="325"/>
      <c r="DFF507" s="325"/>
      <c r="DFG507" s="325"/>
      <c r="DFH507" s="325"/>
      <c r="DFI507" s="325"/>
      <c r="DFJ507" s="325"/>
      <c r="DFK507" s="325"/>
      <c r="DFL507" s="325"/>
      <c r="DFM507" s="325"/>
      <c r="DFN507" s="325"/>
      <c r="DFO507" s="325"/>
      <c r="DFP507" s="325"/>
      <c r="DFQ507" s="325"/>
      <c r="DFR507" s="325"/>
      <c r="DFS507" s="325"/>
      <c r="DFT507" s="325"/>
      <c r="DFU507" s="325"/>
      <c r="DFV507" s="327"/>
      <c r="DFW507" s="28"/>
      <c r="DFX507" s="324"/>
      <c r="DFY507" s="324"/>
      <c r="DFZ507" s="324"/>
      <c r="DGA507" s="324"/>
      <c r="DGB507" s="324"/>
      <c r="DGC507" s="324"/>
      <c r="DGD507" s="256"/>
      <c r="DGE507" s="325"/>
      <c r="DGF507" s="311"/>
      <c r="DGG507" s="325"/>
      <c r="DGH507" s="310"/>
      <c r="DGI507" s="325"/>
      <c r="DGJ507" s="325"/>
      <c r="DGK507" s="325"/>
      <c r="DGL507" s="325"/>
      <c r="DGM507" s="325"/>
      <c r="DGN507" s="325"/>
      <c r="DGO507" s="325"/>
      <c r="DGP507" s="325"/>
      <c r="DGQ507" s="325"/>
      <c r="DGR507" s="325"/>
      <c r="DGS507" s="325"/>
      <c r="DGT507" s="325"/>
      <c r="DGU507" s="325"/>
      <c r="DGV507" s="325"/>
      <c r="DGW507" s="325"/>
      <c r="DGX507" s="325"/>
      <c r="DGY507" s="325"/>
      <c r="DGZ507" s="325"/>
      <c r="DHA507" s="325"/>
      <c r="DHB507" s="325"/>
      <c r="DHC507" s="325"/>
      <c r="DHD507" s="325"/>
      <c r="DHE507" s="325"/>
      <c r="DHF507" s="325"/>
      <c r="DHG507" s="325"/>
      <c r="DHH507" s="325"/>
      <c r="DHI507" s="325"/>
      <c r="DHJ507" s="325"/>
      <c r="DHK507" s="325"/>
      <c r="DHL507" s="325"/>
      <c r="DHM507" s="327"/>
      <c r="DHN507" s="28"/>
      <c r="DHO507" s="324"/>
      <c r="DHP507" s="324"/>
      <c r="DHQ507" s="324"/>
      <c r="DHR507" s="324"/>
      <c r="DHS507" s="324"/>
      <c r="DHT507" s="324"/>
      <c r="DHU507" s="256"/>
      <c r="DHV507" s="325"/>
      <c r="DHW507" s="311"/>
      <c r="DHX507" s="325"/>
      <c r="DHY507" s="310"/>
      <c r="DHZ507" s="325"/>
      <c r="DIA507" s="325"/>
      <c r="DIB507" s="325"/>
      <c r="DIC507" s="325"/>
      <c r="DID507" s="325"/>
      <c r="DIE507" s="325"/>
      <c r="DIF507" s="325"/>
      <c r="DIG507" s="325"/>
      <c r="DIH507" s="325"/>
      <c r="DII507" s="325"/>
      <c r="DIJ507" s="325"/>
      <c r="DIK507" s="325"/>
      <c r="DIL507" s="325"/>
      <c r="DIM507" s="325"/>
      <c r="DIN507" s="325"/>
      <c r="DIO507" s="325"/>
      <c r="DIP507" s="325"/>
      <c r="DIQ507" s="325"/>
      <c r="DIR507" s="325"/>
      <c r="DIS507" s="325"/>
      <c r="DIT507" s="325"/>
      <c r="DIU507" s="325"/>
      <c r="DIV507" s="325"/>
      <c r="DIW507" s="325"/>
      <c r="DIX507" s="325"/>
      <c r="DIY507" s="325"/>
      <c r="DIZ507" s="325"/>
      <c r="DJA507" s="325"/>
      <c r="DJB507" s="325"/>
      <c r="DJC507" s="325"/>
      <c r="DJD507" s="327"/>
      <c r="DJE507" s="28"/>
      <c r="DJF507" s="324"/>
      <c r="DJG507" s="324"/>
      <c r="DJH507" s="324"/>
      <c r="DJI507" s="324"/>
      <c r="DJJ507" s="324"/>
      <c r="DJK507" s="324"/>
      <c r="DJL507" s="256"/>
      <c r="DJM507" s="325"/>
      <c r="DJN507" s="311"/>
      <c r="DJO507" s="325"/>
      <c r="DJP507" s="310"/>
      <c r="DJQ507" s="325"/>
      <c r="DJR507" s="325"/>
      <c r="DJS507" s="325"/>
      <c r="DJT507" s="325"/>
      <c r="DJU507" s="325"/>
      <c r="DJV507" s="325"/>
      <c r="DJW507" s="325"/>
      <c r="DJX507" s="325"/>
      <c r="DJY507" s="325"/>
      <c r="DJZ507" s="325"/>
      <c r="DKA507" s="325"/>
      <c r="DKB507" s="325"/>
      <c r="DKC507" s="325"/>
      <c r="DKD507" s="325"/>
      <c r="DKE507" s="325"/>
      <c r="DKF507" s="325"/>
      <c r="DKG507" s="325"/>
      <c r="DKH507" s="325"/>
      <c r="DKI507" s="325"/>
      <c r="DKJ507" s="325"/>
      <c r="DKK507" s="325"/>
      <c r="DKL507" s="325"/>
      <c r="DKM507" s="325"/>
      <c r="DKN507" s="325"/>
      <c r="DKO507" s="325"/>
      <c r="DKP507" s="325"/>
      <c r="DKQ507" s="325"/>
      <c r="DKR507" s="325"/>
      <c r="DKS507" s="325"/>
      <c r="DKT507" s="325"/>
      <c r="DKU507" s="327"/>
      <c r="DKV507" s="28"/>
      <c r="DKW507" s="324"/>
      <c r="DKX507" s="324"/>
      <c r="DKY507" s="324"/>
      <c r="DKZ507" s="324"/>
      <c r="DLA507" s="324"/>
      <c r="DLB507" s="324"/>
      <c r="DLC507" s="256"/>
      <c r="DLD507" s="325"/>
      <c r="DLE507" s="311"/>
      <c r="DLF507" s="325"/>
      <c r="DLG507" s="310"/>
      <c r="DLH507" s="325"/>
      <c r="DLI507" s="325"/>
      <c r="DLJ507" s="325"/>
      <c r="DLK507" s="325"/>
      <c r="DLL507" s="325"/>
      <c r="DLM507" s="325"/>
      <c r="DLN507" s="325"/>
      <c r="DLO507" s="325"/>
      <c r="DLP507" s="325"/>
      <c r="DLQ507" s="325"/>
      <c r="DLR507" s="325"/>
      <c r="DLS507" s="325"/>
      <c r="DLT507" s="325"/>
      <c r="DLU507" s="325"/>
      <c r="DLV507" s="325"/>
      <c r="DLW507" s="325"/>
      <c r="DLX507" s="325"/>
      <c r="DLY507" s="325"/>
      <c r="DLZ507" s="325"/>
      <c r="DMA507" s="325"/>
      <c r="DMB507" s="325"/>
      <c r="DMC507" s="325"/>
      <c r="DMD507" s="325"/>
      <c r="DME507" s="325"/>
      <c r="DMF507" s="325"/>
      <c r="DMG507" s="325"/>
      <c r="DMH507" s="325"/>
      <c r="DMI507" s="325"/>
      <c r="DMJ507" s="325"/>
      <c r="DMK507" s="325"/>
      <c r="DML507" s="327"/>
      <c r="DMM507" s="28"/>
      <c r="DMN507" s="324"/>
      <c r="DMO507" s="324"/>
      <c r="DMP507" s="324"/>
      <c r="DMQ507" s="324"/>
      <c r="DMR507" s="324"/>
      <c r="DMS507" s="324"/>
      <c r="DMT507" s="256"/>
      <c r="DMU507" s="325"/>
      <c r="DMV507" s="311"/>
      <c r="DMW507" s="325"/>
      <c r="DMX507" s="310"/>
      <c r="DMY507" s="325"/>
      <c r="DMZ507" s="325"/>
      <c r="DNA507" s="325"/>
      <c r="DNB507" s="325"/>
      <c r="DNC507" s="325"/>
      <c r="DND507" s="325"/>
      <c r="DNE507" s="325"/>
      <c r="DNF507" s="325"/>
      <c r="DNG507" s="325"/>
      <c r="DNH507" s="325"/>
      <c r="DNI507" s="325"/>
      <c r="DNJ507" s="325"/>
      <c r="DNK507" s="325"/>
      <c r="DNL507" s="325"/>
      <c r="DNM507" s="325"/>
      <c r="DNN507" s="325"/>
      <c r="DNO507" s="325"/>
      <c r="DNP507" s="325"/>
      <c r="DNQ507" s="325"/>
      <c r="DNR507" s="325"/>
      <c r="DNS507" s="325"/>
      <c r="DNT507" s="325"/>
      <c r="DNU507" s="325"/>
      <c r="DNV507" s="325"/>
      <c r="DNW507" s="325"/>
      <c r="DNX507" s="325"/>
      <c r="DNY507" s="325"/>
      <c r="DNZ507" s="325"/>
      <c r="DOA507" s="325"/>
      <c r="DOB507" s="325"/>
      <c r="DOC507" s="327"/>
      <c r="DOD507" s="28"/>
      <c r="DOE507" s="324"/>
      <c r="DOF507" s="324"/>
      <c r="DOG507" s="324"/>
      <c r="DOH507" s="324"/>
      <c r="DOI507" s="324"/>
      <c r="DOJ507" s="324"/>
      <c r="DOK507" s="256"/>
      <c r="DOL507" s="325"/>
      <c r="DOM507" s="311"/>
      <c r="DON507" s="325"/>
      <c r="DOO507" s="310"/>
      <c r="DOP507" s="325"/>
      <c r="DOQ507" s="325"/>
      <c r="DOR507" s="325"/>
      <c r="DOS507" s="325"/>
      <c r="DOT507" s="325"/>
      <c r="DOU507" s="325"/>
      <c r="DOV507" s="325"/>
      <c r="DOW507" s="325"/>
      <c r="DOX507" s="325"/>
      <c r="DOY507" s="325"/>
      <c r="DOZ507" s="325"/>
      <c r="DPA507" s="325"/>
      <c r="DPB507" s="325"/>
      <c r="DPC507" s="325"/>
      <c r="DPD507" s="325"/>
      <c r="DPE507" s="325"/>
      <c r="DPF507" s="325"/>
      <c r="DPG507" s="325"/>
      <c r="DPH507" s="325"/>
      <c r="DPI507" s="325"/>
      <c r="DPJ507" s="325"/>
      <c r="DPK507" s="325"/>
      <c r="DPL507" s="325"/>
      <c r="DPM507" s="325"/>
      <c r="DPN507" s="325"/>
      <c r="DPO507" s="325"/>
      <c r="DPP507" s="325"/>
      <c r="DPQ507" s="325"/>
      <c r="DPR507" s="325"/>
      <c r="DPS507" s="325"/>
      <c r="DPT507" s="327"/>
      <c r="DPU507" s="28"/>
      <c r="DPV507" s="324"/>
      <c r="DPW507" s="324"/>
      <c r="DPX507" s="324"/>
      <c r="DPY507" s="324"/>
      <c r="DPZ507" s="324"/>
      <c r="DQA507" s="324"/>
      <c r="DQB507" s="256"/>
      <c r="DQC507" s="325"/>
      <c r="DQD507" s="311"/>
      <c r="DQE507" s="325"/>
      <c r="DQF507" s="310"/>
      <c r="DQG507" s="325"/>
      <c r="DQH507" s="325"/>
      <c r="DQI507" s="325"/>
      <c r="DQJ507" s="325"/>
      <c r="DQK507" s="325"/>
      <c r="DQL507" s="325"/>
      <c r="DQM507" s="325"/>
      <c r="DQN507" s="325"/>
      <c r="DQO507" s="325"/>
      <c r="DQP507" s="325"/>
      <c r="DQQ507" s="325"/>
      <c r="DQR507" s="325"/>
      <c r="DQS507" s="325"/>
      <c r="DQT507" s="325"/>
      <c r="DQU507" s="325"/>
      <c r="DQV507" s="325"/>
      <c r="DQW507" s="325"/>
      <c r="DQX507" s="325"/>
      <c r="DQY507" s="325"/>
      <c r="DQZ507" s="325"/>
      <c r="DRA507" s="325"/>
      <c r="DRB507" s="325"/>
      <c r="DRC507" s="325"/>
      <c r="DRD507" s="325"/>
      <c r="DRE507" s="325"/>
      <c r="DRF507" s="325"/>
      <c r="DRG507" s="325"/>
      <c r="DRH507" s="325"/>
      <c r="DRI507" s="325"/>
      <c r="DRJ507" s="325"/>
      <c r="DRK507" s="327"/>
      <c r="DRL507" s="28"/>
      <c r="DRM507" s="324"/>
      <c r="DRN507" s="324"/>
      <c r="DRO507" s="324"/>
      <c r="DRP507" s="324"/>
      <c r="DRQ507" s="324"/>
      <c r="DRR507" s="324"/>
      <c r="DRS507" s="256"/>
      <c r="DRT507" s="325"/>
      <c r="DRU507" s="311"/>
      <c r="DRV507" s="325"/>
      <c r="DRW507" s="310"/>
      <c r="DRX507" s="325"/>
      <c r="DRY507" s="325"/>
      <c r="DRZ507" s="325"/>
      <c r="DSA507" s="325"/>
      <c r="DSB507" s="325"/>
      <c r="DSC507" s="325"/>
      <c r="DSD507" s="325"/>
      <c r="DSE507" s="325"/>
      <c r="DSF507" s="325"/>
      <c r="DSG507" s="325"/>
      <c r="DSH507" s="325"/>
      <c r="DSI507" s="325"/>
      <c r="DSJ507" s="325"/>
      <c r="DSK507" s="325"/>
      <c r="DSL507" s="325"/>
      <c r="DSM507" s="325"/>
      <c r="DSN507" s="325"/>
      <c r="DSO507" s="325"/>
      <c r="DSP507" s="325"/>
      <c r="DSQ507" s="325"/>
      <c r="DSR507" s="325"/>
      <c r="DSS507" s="325"/>
      <c r="DST507" s="325"/>
      <c r="DSU507" s="325"/>
      <c r="DSV507" s="325"/>
      <c r="DSW507" s="325"/>
      <c r="DSX507" s="325"/>
      <c r="DSY507" s="325"/>
      <c r="DSZ507" s="325"/>
      <c r="DTA507" s="325"/>
      <c r="DTB507" s="327"/>
      <c r="DTC507" s="28"/>
      <c r="DTD507" s="324"/>
      <c r="DTE507" s="324"/>
      <c r="DTF507" s="324"/>
      <c r="DTG507" s="324"/>
      <c r="DTH507" s="324"/>
      <c r="DTI507" s="324"/>
      <c r="DTJ507" s="256"/>
      <c r="DTK507" s="325"/>
      <c r="DTL507" s="311"/>
      <c r="DTM507" s="325"/>
      <c r="DTN507" s="310"/>
      <c r="DTO507" s="325"/>
      <c r="DTP507" s="325"/>
      <c r="DTQ507" s="325"/>
      <c r="DTR507" s="325"/>
      <c r="DTS507" s="325"/>
      <c r="DTT507" s="325"/>
      <c r="DTU507" s="325"/>
      <c r="DTV507" s="325"/>
      <c r="DTW507" s="325"/>
      <c r="DTX507" s="325"/>
      <c r="DTY507" s="325"/>
      <c r="DTZ507" s="325"/>
      <c r="DUA507" s="325"/>
      <c r="DUB507" s="325"/>
      <c r="DUC507" s="325"/>
      <c r="DUD507" s="325"/>
      <c r="DUE507" s="325"/>
      <c r="DUF507" s="325"/>
      <c r="DUG507" s="325"/>
      <c r="DUH507" s="325"/>
      <c r="DUI507" s="325"/>
      <c r="DUJ507" s="325"/>
      <c r="DUK507" s="325"/>
      <c r="DUL507" s="325"/>
      <c r="DUM507" s="325"/>
      <c r="DUN507" s="325"/>
      <c r="DUO507" s="325"/>
      <c r="DUP507" s="325"/>
      <c r="DUQ507" s="325"/>
      <c r="DUR507" s="325"/>
      <c r="DUS507" s="327"/>
      <c r="DUT507" s="28"/>
      <c r="DUU507" s="324"/>
      <c r="DUV507" s="324"/>
      <c r="DUW507" s="324"/>
      <c r="DUX507" s="324"/>
      <c r="DUY507" s="324"/>
      <c r="DUZ507" s="324"/>
      <c r="DVA507" s="256"/>
      <c r="DVB507" s="325"/>
      <c r="DVC507" s="311"/>
      <c r="DVD507" s="325"/>
      <c r="DVE507" s="310"/>
      <c r="DVF507" s="325"/>
      <c r="DVG507" s="325"/>
      <c r="DVH507" s="325"/>
      <c r="DVI507" s="325"/>
      <c r="DVJ507" s="325"/>
      <c r="DVK507" s="325"/>
      <c r="DVL507" s="325"/>
      <c r="DVM507" s="325"/>
      <c r="DVN507" s="325"/>
      <c r="DVO507" s="325"/>
      <c r="DVP507" s="325"/>
      <c r="DVQ507" s="325"/>
      <c r="DVR507" s="325"/>
      <c r="DVS507" s="325"/>
      <c r="DVT507" s="325"/>
      <c r="DVU507" s="325"/>
      <c r="DVV507" s="325"/>
      <c r="DVW507" s="325"/>
      <c r="DVX507" s="325"/>
      <c r="DVY507" s="325"/>
      <c r="DVZ507" s="325"/>
      <c r="DWA507" s="325"/>
      <c r="DWB507" s="325"/>
      <c r="DWC507" s="325"/>
      <c r="DWD507" s="325"/>
      <c r="DWE507" s="325"/>
      <c r="DWF507" s="325"/>
      <c r="DWG507" s="325"/>
      <c r="DWH507" s="325"/>
      <c r="DWI507" s="325"/>
      <c r="DWJ507" s="327"/>
      <c r="DWK507" s="28"/>
      <c r="DWL507" s="324"/>
      <c r="DWM507" s="324"/>
      <c r="DWN507" s="324"/>
      <c r="DWO507" s="324"/>
      <c r="DWP507" s="324"/>
      <c r="DWQ507" s="324"/>
      <c r="DWR507" s="256"/>
      <c r="DWS507" s="325"/>
      <c r="DWT507" s="311"/>
      <c r="DWU507" s="325"/>
      <c r="DWV507" s="310"/>
      <c r="DWW507" s="325"/>
      <c r="DWX507" s="325"/>
      <c r="DWY507" s="325"/>
      <c r="DWZ507" s="325"/>
      <c r="DXA507" s="325"/>
      <c r="DXB507" s="325"/>
      <c r="DXC507" s="325"/>
      <c r="DXD507" s="325"/>
      <c r="DXE507" s="325"/>
      <c r="DXF507" s="325"/>
      <c r="DXG507" s="325"/>
      <c r="DXH507" s="325"/>
      <c r="DXI507" s="325"/>
      <c r="DXJ507" s="325"/>
      <c r="DXK507" s="325"/>
      <c r="DXL507" s="325"/>
      <c r="DXM507" s="325"/>
      <c r="DXN507" s="325"/>
      <c r="DXO507" s="325"/>
      <c r="DXP507" s="325"/>
      <c r="DXQ507" s="325"/>
      <c r="DXR507" s="325"/>
      <c r="DXS507" s="325"/>
      <c r="DXT507" s="325"/>
      <c r="DXU507" s="325"/>
      <c r="DXV507" s="325"/>
      <c r="DXW507" s="325"/>
      <c r="DXX507" s="325"/>
      <c r="DXY507" s="325"/>
      <c r="DXZ507" s="325"/>
      <c r="DYA507" s="327"/>
      <c r="DYB507" s="28"/>
      <c r="DYC507" s="324"/>
      <c r="DYD507" s="324"/>
      <c r="DYE507" s="324"/>
      <c r="DYF507" s="324"/>
      <c r="DYG507" s="324"/>
      <c r="DYH507" s="324"/>
      <c r="DYI507" s="256"/>
      <c r="DYJ507" s="325"/>
      <c r="DYK507" s="311"/>
      <c r="DYL507" s="325"/>
      <c r="DYM507" s="310"/>
      <c r="DYN507" s="325"/>
      <c r="DYO507" s="325"/>
      <c r="DYP507" s="325"/>
      <c r="DYQ507" s="325"/>
      <c r="DYR507" s="325"/>
      <c r="DYS507" s="325"/>
      <c r="DYT507" s="325"/>
      <c r="DYU507" s="325"/>
      <c r="DYV507" s="325"/>
      <c r="DYW507" s="325"/>
      <c r="DYX507" s="325"/>
      <c r="DYY507" s="325"/>
      <c r="DYZ507" s="325"/>
      <c r="DZA507" s="325"/>
      <c r="DZB507" s="325"/>
      <c r="DZC507" s="325"/>
      <c r="DZD507" s="325"/>
      <c r="DZE507" s="325"/>
      <c r="DZF507" s="325"/>
      <c r="DZG507" s="325"/>
      <c r="DZH507" s="325"/>
      <c r="DZI507" s="325"/>
      <c r="DZJ507" s="325"/>
      <c r="DZK507" s="325"/>
      <c r="DZL507" s="325"/>
      <c r="DZM507" s="325"/>
      <c r="DZN507" s="325"/>
      <c r="DZO507" s="325"/>
      <c r="DZP507" s="325"/>
      <c r="DZQ507" s="325"/>
      <c r="DZR507" s="327"/>
      <c r="DZS507" s="28"/>
      <c r="DZT507" s="324"/>
      <c r="DZU507" s="324"/>
      <c r="DZV507" s="324"/>
      <c r="DZW507" s="324"/>
      <c r="DZX507" s="324"/>
      <c r="DZY507" s="324"/>
      <c r="DZZ507" s="256"/>
      <c r="EAA507" s="325"/>
      <c r="EAB507" s="311"/>
      <c r="EAC507" s="325"/>
      <c r="EAD507" s="310"/>
      <c r="EAE507" s="325"/>
      <c r="EAF507" s="325"/>
      <c r="EAG507" s="325"/>
      <c r="EAH507" s="325"/>
      <c r="EAI507" s="325"/>
      <c r="EAJ507" s="325"/>
      <c r="EAK507" s="325"/>
      <c r="EAL507" s="325"/>
      <c r="EAM507" s="325"/>
      <c r="EAN507" s="325"/>
      <c r="EAO507" s="325"/>
      <c r="EAP507" s="325"/>
      <c r="EAQ507" s="325"/>
      <c r="EAR507" s="325"/>
      <c r="EAS507" s="325"/>
      <c r="EAT507" s="325"/>
      <c r="EAU507" s="325"/>
      <c r="EAV507" s="325"/>
      <c r="EAW507" s="325"/>
      <c r="EAX507" s="325"/>
      <c r="EAY507" s="325"/>
      <c r="EAZ507" s="325"/>
      <c r="EBA507" s="325"/>
      <c r="EBB507" s="325"/>
      <c r="EBC507" s="325"/>
      <c r="EBD507" s="325"/>
      <c r="EBE507" s="325"/>
      <c r="EBF507" s="325"/>
      <c r="EBG507" s="325"/>
      <c r="EBH507" s="325"/>
      <c r="EBI507" s="327"/>
      <c r="EBJ507" s="28"/>
      <c r="EBK507" s="324"/>
      <c r="EBL507" s="324"/>
      <c r="EBM507" s="324"/>
      <c r="EBN507" s="324"/>
      <c r="EBO507" s="324"/>
      <c r="EBP507" s="324"/>
      <c r="EBQ507" s="256"/>
      <c r="EBR507" s="325"/>
      <c r="EBS507" s="311"/>
      <c r="EBT507" s="325"/>
      <c r="EBU507" s="310"/>
      <c r="EBV507" s="325"/>
      <c r="EBW507" s="325"/>
      <c r="EBX507" s="325"/>
      <c r="EBY507" s="325"/>
      <c r="EBZ507" s="325"/>
      <c r="ECA507" s="325"/>
      <c r="ECB507" s="325"/>
      <c r="ECC507" s="325"/>
      <c r="ECD507" s="325"/>
      <c r="ECE507" s="325"/>
      <c r="ECF507" s="325"/>
      <c r="ECG507" s="325"/>
      <c r="ECH507" s="325"/>
      <c r="ECI507" s="325"/>
      <c r="ECJ507" s="325"/>
      <c r="ECK507" s="325"/>
      <c r="ECL507" s="325"/>
      <c r="ECM507" s="325"/>
      <c r="ECN507" s="325"/>
      <c r="ECO507" s="325"/>
      <c r="ECP507" s="325"/>
      <c r="ECQ507" s="325"/>
      <c r="ECR507" s="325"/>
      <c r="ECS507" s="325"/>
      <c r="ECT507" s="325"/>
      <c r="ECU507" s="325"/>
      <c r="ECV507" s="325"/>
      <c r="ECW507" s="325"/>
      <c r="ECX507" s="325"/>
      <c r="ECY507" s="325"/>
      <c r="ECZ507" s="327"/>
      <c r="EDA507" s="28"/>
      <c r="EDB507" s="324"/>
      <c r="EDC507" s="324"/>
      <c r="EDD507" s="324"/>
      <c r="EDE507" s="324"/>
      <c r="EDF507" s="324"/>
      <c r="EDG507" s="324"/>
      <c r="EDH507" s="256"/>
      <c r="EDI507" s="325"/>
      <c r="EDJ507" s="311"/>
      <c r="EDK507" s="325"/>
      <c r="EDL507" s="310"/>
      <c r="EDM507" s="325"/>
      <c r="EDN507" s="325"/>
      <c r="EDO507" s="325"/>
      <c r="EDP507" s="325"/>
      <c r="EDQ507" s="325"/>
      <c r="EDR507" s="325"/>
      <c r="EDS507" s="325"/>
      <c r="EDT507" s="325"/>
      <c r="EDU507" s="325"/>
      <c r="EDV507" s="325"/>
      <c r="EDW507" s="325"/>
      <c r="EDX507" s="325"/>
      <c r="EDY507" s="325"/>
      <c r="EDZ507" s="325"/>
      <c r="EEA507" s="325"/>
      <c r="EEB507" s="325"/>
      <c r="EEC507" s="325"/>
      <c r="EED507" s="325"/>
      <c r="EEE507" s="325"/>
      <c r="EEF507" s="325"/>
      <c r="EEG507" s="325"/>
      <c r="EEH507" s="325"/>
      <c r="EEI507" s="325"/>
      <c r="EEJ507" s="325"/>
      <c r="EEK507" s="325"/>
      <c r="EEL507" s="325"/>
      <c r="EEM507" s="325"/>
      <c r="EEN507" s="325"/>
      <c r="EEO507" s="325"/>
      <c r="EEP507" s="325"/>
      <c r="EEQ507" s="327"/>
      <c r="EER507" s="28"/>
      <c r="EES507" s="324"/>
      <c r="EET507" s="324"/>
      <c r="EEU507" s="324"/>
      <c r="EEV507" s="324"/>
      <c r="EEW507" s="324"/>
      <c r="EEX507" s="324"/>
      <c r="EEY507" s="256"/>
      <c r="EEZ507" s="325"/>
      <c r="EFA507" s="311"/>
      <c r="EFB507" s="325"/>
      <c r="EFC507" s="310"/>
      <c r="EFD507" s="325"/>
      <c r="EFE507" s="325"/>
      <c r="EFF507" s="325"/>
      <c r="EFG507" s="325"/>
      <c r="EFH507" s="325"/>
      <c r="EFI507" s="325"/>
      <c r="EFJ507" s="325"/>
      <c r="EFK507" s="325"/>
      <c r="EFL507" s="325"/>
      <c r="EFM507" s="325"/>
      <c r="EFN507" s="325"/>
      <c r="EFO507" s="325"/>
      <c r="EFP507" s="325"/>
      <c r="EFQ507" s="325"/>
      <c r="EFR507" s="325"/>
      <c r="EFS507" s="325"/>
      <c r="EFT507" s="325"/>
      <c r="EFU507" s="325"/>
      <c r="EFV507" s="325"/>
      <c r="EFW507" s="325"/>
      <c r="EFX507" s="325"/>
      <c r="EFY507" s="325"/>
      <c r="EFZ507" s="325"/>
      <c r="EGA507" s="325"/>
      <c r="EGB507" s="325"/>
      <c r="EGC507" s="325"/>
      <c r="EGD507" s="325"/>
      <c r="EGE507" s="325"/>
      <c r="EGF507" s="325"/>
      <c r="EGG507" s="325"/>
      <c r="EGH507" s="327"/>
      <c r="EGI507" s="28"/>
      <c r="EGJ507" s="324"/>
      <c r="EGK507" s="324"/>
      <c r="EGL507" s="324"/>
      <c r="EGM507" s="324"/>
      <c r="EGN507" s="324"/>
      <c r="EGO507" s="324"/>
      <c r="EGP507" s="256"/>
      <c r="EGQ507" s="325"/>
      <c r="EGR507" s="311"/>
      <c r="EGS507" s="325"/>
      <c r="EGT507" s="310"/>
      <c r="EGU507" s="325"/>
      <c r="EGV507" s="325"/>
      <c r="EGW507" s="325"/>
      <c r="EGX507" s="325"/>
      <c r="EGY507" s="325"/>
      <c r="EGZ507" s="325"/>
      <c r="EHA507" s="325"/>
      <c r="EHB507" s="325"/>
      <c r="EHC507" s="325"/>
      <c r="EHD507" s="325"/>
      <c r="EHE507" s="325"/>
      <c r="EHF507" s="325"/>
      <c r="EHG507" s="325"/>
      <c r="EHH507" s="325"/>
      <c r="EHI507" s="325"/>
      <c r="EHJ507" s="325"/>
      <c r="EHK507" s="325"/>
      <c r="EHL507" s="325"/>
      <c r="EHM507" s="325"/>
      <c r="EHN507" s="325"/>
      <c r="EHO507" s="325"/>
      <c r="EHP507" s="325"/>
      <c r="EHQ507" s="325"/>
      <c r="EHR507" s="325"/>
      <c r="EHS507" s="325"/>
      <c r="EHT507" s="325"/>
      <c r="EHU507" s="325"/>
      <c r="EHV507" s="325"/>
      <c r="EHW507" s="325"/>
      <c r="EHX507" s="325"/>
      <c r="EHY507" s="327"/>
      <c r="EHZ507" s="28"/>
      <c r="EIA507" s="324"/>
      <c r="EIB507" s="324"/>
      <c r="EIC507" s="324"/>
      <c r="EID507" s="324"/>
      <c r="EIE507" s="324"/>
      <c r="EIF507" s="324"/>
      <c r="EIG507" s="256"/>
      <c r="EIH507" s="325"/>
      <c r="EII507" s="311"/>
      <c r="EIJ507" s="325"/>
      <c r="EIK507" s="310"/>
      <c r="EIL507" s="325"/>
      <c r="EIM507" s="325"/>
      <c r="EIN507" s="325"/>
      <c r="EIO507" s="325"/>
      <c r="EIP507" s="325"/>
      <c r="EIQ507" s="325"/>
      <c r="EIR507" s="325"/>
      <c r="EIS507" s="325"/>
      <c r="EIT507" s="325"/>
      <c r="EIU507" s="325"/>
      <c r="EIV507" s="325"/>
      <c r="EIW507" s="325"/>
      <c r="EIX507" s="325"/>
      <c r="EIY507" s="325"/>
      <c r="EIZ507" s="325"/>
      <c r="EJA507" s="325"/>
      <c r="EJB507" s="325"/>
      <c r="EJC507" s="325"/>
      <c r="EJD507" s="325"/>
      <c r="EJE507" s="325"/>
      <c r="EJF507" s="325"/>
      <c r="EJG507" s="325"/>
      <c r="EJH507" s="325"/>
      <c r="EJI507" s="325"/>
      <c r="EJJ507" s="325"/>
      <c r="EJK507" s="325"/>
      <c r="EJL507" s="325"/>
      <c r="EJM507" s="325"/>
      <c r="EJN507" s="325"/>
      <c r="EJO507" s="325"/>
      <c r="EJP507" s="327"/>
      <c r="EJQ507" s="28"/>
      <c r="EJR507" s="324"/>
      <c r="EJS507" s="324"/>
      <c r="EJT507" s="324"/>
      <c r="EJU507" s="324"/>
      <c r="EJV507" s="324"/>
      <c r="EJW507" s="324"/>
      <c r="EJX507" s="256"/>
      <c r="EJY507" s="325"/>
      <c r="EJZ507" s="311"/>
      <c r="EKA507" s="325"/>
      <c r="EKB507" s="310"/>
      <c r="EKC507" s="325"/>
      <c r="EKD507" s="325"/>
      <c r="EKE507" s="325"/>
      <c r="EKF507" s="325"/>
      <c r="EKG507" s="325"/>
      <c r="EKH507" s="325"/>
      <c r="EKI507" s="325"/>
      <c r="EKJ507" s="325"/>
      <c r="EKK507" s="325"/>
      <c r="EKL507" s="325"/>
      <c r="EKM507" s="325"/>
      <c r="EKN507" s="325"/>
      <c r="EKO507" s="325"/>
      <c r="EKP507" s="325"/>
      <c r="EKQ507" s="325"/>
      <c r="EKR507" s="325"/>
      <c r="EKS507" s="325"/>
      <c r="EKT507" s="325"/>
      <c r="EKU507" s="325"/>
      <c r="EKV507" s="325"/>
      <c r="EKW507" s="325"/>
      <c r="EKX507" s="325"/>
      <c r="EKY507" s="325"/>
      <c r="EKZ507" s="325"/>
      <c r="ELA507" s="325"/>
      <c r="ELB507" s="325"/>
      <c r="ELC507" s="325"/>
      <c r="ELD507" s="325"/>
      <c r="ELE507" s="325"/>
      <c r="ELF507" s="325"/>
      <c r="ELG507" s="327"/>
      <c r="ELH507" s="28"/>
      <c r="ELI507" s="324"/>
      <c r="ELJ507" s="324"/>
      <c r="ELK507" s="324"/>
      <c r="ELL507" s="324"/>
      <c r="ELM507" s="324"/>
      <c r="ELN507" s="324"/>
      <c r="ELO507" s="256"/>
      <c r="ELP507" s="325"/>
      <c r="ELQ507" s="311"/>
      <c r="ELR507" s="325"/>
      <c r="ELS507" s="310"/>
      <c r="ELT507" s="325"/>
      <c r="ELU507" s="325"/>
      <c r="ELV507" s="325"/>
      <c r="ELW507" s="325"/>
      <c r="ELX507" s="325"/>
      <c r="ELY507" s="325"/>
      <c r="ELZ507" s="325"/>
      <c r="EMA507" s="325"/>
      <c r="EMB507" s="325"/>
      <c r="EMC507" s="325"/>
      <c r="EMD507" s="325"/>
      <c r="EME507" s="325"/>
      <c r="EMF507" s="325"/>
      <c r="EMG507" s="325"/>
      <c r="EMH507" s="325"/>
      <c r="EMI507" s="325"/>
      <c r="EMJ507" s="325"/>
      <c r="EMK507" s="325"/>
      <c r="EML507" s="325"/>
      <c r="EMM507" s="325"/>
      <c r="EMN507" s="325"/>
      <c r="EMO507" s="325"/>
      <c r="EMP507" s="325"/>
      <c r="EMQ507" s="325"/>
      <c r="EMR507" s="325"/>
      <c r="EMS507" s="325"/>
      <c r="EMT507" s="325"/>
      <c r="EMU507" s="325"/>
      <c r="EMV507" s="325"/>
      <c r="EMW507" s="325"/>
      <c r="EMX507" s="327"/>
      <c r="EMY507" s="28"/>
      <c r="EMZ507" s="324"/>
      <c r="ENA507" s="324"/>
      <c r="ENB507" s="324"/>
      <c r="ENC507" s="324"/>
      <c r="END507" s="324"/>
      <c r="ENE507" s="324"/>
      <c r="ENF507" s="256"/>
      <c r="ENG507" s="325"/>
      <c r="ENH507" s="311"/>
      <c r="ENI507" s="325"/>
      <c r="ENJ507" s="310"/>
      <c r="ENK507" s="325"/>
      <c r="ENL507" s="325"/>
      <c r="ENM507" s="325"/>
      <c r="ENN507" s="325"/>
      <c r="ENO507" s="325"/>
      <c r="ENP507" s="325"/>
      <c r="ENQ507" s="325"/>
      <c r="ENR507" s="325"/>
      <c r="ENS507" s="325"/>
      <c r="ENT507" s="325"/>
      <c r="ENU507" s="325"/>
      <c r="ENV507" s="325"/>
      <c r="ENW507" s="325"/>
      <c r="ENX507" s="325"/>
      <c r="ENY507" s="325"/>
      <c r="ENZ507" s="325"/>
      <c r="EOA507" s="325"/>
      <c r="EOB507" s="325"/>
      <c r="EOC507" s="325"/>
      <c r="EOD507" s="325"/>
      <c r="EOE507" s="325"/>
      <c r="EOF507" s="325"/>
      <c r="EOG507" s="325"/>
      <c r="EOH507" s="325"/>
      <c r="EOI507" s="325"/>
      <c r="EOJ507" s="325"/>
      <c r="EOK507" s="325"/>
      <c r="EOL507" s="325"/>
      <c r="EOM507" s="325"/>
      <c r="EON507" s="325"/>
      <c r="EOO507" s="327"/>
      <c r="EOP507" s="28"/>
      <c r="EOQ507" s="324"/>
      <c r="EOR507" s="324"/>
      <c r="EOS507" s="324"/>
      <c r="EOT507" s="324"/>
      <c r="EOU507" s="324"/>
      <c r="EOV507" s="324"/>
      <c r="EOW507" s="256"/>
      <c r="EOX507" s="325"/>
      <c r="EOY507" s="311"/>
      <c r="EOZ507" s="325"/>
      <c r="EPA507" s="310"/>
      <c r="EPB507" s="325"/>
      <c r="EPC507" s="325"/>
      <c r="EPD507" s="325"/>
      <c r="EPE507" s="325"/>
      <c r="EPF507" s="325"/>
      <c r="EPG507" s="325"/>
      <c r="EPH507" s="325"/>
      <c r="EPI507" s="325"/>
      <c r="EPJ507" s="325"/>
      <c r="EPK507" s="325"/>
      <c r="EPL507" s="325"/>
      <c r="EPM507" s="325"/>
      <c r="EPN507" s="325"/>
      <c r="EPO507" s="325"/>
      <c r="EPP507" s="325"/>
      <c r="EPQ507" s="325"/>
      <c r="EPR507" s="325"/>
      <c r="EPS507" s="325"/>
      <c r="EPT507" s="325"/>
      <c r="EPU507" s="325"/>
      <c r="EPV507" s="325"/>
      <c r="EPW507" s="325"/>
      <c r="EPX507" s="325"/>
      <c r="EPY507" s="325"/>
      <c r="EPZ507" s="325"/>
      <c r="EQA507" s="325"/>
      <c r="EQB507" s="325"/>
      <c r="EQC507" s="325"/>
      <c r="EQD507" s="325"/>
      <c r="EQE507" s="325"/>
      <c r="EQF507" s="327"/>
      <c r="EQG507" s="28"/>
      <c r="EQH507" s="324"/>
      <c r="EQI507" s="324"/>
      <c r="EQJ507" s="324"/>
      <c r="EQK507" s="324"/>
      <c r="EQL507" s="324"/>
      <c r="EQM507" s="324"/>
      <c r="EQN507" s="256"/>
      <c r="EQO507" s="325"/>
      <c r="EQP507" s="311"/>
      <c r="EQQ507" s="325"/>
      <c r="EQR507" s="310"/>
      <c r="EQS507" s="325"/>
      <c r="EQT507" s="325"/>
      <c r="EQU507" s="325"/>
      <c r="EQV507" s="325"/>
      <c r="EQW507" s="325"/>
      <c r="EQX507" s="325"/>
      <c r="EQY507" s="325"/>
      <c r="EQZ507" s="325"/>
      <c r="ERA507" s="325"/>
      <c r="ERB507" s="325"/>
      <c r="ERC507" s="325"/>
      <c r="ERD507" s="325"/>
      <c r="ERE507" s="325"/>
      <c r="ERF507" s="325"/>
      <c r="ERG507" s="325"/>
      <c r="ERH507" s="325"/>
      <c r="ERI507" s="325"/>
      <c r="ERJ507" s="325"/>
      <c r="ERK507" s="325"/>
      <c r="ERL507" s="325"/>
      <c r="ERM507" s="325"/>
      <c r="ERN507" s="325"/>
      <c r="ERO507" s="325"/>
      <c r="ERP507" s="325"/>
      <c r="ERQ507" s="325"/>
      <c r="ERR507" s="325"/>
      <c r="ERS507" s="325"/>
      <c r="ERT507" s="325"/>
      <c r="ERU507" s="325"/>
      <c r="ERV507" s="325"/>
      <c r="ERW507" s="327"/>
      <c r="ERX507" s="28"/>
      <c r="ERY507" s="324"/>
      <c r="ERZ507" s="324"/>
      <c r="ESA507" s="324"/>
      <c r="ESB507" s="324"/>
      <c r="ESC507" s="324"/>
      <c r="ESD507" s="324"/>
      <c r="ESE507" s="256"/>
      <c r="ESF507" s="325"/>
      <c r="ESG507" s="311"/>
      <c r="ESH507" s="325"/>
      <c r="ESI507" s="310"/>
      <c r="ESJ507" s="325"/>
      <c r="ESK507" s="325"/>
      <c r="ESL507" s="325"/>
      <c r="ESM507" s="325"/>
      <c r="ESN507" s="325"/>
      <c r="ESO507" s="325"/>
      <c r="ESP507" s="325"/>
      <c r="ESQ507" s="325"/>
      <c r="ESR507" s="325"/>
      <c r="ESS507" s="325"/>
      <c r="EST507" s="325"/>
      <c r="ESU507" s="325"/>
      <c r="ESV507" s="325"/>
      <c r="ESW507" s="325"/>
      <c r="ESX507" s="325"/>
      <c r="ESY507" s="325"/>
      <c r="ESZ507" s="325"/>
      <c r="ETA507" s="325"/>
      <c r="ETB507" s="325"/>
      <c r="ETC507" s="325"/>
      <c r="ETD507" s="325"/>
      <c r="ETE507" s="325"/>
      <c r="ETF507" s="325"/>
      <c r="ETG507" s="325"/>
      <c r="ETH507" s="325"/>
      <c r="ETI507" s="325"/>
      <c r="ETJ507" s="325"/>
      <c r="ETK507" s="325"/>
      <c r="ETL507" s="325"/>
      <c r="ETM507" s="325"/>
      <c r="ETN507" s="327"/>
      <c r="ETO507" s="28"/>
      <c r="ETP507" s="324"/>
      <c r="ETQ507" s="324"/>
      <c r="ETR507" s="324"/>
      <c r="ETS507" s="324"/>
      <c r="ETT507" s="324"/>
      <c r="ETU507" s="324"/>
      <c r="ETV507" s="256"/>
      <c r="ETW507" s="325"/>
      <c r="ETX507" s="311"/>
      <c r="ETY507" s="325"/>
      <c r="ETZ507" s="310"/>
      <c r="EUA507" s="325"/>
      <c r="EUB507" s="325"/>
      <c r="EUC507" s="325"/>
      <c r="EUD507" s="325"/>
      <c r="EUE507" s="325"/>
      <c r="EUF507" s="325"/>
      <c r="EUG507" s="325"/>
      <c r="EUH507" s="325"/>
      <c r="EUI507" s="325"/>
      <c r="EUJ507" s="325"/>
      <c r="EUK507" s="325"/>
      <c r="EUL507" s="325"/>
      <c r="EUM507" s="325"/>
      <c r="EUN507" s="325"/>
      <c r="EUO507" s="325"/>
      <c r="EUP507" s="325"/>
      <c r="EUQ507" s="325"/>
      <c r="EUR507" s="325"/>
      <c r="EUS507" s="325"/>
      <c r="EUT507" s="325"/>
      <c r="EUU507" s="325"/>
      <c r="EUV507" s="325"/>
      <c r="EUW507" s="325"/>
      <c r="EUX507" s="325"/>
      <c r="EUY507" s="325"/>
      <c r="EUZ507" s="325"/>
      <c r="EVA507" s="325"/>
      <c r="EVB507" s="325"/>
      <c r="EVC507" s="325"/>
      <c r="EVD507" s="325"/>
      <c r="EVE507" s="327"/>
      <c r="EVF507" s="28"/>
      <c r="EVG507" s="324"/>
      <c r="EVH507" s="324"/>
      <c r="EVI507" s="324"/>
      <c r="EVJ507" s="324"/>
      <c r="EVK507" s="324"/>
      <c r="EVL507" s="324"/>
      <c r="EVM507" s="256"/>
      <c r="EVN507" s="325"/>
      <c r="EVO507" s="311"/>
      <c r="EVP507" s="325"/>
      <c r="EVQ507" s="310"/>
      <c r="EVR507" s="325"/>
      <c r="EVS507" s="325"/>
      <c r="EVT507" s="325"/>
      <c r="EVU507" s="325"/>
      <c r="EVV507" s="325"/>
      <c r="EVW507" s="325"/>
      <c r="EVX507" s="325"/>
      <c r="EVY507" s="325"/>
      <c r="EVZ507" s="325"/>
      <c r="EWA507" s="325"/>
      <c r="EWB507" s="325"/>
      <c r="EWC507" s="325"/>
      <c r="EWD507" s="325"/>
      <c r="EWE507" s="325"/>
      <c r="EWF507" s="325"/>
      <c r="EWG507" s="325"/>
      <c r="EWH507" s="325"/>
      <c r="EWI507" s="325"/>
      <c r="EWJ507" s="325"/>
      <c r="EWK507" s="325"/>
      <c r="EWL507" s="325"/>
      <c r="EWM507" s="325"/>
      <c r="EWN507" s="325"/>
      <c r="EWO507" s="325"/>
      <c r="EWP507" s="325"/>
      <c r="EWQ507" s="325"/>
      <c r="EWR507" s="325"/>
      <c r="EWS507" s="325"/>
      <c r="EWT507" s="325"/>
      <c r="EWU507" s="325"/>
      <c r="EWV507" s="327"/>
      <c r="EWW507" s="28"/>
      <c r="EWX507" s="324"/>
      <c r="EWY507" s="324"/>
      <c r="EWZ507" s="324"/>
      <c r="EXA507" s="324"/>
      <c r="EXB507" s="324"/>
      <c r="EXC507" s="324"/>
      <c r="EXD507" s="256"/>
      <c r="EXE507" s="325"/>
      <c r="EXF507" s="311"/>
      <c r="EXG507" s="325"/>
      <c r="EXH507" s="310"/>
      <c r="EXI507" s="325"/>
      <c r="EXJ507" s="325"/>
      <c r="EXK507" s="325"/>
      <c r="EXL507" s="325"/>
      <c r="EXM507" s="325"/>
      <c r="EXN507" s="325"/>
      <c r="EXO507" s="325"/>
      <c r="EXP507" s="325"/>
      <c r="EXQ507" s="325"/>
      <c r="EXR507" s="325"/>
      <c r="EXS507" s="325"/>
      <c r="EXT507" s="325"/>
      <c r="EXU507" s="325"/>
      <c r="EXV507" s="325"/>
      <c r="EXW507" s="325"/>
      <c r="EXX507" s="325"/>
      <c r="EXY507" s="325"/>
      <c r="EXZ507" s="325"/>
      <c r="EYA507" s="325"/>
      <c r="EYB507" s="325"/>
      <c r="EYC507" s="325"/>
      <c r="EYD507" s="325"/>
      <c r="EYE507" s="325"/>
      <c r="EYF507" s="325"/>
      <c r="EYG507" s="325"/>
      <c r="EYH507" s="325"/>
      <c r="EYI507" s="325"/>
      <c r="EYJ507" s="325"/>
      <c r="EYK507" s="325"/>
      <c r="EYL507" s="325"/>
      <c r="EYM507" s="327"/>
      <c r="EYN507" s="28"/>
      <c r="EYO507" s="324"/>
      <c r="EYP507" s="324"/>
      <c r="EYQ507" s="324"/>
      <c r="EYR507" s="324"/>
      <c r="EYS507" s="324"/>
      <c r="EYT507" s="324"/>
      <c r="EYU507" s="256"/>
      <c r="EYV507" s="325"/>
      <c r="EYW507" s="311"/>
      <c r="EYX507" s="325"/>
      <c r="EYY507" s="310"/>
      <c r="EYZ507" s="325"/>
      <c r="EZA507" s="325"/>
      <c r="EZB507" s="325"/>
      <c r="EZC507" s="325"/>
      <c r="EZD507" s="325"/>
      <c r="EZE507" s="325"/>
      <c r="EZF507" s="325"/>
      <c r="EZG507" s="325"/>
      <c r="EZH507" s="325"/>
      <c r="EZI507" s="325"/>
      <c r="EZJ507" s="325"/>
      <c r="EZK507" s="325"/>
      <c r="EZL507" s="325"/>
      <c r="EZM507" s="325"/>
      <c r="EZN507" s="325"/>
      <c r="EZO507" s="325"/>
      <c r="EZP507" s="325"/>
      <c r="EZQ507" s="325"/>
      <c r="EZR507" s="325"/>
      <c r="EZS507" s="325"/>
      <c r="EZT507" s="325"/>
      <c r="EZU507" s="325"/>
      <c r="EZV507" s="325"/>
      <c r="EZW507" s="325"/>
      <c r="EZX507" s="325"/>
      <c r="EZY507" s="325"/>
      <c r="EZZ507" s="325"/>
      <c r="FAA507" s="325"/>
      <c r="FAB507" s="325"/>
      <c r="FAC507" s="325"/>
      <c r="FAD507" s="327"/>
      <c r="FAE507" s="28"/>
      <c r="FAF507" s="324"/>
      <c r="FAG507" s="324"/>
      <c r="FAH507" s="324"/>
      <c r="FAI507" s="324"/>
      <c r="FAJ507" s="324"/>
      <c r="FAK507" s="324"/>
      <c r="FAL507" s="256"/>
      <c r="FAM507" s="325"/>
      <c r="FAN507" s="311"/>
      <c r="FAO507" s="325"/>
      <c r="FAP507" s="310"/>
      <c r="FAQ507" s="325"/>
      <c r="FAR507" s="325"/>
      <c r="FAS507" s="325"/>
      <c r="FAT507" s="325"/>
      <c r="FAU507" s="325"/>
      <c r="FAV507" s="325"/>
      <c r="FAW507" s="325"/>
      <c r="FAX507" s="325"/>
      <c r="FAY507" s="325"/>
      <c r="FAZ507" s="325"/>
      <c r="FBA507" s="325"/>
      <c r="FBB507" s="325"/>
      <c r="FBC507" s="325"/>
      <c r="FBD507" s="325"/>
      <c r="FBE507" s="325"/>
      <c r="FBF507" s="325"/>
      <c r="FBG507" s="325"/>
      <c r="FBH507" s="325"/>
      <c r="FBI507" s="325"/>
      <c r="FBJ507" s="325"/>
      <c r="FBK507" s="325"/>
      <c r="FBL507" s="325"/>
      <c r="FBM507" s="325"/>
      <c r="FBN507" s="325"/>
      <c r="FBO507" s="325"/>
      <c r="FBP507" s="325"/>
      <c r="FBQ507" s="325"/>
      <c r="FBR507" s="325"/>
      <c r="FBS507" s="325"/>
      <c r="FBT507" s="325"/>
      <c r="FBU507" s="327"/>
      <c r="FBV507" s="28"/>
      <c r="FBW507" s="324"/>
      <c r="FBX507" s="324"/>
      <c r="FBY507" s="324"/>
      <c r="FBZ507" s="324"/>
      <c r="FCA507" s="324"/>
      <c r="FCB507" s="324"/>
      <c r="FCC507" s="256"/>
      <c r="FCD507" s="325"/>
      <c r="FCE507" s="311"/>
      <c r="FCF507" s="325"/>
      <c r="FCG507" s="310"/>
      <c r="FCH507" s="325"/>
      <c r="FCI507" s="325"/>
      <c r="FCJ507" s="325"/>
      <c r="FCK507" s="325"/>
      <c r="FCL507" s="325"/>
      <c r="FCM507" s="325"/>
      <c r="FCN507" s="325"/>
      <c r="FCO507" s="325"/>
      <c r="FCP507" s="325"/>
      <c r="FCQ507" s="325"/>
      <c r="FCR507" s="325"/>
      <c r="FCS507" s="325"/>
      <c r="FCT507" s="325"/>
      <c r="FCU507" s="325"/>
      <c r="FCV507" s="325"/>
      <c r="FCW507" s="325"/>
      <c r="FCX507" s="325"/>
      <c r="FCY507" s="325"/>
      <c r="FCZ507" s="325"/>
      <c r="FDA507" s="325"/>
      <c r="FDB507" s="325"/>
      <c r="FDC507" s="325"/>
      <c r="FDD507" s="325"/>
      <c r="FDE507" s="325"/>
      <c r="FDF507" s="325"/>
      <c r="FDG507" s="325"/>
      <c r="FDH507" s="325"/>
      <c r="FDI507" s="325"/>
      <c r="FDJ507" s="325"/>
      <c r="FDK507" s="325"/>
      <c r="FDL507" s="327"/>
      <c r="FDM507" s="28"/>
      <c r="FDN507" s="324"/>
      <c r="FDO507" s="324"/>
      <c r="FDP507" s="324"/>
      <c r="FDQ507" s="324"/>
      <c r="FDR507" s="324"/>
      <c r="FDS507" s="324"/>
      <c r="FDT507" s="256"/>
      <c r="FDU507" s="325"/>
      <c r="FDV507" s="311"/>
      <c r="FDW507" s="325"/>
      <c r="FDX507" s="310"/>
      <c r="FDY507" s="325"/>
      <c r="FDZ507" s="325"/>
      <c r="FEA507" s="325"/>
      <c r="FEB507" s="325"/>
      <c r="FEC507" s="325"/>
      <c r="FED507" s="325"/>
      <c r="FEE507" s="325"/>
      <c r="FEF507" s="325"/>
      <c r="FEG507" s="325"/>
      <c r="FEH507" s="325"/>
      <c r="FEI507" s="325"/>
      <c r="FEJ507" s="325"/>
      <c r="FEK507" s="325"/>
      <c r="FEL507" s="325"/>
      <c r="FEM507" s="325"/>
      <c r="FEN507" s="325"/>
      <c r="FEO507" s="325"/>
      <c r="FEP507" s="325"/>
      <c r="FEQ507" s="325"/>
      <c r="FER507" s="325"/>
      <c r="FES507" s="325"/>
      <c r="FET507" s="325"/>
      <c r="FEU507" s="325"/>
      <c r="FEV507" s="325"/>
      <c r="FEW507" s="325"/>
      <c r="FEX507" s="325"/>
      <c r="FEY507" s="325"/>
      <c r="FEZ507" s="325"/>
      <c r="FFA507" s="325"/>
      <c r="FFB507" s="325"/>
      <c r="FFC507" s="327"/>
      <c r="FFD507" s="28"/>
      <c r="FFE507" s="324"/>
      <c r="FFF507" s="324"/>
      <c r="FFG507" s="324"/>
      <c r="FFH507" s="324"/>
      <c r="FFI507" s="324"/>
      <c r="FFJ507" s="324"/>
      <c r="FFK507" s="256"/>
      <c r="FFL507" s="325"/>
      <c r="FFM507" s="311"/>
      <c r="FFN507" s="325"/>
      <c r="FFO507" s="310"/>
      <c r="FFP507" s="325"/>
      <c r="FFQ507" s="325"/>
      <c r="FFR507" s="325"/>
      <c r="FFS507" s="325"/>
      <c r="FFT507" s="325"/>
      <c r="FFU507" s="325"/>
      <c r="FFV507" s="325"/>
      <c r="FFW507" s="325"/>
      <c r="FFX507" s="325"/>
      <c r="FFY507" s="325"/>
      <c r="FFZ507" s="325"/>
      <c r="FGA507" s="325"/>
      <c r="FGB507" s="325"/>
      <c r="FGC507" s="325"/>
      <c r="FGD507" s="325"/>
      <c r="FGE507" s="325"/>
      <c r="FGF507" s="325"/>
      <c r="FGG507" s="325"/>
      <c r="FGH507" s="325"/>
      <c r="FGI507" s="325"/>
      <c r="FGJ507" s="325"/>
      <c r="FGK507" s="325"/>
      <c r="FGL507" s="325"/>
      <c r="FGM507" s="325"/>
      <c r="FGN507" s="325"/>
      <c r="FGO507" s="325"/>
      <c r="FGP507" s="325"/>
      <c r="FGQ507" s="325"/>
      <c r="FGR507" s="325"/>
      <c r="FGS507" s="325"/>
      <c r="FGT507" s="327"/>
      <c r="FGU507" s="28"/>
      <c r="FGV507" s="324"/>
      <c r="FGW507" s="324"/>
      <c r="FGX507" s="324"/>
      <c r="FGY507" s="324"/>
      <c r="FGZ507" s="324"/>
      <c r="FHA507" s="324"/>
      <c r="FHB507" s="256"/>
      <c r="FHC507" s="325"/>
      <c r="FHD507" s="311"/>
      <c r="FHE507" s="325"/>
      <c r="FHF507" s="310"/>
      <c r="FHG507" s="325"/>
      <c r="FHH507" s="325"/>
      <c r="FHI507" s="325"/>
      <c r="FHJ507" s="325"/>
      <c r="FHK507" s="325"/>
      <c r="FHL507" s="325"/>
      <c r="FHM507" s="325"/>
      <c r="FHN507" s="325"/>
      <c r="FHO507" s="325"/>
      <c r="FHP507" s="325"/>
      <c r="FHQ507" s="325"/>
      <c r="FHR507" s="325"/>
      <c r="FHS507" s="325"/>
      <c r="FHT507" s="325"/>
      <c r="FHU507" s="325"/>
      <c r="FHV507" s="325"/>
      <c r="FHW507" s="325"/>
      <c r="FHX507" s="325"/>
      <c r="FHY507" s="325"/>
      <c r="FHZ507" s="325"/>
      <c r="FIA507" s="325"/>
      <c r="FIB507" s="325"/>
      <c r="FIC507" s="325"/>
      <c r="FID507" s="325"/>
      <c r="FIE507" s="325"/>
      <c r="FIF507" s="325"/>
      <c r="FIG507" s="325"/>
      <c r="FIH507" s="325"/>
      <c r="FII507" s="325"/>
      <c r="FIJ507" s="325"/>
      <c r="FIK507" s="327"/>
      <c r="FIL507" s="28"/>
      <c r="FIM507" s="324"/>
      <c r="FIN507" s="324"/>
      <c r="FIO507" s="324"/>
      <c r="FIP507" s="324"/>
      <c r="FIQ507" s="324"/>
      <c r="FIR507" s="324"/>
      <c r="FIS507" s="256"/>
      <c r="FIT507" s="325"/>
      <c r="FIU507" s="311"/>
      <c r="FIV507" s="325"/>
      <c r="FIW507" s="310"/>
      <c r="FIX507" s="325"/>
      <c r="FIY507" s="325"/>
      <c r="FIZ507" s="325"/>
      <c r="FJA507" s="325"/>
      <c r="FJB507" s="325"/>
      <c r="FJC507" s="325"/>
      <c r="FJD507" s="325"/>
      <c r="FJE507" s="325"/>
      <c r="FJF507" s="325"/>
      <c r="FJG507" s="325"/>
      <c r="FJH507" s="325"/>
      <c r="FJI507" s="325"/>
      <c r="FJJ507" s="325"/>
      <c r="FJK507" s="325"/>
      <c r="FJL507" s="325"/>
      <c r="FJM507" s="325"/>
      <c r="FJN507" s="325"/>
      <c r="FJO507" s="325"/>
      <c r="FJP507" s="325"/>
      <c r="FJQ507" s="325"/>
      <c r="FJR507" s="325"/>
      <c r="FJS507" s="325"/>
      <c r="FJT507" s="325"/>
      <c r="FJU507" s="325"/>
      <c r="FJV507" s="325"/>
      <c r="FJW507" s="325"/>
      <c r="FJX507" s="325"/>
      <c r="FJY507" s="325"/>
      <c r="FJZ507" s="325"/>
      <c r="FKA507" s="325"/>
      <c r="FKB507" s="327"/>
      <c r="FKC507" s="28"/>
      <c r="FKD507" s="324"/>
      <c r="FKE507" s="324"/>
      <c r="FKF507" s="324"/>
      <c r="FKG507" s="324"/>
      <c r="FKH507" s="324"/>
      <c r="FKI507" s="324"/>
      <c r="FKJ507" s="256"/>
      <c r="FKK507" s="325"/>
      <c r="FKL507" s="311"/>
      <c r="FKM507" s="325"/>
      <c r="FKN507" s="310"/>
      <c r="FKO507" s="325"/>
      <c r="FKP507" s="325"/>
      <c r="FKQ507" s="325"/>
      <c r="FKR507" s="325"/>
      <c r="FKS507" s="325"/>
      <c r="FKT507" s="325"/>
      <c r="FKU507" s="325"/>
      <c r="FKV507" s="325"/>
      <c r="FKW507" s="325"/>
      <c r="FKX507" s="325"/>
      <c r="FKY507" s="325"/>
      <c r="FKZ507" s="325"/>
      <c r="FLA507" s="325"/>
      <c r="FLB507" s="325"/>
      <c r="FLC507" s="325"/>
      <c r="FLD507" s="325"/>
      <c r="FLE507" s="325"/>
      <c r="FLF507" s="325"/>
      <c r="FLG507" s="325"/>
      <c r="FLH507" s="325"/>
      <c r="FLI507" s="325"/>
      <c r="FLJ507" s="325"/>
      <c r="FLK507" s="325"/>
      <c r="FLL507" s="325"/>
      <c r="FLM507" s="325"/>
      <c r="FLN507" s="325"/>
      <c r="FLO507" s="325"/>
      <c r="FLP507" s="325"/>
      <c r="FLQ507" s="325"/>
      <c r="FLR507" s="325"/>
      <c r="FLS507" s="327"/>
      <c r="FLT507" s="28"/>
      <c r="FLU507" s="324"/>
      <c r="FLV507" s="324"/>
      <c r="FLW507" s="324"/>
      <c r="FLX507" s="324"/>
      <c r="FLY507" s="324"/>
      <c r="FLZ507" s="324"/>
      <c r="FMA507" s="256"/>
      <c r="FMB507" s="325"/>
      <c r="FMC507" s="311"/>
      <c r="FMD507" s="325"/>
      <c r="FME507" s="310"/>
      <c r="FMF507" s="325"/>
      <c r="FMG507" s="325"/>
      <c r="FMH507" s="325"/>
      <c r="FMI507" s="325"/>
      <c r="FMJ507" s="325"/>
      <c r="FMK507" s="325"/>
      <c r="FML507" s="325"/>
      <c r="FMM507" s="325"/>
      <c r="FMN507" s="325"/>
      <c r="FMO507" s="325"/>
      <c r="FMP507" s="325"/>
      <c r="FMQ507" s="325"/>
      <c r="FMR507" s="325"/>
      <c r="FMS507" s="325"/>
      <c r="FMT507" s="325"/>
      <c r="FMU507" s="325"/>
      <c r="FMV507" s="325"/>
      <c r="FMW507" s="325"/>
      <c r="FMX507" s="325"/>
      <c r="FMY507" s="325"/>
      <c r="FMZ507" s="325"/>
      <c r="FNA507" s="325"/>
      <c r="FNB507" s="325"/>
      <c r="FNC507" s="325"/>
      <c r="FND507" s="325"/>
      <c r="FNE507" s="325"/>
      <c r="FNF507" s="325"/>
      <c r="FNG507" s="325"/>
      <c r="FNH507" s="325"/>
      <c r="FNI507" s="325"/>
      <c r="FNJ507" s="327"/>
      <c r="FNK507" s="28"/>
      <c r="FNL507" s="324"/>
      <c r="FNM507" s="324"/>
      <c r="FNN507" s="324"/>
      <c r="FNO507" s="324"/>
      <c r="FNP507" s="324"/>
      <c r="FNQ507" s="324"/>
      <c r="FNR507" s="256"/>
      <c r="FNS507" s="325"/>
      <c r="FNT507" s="311"/>
      <c r="FNU507" s="325"/>
      <c r="FNV507" s="310"/>
      <c r="FNW507" s="325"/>
      <c r="FNX507" s="325"/>
      <c r="FNY507" s="325"/>
      <c r="FNZ507" s="325"/>
      <c r="FOA507" s="325"/>
      <c r="FOB507" s="325"/>
      <c r="FOC507" s="325"/>
      <c r="FOD507" s="325"/>
      <c r="FOE507" s="325"/>
      <c r="FOF507" s="325"/>
      <c r="FOG507" s="325"/>
      <c r="FOH507" s="325"/>
      <c r="FOI507" s="325"/>
      <c r="FOJ507" s="325"/>
      <c r="FOK507" s="325"/>
      <c r="FOL507" s="325"/>
      <c r="FOM507" s="325"/>
      <c r="FON507" s="325"/>
      <c r="FOO507" s="325"/>
      <c r="FOP507" s="325"/>
      <c r="FOQ507" s="325"/>
      <c r="FOR507" s="325"/>
      <c r="FOS507" s="325"/>
      <c r="FOT507" s="325"/>
      <c r="FOU507" s="325"/>
      <c r="FOV507" s="325"/>
      <c r="FOW507" s="325"/>
      <c r="FOX507" s="325"/>
      <c r="FOY507" s="325"/>
      <c r="FOZ507" s="325"/>
      <c r="FPA507" s="327"/>
      <c r="FPB507" s="28"/>
      <c r="FPC507" s="324"/>
      <c r="FPD507" s="324"/>
      <c r="FPE507" s="324"/>
      <c r="FPF507" s="324"/>
      <c r="FPG507" s="324"/>
      <c r="FPH507" s="324"/>
      <c r="FPI507" s="256"/>
      <c r="FPJ507" s="325"/>
      <c r="FPK507" s="311"/>
      <c r="FPL507" s="325"/>
      <c r="FPM507" s="310"/>
      <c r="FPN507" s="325"/>
      <c r="FPO507" s="325"/>
      <c r="FPP507" s="325"/>
      <c r="FPQ507" s="325"/>
      <c r="FPR507" s="325"/>
      <c r="FPS507" s="325"/>
      <c r="FPT507" s="325"/>
      <c r="FPU507" s="325"/>
      <c r="FPV507" s="325"/>
      <c r="FPW507" s="325"/>
      <c r="FPX507" s="325"/>
      <c r="FPY507" s="325"/>
      <c r="FPZ507" s="325"/>
      <c r="FQA507" s="325"/>
      <c r="FQB507" s="325"/>
      <c r="FQC507" s="325"/>
      <c r="FQD507" s="325"/>
      <c r="FQE507" s="325"/>
      <c r="FQF507" s="325"/>
      <c r="FQG507" s="325"/>
      <c r="FQH507" s="325"/>
      <c r="FQI507" s="325"/>
      <c r="FQJ507" s="325"/>
      <c r="FQK507" s="325"/>
      <c r="FQL507" s="325"/>
      <c r="FQM507" s="325"/>
      <c r="FQN507" s="325"/>
      <c r="FQO507" s="325"/>
      <c r="FQP507" s="325"/>
      <c r="FQQ507" s="325"/>
      <c r="FQR507" s="327"/>
      <c r="FQS507" s="28"/>
      <c r="FQT507" s="324"/>
      <c r="FQU507" s="324"/>
      <c r="FQV507" s="324"/>
      <c r="FQW507" s="324"/>
      <c r="FQX507" s="324"/>
      <c r="FQY507" s="324"/>
      <c r="FQZ507" s="256"/>
      <c r="FRA507" s="325"/>
      <c r="FRB507" s="311"/>
      <c r="FRC507" s="325"/>
      <c r="FRD507" s="310"/>
      <c r="FRE507" s="325"/>
      <c r="FRF507" s="325"/>
      <c r="FRG507" s="325"/>
      <c r="FRH507" s="325"/>
      <c r="FRI507" s="325"/>
      <c r="FRJ507" s="325"/>
      <c r="FRK507" s="325"/>
      <c r="FRL507" s="325"/>
      <c r="FRM507" s="325"/>
      <c r="FRN507" s="325"/>
      <c r="FRO507" s="325"/>
      <c r="FRP507" s="325"/>
      <c r="FRQ507" s="325"/>
      <c r="FRR507" s="325"/>
      <c r="FRS507" s="325"/>
      <c r="FRT507" s="325"/>
      <c r="FRU507" s="325"/>
      <c r="FRV507" s="325"/>
      <c r="FRW507" s="325"/>
      <c r="FRX507" s="325"/>
      <c r="FRY507" s="325"/>
      <c r="FRZ507" s="325"/>
      <c r="FSA507" s="325"/>
      <c r="FSB507" s="325"/>
      <c r="FSC507" s="325"/>
      <c r="FSD507" s="325"/>
      <c r="FSE507" s="325"/>
      <c r="FSF507" s="325"/>
      <c r="FSG507" s="325"/>
      <c r="FSH507" s="325"/>
      <c r="FSI507" s="327"/>
      <c r="FSJ507" s="28"/>
      <c r="FSK507" s="324"/>
      <c r="FSL507" s="324"/>
      <c r="FSM507" s="324"/>
      <c r="FSN507" s="324"/>
      <c r="FSO507" s="324"/>
      <c r="FSP507" s="324"/>
      <c r="FSQ507" s="256"/>
      <c r="FSR507" s="325"/>
      <c r="FSS507" s="311"/>
      <c r="FST507" s="325"/>
      <c r="FSU507" s="310"/>
      <c r="FSV507" s="325"/>
      <c r="FSW507" s="325"/>
      <c r="FSX507" s="325"/>
      <c r="FSY507" s="325"/>
      <c r="FSZ507" s="325"/>
      <c r="FTA507" s="325"/>
      <c r="FTB507" s="325"/>
      <c r="FTC507" s="325"/>
      <c r="FTD507" s="325"/>
      <c r="FTE507" s="325"/>
      <c r="FTF507" s="325"/>
      <c r="FTG507" s="325"/>
      <c r="FTH507" s="325"/>
      <c r="FTI507" s="325"/>
      <c r="FTJ507" s="325"/>
      <c r="FTK507" s="325"/>
      <c r="FTL507" s="325"/>
      <c r="FTM507" s="325"/>
      <c r="FTN507" s="325"/>
      <c r="FTO507" s="325"/>
      <c r="FTP507" s="325"/>
      <c r="FTQ507" s="325"/>
      <c r="FTR507" s="325"/>
      <c r="FTS507" s="325"/>
      <c r="FTT507" s="325"/>
      <c r="FTU507" s="325"/>
      <c r="FTV507" s="325"/>
      <c r="FTW507" s="325"/>
      <c r="FTX507" s="325"/>
      <c r="FTY507" s="325"/>
      <c r="FTZ507" s="327"/>
      <c r="FUA507" s="28"/>
      <c r="FUB507" s="324"/>
      <c r="FUC507" s="324"/>
      <c r="FUD507" s="324"/>
      <c r="FUE507" s="324"/>
      <c r="FUF507" s="324"/>
      <c r="FUG507" s="324"/>
      <c r="FUH507" s="256"/>
      <c r="FUI507" s="325"/>
      <c r="FUJ507" s="311"/>
      <c r="FUK507" s="325"/>
      <c r="FUL507" s="310"/>
      <c r="FUM507" s="325"/>
      <c r="FUN507" s="325"/>
      <c r="FUO507" s="325"/>
      <c r="FUP507" s="325"/>
      <c r="FUQ507" s="325"/>
      <c r="FUR507" s="325"/>
      <c r="FUS507" s="325"/>
      <c r="FUT507" s="325"/>
      <c r="FUU507" s="325"/>
      <c r="FUV507" s="325"/>
      <c r="FUW507" s="325"/>
      <c r="FUX507" s="325"/>
      <c r="FUY507" s="325"/>
      <c r="FUZ507" s="325"/>
      <c r="FVA507" s="325"/>
      <c r="FVB507" s="325"/>
      <c r="FVC507" s="325"/>
      <c r="FVD507" s="325"/>
      <c r="FVE507" s="325"/>
      <c r="FVF507" s="325"/>
      <c r="FVG507" s="325"/>
      <c r="FVH507" s="325"/>
      <c r="FVI507" s="325"/>
      <c r="FVJ507" s="325"/>
      <c r="FVK507" s="325"/>
      <c r="FVL507" s="325"/>
      <c r="FVM507" s="325"/>
      <c r="FVN507" s="325"/>
      <c r="FVO507" s="325"/>
      <c r="FVP507" s="325"/>
      <c r="FVQ507" s="327"/>
      <c r="FVR507" s="28"/>
      <c r="FVS507" s="324"/>
      <c r="FVT507" s="324"/>
      <c r="FVU507" s="324"/>
      <c r="FVV507" s="324"/>
      <c r="FVW507" s="324"/>
      <c r="FVX507" s="324"/>
      <c r="FVY507" s="256"/>
      <c r="FVZ507" s="325"/>
      <c r="FWA507" s="311"/>
      <c r="FWB507" s="325"/>
      <c r="FWC507" s="310"/>
      <c r="FWD507" s="325"/>
      <c r="FWE507" s="325"/>
      <c r="FWF507" s="325"/>
      <c r="FWG507" s="325"/>
      <c r="FWH507" s="325"/>
      <c r="FWI507" s="325"/>
      <c r="FWJ507" s="325"/>
      <c r="FWK507" s="325"/>
      <c r="FWL507" s="325"/>
      <c r="FWM507" s="325"/>
      <c r="FWN507" s="325"/>
      <c r="FWO507" s="325"/>
      <c r="FWP507" s="325"/>
      <c r="FWQ507" s="325"/>
      <c r="FWR507" s="325"/>
      <c r="FWS507" s="325"/>
      <c r="FWT507" s="325"/>
      <c r="FWU507" s="325"/>
      <c r="FWV507" s="325"/>
      <c r="FWW507" s="325"/>
      <c r="FWX507" s="325"/>
      <c r="FWY507" s="325"/>
      <c r="FWZ507" s="325"/>
      <c r="FXA507" s="325"/>
      <c r="FXB507" s="325"/>
      <c r="FXC507" s="325"/>
      <c r="FXD507" s="325"/>
      <c r="FXE507" s="325"/>
      <c r="FXF507" s="325"/>
      <c r="FXG507" s="325"/>
      <c r="FXH507" s="327"/>
      <c r="FXI507" s="28"/>
      <c r="FXJ507" s="324"/>
      <c r="FXK507" s="324"/>
      <c r="FXL507" s="324"/>
      <c r="FXM507" s="324"/>
      <c r="FXN507" s="324"/>
      <c r="FXO507" s="324"/>
      <c r="FXP507" s="256"/>
      <c r="FXQ507" s="325"/>
      <c r="FXR507" s="311"/>
      <c r="FXS507" s="325"/>
      <c r="FXT507" s="310"/>
      <c r="FXU507" s="325"/>
      <c r="FXV507" s="325"/>
      <c r="FXW507" s="325"/>
      <c r="FXX507" s="325"/>
      <c r="FXY507" s="325"/>
      <c r="FXZ507" s="325"/>
      <c r="FYA507" s="325"/>
      <c r="FYB507" s="325"/>
      <c r="FYC507" s="325"/>
      <c r="FYD507" s="325"/>
      <c r="FYE507" s="325"/>
      <c r="FYF507" s="325"/>
      <c r="FYG507" s="325"/>
      <c r="FYH507" s="325"/>
      <c r="FYI507" s="325"/>
      <c r="FYJ507" s="325"/>
      <c r="FYK507" s="325"/>
      <c r="FYL507" s="325"/>
      <c r="FYM507" s="325"/>
      <c r="FYN507" s="325"/>
      <c r="FYO507" s="325"/>
      <c r="FYP507" s="325"/>
      <c r="FYQ507" s="325"/>
      <c r="FYR507" s="325"/>
      <c r="FYS507" s="325"/>
      <c r="FYT507" s="325"/>
      <c r="FYU507" s="325"/>
      <c r="FYV507" s="325"/>
      <c r="FYW507" s="325"/>
      <c r="FYX507" s="325"/>
      <c r="FYY507" s="327"/>
      <c r="FYZ507" s="28"/>
      <c r="FZA507" s="324"/>
      <c r="FZB507" s="324"/>
      <c r="FZC507" s="324"/>
      <c r="FZD507" s="324"/>
      <c r="FZE507" s="324"/>
      <c r="FZF507" s="324"/>
      <c r="FZG507" s="256"/>
      <c r="FZH507" s="325"/>
      <c r="FZI507" s="311"/>
      <c r="FZJ507" s="325"/>
      <c r="FZK507" s="310"/>
      <c r="FZL507" s="325"/>
      <c r="FZM507" s="325"/>
      <c r="FZN507" s="325"/>
      <c r="FZO507" s="325"/>
      <c r="FZP507" s="325"/>
      <c r="FZQ507" s="325"/>
      <c r="FZR507" s="325"/>
      <c r="FZS507" s="325"/>
      <c r="FZT507" s="325"/>
      <c r="FZU507" s="325"/>
      <c r="FZV507" s="325"/>
      <c r="FZW507" s="325"/>
      <c r="FZX507" s="325"/>
      <c r="FZY507" s="325"/>
      <c r="FZZ507" s="325"/>
      <c r="GAA507" s="325"/>
      <c r="GAB507" s="325"/>
      <c r="GAC507" s="325"/>
      <c r="GAD507" s="325"/>
      <c r="GAE507" s="325"/>
      <c r="GAF507" s="325"/>
      <c r="GAG507" s="325"/>
      <c r="GAH507" s="325"/>
      <c r="GAI507" s="325"/>
      <c r="GAJ507" s="325"/>
      <c r="GAK507" s="325"/>
      <c r="GAL507" s="325"/>
      <c r="GAM507" s="325"/>
      <c r="GAN507" s="325"/>
      <c r="GAO507" s="325"/>
      <c r="GAP507" s="327"/>
      <c r="GAQ507" s="28"/>
      <c r="GAR507" s="324"/>
      <c r="GAS507" s="324"/>
      <c r="GAT507" s="324"/>
      <c r="GAU507" s="324"/>
      <c r="GAV507" s="324"/>
      <c r="GAW507" s="324"/>
      <c r="GAX507" s="256"/>
      <c r="GAY507" s="325"/>
      <c r="GAZ507" s="311"/>
      <c r="GBA507" s="325"/>
      <c r="GBB507" s="310"/>
      <c r="GBC507" s="325"/>
      <c r="GBD507" s="325"/>
      <c r="GBE507" s="325"/>
      <c r="GBF507" s="325"/>
      <c r="GBG507" s="325"/>
      <c r="GBH507" s="325"/>
      <c r="GBI507" s="325"/>
      <c r="GBJ507" s="325"/>
      <c r="GBK507" s="325"/>
      <c r="GBL507" s="325"/>
      <c r="GBM507" s="325"/>
      <c r="GBN507" s="325"/>
      <c r="GBO507" s="325"/>
      <c r="GBP507" s="325"/>
      <c r="GBQ507" s="325"/>
      <c r="GBR507" s="325"/>
      <c r="GBS507" s="325"/>
      <c r="GBT507" s="325"/>
      <c r="GBU507" s="325"/>
      <c r="GBV507" s="325"/>
      <c r="GBW507" s="325"/>
      <c r="GBX507" s="325"/>
      <c r="GBY507" s="325"/>
      <c r="GBZ507" s="325"/>
      <c r="GCA507" s="325"/>
      <c r="GCB507" s="325"/>
      <c r="GCC507" s="325"/>
      <c r="GCD507" s="325"/>
      <c r="GCE507" s="325"/>
      <c r="GCF507" s="325"/>
      <c r="GCG507" s="327"/>
      <c r="GCH507" s="28"/>
      <c r="GCI507" s="324"/>
      <c r="GCJ507" s="324"/>
      <c r="GCK507" s="324"/>
      <c r="GCL507" s="324"/>
      <c r="GCM507" s="324"/>
      <c r="GCN507" s="324"/>
      <c r="GCO507" s="256"/>
      <c r="GCP507" s="325"/>
      <c r="GCQ507" s="311"/>
      <c r="GCR507" s="325"/>
      <c r="GCS507" s="310"/>
      <c r="GCT507" s="325"/>
      <c r="GCU507" s="325"/>
      <c r="GCV507" s="325"/>
      <c r="GCW507" s="325"/>
      <c r="GCX507" s="325"/>
      <c r="GCY507" s="325"/>
      <c r="GCZ507" s="325"/>
      <c r="GDA507" s="325"/>
      <c r="GDB507" s="325"/>
      <c r="GDC507" s="325"/>
      <c r="GDD507" s="325"/>
      <c r="GDE507" s="325"/>
      <c r="GDF507" s="325"/>
      <c r="GDG507" s="325"/>
      <c r="GDH507" s="325"/>
      <c r="GDI507" s="325"/>
      <c r="GDJ507" s="325"/>
      <c r="GDK507" s="325"/>
      <c r="GDL507" s="325"/>
      <c r="GDM507" s="325"/>
      <c r="GDN507" s="325"/>
      <c r="GDO507" s="325"/>
      <c r="GDP507" s="325"/>
      <c r="GDQ507" s="325"/>
      <c r="GDR507" s="325"/>
      <c r="GDS507" s="325"/>
      <c r="GDT507" s="325"/>
      <c r="GDU507" s="325"/>
      <c r="GDV507" s="325"/>
      <c r="GDW507" s="325"/>
      <c r="GDX507" s="327"/>
      <c r="GDY507" s="28"/>
      <c r="GDZ507" s="324"/>
      <c r="GEA507" s="324"/>
      <c r="GEB507" s="324"/>
      <c r="GEC507" s="324"/>
      <c r="GED507" s="324"/>
      <c r="GEE507" s="324"/>
      <c r="GEF507" s="256"/>
      <c r="GEG507" s="325"/>
      <c r="GEH507" s="311"/>
      <c r="GEI507" s="325"/>
      <c r="GEJ507" s="310"/>
      <c r="GEK507" s="325"/>
      <c r="GEL507" s="325"/>
      <c r="GEM507" s="325"/>
      <c r="GEN507" s="325"/>
      <c r="GEO507" s="325"/>
      <c r="GEP507" s="325"/>
      <c r="GEQ507" s="325"/>
      <c r="GER507" s="325"/>
      <c r="GES507" s="325"/>
      <c r="GET507" s="325"/>
      <c r="GEU507" s="325"/>
      <c r="GEV507" s="325"/>
      <c r="GEW507" s="325"/>
      <c r="GEX507" s="325"/>
      <c r="GEY507" s="325"/>
      <c r="GEZ507" s="325"/>
      <c r="GFA507" s="325"/>
      <c r="GFB507" s="325"/>
      <c r="GFC507" s="325"/>
      <c r="GFD507" s="325"/>
      <c r="GFE507" s="325"/>
      <c r="GFF507" s="325"/>
      <c r="GFG507" s="325"/>
      <c r="GFH507" s="325"/>
      <c r="GFI507" s="325"/>
      <c r="GFJ507" s="325"/>
      <c r="GFK507" s="325"/>
      <c r="GFL507" s="325"/>
      <c r="GFM507" s="325"/>
      <c r="GFN507" s="325"/>
      <c r="GFO507" s="327"/>
      <c r="GFP507" s="28"/>
      <c r="GFQ507" s="324"/>
      <c r="GFR507" s="324"/>
      <c r="GFS507" s="324"/>
      <c r="GFT507" s="324"/>
      <c r="GFU507" s="324"/>
      <c r="GFV507" s="324"/>
      <c r="GFW507" s="256"/>
      <c r="GFX507" s="325"/>
      <c r="GFY507" s="311"/>
      <c r="GFZ507" s="325"/>
      <c r="GGA507" s="310"/>
      <c r="GGB507" s="325"/>
      <c r="GGC507" s="325"/>
      <c r="GGD507" s="325"/>
      <c r="GGE507" s="325"/>
      <c r="GGF507" s="325"/>
      <c r="GGG507" s="325"/>
      <c r="GGH507" s="325"/>
      <c r="GGI507" s="325"/>
      <c r="GGJ507" s="325"/>
      <c r="GGK507" s="325"/>
      <c r="GGL507" s="325"/>
      <c r="GGM507" s="325"/>
      <c r="GGN507" s="325"/>
      <c r="GGO507" s="325"/>
      <c r="GGP507" s="325"/>
      <c r="GGQ507" s="325"/>
      <c r="GGR507" s="325"/>
      <c r="GGS507" s="325"/>
      <c r="GGT507" s="325"/>
      <c r="GGU507" s="325"/>
      <c r="GGV507" s="325"/>
      <c r="GGW507" s="325"/>
      <c r="GGX507" s="325"/>
      <c r="GGY507" s="325"/>
      <c r="GGZ507" s="325"/>
      <c r="GHA507" s="325"/>
      <c r="GHB507" s="325"/>
      <c r="GHC507" s="325"/>
      <c r="GHD507" s="325"/>
      <c r="GHE507" s="325"/>
      <c r="GHF507" s="327"/>
      <c r="GHG507" s="28"/>
      <c r="GHH507" s="324"/>
      <c r="GHI507" s="324"/>
      <c r="GHJ507" s="324"/>
      <c r="GHK507" s="324"/>
      <c r="GHL507" s="324"/>
      <c r="GHM507" s="324"/>
      <c r="GHN507" s="256"/>
      <c r="GHO507" s="325"/>
      <c r="GHP507" s="311"/>
      <c r="GHQ507" s="325"/>
      <c r="GHR507" s="310"/>
      <c r="GHS507" s="325"/>
      <c r="GHT507" s="325"/>
      <c r="GHU507" s="325"/>
      <c r="GHV507" s="325"/>
      <c r="GHW507" s="325"/>
      <c r="GHX507" s="325"/>
      <c r="GHY507" s="325"/>
      <c r="GHZ507" s="325"/>
      <c r="GIA507" s="325"/>
      <c r="GIB507" s="325"/>
      <c r="GIC507" s="325"/>
      <c r="GID507" s="325"/>
      <c r="GIE507" s="325"/>
      <c r="GIF507" s="325"/>
      <c r="GIG507" s="325"/>
      <c r="GIH507" s="325"/>
      <c r="GII507" s="325"/>
      <c r="GIJ507" s="325"/>
      <c r="GIK507" s="325"/>
      <c r="GIL507" s="325"/>
      <c r="GIM507" s="325"/>
      <c r="GIN507" s="325"/>
      <c r="GIO507" s="325"/>
      <c r="GIP507" s="325"/>
      <c r="GIQ507" s="325"/>
      <c r="GIR507" s="325"/>
      <c r="GIS507" s="325"/>
      <c r="GIT507" s="325"/>
      <c r="GIU507" s="325"/>
      <c r="GIV507" s="325"/>
      <c r="GIW507" s="327"/>
      <c r="GIX507" s="28"/>
      <c r="GIY507" s="324"/>
      <c r="GIZ507" s="324"/>
      <c r="GJA507" s="324"/>
      <c r="GJB507" s="324"/>
      <c r="GJC507" s="324"/>
      <c r="GJD507" s="324"/>
      <c r="GJE507" s="256"/>
      <c r="GJF507" s="325"/>
      <c r="GJG507" s="311"/>
      <c r="GJH507" s="325"/>
      <c r="GJI507" s="310"/>
      <c r="GJJ507" s="325"/>
      <c r="GJK507" s="325"/>
      <c r="GJL507" s="325"/>
      <c r="GJM507" s="325"/>
      <c r="GJN507" s="325"/>
      <c r="GJO507" s="325"/>
      <c r="GJP507" s="325"/>
      <c r="GJQ507" s="325"/>
      <c r="GJR507" s="325"/>
      <c r="GJS507" s="325"/>
      <c r="GJT507" s="325"/>
      <c r="GJU507" s="325"/>
      <c r="GJV507" s="325"/>
      <c r="GJW507" s="325"/>
      <c r="GJX507" s="325"/>
      <c r="GJY507" s="325"/>
      <c r="GJZ507" s="325"/>
      <c r="GKA507" s="325"/>
      <c r="GKB507" s="325"/>
      <c r="GKC507" s="325"/>
      <c r="GKD507" s="325"/>
      <c r="GKE507" s="325"/>
      <c r="GKF507" s="325"/>
      <c r="GKG507" s="325"/>
      <c r="GKH507" s="325"/>
      <c r="GKI507" s="325"/>
      <c r="GKJ507" s="325"/>
      <c r="GKK507" s="325"/>
      <c r="GKL507" s="325"/>
      <c r="GKM507" s="325"/>
      <c r="GKN507" s="327"/>
      <c r="GKO507" s="28"/>
      <c r="GKP507" s="324"/>
      <c r="GKQ507" s="324"/>
      <c r="GKR507" s="324"/>
      <c r="GKS507" s="324"/>
      <c r="GKT507" s="324"/>
      <c r="GKU507" s="324"/>
      <c r="GKV507" s="256"/>
      <c r="GKW507" s="325"/>
      <c r="GKX507" s="311"/>
      <c r="GKY507" s="325"/>
      <c r="GKZ507" s="310"/>
      <c r="GLA507" s="325"/>
      <c r="GLB507" s="325"/>
      <c r="GLC507" s="325"/>
      <c r="GLD507" s="325"/>
      <c r="GLE507" s="325"/>
      <c r="GLF507" s="325"/>
      <c r="GLG507" s="325"/>
      <c r="GLH507" s="325"/>
      <c r="GLI507" s="325"/>
      <c r="GLJ507" s="325"/>
      <c r="GLK507" s="325"/>
      <c r="GLL507" s="325"/>
      <c r="GLM507" s="325"/>
      <c r="GLN507" s="325"/>
      <c r="GLO507" s="325"/>
      <c r="GLP507" s="325"/>
      <c r="GLQ507" s="325"/>
      <c r="GLR507" s="325"/>
      <c r="GLS507" s="325"/>
      <c r="GLT507" s="325"/>
      <c r="GLU507" s="325"/>
      <c r="GLV507" s="325"/>
      <c r="GLW507" s="325"/>
      <c r="GLX507" s="325"/>
      <c r="GLY507" s="325"/>
      <c r="GLZ507" s="325"/>
      <c r="GMA507" s="325"/>
      <c r="GMB507" s="325"/>
      <c r="GMC507" s="325"/>
      <c r="GMD507" s="325"/>
      <c r="GME507" s="327"/>
      <c r="GMF507" s="28"/>
      <c r="GMG507" s="324"/>
      <c r="GMH507" s="324"/>
      <c r="GMI507" s="324"/>
      <c r="GMJ507" s="324"/>
      <c r="GMK507" s="324"/>
      <c r="GML507" s="324"/>
      <c r="GMM507" s="256"/>
      <c r="GMN507" s="325"/>
      <c r="GMO507" s="311"/>
      <c r="GMP507" s="325"/>
      <c r="GMQ507" s="310"/>
      <c r="GMR507" s="325"/>
      <c r="GMS507" s="325"/>
      <c r="GMT507" s="325"/>
      <c r="GMU507" s="325"/>
      <c r="GMV507" s="325"/>
      <c r="GMW507" s="325"/>
      <c r="GMX507" s="325"/>
      <c r="GMY507" s="325"/>
      <c r="GMZ507" s="325"/>
      <c r="GNA507" s="325"/>
      <c r="GNB507" s="325"/>
      <c r="GNC507" s="325"/>
      <c r="GND507" s="325"/>
      <c r="GNE507" s="325"/>
      <c r="GNF507" s="325"/>
      <c r="GNG507" s="325"/>
      <c r="GNH507" s="325"/>
      <c r="GNI507" s="325"/>
      <c r="GNJ507" s="325"/>
      <c r="GNK507" s="325"/>
      <c r="GNL507" s="325"/>
      <c r="GNM507" s="325"/>
      <c r="GNN507" s="325"/>
      <c r="GNO507" s="325"/>
      <c r="GNP507" s="325"/>
      <c r="GNQ507" s="325"/>
      <c r="GNR507" s="325"/>
      <c r="GNS507" s="325"/>
      <c r="GNT507" s="325"/>
      <c r="GNU507" s="325"/>
      <c r="GNV507" s="327"/>
      <c r="GNW507" s="28"/>
      <c r="GNX507" s="324"/>
      <c r="GNY507" s="324"/>
      <c r="GNZ507" s="324"/>
      <c r="GOA507" s="324"/>
      <c r="GOB507" s="324"/>
      <c r="GOC507" s="324"/>
      <c r="GOD507" s="256"/>
      <c r="GOE507" s="325"/>
      <c r="GOF507" s="311"/>
      <c r="GOG507" s="325"/>
      <c r="GOH507" s="310"/>
      <c r="GOI507" s="325"/>
      <c r="GOJ507" s="325"/>
      <c r="GOK507" s="325"/>
      <c r="GOL507" s="325"/>
      <c r="GOM507" s="325"/>
      <c r="GON507" s="325"/>
      <c r="GOO507" s="325"/>
      <c r="GOP507" s="325"/>
      <c r="GOQ507" s="325"/>
      <c r="GOR507" s="325"/>
      <c r="GOS507" s="325"/>
      <c r="GOT507" s="325"/>
      <c r="GOU507" s="325"/>
      <c r="GOV507" s="325"/>
      <c r="GOW507" s="325"/>
      <c r="GOX507" s="325"/>
      <c r="GOY507" s="325"/>
      <c r="GOZ507" s="325"/>
      <c r="GPA507" s="325"/>
      <c r="GPB507" s="325"/>
      <c r="GPC507" s="325"/>
      <c r="GPD507" s="325"/>
      <c r="GPE507" s="325"/>
      <c r="GPF507" s="325"/>
      <c r="GPG507" s="325"/>
      <c r="GPH507" s="325"/>
      <c r="GPI507" s="325"/>
      <c r="GPJ507" s="325"/>
      <c r="GPK507" s="325"/>
      <c r="GPL507" s="325"/>
      <c r="GPM507" s="327"/>
      <c r="GPN507" s="28"/>
      <c r="GPO507" s="324"/>
      <c r="GPP507" s="324"/>
      <c r="GPQ507" s="324"/>
      <c r="GPR507" s="324"/>
      <c r="GPS507" s="324"/>
      <c r="GPT507" s="324"/>
      <c r="GPU507" s="256"/>
      <c r="GPV507" s="325"/>
      <c r="GPW507" s="311"/>
      <c r="GPX507" s="325"/>
      <c r="GPY507" s="310"/>
      <c r="GPZ507" s="325"/>
      <c r="GQA507" s="325"/>
      <c r="GQB507" s="325"/>
      <c r="GQC507" s="325"/>
      <c r="GQD507" s="325"/>
      <c r="GQE507" s="325"/>
      <c r="GQF507" s="325"/>
      <c r="GQG507" s="325"/>
      <c r="GQH507" s="325"/>
      <c r="GQI507" s="325"/>
      <c r="GQJ507" s="325"/>
      <c r="GQK507" s="325"/>
      <c r="GQL507" s="325"/>
      <c r="GQM507" s="325"/>
      <c r="GQN507" s="325"/>
      <c r="GQO507" s="325"/>
      <c r="GQP507" s="325"/>
      <c r="GQQ507" s="325"/>
      <c r="GQR507" s="325"/>
      <c r="GQS507" s="325"/>
      <c r="GQT507" s="325"/>
      <c r="GQU507" s="325"/>
      <c r="GQV507" s="325"/>
      <c r="GQW507" s="325"/>
      <c r="GQX507" s="325"/>
      <c r="GQY507" s="325"/>
      <c r="GQZ507" s="325"/>
      <c r="GRA507" s="325"/>
      <c r="GRB507" s="325"/>
      <c r="GRC507" s="325"/>
      <c r="GRD507" s="327"/>
      <c r="GRE507" s="28"/>
      <c r="GRF507" s="324"/>
      <c r="GRG507" s="324"/>
      <c r="GRH507" s="324"/>
      <c r="GRI507" s="324"/>
      <c r="GRJ507" s="324"/>
      <c r="GRK507" s="324"/>
      <c r="GRL507" s="256"/>
      <c r="GRM507" s="325"/>
      <c r="GRN507" s="311"/>
      <c r="GRO507" s="325"/>
      <c r="GRP507" s="310"/>
      <c r="GRQ507" s="325"/>
      <c r="GRR507" s="325"/>
      <c r="GRS507" s="325"/>
      <c r="GRT507" s="325"/>
      <c r="GRU507" s="325"/>
      <c r="GRV507" s="325"/>
      <c r="GRW507" s="325"/>
      <c r="GRX507" s="325"/>
      <c r="GRY507" s="325"/>
      <c r="GRZ507" s="325"/>
      <c r="GSA507" s="325"/>
      <c r="GSB507" s="325"/>
      <c r="GSC507" s="325"/>
      <c r="GSD507" s="325"/>
      <c r="GSE507" s="325"/>
      <c r="GSF507" s="325"/>
      <c r="GSG507" s="325"/>
      <c r="GSH507" s="325"/>
      <c r="GSI507" s="325"/>
      <c r="GSJ507" s="325"/>
      <c r="GSK507" s="325"/>
      <c r="GSL507" s="325"/>
      <c r="GSM507" s="325"/>
      <c r="GSN507" s="325"/>
      <c r="GSO507" s="325"/>
      <c r="GSP507" s="325"/>
      <c r="GSQ507" s="325"/>
      <c r="GSR507" s="325"/>
      <c r="GSS507" s="325"/>
      <c r="GST507" s="325"/>
      <c r="GSU507" s="327"/>
      <c r="GSV507" s="28"/>
      <c r="GSW507" s="324"/>
      <c r="GSX507" s="324"/>
      <c r="GSY507" s="324"/>
      <c r="GSZ507" s="324"/>
      <c r="GTA507" s="324"/>
      <c r="GTB507" s="324"/>
      <c r="GTC507" s="256"/>
      <c r="GTD507" s="325"/>
      <c r="GTE507" s="311"/>
      <c r="GTF507" s="325"/>
      <c r="GTG507" s="310"/>
      <c r="GTH507" s="325"/>
      <c r="GTI507" s="325"/>
      <c r="GTJ507" s="325"/>
      <c r="GTK507" s="325"/>
      <c r="GTL507" s="325"/>
      <c r="GTM507" s="325"/>
      <c r="GTN507" s="325"/>
      <c r="GTO507" s="325"/>
      <c r="GTP507" s="325"/>
      <c r="GTQ507" s="325"/>
      <c r="GTR507" s="325"/>
      <c r="GTS507" s="325"/>
      <c r="GTT507" s="325"/>
      <c r="GTU507" s="325"/>
      <c r="GTV507" s="325"/>
      <c r="GTW507" s="325"/>
      <c r="GTX507" s="325"/>
      <c r="GTY507" s="325"/>
      <c r="GTZ507" s="325"/>
      <c r="GUA507" s="325"/>
      <c r="GUB507" s="325"/>
      <c r="GUC507" s="325"/>
      <c r="GUD507" s="325"/>
      <c r="GUE507" s="325"/>
      <c r="GUF507" s="325"/>
      <c r="GUG507" s="325"/>
      <c r="GUH507" s="325"/>
      <c r="GUI507" s="325"/>
      <c r="GUJ507" s="325"/>
      <c r="GUK507" s="325"/>
      <c r="GUL507" s="327"/>
      <c r="GUM507" s="28"/>
      <c r="GUN507" s="324"/>
      <c r="GUO507" s="324"/>
      <c r="GUP507" s="324"/>
      <c r="GUQ507" s="324"/>
      <c r="GUR507" s="324"/>
      <c r="GUS507" s="324"/>
      <c r="GUT507" s="256"/>
      <c r="GUU507" s="325"/>
      <c r="GUV507" s="311"/>
      <c r="GUW507" s="325"/>
      <c r="GUX507" s="310"/>
      <c r="GUY507" s="325"/>
      <c r="GUZ507" s="325"/>
      <c r="GVA507" s="325"/>
      <c r="GVB507" s="325"/>
      <c r="GVC507" s="325"/>
      <c r="GVD507" s="325"/>
      <c r="GVE507" s="325"/>
      <c r="GVF507" s="325"/>
      <c r="GVG507" s="325"/>
      <c r="GVH507" s="325"/>
      <c r="GVI507" s="325"/>
      <c r="GVJ507" s="325"/>
      <c r="GVK507" s="325"/>
      <c r="GVL507" s="325"/>
      <c r="GVM507" s="325"/>
      <c r="GVN507" s="325"/>
      <c r="GVO507" s="325"/>
      <c r="GVP507" s="325"/>
      <c r="GVQ507" s="325"/>
      <c r="GVR507" s="325"/>
      <c r="GVS507" s="325"/>
      <c r="GVT507" s="325"/>
      <c r="GVU507" s="325"/>
      <c r="GVV507" s="325"/>
      <c r="GVW507" s="325"/>
      <c r="GVX507" s="325"/>
      <c r="GVY507" s="325"/>
      <c r="GVZ507" s="325"/>
      <c r="GWA507" s="325"/>
      <c r="GWB507" s="325"/>
      <c r="GWC507" s="327"/>
      <c r="GWD507" s="28"/>
      <c r="GWE507" s="324"/>
      <c r="GWF507" s="324"/>
      <c r="GWG507" s="324"/>
      <c r="GWH507" s="324"/>
      <c r="GWI507" s="324"/>
      <c r="GWJ507" s="324"/>
      <c r="GWK507" s="256"/>
      <c r="GWL507" s="325"/>
      <c r="GWM507" s="311"/>
      <c r="GWN507" s="325"/>
      <c r="GWO507" s="310"/>
      <c r="GWP507" s="325"/>
      <c r="GWQ507" s="325"/>
      <c r="GWR507" s="325"/>
      <c r="GWS507" s="325"/>
      <c r="GWT507" s="325"/>
      <c r="GWU507" s="325"/>
      <c r="GWV507" s="325"/>
      <c r="GWW507" s="325"/>
      <c r="GWX507" s="325"/>
      <c r="GWY507" s="325"/>
      <c r="GWZ507" s="325"/>
      <c r="GXA507" s="325"/>
      <c r="GXB507" s="325"/>
      <c r="GXC507" s="325"/>
      <c r="GXD507" s="325"/>
      <c r="GXE507" s="325"/>
      <c r="GXF507" s="325"/>
      <c r="GXG507" s="325"/>
      <c r="GXH507" s="325"/>
      <c r="GXI507" s="325"/>
      <c r="GXJ507" s="325"/>
      <c r="GXK507" s="325"/>
      <c r="GXL507" s="325"/>
      <c r="GXM507" s="325"/>
      <c r="GXN507" s="325"/>
      <c r="GXO507" s="325"/>
      <c r="GXP507" s="325"/>
      <c r="GXQ507" s="325"/>
      <c r="GXR507" s="325"/>
      <c r="GXS507" s="325"/>
      <c r="GXT507" s="327"/>
      <c r="GXU507" s="28"/>
      <c r="GXV507" s="324"/>
      <c r="GXW507" s="324"/>
      <c r="GXX507" s="324"/>
      <c r="GXY507" s="324"/>
      <c r="GXZ507" s="324"/>
      <c r="GYA507" s="324"/>
      <c r="GYB507" s="256"/>
      <c r="GYC507" s="325"/>
      <c r="GYD507" s="311"/>
      <c r="GYE507" s="325"/>
      <c r="GYF507" s="310"/>
      <c r="GYG507" s="325"/>
      <c r="GYH507" s="325"/>
      <c r="GYI507" s="325"/>
      <c r="GYJ507" s="325"/>
      <c r="GYK507" s="325"/>
      <c r="GYL507" s="325"/>
      <c r="GYM507" s="325"/>
      <c r="GYN507" s="325"/>
      <c r="GYO507" s="325"/>
      <c r="GYP507" s="325"/>
      <c r="GYQ507" s="325"/>
      <c r="GYR507" s="325"/>
      <c r="GYS507" s="325"/>
      <c r="GYT507" s="325"/>
      <c r="GYU507" s="325"/>
      <c r="GYV507" s="325"/>
      <c r="GYW507" s="325"/>
      <c r="GYX507" s="325"/>
      <c r="GYY507" s="325"/>
      <c r="GYZ507" s="325"/>
      <c r="GZA507" s="325"/>
      <c r="GZB507" s="325"/>
      <c r="GZC507" s="325"/>
      <c r="GZD507" s="325"/>
      <c r="GZE507" s="325"/>
      <c r="GZF507" s="325"/>
      <c r="GZG507" s="325"/>
      <c r="GZH507" s="325"/>
      <c r="GZI507" s="325"/>
      <c r="GZJ507" s="325"/>
      <c r="GZK507" s="327"/>
      <c r="GZL507" s="28"/>
      <c r="GZM507" s="324"/>
      <c r="GZN507" s="324"/>
      <c r="GZO507" s="324"/>
      <c r="GZP507" s="324"/>
      <c r="GZQ507" s="324"/>
      <c r="GZR507" s="324"/>
      <c r="GZS507" s="256"/>
      <c r="GZT507" s="325"/>
      <c r="GZU507" s="311"/>
      <c r="GZV507" s="325"/>
      <c r="GZW507" s="310"/>
      <c r="GZX507" s="325"/>
      <c r="GZY507" s="325"/>
      <c r="GZZ507" s="325"/>
      <c r="HAA507" s="325"/>
      <c r="HAB507" s="325"/>
      <c r="HAC507" s="325"/>
      <c r="HAD507" s="325"/>
      <c r="HAE507" s="325"/>
      <c r="HAF507" s="325"/>
      <c r="HAG507" s="325"/>
      <c r="HAH507" s="325"/>
      <c r="HAI507" s="325"/>
      <c r="HAJ507" s="325"/>
      <c r="HAK507" s="325"/>
      <c r="HAL507" s="325"/>
      <c r="HAM507" s="325"/>
      <c r="HAN507" s="325"/>
      <c r="HAO507" s="325"/>
      <c r="HAP507" s="325"/>
      <c r="HAQ507" s="325"/>
      <c r="HAR507" s="325"/>
      <c r="HAS507" s="325"/>
      <c r="HAT507" s="325"/>
      <c r="HAU507" s="325"/>
      <c r="HAV507" s="325"/>
      <c r="HAW507" s="325"/>
      <c r="HAX507" s="325"/>
      <c r="HAY507" s="325"/>
      <c r="HAZ507" s="325"/>
      <c r="HBA507" s="325"/>
      <c r="HBB507" s="327"/>
      <c r="HBC507" s="28"/>
      <c r="HBD507" s="324"/>
      <c r="HBE507" s="324"/>
      <c r="HBF507" s="324"/>
      <c r="HBG507" s="324"/>
      <c r="HBH507" s="324"/>
      <c r="HBI507" s="324"/>
      <c r="HBJ507" s="256"/>
      <c r="HBK507" s="325"/>
      <c r="HBL507" s="311"/>
      <c r="HBM507" s="325"/>
      <c r="HBN507" s="310"/>
      <c r="HBO507" s="325"/>
      <c r="HBP507" s="325"/>
      <c r="HBQ507" s="325"/>
      <c r="HBR507" s="325"/>
      <c r="HBS507" s="325"/>
      <c r="HBT507" s="325"/>
      <c r="HBU507" s="325"/>
      <c r="HBV507" s="325"/>
      <c r="HBW507" s="325"/>
      <c r="HBX507" s="325"/>
      <c r="HBY507" s="325"/>
      <c r="HBZ507" s="325"/>
      <c r="HCA507" s="325"/>
      <c r="HCB507" s="325"/>
      <c r="HCC507" s="325"/>
      <c r="HCD507" s="325"/>
      <c r="HCE507" s="325"/>
      <c r="HCF507" s="325"/>
      <c r="HCG507" s="325"/>
      <c r="HCH507" s="325"/>
      <c r="HCI507" s="325"/>
      <c r="HCJ507" s="325"/>
      <c r="HCK507" s="325"/>
      <c r="HCL507" s="325"/>
      <c r="HCM507" s="325"/>
      <c r="HCN507" s="325"/>
      <c r="HCO507" s="325"/>
      <c r="HCP507" s="325"/>
      <c r="HCQ507" s="325"/>
      <c r="HCR507" s="325"/>
      <c r="HCS507" s="327"/>
      <c r="HCT507" s="28"/>
      <c r="HCU507" s="324"/>
      <c r="HCV507" s="324"/>
      <c r="HCW507" s="324"/>
      <c r="HCX507" s="324"/>
      <c r="HCY507" s="324"/>
      <c r="HCZ507" s="324"/>
      <c r="HDA507" s="256"/>
      <c r="HDB507" s="325"/>
      <c r="HDC507" s="311"/>
      <c r="HDD507" s="325"/>
      <c r="HDE507" s="310"/>
      <c r="HDF507" s="325"/>
      <c r="HDG507" s="325"/>
      <c r="HDH507" s="325"/>
      <c r="HDI507" s="325"/>
      <c r="HDJ507" s="325"/>
      <c r="HDK507" s="325"/>
      <c r="HDL507" s="325"/>
      <c r="HDM507" s="325"/>
      <c r="HDN507" s="325"/>
      <c r="HDO507" s="325"/>
      <c r="HDP507" s="325"/>
      <c r="HDQ507" s="325"/>
      <c r="HDR507" s="325"/>
      <c r="HDS507" s="325"/>
      <c r="HDT507" s="325"/>
      <c r="HDU507" s="325"/>
      <c r="HDV507" s="325"/>
      <c r="HDW507" s="325"/>
      <c r="HDX507" s="325"/>
      <c r="HDY507" s="325"/>
      <c r="HDZ507" s="325"/>
      <c r="HEA507" s="325"/>
      <c r="HEB507" s="325"/>
      <c r="HEC507" s="325"/>
      <c r="HED507" s="325"/>
      <c r="HEE507" s="325"/>
      <c r="HEF507" s="325"/>
      <c r="HEG507" s="325"/>
      <c r="HEH507" s="325"/>
      <c r="HEI507" s="325"/>
      <c r="HEJ507" s="327"/>
      <c r="HEK507" s="28"/>
      <c r="HEL507" s="324"/>
      <c r="HEM507" s="324"/>
      <c r="HEN507" s="324"/>
      <c r="HEO507" s="324"/>
      <c r="HEP507" s="324"/>
      <c r="HEQ507" s="324"/>
      <c r="HER507" s="256"/>
      <c r="HES507" s="325"/>
      <c r="HET507" s="311"/>
      <c r="HEU507" s="325"/>
      <c r="HEV507" s="310"/>
      <c r="HEW507" s="325"/>
      <c r="HEX507" s="325"/>
      <c r="HEY507" s="325"/>
      <c r="HEZ507" s="325"/>
      <c r="HFA507" s="325"/>
      <c r="HFB507" s="325"/>
      <c r="HFC507" s="325"/>
      <c r="HFD507" s="325"/>
      <c r="HFE507" s="325"/>
      <c r="HFF507" s="325"/>
      <c r="HFG507" s="325"/>
      <c r="HFH507" s="325"/>
      <c r="HFI507" s="325"/>
      <c r="HFJ507" s="325"/>
      <c r="HFK507" s="325"/>
      <c r="HFL507" s="325"/>
      <c r="HFM507" s="325"/>
      <c r="HFN507" s="325"/>
      <c r="HFO507" s="325"/>
      <c r="HFP507" s="325"/>
      <c r="HFQ507" s="325"/>
      <c r="HFR507" s="325"/>
      <c r="HFS507" s="325"/>
      <c r="HFT507" s="325"/>
      <c r="HFU507" s="325"/>
      <c r="HFV507" s="325"/>
      <c r="HFW507" s="325"/>
      <c r="HFX507" s="325"/>
      <c r="HFY507" s="325"/>
      <c r="HFZ507" s="325"/>
      <c r="HGA507" s="327"/>
      <c r="HGB507" s="28"/>
      <c r="HGC507" s="324"/>
      <c r="HGD507" s="324"/>
      <c r="HGE507" s="324"/>
      <c r="HGF507" s="324"/>
      <c r="HGG507" s="324"/>
      <c r="HGH507" s="324"/>
      <c r="HGI507" s="256"/>
      <c r="HGJ507" s="325"/>
      <c r="HGK507" s="311"/>
      <c r="HGL507" s="325"/>
      <c r="HGM507" s="310"/>
      <c r="HGN507" s="325"/>
      <c r="HGO507" s="325"/>
      <c r="HGP507" s="325"/>
      <c r="HGQ507" s="325"/>
      <c r="HGR507" s="325"/>
      <c r="HGS507" s="325"/>
      <c r="HGT507" s="325"/>
      <c r="HGU507" s="325"/>
      <c r="HGV507" s="325"/>
      <c r="HGW507" s="325"/>
      <c r="HGX507" s="325"/>
      <c r="HGY507" s="325"/>
      <c r="HGZ507" s="325"/>
      <c r="HHA507" s="325"/>
      <c r="HHB507" s="325"/>
      <c r="HHC507" s="325"/>
      <c r="HHD507" s="325"/>
      <c r="HHE507" s="325"/>
      <c r="HHF507" s="325"/>
      <c r="HHG507" s="325"/>
      <c r="HHH507" s="325"/>
      <c r="HHI507" s="325"/>
      <c r="HHJ507" s="325"/>
      <c r="HHK507" s="325"/>
      <c r="HHL507" s="325"/>
      <c r="HHM507" s="325"/>
      <c r="HHN507" s="325"/>
      <c r="HHO507" s="325"/>
      <c r="HHP507" s="325"/>
      <c r="HHQ507" s="325"/>
      <c r="HHR507" s="327"/>
      <c r="HHS507" s="28"/>
      <c r="HHT507" s="324"/>
      <c r="HHU507" s="324"/>
      <c r="HHV507" s="324"/>
      <c r="HHW507" s="324"/>
      <c r="HHX507" s="324"/>
      <c r="HHY507" s="324"/>
      <c r="HHZ507" s="256"/>
      <c r="HIA507" s="325"/>
      <c r="HIB507" s="311"/>
      <c r="HIC507" s="325"/>
      <c r="HID507" s="310"/>
      <c r="HIE507" s="325"/>
      <c r="HIF507" s="325"/>
      <c r="HIG507" s="325"/>
      <c r="HIH507" s="325"/>
      <c r="HII507" s="325"/>
      <c r="HIJ507" s="325"/>
      <c r="HIK507" s="325"/>
      <c r="HIL507" s="325"/>
      <c r="HIM507" s="325"/>
      <c r="HIN507" s="325"/>
      <c r="HIO507" s="325"/>
      <c r="HIP507" s="325"/>
      <c r="HIQ507" s="325"/>
      <c r="HIR507" s="325"/>
      <c r="HIS507" s="325"/>
      <c r="HIT507" s="325"/>
      <c r="HIU507" s="325"/>
      <c r="HIV507" s="325"/>
      <c r="HIW507" s="325"/>
      <c r="HIX507" s="325"/>
      <c r="HIY507" s="325"/>
      <c r="HIZ507" s="325"/>
      <c r="HJA507" s="325"/>
      <c r="HJB507" s="325"/>
      <c r="HJC507" s="325"/>
      <c r="HJD507" s="325"/>
      <c r="HJE507" s="325"/>
      <c r="HJF507" s="325"/>
      <c r="HJG507" s="325"/>
      <c r="HJH507" s="325"/>
      <c r="HJI507" s="327"/>
      <c r="HJJ507" s="28"/>
      <c r="HJK507" s="324"/>
      <c r="HJL507" s="324"/>
      <c r="HJM507" s="324"/>
      <c r="HJN507" s="324"/>
      <c r="HJO507" s="324"/>
      <c r="HJP507" s="324"/>
      <c r="HJQ507" s="256"/>
      <c r="HJR507" s="325"/>
      <c r="HJS507" s="311"/>
      <c r="HJT507" s="325"/>
      <c r="HJU507" s="310"/>
      <c r="HJV507" s="325"/>
      <c r="HJW507" s="325"/>
      <c r="HJX507" s="325"/>
      <c r="HJY507" s="325"/>
      <c r="HJZ507" s="325"/>
      <c r="HKA507" s="325"/>
      <c r="HKB507" s="325"/>
      <c r="HKC507" s="325"/>
      <c r="HKD507" s="325"/>
      <c r="HKE507" s="325"/>
      <c r="HKF507" s="325"/>
      <c r="HKG507" s="325"/>
      <c r="HKH507" s="325"/>
      <c r="HKI507" s="325"/>
      <c r="HKJ507" s="325"/>
      <c r="HKK507" s="325"/>
      <c r="HKL507" s="325"/>
      <c r="HKM507" s="325"/>
      <c r="HKN507" s="325"/>
      <c r="HKO507" s="325"/>
      <c r="HKP507" s="325"/>
      <c r="HKQ507" s="325"/>
      <c r="HKR507" s="325"/>
      <c r="HKS507" s="325"/>
      <c r="HKT507" s="325"/>
      <c r="HKU507" s="325"/>
      <c r="HKV507" s="325"/>
      <c r="HKW507" s="325"/>
      <c r="HKX507" s="325"/>
      <c r="HKY507" s="325"/>
      <c r="HKZ507" s="327"/>
      <c r="HLA507" s="28"/>
      <c r="HLB507" s="324"/>
      <c r="HLC507" s="324"/>
      <c r="HLD507" s="324"/>
      <c r="HLE507" s="324"/>
      <c r="HLF507" s="324"/>
      <c r="HLG507" s="324"/>
      <c r="HLH507" s="256"/>
      <c r="HLI507" s="325"/>
      <c r="HLJ507" s="311"/>
      <c r="HLK507" s="325"/>
      <c r="HLL507" s="310"/>
      <c r="HLM507" s="325"/>
      <c r="HLN507" s="325"/>
      <c r="HLO507" s="325"/>
      <c r="HLP507" s="325"/>
      <c r="HLQ507" s="325"/>
      <c r="HLR507" s="325"/>
      <c r="HLS507" s="325"/>
      <c r="HLT507" s="325"/>
      <c r="HLU507" s="325"/>
      <c r="HLV507" s="325"/>
      <c r="HLW507" s="325"/>
      <c r="HLX507" s="325"/>
      <c r="HLY507" s="325"/>
      <c r="HLZ507" s="325"/>
      <c r="HMA507" s="325"/>
      <c r="HMB507" s="325"/>
      <c r="HMC507" s="325"/>
      <c r="HMD507" s="325"/>
      <c r="HME507" s="325"/>
      <c r="HMF507" s="325"/>
      <c r="HMG507" s="325"/>
      <c r="HMH507" s="325"/>
      <c r="HMI507" s="325"/>
      <c r="HMJ507" s="325"/>
      <c r="HMK507" s="325"/>
      <c r="HML507" s="325"/>
      <c r="HMM507" s="325"/>
      <c r="HMN507" s="325"/>
      <c r="HMO507" s="325"/>
      <c r="HMP507" s="325"/>
      <c r="HMQ507" s="327"/>
      <c r="HMR507" s="28"/>
      <c r="HMS507" s="324"/>
      <c r="HMT507" s="324"/>
      <c r="HMU507" s="324"/>
      <c r="HMV507" s="324"/>
      <c r="HMW507" s="324"/>
      <c r="HMX507" s="324"/>
      <c r="HMY507" s="256"/>
      <c r="HMZ507" s="325"/>
      <c r="HNA507" s="311"/>
      <c r="HNB507" s="325"/>
      <c r="HNC507" s="310"/>
      <c r="HND507" s="325"/>
      <c r="HNE507" s="325"/>
      <c r="HNF507" s="325"/>
      <c r="HNG507" s="325"/>
      <c r="HNH507" s="325"/>
      <c r="HNI507" s="325"/>
      <c r="HNJ507" s="325"/>
      <c r="HNK507" s="325"/>
      <c r="HNL507" s="325"/>
      <c r="HNM507" s="325"/>
      <c r="HNN507" s="325"/>
      <c r="HNO507" s="325"/>
      <c r="HNP507" s="325"/>
      <c r="HNQ507" s="325"/>
      <c r="HNR507" s="325"/>
      <c r="HNS507" s="325"/>
      <c r="HNT507" s="325"/>
      <c r="HNU507" s="325"/>
      <c r="HNV507" s="325"/>
      <c r="HNW507" s="325"/>
      <c r="HNX507" s="325"/>
      <c r="HNY507" s="325"/>
      <c r="HNZ507" s="325"/>
      <c r="HOA507" s="325"/>
      <c r="HOB507" s="325"/>
      <c r="HOC507" s="325"/>
      <c r="HOD507" s="325"/>
      <c r="HOE507" s="325"/>
      <c r="HOF507" s="325"/>
      <c r="HOG507" s="325"/>
      <c r="HOH507" s="327"/>
      <c r="HOI507" s="28"/>
      <c r="HOJ507" s="324"/>
      <c r="HOK507" s="324"/>
      <c r="HOL507" s="324"/>
      <c r="HOM507" s="324"/>
      <c r="HON507" s="324"/>
      <c r="HOO507" s="324"/>
      <c r="HOP507" s="256"/>
      <c r="HOQ507" s="325"/>
      <c r="HOR507" s="311"/>
      <c r="HOS507" s="325"/>
      <c r="HOT507" s="310"/>
      <c r="HOU507" s="325"/>
      <c r="HOV507" s="325"/>
      <c r="HOW507" s="325"/>
      <c r="HOX507" s="325"/>
      <c r="HOY507" s="325"/>
      <c r="HOZ507" s="325"/>
      <c r="HPA507" s="325"/>
      <c r="HPB507" s="325"/>
      <c r="HPC507" s="325"/>
      <c r="HPD507" s="325"/>
      <c r="HPE507" s="325"/>
      <c r="HPF507" s="325"/>
      <c r="HPG507" s="325"/>
      <c r="HPH507" s="325"/>
      <c r="HPI507" s="325"/>
      <c r="HPJ507" s="325"/>
      <c r="HPK507" s="325"/>
      <c r="HPL507" s="325"/>
      <c r="HPM507" s="325"/>
      <c r="HPN507" s="325"/>
      <c r="HPO507" s="325"/>
      <c r="HPP507" s="325"/>
      <c r="HPQ507" s="325"/>
      <c r="HPR507" s="325"/>
      <c r="HPS507" s="325"/>
      <c r="HPT507" s="325"/>
      <c r="HPU507" s="325"/>
      <c r="HPV507" s="325"/>
      <c r="HPW507" s="325"/>
      <c r="HPX507" s="325"/>
      <c r="HPY507" s="327"/>
      <c r="HPZ507" s="28"/>
      <c r="HQA507" s="324"/>
      <c r="HQB507" s="324"/>
      <c r="HQC507" s="324"/>
      <c r="HQD507" s="324"/>
      <c r="HQE507" s="324"/>
      <c r="HQF507" s="324"/>
      <c r="HQG507" s="256"/>
      <c r="HQH507" s="325"/>
      <c r="HQI507" s="311"/>
      <c r="HQJ507" s="325"/>
      <c r="HQK507" s="310"/>
      <c r="HQL507" s="325"/>
      <c r="HQM507" s="325"/>
      <c r="HQN507" s="325"/>
      <c r="HQO507" s="325"/>
      <c r="HQP507" s="325"/>
      <c r="HQQ507" s="325"/>
      <c r="HQR507" s="325"/>
      <c r="HQS507" s="325"/>
      <c r="HQT507" s="325"/>
      <c r="HQU507" s="325"/>
      <c r="HQV507" s="325"/>
      <c r="HQW507" s="325"/>
      <c r="HQX507" s="325"/>
      <c r="HQY507" s="325"/>
      <c r="HQZ507" s="325"/>
      <c r="HRA507" s="325"/>
      <c r="HRB507" s="325"/>
      <c r="HRC507" s="325"/>
      <c r="HRD507" s="325"/>
      <c r="HRE507" s="325"/>
      <c r="HRF507" s="325"/>
      <c r="HRG507" s="325"/>
      <c r="HRH507" s="325"/>
      <c r="HRI507" s="325"/>
      <c r="HRJ507" s="325"/>
      <c r="HRK507" s="325"/>
      <c r="HRL507" s="325"/>
      <c r="HRM507" s="325"/>
      <c r="HRN507" s="325"/>
      <c r="HRO507" s="325"/>
      <c r="HRP507" s="327"/>
      <c r="HRQ507" s="28"/>
      <c r="HRR507" s="324"/>
      <c r="HRS507" s="324"/>
      <c r="HRT507" s="324"/>
      <c r="HRU507" s="324"/>
      <c r="HRV507" s="324"/>
      <c r="HRW507" s="324"/>
      <c r="HRX507" s="256"/>
      <c r="HRY507" s="325"/>
      <c r="HRZ507" s="311"/>
      <c r="HSA507" s="325"/>
      <c r="HSB507" s="310"/>
      <c r="HSC507" s="325"/>
      <c r="HSD507" s="325"/>
      <c r="HSE507" s="325"/>
      <c r="HSF507" s="325"/>
      <c r="HSG507" s="325"/>
      <c r="HSH507" s="325"/>
      <c r="HSI507" s="325"/>
      <c r="HSJ507" s="325"/>
      <c r="HSK507" s="325"/>
      <c r="HSL507" s="325"/>
      <c r="HSM507" s="325"/>
      <c r="HSN507" s="325"/>
      <c r="HSO507" s="325"/>
      <c r="HSP507" s="325"/>
      <c r="HSQ507" s="325"/>
      <c r="HSR507" s="325"/>
      <c r="HSS507" s="325"/>
      <c r="HST507" s="325"/>
      <c r="HSU507" s="325"/>
      <c r="HSV507" s="325"/>
      <c r="HSW507" s="325"/>
      <c r="HSX507" s="325"/>
      <c r="HSY507" s="325"/>
      <c r="HSZ507" s="325"/>
      <c r="HTA507" s="325"/>
      <c r="HTB507" s="325"/>
      <c r="HTC507" s="325"/>
      <c r="HTD507" s="325"/>
      <c r="HTE507" s="325"/>
      <c r="HTF507" s="325"/>
      <c r="HTG507" s="327"/>
      <c r="HTH507" s="28"/>
      <c r="HTI507" s="324"/>
      <c r="HTJ507" s="324"/>
      <c r="HTK507" s="324"/>
      <c r="HTL507" s="324"/>
      <c r="HTM507" s="324"/>
      <c r="HTN507" s="324"/>
      <c r="HTO507" s="256"/>
      <c r="HTP507" s="325"/>
      <c r="HTQ507" s="311"/>
      <c r="HTR507" s="325"/>
      <c r="HTS507" s="310"/>
      <c r="HTT507" s="325"/>
      <c r="HTU507" s="325"/>
      <c r="HTV507" s="325"/>
      <c r="HTW507" s="325"/>
      <c r="HTX507" s="325"/>
      <c r="HTY507" s="325"/>
      <c r="HTZ507" s="325"/>
      <c r="HUA507" s="325"/>
      <c r="HUB507" s="325"/>
      <c r="HUC507" s="325"/>
      <c r="HUD507" s="325"/>
      <c r="HUE507" s="325"/>
      <c r="HUF507" s="325"/>
      <c r="HUG507" s="325"/>
      <c r="HUH507" s="325"/>
      <c r="HUI507" s="325"/>
      <c r="HUJ507" s="325"/>
      <c r="HUK507" s="325"/>
      <c r="HUL507" s="325"/>
      <c r="HUM507" s="325"/>
      <c r="HUN507" s="325"/>
      <c r="HUO507" s="325"/>
      <c r="HUP507" s="325"/>
      <c r="HUQ507" s="325"/>
      <c r="HUR507" s="325"/>
      <c r="HUS507" s="325"/>
      <c r="HUT507" s="325"/>
      <c r="HUU507" s="325"/>
      <c r="HUV507" s="325"/>
      <c r="HUW507" s="325"/>
      <c r="HUX507" s="327"/>
      <c r="HUY507" s="28"/>
      <c r="HUZ507" s="324"/>
      <c r="HVA507" s="324"/>
      <c r="HVB507" s="324"/>
      <c r="HVC507" s="324"/>
      <c r="HVD507" s="324"/>
      <c r="HVE507" s="324"/>
      <c r="HVF507" s="256"/>
      <c r="HVG507" s="325"/>
      <c r="HVH507" s="311"/>
      <c r="HVI507" s="325"/>
      <c r="HVJ507" s="310"/>
      <c r="HVK507" s="325"/>
      <c r="HVL507" s="325"/>
      <c r="HVM507" s="325"/>
      <c r="HVN507" s="325"/>
      <c r="HVO507" s="325"/>
      <c r="HVP507" s="325"/>
      <c r="HVQ507" s="325"/>
      <c r="HVR507" s="325"/>
      <c r="HVS507" s="325"/>
      <c r="HVT507" s="325"/>
      <c r="HVU507" s="325"/>
      <c r="HVV507" s="325"/>
      <c r="HVW507" s="325"/>
      <c r="HVX507" s="325"/>
      <c r="HVY507" s="325"/>
      <c r="HVZ507" s="325"/>
      <c r="HWA507" s="325"/>
      <c r="HWB507" s="325"/>
      <c r="HWC507" s="325"/>
      <c r="HWD507" s="325"/>
      <c r="HWE507" s="325"/>
      <c r="HWF507" s="325"/>
      <c r="HWG507" s="325"/>
      <c r="HWH507" s="325"/>
      <c r="HWI507" s="325"/>
      <c r="HWJ507" s="325"/>
      <c r="HWK507" s="325"/>
      <c r="HWL507" s="325"/>
      <c r="HWM507" s="325"/>
      <c r="HWN507" s="325"/>
      <c r="HWO507" s="327"/>
      <c r="HWP507" s="28"/>
      <c r="HWQ507" s="324"/>
      <c r="HWR507" s="324"/>
      <c r="HWS507" s="324"/>
      <c r="HWT507" s="324"/>
      <c r="HWU507" s="324"/>
      <c r="HWV507" s="324"/>
      <c r="HWW507" s="256"/>
      <c r="HWX507" s="325"/>
      <c r="HWY507" s="311"/>
      <c r="HWZ507" s="325"/>
      <c r="HXA507" s="310"/>
      <c r="HXB507" s="325"/>
      <c r="HXC507" s="325"/>
      <c r="HXD507" s="325"/>
      <c r="HXE507" s="325"/>
      <c r="HXF507" s="325"/>
      <c r="HXG507" s="325"/>
      <c r="HXH507" s="325"/>
      <c r="HXI507" s="325"/>
      <c r="HXJ507" s="325"/>
      <c r="HXK507" s="325"/>
      <c r="HXL507" s="325"/>
      <c r="HXM507" s="325"/>
      <c r="HXN507" s="325"/>
      <c r="HXO507" s="325"/>
      <c r="HXP507" s="325"/>
      <c r="HXQ507" s="325"/>
      <c r="HXR507" s="325"/>
      <c r="HXS507" s="325"/>
      <c r="HXT507" s="325"/>
      <c r="HXU507" s="325"/>
      <c r="HXV507" s="325"/>
      <c r="HXW507" s="325"/>
      <c r="HXX507" s="325"/>
      <c r="HXY507" s="325"/>
      <c r="HXZ507" s="325"/>
      <c r="HYA507" s="325"/>
      <c r="HYB507" s="325"/>
      <c r="HYC507" s="325"/>
      <c r="HYD507" s="325"/>
      <c r="HYE507" s="325"/>
      <c r="HYF507" s="327"/>
      <c r="HYG507" s="28"/>
      <c r="HYH507" s="324"/>
      <c r="HYI507" s="324"/>
      <c r="HYJ507" s="324"/>
      <c r="HYK507" s="324"/>
      <c r="HYL507" s="324"/>
      <c r="HYM507" s="324"/>
      <c r="HYN507" s="256"/>
      <c r="HYO507" s="325"/>
      <c r="HYP507" s="311"/>
      <c r="HYQ507" s="325"/>
      <c r="HYR507" s="310"/>
      <c r="HYS507" s="325"/>
      <c r="HYT507" s="325"/>
      <c r="HYU507" s="325"/>
      <c r="HYV507" s="325"/>
      <c r="HYW507" s="325"/>
      <c r="HYX507" s="325"/>
      <c r="HYY507" s="325"/>
      <c r="HYZ507" s="325"/>
      <c r="HZA507" s="325"/>
      <c r="HZB507" s="325"/>
      <c r="HZC507" s="325"/>
      <c r="HZD507" s="325"/>
      <c r="HZE507" s="325"/>
      <c r="HZF507" s="325"/>
      <c r="HZG507" s="325"/>
      <c r="HZH507" s="325"/>
      <c r="HZI507" s="325"/>
      <c r="HZJ507" s="325"/>
      <c r="HZK507" s="325"/>
      <c r="HZL507" s="325"/>
      <c r="HZM507" s="325"/>
      <c r="HZN507" s="325"/>
      <c r="HZO507" s="325"/>
      <c r="HZP507" s="325"/>
      <c r="HZQ507" s="325"/>
      <c r="HZR507" s="325"/>
      <c r="HZS507" s="325"/>
      <c r="HZT507" s="325"/>
      <c r="HZU507" s="325"/>
      <c r="HZV507" s="325"/>
      <c r="HZW507" s="327"/>
      <c r="HZX507" s="28"/>
      <c r="HZY507" s="324"/>
      <c r="HZZ507" s="324"/>
      <c r="IAA507" s="324"/>
      <c r="IAB507" s="324"/>
      <c r="IAC507" s="324"/>
      <c r="IAD507" s="324"/>
      <c r="IAE507" s="256"/>
      <c r="IAF507" s="325"/>
      <c r="IAG507" s="311"/>
      <c r="IAH507" s="325"/>
      <c r="IAI507" s="310"/>
      <c r="IAJ507" s="325"/>
      <c r="IAK507" s="325"/>
      <c r="IAL507" s="325"/>
      <c r="IAM507" s="325"/>
      <c r="IAN507" s="325"/>
      <c r="IAO507" s="325"/>
      <c r="IAP507" s="325"/>
      <c r="IAQ507" s="325"/>
      <c r="IAR507" s="325"/>
      <c r="IAS507" s="325"/>
      <c r="IAT507" s="325"/>
      <c r="IAU507" s="325"/>
      <c r="IAV507" s="325"/>
      <c r="IAW507" s="325"/>
      <c r="IAX507" s="325"/>
      <c r="IAY507" s="325"/>
      <c r="IAZ507" s="325"/>
      <c r="IBA507" s="325"/>
      <c r="IBB507" s="325"/>
      <c r="IBC507" s="325"/>
      <c r="IBD507" s="325"/>
      <c r="IBE507" s="325"/>
      <c r="IBF507" s="325"/>
      <c r="IBG507" s="325"/>
      <c r="IBH507" s="325"/>
      <c r="IBI507" s="325"/>
      <c r="IBJ507" s="325"/>
      <c r="IBK507" s="325"/>
      <c r="IBL507" s="325"/>
      <c r="IBM507" s="325"/>
      <c r="IBN507" s="327"/>
      <c r="IBO507" s="28"/>
      <c r="IBP507" s="324"/>
      <c r="IBQ507" s="324"/>
      <c r="IBR507" s="324"/>
      <c r="IBS507" s="324"/>
      <c r="IBT507" s="324"/>
      <c r="IBU507" s="324"/>
      <c r="IBV507" s="256"/>
      <c r="IBW507" s="325"/>
      <c r="IBX507" s="311"/>
      <c r="IBY507" s="325"/>
      <c r="IBZ507" s="310"/>
      <c r="ICA507" s="325"/>
      <c r="ICB507" s="325"/>
      <c r="ICC507" s="325"/>
      <c r="ICD507" s="325"/>
      <c r="ICE507" s="325"/>
      <c r="ICF507" s="325"/>
      <c r="ICG507" s="325"/>
      <c r="ICH507" s="325"/>
      <c r="ICI507" s="325"/>
      <c r="ICJ507" s="325"/>
      <c r="ICK507" s="325"/>
      <c r="ICL507" s="325"/>
      <c r="ICM507" s="325"/>
      <c r="ICN507" s="325"/>
      <c r="ICO507" s="325"/>
      <c r="ICP507" s="325"/>
      <c r="ICQ507" s="325"/>
      <c r="ICR507" s="325"/>
      <c r="ICS507" s="325"/>
      <c r="ICT507" s="325"/>
      <c r="ICU507" s="325"/>
      <c r="ICV507" s="325"/>
      <c r="ICW507" s="325"/>
      <c r="ICX507" s="325"/>
      <c r="ICY507" s="325"/>
      <c r="ICZ507" s="325"/>
      <c r="IDA507" s="325"/>
      <c r="IDB507" s="325"/>
      <c r="IDC507" s="325"/>
      <c r="IDD507" s="325"/>
      <c r="IDE507" s="327"/>
      <c r="IDF507" s="28"/>
      <c r="IDG507" s="324"/>
      <c r="IDH507" s="324"/>
      <c r="IDI507" s="324"/>
      <c r="IDJ507" s="324"/>
      <c r="IDK507" s="324"/>
      <c r="IDL507" s="324"/>
      <c r="IDM507" s="256"/>
      <c r="IDN507" s="325"/>
      <c r="IDO507" s="311"/>
      <c r="IDP507" s="325"/>
      <c r="IDQ507" s="310"/>
      <c r="IDR507" s="325"/>
      <c r="IDS507" s="325"/>
      <c r="IDT507" s="325"/>
      <c r="IDU507" s="325"/>
      <c r="IDV507" s="325"/>
      <c r="IDW507" s="325"/>
      <c r="IDX507" s="325"/>
      <c r="IDY507" s="325"/>
      <c r="IDZ507" s="325"/>
      <c r="IEA507" s="325"/>
      <c r="IEB507" s="325"/>
      <c r="IEC507" s="325"/>
      <c r="IED507" s="325"/>
      <c r="IEE507" s="325"/>
      <c r="IEF507" s="325"/>
      <c r="IEG507" s="325"/>
      <c r="IEH507" s="325"/>
      <c r="IEI507" s="325"/>
      <c r="IEJ507" s="325"/>
      <c r="IEK507" s="325"/>
      <c r="IEL507" s="325"/>
      <c r="IEM507" s="325"/>
      <c r="IEN507" s="325"/>
      <c r="IEO507" s="325"/>
      <c r="IEP507" s="325"/>
      <c r="IEQ507" s="325"/>
      <c r="IER507" s="325"/>
      <c r="IES507" s="325"/>
      <c r="IET507" s="325"/>
      <c r="IEU507" s="325"/>
      <c r="IEV507" s="327"/>
      <c r="IEW507" s="28"/>
      <c r="IEX507" s="324"/>
      <c r="IEY507" s="324"/>
      <c r="IEZ507" s="324"/>
      <c r="IFA507" s="324"/>
      <c r="IFB507" s="324"/>
      <c r="IFC507" s="324"/>
      <c r="IFD507" s="256"/>
      <c r="IFE507" s="325"/>
      <c r="IFF507" s="311"/>
      <c r="IFG507" s="325"/>
      <c r="IFH507" s="310"/>
      <c r="IFI507" s="325"/>
      <c r="IFJ507" s="325"/>
      <c r="IFK507" s="325"/>
      <c r="IFL507" s="325"/>
      <c r="IFM507" s="325"/>
      <c r="IFN507" s="325"/>
      <c r="IFO507" s="325"/>
      <c r="IFP507" s="325"/>
      <c r="IFQ507" s="325"/>
      <c r="IFR507" s="325"/>
      <c r="IFS507" s="325"/>
      <c r="IFT507" s="325"/>
      <c r="IFU507" s="325"/>
      <c r="IFV507" s="325"/>
      <c r="IFW507" s="325"/>
      <c r="IFX507" s="325"/>
      <c r="IFY507" s="325"/>
      <c r="IFZ507" s="325"/>
      <c r="IGA507" s="325"/>
      <c r="IGB507" s="325"/>
      <c r="IGC507" s="325"/>
      <c r="IGD507" s="325"/>
      <c r="IGE507" s="325"/>
      <c r="IGF507" s="325"/>
      <c r="IGG507" s="325"/>
      <c r="IGH507" s="325"/>
      <c r="IGI507" s="325"/>
      <c r="IGJ507" s="325"/>
      <c r="IGK507" s="325"/>
      <c r="IGL507" s="325"/>
      <c r="IGM507" s="327"/>
      <c r="IGN507" s="28"/>
      <c r="IGO507" s="324"/>
      <c r="IGP507" s="324"/>
      <c r="IGQ507" s="324"/>
      <c r="IGR507" s="324"/>
      <c r="IGS507" s="324"/>
      <c r="IGT507" s="324"/>
      <c r="IGU507" s="256"/>
      <c r="IGV507" s="325"/>
      <c r="IGW507" s="311"/>
      <c r="IGX507" s="325"/>
      <c r="IGY507" s="310"/>
      <c r="IGZ507" s="325"/>
      <c r="IHA507" s="325"/>
      <c r="IHB507" s="325"/>
      <c r="IHC507" s="325"/>
      <c r="IHD507" s="325"/>
      <c r="IHE507" s="325"/>
      <c r="IHF507" s="325"/>
      <c r="IHG507" s="325"/>
      <c r="IHH507" s="325"/>
      <c r="IHI507" s="325"/>
      <c r="IHJ507" s="325"/>
      <c r="IHK507" s="325"/>
      <c r="IHL507" s="325"/>
      <c r="IHM507" s="325"/>
      <c r="IHN507" s="325"/>
      <c r="IHO507" s="325"/>
      <c r="IHP507" s="325"/>
      <c r="IHQ507" s="325"/>
      <c r="IHR507" s="325"/>
      <c r="IHS507" s="325"/>
      <c r="IHT507" s="325"/>
      <c r="IHU507" s="325"/>
      <c r="IHV507" s="325"/>
      <c r="IHW507" s="325"/>
      <c r="IHX507" s="325"/>
      <c r="IHY507" s="325"/>
      <c r="IHZ507" s="325"/>
      <c r="IIA507" s="325"/>
      <c r="IIB507" s="325"/>
      <c r="IIC507" s="325"/>
      <c r="IID507" s="327"/>
      <c r="IIE507" s="28"/>
      <c r="IIF507" s="324"/>
      <c r="IIG507" s="324"/>
      <c r="IIH507" s="324"/>
      <c r="III507" s="324"/>
      <c r="IIJ507" s="324"/>
      <c r="IIK507" s="324"/>
      <c r="IIL507" s="256"/>
      <c r="IIM507" s="325"/>
      <c r="IIN507" s="311"/>
      <c r="IIO507" s="325"/>
      <c r="IIP507" s="310"/>
      <c r="IIQ507" s="325"/>
      <c r="IIR507" s="325"/>
      <c r="IIS507" s="325"/>
      <c r="IIT507" s="325"/>
      <c r="IIU507" s="325"/>
      <c r="IIV507" s="325"/>
      <c r="IIW507" s="325"/>
      <c r="IIX507" s="325"/>
      <c r="IIY507" s="325"/>
      <c r="IIZ507" s="325"/>
      <c r="IJA507" s="325"/>
      <c r="IJB507" s="325"/>
      <c r="IJC507" s="325"/>
      <c r="IJD507" s="325"/>
      <c r="IJE507" s="325"/>
      <c r="IJF507" s="325"/>
      <c r="IJG507" s="325"/>
      <c r="IJH507" s="325"/>
      <c r="IJI507" s="325"/>
      <c r="IJJ507" s="325"/>
      <c r="IJK507" s="325"/>
      <c r="IJL507" s="325"/>
      <c r="IJM507" s="325"/>
      <c r="IJN507" s="325"/>
      <c r="IJO507" s="325"/>
      <c r="IJP507" s="325"/>
      <c r="IJQ507" s="325"/>
      <c r="IJR507" s="325"/>
      <c r="IJS507" s="325"/>
      <c r="IJT507" s="325"/>
      <c r="IJU507" s="327"/>
      <c r="IJV507" s="28"/>
      <c r="IJW507" s="324"/>
      <c r="IJX507" s="324"/>
      <c r="IJY507" s="324"/>
      <c r="IJZ507" s="324"/>
      <c r="IKA507" s="324"/>
      <c r="IKB507" s="324"/>
      <c r="IKC507" s="256"/>
      <c r="IKD507" s="325"/>
      <c r="IKE507" s="311"/>
      <c r="IKF507" s="325"/>
      <c r="IKG507" s="310"/>
      <c r="IKH507" s="325"/>
      <c r="IKI507" s="325"/>
      <c r="IKJ507" s="325"/>
      <c r="IKK507" s="325"/>
      <c r="IKL507" s="325"/>
      <c r="IKM507" s="325"/>
      <c r="IKN507" s="325"/>
      <c r="IKO507" s="325"/>
      <c r="IKP507" s="325"/>
      <c r="IKQ507" s="325"/>
      <c r="IKR507" s="325"/>
      <c r="IKS507" s="325"/>
      <c r="IKT507" s="325"/>
      <c r="IKU507" s="325"/>
      <c r="IKV507" s="325"/>
      <c r="IKW507" s="325"/>
      <c r="IKX507" s="325"/>
      <c r="IKY507" s="325"/>
      <c r="IKZ507" s="325"/>
      <c r="ILA507" s="325"/>
      <c r="ILB507" s="325"/>
      <c r="ILC507" s="325"/>
      <c r="ILD507" s="325"/>
      <c r="ILE507" s="325"/>
      <c r="ILF507" s="325"/>
      <c r="ILG507" s="325"/>
      <c r="ILH507" s="325"/>
      <c r="ILI507" s="325"/>
      <c r="ILJ507" s="325"/>
      <c r="ILK507" s="325"/>
      <c r="ILL507" s="327"/>
      <c r="ILM507" s="28"/>
      <c r="ILN507" s="324"/>
      <c r="ILO507" s="324"/>
      <c r="ILP507" s="324"/>
      <c r="ILQ507" s="324"/>
      <c r="ILR507" s="324"/>
      <c r="ILS507" s="324"/>
      <c r="ILT507" s="256"/>
      <c r="ILU507" s="325"/>
      <c r="ILV507" s="311"/>
      <c r="ILW507" s="325"/>
      <c r="ILX507" s="310"/>
      <c r="ILY507" s="325"/>
      <c r="ILZ507" s="325"/>
      <c r="IMA507" s="325"/>
      <c r="IMB507" s="325"/>
      <c r="IMC507" s="325"/>
      <c r="IMD507" s="325"/>
      <c r="IME507" s="325"/>
      <c r="IMF507" s="325"/>
      <c r="IMG507" s="325"/>
      <c r="IMH507" s="325"/>
      <c r="IMI507" s="325"/>
      <c r="IMJ507" s="325"/>
      <c r="IMK507" s="325"/>
      <c r="IML507" s="325"/>
      <c r="IMM507" s="325"/>
      <c r="IMN507" s="325"/>
      <c r="IMO507" s="325"/>
      <c r="IMP507" s="325"/>
      <c r="IMQ507" s="325"/>
      <c r="IMR507" s="325"/>
      <c r="IMS507" s="325"/>
      <c r="IMT507" s="325"/>
      <c r="IMU507" s="325"/>
      <c r="IMV507" s="325"/>
      <c r="IMW507" s="325"/>
      <c r="IMX507" s="325"/>
      <c r="IMY507" s="325"/>
      <c r="IMZ507" s="325"/>
      <c r="INA507" s="325"/>
      <c r="INB507" s="325"/>
      <c r="INC507" s="327"/>
      <c r="IND507" s="28"/>
      <c r="INE507" s="324"/>
      <c r="INF507" s="324"/>
      <c r="ING507" s="324"/>
      <c r="INH507" s="324"/>
      <c r="INI507" s="324"/>
      <c r="INJ507" s="324"/>
      <c r="INK507" s="256"/>
      <c r="INL507" s="325"/>
      <c r="INM507" s="311"/>
      <c r="INN507" s="325"/>
      <c r="INO507" s="310"/>
      <c r="INP507" s="325"/>
      <c r="INQ507" s="325"/>
      <c r="INR507" s="325"/>
      <c r="INS507" s="325"/>
      <c r="INT507" s="325"/>
      <c r="INU507" s="325"/>
      <c r="INV507" s="325"/>
      <c r="INW507" s="325"/>
      <c r="INX507" s="325"/>
      <c r="INY507" s="325"/>
      <c r="INZ507" s="325"/>
      <c r="IOA507" s="325"/>
      <c r="IOB507" s="325"/>
      <c r="IOC507" s="325"/>
      <c r="IOD507" s="325"/>
      <c r="IOE507" s="325"/>
      <c r="IOF507" s="325"/>
      <c r="IOG507" s="325"/>
      <c r="IOH507" s="325"/>
      <c r="IOI507" s="325"/>
      <c r="IOJ507" s="325"/>
      <c r="IOK507" s="325"/>
      <c r="IOL507" s="325"/>
      <c r="IOM507" s="325"/>
      <c r="ION507" s="325"/>
      <c r="IOO507" s="325"/>
      <c r="IOP507" s="325"/>
      <c r="IOQ507" s="325"/>
      <c r="IOR507" s="325"/>
      <c r="IOS507" s="325"/>
      <c r="IOT507" s="327"/>
      <c r="IOU507" s="28"/>
      <c r="IOV507" s="324"/>
      <c r="IOW507" s="324"/>
      <c r="IOX507" s="324"/>
      <c r="IOY507" s="324"/>
      <c r="IOZ507" s="324"/>
      <c r="IPA507" s="324"/>
      <c r="IPB507" s="256"/>
      <c r="IPC507" s="325"/>
      <c r="IPD507" s="311"/>
      <c r="IPE507" s="325"/>
      <c r="IPF507" s="310"/>
      <c r="IPG507" s="325"/>
      <c r="IPH507" s="325"/>
      <c r="IPI507" s="325"/>
      <c r="IPJ507" s="325"/>
      <c r="IPK507" s="325"/>
      <c r="IPL507" s="325"/>
      <c r="IPM507" s="325"/>
      <c r="IPN507" s="325"/>
      <c r="IPO507" s="325"/>
      <c r="IPP507" s="325"/>
      <c r="IPQ507" s="325"/>
      <c r="IPR507" s="325"/>
      <c r="IPS507" s="325"/>
      <c r="IPT507" s="325"/>
      <c r="IPU507" s="325"/>
      <c r="IPV507" s="325"/>
      <c r="IPW507" s="325"/>
      <c r="IPX507" s="325"/>
      <c r="IPY507" s="325"/>
      <c r="IPZ507" s="325"/>
      <c r="IQA507" s="325"/>
      <c r="IQB507" s="325"/>
      <c r="IQC507" s="325"/>
      <c r="IQD507" s="325"/>
      <c r="IQE507" s="325"/>
      <c r="IQF507" s="325"/>
      <c r="IQG507" s="325"/>
      <c r="IQH507" s="325"/>
      <c r="IQI507" s="325"/>
      <c r="IQJ507" s="325"/>
      <c r="IQK507" s="327"/>
      <c r="IQL507" s="28"/>
      <c r="IQM507" s="324"/>
      <c r="IQN507" s="324"/>
      <c r="IQO507" s="324"/>
      <c r="IQP507" s="324"/>
      <c r="IQQ507" s="324"/>
      <c r="IQR507" s="324"/>
      <c r="IQS507" s="256"/>
      <c r="IQT507" s="325"/>
      <c r="IQU507" s="311"/>
      <c r="IQV507" s="325"/>
      <c r="IQW507" s="310"/>
      <c r="IQX507" s="325"/>
      <c r="IQY507" s="325"/>
      <c r="IQZ507" s="325"/>
      <c r="IRA507" s="325"/>
      <c r="IRB507" s="325"/>
      <c r="IRC507" s="325"/>
      <c r="IRD507" s="325"/>
      <c r="IRE507" s="325"/>
      <c r="IRF507" s="325"/>
      <c r="IRG507" s="325"/>
      <c r="IRH507" s="325"/>
      <c r="IRI507" s="325"/>
      <c r="IRJ507" s="325"/>
      <c r="IRK507" s="325"/>
      <c r="IRL507" s="325"/>
      <c r="IRM507" s="325"/>
      <c r="IRN507" s="325"/>
      <c r="IRO507" s="325"/>
      <c r="IRP507" s="325"/>
      <c r="IRQ507" s="325"/>
      <c r="IRR507" s="325"/>
      <c r="IRS507" s="325"/>
      <c r="IRT507" s="325"/>
      <c r="IRU507" s="325"/>
      <c r="IRV507" s="325"/>
      <c r="IRW507" s="325"/>
      <c r="IRX507" s="325"/>
      <c r="IRY507" s="325"/>
      <c r="IRZ507" s="325"/>
      <c r="ISA507" s="325"/>
      <c r="ISB507" s="327"/>
      <c r="ISC507" s="28"/>
      <c r="ISD507" s="324"/>
      <c r="ISE507" s="324"/>
      <c r="ISF507" s="324"/>
      <c r="ISG507" s="324"/>
      <c r="ISH507" s="324"/>
      <c r="ISI507" s="324"/>
      <c r="ISJ507" s="256"/>
      <c r="ISK507" s="325"/>
      <c r="ISL507" s="311"/>
      <c r="ISM507" s="325"/>
      <c r="ISN507" s="310"/>
      <c r="ISO507" s="325"/>
      <c r="ISP507" s="325"/>
      <c r="ISQ507" s="325"/>
      <c r="ISR507" s="325"/>
      <c r="ISS507" s="325"/>
      <c r="IST507" s="325"/>
      <c r="ISU507" s="325"/>
      <c r="ISV507" s="325"/>
      <c r="ISW507" s="325"/>
      <c r="ISX507" s="325"/>
      <c r="ISY507" s="325"/>
      <c r="ISZ507" s="325"/>
      <c r="ITA507" s="325"/>
      <c r="ITB507" s="325"/>
      <c r="ITC507" s="325"/>
      <c r="ITD507" s="325"/>
      <c r="ITE507" s="325"/>
      <c r="ITF507" s="325"/>
      <c r="ITG507" s="325"/>
      <c r="ITH507" s="325"/>
      <c r="ITI507" s="325"/>
      <c r="ITJ507" s="325"/>
      <c r="ITK507" s="325"/>
      <c r="ITL507" s="325"/>
      <c r="ITM507" s="325"/>
      <c r="ITN507" s="325"/>
      <c r="ITO507" s="325"/>
      <c r="ITP507" s="325"/>
      <c r="ITQ507" s="325"/>
      <c r="ITR507" s="325"/>
      <c r="ITS507" s="327"/>
      <c r="ITT507" s="28"/>
      <c r="ITU507" s="324"/>
      <c r="ITV507" s="324"/>
      <c r="ITW507" s="324"/>
      <c r="ITX507" s="324"/>
      <c r="ITY507" s="324"/>
      <c r="ITZ507" s="324"/>
      <c r="IUA507" s="256"/>
      <c r="IUB507" s="325"/>
      <c r="IUC507" s="311"/>
      <c r="IUD507" s="325"/>
      <c r="IUE507" s="310"/>
      <c r="IUF507" s="325"/>
      <c r="IUG507" s="325"/>
      <c r="IUH507" s="325"/>
      <c r="IUI507" s="325"/>
      <c r="IUJ507" s="325"/>
      <c r="IUK507" s="325"/>
      <c r="IUL507" s="325"/>
      <c r="IUM507" s="325"/>
      <c r="IUN507" s="325"/>
      <c r="IUO507" s="325"/>
      <c r="IUP507" s="325"/>
      <c r="IUQ507" s="325"/>
      <c r="IUR507" s="325"/>
      <c r="IUS507" s="325"/>
      <c r="IUT507" s="325"/>
      <c r="IUU507" s="325"/>
      <c r="IUV507" s="325"/>
      <c r="IUW507" s="325"/>
      <c r="IUX507" s="325"/>
      <c r="IUY507" s="325"/>
      <c r="IUZ507" s="325"/>
      <c r="IVA507" s="325"/>
      <c r="IVB507" s="325"/>
      <c r="IVC507" s="325"/>
      <c r="IVD507" s="325"/>
      <c r="IVE507" s="325"/>
      <c r="IVF507" s="325"/>
      <c r="IVG507" s="325"/>
      <c r="IVH507" s="325"/>
      <c r="IVI507" s="325"/>
      <c r="IVJ507" s="327"/>
      <c r="IVK507" s="28"/>
      <c r="IVL507" s="324"/>
      <c r="IVM507" s="324"/>
      <c r="IVN507" s="324"/>
      <c r="IVO507" s="324"/>
      <c r="IVP507" s="324"/>
      <c r="IVQ507" s="324"/>
      <c r="IVR507" s="256"/>
      <c r="IVS507" s="325"/>
      <c r="IVT507" s="311"/>
      <c r="IVU507" s="325"/>
      <c r="IVV507" s="310"/>
      <c r="IVW507" s="325"/>
      <c r="IVX507" s="325"/>
      <c r="IVY507" s="325"/>
      <c r="IVZ507" s="325"/>
      <c r="IWA507" s="325"/>
      <c r="IWB507" s="325"/>
      <c r="IWC507" s="325"/>
      <c r="IWD507" s="325"/>
      <c r="IWE507" s="325"/>
      <c r="IWF507" s="325"/>
      <c r="IWG507" s="325"/>
      <c r="IWH507" s="325"/>
      <c r="IWI507" s="325"/>
      <c r="IWJ507" s="325"/>
      <c r="IWK507" s="325"/>
      <c r="IWL507" s="325"/>
      <c r="IWM507" s="325"/>
      <c r="IWN507" s="325"/>
      <c r="IWO507" s="325"/>
      <c r="IWP507" s="325"/>
      <c r="IWQ507" s="325"/>
      <c r="IWR507" s="325"/>
      <c r="IWS507" s="325"/>
      <c r="IWT507" s="325"/>
      <c r="IWU507" s="325"/>
      <c r="IWV507" s="325"/>
      <c r="IWW507" s="325"/>
      <c r="IWX507" s="325"/>
      <c r="IWY507" s="325"/>
      <c r="IWZ507" s="325"/>
      <c r="IXA507" s="327"/>
      <c r="IXB507" s="28"/>
      <c r="IXC507" s="324"/>
      <c r="IXD507" s="324"/>
      <c r="IXE507" s="324"/>
      <c r="IXF507" s="324"/>
      <c r="IXG507" s="324"/>
      <c r="IXH507" s="324"/>
      <c r="IXI507" s="256"/>
      <c r="IXJ507" s="325"/>
      <c r="IXK507" s="311"/>
      <c r="IXL507" s="325"/>
      <c r="IXM507" s="310"/>
      <c r="IXN507" s="325"/>
      <c r="IXO507" s="325"/>
      <c r="IXP507" s="325"/>
      <c r="IXQ507" s="325"/>
      <c r="IXR507" s="325"/>
      <c r="IXS507" s="325"/>
      <c r="IXT507" s="325"/>
      <c r="IXU507" s="325"/>
      <c r="IXV507" s="325"/>
      <c r="IXW507" s="325"/>
      <c r="IXX507" s="325"/>
      <c r="IXY507" s="325"/>
      <c r="IXZ507" s="325"/>
      <c r="IYA507" s="325"/>
      <c r="IYB507" s="325"/>
      <c r="IYC507" s="325"/>
      <c r="IYD507" s="325"/>
      <c r="IYE507" s="325"/>
      <c r="IYF507" s="325"/>
      <c r="IYG507" s="325"/>
      <c r="IYH507" s="325"/>
      <c r="IYI507" s="325"/>
      <c r="IYJ507" s="325"/>
      <c r="IYK507" s="325"/>
      <c r="IYL507" s="325"/>
      <c r="IYM507" s="325"/>
      <c r="IYN507" s="325"/>
      <c r="IYO507" s="325"/>
      <c r="IYP507" s="325"/>
      <c r="IYQ507" s="325"/>
      <c r="IYR507" s="327"/>
      <c r="IYS507" s="28"/>
      <c r="IYT507" s="324"/>
      <c r="IYU507" s="324"/>
      <c r="IYV507" s="324"/>
      <c r="IYW507" s="324"/>
      <c r="IYX507" s="324"/>
      <c r="IYY507" s="324"/>
      <c r="IYZ507" s="256"/>
      <c r="IZA507" s="325"/>
      <c r="IZB507" s="311"/>
      <c r="IZC507" s="325"/>
      <c r="IZD507" s="310"/>
      <c r="IZE507" s="325"/>
      <c r="IZF507" s="325"/>
      <c r="IZG507" s="325"/>
      <c r="IZH507" s="325"/>
      <c r="IZI507" s="325"/>
      <c r="IZJ507" s="325"/>
      <c r="IZK507" s="325"/>
      <c r="IZL507" s="325"/>
      <c r="IZM507" s="325"/>
      <c r="IZN507" s="325"/>
      <c r="IZO507" s="325"/>
      <c r="IZP507" s="325"/>
      <c r="IZQ507" s="325"/>
      <c r="IZR507" s="325"/>
      <c r="IZS507" s="325"/>
      <c r="IZT507" s="325"/>
      <c r="IZU507" s="325"/>
      <c r="IZV507" s="325"/>
      <c r="IZW507" s="325"/>
      <c r="IZX507" s="325"/>
      <c r="IZY507" s="325"/>
      <c r="IZZ507" s="325"/>
      <c r="JAA507" s="325"/>
      <c r="JAB507" s="325"/>
      <c r="JAC507" s="325"/>
      <c r="JAD507" s="325"/>
      <c r="JAE507" s="325"/>
      <c r="JAF507" s="325"/>
      <c r="JAG507" s="325"/>
      <c r="JAH507" s="325"/>
      <c r="JAI507" s="327"/>
      <c r="JAJ507" s="28"/>
      <c r="JAK507" s="324"/>
      <c r="JAL507" s="324"/>
      <c r="JAM507" s="324"/>
      <c r="JAN507" s="324"/>
      <c r="JAO507" s="324"/>
      <c r="JAP507" s="324"/>
      <c r="JAQ507" s="256"/>
      <c r="JAR507" s="325"/>
      <c r="JAS507" s="311"/>
      <c r="JAT507" s="325"/>
      <c r="JAU507" s="310"/>
      <c r="JAV507" s="325"/>
      <c r="JAW507" s="325"/>
      <c r="JAX507" s="325"/>
      <c r="JAY507" s="325"/>
      <c r="JAZ507" s="325"/>
      <c r="JBA507" s="325"/>
      <c r="JBB507" s="325"/>
      <c r="JBC507" s="325"/>
      <c r="JBD507" s="325"/>
      <c r="JBE507" s="325"/>
      <c r="JBF507" s="325"/>
      <c r="JBG507" s="325"/>
      <c r="JBH507" s="325"/>
      <c r="JBI507" s="325"/>
      <c r="JBJ507" s="325"/>
      <c r="JBK507" s="325"/>
      <c r="JBL507" s="325"/>
      <c r="JBM507" s="325"/>
      <c r="JBN507" s="325"/>
      <c r="JBO507" s="325"/>
      <c r="JBP507" s="325"/>
      <c r="JBQ507" s="325"/>
      <c r="JBR507" s="325"/>
      <c r="JBS507" s="325"/>
      <c r="JBT507" s="325"/>
      <c r="JBU507" s="325"/>
      <c r="JBV507" s="325"/>
      <c r="JBW507" s="325"/>
      <c r="JBX507" s="325"/>
      <c r="JBY507" s="325"/>
      <c r="JBZ507" s="327"/>
      <c r="JCA507" s="28"/>
      <c r="JCB507" s="324"/>
      <c r="JCC507" s="324"/>
      <c r="JCD507" s="324"/>
      <c r="JCE507" s="324"/>
      <c r="JCF507" s="324"/>
      <c r="JCG507" s="324"/>
      <c r="JCH507" s="256"/>
      <c r="JCI507" s="325"/>
      <c r="JCJ507" s="311"/>
      <c r="JCK507" s="325"/>
      <c r="JCL507" s="310"/>
      <c r="JCM507" s="325"/>
      <c r="JCN507" s="325"/>
      <c r="JCO507" s="325"/>
      <c r="JCP507" s="325"/>
      <c r="JCQ507" s="325"/>
      <c r="JCR507" s="325"/>
      <c r="JCS507" s="325"/>
      <c r="JCT507" s="325"/>
      <c r="JCU507" s="325"/>
      <c r="JCV507" s="325"/>
      <c r="JCW507" s="325"/>
      <c r="JCX507" s="325"/>
      <c r="JCY507" s="325"/>
      <c r="JCZ507" s="325"/>
      <c r="JDA507" s="325"/>
      <c r="JDB507" s="325"/>
      <c r="JDC507" s="325"/>
      <c r="JDD507" s="325"/>
      <c r="JDE507" s="325"/>
      <c r="JDF507" s="325"/>
      <c r="JDG507" s="325"/>
      <c r="JDH507" s="325"/>
      <c r="JDI507" s="325"/>
      <c r="JDJ507" s="325"/>
      <c r="JDK507" s="325"/>
      <c r="JDL507" s="325"/>
      <c r="JDM507" s="325"/>
      <c r="JDN507" s="325"/>
      <c r="JDO507" s="325"/>
      <c r="JDP507" s="325"/>
      <c r="JDQ507" s="327"/>
      <c r="JDR507" s="28"/>
      <c r="JDS507" s="324"/>
      <c r="JDT507" s="324"/>
      <c r="JDU507" s="324"/>
      <c r="JDV507" s="324"/>
      <c r="JDW507" s="324"/>
      <c r="JDX507" s="324"/>
      <c r="JDY507" s="256"/>
      <c r="JDZ507" s="325"/>
      <c r="JEA507" s="311"/>
      <c r="JEB507" s="325"/>
      <c r="JEC507" s="310"/>
      <c r="JED507" s="325"/>
      <c r="JEE507" s="325"/>
      <c r="JEF507" s="325"/>
      <c r="JEG507" s="325"/>
      <c r="JEH507" s="325"/>
      <c r="JEI507" s="325"/>
      <c r="JEJ507" s="325"/>
      <c r="JEK507" s="325"/>
      <c r="JEL507" s="325"/>
      <c r="JEM507" s="325"/>
      <c r="JEN507" s="325"/>
      <c r="JEO507" s="325"/>
      <c r="JEP507" s="325"/>
      <c r="JEQ507" s="325"/>
      <c r="JER507" s="325"/>
      <c r="JES507" s="325"/>
      <c r="JET507" s="325"/>
      <c r="JEU507" s="325"/>
      <c r="JEV507" s="325"/>
      <c r="JEW507" s="325"/>
      <c r="JEX507" s="325"/>
      <c r="JEY507" s="325"/>
      <c r="JEZ507" s="325"/>
      <c r="JFA507" s="325"/>
      <c r="JFB507" s="325"/>
      <c r="JFC507" s="325"/>
      <c r="JFD507" s="325"/>
      <c r="JFE507" s="325"/>
      <c r="JFF507" s="325"/>
      <c r="JFG507" s="325"/>
      <c r="JFH507" s="327"/>
      <c r="JFI507" s="28"/>
      <c r="JFJ507" s="324"/>
      <c r="JFK507" s="324"/>
      <c r="JFL507" s="324"/>
      <c r="JFM507" s="324"/>
      <c r="JFN507" s="324"/>
      <c r="JFO507" s="324"/>
      <c r="JFP507" s="256"/>
      <c r="JFQ507" s="325"/>
      <c r="JFR507" s="311"/>
      <c r="JFS507" s="325"/>
      <c r="JFT507" s="310"/>
      <c r="JFU507" s="325"/>
      <c r="JFV507" s="325"/>
      <c r="JFW507" s="325"/>
      <c r="JFX507" s="325"/>
      <c r="JFY507" s="325"/>
      <c r="JFZ507" s="325"/>
      <c r="JGA507" s="325"/>
      <c r="JGB507" s="325"/>
      <c r="JGC507" s="325"/>
      <c r="JGD507" s="325"/>
      <c r="JGE507" s="325"/>
      <c r="JGF507" s="325"/>
      <c r="JGG507" s="325"/>
      <c r="JGH507" s="325"/>
      <c r="JGI507" s="325"/>
      <c r="JGJ507" s="325"/>
      <c r="JGK507" s="325"/>
      <c r="JGL507" s="325"/>
      <c r="JGM507" s="325"/>
      <c r="JGN507" s="325"/>
      <c r="JGO507" s="325"/>
      <c r="JGP507" s="325"/>
      <c r="JGQ507" s="325"/>
      <c r="JGR507" s="325"/>
      <c r="JGS507" s="325"/>
      <c r="JGT507" s="325"/>
      <c r="JGU507" s="325"/>
      <c r="JGV507" s="325"/>
      <c r="JGW507" s="325"/>
      <c r="JGX507" s="325"/>
      <c r="JGY507" s="327"/>
      <c r="JGZ507" s="28"/>
      <c r="JHA507" s="324"/>
      <c r="JHB507" s="324"/>
      <c r="JHC507" s="324"/>
      <c r="JHD507" s="324"/>
      <c r="JHE507" s="324"/>
      <c r="JHF507" s="324"/>
      <c r="JHG507" s="256"/>
      <c r="JHH507" s="325"/>
      <c r="JHI507" s="311"/>
      <c r="JHJ507" s="325"/>
      <c r="JHK507" s="310"/>
      <c r="JHL507" s="325"/>
      <c r="JHM507" s="325"/>
      <c r="JHN507" s="325"/>
      <c r="JHO507" s="325"/>
      <c r="JHP507" s="325"/>
      <c r="JHQ507" s="325"/>
      <c r="JHR507" s="325"/>
      <c r="JHS507" s="325"/>
      <c r="JHT507" s="325"/>
      <c r="JHU507" s="325"/>
      <c r="JHV507" s="325"/>
      <c r="JHW507" s="325"/>
      <c r="JHX507" s="325"/>
      <c r="JHY507" s="325"/>
      <c r="JHZ507" s="325"/>
      <c r="JIA507" s="325"/>
      <c r="JIB507" s="325"/>
      <c r="JIC507" s="325"/>
      <c r="JID507" s="325"/>
      <c r="JIE507" s="325"/>
      <c r="JIF507" s="325"/>
      <c r="JIG507" s="325"/>
      <c r="JIH507" s="325"/>
      <c r="JII507" s="325"/>
      <c r="JIJ507" s="325"/>
      <c r="JIK507" s="325"/>
      <c r="JIL507" s="325"/>
      <c r="JIM507" s="325"/>
      <c r="JIN507" s="325"/>
      <c r="JIO507" s="325"/>
      <c r="JIP507" s="327"/>
      <c r="JIQ507" s="28"/>
      <c r="JIR507" s="324"/>
      <c r="JIS507" s="324"/>
      <c r="JIT507" s="324"/>
      <c r="JIU507" s="324"/>
      <c r="JIV507" s="324"/>
      <c r="JIW507" s="324"/>
      <c r="JIX507" s="256"/>
      <c r="JIY507" s="325"/>
      <c r="JIZ507" s="311"/>
      <c r="JJA507" s="325"/>
      <c r="JJB507" s="310"/>
      <c r="JJC507" s="325"/>
      <c r="JJD507" s="325"/>
      <c r="JJE507" s="325"/>
      <c r="JJF507" s="325"/>
      <c r="JJG507" s="325"/>
      <c r="JJH507" s="325"/>
      <c r="JJI507" s="325"/>
      <c r="JJJ507" s="325"/>
      <c r="JJK507" s="325"/>
      <c r="JJL507" s="325"/>
      <c r="JJM507" s="325"/>
      <c r="JJN507" s="325"/>
      <c r="JJO507" s="325"/>
      <c r="JJP507" s="325"/>
      <c r="JJQ507" s="325"/>
      <c r="JJR507" s="325"/>
      <c r="JJS507" s="325"/>
      <c r="JJT507" s="325"/>
      <c r="JJU507" s="325"/>
      <c r="JJV507" s="325"/>
      <c r="JJW507" s="325"/>
      <c r="JJX507" s="325"/>
      <c r="JJY507" s="325"/>
      <c r="JJZ507" s="325"/>
      <c r="JKA507" s="325"/>
      <c r="JKB507" s="325"/>
      <c r="JKC507" s="325"/>
      <c r="JKD507" s="325"/>
      <c r="JKE507" s="325"/>
      <c r="JKF507" s="325"/>
      <c r="JKG507" s="327"/>
      <c r="JKH507" s="28"/>
      <c r="JKI507" s="324"/>
      <c r="JKJ507" s="324"/>
      <c r="JKK507" s="324"/>
      <c r="JKL507" s="324"/>
      <c r="JKM507" s="324"/>
      <c r="JKN507" s="324"/>
      <c r="JKO507" s="256"/>
      <c r="JKP507" s="325"/>
      <c r="JKQ507" s="311"/>
      <c r="JKR507" s="325"/>
      <c r="JKS507" s="310"/>
      <c r="JKT507" s="325"/>
      <c r="JKU507" s="325"/>
      <c r="JKV507" s="325"/>
      <c r="JKW507" s="325"/>
      <c r="JKX507" s="325"/>
      <c r="JKY507" s="325"/>
      <c r="JKZ507" s="325"/>
      <c r="JLA507" s="325"/>
      <c r="JLB507" s="325"/>
      <c r="JLC507" s="325"/>
      <c r="JLD507" s="325"/>
      <c r="JLE507" s="325"/>
      <c r="JLF507" s="325"/>
      <c r="JLG507" s="325"/>
      <c r="JLH507" s="325"/>
      <c r="JLI507" s="325"/>
      <c r="JLJ507" s="325"/>
      <c r="JLK507" s="325"/>
      <c r="JLL507" s="325"/>
      <c r="JLM507" s="325"/>
      <c r="JLN507" s="325"/>
      <c r="JLO507" s="325"/>
      <c r="JLP507" s="325"/>
      <c r="JLQ507" s="325"/>
      <c r="JLR507" s="325"/>
      <c r="JLS507" s="325"/>
      <c r="JLT507" s="325"/>
      <c r="JLU507" s="325"/>
      <c r="JLV507" s="325"/>
      <c r="JLW507" s="325"/>
      <c r="JLX507" s="327"/>
      <c r="JLY507" s="28"/>
      <c r="JLZ507" s="324"/>
      <c r="JMA507" s="324"/>
      <c r="JMB507" s="324"/>
      <c r="JMC507" s="324"/>
      <c r="JMD507" s="324"/>
      <c r="JME507" s="324"/>
      <c r="JMF507" s="256"/>
      <c r="JMG507" s="325"/>
      <c r="JMH507" s="311"/>
      <c r="JMI507" s="325"/>
      <c r="JMJ507" s="310"/>
      <c r="JMK507" s="325"/>
      <c r="JML507" s="325"/>
      <c r="JMM507" s="325"/>
      <c r="JMN507" s="325"/>
      <c r="JMO507" s="325"/>
      <c r="JMP507" s="325"/>
      <c r="JMQ507" s="325"/>
      <c r="JMR507" s="325"/>
      <c r="JMS507" s="325"/>
      <c r="JMT507" s="325"/>
      <c r="JMU507" s="325"/>
      <c r="JMV507" s="325"/>
      <c r="JMW507" s="325"/>
      <c r="JMX507" s="325"/>
      <c r="JMY507" s="325"/>
      <c r="JMZ507" s="325"/>
      <c r="JNA507" s="325"/>
      <c r="JNB507" s="325"/>
      <c r="JNC507" s="325"/>
      <c r="JND507" s="325"/>
      <c r="JNE507" s="325"/>
      <c r="JNF507" s="325"/>
      <c r="JNG507" s="325"/>
      <c r="JNH507" s="325"/>
      <c r="JNI507" s="325"/>
      <c r="JNJ507" s="325"/>
      <c r="JNK507" s="325"/>
      <c r="JNL507" s="325"/>
      <c r="JNM507" s="325"/>
      <c r="JNN507" s="325"/>
      <c r="JNO507" s="327"/>
      <c r="JNP507" s="28"/>
      <c r="JNQ507" s="324"/>
      <c r="JNR507" s="324"/>
      <c r="JNS507" s="324"/>
      <c r="JNT507" s="324"/>
      <c r="JNU507" s="324"/>
      <c r="JNV507" s="324"/>
      <c r="JNW507" s="256"/>
      <c r="JNX507" s="325"/>
      <c r="JNY507" s="311"/>
      <c r="JNZ507" s="325"/>
      <c r="JOA507" s="310"/>
      <c r="JOB507" s="325"/>
      <c r="JOC507" s="325"/>
      <c r="JOD507" s="325"/>
      <c r="JOE507" s="325"/>
      <c r="JOF507" s="325"/>
      <c r="JOG507" s="325"/>
      <c r="JOH507" s="325"/>
      <c r="JOI507" s="325"/>
      <c r="JOJ507" s="325"/>
      <c r="JOK507" s="325"/>
      <c r="JOL507" s="325"/>
      <c r="JOM507" s="325"/>
      <c r="JON507" s="325"/>
      <c r="JOO507" s="325"/>
      <c r="JOP507" s="325"/>
      <c r="JOQ507" s="325"/>
      <c r="JOR507" s="325"/>
      <c r="JOS507" s="325"/>
      <c r="JOT507" s="325"/>
      <c r="JOU507" s="325"/>
      <c r="JOV507" s="325"/>
      <c r="JOW507" s="325"/>
      <c r="JOX507" s="325"/>
      <c r="JOY507" s="325"/>
      <c r="JOZ507" s="325"/>
      <c r="JPA507" s="325"/>
      <c r="JPB507" s="325"/>
      <c r="JPC507" s="325"/>
      <c r="JPD507" s="325"/>
      <c r="JPE507" s="325"/>
      <c r="JPF507" s="327"/>
      <c r="JPG507" s="28"/>
      <c r="JPH507" s="324"/>
      <c r="JPI507" s="324"/>
      <c r="JPJ507" s="324"/>
      <c r="JPK507" s="324"/>
      <c r="JPL507" s="324"/>
      <c r="JPM507" s="324"/>
      <c r="JPN507" s="256"/>
      <c r="JPO507" s="325"/>
      <c r="JPP507" s="311"/>
      <c r="JPQ507" s="325"/>
      <c r="JPR507" s="310"/>
      <c r="JPS507" s="325"/>
      <c r="JPT507" s="325"/>
      <c r="JPU507" s="325"/>
      <c r="JPV507" s="325"/>
      <c r="JPW507" s="325"/>
      <c r="JPX507" s="325"/>
      <c r="JPY507" s="325"/>
      <c r="JPZ507" s="325"/>
      <c r="JQA507" s="325"/>
      <c r="JQB507" s="325"/>
      <c r="JQC507" s="325"/>
      <c r="JQD507" s="325"/>
      <c r="JQE507" s="325"/>
      <c r="JQF507" s="325"/>
      <c r="JQG507" s="325"/>
      <c r="JQH507" s="325"/>
      <c r="JQI507" s="325"/>
      <c r="JQJ507" s="325"/>
      <c r="JQK507" s="325"/>
      <c r="JQL507" s="325"/>
      <c r="JQM507" s="325"/>
      <c r="JQN507" s="325"/>
      <c r="JQO507" s="325"/>
      <c r="JQP507" s="325"/>
      <c r="JQQ507" s="325"/>
      <c r="JQR507" s="325"/>
      <c r="JQS507" s="325"/>
      <c r="JQT507" s="325"/>
      <c r="JQU507" s="325"/>
      <c r="JQV507" s="325"/>
      <c r="JQW507" s="327"/>
      <c r="JQX507" s="28"/>
      <c r="JQY507" s="324"/>
      <c r="JQZ507" s="324"/>
      <c r="JRA507" s="324"/>
      <c r="JRB507" s="324"/>
      <c r="JRC507" s="324"/>
      <c r="JRD507" s="324"/>
      <c r="JRE507" s="256"/>
      <c r="JRF507" s="325"/>
      <c r="JRG507" s="311"/>
      <c r="JRH507" s="325"/>
      <c r="JRI507" s="310"/>
      <c r="JRJ507" s="325"/>
      <c r="JRK507" s="325"/>
      <c r="JRL507" s="325"/>
      <c r="JRM507" s="325"/>
      <c r="JRN507" s="325"/>
      <c r="JRO507" s="325"/>
      <c r="JRP507" s="325"/>
      <c r="JRQ507" s="325"/>
      <c r="JRR507" s="325"/>
      <c r="JRS507" s="325"/>
      <c r="JRT507" s="325"/>
      <c r="JRU507" s="325"/>
      <c r="JRV507" s="325"/>
      <c r="JRW507" s="325"/>
      <c r="JRX507" s="325"/>
      <c r="JRY507" s="325"/>
      <c r="JRZ507" s="325"/>
      <c r="JSA507" s="325"/>
      <c r="JSB507" s="325"/>
      <c r="JSC507" s="325"/>
      <c r="JSD507" s="325"/>
      <c r="JSE507" s="325"/>
      <c r="JSF507" s="325"/>
      <c r="JSG507" s="325"/>
      <c r="JSH507" s="325"/>
      <c r="JSI507" s="325"/>
      <c r="JSJ507" s="325"/>
      <c r="JSK507" s="325"/>
      <c r="JSL507" s="325"/>
      <c r="JSM507" s="325"/>
      <c r="JSN507" s="327"/>
      <c r="JSO507" s="28"/>
      <c r="JSP507" s="324"/>
      <c r="JSQ507" s="324"/>
      <c r="JSR507" s="324"/>
      <c r="JSS507" s="324"/>
      <c r="JST507" s="324"/>
      <c r="JSU507" s="324"/>
      <c r="JSV507" s="256"/>
      <c r="JSW507" s="325"/>
      <c r="JSX507" s="311"/>
      <c r="JSY507" s="325"/>
      <c r="JSZ507" s="310"/>
      <c r="JTA507" s="325"/>
      <c r="JTB507" s="325"/>
      <c r="JTC507" s="325"/>
      <c r="JTD507" s="325"/>
      <c r="JTE507" s="325"/>
      <c r="JTF507" s="325"/>
      <c r="JTG507" s="325"/>
      <c r="JTH507" s="325"/>
      <c r="JTI507" s="325"/>
      <c r="JTJ507" s="325"/>
      <c r="JTK507" s="325"/>
      <c r="JTL507" s="325"/>
      <c r="JTM507" s="325"/>
      <c r="JTN507" s="325"/>
      <c r="JTO507" s="325"/>
      <c r="JTP507" s="325"/>
      <c r="JTQ507" s="325"/>
      <c r="JTR507" s="325"/>
      <c r="JTS507" s="325"/>
      <c r="JTT507" s="325"/>
      <c r="JTU507" s="325"/>
      <c r="JTV507" s="325"/>
      <c r="JTW507" s="325"/>
      <c r="JTX507" s="325"/>
      <c r="JTY507" s="325"/>
      <c r="JTZ507" s="325"/>
      <c r="JUA507" s="325"/>
      <c r="JUB507" s="325"/>
      <c r="JUC507" s="325"/>
      <c r="JUD507" s="325"/>
      <c r="JUE507" s="327"/>
      <c r="JUF507" s="28"/>
      <c r="JUG507" s="324"/>
      <c r="JUH507" s="324"/>
      <c r="JUI507" s="324"/>
      <c r="JUJ507" s="324"/>
      <c r="JUK507" s="324"/>
      <c r="JUL507" s="324"/>
      <c r="JUM507" s="256"/>
      <c r="JUN507" s="325"/>
      <c r="JUO507" s="311"/>
      <c r="JUP507" s="325"/>
      <c r="JUQ507" s="310"/>
      <c r="JUR507" s="325"/>
      <c r="JUS507" s="325"/>
      <c r="JUT507" s="325"/>
      <c r="JUU507" s="325"/>
      <c r="JUV507" s="325"/>
      <c r="JUW507" s="325"/>
      <c r="JUX507" s="325"/>
      <c r="JUY507" s="325"/>
      <c r="JUZ507" s="325"/>
      <c r="JVA507" s="325"/>
      <c r="JVB507" s="325"/>
      <c r="JVC507" s="325"/>
      <c r="JVD507" s="325"/>
      <c r="JVE507" s="325"/>
      <c r="JVF507" s="325"/>
      <c r="JVG507" s="325"/>
      <c r="JVH507" s="325"/>
      <c r="JVI507" s="325"/>
      <c r="JVJ507" s="325"/>
      <c r="JVK507" s="325"/>
      <c r="JVL507" s="325"/>
      <c r="JVM507" s="325"/>
      <c r="JVN507" s="325"/>
      <c r="JVO507" s="325"/>
      <c r="JVP507" s="325"/>
      <c r="JVQ507" s="325"/>
      <c r="JVR507" s="325"/>
      <c r="JVS507" s="325"/>
      <c r="JVT507" s="325"/>
      <c r="JVU507" s="325"/>
      <c r="JVV507" s="327"/>
      <c r="JVW507" s="28"/>
      <c r="JVX507" s="324"/>
      <c r="JVY507" s="324"/>
      <c r="JVZ507" s="324"/>
      <c r="JWA507" s="324"/>
      <c r="JWB507" s="324"/>
      <c r="JWC507" s="324"/>
      <c r="JWD507" s="256"/>
      <c r="JWE507" s="325"/>
      <c r="JWF507" s="311"/>
      <c r="JWG507" s="325"/>
      <c r="JWH507" s="310"/>
      <c r="JWI507" s="325"/>
      <c r="JWJ507" s="325"/>
      <c r="JWK507" s="325"/>
      <c r="JWL507" s="325"/>
      <c r="JWM507" s="325"/>
      <c r="JWN507" s="325"/>
      <c r="JWO507" s="325"/>
      <c r="JWP507" s="325"/>
      <c r="JWQ507" s="325"/>
      <c r="JWR507" s="325"/>
      <c r="JWS507" s="325"/>
      <c r="JWT507" s="325"/>
      <c r="JWU507" s="325"/>
      <c r="JWV507" s="325"/>
      <c r="JWW507" s="325"/>
      <c r="JWX507" s="325"/>
      <c r="JWY507" s="325"/>
      <c r="JWZ507" s="325"/>
      <c r="JXA507" s="325"/>
      <c r="JXB507" s="325"/>
      <c r="JXC507" s="325"/>
      <c r="JXD507" s="325"/>
      <c r="JXE507" s="325"/>
      <c r="JXF507" s="325"/>
      <c r="JXG507" s="325"/>
      <c r="JXH507" s="325"/>
      <c r="JXI507" s="325"/>
      <c r="JXJ507" s="325"/>
      <c r="JXK507" s="325"/>
      <c r="JXL507" s="325"/>
      <c r="JXM507" s="327"/>
      <c r="JXN507" s="28"/>
      <c r="JXO507" s="324"/>
      <c r="JXP507" s="324"/>
      <c r="JXQ507" s="324"/>
      <c r="JXR507" s="324"/>
      <c r="JXS507" s="324"/>
      <c r="JXT507" s="324"/>
      <c r="JXU507" s="256"/>
      <c r="JXV507" s="325"/>
      <c r="JXW507" s="311"/>
      <c r="JXX507" s="325"/>
      <c r="JXY507" s="310"/>
      <c r="JXZ507" s="325"/>
      <c r="JYA507" s="325"/>
      <c r="JYB507" s="325"/>
      <c r="JYC507" s="325"/>
      <c r="JYD507" s="325"/>
      <c r="JYE507" s="325"/>
      <c r="JYF507" s="325"/>
      <c r="JYG507" s="325"/>
      <c r="JYH507" s="325"/>
      <c r="JYI507" s="325"/>
      <c r="JYJ507" s="325"/>
      <c r="JYK507" s="325"/>
      <c r="JYL507" s="325"/>
      <c r="JYM507" s="325"/>
      <c r="JYN507" s="325"/>
      <c r="JYO507" s="325"/>
      <c r="JYP507" s="325"/>
      <c r="JYQ507" s="325"/>
      <c r="JYR507" s="325"/>
      <c r="JYS507" s="325"/>
      <c r="JYT507" s="325"/>
      <c r="JYU507" s="325"/>
      <c r="JYV507" s="325"/>
      <c r="JYW507" s="325"/>
      <c r="JYX507" s="325"/>
      <c r="JYY507" s="325"/>
      <c r="JYZ507" s="325"/>
      <c r="JZA507" s="325"/>
      <c r="JZB507" s="325"/>
      <c r="JZC507" s="325"/>
      <c r="JZD507" s="327"/>
      <c r="JZE507" s="28"/>
      <c r="JZF507" s="324"/>
      <c r="JZG507" s="324"/>
      <c r="JZH507" s="324"/>
      <c r="JZI507" s="324"/>
      <c r="JZJ507" s="324"/>
      <c r="JZK507" s="324"/>
      <c r="JZL507" s="256"/>
      <c r="JZM507" s="325"/>
      <c r="JZN507" s="311"/>
      <c r="JZO507" s="325"/>
      <c r="JZP507" s="310"/>
      <c r="JZQ507" s="325"/>
      <c r="JZR507" s="325"/>
      <c r="JZS507" s="325"/>
      <c r="JZT507" s="325"/>
      <c r="JZU507" s="325"/>
      <c r="JZV507" s="325"/>
      <c r="JZW507" s="325"/>
      <c r="JZX507" s="325"/>
      <c r="JZY507" s="325"/>
      <c r="JZZ507" s="325"/>
      <c r="KAA507" s="325"/>
      <c r="KAB507" s="325"/>
      <c r="KAC507" s="325"/>
      <c r="KAD507" s="325"/>
      <c r="KAE507" s="325"/>
      <c r="KAF507" s="325"/>
      <c r="KAG507" s="325"/>
      <c r="KAH507" s="325"/>
      <c r="KAI507" s="325"/>
      <c r="KAJ507" s="325"/>
      <c r="KAK507" s="325"/>
      <c r="KAL507" s="325"/>
      <c r="KAM507" s="325"/>
      <c r="KAN507" s="325"/>
      <c r="KAO507" s="325"/>
      <c r="KAP507" s="325"/>
      <c r="KAQ507" s="325"/>
      <c r="KAR507" s="325"/>
      <c r="KAS507" s="325"/>
      <c r="KAT507" s="325"/>
      <c r="KAU507" s="327"/>
      <c r="KAV507" s="28"/>
      <c r="KAW507" s="324"/>
      <c r="KAX507" s="324"/>
      <c r="KAY507" s="324"/>
      <c r="KAZ507" s="324"/>
      <c r="KBA507" s="324"/>
      <c r="KBB507" s="324"/>
      <c r="KBC507" s="256"/>
      <c r="KBD507" s="325"/>
      <c r="KBE507" s="311"/>
      <c r="KBF507" s="325"/>
      <c r="KBG507" s="310"/>
      <c r="KBH507" s="325"/>
      <c r="KBI507" s="325"/>
      <c r="KBJ507" s="325"/>
      <c r="KBK507" s="325"/>
      <c r="KBL507" s="325"/>
      <c r="KBM507" s="325"/>
      <c r="KBN507" s="325"/>
      <c r="KBO507" s="325"/>
      <c r="KBP507" s="325"/>
      <c r="KBQ507" s="325"/>
      <c r="KBR507" s="325"/>
      <c r="KBS507" s="325"/>
      <c r="KBT507" s="325"/>
      <c r="KBU507" s="325"/>
      <c r="KBV507" s="325"/>
      <c r="KBW507" s="325"/>
      <c r="KBX507" s="325"/>
      <c r="KBY507" s="325"/>
      <c r="KBZ507" s="325"/>
      <c r="KCA507" s="325"/>
      <c r="KCB507" s="325"/>
      <c r="KCC507" s="325"/>
      <c r="KCD507" s="325"/>
      <c r="KCE507" s="325"/>
      <c r="KCF507" s="325"/>
      <c r="KCG507" s="325"/>
      <c r="KCH507" s="325"/>
      <c r="KCI507" s="325"/>
      <c r="KCJ507" s="325"/>
      <c r="KCK507" s="325"/>
      <c r="KCL507" s="327"/>
      <c r="KCM507" s="28"/>
      <c r="KCN507" s="324"/>
      <c r="KCO507" s="324"/>
      <c r="KCP507" s="324"/>
      <c r="KCQ507" s="324"/>
      <c r="KCR507" s="324"/>
      <c r="KCS507" s="324"/>
      <c r="KCT507" s="256"/>
      <c r="KCU507" s="325"/>
      <c r="KCV507" s="311"/>
      <c r="KCW507" s="325"/>
      <c r="KCX507" s="310"/>
      <c r="KCY507" s="325"/>
      <c r="KCZ507" s="325"/>
      <c r="KDA507" s="325"/>
      <c r="KDB507" s="325"/>
      <c r="KDC507" s="325"/>
      <c r="KDD507" s="325"/>
      <c r="KDE507" s="325"/>
      <c r="KDF507" s="325"/>
      <c r="KDG507" s="325"/>
      <c r="KDH507" s="325"/>
      <c r="KDI507" s="325"/>
      <c r="KDJ507" s="325"/>
      <c r="KDK507" s="325"/>
      <c r="KDL507" s="325"/>
      <c r="KDM507" s="325"/>
      <c r="KDN507" s="325"/>
      <c r="KDO507" s="325"/>
      <c r="KDP507" s="325"/>
      <c r="KDQ507" s="325"/>
      <c r="KDR507" s="325"/>
      <c r="KDS507" s="325"/>
      <c r="KDT507" s="325"/>
      <c r="KDU507" s="325"/>
      <c r="KDV507" s="325"/>
      <c r="KDW507" s="325"/>
      <c r="KDX507" s="325"/>
      <c r="KDY507" s="325"/>
      <c r="KDZ507" s="325"/>
      <c r="KEA507" s="325"/>
      <c r="KEB507" s="325"/>
      <c r="KEC507" s="327"/>
      <c r="KED507" s="28"/>
      <c r="KEE507" s="324"/>
      <c r="KEF507" s="324"/>
      <c r="KEG507" s="324"/>
      <c r="KEH507" s="324"/>
      <c r="KEI507" s="324"/>
      <c r="KEJ507" s="324"/>
      <c r="KEK507" s="256"/>
      <c r="KEL507" s="325"/>
      <c r="KEM507" s="311"/>
      <c r="KEN507" s="325"/>
      <c r="KEO507" s="310"/>
      <c r="KEP507" s="325"/>
      <c r="KEQ507" s="325"/>
      <c r="KER507" s="325"/>
      <c r="KES507" s="325"/>
      <c r="KET507" s="325"/>
      <c r="KEU507" s="325"/>
      <c r="KEV507" s="325"/>
      <c r="KEW507" s="325"/>
      <c r="KEX507" s="325"/>
      <c r="KEY507" s="325"/>
      <c r="KEZ507" s="325"/>
      <c r="KFA507" s="325"/>
      <c r="KFB507" s="325"/>
      <c r="KFC507" s="325"/>
      <c r="KFD507" s="325"/>
      <c r="KFE507" s="325"/>
      <c r="KFF507" s="325"/>
      <c r="KFG507" s="325"/>
      <c r="KFH507" s="325"/>
      <c r="KFI507" s="325"/>
      <c r="KFJ507" s="325"/>
      <c r="KFK507" s="325"/>
      <c r="KFL507" s="325"/>
      <c r="KFM507" s="325"/>
      <c r="KFN507" s="325"/>
      <c r="KFO507" s="325"/>
      <c r="KFP507" s="325"/>
      <c r="KFQ507" s="325"/>
      <c r="KFR507" s="325"/>
      <c r="KFS507" s="325"/>
      <c r="KFT507" s="327"/>
      <c r="KFU507" s="28"/>
      <c r="KFV507" s="324"/>
      <c r="KFW507" s="324"/>
      <c r="KFX507" s="324"/>
      <c r="KFY507" s="324"/>
      <c r="KFZ507" s="324"/>
      <c r="KGA507" s="324"/>
      <c r="KGB507" s="256"/>
      <c r="KGC507" s="325"/>
      <c r="KGD507" s="311"/>
      <c r="KGE507" s="325"/>
      <c r="KGF507" s="310"/>
      <c r="KGG507" s="325"/>
      <c r="KGH507" s="325"/>
      <c r="KGI507" s="325"/>
      <c r="KGJ507" s="325"/>
      <c r="KGK507" s="325"/>
      <c r="KGL507" s="325"/>
      <c r="KGM507" s="325"/>
      <c r="KGN507" s="325"/>
      <c r="KGO507" s="325"/>
      <c r="KGP507" s="325"/>
      <c r="KGQ507" s="325"/>
      <c r="KGR507" s="325"/>
      <c r="KGS507" s="325"/>
      <c r="KGT507" s="325"/>
      <c r="KGU507" s="325"/>
      <c r="KGV507" s="325"/>
      <c r="KGW507" s="325"/>
      <c r="KGX507" s="325"/>
      <c r="KGY507" s="325"/>
      <c r="KGZ507" s="325"/>
      <c r="KHA507" s="325"/>
      <c r="KHB507" s="325"/>
      <c r="KHC507" s="325"/>
      <c r="KHD507" s="325"/>
      <c r="KHE507" s="325"/>
      <c r="KHF507" s="325"/>
      <c r="KHG507" s="325"/>
      <c r="KHH507" s="325"/>
      <c r="KHI507" s="325"/>
      <c r="KHJ507" s="325"/>
      <c r="KHK507" s="327"/>
      <c r="KHL507" s="28"/>
      <c r="KHM507" s="324"/>
      <c r="KHN507" s="324"/>
      <c r="KHO507" s="324"/>
      <c r="KHP507" s="324"/>
      <c r="KHQ507" s="324"/>
      <c r="KHR507" s="324"/>
      <c r="KHS507" s="256"/>
      <c r="KHT507" s="325"/>
      <c r="KHU507" s="311"/>
      <c r="KHV507" s="325"/>
      <c r="KHW507" s="310"/>
      <c r="KHX507" s="325"/>
      <c r="KHY507" s="325"/>
      <c r="KHZ507" s="325"/>
      <c r="KIA507" s="325"/>
      <c r="KIB507" s="325"/>
      <c r="KIC507" s="325"/>
      <c r="KID507" s="325"/>
      <c r="KIE507" s="325"/>
      <c r="KIF507" s="325"/>
      <c r="KIG507" s="325"/>
      <c r="KIH507" s="325"/>
      <c r="KII507" s="325"/>
      <c r="KIJ507" s="325"/>
      <c r="KIK507" s="325"/>
      <c r="KIL507" s="325"/>
      <c r="KIM507" s="325"/>
      <c r="KIN507" s="325"/>
      <c r="KIO507" s="325"/>
      <c r="KIP507" s="325"/>
      <c r="KIQ507" s="325"/>
      <c r="KIR507" s="325"/>
      <c r="KIS507" s="325"/>
      <c r="KIT507" s="325"/>
      <c r="KIU507" s="325"/>
      <c r="KIV507" s="325"/>
      <c r="KIW507" s="325"/>
      <c r="KIX507" s="325"/>
      <c r="KIY507" s="325"/>
      <c r="KIZ507" s="325"/>
      <c r="KJA507" s="325"/>
      <c r="KJB507" s="327"/>
      <c r="KJC507" s="28"/>
      <c r="KJD507" s="324"/>
      <c r="KJE507" s="324"/>
      <c r="KJF507" s="324"/>
      <c r="KJG507" s="324"/>
      <c r="KJH507" s="324"/>
      <c r="KJI507" s="324"/>
      <c r="KJJ507" s="256"/>
      <c r="KJK507" s="325"/>
      <c r="KJL507" s="311"/>
      <c r="KJM507" s="325"/>
      <c r="KJN507" s="310"/>
      <c r="KJO507" s="325"/>
      <c r="KJP507" s="325"/>
      <c r="KJQ507" s="325"/>
      <c r="KJR507" s="325"/>
      <c r="KJS507" s="325"/>
      <c r="KJT507" s="325"/>
      <c r="KJU507" s="325"/>
      <c r="KJV507" s="325"/>
      <c r="KJW507" s="325"/>
      <c r="KJX507" s="325"/>
      <c r="KJY507" s="325"/>
      <c r="KJZ507" s="325"/>
      <c r="KKA507" s="325"/>
      <c r="KKB507" s="325"/>
      <c r="KKC507" s="325"/>
      <c r="KKD507" s="325"/>
      <c r="KKE507" s="325"/>
      <c r="KKF507" s="325"/>
      <c r="KKG507" s="325"/>
      <c r="KKH507" s="325"/>
      <c r="KKI507" s="325"/>
      <c r="KKJ507" s="325"/>
      <c r="KKK507" s="325"/>
      <c r="KKL507" s="325"/>
      <c r="KKM507" s="325"/>
      <c r="KKN507" s="325"/>
      <c r="KKO507" s="325"/>
      <c r="KKP507" s="325"/>
      <c r="KKQ507" s="325"/>
      <c r="KKR507" s="325"/>
      <c r="KKS507" s="327"/>
      <c r="KKT507" s="28"/>
      <c r="KKU507" s="324"/>
      <c r="KKV507" s="324"/>
      <c r="KKW507" s="324"/>
      <c r="KKX507" s="324"/>
      <c r="KKY507" s="324"/>
      <c r="KKZ507" s="324"/>
      <c r="KLA507" s="256"/>
      <c r="KLB507" s="325"/>
      <c r="KLC507" s="311"/>
      <c r="KLD507" s="325"/>
      <c r="KLE507" s="310"/>
      <c r="KLF507" s="325"/>
      <c r="KLG507" s="325"/>
      <c r="KLH507" s="325"/>
      <c r="KLI507" s="325"/>
      <c r="KLJ507" s="325"/>
      <c r="KLK507" s="325"/>
      <c r="KLL507" s="325"/>
      <c r="KLM507" s="325"/>
      <c r="KLN507" s="325"/>
      <c r="KLO507" s="325"/>
      <c r="KLP507" s="325"/>
      <c r="KLQ507" s="325"/>
      <c r="KLR507" s="325"/>
      <c r="KLS507" s="325"/>
      <c r="KLT507" s="325"/>
      <c r="KLU507" s="325"/>
      <c r="KLV507" s="325"/>
      <c r="KLW507" s="325"/>
      <c r="KLX507" s="325"/>
      <c r="KLY507" s="325"/>
      <c r="KLZ507" s="325"/>
      <c r="KMA507" s="325"/>
      <c r="KMB507" s="325"/>
      <c r="KMC507" s="325"/>
      <c r="KMD507" s="325"/>
      <c r="KME507" s="325"/>
      <c r="KMF507" s="325"/>
      <c r="KMG507" s="325"/>
      <c r="KMH507" s="325"/>
      <c r="KMI507" s="325"/>
      <c r="KMJ507" s="327"/>
      <c r="KMK507" s="28"/>
      <c r="KML507" s="324"/>
      <c r="KMM507" s="324"/>
      <c r="KMN507" s="324"/>
      <c r="KMO507" s="324"/>
      <c r="KMP507" s="324"/>
      <c r="KMQ507" s="324"/>
      <c r="KMR507" s="256"/>
      <c r="KMS507" s="325"/>
      <c r="KMT507" s="311"/>
      <c r="KMU507" s="325"/>
      <c r="KMV507" s="310"/>
      <c r="KMW507" s="325"/>
      <c r="KMX507" s="325"/>
      <c r="KMY507" s="325"/>
      <c r="KMZ507" s="325"/>
      <c r="KNA507" s="325"/>
      <c r="KNB507" s="325"/>
      <c r="KNC507" s="325"/>
      <c r="KND507" s="325"/>
      <c r="KNE507" s="325"/>
      <c r="KNF507" s="325"/>
      <c r="KNG507" s="325"/>
      <c r="KNH507" s="325"/>
      <c r="KNI507" s="325"/>
      <c r="KNJ507" s="325"/>
      <c r="KNK507" s="325"/>
      <c r="KNL507" s="325"/>
      <c r="KNM507" s="325"/>
      <c r="KNN507" s="325"/>
      <c r="KNO507" s="325"/>
      <c r="KNP507" s="325"/>
      <c r="KNQ507" s="325"/>
      <c r="KNR507" s="325"/>
      <c r="KNS507" s="325"/>
      <c r="KNT507" s="325"/>
      <c r="KNU507" s="325"/>
      <c r="KNV507" s="325"/>
      <c r="KNW507" s="325"/>
      <c r="KNX507" s="325"/>
      <c r="KNY507" s="325"/>
      <c r="KNZ507" s="325"/>
      <c r="KOA507" s="327"/>
      <c r="KOB507" s="28"/>
      <c r="KOC507" s="324"/>
      <c r="KOD507" s="324"/>
      <c r="KOE507" s="324"/>
      <c r="KOF507" s="324"/>
      <c r="KOG507" s="324"/>
      <c r="KOH507" s="324"/>
      <c r="KOI507" s="256"/>
      <c r="KOJ507" s="325"/>
      <c r="KOK507" s="311"/>
      <c r="KOL507" s="325"/>
      <c r="KOM507" s="310"/>
      <c r="KON507" s="325"/>
      <c r="KOO507" s="325"/>
      <c r="KOP507" s="325"/>
      <c r="KOQ507" s="325"/>
      <c r="KOR507" s="325"/>
      <c r="KOS507" s="325"/>
      <c r="KOT507" s="325"/>
      <c r="KOU507" s="325"/>
      <c r="KOV507" s="325"/>
      <c r="KOW507" s="325"/>
      <c r="KOX507" s="325"/>
      <c r="KOY507" s="325"/>
      <c r="KOZ507" s="325"/>
      <c r="KPA507" s="325"/>
      <c r="KPB507" s="325"/>
      <c r="KPC507" s="325"/>
      <c r="KPD507" s="325"/>
      <c r="KPE507" s="325"/>
      <c r="KPF507" s="325"/>
      <c r="KPG507" s="325"/>
      <c r="KPH507" s="325"/>
      <c r="KPI507" s="325"/>
      <c r="KPJ507" s="325"/>
      <c r="KPK507" s="325"/>
      <c r="KPL507" s="325"/>
      <c r="KPM507" s="325"/>
      <c r="KPN507" s="325"/>
      <c r="KPO507" s="325"/>
      <c r="KPP507" s="325"/>
      <c r="KPQ507" s="325"/>
      <c r="KPR507" s="327"/>
      <c r="KPS507" s="28"/>
      <c r="KPT507" s="324"/>
      <c r="KPU507" s="324"/>
      <c r="KPV507" s="324"/>
      <c r="KPW507" s="324"/>
      <c r="KPX507" s="324"/>
      <c r="KPY507" s="324"/>
      <c r="KPZ507" s="256"/>
      <c r="KQA507" s="325"/>
      <c r="KQB507" s="311"/>
      <c r="KQC507" s="325"/>
      <c r="KQD507" s="310"/>
      <c r="KQE507" s="325"/>
      <c r="KQF507" s="325"/>
      <c r="KQG507" s="325"/>
      <c r="KQH507" s="325"/>
      <c r="KQI507" s="325"/>
      <c r="KQJ507" s="325"/>
      <c r="KQK507" s="325"/>
      <c r="KQL507" s="325"/>
      <c r="KQM507" s="325"/>
      <c r="KQN507" s="325"/>
      <c r="KQO507" s="325"/>
      <c r="KQP507" s="325"/>
      <c r="KQQ507" s="325"/>
      <c r="KQR507" s="325"/>
      <c r="KQS507" s="325"/>
      <c r="KQT507" s="325"/>
      <c r="KQU507" s="325"/>
      <c r="KQV507" s="325"/>
      <c r="KQW507" s="325"/>
      <c r="KQX507" s="325"/>
      <c r="KQY507" s="325"/>
      <c r="KQZ507" s="325"/>
      <c r="KRA507" s="325"/>
      <c r="KRB507" s="325"/>
      <c r="KRC507" s="325"/>
      <c r="KRD507" s="325"/>
      <c r="KRE507" s="325"/>
      <c r="KRF507" s="325"/>
      <c r="KRG507" s="325"/>
      <c r="KRH507" s="325"/>
      <c r="KRI507" s="327"/>
      <c r="KRJ507" s="28"/>
      <c r="KRK507" s="324"/>
      <c r="KRL507" s="324"/>
      <c r="KRM507" s="324"/>
      <c r="KRN507" s="324"/>
      <c r="KRO507" s="324"/>
      <c r="KRP507" s="324"/>
      <c r="KRQ507" s="256"/>
      <c r="KRR507" s="325"/>
      <c r="KRS507" s="311"/>
      <c r="KRT507" s="325"/>
      <c r="KRU507" s="310"/>
      <c r="KRV507" s="325"/>
      <c r="KRW507" s="325"/>
      <c r="KRX507" s="325"/>
      <c r="KRY507" s="325"/>
      <c r="KRZ507" s="325"/>
      <c r="KSA507" s="325"/>
      <c r="KSB507" s="325"/>
      <c r="KSC507" s="325"/>
      <c r="KSD507" s="325"/>
      <c r="KSE507" s="325"/>
      <c r="KSF507" s="325"/>
      <c r="KSG507" s="325"/>
      <c r="KSH507" s="325"/>
      <c r="KSI507" s="325"/>
      <c r="KSJ507" s="325"/>
      <c r="KSK507" s="325"/>
      <c r="KSL507" s="325"/>
      <c r="KSM507" s="325"/>
      <c r="KSN507" s="325"/>
      <c r="KSO507" s="325"/>
      <c r="KSP507" s="325"/>
      <c r="KSQ507" s="325"/>
      <c r="KSR507" s="325"/>
      <c r="KSS507" s="325"/>
      <c r="KST507" s="325"/>
      <c r="KSU507" s="325"/>
      <c r="KSV507" s="325"/>
      <c r="KSW507" s="325"/>
      <c r="KSX507" s="325"/>
      <c r="KSY507" s="325"/>
      <c r="KSZ507" s="327"/>
      <c r="KTA507" s="28"/>
      <c r="KTB507" s="324"/>
      <c r="KTC507" s="324"/>
      <c r="KTD507" s="324"/>
      <c r="KTE507" s="324"/>
      <c r="KTF507" s="324"/>
      <c r="KTG507" s="324"/>
      <c r="KTH507" s="256"/>
      <c r="KTI507" s="325"/>
      <c r="KTJ507" s="311"/>
      <c r="KTK507" s="325"/>
      <c r="KTL507" s="310"/>
      <c r="KTM507" s="325"/>
      <c r="KTN507" s="325"/>
      <c r="KTO507" s="325"/>
      <c r="KTP507" s="325"/>
      <c r="KTQ507" s="325"/>
      <c r="KTR507" s="325"/>
      <c r="KTS507" s="325"/>
      <c r="KTT507" s="325"/>
      <c r="KTU507" s="325"/>
      <c r="KTV507" s="325"/>
      <c r="KTW507" s="325"/>
      <c r="KTX507" s="325"/>
      <c r="KTY507" s="325"/>
      <c r="KTZ507" s="325"/>
      <c r="KUA507" s="325"/>
      <c r="KUB507" s="325"/>
      <c r="KUC507" s="325"/>
      <c r="KUD507" s="325"/>
      <c r="KUE507" s="325"/>
      <c r="KUF507" s="325"/>
      <c r="KUG507" s="325"/>
      <c r="KUH507" s="325"/>
      <c r="KUI507" s="325"/>
      <c r="KUJ507" s="325"/>
      <c r="KUK507" s="325"/>
      <c r="KUL507" s="325"/>
      <c r="KUM507" s="325"/>
      <c r="KUN507" s="325"/>
      <c r="KUO507" s="325"/>
      <c r="KUP507" s="325"/>
      <c r="KUQ507" s="327"/>
      <c r="KUR507" s="28"/>
      <c r="KUS507" s="324"/>
      <c r="KUT507" s="324"/>
      <c r="KUU507" s="324"/>
      <c r="KUV507" s="324"/>
      <c r="KUW507" s="324"/>
      <c r="KUX507" s="324"/>
      <c r="KUY507" s="256"/>
      <c r="KUZ507" s="325"/>
      <c r="KVA507" s="311"/>
      <c r="KVB507" s="325"/>
      <c r="KVC507" s="310"/>
      <c r="KVD507" s="325"/>
      <c r="KVE507" s="325"/>
      <c r="KVF507" s="325"/>
      <c r="KVG507" s="325"/>
      <c r="KVH507" s="325"/>
      <c r="KVI507" s="325"/>
      <c r="KVJ507" s="325"/>
      <c r="KVK507" s="325"/>
      <c r="KVL507" s="325"/>
      <c r="KVM507" s="325"/>
      <c r="KVN507" s="325"/>
      <c r="KVO507" s="325"/>
      <c r="KVP507" s="325"/>
      <c r="KVQ507" s="325"/>
      <c r="KVR507" s="325"/>
      <c r="KVS507" s="325"/>
      <c r="KVT507" s="325"/>
      <c r="KVU507" s="325"/>
      <c r="KVV507" s="325"/>
      <c r="KVW507" s="325"/>
      <c r="KVX507" s="325"/>
      <c r="KVY507" s="325"/>
      <c r="KVZ507" s="325"/>
      <c r="KWA507" s="325"/>
      <c r="KWB507" s="325"/>
      <c r="KWC507" s="325"/>
      <c r="KWD507" s="325"/>
      <c r="KWE507" s="325"/>
      <c r="KWF507" s="325"/>
      <c r="KWG507" s="325"/>
      <c r="KWH507" s="327"/>
      <c r="KWI507" s="28"/>
      <c r="KWJ507" s="324"/>
      <c r="KWK507" s="324"/>
      <c r="KWL507" s="324"/>
      <c r="KWM507" s="324"/>
      <c r="KWN507" s="324"/>
      <c r="KWO507" s="324"/>
      <c r="KWP507" s="256"/>
      <c r="KWQ507" s="325"/>
      <c r="KWR507" s="311"/>
      <c r="KWS507" s="325"/>
      <c r="KWT507" s="310"/>
      <c r="KWU507" s="325"/>
      <c r="KWV507" s="325"/>
      <c r="KWW507" s="325"/>
      <c r="KWX507" s="325"/>
      <c r="KWY507" s="325"/>
      <c r="KWZ507" s="325"/>
      <c r="KXA507" s="325"/>
      <c r="KXB507" s="325"/>
      <c r="KXC507" s="325"/>
      <c r="KXD507" s="325"/>
      <c r="KXE507" s="325"/>
      <c r="KXF507" s="325"/>
      <c r="KXG507" s="325"/>
      <c r="KXH507" s="325"/>
      <c r="KXI507" s="325"/>
      <c r="KXJ507" s="325"/>
      <c r="KXK507" s="325"/>
      <c r="KXL507" s="325"/>
      <c r="KXM507" s="325"/>
      <c r="KXN507" s="325"/>
      <c r="KXO507" s="325"/>
      <c r="KXP507" s="325"/>
      <c r="KXQ507" s="325"/>
      <c r="KXR507" s="325"/>
      <c r="KXS507" s="325"/>
      <c r="KXT507" s="325"/>
      <c r="KXU507" s="325"/>
      <c r="KXV507" s="325"/>
      <c r="KXW507" s="325"/>
      <c r="KXX507" s="325"/>
      <c r="KXY507" s="327"/>
      <c r="KXZ507" s="28"/>
      <c r="KYA507" s="324"/>
      <c r="KYB507" s="324"/>
      <c r="KYC507" s="324"/>
      <c r="KYD507" s="324"/>
      <c r="KYE507" s="324"/>
      <c r="KYF507" s="324"/>
      <c r="KYG507" s="256"/>
      <c r="KYH507" s="325"/>
      <c r="KYI507" s="311"/>
      <c r="KYJ507" s="325"/>
      <c r="KYK507" s="310"/>
      <c r="KYL507" s="325"/>
      <c r="KYM507" s="325"/>
      <c r="KYN507" s="325"/>
      <c r="KYO507" s="325"/>
      <c r="KYP507" s="325"/>
      <c r="KYQ507" s="325"/>
      <c r="KYR507" s="325"/>
      <c r="KYS507" s="325"/>
      <c r="KYT507" s="325"/>
      <c r="KYU507" s="325"/>
      <c r="KYV507" s="325"/>
      <c r="KYW507" s="325"/>
      <c r="KYX507" s="325"/>
      <c r="KYY507" s="325"/>
      <c r="KYZ507" s="325"/>
      <c r="KZA507" s="325"/>
      <c r="KZB507" s="325"/>
      <c r="KZC507" s="325"/>
      <c r="KZD507" s="325"/>
      <c r="KZE507" s="325"/>
      <c r="KZF507" s="325"/>
      <c r="KZG507" s="325"/>
      <c r="KZH507" s="325"/>
      <c r="KZI507" s="325"/>
      <c r="KZJ507" s="325"/>
      <c r="KZK507" s="325"/>
      <c r="KZL507" s="325"/>
      <c r="KZM507" s="325"/>
      <c r="KZN507" s="325"/>
      <c r="KZO507" s="325"/>
      <c r="KZP507" s="327"/>
      <c r="KZQ507" s="28"/>
      <c r="KZR507" s="324"/>
      <c r="KZS507" s="324"/>
      <c r="KZT507" s="324"/>
      <c r="KZU507" s="324"/>
      <c r="KZV507" s="324"/>
      <c r="KZW507" s="324"/>
      <c r="KZX507" s="256"/>
      <c r="KZY507" s="325"/>
      <c r="KZZ507" s="311"/>
      <c r="LAA507" s="325"/>
      <c r="LAB507" s="310"/>
      <c r="LAC507" s="325"/>
      <c r="LAD507" s="325"/>
      <c r="LAE507" s="325"/>
      <c r="LAF507" s="325"/>
      <c r="LAG507" s="325"/>
      <c r="LAH507" s="325"/>
      <c r="LAI507" s="325"/>
      <c r="LAJ507" s="325"/>
      <c r="LAK507" s="325"/>
      <c r="LAL507" s="325"/>
      <c r="LAM507" s="325"/>
      <c r="LAN507" s="325"/>
      <c r="LAO507" s="325"/>
      <c r="LAP507" s="325"/>
      <c r="LAQ507" s="325"/>
      <c r="LAR507" s="325"/>
      <c r="LAS507" s="325"/>
      <c r="LAT507" s="325"/>
      <c r="LAU507" s="325"/>
      <c r="LAV507" s="325"/>
      <c r="LAW507" s="325"/>
      <c r="LAX507" s="325"/>
      <c r="LAY507" s="325"/>
      <c r="LAZ507" s="325"/>
      <c r="LBA507" s="325"/>
      <c r="LBB507" s="325"/>
      <c r="LBC507" s="325"/>
      <c r="LBD507" s="325"/>
      <c r="LBE507" s="325"/>
      <c r="LBF507" s="325"/>
      <c r="LBG507" s="327"/>
      <c r="LBH507" s="28"/>
      <c r="LBI507" s="324"/>
      <c r="LBJ507" s="324"/>
      <c r="LBK507" s="324"/>
      <c r="LBL507" s="324"/>
      <c r="LBM507" s="324"/>
      <c r="LBN507" s="324"/>
      <c r="LBO507" s="256"/>
      <c r="LBP507" s="325"/>
      <c r="LBQ507" s="311"/>
      <c r="LBR507" s="325"/>
      <c r="LBS507" s="310"/>
      <c r="LBT507" s="325"/>
      <c r="LBU507" s="325"/>
      <c r="LBV507" s="325"/>
      <c r="LBW507" s="325"/>
      <c r="LBX507" s="325"/>
      <c r="LBY507" s="325"/>
      <c r="LBZ507" s="325"/>
      <c r="LCA507" s="325"/>
      <c r="LCB507" s="325"/>
      <c r="LCC507" s="325"/>
      <c r="LCD507" s="325"/>
      <c r="LCE507" s="325"/>
      <c r="LCF507" s="325"/>
      <c r="LCG507" s="325"/>
      <c r="LCH507" s="325"/>
      <c r="LCI507" s="325"/>
      <c r="LCJ507" s="325"/>
      <c r="LCK507" s="325"/>
      <c r="LCL507" s="325"/>
      <c r="LCM507" s="325"/>
      <c r="LCN507" s="325"/>
      <c r="LCO507" s="325"/>
      <c r="LCP507" s="325"/>
      <c r="LCQ507" s="325"/>
      <c r="LCR507" s="325"/>
      <c r="LCS507" s="325"/>
      <c r="LCT507" s="325"/>
      <c r="LCU507" s="325"/>
      <c r="LCV507" s="325"/>
      <c r="LCW507" s="325"/>
      <c r="LCX507" s="327"/>
      <c r="LCY507" s="28"/>
      <c r="LCZ507" s="324"/>
      <c r="LDA507" s="324"/>
      <c r="LDB507" s="324"/>
      <c r="LDC507" s="324"/>
      <c r="LDD507" s="324"/>
      <c r="LDE507" s="324"/>
      <c r="LDF507" s="256"/>
      <c r="LDG507" s="325"/>
      <c r="LDH507" s="311"/>
      <c r="LDI507" s="325"/>
      <c r="LDJ507" s="310"/>
      <c r="LDK507" s="325"/>
      <c r="LDL507" s="325"/>
      <c r="LDM507" s="325"/>
      <c r="LDN507" s="325"/>
      <c r="LDO507" s="325"/>
      <c r="LDP507" s="325"/>
      <c r="LDQ507" s="325"/>
      <c r="LDR507" s="325"/>
      <c r="LDS507" s="325"/>
      <c r="LDT507" s="325"/>
      <c r="LDU507" s="325"/>
      <c r="LDV507" s="325"/>
      <c r="LDW507" s="325"/>
      <c r="LDX507" s="325"/>
      <c r="LDY507" s="325"/>
      <c r="LDZ507" s="325"/>
      <c r="LEA507" s="325"/>
      <c r="LEB507" s="325"/>
      <c r="LEC507" s="325"/>
      <c r="LED507" s="325"/>
      <c r="LEE507" s="325"/>
      <c r="LEF507" s="325"/>
      <c r="LEG507" s="325"/>
      <c r="LEH507" s="325"/>
      <c r="LEI507" s="325"/>
      <c r="LEJ507" s="325"/>
      <c r="LEK507" s="325"/>
      <c r="LEL507" s="325"/>
      <c r="LEM507" s="325"/>
      <c r="LEN507" s="325"/>
      <c r="LEO507" s="327"/>
      <c r="LEP507" s="28"/>
      <c r="LEQ507" s="324"/>
      <c r="LER507" s="324"/>
      <c r="LES507" s="324"/>
      <c r="LET507" s="324"/>
      <c r="LEU507" s="324"/>
      <c r="LEV507" s="324"/>
      <c r="LEW507" s="256"/>
      <c r="LEX507" s="325"/>
      <c r="LEY507" s="311"/>
      <c r="LEZ507" s="325"/>
      <c r="LFA507" s="310"/>
      <c r="LFB507" s="325"/>
      <c r="LFC507" s="325"/>
      <c r="LFD507" s="325"/>
      <c r="LFE507" s="325"/>
      <c r="LFF507" s="325"/>
      <c r="LFG507" s="325"/>
      <c r="LFH507" s="325"/>
      <c r="LFI507" s="325"/>
      <c r="LFJ507" s="325"/>
      <c r="LFK507" s="325"/>
      <c r="LFL507" s="325"/>
      <c r="LFM507" s="325"/>
      <c r="LFN507" s="325"/>
      <c r="LFO507" s="325"/>
      <c r="LFP507" s="325"/>
      <c r="LFQ507" s="325"/>
      <c r="LFR507" s="325"/>
      <c r="LFS507" s="325"/>
      <c r="LFT507" s="325"/>
      <c r="LFU507" s="325"/>
      <c r="LFV507" s="325"/>
      <c r="LFW507" s="325"/>
      <c r="LFX507" s="325"/>
      <c r="LFY507" s="325"/>
      <c r="LFZ507" s="325"/>
      <c r="LGA507" s="325"/>
      <c r="LGB507" s="325"/>
      <c r="LGC507" s="325"/>
      <c r="LGD507" s="325"/>
      <c r="LGE507" s="325"/>
      <c r="LGF507" s="327"/>
      <c r="LGG507" s="28"/>
      <c r="LGH507" s="324"/>
      <c r="LGI507" s="324"/>
      <c r="LGJ507" s="324"/>
      <c r="LGK507" s="324"/>
      <c r="LGL507" s="324"/>
      <c r="LGM507" s="324"/>
      <c r="LGN507" s="256"/>
      <c r="LGO507" s="325"/>
      <c r="LGP507" s="311"/>
      <c r="LGQ507" s="325"/>
      <c r="LGR507" s="310"/>
      <c r="LGS507" s="325"/>
      <c r="LGT507" s="325"/>
      <c r="LGU507" s="325"/>
      <c r="LGV507" s="325"/>
      <c r="LGW507" s="325"/>
      <c r="LGX507" s="325"/>
      <c r="LGY507" s="325"/>
      <c r="LGZ507" s="325"/>
      <c r="LHA507" s="325"/>
      <c r="LHB507" s="325"/>
      <c r="LHC507" s="325"/>
      <c r="LHD507" s="325"/>
      <c r="LHE507" s="325"/>
      <c r="LHF507" s="325"/>
      <c r="LHG507" s="325"/>
      <c r="LHH507" s="325"/>
      <c r="LHI507" s="325"/>
      <c r="LHJ507" s="325"/>
      <c r="LHK507" s="325"/>
      <c r="LHL507" s="325"/>
      <c r="LHM507" s="325"/>
      <c r="LHN507" s="325"/>
      <c r="LHO507" s="325"/>
      <c r="LHP507" s="325"/>
      <c r="LHQ507" s="325"/>
      <c r="LHR507" s="325"/>
      <c r="LHS507" s="325"/>
      <c r="LHT507" s="325"/>
      <c r="LHU507" s="325"/>
      <c r="LHV507" s="325"/>
      <c r="LHW507" s="327"/>
      <c r="LHX507" s="28"/>
      <c r="LHY507" s="324"/>
      <c r="LHZ507" s="324"/>
      <c r="LIA507" s="324"/>
      <c r="LIB507" s="324"/>
      <c r="LIC507" s="324"/>
      <c r="LID507" s="324"/>
      <c r="LIE507" s="256"/>
      <c r="LIF507" s="325"/>
      <c r="LIG507" s="311"/>
      <c r="LIH507" s="325"/>
      <c r="LII507" s="310"/>
      <c r="LIJ507" s="325"/>
      <c r="LIK507" s="325"/>
      <c r="LIL507" s="325"/>
      <c r="LIM507" s="325"/>
      <c r="LIN507" s="325"/>
      <c r="LIO507" s="325"/>
      <c r="LIP507" s="325"/>
      <c r="LIQ507" s="325"/>
      <c r="LIR507" s="325"/>
      <c r="LIS507" s="325"/>
      <c r="LIT507" s="325"/>
      <c r="LIU507" s="325"/>
      <c r="LIV507" s="325"/>
      <c r="LIW507" s="325"/>
      <c r="LIX507" s="325"/>
      <c r="LIY507" s="325"/>
      <c r="LIZ507" s="325"/>
      <c r="LJA507" s="325"/>
      <c r="LJB507" s="325"/>
      <c r="LJC507" s="325"/>
      <c r="LJD507" s="325"/>
      <c r="LJE507" s="325"/>
      <c r="LJF507" s="325"/>
      <c r="LJG507" s="325"/>
      <c r="LJH507" s="325"/>
      <c r="LJI507" s="325"/>
      <c r="LJJ507" s="325"/>
      <c r="LJK507" s="325"/>
      <c r="LJL507" s="325"/>
      <c r="LJM507" s="325"/>
      <c r="LJN507" s="327"/>
      <c r="LJO507" s="28"/>
      <c r="LJP507" s="324"/>
      <c r="LJQ507" s="324"/>
      <c r="LJR507" s="324"/>
      <c r="LJS507" s="324"/>
      <c r="LJT507" s="324"/>
      <c r="LJU507" s="324"/>
      <c r="LJV507" s="256"/>
      <c r="LJW507" s="325"/>
      <c r="LJX507" s="311"/>
      <c r="LJY507" s="325"/>
      <c r="LJZ507" s="310"/>
      <c r="LKA507" s="325"/>
      <c r="LKB507" s="325"/>
      <c r="LKC507" s="325"/>
      <c r="LKD507" s="325"/>
      <c r="LKE507" s="325"/>
      <c r="LKF507" s="325"/>
      <c r="LKG507" s="325"/>
      <c r="LKH507" s="325"/>
      <c r="LKI507" s="325"/>
      <c r="LKJ507" s="325"/>
      <c r="LKK507" s="325"/>
      <c r="LKL507" s="325"/>
      <c r="LKM507" s="325"/>
      <c r="LKN507" s="325"/>
      <c r="LKO507" s="325"/>
      <c r="LKP507" s="325"/>
      <c r="LKQ507" s="325"/>
      <c r="LKR507" s="325"/>
      <c r="LKS507" s="325"/>
      <c r="LKT507" s="325"/>
      <c r="LKU507" s="325"/>
      <c r="LKV507" s="325"/>
      <c r="LKW507" s="325"/>
      <c r="LKX507" s="325"/>
      <c r="LKY507" s="325"/>
      <c r="LKZ507" s="325"/>
      <c r="LLA507" s="325"/>
      <c r="LLB507" s="325"/>
      <c r="LLC507" s="325"/>
      <c r="LLD507" s="325"/>
      <c r="LLE507" s="327"/>
      <c r="LLF507" s="28"/>
      <c r="LLG507" s="324"/>
      <c r="LLH507" s="324"/>
      <c r="LLI507" s="324"/>
      <c r="LLJ507" s="324"/>
      <c r="LLK507" s="324"/>
      <c r="LLL507" s="324"/>
      <c r="LLM507" s="256"/>
      <c r="LLN507" s="325"/>
      <c r="LLO507" s="311"/>
      <c r="LLP507" s="325"/>
      <c r="LLQ507" s="310"/>
      <c r="LLR507" s="325"/>
      <c r="LLS507" s="325"/>
      <c r="LLT507" s="325"/>
      <c r="LLU507" s="325"/>
      <c r="LLV507" s="325"/>
      <c r="LLW507" s="325"/>
      <c r="LLX507" s="325"/>
      <c r="LLY507" s="325"/>
      <c r="LLZ507" s="325"/>
      <c r="LMA507" s="325"/>
      <c r="LMB507" s="325"/>
      <c r="LMC507" s="325"/>
      <c r="LMD507" s="325"/>
      <c r="LME507" s="325"/>
      <c r="LMF507" s="325"/>
      <c r="LMG507" s="325"/>
      <c r="LMH507" s="325"/>
      <c r="LMI507" s="325"/>
      <c r="LMJ507" s="325"/>
      <c r="LMK507" s="325"/>
      <c r="LML507" s="325"/>
      <c r="LMM507" s="325"/>
      <c r="LMN507" s="325"/>
      <c r="LMO507" s="325"/>
      <c r="LMP507" s="325"/>
      <c r="LMQ507" s="325"/>
      <c r="LMR507" s="325"/>
      <c r="LMS507" s="325"/>
      <c r="LMT507" s="325"/>
      <c r="LMU507" s="325"/>
      <c r="LMV507" s="327"/>
      <c r="LMW507" s="28"/>
      <c r="LMX507" s="324"/>
      <c r="LMY507" s="324"/>
      <c r="LMZ507" s="324"/>
      <c r="LNA507" s="324"/>
      <c r="LNB507" s="324"/>
      <c r="LNC507" s="324"/>
      <c r="LND507" s="256"/>
      <c r="LNE507" s="325"/>
      <c r="LNF507" s="311"/>
      <c r="LNG507" s="325"/>
      <c r="LNH507" s="310"/>
      <c r="LNI507" s="325"/>
      <c r="LNJ507" s="325"/>
      <c r="LNK507" s="325"/>
      <c r="LNL507" s="325"/>
      <c r="LNM507" s="325"/>
      <c r="LNN507" s="325"/>
      <c r="LNO507" s="325"/>
      <c r="LNP507" s="325"/>
      <c r="LNQ507" s="325"/>
      <c r="LNR507" s="325"/>
      <c r="LNS507" s="325"/>
      <c r="LNT507" s="325"/>
      <c r="LNU507" s="325"/>
      <c r="LNV507" s="325"/>
      <c r="LNW507" s="325"/>
      <c r="LNX507" s="325"/>
      <c r="LNY507" s="325"/>
      <c r="LNZ507" s="325"/>
      <c r="LOA507" s="325"/>
      <c r="LOB507" s="325"/>
      <c r="LOC507" s="325"/>
      <c r="LOD507" s="325"/>
      <c r="LOE507" s="325"/>
      <c r="LOF507" s="325"/>
      <c r="LOG507" s="325"/>
      <c r="LOH507" s="325"/>
      <c r="LOI507" s="325"/>
      <c r="LOJ507" s="325"/>
      <c r="LOK507" s="325"/>
      <c r="LOL507" s="325"/>
      <c r="LOM507" s="327"/>
      <c r="LON507" s="28"/>
      <c r="LOO507" s="324"/>
      <c r="LOP507" s="324"/>
      <c r="LOQ507" s="324"/>
      <c r="LOR507" s="324"/>
      <c r="LOS507" s="324"/>
      <c r="LOT507" s="324"/>
      <c r="LOU507" s="256"/>
      <c r="LOV507" s="325"/>
      <c r="LOW507" s="311"/>
      <c r="LOX507" s="325"/>
      <c r="LOY507" s="310"/>
      <c r="LOZ507" s="325"/>
      <c r="LPA507" s="325"/>
      <c r="LPB507" s="325"/>
      <c r="LPC507" s="325"/>
      <c r="LPD507" s="325"/>
      <c r="LPE507" s="325"/>
      <c r="LPF507" s="325"/>
      <c r="LPG507" s="325"/>
      <c r="LPH507" s="325"/>
      <c r="LPI507" s="325"/>
      <c r="LPJ507" s="325"/>
      <c r="LPK507" s="325"/>
      <c r="LPL507" s="325"/>
      <c r="LPM507" s="325"/>
      <c r="LPN507" s="325"/>
      <c r="LPO507" s="325"/>
      <c r="LPP507" s="325"/>
      <c r="LPQ507" s="325"/>
      <c r="LPR507" s="325"/>
      <c r="LPS507" s="325"/>
      <c r="LPT507" s="325"/>
      <c r="LPU507" s="325"/>
      <c r="LPV507" s="325"/>
      <c r="LPW507" s="325"/>
      <c r="LPX507" s="325"/>
      <c r="LPY507" s="325"/>
      <c r="LPZ507" s="325"/>
      <c r="LQA507" s="325"/>
      <c r="LQB507" s="325"/>
      <c r="LQC507" s="325"/>
      <c r="LQD507" s="327"/>
      <c r="LQE507" s="28"/>
      <c r="LQF507" s="324"/>
      <c r="LQG507" s="324"/>
      <c r="LQH507" s="324"/>
      <c r="LQI507" s="324"/>
      <c r="LQJ507" s="324"/>
      <c r="LQK507" s="324"/>
      <c r="LQL507" s="256"/>
      <c r="LQM507" s="325"/>
      <c r="LQN507" s="311"/>
      <c r="LQO507" s="325"/>
      <c r="LQP507" s="310"/>
      <c r="LQQ507" s="325"/>
      <c r="LQR507" s="325"/>
      <c r="LQS507" s="325"/>
      <c r="LQT507" s="325"/>
      <c r="LQU507" s="325"/>
      <c r="LQV507" s="325"/>
      <c r="LQW507" s="325"/>
      <c r="LQX507" s="325"/>
      <c r="LQY507" s="325"/>
      <c r="LQZ507" s="325"/>
      <c r="LRA507" s="325"/>
      <c r="LRB507" s="325"/>
      <c r="LRC507" s="325"/>
      <c r="LRD507" s="325"/>
      <c r="LRE507" s="325"/>
      <c r="LRF507" s="325"/>
      <c r="LRG507" s="325"/>
      <c r="LRH507" s="325"/>
      <c r="LRI507" s="325"/>
      <c r="LRJ507" s="325"/>
      <c r="LRK507" s="325"/>
      <c r="LRL507" s="325"/>
      <c r="LRM507" s="325"/>
      <c r="LRN507" s="325"/>
      <c r="LRO507" s="325"/>
      <c r="LRP507" s="325"/>
      <c r="LRQ507" s="325"/>
      <c r="LRR507" s="325"/>
      <c r="LRS507" s="325"/>
      <c r="LRT507" s="325"/>
      <c r="LRU507" s="327"/>
      <c r="LRV507" s="28"/>
      <c r="LRW507" s="324"/>
      <c r="LRX507" s="324"/>
      <c r="LRY507" s="324"/>
      <c r="LRZ507" s="324"/>
      <c r="LSA507" s="324"/>
      <c r="LSB507" s="324"/>
      <c r="LSC507" s="256"/>
      <c r="LSD507" s="325"/>
      <c r="LSE507" s="311"/>
      <c r="LSF507" s="325"/>
      <c r="LSG507" s="310"/>
      <c r="LSH507" s="325"/>
      <c r="LSI507" s="325"/>
      <c r="LSJ507" s="325"/>
      <c r="LSK507" s="325"/>
      <c r="LSL507" s="325"/>
      <c r="LSM507" s="325"/>
      <c r="LSN507" s="325"/>
      <c r="LSO507" s="325"/>
      <c r="LSP507" s="325"/>
      <c r="LSQ507" s="325"/>
      <c r="LSR507" s="325"/>
      <c r="LSS507" s="325"/>
      <c r="LST507" s="325"/>
      <c r="LSU507" s="325"/>
      <c r="LSV507" s="325"/>
      <c r="LSW507" s="325"/>
      <c r="LSX507" s="325"/>
      <c r="LSY507" s="325"/>
      <c r="LSZ507" s="325"/>
      <c r="LTA507" s="325"/>
      <c r="LTB507" s="325"/>
      <c r="LTC507" s="325"/>
      <c r="LTD507" s="325"/>
      <c r="LTE507" s="325"/>
      <c r="LTF507" s="325"/>
      <c r="LTG507" s="325"/>
      <c r="LTH507" s="325"/>
      <c r="LTI507" s="325"/>
      <c r="LTJ507" s="325"/>
      <c r="LTK507" s="325"/>
      <c r="LTL507" s="327"/>
      <c r="LTM507" s="28"/>
      <c r="LTN507" s="324"/>
      <c r="LTO507" s="324"/>
      <c r="LTP507" s="324"/>
      <c r="LTQ507" s="324"/>
      <c r="LTR507" s="324"/>
      <c r="LTS507" s="324"/>
      <c r="LTT507" s="256"/>
      <c r="LTU507" s="325"/>
      <c r="LTV507" s="311"/>
      <c r="LTW507" s="325"/>
      <c r="LTX507" s="310"/>
      <c r="LTY507" s="325"/>
      <c r="LTZ507" s="325"/>
      <c r="LUA507" s="325"/>
      <c r="LUB507" s="325"/>
      <c r="LUC507" s="325"/>
      <c r="LUD507" s="325"/>
      <c r="LUE507" s="325"/>
      <c r="LUF507" s="325"/>
      <c r="LUG507" s="325"/>
      <c r="LUH507" s="325"/>
      <c r="LUI507" s="325"/>
      <c r="LUJ507" s="325"/>
      <c r="LUK507" s="325"/>
      <c r="LUL507" s="325"/>
      <c r="LUM507" s="325"/>
      <c r="LUN507" s="325"/>
      <c r="LUO507" s="325"/>
      <c r="LUP507" s="325"/>
      <c r="LUQ507" s="325"/>
      <c r="LUR507" s="325"/>
      <c r="LUS507" s="325"/>
      <c r="LUT507" s="325"/>
      <c r="LUU507" s="325"/>
      <c r="LUV507" s="325"/>
      <c r="LUW507" s="325"/>
      <c r="LUX507" s="325"/>
      <c r="LUY507" s="325"/>
      <c r="LUZ507" s="325"/>
      <c r="LVA507" s="325"/>
      <c r="LVB507" s="325"/>
      <c r="LVC507" s="327"/>
      <c r="LVD507" s="28"/>
      <c r="LVE507" s="324"/>
      <c r="LVF507" s="324"/>
      <c r="LVG507" s="324"/>
      <c r="LVH507" s="324"/>
      <c r="LVI507" s="324"/>
      <c r="LVJ507" s="324"/>
      <c r="LVK507" s="256"/>
      <c r="LVL507" s="325"/>
      <c r="LVM507" s="311"/>
      <c r="LVN507" s="325"/>
      <c r="LVO507" s="310"/>
      <c r="LVP507" s="325"/>
      <c r="LVQ507" s="325"/>
      <c r="LVR507" s="325"/>
      <c r="LVS507" s="325"/>
      <c r="LVT507" s="325"/>
      <c r="LVU507" s="325"/>
      <c r="LVV507" s="325"/>
      <c r="LVW507" s="325"/>
      <c r="LVX507" s="325"/>
      <c r="LVY507" s="325"/>
      <c r="LVZ507" s="325"/>
      <c r="LWA507" s="325"/>
      <c r="LWB507" s="325"/>
      <c r="LWC507" s="325"/>
      <c r="LWD507" s="325"/>
      <c r="LWE507" s="325"/>
      <c r="LWF507" s="325"/>
      <c r="LWG507" s="325"/>
      <c r="LWH507" s="325"/>
      <c r="LWI507" s="325"/>
      <c r="LWJ507" s="325"/>
      <c r="LWK507" s="325"/>
      <c r="LWL507" s="325"/>
      <c r="LWM507" s="325"/>
      <c r="LWN507" s="325"/>
      <c r="LWO507" s="325"/>
      <c r="LWP507" s="325"/>
      <c r="LWQ507" s="325"/>
      <c r="LWR507" s="325"/>
      <c r="LWS507" s="325"/>
      <c r="LWT507" s="327"/>
      <c r="LWU507" s="28"/>
      <c r="LWV507" s="324"/>
      <c r="LWW507" s="324"/>
      <c r="LWX507" s="324"/>
      <c r="LWY507" s="324"/>
      <c r="LWZ507" s="324"/>
      <c r="LXA507" s="324"/>
      <c r="LXB507" s="256"/>
      <c r="LXC507" s="325"/>
      <c r="LXD507" s="311"/>
      <c r="LXE507" s="325"/>
      <c r="LXF507" s="310"/>
      <c r="LXG507" s="325"/>
      <c r="LXH507" s="325"/>
      <c r="LXI507" s="325"/>
      <c r="LXJ507" s="325"/>
      <c r="LXK507" s="325"/>
      <c r="LXL507" s="325"/>
      <c r="LXM507" s="325"/>
      <c r="LXN507" s="325"/>
      <c r="LXO507" s="325"/>
      <c r="LXP507" s="325"/>
      <c r="LXQ507" s="325"/>
      <c r="LXR507" s="325"/>
      <c r="LXS507" s="325"/>
      <c r="LXT507" s="325"/>
      <c r="LXU507" s="325"/>
      <c r="LXV507" s="325"/>
      <c r="LXW507" s="325"/>
      <c r="LXX507" s="325"/>
      <c r="LXY507" s="325"/>
      <c r="LXZ507" s="325"/>
      <c r="LYA507" s="325"/>
      <c r="LYB507" s="325"/>
      <c r="LYC507" s="325"/>
      <c r="LYD507" s="325"/>
      <c r="LYE507" s="325"/>
      <c r="LYF507" s="325"/>
      <c r="LYG507" s="325"/>
      <c r="LYH507" s="325"/>
      <c r="LYI507" s="325"/>
      <c r="LYJ507" s="325"/>
      <c r="LYK507" s="327"/>
      <c r="LYL507" s="28"/>
      <c r="LYM507" s="324"/>
      <c r="LYN507" s="324"/>
      <c r="LYO507" s="324"/>
      <c r="LYP507" s="324"/>
      <c r="LYQ507" s="324"/>
      <c r="LYR507" s="324"/>
      <c r="LYS507" s="256"/>
      <c r="LYT507" s="325"/>
      <c r="LYU507" s="311"/>
      <c r="LYV507" s="325"/>
      <c r="LYW507" s="310"/>
      <c r="LYX507" s="325"/>
      <c r="LYY507" s="325"/>
      <c r="LYZ507" s="325"/>
      <c r="LZA507" s="325"/>
      <c r="LZB507" s="325"/>
      <c r="LZC507" s="325"/>
      <c r="LZD507" s="325"/>
      <c r="LZE507" s="325"/>
      <c r="LZF507" s="325"/>
      <c r="LZG507" s="325"/>
      <c r="LZH507" s="325"/>
      <c r="LZI507" s="325"/>
      <c r="LZJ507" s="325"/>
      <c r="LZK507" s="325"/>
      <c r="LZL507" s="325"/>
      <c r="LZM507" s="325"/>
      <c r="LZN507" s="325"/>
      <c r="LZO507" s="325"/>
      <c r="LZP507" s="325"/>
      <c r="LZQ507" s="325"/>
      <c r="LZR507" s="325"/>
      <c r="LZS507" s="325"/>
      <c r="LZT507" s="325"/>
      <c r="LZU507" s="325"/>
      <c r="LZV507" s="325"/>
      <c r="LZW507" s="325"/>
      <c r="LZX507" s="325"/>
      <c r="LZY507" s="325"/>
      <c r="LZZ507" s="325"/>
      <c r="MAA507" s="325"/>
      <c r="MAB507" s="327"/>
      <c r="MAC507" s="28"/>
      <c r="MAD507" s="324"/>
      <c r="MAE507" s="324"/>
      <c r="MAF507" s="324"/>
      <c r="MAG507" s="324"/>
      <c r="MAH507" s="324"/>
      <c r="MAI507" s="324"/>
      <c r="MAJ507" s="256"/>
      <c r="MAK507" s="325"/>
      <c r="MAL507" s="311"/>
      <c r="MAM507" s="325"/>
      <c r="MAN507" s="310"/>
      <c r="MAO507" s="325"/>
      <c r="MAP507" s="325"/>
      <c r="MAQ507" s="325"/>
      <c r="MAR507" s="325"/>
      <c r="MAS507" s="325"/>
      <c r="MAT507" s="325"/>
      <c r="MAU507" s="325"/>
      <c r="MAV507" s="325"/>
      <c r="MAW507" s="325"/>
      <c r="MAX507" s="325"/>
      <c r="MAY507" s="325"/>
      <c r="MAZ507" s="325"/>
      <c r="MBA507" s="325"/>
      <c r="MBB507" s="325"/>
      <c r="MBC507" s="325"/>
      <c r="MBD507" s="325"/>
      <c r="MBE507" s="325"/>
      <c r="MBF507" s="325"/>
      <c r="MBG507" s="325"/>
      <c r="MBH507" s="325"/>
      <c r="MBI507" s="325"/>
      <c r="MBJ507" s="325"/>
      <c r="MBK507" s="325"/>
      <c r="MBL507" s="325"/>
      <c r="MBM507" s="325"/>
      <c r="MBN507" s="325"/>
      <c r="MBO507" s="325"/>
      <c r="MBP507" s="325"/>
      <c r="MBQ507" s="325"/>
      <c r="MBR507" s="325"/>
      <c r="MBS507" s="327"/>
      <c r="MBT507" s="28"/>
      <c r="MBU507" s="324"/>
      <c r="MBV507" s="324"/>
      <c r="MBW507" s="324"/>
      <c r="MBX507" s="324"/>
      <c r="MBY507" s="324"/>
      <c r="MBZ507" s="324"/>
      <c r="MCA507" s="256"/>
      <c r="MCB507" s="325"/>
      <c r="MCC507" s="311"/>
      <c r="MCD507" s="325"/>
      <c r="MCE507" s="310"/>
      <c r="MCF507" s="325"/>
      <c r="MCG507" s="325"/>
      <c r="MCH507" s="325"/>
      <c r="MCI507" s="325"/>
      <c r="MCJ507" s="325"/>
      <c r="MCK507" s="325"/>
      <c r="MCL507" s="325"/>
      <c r="MCM507" s="325"/>
      <c r="MCN507" s="325"/>
      <c r="MCO507" s="325"/>
      <c r="MCP507" s="325"/>
      <c r="MCQ507" s="325"/>
      <c r="MCR507" s="325"/>
      <c r="MCS507" s="325"/>
      <c r="MCT507" s="325"/>
      <c r="MCU507" s="325"/>
      <c r="MCV507" s="325"/>
      <c r="MCW507" s="325"/>
      <c r="MCX507" s="325"/>
      <c r="MCY507" s="325"/>
      <c r="MCZ507" s="325"/>
      <c r="MDA507" s="325"/>
      <c r="MDB507" s="325"/>
      <c r="MDC507" s="325"/>
      <c r="MDD507" s="325"/>
      <c r="MDE507" s="325"/>
      <c r="MDF507" s="325"/>
      <c r="MDG507" s="325"/>
      <c r="MDH507" s="325"/>
      <c r="MDI507" s="325"/>
      <c r="MDJ507" s="327"/>
      <c r="MDK507" s="28"/>
      <c r="MDL507" s="324"/>
      <c r="MDM507" s="324"/>
      <c r="MDN507" s="324"/>
      <c r="MDO507" s="324"/>
      <c r="MDP507" s="324"/>
      <c r="MDQ507" s="324"/>
      <c r="MDR507" s="256"/>
      <c r="MDS507" s="325"/>
      <c r="MDT507" s="311"/>
      <c r="MDU507" s="325"/>
      <c r="MDV507" s="310"/>
      <c r="MDW507" s="325"/>
      <c r="MDX507" s="325"/>
      <c r="MDY507" s="325"/>
      <c r="MDZ507" s="325"/>
      <c r="MEA507" s="325"/>
      <c r="MEB507" s="325"/>
      <c r="MEC507" s="325"/>
      <c r="MED507" s="325"/>
      <c r="MEE507" s="325"/>
      <c r="MEF507" s="325"/>
      <c r="MEG507" s="325"/>
      <c r="MEH507" s="325"/>
      <c r="MEI507" s="325"/>
      <c r="MEJ507" s="325"/>
      <c r="MEK507" s="325"/>
      <c r="MEL507" s="325"/>
      <c r="MEM507" s="325"/>
      <c r="MEN507" s="325"/>
      <c r="MEO507" s="325"/>
      <c r="MEP507" s="325"/>
      <c r="MEQ507" s="325"/>
      <c r="MER507" s="325"/>
      <c r="MES507" s="325"/>
      <c r="MET507" s="325"/>
      <c r="MEU507" s="325"/>
      <c r="MEV507" s="325"/>
      <c r="MEW507" s="325"/>
      <c r="MEX507" s="325"/>
      <c r="MEY507" s="325"/>
      <c r="MEZ507" s="325"/>
      <c r="MFA507" s="327"/>
      <c r="MFB507" s="28"/>
      <c r="MFC507" s="324"/>
      <c r="MFD507" s="324"/>
      <c r="MFE507" s="324"/>
      <c r="MFF507" s="324"/>
      <c r="MFG507" s="324"/>
      <c r="MFH507" s="324"/>
      <c r="MFI507" s="256"/>
      <c r="MFJ507" s="325"/>
      <c r="MFK507" s="311"/>
      <c r="MFL507" s="325"/>
      <c r="MFM507" s="310"/>
      <c r="MFN507" s="325"/>
      <c r="MFO507" s="325"/>
      <c r="MFP507" s="325"/>
      <c r="MFQ507" s="325"/>
      <c r="MFR507" s="325"/>
      <c r="MFS507" s="325"/>
      <c r="MFT507" s="325"/>
      <c r="MFU507" s="325"/>
      <c r="MFV507" s="325"/>
      <c r="MFW507" s="325"/>
      <c r="MFX507" s="325"/>
      <c r="MFY507" s="325"/>
      <c r="MFZ507" s="325"/>
      <c r="MGA507" s="325"/>
      <c r="MGB507" s="325"/>
      <c r="MGC507" s="325"/>
      <c r="MGD507" s="325"/>
      <c r="MGE507" s="325"/>
      <c r="MGF507" s="325"/>
      <c r="MGG507" s="325"/>
      <c r="MGH507" s="325"/>
      <c r="MGI507" s="325"/>
      <c r="MGJ507" s="325"/>
      <c r="MGK507" s="325"/>
      <c r="MGL507" s="325"/>
      <c r="MGM507" s="325"/>
      <c r="MGN507" s="325"/>
      <c r="MGO507" s="325"/>
      <c r="MGP507" s="325"/>
      <c r="MGQ507" s="325"/>
      <c r="MGR507" s="327"/>
      <c r="MGS507" s="28"/>
      <c r="MGT507" s="324"/>
      <c r="MGU507" s="324"/>
      <c r="MGV507" s="324"/>
      <c r="MGW507" s="324"/>
      <c r="MGX507" s="324"/>
      <c r="MGY507" s="324"/>
      <c r="MGZ507" s="256"/>
      <c r="MHA507" s="325"/>
      <c r="MHB507" s="311"/>
      <c r="MHC507" s="325"/>
      <c r="MHD507" s="310"/>
      <c r="MHE507" s="325"/>
      <c r="MHF507" s="325"/>
      <c r="MHG507" s="325"/>
      <c r="MHH507" s="325"/>
      <c r="MHI507" s="325"/>
      <c r="MHJ507" s="325"/>
      <c r="MHK507" s="325"/>
      <c r="MHL507" s="325"/>
      <c r="MHM507" s="325"/>
      <c r="MHN507" s="325"/>
      <c r="MHO507" s="325"/>
      <c r="MHP507" s="325"/>
      <c r="MHQ507" s="325"/>
      <c r="MHR507" s="325"/>
      <c r="MHS507" s="325"/>
      <c r="MHT507" s="325"/>
      <c r="MHU507" s="325"/>
      <c r="MHV507" s="325"/>
      <c r="MHW507" s="325"/>
      <c r="MHX507" s="325"/>
      <c r="MHY507" s="325"/>
      <c r="MHZ507" s="325"/>
      <c r="MIA507" s="325"/>
      <c r="MIB507" s="325"/>
      <c r="MIC507" s="325"/>
      <c r="MID507" s="325"/>
      <c r="MIE507" s="325"/>
      <c r="MIF507" s="325"/>
      <c r="MIG507" s="325"/>
      <c r="MIH507" s="325"/>
      <c r="MII507" s="327"/>
      <c r="MIJ507" s="28"/>
      <c r="MIK507" s="324"/>
      <c r="MIL507" s="324"/>
      <c r="MIM507" s="324"/>
      <c r="MIN507" s="324"/>
      <c r="MIO507" s="324"/>
      <c r="MIP507" s="324"/>
      <c r="MIQ507" s="256"/>
      <c r="MIR507" s="325"/>
      <c r="MIS507" s="311"/>
      <c r="MIT507" s="325"/>
      <c r="MIU507" s="310"/>
      <c r="MIV507" s="325"/>
      <c r="MIW507" s="325"/>
      <c r="MIX507" s="325"/>
      <c r="MIY507" s="325"/>
      <c r="MIZ507" s="325"/>
      <c r="MJA507" s="325"/>
      <c r="MJB507" s="325"/>
      <c r="MJC507" s="325"/>
      <c r="MJD507" s="325"/>
      <c r="MJE507" s="325"/>
      <c r="MJF507" s="325"/>
      <c r="MJG507" s="325"/>
      <c r="MJH507" s="325"/>
      <c r="MJI507" s="325"/>
      <c r="MJJ507" s="325"/>
      <c r="MJK507" s="325"/>
      <c r="MJL507" s="325"/>
      <c r="MJM507" s="325"/>
      <c r="MJN507" s="325"/>
      <c r="MJO507" s="325"/>
      <c r="MJP507" s="325"/>
      <c r="MJQ507" s="325"/>
      <c r="MJR507" s="325"/>
      <c r="MJS507" s="325"/>
      <c r="MJT507" s="325"/>
      <c r="MJU507" s="325"/>
      <c r="MJV507" s="325"/>
      <c r="MJW507" s="325"/>
      <c r="MJX507" s="325"/>
      <c r="MJY507" s="325"/>
      <c r="MJZ507" s="327"/>
      <c r="MKA507" s="28"/>
      <c r="MKB507" s="324"/>
      <c r="MKC507" s="324"/>
      <c r="MKD507" s="324"/>
      <c r="MKE507" s="324"/>
      <c r="MKF507" s="324"/>
      <c r="MKG507" s="324"/>
      <c r="MKH507" s="256"/>
      <c r="MKI507" s="325"/>
      <c r="MKJ507" s="311"/>
      <c r="MKK507" s="325"/>
      <c r="MKL507" s="310"/>
      <c r="MKM507" s="325"/>
      <c r="MKN507" s="325"/>
      <c r="MKO507" s="325"/>
      <c r="MKP507" s="325"/>
      <c r="MKQ507" s="325"/>
      <c r="MKR507" s="325"/>
      <c r="MKS507" s="325"/>
      <c r="MKT507" s="325"/>
      <c r="MKU507" s="325"/>
      <c r="MKV507" s="325"/>
      <c r="MKW507" s="325"/>
      <c r="MKX507" s="325"/>
      <c r="MKY507" s="325"/>
      <c r="MKZ507" s="325"/>
      <c r="MLA507" s="325"/>
      <c r="MLB507" s="325"/>
      <c r="MLC507" s="325"/>
      <c r="MLD507" s="325"/>
      <c r="MLE507" s="325"/>
      <c r="MLF507" s="325"/>
      <c r="MLG507" s="325"/>
      <c r="MLH507" s="325"/>
      <c r="MLI507" s="325"/>
      <c r="MLJ507" s="325"/>
      <c r="MLK507" s="325"/>
      <c r="MLL507" s="325"/>
      <c r="MLM507" s="325"/>
      <c r="MLN507" s="325"/>
      <c r="MLO507" s="325"/>
      <c r="MLP507" s="325"/>
      <c r="MLQ507" s="327"/>
      <c r="MLR507" s="28"/>
      <c r="MLS507" s="324"/>
      <c r="MLT507" s="324"/>
      <c r="MLU507" s="324"/>
      <c r="MLV507" s="324"/>
      <c r="MLW507" s="324"/>
      <c r="MLX507" s="324"/>
      <c r="MLY507" s="256"/>
      <c r="MLZ507" s="325"/>
      <c r="MMA507" s="311"/>
      <c r="MMB507" s="325"/>
      <c r="MMC507" s="310"/>
      <c r="MMD507" s="325"/>
      <c r="MME507" s="325"/>
      <c r="MMF507" s="325"/>
      <c r="MMG507" s="325"/>
      <c r="MMH507" s="325"/>
      <c r="MMI507" s="325"/>
      <c r="MMJ507" s="325"/>
      <c r="MMK507" s="325"/>
      <c r="MML507" s="325"/>
      <c r="MMM507" s="325"/>
      <c r="MMN507" s="325"/>
      <c r="MMO507" s="325"/>
      <c r="MMP507" s="325"/>
      <c r="MMQ507" s="325"/>
      <c r="MMR507" s="325"/>
      <c r="MMS507" s="325"/>
      <c r="MMT507" s="325"/>
      <c r="MMU507" s="325"/>
      <c r="MMV507" s="325"/>
      <c r="MMW507" s="325"/>
      <c r="MMX507" s="325"/>
      <c r="MMY507" s="325"/>
      <c r="MMZ507" s="325"/>
      <c r="MNA507" s="325"/>
      <c r="MNB507" s="325"/>
      <c r="MNC507" s="325"/>
      <c r="MND507" s="325"/>
      <c r="MNE507" s="325"/>
      <c r="MNF507" s="325"/>
      <c r="MNG507" s="325"/>
      <c r="MNH507" s="327"/>
      <c r="MNI507" s="28"/>
      <c r="MNJ507" s="324"/>
      <c r="MNK507" s="324"/>
      <c r="MNL507" s="324"/>
      <c r="MNM507" s="324"/>
      <c r="MNN507" s="324"/>
      <c r="MNO507" s="324"/>
      <c r="MNP507" s="256"/>
      <c r="MNQ507" s="325"/>
      <c r="MNR507" s="311"/>
      <c r="MNS507" s="325"/>
      <c r="MNT507" s="310"/>
      <c r="MNU507" s="325"/>
      <c r="MNV507" s="325"/>
      <c r="MNW507" s="325"/>
      <c r="MNX507" s="325"/>
      <c r="MNY507" s="325"/>
      <c r="MNZ507" s="325"/>
      <c r="MOA507" s="325"/>
      <c r="MOB507" s="325"/>
      <c r="MOC507" s="325"/>
      <c r="MOD507" s="325"/>
      <c r="MOE507" s="325"/>
      <c r="MOF507" s="325"/>
      <c r="MOG507" s="325"/>
      <c r="MOH507" s="325"/>
      <c r="MOI507" s="325"/>
      <c r="MOJ507" s="325"/>
      <c r="MOK507" s="325"/>
      <c r="MOL507" s="325"/>
      <c r="MOM507" s="325"/>
      <c r="MON507" s="325"/>
      <c r="MOO507" s="325"/>
      <c r="MOP507" s="325"/>
      <c r="MOQ507" s="325"/>
      <c r="MOR507" s="325"/>
      <c r="MOS507" s="325"/>
      <c r="MOT507" s="325"/>
      <c r="MOU507" s="325"/>
      <c r="MOV507" s="325"/>
      <c r="MOW507" s="325"/>
      <c r="MOX507" s="325"/>
      <c r="MOY507" s="327"/>
      <c r="MOZ507" s="28"/>
      <c r="MPA507" s="324"/>
      <c r="MPB507" s="324"/>
      <c r="MPC507" s="324"/>
      <c r="MPD507" s="324"/>
      <c r="MPE507" s="324"/>
      <c r="MPF507" s="324"/>
      <c r="MPG507" s="256"/>
      <c r="MPH507" s="325"/>
      <c r="MPI507" s="311"/>
      <c r="MPJ507" s="325"/>
      <c r="MPK507" s="310"/>
      <c r="MPL507" s="325"/>
      <c r="MPM507" s="325"/>
      <c r="MPN507" s="325"/>
      <c r="MPO507" s="325"/>
      <c r="MPP507" s="325"/>
      <c r="MPQ507" s="325"/>
      <c r="MPR507" s="325"/>
      <c r="MPS507" s="325"/>
      <c r="MPT507" s="325"/>
      <c r="MPU507" s="325"/>
      <c r="MPV507" s="325"/>
      <c r="MPW507" s="325"/>
      <c r="MPX507" s="325"/>
      <c r="MPY507" s="325"/>
      <c r="MPZ507" s="325"/>
      <c r="MQA507" s="325"/>
      <c r="MQB507" s="325"/>
      <c r="MQC507" s="325"/>
      <c r="MQD507" s="325"/>
      <c r="MQE507" s="325"/>
      <c r="MQF507" s="325"/>
      <c r="MQG507" s="325"/>
      <c r="MQH507" s="325"/>
      <c r="MQI507" s="325"/>
      <c r="MQJ507" s="325"/>
      <c r="MQK507" s="325"/>
      <c r="MQL507" s="325"/>
      <c r="MQM507" s="325"/>
      <c r="MQN507" s="325"/>
      <c r="MQO507" s="325"/>
      <c r="MQP507" s="327"/>
      <c r="MQQ507" s="28"/>
      <c r="MQR507" s="324"/>
      <c r="MQS507" s="324"/>
      <c r="MQT507" s="324"/>
      <c r="MQU507" s="324"/>
      <c r="MQV507" s="324"/>
      <c r="MQW507" s="324"/>
      <c r="MQX507" s="256"/>
      <c r="MQY507" s="325"/>
      <c r="MQZ507" s="311"/>
      <c r="MRA507" s="325"/>
      <c r="MRB507" s="310"/>
      <c r="MRC507" s="325"/>
      <c r="MRD507" s="325"/>
      <c r="MRE507" s="325"/>
      <c r="MRF507" s="325"/>
      <c r="MRG507" s="325"/>
      <c r="MRH507" s="325"/>
      <c r="MRI507" s="325"/>
      <c r="MRJ507" s="325"/>
      <c r="MRK507" s="325"/>
      <c r="MRL507" s="325"/>
      <c r="MRM507" s="325"/>
      <c r="MRN507" s="325"/>
      <c r="MRO507" s="325"/>
      <c r="MRP507" s="325"/>
      <c r="MRQ507" s="325"/>
      <c r="MRR507" s="325"/>
      <c r="MRS507" s="325"/>
      <c r="MRT507" s="325"/>
      <c r="MRU507" s="325"/>
      <c r="MRV507" s="325"/>
      <c r="MRW507" s="325"/>
      <c r="MRX507" s="325"/>
      <c r="MRY507" s="325"/>
      <c r="MRZ507" s="325"/>
      <c r="MSA507" s="325"/>
      <c r="MSB507" s="325"/>
      <c r="MSC507" s="325"/>
      <c r="MSD507" s="325"/>
      <c r="MSE507" s="325"/>
      <c r="MSF507" s="325"/>
      <c r="MSG507" s="327"/>
      <c r="MSH507" s="28"/>
      <c r="MSI507" s="324"/>
      <c r="MSJ507" s="324"/>
      <c r="MSK507" s="324"/>
      <c r="MSL507" s="324"/>
      <c r="MSM507" s="324"/>
      <c r="MSN507" s="324"/>
      <c r="MSO507" s="256"/>
      <c r="MSP507" s="325"/>
      <c r="MSQ507" s="311"/>
      <c r="MSR507" s="325"/>
      <c r="MSS507" s="310"/>
      <c r="MST507" s="325"/>
      <c r="MSU507" s="325"/>
      <c r="MSV507" s="325"/>
      <c r="MSW507" s="325"/>
      <c r="MSX507" s="325"/>
      <c r="MSY507" s="325"/>
      <c r="MSZ507" s="325"/>
      <c r="MTA507" s="325"/>
      <c r="MTB507" s="325"/>
      <c r="MTC507" s="325"/>
      <c r="MTD507" s="325"/>
      <c r="MTE507" s="325"/>
      <c r="MTF507" s="325"/>
      <c r="MTG507" s="325"/>
      <c r="MTH507" s="325"/>
      <c r="MTI507" s="325"/>
      <c r="MTJ507" s="325"/>
      <c r="MTK507" s="325"/>
      <c r="MTL507" s="325"/>
      <c r="MTM507" s="325"/>
      <c r="MTN507" s="325"/>
      <c r="MTO507" s="325"/>
      <c r="MTP507" s="325"/>
      <c r="MTQ507" s="325"/>
      <c r="MTR507" s="325"/>
      <c r="MTS507" s="325"/>
      <c r="MTT507" s="325"/>
      <c r="MTU507" s="325"/>
      <c r="MTV507" s="325"/>
      <c r="MTW507" s="325"/>
      <c r="MTX507" s="327"/>
      <c r="MTY507" s="28"/>
      <c r="MTZ507" s="324"/>
      <c r="MUA507" s="324"/>
      <c r="MUB507" s="324"/>
      <c r="MUC507" s="324"/>
      <c r="MUD507" s="324"/>
      <c r="MUE507" s="324"/>
      <c r="MUF507" s="256"/>
      <c r="MUG507" s="325"/>
      <c r="MUH507" s="311"/>
      <c r="MUI507" s="325"/>
      <c r="MUJ507" s="310"/>
      <c r="MUK507" s="325"/>
      <c r="MUL507" s="325"/>
      <c r="MUM507" s="325"/>
      <c r="MUN507" s="325"/>
      <c r="MUO507" s="325"/>
      <c r="MUP507" s="325"/>
      <c r="MUQ507" s="325"/>
      <c r="MUR507" s="325"/>
      <c r="MUS507" s="325"/>
      <c r="MUT507" s="325"/>
      <c r="MUU507" s="325"/>
      <c r="MUV507" s="325"/>
      <c r="MUW507" s="325"/>
      <c r="MUX507" s="325"/>
      <c r="MUY507" s="325"/>
      <c r="MUZ507" s="325"/>
      <c r="MVA507" s="325"/>
      <c r="MVB507" s="325"/>
      <c r="MVC507" s="325"/>
      <c r="MVD507" s="325"/>
      <c r="MVE507" s="325"/>
      <c r="MVF507" s="325"/>
      <c r="MVG507" s="325"/>
      <c r="MVH507" s="325"/>
      <c r="MVI507" s="325"/>
      <c r="MVJ507" s="325"/>
      <c r="MVK507" s="325"/>
      <c r="MVL507" s="325"/>
      <c r="MVM507" s="325"/>
      <c r="MVN507" s="325"/>
      <c r="MVO507" s="327"/>
      <c r="MVP507" s="28"/>
      <c r="MVQ507" s="324"/>
      <c r="MVR507" s="324"/>
      <c r="MVS507" s="324"/>
      <c r="MVT507" s="324"/>
      <c r="MVU507" s="324"/>
      <c r="MVV507" s="324"/>
      <c r="MVW507" s="256"/>
      <c r="MVX507" s="325"/>
      <c r="MVY507" s="311"/>
      <c r="MVZ507" s="325"/>
      <c r="MWA507" s="310"/>
      <c r="MWB507" s="325"/>
      <c r="MWC507" s="325"/>
      <c r="MWD507" s="325"/>
      <c r="MWE507" s="325"/>
      <c r="MWF507" s="325"/>
      <c r="MWG507" s="325"/>
      <c r="MWH507" s="325"/>
      <c r="MWI507" s="325"/>
      <c r="MWJ507" s="325"/>
      <c r="MWK507" s="325"/>
      <c r="MWL507" s="325"/>
      <c r="MWM507" s="325"/>
      <c r="MWN507" s="325"/>
      <c r="MWO507" s="325"/>
      <c r="MWP507" s="325"/>
      <c r="MWQ507" s="325"/>
      <c r="MWR507" s="325"/>
      <c r="MWS507" s="325"/>
      <c r="MWT507" s="325"/>
      <c r="MWU507" s="325"/>
      <c r="MWV507" s="325"/>
      <c r="MWW507" s="325"/>
      <c r="MWX507" s="325"/>
      <c r="MWY507" s="325"/>
      <c r="MWZ507" s="325"/>
      <c r="MXA507" s="325"/>
      <c r="MXB507" s="325"/>
      <c r="MXC507" s="325"/>
      <c r="MXD507" s="325"/>
      <c r="MXE507" s="325"/>
      <c r="MXF507" s="327"/>
      <c r="MXG507" s="28"/>
      <c r="MXH507" s="324"/>
      <c r="MXI507" s="324"/>
      <c r="MXJ507" s="324"/>
      <c r="MXK507" s="324"/>
      <c r="MXL507" s="324"/>
      <c r="MXM507" s="324"/>
      <c r="MXN507" s="256"/>
      <c r="MXO507" s="325"/>
      <c r="MXP507" s="311"/>
      <c r="MXQ507" s="325"/>
      <c r="MXR507" s="310"/>
      <c r="MXS507" s="325"/>
      <c r="MXT507" s="325"/>
      <c r="MXU507" s="325"/>
      <c r="MXV507" s="325"/>
      <c r="MXW507" s="325"/>
      <c r="MXX507" s="325"/>
      <c r="MXY507" s="325"/>
      <c r="MXZ507" s="325"/>
      <c r="MYA507" s="325"/>
      <c r="MYB507" s="325"/>
      <c r="MYC507" s="325"/>
      <c r="MYD507" s="325"/>
      <c r="MYE507" s="325"/>
      <c r="MYF507" s="325"/>
      <c r="MYG507" s="325"/>
      <c r="MYH507" s="325"/>
      <c r="MYI507" s="325"/>
      <c r="MYJ507" s="325"/>
      <c r="MYK507" s="325"/>
      <c r="MYL507" s="325"/>
      <c r="MYM507" s="325"/>
      <c r="MYN507" s="325"/>
      <c r="MYO507" s="325"/>
      <c r="MYP507" s="325"/>
      <c r="MYQ507" s="325"/>
      <c r="MYR507" s="325"/>
      <c r="MYS507" s="325"/>
      <c r="MYT507" s="325"/>
      <c r="MYU507" s="325"/>
      <c r="MYV507" s="325"/>
      <c r="MYW507" s="327"/>
      <c r="MYX507" s="28"/>
      <c r="MYY507" s="324"/>
      <c r="MYZ507" s="324"/>
      <c r="MZA507" s="324"/>
      <c r="MZB507" s="324"/>
      <c r="MZC507" s="324"/>
      <c r="MZD507" s="324"/>
      <c r="MZE507" s="256"/>
      <c r="MZF507" s="325"/>
      <c r="MZG507" s="311"/>
      <c r="MZH507" s="325"/>
      <c r="MZI507" s="310"/>
      <c r="MZJ507" s="325"/>
      <c r="MZK507" s="325"/>
      <c r="MZL507" s="325"/>
      <c r="MZM507" s="325"/>
      <c r="MZN507" s="325"/>
      <c r="MZO507" s="325"/>
      <c r="MZP507" s="325"/>
      <c r="MZQ507" s="325"/>
      <c r="MZR507" s="325"/>
      <c r="MZS507" s="325"/>
      <c r="MZT507" s="325"/>
      <c r="MZU507" s="325"/>
      <c r="MZV507" s="325"/>
      <c r="MZW507" s="325"/>
      <c r="MZX507" s="325"/>
      <c r="MZY507" s="325"/>
      <c r="MZZ507" s="325"/>
      <c r="NAA507" s="325"/>
      <c r="NAB507" s="325"/>
      <c r="NAC507" s="325"/>
      <c r="NAD507" s="325"/>
      <c r="NAE507" s="325"/>
      <c r="NAF507" s="325"/>
      <c r="NAG507" s="325"/>
      <c r="NAH507" s="325"/>
      <c r="NAI507" s="325"/>
      <c r="NAJ507" s="325"/>
      <c r="NAK507" s="325"/>
      <c r="NAL507" s="325"/>
      <c r="NAM507" s="325"/>
      <c r="NAN507" s="327"/>
      <c r="NAO507" s="28"/>
      <c r="NAP507" s="324"/>
      <c r="NAQ507" s="324"/>
      <c r="NAR507" s="324"/>
      <c r="NAS507" s="324"/>
      <c r="NAT507" s="324"/>
      <c r="NAU507" s="324"/>
      <c r="NAV507" s="256"/>
      <c r="NAW507" s="325"/>
      <c r="NAX507" s="311"/>
      <c r="NAY507" s="325"/>
      <c r="NAZ507" s="310"/>
      <c r="NBA507" s="325"/>
      <c r="NBB507" s="325"/>
      <c r="NBC507" s="325"/>
      <c r="NBD507" s="325"/>
      <c r="NBE507" s="325"/>
      <c r="NBF507" s="325"/>
      <c r="NBG507" s="325"/>
      <c r="NBH507" s="325"/>
      <c r="NBI507" s="325"/>
      <c r="NBJ507" s="325"/>
      <c r="NBK507" s="325"/>
      <c r="NBL507" s="325"/>
      <c r="NBM507" s="325"/>
      <c r="NBN507" s="325"/>
      <c r="NBO507" s="325"/>
      <c r="NBP507" s="325"/>
      <c r="NBQ507" s="325"/>
      <c r="NBR507" s="325"/>
      <c r="NBS507" s="325"/>
      <c r="NBT507" s="325"/>
      <c r="NBU507" s="325"/>
      <c r="NBV507" s="325"/>
      <c r="NBW507" s="325"/>
      <c r="NBX507" s="325"/>
      <c r="NBY507" s="325"/>
      <c r="NBZ507" s="325"/>
      <c r="NCA507" s="325"/>
      <c r="NCB507" s="325"/>
      <c r="NCC507" s="325"/>
      <c r="NCD507" s="325"/>
      <c r="NCE507" s="327"/>
      <c r="NCF507" s="28"/>
      <c r="NCG507" s="324"/>
      <c r="NCH507" s="324"/>
      <c r="NCI507" s="324"/>
      <c r="NCJ507" s="324"/>
      <c r="NCK507" s="324"/>
      <c r="NCL507" s="324"/>
      <c r="NCM507" s="256"/>
      <c r="NCN507" s="325"/>
      <c r="NCO507" s="311"/>
      <c r="NCP507" s="325"/>
      <c r="NCQ507" s="310"/>
      <c r="NCR507" s="325"/>
      <c r="NCS507" s="325"/>
      <c r="NCT507" s="325"/>
      <c r="NCU507" s="325"/>
      <c r="NCV507" s="325"/>
      <c r="NCW507" s="325"/>
      <c r="NCX507" s="325"/>
      <c r="NCY507" s="325"/>
      <c r="NCZ507" s="325"/>
      <c r="NDA507" s="325"/>
      <c r="NDB507" s="325"/>
      <c r="NDC507" s="325"/>
      <c r="NDD507" s="325"/>
      <c r="NDE507" s="325"/>
      <c r="NDF507" s="325"/>
      <c r="NDG507" s="325"/>
      <c r="NDH507" s="325"/>
      <c r="NDI507" s="325"/>
      <c r="NDJ507" s="325"/>
      <c r="NDK507" s="325"/>
      <c r="NDL507" s="325"/>
      <c r="NDM507" s="325"/>
      <c r="NDN507" s="325"/>
      <c r="NDO507" s="325"/>
      <c r="NDP507" s="325"/>
      <c r="NDQ507" s="325"/>
      <c r="NDR507" s="325"/>
      <c r="NDS507" s="325"/>
      <c r="NDT507" s="325"/>
      <c r="NDU507" s="325"/>
      <c r="NDV507" s="327"/>
      <c r="NDW507" s="28"/>
      <c r="NDX507" s="324"/>
      <c r="NDY507" s="324"/>
      <c r="NDZ507" s="324"/>
      <c r="NEA507" s="324"/>
      <c r="NEB507" s="324"/>
      <c r="NEC507" s="324"/>
      <c r="NED507" s="256"/>
      <c r="NEE507" s="325"/>
      <c r="NEF507" s="311"/>
      <c r="NEG507" s="325"/>
      <c r="NEH507" s="310"/>
      <c r="NEI507" s="325"/>
      <c r="NEJ507" s="325"/>
      <c r="NEK507" s="325"/>
      <c r="NEL507" s="325"/>
      <c r="NEM507" s="325"/>
      <c r="NEN507" s="325"/>
      <c r="NEO507" s="325"/>
      <c r="NEP507" s="325"/>
      <c r="NEQ507" s="325"/>
      <c r="NER507" s="325"/>
      <c r="NES507" s="325"/>
      <c r="NET507" s="325"/>
      <c r="NEU507" s="325"/>
      <c r="NEV507" s="325"/>
      <c r="NEW507" s="325"/>
      <c r="NEX507" s="325"/>
      <c r="NEY507" s="325"/>
      <c r="NEZ507" s="325"/>
      <c r="NFA507" s="325"/>
      <c r="NFB507" s="325"/>
      <c r="NFC507" s="325"/>
      <c r="NFD507" s="325"/>
      <c r="NFE507" s="325"/>
      <c r="NFF507" s="325"/>
      <c r="NFG507" s="325"/>
      <c r="NFH507" s="325"/>
      <c r="NFI507" s="325"/>
      <c r="NFJ507" s="325"/>
      <c r="NFK507" s="325"/>
      <c r="NFL507" s="325"/>
      <c r="NFM507" s="327"/>
      <c r="NFN507" s="28"/>
      <c r="NFO507" s="324"/>
      <c r="NFP507" s="324"/>
      <c r="NFQ507" s="324"/>
      <c r="NFR507" s="324"/>
      <c r="NFS507" s="324"/>
      <c r="NFT507" s="324"/>
      <c r="NFU507" s="256"/>
      <c r="NFV507" s="325"/>
      <c r="NFW507" s="311"/>
      <c r="NFX507" s="325"/>
      <c r="NFY507" s="310"/>
      <c r="NFZ507" s="325"/>
      <c r="NGA507" s="325"/>
      <c r="NGB507" s="325"/>
      <c r="NGC507" s="325"/>
      <c r="NGD507" s="325"/>
      <c r="NGE507" s="325"/>
      <c r="NGF507" s="325"/>
      <c r="NGG507" s="325"/>
      <c r="NGH507" s="325"/>
      <c r="NGI507" s="325"/>
      <c r="NGJ507" s="325"/>
      <c r="NGK507" s="325"/>
      <c r="NGL507" s="325"/>
      <c r="NGM507" s="325"/>
      <c r="NGN507" s="325"/>
      <c r="NGO507" s="325"/>
      <c r="NGP507" s="325"/>
      <c r="NGQ507" s="325"/>
      <c r="NGR507" s="325"/>
      <c r="NGS507" s="325"/>
      <c r="NGT507" s="325"/>
      <c r="NGU507" s="325"/>
      <c r="NGV507" s="325"/>
      <c r="NGW507" s="325"/>
      <c r="NGX507" s="325"/>
      <c r="NGY507" s="325"/>
      <c r="NGZ507" s="325"/>
      <c r="NHA507" s="325"/>
      <c r="NHB507" s="325"/>
      <c r="NHC507" s="325"/>
      <c r="NHD507" s="327"/>
      <c r="NHE507" s="28"/>
      <c r="NHF507" s="324"/>
      <c r="NHG507" s="324"/>
      <c r="NHH507" s="324"/>
      <c r="NHI507" s="324"/>
      <c r="NHJ507" s="324"/>
      <c r="NHK507" s="324"/>
      <c r="NHL507" s="256"/>
      <c r="NHM507" s="325"/>
      <c r="NHN507" s="311"/>
      <c r="NHO507" s="325"/>
      <c r="NHP507" s="310"/>
      <c r="NHQ507" s="325"/>
      <c r="NHR507" s="325"/>
      <c r="NHS507" s="325"/>
      <c r="NHT507" s="325"/>
      <c r="NHU507" s="325"/>
      <c r="NHV507" s="325"/>
      <c r="NHW507" s="325"/>
      <c r="NHX507" s="325"/>
      <c r="NHY507" s="325"/>
      <c r="NHZ507" s="325"/>
      <c r="NIA507" s="325"/>
      <c r="NIB507" s="325"/>
      <c r="NIC507" s="325"/>
      <c r="NID507" s="325"/>
      <c r="NIE507" s="325"/>
      <c r="NIF507" s="325"/>
      <c r="NIG507" s="325"/>
      <c r="NIH507" s="325"/>
      <c r="NII507" s="325"/>
      <c r="NIJ507" s="325"/>
      <c r="NIK507" s="325"/>
      <c r="NIL507" s="325"/>
      <c r="NIM507" s="325"/>
      <c r="NIN507" s="325"/>
      <c r="NIO507" s="325"/>
      <c r="NIP507" s="325"/>
      <c r="NIQ507" s="325"/>
      <c r="NIR507" s="325"/>
      <c r="NIS507" s="325"/>
      <c r="NIT507" s="325"/>
      <c r="NIU507" s="327"/>
      <c r="NIV507" s="28"/>
      <c r="NIW507" s="324"/>
      <c r="NIX507" s="324"/>
      <c r="NIY507" s="324"/>
      <c r="NIZ507" s="324"/>
      <c r="NJA507" s="324"/>
      <c r="NJB507" s="324"/>
      <c r="NJC507" s="256"/>
      <c r="NJD507" s="325"/>
      <c r="NJE507" s="311"/>
      <c r="NJF507" s="325"/>
      <c r="NJG507" s="310"/>
      <c r="NJH507" s="325"/>
      <c r="NJI507" s="325"/>
      <c r="NJJ507" s="325"/>
      <c r="NJK507" s="325"/>
      <c r="NJL507" s="325"/>
      <c r="NJM507" s="325"/>
      <c r="NJN507" s="325"/>
      <c r="NJO507" s="325"/>
      <c r="NJP507" s="325"/>
      <c r="NJQ507" s="325"/>
      <c r="NJR507" s="325"/>
      <c r="NJS507" s="325"/>
      <c r="NJT507" s="325"/>
      <c r="NJU507" s="325"/>
      <c r="NJV507" s="325"/>
      <c r="NJW507" s="325"/>
      <c r="NJX507" s="325"/>
      <c r="NJY507" s="325"/>
      <c r="NJZ507" s="325"/>
      <c r="NKA507" s="325"/>
      <c r="NKB507" s="325"/>
      <c r="NKC507" s="325"/>
      <c r="NKD507" s="325"/>
      <c r="NKE507" s="325"/>
      <c r="NKF507" s="325"/>
      <c r="NKG507" s="325"/>
      <c r="NKH507" s="325"/>
      <c r="NKI507" s="325"/>
      <c r="NKJ507" s="325"/>
      <c r="NKK507" s="325"/>
      <c r="NKL507" s="327"/>
      <c r="NKM507" s="28"/>
      <c r="NKN507" s="324"/>
      <c r="NKO507" s="324"/>
      <c r="NKP507" s="324"/>
      <c r="NKQ507" s="324"/>
      <c r="NKR507" s="324"/>
      <c r="NKS507" s="324"/>
      <c r="NKT507" s="256"/>
      <c r="NKU507" s="325"/>
      <c r="NKV507" s="311"/>
      <c r="NKW507" s="325"/>
      <c r="NKX507" s="310"/>
      <c r="NKY507" s="325"/>
      <c r="NKZ507" s="325"/>
      <c r="NLA507" s="325"/>
      <c r="NLB507" s="325"/>
      <c r="NLC507" s="325"/>
      <c r="NLD507" s="325"/>
      <c r="NLE507" s="325"/>
      <c r="NLF507" s="325"/>
      <c r="NLG507" s="325"/>
      <c r="NLH507" s="325"/>
      <c r="NLI507" s="325"/>
      <c r="NLJ507" s="325"/>
      <c r="NLK507" s="325"/>
      <c r="NLL507" s="325"/>
      <c r="NLM507" s="325"/>
      <c r="NLN507" s="325"/>
      <c r="NLO507" s="325"/>
      <c r="NLP507" s="325"/>
      <c r="NLQ507" s="325"/>
      <c r="NLR507" s="325"/>
      <c r="NLS507" s="325"/>
      <c r="NLT507" s="325"/>
      <c r="NLU507" s="325"/>
      <c r="NLV507" s="325"/>
      <c r="NLW507" s="325"/>
      <c r="NLX507" s="325"/>
      <c r="NLY507" s="325"/>
      <c r="NLZ507" s="325"/>
      <c r="NMA507" s="325"/>
      <c r="NMB507" s="325"/>
      <c r="NMC507" s="327"/>
      <c r="NMD507" s="28"/>
      <c r="NME507" s="324"/>
      <c r="NMF507" s="324"/>
      <c r="NMG507" s="324"/>
      <c r="NMH507" s="324"/>
      <c r="NMI507" s="324"/>
      <c r="NMJ507" s="324"/>
      <c r="NMK507" s="256"/>
      <c r="NML507" s="325"/>
      <c r="NMM507" s="311"/>
      <c r="NMN507" s="325"/>
      <c r="NMO507" s="310"/>
      <c r="NMP507" s="325"/>
      <c r="NMQ507" s="325"/>
      <c r="NMR507" s="325"/>
      <c r="NMS507" s="325"/>
      <c r="NMT507" s="325"/>
      <c r="NMU507" s="325"/>
      <c r="NMV507" s="325"/>
      <c r="NMW507" s="325"/>
      <c r="NMX507" s="325"/>
      <c r="NMY507" s="325"/>
      <c r="NMZ507" s="325"/>
      <c r="NNA507" s="325"/>
      <c r="NNB507" s="325"/>
      <c r="NNC507" s="325"/>
      <c r="NND507" s="325"/>
      <c r="NNE507" s="325"/>
      <c r="NNF507" s="325"/>
      <c r="NNG507" s="325"/>
      <c r="NNH507" s="325"/>
      <c r="NNI507" s="325"/>
      <c r="NNJ507" s="325"/>
      <c r="NNK507" s="325"/>
      <c r="NNL507" s="325"/>
      <c r="NNM507" s="325"/>
      <c r="NNN507" s="325"/>
      <c r="NNO507" s="325"/>
      <c r="NNP507" s="325"/>
      <c r="NNQ507" s="325"/>
      <c r="NNR507" s="325"/>
      <c r="NNS507" s="325"/>
      <c r="NNT507" s="327"/>
      <c r="NNU507" s="28"/>
      <c r="NNV507" s="324"/>
      <c r="NNW507" s="324"/>
      <c r="NNX507" s="324"/>
      <c r="NNY507" s="324"/>
      <c r="NNZ507" s="324"/>
      <c r="NOA507" s="324"/>
      <c r="NOB507" s="256"/>
      <c r="NOC507" s="325"/>
      <c r="NOD507" s="311"/>
      <c r="NOE507" s="325"/>
      <c r="NOF507" s="310"/>
      <c r="NOG507" s="325"/>
      <c r="NOH507" s="325"/>
      <c r="NOI507" s="325"/>
      <c r="NOJ507" s="325"/>
      <c r="NOK507" s="325"/>
      <c r="NOL507" s="325"/>
      <c r="NOM507" s="325"/>
      <c r="NON507" s="325"/>
      <c r="NOO507" s="325"/>
      <c r="NOP507" s="325"/>
      <c r="NOQ507" s="325"/>
      <c r="NOR507" s="325"/>
      <c r="NOS507" s="325"/>
      <c r="NOT507" s="325"/>
      <c r="NOU507" s="325"/>
      <c r="NOV507" s="325"/>
      <c r="NOW507" s="325"/>
      <c r="NOX507" s="325"/>
      <c r="NOY507" s="325"/>
      <c r="NOZ507" s="325"/>
      <c r="NPA507" s="325"/>
      <c r="NPB507" s="325"/>
      <c r="NPC507" s="325"/>
      <c r="NPD507" s="325"/>
      <c r="NPE507" s="325"/>
      <c r="NPF507" s="325"/>
      <c r="NPG507" s="325"/>
      <c r="NPH507" s="325"/>
      <c r="NPI507" s="325"/>
      <c r="NPJ507" s="325"/>
      <c r="NPK507" s="327"/>
      <c r="NPL507" s="28"/>
      <c r="NPM507" s="324"/>
      <c r="NPN507" s="324"/>
      <c r="NPO507" s="324"/>
      <c r="NPP507" s="324"/>
      <c r="NPQ507" s="324"/>
      <c r="NPR507" s="324"/>
      <c r="NPS507" s="256"/>
      <c r="NPT507" s="325"/>
      <c r="NPU507" s="311"/>
      <c r="NPV507" s="325"/>
      <c r="NPW507" s="310"/>
      <c r="NPX507" s="325"/>
      <c r="NPY507" s="325"/>
      <c r="NPZ507" s="325"/>
      <c r="NQA507" s="325"/>
      <c r="NQB507" s="325"/>
      <c r="NQC507" s="325"/>
      <c r="NQD507" s="325"/>
      <c r="NQE507" s="325"/>
      <c r="NQF507" s="325"/>
      <c r="NQG507" s="325"/>
      <c r="NQH507" s="325"/>
      <c r="NQI507" s="325"/>
      <c r="NQJ507" s="325"/>
      <c r="NQK507" s="325"/>
      <c r="NQL507" s="325"/>
      <c r="NQM507" s="325"/>
      <c r="NQN507" s="325"/>
      <c r="NQO507" s="325"/>
      <c r="NQP507" s="325"/>
      <c r="NQQ507" s="325"/>
      <c r="NQR507" s="325"/>
      <c r="NQS507" s="325"/>
      <c r="NQT507" s="325"/>
      <c r="NQU507" s="325"/>
      <c r="NQV507" s="325"/>
      <c r="NQW507" s="325"/>
      <c r="NQX507" s="325"/>
      <c r="NQY507" s="325"/>
      <c r="NQZ507" s="325"/>
      <c r="NRA507" s="325"/>
      <c r="NRB507" s="327"/>
      <c r="NRC507" s="28"/>
      <c r="NRD507" s="324"/>
      <c r="NRE507" s="324"/>
      <c r="NRF507" s="324"/>
      <c r="NRG507" s="324"/>
      <c r="NRH507" s="324"/>
      <c r="NRI507" s="324"/>
      <c r="NRJ507" s="256"/>
      <c r="NRK507" s="325"/>
      <c r="NRL507" s="311"/>
      <c r="NRM507" s="325"/>
      <c r="NRN507" s="310"/>
      <c r="NRO507" s="325"/>
      <c r="NRP507" s="325"/>
      <c r="NRQ507" s="325"/>
      <c r="NRR507" s="325"/>
      <c r="NRS507" s="325"/>
      <c r="NRT507" s="325"/>
      <c r="NRU507" s="325"/>
      <c r="NRV507" s="325"/>
      <c r="NRW507" s="325"/>
      <c r="NRX507" s="325"/>
      <c r="NRY507" s="325"/>
      <c r="NRZ507" s="325"/>
      <c r="NSA507" s="325"/>
      <c r="NSB507" s="325"/>
      <c r="NSC507" s="325"/>
      <c r="NSD507" s="325"/>
      <c r="NSE507" s="325"/>
      <c r="NSF507" s="325"/>
      <c r="NSG507" s="325"/>
      <c r="NSH507" s="325"/>
      <c r="NSI507" s="325"/>
      <c r="NSJ507" s="325"/>
      <c r="NSK507" s="325"/>
      <c r="NSL507" s="325"/>
      <c r="NSM507" s="325"/>
      <c r="NSN507" s="325"/>
      <c r="NSO507" s="325"/>
      <c r="NSP507" s="325"/>
      <c r="NSQ507" s="325"/>
      <c r="NSR507" s="325"/>
      <c r="NSS507" s="327"/>
      <c r="NST507" s="28"/>
      <c r="NSU507" s="324"/>
      <c r="NSV507" s="324"/>
      <c r="NSW507" s="324"/>
      <c r="NSX507" s="324"/>
      <c r="NSY507" s="324"/>
      <c r="NSZ507" s="324"/>
      <c r="NTA507" s="256"/>
      <c r="NTB507" s="325"/>
      <c r="NTC507" s="311"/>
      <c r="NTD507" s="325"/>
      <c r="NTE507" s="310"/>
      <c r="NTF507" s="325"/>
      <c r="NTG507" s="325"/>
      <c r="NTH507" s="325"/>
      <c r="NTI507" s="325"/>
      <c r="NTJ507" s="325"/>
      <c r="NTK507" s="325"/>
      <c r="NTL507" s="325"/>
      <c r="NTM507" s="325"/>
      <c r="NTN507" s="325"/>
      <c r="NTO507" s="325"/>
      <c r="NTP507" s="325"/>
      <c r="NTQ507" s="325"/>
      <c r="NTR507" s="325"/>
      <c r="NTS507" s="325"/>
      <c r="NTT507" s="325"/>
      <c r="NTU507" s="325"/>
      <c r="NTV507" s="325"/>
      <c r="NTW507" s="325"/>
      <c r="NTX507" s="325"/>
      <c r="NTY507" s="325"/>
      <c r="NTZ507" s="325"/>
      <c r="NUA507" s="325"/>
      <c r="NUB507" s="325"/>
      <c r="NUC507" s="325"/>
      <c r="NUD507" s="325"/>
      <c r="NUE507" s="325"/>
      <c r="NUF507" s="325"/>
      <c r="NUG507" s="325"/>
      <c r="NUH507" s="325"/>
      <c r="NUI507" s="325"/>
      <c r="NUJ507" s="327"/>
      <c r="NUK507" s="28"/>
      <c r="NUL507" s="324"/>
      <c r="NUM507" s="324"/>
      <c r="NUN507" s="324"/>
      <c r="NUO507" s="324"/>
      <c r="NUP507" s="324"/>
      <c r="NUQ507" s="324"/>
      <c r="NUR507" s="256"/>
      <c r="NUS507" s="325"/>
      <c r="NUT507" s="311"/>
      <c r="NUU507" s="325"/>
      <c r="NUV507" s="310"/>
      <c r="NUW507" s="325"/>
      <c r="NUX507" s="325"/>
      <c r="NUY507" s="325"/>
      <c r="NUZ507" s="325"/>
      <c r="NVA507" s="325"/>
      <c r="NVB507" s="325"/>
      <c r="NVC507" s="325"/>
      <c r="NVD507" s="325"/>
      <c r="NVE507" s="325"/>
      <c r="NVF507" s="325"/>
      <c r="NVG507" s="325"/>
      <c r="NVH507" s="325"/>
      <c r="NVI507" s="325"/>
      <c r="NVJ507" s="325"/>
      <c r="NVK507" s="325"/>
      <c r="NVL507" s="325"/>
      <c r="NVM507" s="325"/>
      <c r="NVN507" s="325"/>
      <c r="NVO507" s="325"/>
      <c r="NVP507" s="325"/>
      <c r="NVQ507" s="325"/>
      <c r="NVR507" s="325"/>
      <c r="NVS507" s="325"/>
      <c r="NVT507" s="325"/>
      <c r="NVU507" s="325"/>
      <c r="NVV507" s="325"/>
      <c r="NVW507" s="325"/>
      <c r="NVX507" s="325"/>
      <c r="NVY507" s="325"/>
      <c r="NVZ507" s="325"/>
      <c r="NWA507" s="327"/>
      <c r="NWB507" s="28"/>
      <c r="NWC507" s="324"/>
      <c r="NWD507" s="324"/>
      <c r="NWE507" s="324"/>
      <c r="NWF507" s="324"/>
      <c r="NWG507" s="324"/>
      <c r="NWH507" s="324"/>
      <c r="NWI507" s="256"/>
      <c r="NWJ507" s="325"/>
      <c r="NWK507" s="311"/>
      <c r="NWL507" s="325"/>
      <c r="NWM507" s="310"/>
      <c r="NWN507" s="325"/>
      <c r="NWO507" s="325"/>
      <c r="NWP507" s="325"/>
      <c r="NWQ507" s="325"/>
      <c r="NWR507" s="325"/>
      <c r="NWS507" s="325"/>
      <c r="NWT507" s="325"/>
      <c r="NWU507" s="325"/>
      <c r="NWV507" s="325"/>
      <c r="NWW507" s="325"/>
      <c r="NWX507" s="325"/>
      <c r="NWY507" s="325"/>
      <c r="NWZ507" s="325"/>
      <c r="NXA507" s="325"/>
      <c r="NXB507" s="325"/>
      <c r="NXC507" s="325"/>
      <c r="NXD507" s="325"/>
      <c r="NXE507" s="325"/>
      <c r="NXF507" s="325"/>
      <c r="NXG507" s="325"/>
      <c r="NXH507" s="325"/>
      <c r="NXI507" s="325"/>
      <c r="NXJ507" s="325"/>
      <c r="NXK507" s="325"/>
      <c r="NXL507" s="325"/>
      <c r="NXM507" s="325"/>
      <c r="NXN507" s="325"/>
      <c r="NXO507" s="325"/>
      <c r="NXP507" s="325"/>
      <c r="NXQ507" s="325"/>
      <c r="NXR507" s="327"/>
      <c r="NXS507" s="28"/>
      <c r="NXT507" s="324"/>
      <c r="NXU507" s="324"/>
      <c r="NXV507" s="324"/>
      <c r="NXW507" s="324"/>
      <c r="NXX507" s="324"/>
      <c r="NXY507" s="324"/>
      <c r="NXZ507" s="256"/>
      <c r="NYA507" s="325"/>
      <c r="NYB507" s="311"/>
      <c r="NYC507" s="325"/>
      <c r="NYD507" s="310"/>
      <c r="NYE507" s="325"/>
      <c r="NYF507" s="325"/>
      <c r="NYG507" s="325"/>
      <c r="NYH507" s="325"/>
      <c r="NYI507" s="325"/>
      <c r="NYJ507" s="325"/>
      <c r="NYK507" s="325"/>
      <c r="NYL507" s="325"/>
      <c r="NYM507" s="325"/>
      <c r="NYN507" s="325"/>
      <c r="NYO507" s="325"/>
      <c r="NYP507" s="325"/>
      <c r="NYQ507" s="325"/>
      <c r="NYR507" s="325"/>
      <c r="NYS507" s="325"/>
      <c r="NYT507" s="325"/>
      <c r="NYU507" s="325"/>
      <c r="NYV507" s="325"/>
      <c r="NYW507" s="325"/>
      <c r="NYX507" s="325"/>
      <c r="NYY507" s="325"/>
      <c r="NYZ507" s="325"/>
      <c r="NZA507" s="325"/>
      <c r="NZB507" s="325"/>
      <c r="NZC507" s="325"/>
      <c r="NZD507" s="325"/>
      <c r="NZE507" s="325"/>
      <c r="NZF507" s="325"/>
      <c r="NZG507" s="325"/>
      <c r="NZH507" s="325"/>
      <c r="NZI507" s="327"/>
      <c r="NZJ507" s="28"/>
      <c r="NZK507" s="324"/>
      <c r="NZL507" s="324"/>
      <c r="NZM507" s="324"/>
      <c r="NZN507" s="324"/>
      <c r="NZO507" s="324"/>
      <c r="NZP507" s="324"/>
      <c r="NZQ507" s="256"/>
      <c r="NZR507" s="325"/>
      <c r="NZS507" s="311"/>
      <c r="NZT507" s="325"/>
      <c r="NZU507" s="310"/>
      <c r="NZV507" s="325"/>
      <c r="NZW507" s="325"/>
      <c r="NZX507" s="325"/>
      <c r="NZY507" s="325"/>
      <c r="NZZ507" s="325"/>
      <c r="OAA507" s="325"/>
      <c r="OAB507" s="325"/>
      <c r="OAC507" s="325"/>
      <c r="OAD507" s="325"/>
      <c r="OAE507" s="325"/>
      <c r="OAF507" s="325"/>
      <c r="OAG507" s="325"/>
      <c r="OAH507" s="325"/>
      <c r="OAI507" s="325"/>
      <c r="OAJ507" s="325"/>
      <c r="OAK507" s="325"/>
      <c r="OAL507" s="325"/>
      <c r="OAM507" s="325"/>
      <c r="OAN507" s="325"/>
      <c r="OAO507" s="325"/>
      <c r="OAP507" s="325"/>
      <c r="OAQ507" s="325"/>
      <c r="OAR507" s="325"/>
      <c r="OAS507" s="325"/>
      <c r="OAT507" s="325"/>
      <c r="OAU507" s="325"/>
      <c r="OAV507" s="325"/>
      <c r="OAW507" s="325"/>
      <c r="OAX507" s="325"/>
      <c r="OAY507" s="325"/>
      <c r="OAZ507" s="327"/>
      <c r="OBA507" s="28"/>
      <c r="OBB507" s="324"/>
      <c r="OBC507" s="324"/>
      <c r="OBD507" s="324"/>
      <c r="OBE507" s="324"/>
      <c r="OBF507" s="324"/>
      <c r="OBG507" s="324"/>
      <c r="OBH507" s="256"/>
      <c r="OBI507" s="325"/>
      <c r="OBJ507" s="311"/>
      <c r="OBK507" s="325"/>
      <c r="OBL507" s="310"/>
      <c r="OBM507" s="325"/>
      <c r="OBN507" s="325"/>
      <c r="OBO507" s="325"/>
      <c r="OBP507" s="325"/>
      <c r="OBQ507" s="325"/>
      <c r="OBR507" s="325"/>
      <c r="OBS507" s="325"/>
      <c r="OBT507" s="325"/>
      <c r="OBU507" s="325"/>
      <c r="OBV507" s="325"/>
      <c r="OBW507" s="325"/>
      <c r="OBX507" s="325"/>
      <c r="OBY507" s="325"/>
      <c r="OBZ507" s="325"/>
      <c r="OCA507" s="325"/>
      <c r="OCB507" s="325"/>
      <c r="OCC507" s="325"/>
      <c r="OCD507" s="325"/>
      <c r="OCE507" s="325"/>
      <c r="OCF507" s="325"/>
      <c r="OCG507" s="325"/>
      <c r="OCH507" s="325"/>
      <c r="OCI507" s="325"/>
      <c r="OCJ507" s="325"/>
      <c r="OCK507" s="325"/>
      <c r="OCL507" s="325"/>
      <c r="OCM507" s="325"/>
      <c r="OCN507" s="325"/>
      <c r="OCO507" s="325"/>
      <c r="OCP507" s="325"/>
      <c r="OCQ507" s="327"/>
      <c r="OCR507" s="28"/>
      <c r="OCS507" s="324"/>
      <c r="OCT507" s="324"/>
      <c r="OCU507" s="324"/>
      <c r="OCV507" s="324"/>
      <c r="OCW507" s="324"/>
      <c r="OCX507" s="324"/>
      <c r="OCY507" s="256"/>
      <c r="OCZ507" s="325"/>
      <c r="ODA507" s="311"/>
      <c r="ODB507" s="325"/>
      <c r="ODC507" s="310"/>
      <c r="ODD507" s="325"/>
      <c r="ODE507" s="325"/>
      <c r="ODF507" s="325"/>
      <c r="ODG507" s="325"/>
      <c r="ODH507" s="325"/>
      <c r="ODI507" s="325"/>
      <c r="ODJ507" s="325"/>
      <c r="ODK507" s="325"/>
      <c r="ODL507" s="325"/>
      <c r="ODM507" s="325"/>
      <c r="ODN507" s="325"/>
      <c r="ODO507" s="325"/>
      <c r="ODP507" s="325"/>
      <c r="ODQ507" s="325"/>
      <c r="ODR507" s="325"/>
      <c r="ODS507" s="325"/>
      <c r="ODT507" s="325"/>
      <c r="ODU507" s="325"/>
      <c r="ODV507" s="325"/>
      <c r="ODW507" s="325"/>
      <c r="ODX507" s="325"/>
      <c r="ODY507" s="325"/>
      <c r="ODZ507" s="325"/>
      <c r="OEA507" s="325"/>
      <c r="OEB507" s="325"/>
      <c r="OEC507" s="325"/>
      <c r="OED507" s="325"/>
      <c r="OEE507" s="325"/>
      <c r="OEF507" s="325"/>
      <c r="OEG507" s="325"/>
      <c r="OEH507" s="327"/>
      <c r="OEI507" s="28"/>
      <c r="OEJ507" s="324"/>
      <c r="OEK507" s="324"/>
      <c r="OEL507" s="324"/>
      <c r="OEM507" s="324"/>
      <c r="OEN507" s="324"/>
      <c r="OEO507" s="324"/>
      <c r="OEP507" s="256"/>
      <c r="OEQ507" s="325"/>
      <c r="OER507" s="311"/>
      <c r="OES507" s="325"/>
      <c r="OET507" s="310"/>
      <c r="OEU507" s="325"/>
      <c r="OEV507" s="325"/>
      <c r="OEW507" s="325"/>
      <c r="OEX507" s="325"/>
      <c r="OEY507" s="325"/>
      <c r="OEZ507" s="325"/>
      <c r="OFA507" s="325"/>
      <c r="OFB507" s="325"/>
      <c r="OFC507" s="325"/>
      <c r="OFD507" s="325"/>
      <c r="OFE507" s="325"/>
      <c r="OFF507" s="325"/>
      <c r="OFG507" s="325"/>
      <c r="OFH507" s="325"/>
      <c r="OFI507" s="325"/>
      <c r="OFJ507" s="325"/>
      <c r="OFK507" s="325"/>
      <c r="OFL507" s="325"/>
      <c r="OFM507" s="325"/>
      <c r="OFN507" s="325"/>
      <c r="OFO507" s="325"/>
      <c r="OFP507" s="325"/>
      <c r="OFQ507" s="325"/>
      <c r="OFR507" s="325"/>
      <c r="OFS507" s="325"/>
      <c r="OFT507" s="325"/>
      <c r="OFU507" s="325"/>
      <c r="OFV507" s="325"/>
      <c r="OFW507" s="325"/>
      <c r="OFX507" s="325"/>
      <c r="OFY507" s="327"/>
      <c r="OFZ507" s="28"/>
      <c r="OGA507" s="324"/>
      <c r="OGB507" s="324"/>
      <c r="OGC507" s="324"/>
      <c r="OGD507" s="324"/>
      <c r="OGE507" s="324"/>
      <c r="OGF507" s="324"/>
      <c r="OGG507" s="256"/>
      <c r="OGH507" s="325"/>
      <c r="OGI507" s="311"/>
      <c r="OGJ507" s="325"/>
      <c r="OGK507" s="310"/>
      <c r="OGL507" s="325"/>
      <c r="OGM507" s="325"/>
      <c r="OGN507" s="325"/>
      <c r="OGO507" s="325"/>
      <c r="OGP507" s="325"/>
      <c r="OGQ507" s="325"/>
      <c r="OGR507" s="325"/>
      <c r="OGS507" s="325"/>
      <c r="OGT507" s="325"/>
      <c r="OGU507" s="325"/>
      <c r="OGV507" s="325"/>
      <c r="OGW507" s="325"/>
      <c r="OGX507" s="325"/>
      <c r="OGY507" s="325"/>
      <c r="OGZ507" s="325"/>
      <c r="OHA507" s="325"/>
      <c r="OHB507" s="325"/>
      <c r="OHC507" s="325"/>
      <c r="OHD507" s="325"/>
      <c r="OHE507" s="325"/>
      <c r="OHF507" s="325"/>
      <c r="OHG507" s="325"/>
      <c r="OHH507" s="325"/>
      <c r="OHI507" s="325"/>
      <c r="OHJ507" s="325"/>
      <c r="OHK507" s="325"/>
      <c r="OHL507" s="325"/>
      <c r="OHM507" s="325"/>
      <c r="OHN507" s="325"/>
      <c r="OHO507" s="325"/>
      <c r="OHP507" s="327"/>
      <c r="OHQ507" s="28"/>
      <c r="OHR507" s="324"/>
      <c r="OHS507" s="324"/>
      <c r="OHT507" s="324"/>
      <c r="OHU507" s="324"/>
      <c r="OHV507" s="324"/>
      <c r="OHW507" s="324"/>
      <c r="OHX507" s="256"/>
      <c r="OHY507" s="325"/>
      <c r="OHZ507" s="311"/>
      <c r="OIA507" s="325"/>
      <c r="OIB507" s="310"/>
      <c r="OIC507" s="325"/>
      <c r="OID507" s="325"/>
      <c r="OIE507" s="325"/>
      <c r="OIF507" s="325"/>
      <c r="OIG507" s="325"/>
      <c r="OIH507" s="325"/>
      <c r="OII507" s="325"/>
      <c r="OIJ507" s="325"/>
      <c r="OIK507" s="325"/>
      <c r="OIL507" s="325"/>
      <c r="OIM507" s="325"/>
      <c r="OIN507" s="325"/>
      <c r="OIO507" s="325"/>
      <c r="OIP507" s="325"/>
      <c r="OIQ507" s="325"/>
      <c r="OIR507" s="325"/>
      <c r="OIS507" s="325"/>
      <c r="OIT507" s="325"/>
      <c r="OIU507" s="325"/>
      <c r="OIV507" s="325"/>
      <c r="OIW507" s="325"/>
      <c r="OIX507" s="325"/>
      <c r="OIY507" s="325"/>
      <c r="OIZ507" s="325"/>
      <c r="OJA507" s="325"/>
      <c r="OJB507" s="325"/>
      <c r="OJC507" s="325"/>
      <c r="OJD507" s="325"/>
      <c r="OJE507" s="325"/>
      <c r="OJF507" s="325"/>
      <c r="OJG507" s="327"/>
      <c r="OJH507" s="28"/>
      <c r="OJI507" s="324"/>
      <c r="OJJ507" s="324"/>
      <c r="OJK507" s="324"/>
      <c r="OJL507" s="324"/>
      <c r="OJM507" s="324"/>
      <c r="OJN507" s="324"/>
      <c r="OJO507" s="256"/>
      <c r="OJP507" s="325"/>
      <c r="OJQ507" s="311"/>
      <c r="OJR507" s="325"/>
      <c r="OJS507" s="310"/>
      <c r="OJT507" s="325"/>
      <c r="OJU507" s="325"/>
      <c r="OJV507" s="325"/>
      <c r="OJW507" s="325"/>
      <c r="OJX507" s="325"/>
      <c r="OJY507" s="325"/>
      <c r="OJZ507" s="325"/>
      <c r="OKA507" s="325"/>
      <c r="OKB507" s="325"/>
      <c r="OKC507" s="325"/>
      <c r="OKD507" s="325"/>
      <c r="OKE507" s="325"/>
      <c r="OKF507" s="325"/>
      <c r="OKG507" s="325"/>
      <c r="OKH507" s="325"/>
      <c r="OKI507" s="325"/>
      <c r="OKJ507" s="325"/>
      <c r="OKK507" s="325"/>
      <c r="OKL507" s="325"/>
      <c r="OKM507" s="325"/>
      <c r="OKN507" s="325"/>
      <c r="OKO507" s="325"/>
      <c r="OKP507" s="325"/>
      <c r="OKQ507" s="325"/>
      <c r="OKR507" s="325"/>
      <c r="OKS507" s="325"/>
      <c r="OKT507" s="325"/>
      <c r="OKU507" s="325"/>
      <c r="OKV507" s="325"/>
      <c r="OKW507" s="325"/>
      <c r="OKX507" s="327"/>
      <c r="OKY507" s="28"/>
      <c r="OKZ507" s="324"/>
      <c r="OLA507" s="324"/>
      <c r="OLB507" s="324"/>
      <c r="OLC507" s="324"/>
      <c r="OLD507" s="324"/>
      <c r="OLE507" s="324"/>
      <c r="OLF507" s="256"/>
      <c r="OLG507" s="325"/>
      <c r="OLH507" s="311"/>
      <c r="OLI507" s="325"/>
      <c r="OLJ507" s="310"/>
      <c r="OLK507" s="325"/>
      <c r="OLL507" s="325"/>
      <c r="OLM507" s="325"/>
      <c r="OLN507" s="325"/>
      <c r="OLO507" s="325"/>
      <c r="OLP507" s="325"/>
      <c r="OLQ507" s="325"/>
      <c r="OLR507" s="325"/>
      <c r="OLS507" s="325"/>
      <c r="OLT507" s="325"/>
      <c r="OLU507" s="325"/>
      <c r="OLV507" s="325"/>
      <c r="OLW507" s="325"/>
      <c r="OLX507" s="325"/>
      <c r="OLY507" s="325"/>
      <c r="OLZ507" s="325"/>
      <c r="OMA507" s="325"/>
      <c r="OMB507" s="325"/>
      <c r="OMC507" s="325"/>
      <c r="OMD507" s="325"/>
      <c r="OME507" s="325"/>
      <c r="OMF507" s="325"/>
      <c r="OMG507" s="325"/>
      <c r="OMH507" s="325"/>
      <c r="OMI507" s="325"/>
      <c r="OMJ507" s="325"/>
      <c r="OMK507" s="325"/>
      <c r="OML507" s="325"/>
      <c r="OMM507" s="325"/>
      <c r="OMN507" s="325"/>
      <c r="OMO507" s="327"/>
      <c r="OMP507" s="28"/>
      <c r="OMQ507" s="324"/>
      <c r="OMR507" s="324"/>
      <c r="OMS507" s="324"/>
      <c r="OMT507" s="324"/>
      <c r="OMU507" s="324"/>
      <c r="OMV507" s="324"/>
      <c r="OMW507" s="256"/>
      <c r="OMX507" s="325"/>
      <c r="OMY507" s="311"/>
      <c r="OMZ507" s="325"/>
      <c r="ONA507" s="310"/>
      <c r="ONB507" s="325"/>
      <c r="ONC507" s="325"/>
      <c r="OND507" s="325"/>
      <c r="ONE507" s="325"/>
      <c r="ONF507" s="325"/>
      <c r="ONG507" s="325"/>
      <c r="ONH507" s="325"/>
      <c r="ONI507" s="325"/>
      <c r="ONJ507" s="325"/>
      <c r="ONK507" s="325"/>
      <c r="ONL507" s="325"/>
      <c r="ONM507" s="325"/>
      <c r="ONN507" s="325"/>
      <c r="ONO507" s="325"/>
      <c r="ONP507" s="325"/>
      <c r="ONQ507" s="325"/>
      <c r="ONR507" s="325"/>
      <c r="ONS507" s="325"/>
      <c r="ONT507" s="325"/>
      <c r="ONU507" s="325"/>
      <c r="ONV507" s="325"/>
      <c r="ONW507" s="325"/>
      <c r="ONX507" s="325"/>
      <c r="ONY507" s="325"/>
      <c r="ONZ507" s="325"/>
      <c r="OOA507" s="325"/>
      <c r="OOB507" s="325"/>
      <c r="OOC507" s="325"/>
      <c r="OOD507" s="325"/>
      <c r="OOE507" s="325"/>
      <c r="OOF507" s="327"/>
      <c r="OOG507" s="28"/>
      <c r="OOH507" s="324"/>
      <c r="OOI507" s="324"/>
      <c r="OOJ507" s="324"/>
      <c r="OOK507" s="324"/>
      <c r="OOL507" s="324"/>
      <c r="OOM507" s="324"/>
      <c r="OON507" s="256"/>
      <c r="OOO507" s="325"/>
      <c r="OOP507" s="311"/>
      <c r="OOQ507" s="325"/>
      <c r="OOR507" s="310"/>
      <c r="OOS507" s="325"/>
      <c r="OOT507" s="325"/>
      <c r="OOU507" s="325"/>
      <c r="OOV507" s="325"/>
      <c r="OOW507" s="325"/>
      <c r="OOX507" s="325"/>
      <c r="OOY507" s="325"/>
      <c r="OOZ507" s="325"/>
      <c r="OPA507" s="325"/>
      <c r="OPB507" s="325"/>
      <c r="OPC507" s="325"/>
      <c r="OPD507" s="325"/>
      <c r="OPE507" s="325"/>
      <c r="OPF507" s="325"/>
      <c r="OPG507" s="325"/>
      <c r="OPH507" s="325"/>
      <c r="OPI507" s="325"/>
      <c r="OPJ507" s="325"/>
      <c r="OPK507" s="325"/>
      <c r="OPL507" s="325"/>
      <c r="OPM507" s="325"/>
      <c r="OPN507" s="325"/>
      <c r="OPO507" s="325"/>
      <c r="OPP507" s="325"/>
      <c r="OPQ507" s="325"/>
      <c r="OPR507" s="325"/>
      <c r="OPS507" s="325"/>
      <c r="OPT507" s="325"/>
      <c r="OPU507" s="325"/>
      <c r="OPV507" s="325"/>
      <c r="OPW507" s="327"/>
      <c r="OPX507" s="28"/>
      <c r="OPY507" s="324"/>
      <c r="OPZ507" s="324"/>
      <c r="OQA507" s="324"/>
      <c r="OQB507" s="324"/>
      <c r="OQC507" s="324"/>
      <c r="OQD507" s="324"/>
      <c r="OQE507" s="256"/>
      <c r="OQF507" s="325"/>
      <c r="OQG507" s="311"/>
      <c r="OQH507" s="325"/>
      <c r="OQI507" s="310"/>
      <c r="OQJ507" s="325"/>
      <c r="OQK507" s="325"/>
      <c r="OQL507" s="325"/>
      <c r="OQM507" s="325"/>
      <c r="OQN507" s="325"/>
      <c r="OQO507" s="325"/>
      <c r="OQP507" s="325"/>
      <c r="OQQ507" s="325"/>
      <c r="OQR507" s="325"/>
      <c r="OQS507" s="325"/>
      <c r="OQT507" s="325"/>
      <c r="OQU507" s="325"/>
      <c r="OQV507" s="325"/>
      <c r="OQW507" s="325"/>
      <c r="OQX507" s="325"/>
      <c r="OQY507" s="325"/>
      <c r="OQZ507" s="325"/>
      <c r="ORA507" s="325"/>
      <c r="ORB507" s="325"/>
      <c r="ORC507" s="325"/>
      <c r="ORD507" s="325"/>
      <c r="ORE507" s="325"/>
      <c r="ORF507" s="325"/>
      <c r="ORG507" s="325"/>
      <c r="ORH507" s="325"/>
      <c r="ORI507" s="325"/>
      <c r="ORJ507" s="325"/>
      <c r="ORK507" s="325"/>
      <c r="ORL507" s="325"/>
      <c r="ORM507" s="325"/>
      <c r="ORN507" s="327"/>
      <c r="ORO507" s="28"/>
      <c r="ORP507" s="324"/>
      <c r="ORQ507" s="324"/>
      <c r="ORR507" s="324"/>
      <c r="ORS507" s="324"/>
      <c r="ORT507" s="324"/>
      <c r="ORU507" s="324"/>
      <c r="ORV507" s="256"/>
      <c r="ORW507" s="325"/>
      <c r="ORX507" s="311"/>
      <c r="ORY507" s="325"/>
      <c r="ORZ507" s="310"/>
      <c r="OSA507" s="325"/>
      <c r="OSB507" s="325"/>
      <c r="OSC507" s="325"/>
      <c r="OSD507" s="325"/>
      <c r="OSE507" s="325"/>
      <c r="OSF507" s="325"/>
      <c r="OSG507" s="325"/>
      <c r="OSH507" s="325"/>
      <c r="OSI507" s="325"/>
      <c r="OSJ507" s="325"/>
      <c r="OSK507" s="325"/>
      <c r="OSL507" s="325"/>
      <c r="OSM507" s="325"/>
      <c r="OSN507" s="325"/>
      <c r="OSO507" s="325"/>
      <c r="OSP507" s="325"/>
      <c r="OSQ507" s="325"/>
      <c r="OSR507" s="325"/>
      <c r="OSS507" s="325"/>
      <c r="OST507" s="325"/>
      <c r="OSU507" s="325"/>
      <c r="OSV507" s="325"/>
      <c r="OSW507" s="325"/>
      <c r="OSX507" s="325"/>
      <c r="OSY507" s="325"/>
      <c r="OSZ507" s="325"/>
      <c r="OTA507" s="325"/>
      <c r="OTB507" s="325"/>
      <c r="OTC507" s="325"/>
      <c r="OTD507" s="325"/>
      <c r="OTE507" s="327"/>
      <c r="OTF507" s="28"/>
      <c r="OTG507" s="324"/>
      <c r="OTH507" s="324"/>
      <c r="OTI507" s="324"/>
      <c r="OTJ507" s="324"/>
      <c r="OTK507" s="324"/>
      <c r="OTL507" s="324"/>
      <c r="OTM507" s="256"/>
      <c r="OTN507" s="325"/>
      <c r="OTO507" s="311"/>
      <c r="OTP507" s="325"/>
      <c r="OTQ507" s="310"/>
      <c r="OTR507" s="325"/>
      <c r="OTS507" s="325"/>
      <c r="OTT507" s="325"/>
      <c r="OTU507" s="325"/>
      <c r="OTV507" s="325"/>
      <c r="OTW507" s="325"/>
      <c r="OTX507" s="325"/>
      <c r="OTY507" s="325"/>
      <c r="OTZ507" s="325"/>
      <c r="OUA507" s="325"/>
      <c r="OUB507" s="325"/>
      <c r="OUC507" s="325"/>
      <c r="OUD507" s="325"/>
      <c r="OUE507" s="325"/>
      <c r="OUF507" s="325"/>
      <c r="OUG507" s="325"/>
      <c r="OUH507" s="325"/>
      <c r="OUI507" s="325"/>
      <c r="OUJ507" s="325"/>
      <c r="OUK507" s="325"/>
      <c r="OUL507" s="325"/>
      <c r="OUM507" s="325"/>
      <c r="OUN507" s="325"/>
      <c r="OUO507" s="325"/>
      <c r="OUP507" s="325"/>
      <c r="OUQ507" s="325"/>
      <c r="OUR507" s="325"/>
      <c r="OUS507" s="325"/>
      <c r="OUT507" s="325"/>
      <c r="OUU507" s="325"/>
      <c r="OUV507" s="327"/>
      <c r="OUW507" s="28"/>
      <c r="OUX507" s="324"/>
      <c r="OUY507" s="324"/>
      <c r="OUZ507" s="324"/>
      <c r="OVA507" s="324"/>
      <c r="OVB507" s="324"/>
      <c r="OVC507" s="324"/>
      <c r="OVD507" s="256"/>
      <c r="OVE507" s="325"/>
      <c r="OVF507" s="311"/>
      <c r="OVG507" s="325"/>
      <c r="OVH507" s="310"/>
      <c r="OVI507" s="325"/>
      <c r="OVJ507" s="325"/>
      <c r="OVK507" s="325"/>
      <c r="OVL507" s="325"/>
      <c r="OVM507" s="325"/>
      <c r="OVN507" s="325"/>
      <c r="OVO507" s="325"/>
      <c r="OVP507" s="325"/>
      <c r="OVQ507" s="325"/>
      <c r="OVR507" s="325"/>
      <c r="OVS507" s="325"/>
      <c r="OVT507" s="325"/>
      <c r="OVU507" s="325"/>
      <c r="OVV507" s="325"/>
      <c r="OVW507" s="325"/>
      <c r="OVX507" s="325"/>
      <c r="OVY507" s="325"/>
      <c r="OVZ507" s="325"/>
      <c r="OWA507" s="325"/>
      <c r="OWB507" s="325"/>
      <c r="OWC507" s="325"/>
      <c r="OWD507" s="325"/>
      <c r="OWE507" s="325"/>
      <c r="OWF507" s="325"/>
      <c r="OWG507" s="325"/>
      <c r="OWH507" s="325"/>
      <c r="OWI507" s="325"/>
      <c r="OWJ507" s="325"/>
      <c r="OWK507" s="325"/>
      <c r="OWL507" s="325"/>
      <c r="OWM507" s="327"/>
      <c r="OWN507" s="28"/>
      <c r="OWO507" s="324"/>
      <c r="OWP507" s="324"/>
      <c r="OWQ507" s="324"/>
      <c r="OWR507" s="324"/>
      <c r="OWS507" s="324"/>
      <c r="OWT507" s="324"/>
      <c r="OWU507" s="256"/>
      <c r="OWV507" s="325"/>
      <c r="OWW507" s="311"/>
      <c r="OWX507" s="325"/>
      <c r="OWY507" s="310"/>
      <c r="OWZ507" s="325"/>
      <c r="OXA507" s="325"/>
      <c r="OXB507" s="325"/>
      <c r="OXC507" s="325"/>
      <c r="OXD507" s="325"/>
      <c r="OXE507" s="325"/>
      <c r="OXF507" s="325"/>
      <c r="OXG507" s="325"/>
      <c r="OXH507" s="325"/>
      <c r="OXI507" s="325"/>
      <c r="OXJ507" s="325"/>
      <c r="OXK507" s="325"/>
      <c r="OXL507" s="325"/>
      <c r="OXM507" s="325"/>
      <c r="OXN507" s="325"/>
      <c r="OXO507" s="325"/>
      <c r="OXP507" s="325"/>
      <c r="OXQ507" s="325"/>
      <c r="OXR507" s="325"/>
      <c r="OXS507" s="325"/>
      <c r="OXT507" s="325"/>
      <c r="OXU507" s="325"/>
      <c r="OXV507" s="325"/>
      <c r="OXW507" s="325"/>
      <c r="OXX507" s="325"/>
      <c r="OXY507" s="325"/>
      <c r="OXZ507" s="325"/>
      <c r="OYA507" s="325"/>
      <c r="OYB507" s="325"/>
      <c r="OYC507" s="325"/>
      <c r="OYD507" s="327"/>
      <c r="OYE507" s="28"/>
      <c r="OYF507" s="324"/>
      <c r="OYG507" s="324"/>
      <c r="OYH507" s="324"/>
      <c r="OYI507" s="324"/>
      <c r="OYJ507" s="324"/>
      <c r="OYK507" s="324"/>
      <c r="OYL507" s="256"/>
      <c r="OYM507" s="325"/>
      <c r="OYN507" s="311"/>
      <c r="OYO507" s="325"/>
      <c r="OYP507" s="310"/>
      <c r="OYQ507" s="325"/>
      <c r="OYR507" s="325"/>
      <c r="OYS507" s="325"/>
      <c r="OYT507" s="325"/>
      <c r="OYU507" s="325"/>
      <c r="OYV507" s="325"/>
      <c r="OYW507" s="325"/>
      <c r="OYX507" s="325"/>
      <c r="OYY507" s="325"/>
      <c r="OYZ507" s="325"/>
      <c r="OZA507" s="325"/>
      <c r="OZB507" s="325"/>
      <c r="OZC507" s="325"/>
      <c r="OZD507" s="325"/>
      <c r="OZE507" s="325"/>
      <c r="OZF507" s="325"/>
      <c r="OZG507" s="325"/>
      <c r="OZH507" s="325"/>
      <c r="OZI507" s="325"/>
      <c r="OZJ507" s="325"/>
      <c r="OZK507" s="325"/>
      <c r="OZL507" s="325"/>
      <c r="OZM507" s="325"/>
      <c r="OZN507" s="325"/>
      <c r="OZO507" s="325"/>
      <c r="OZP507" s="325"/>
      <c r="OZQ507" s="325"/>
      <c r="OZR507" s="325"/>
      <c r="OZS507" s="325"/>
      <c r="OZT507" s="325"/>
      <c r="OZU507" s="327"/>
      <c r="OZV507" s="28"/>
      <c r="OZW507" s="324"/>
      <c r="OZX507" s="324"/>
      <c r="OZY507" s="324"/>
      <c r="OZZ507" s="324"/>
      <c r="PAA507" s="324"/>
      <c r="PAB507" s="324"/>
      <c r="PAC507" s="256"/>
      <c r="PAD507" s="325"/>
      <c r="PAE507" s="311"/>
      <c r="PAF507" s="325"/>
      <c r="PAG507" s="310"/>
      <c r="PAH507" s="325"/>
      <c r="PAI507" s="325"/>
      <c r="PAJ507" s="325"/>
      <c r="PAK507" s="325"/>
      <c r="PAL507" s="325"/>
      <c r="PAM507" s="325"/>
      <c r="PAN507" s="325"/>
      <c r="PAO507" s="325"/>
      <c r="PAP507" s="325"/>
      <c r="PAQ507" s="325"/>
      <c r="PAR507" s="325"/>
      <c r="PAS507" s="325"/>
      <c r="PAT507" s="325"/>
      <c r="PAU507" s="325"/>
      <c r="PAV507" s="325"/>
      <c r="PAW507" s="325"/>
      <c r="PAX507" s="325"/>
      <c r="PAY507" s="325"/>
      <c r="PAZ507" s="325"/>
      <c r="PBA507" s="325"/>
      <c r="PBB507" s="325"/>
      <c r="PBC507" s="325"/>
      <c r="PBD507" s="325"/>
      <c r="PBE507" s="325"/>
      <c r="PBF507" s="325"/>
      <c r="PBG507" s="325"/>
      <c r="PBH507" s="325"/>
      <c r="PBI507" s="325"/>
      <c r="PBJ507" s="325"/>
      <c r="PBK507" s="325"/>
      <c r="PBL507" s="327"/>
      <c r="PBM507" s="28"/>
      <c r="PBN507" s="324"/>
      <c r="PBO507" s="324"/>
      <c r="PBP507" s="324"/>
      <c r="PBQ507" s="324"/>
      <c r="PBR507" s="324"/>
      <c r="PBS507" s="324"/>
      <c r="PBT507" s="256"/>
      <c r="PBU507" s="325"/>
      <c r="PBV507" s="311"/>
      <c r="PBW507" s="325"/>
      <c r="PBX507" s="310"/>
      <c r="PBY507" s="325"/>
      <c r="PBZ507" s="325"/>
      <c r="PCA507" s="325"/>
      <c r="PCB507" s="325"/>
      <c r="PCC507" s="325"/>
      <c r="PCD507" s="325"/>
      <c r="PCE507" s="325"/>
      <c r="PCF507" s="325"/>
      <c r="PCG507" s="325"/>
      <c r="PCH507" s="325"/>
      <c r="PCI507" s="325"/>
      <c r="PCJ507" s="325"/>
      <c r="PCK507" s="325"/>
      <c r="PCL507" s="325"/>
      <c r="PCM507" s="325"/>
      <c r="PCN507" s="325"/>
      <c r="PCO507" s="325"/>
      <c r="PCP507" s="325"/>
      <c r="PCQ507" s="325"/>
      <c r="PCR507" s="325"/>
      <c r="PCS507" s="325"/>
      <c r="PCT507" s="325"/>
      <c r="PCU507" s="325"/>
      <c r="PCV507" s="325"/>
      <c r="PCW507" s="325"/>
      <c r="PCX507" s="325"/>
      <c r="PCY507" s="325"/>
      <c r="PCZ507" s="325"/>
      <c r="PDA507" s="325"/>
      <c r="PDB507" s="325"/>
      <c r="PDC507" s="327"/>
      <c r="PDD507" s="28"/>
      <c r="PDE507" s="324"/>
      <c r="PDF507" s="324"/>
      <c r="PDG507" s="324"/>
      <c r="PDH507" s="324"/>
      <c r="PDI507" s="324"/>
      <c r="PDJ507" s="324"/>
      <c r="PDK507" s="256"/>
      <c r="PDL507" s="325"/>
      <c r="PDM507" s="311"/>
      <c r="PDN507" s="325"/>
      <c r="PDO507" s="310"/>
      <c r="PDP507" s="325"/>
      <c r="PDQ507" s="325"/>
      <c r="PDR507" s="325"/>
      <c r="PDS507" s="325"/>
      <c r="PDT507" s="325"/>
      <c r="PDU507" s="325"/>
      <c r="PDV507" s="325"/>
      <c r="PDW507" s="325"/>
      <c r="PDX507" s="325"/>
      <c r="PDY507" s="325"/>
      <c r="PDZ507" s="325"/>
      <c r="PEA507" s="325"/>
      <c r="PEB507" s="325"/>
      <c r="PEC507" s="325"/>
      <c r="PED507" s="325"/>
      <c r="PEE507" s="325"/>
      <c r="PEF507" s="325"/>
      <c r="PEG507" s="325"/>
      <c r="PEH507" s="325"/>
      <c r="PEI507" s="325"/>
      <c r="PEJ507" s="325"/>
      <c r="PEK507" s="325"/>
      <c r="PEL507" s="325"/>
      <c r="PEM507" s="325"/>
      <c r="PEN507" s="325"/>
      <c r="PEO507" s="325"/>
      <c r="PEP507" s="325"/>
      <c r="PEQ507" s="325"/>
      <c r="PER507" s="325"/>
      <c r="PES507" s="325"/>
      <c r="PET507" s="327"/>
      <c r="PEU507" s="28"/>
      <c r="PEV507" s="324"/>
      <c r="PEW507" s="324"/>
      <c r="PEX507" s="324"/>
      <c r="PEY507" s="324"/>
      <c r="PEZ507" s="324"/>
      <c r="PFA507" s="324"/>
      <c r="PFB507" s="256"/>
      <c r="PFC507" s="325"/>
      <c r="PFD507" s="311"/>
      <c r="PFE507" s="325"/>
      <c r="PFF507" s="310"/>
      <c r="PFG507" s="325"/>
      <c r="PFH507" s="325"/>
      <c r="PFI507" s="325"/>
      <c r="PFJ507" s="325"/>
      <c r="PFK507" s="325"/>
      <c r="PFL507" s="325"/>
      <c r="PFM507" s="325"/>
      <c r="PFN507" s="325"/>
      <c r="PFO507" s="325"/>
      <c r="PFP507" s="325"/>
      <c r="PFQ507" s="325"/>
      <c r="PFR507" s="325"/>
      <c r="PFS507" s="325"/>
      <c r="PFT507" s="325"/>
      <c r="PFU507" s="325"/>
      <c r="PFV507" s="325"/>
      <c r="PFW507" s="325"/>
      <c r="PFX507" s="325"/>
      <c r="PFY507" s="325"/>
      <c r="PFZ507" s="325"/>
      <c r="PGA507" s="325"/>
      <c r="PGB507" s="325"/>
      <c r="PGC507" s="325"/>
      <c r="PGD507" s="325"/>
      <c r="PGE507" s="325"/>
      <c r="PGF507" s="325"/>
      <c r="PGG507" s="325"/>
      <c r="PGH507" s="325"/>
      <c r="PGI507" s="325"/>
      <c r="PGJ507" s="325"/>
      <c r="PGK507" s="327"/>
      <c r="PGL507" s="28"/>
      <c r="PGM507" s="324"/>
      <c r="PGN507" s="324"/>
      <c r="PGO507" s="324"/>
      <c r="PGP507" s="324"/>
      <c r="PGQ507" s="324"/>
      <c r="PGR507" s="324"/>
      <c r="PGS507" s="256"/>
      <c r="PGT507" s="325"/>
      <c r="PGU507" s="311"/>
      <c r="PGV507" s="325"/>
      <c r="PGW507" s="310"/>
      <c r="PGX507" s="325"/>
      <c r="PGY507" s="325"/>
      <c r="PGZ507" s="325"/>
      <c r="PHA507" s="325"/>
      <c r="PHB507" s="325"/>
      <c r="PHC507" s="325"/>
      <c r="PHD507" s="325"/>
      <c r="PHE507" s="325"/>
      <c r="PHF507" s="325"/>
      <c r="PHG507" s="325"/>
      <c r="PHH507" s="325"/>
      <c r="PHI507" s="325"/>
      <c r="PHJ507" s="325"/>
      <c r="PHK507" s="325"/>
      <c r="PHL507" s="325"/>
      <c r="PHM507" s="325"/>
      <c r="PHN507" s="325"/>
      <c r="PHO507" s="325"/>
      <c r="PHP507" s="325"/>
      <c r="PHQ507" s="325"/>
      <c r="PHR507" s="325"/>
      <c r="PHS507" s="325"/>
      <c r="PHT507" s="325"/>
      <c r="PHU507" s="325"/>
      <c r="PHV507" s="325"/>
      <c r="PHW507" s="325"/>
      <c r="PHX507" s="325"/>
      <c r="PHY507" s="325"/>
      <c r="PHZ507" s="325"/>
      <c r="PIA507" s="325"/>
      <c r="PIB507" s="327"/>
      <c r="PIC507" s="28"/>
      <c r="PID507" s="324"/>
      <c r="PIE507" s="324"/>
      <c r="PIF507" s="324"/>
      <c r="PIG507" s="324"/>
      <c r="PIH507" s="324"/>
      <c r="PII507" s="324"/>
      <c r="PIJ507" s="256"/>
      <c r="PIK507" s="325"/>
      <c r="PIL507" s="311"/>
      <c r="PIM507" s="325"/>
      <c r="PIN507" s="310"/>
      <c r="PIO507" s="325"/>
      <c r="PIP507" s="325"/>
      <c r="PIQ507" s="325"/>
      <c r="PIR507" s="325"/>
      <c r="PIS507" s="325"/>
      <c r="PIT507" s="325"/>
      <c r="PIU507" s="325"/>
      <c r="PIV507" s="325"/>
      <c r="PIW507" s="325"/>
      <c r="PIX507" s="325"/>
      <c r="PIY507" s="325"/>
      <c r="PIZ507" s="325"/>
      <c r="PJA507" s="325"/>
      <c r="PJB507" s="325"/>
      <c r="PJC507" s="325"/>
      <c r="PJD507" s="325"/>
      <c r="PJE507" s="325"/>
      <c r="PJF507" s="325"/>
      <c r="PJG507" s="325"/>
      <c r="PJH507" s="325"/>
      <c r="PJI507" s="325"/>
      <c r="PJJ507" s="325"/>
      <c r="PJK507" s="325"/>
      <c r="PJL507" s="325"/>
      <c r="PJM507" s="325"/>
      <c r="PJN507" s="325"/>
      <c r="PJO507" s="325"/>
      <c r="PJP507" s="325"/>
      <c r="PJQ507" s="325"/>
      <c r="PJR507" s="325"/>
      <c r="PJS507" s="327"/>
      <c r="PJT507" s="28"/>
      <c r="PJU507" s="324"/>
      <c r="PJV507" s="324"/>
      <c r="PJW507" s="324"/>
      <c r="PJX507" s="324"/>
      <c r="PJY507" s="324"/>
      <c r="PJZ507" s="324"/>
      <c r="PKA507" s="256"/>
      <c r="PKB507" s="325"/>
      <c r="PKC507" s="311"/>
      <c r="PKD507" s="325"/>
      <c r="PKE507" s="310"/>
      <c r="PKF507" s="325"/>
      <c r="PKG507" s="325"/>
      <c r="PKH507" s="325"/>
      <c r="PKI507" s="325"/>
      <c r="PKJ507" s="325"/>
      <c r="PKK507" s="325"/>
      <c r="PKL507" s="325"/>
      <c r="PKM507" s="325"/>
      <c r="PKN507" s="325"/>
      <c r="PKO507" s="325"/>
      <c r="PKP507" s="325"/>
      <c r="PKQ507" s="325"/>
      <c r="PKR507" s="325"/>
      <c r="PKS507" s="325"/>
      <c r="PKT507" s="325"/>
      <c r="PKU507" s="325"/>
      <c r="PKV507" s="325"/>
      <c r="PKW507" s="325"/>
      <c r="PKX507" s="325"/>
      <c r="PKY507" s="325"/>
      <c r="PKZ507" s="325"/>
      <c r="PLA507" s="325"/>
      <c r="PLB507" s="325"/>
      <c r="PLC507" s="325"/>
      <c r="PLD507" s="325"/>
      <c r="PLE507" s="325"/>
      <c r="PLF507" s="325"/>
      <c r="PLG507" s="325"/>
      <c r="PLH507" s="325"/>
      <c r="PLI507" s="325"/>
      <c r="PLJ507" s="327"/>
      <c r="PLK507" s="28"/>
      <c r="PLL507" s="324"/>
      <c r="PLM507" s="324"/>
      <c r="PLN507" s="324"/>
      <c r="PLO507" s="324"/>
      <c r="PLP507" s="324"/>
      <c r="PLQ507" s="324"/>
      <c r="PLR507" s="256"/>
      <c r="PLS507" s="325"/>
      <c r="PLT507" s="311"/>
      <c r="PLU507" s="325"/>
      <c r="PLV507" s="310"/>
      <c r="PLW507" s="325"/>
      <c r="PLX507" s="325"/>
      <c r="PLY507" s="325"/>
      <c r="PLZ507" s="325"/>
      <c r="PMA507" s="325"/>
      <c r="PMB507" s="325"/>
      <c r="PMC507" s="325"/>
      <c r="PMD507" s="325"/>
      <c r="PME507" s="325"/>
      <c r="PMF507" s="325"/>
      <c r="PMG507" s="325"/>
      <c r="PMH507" s="325"/>
      <c r="PMI507" s="325"/>
      <c r="PMJ507" s="325"/>
      <c r="PMK507" s="325"/>
      <c r="PML507" s="325"/>
      <c r="PMM507" s="325"/>
      <c r="PMN507" s="325"/>
      <c r="PMO507" s="325"/>
      <c r="PMP507" s="325"/>
      <c r="PMQ507" s="325"/>
      <c r="PMR507" s="325"/>
      <c r="PMS507" s="325"/>
      <c r="PMT507" s="325"/>
      <c r="PMU507" s="325"/>
      <c r="PMV507" s="325"/>
      <c r="PMW507" s="325"/>
      <c r="PMX507" s="325"/>
      <c r="PMY507" s="325"/>
      <c r="PMZ507" s="325"/>
      <c r="PNA507" s="327"/>
      <c r="PNB507" s="28"/>
      <c r="PNC507" s="324"/>
      <c r="PND507" s="324"/>
      <c r="PNE507" s="324"/>
      <c r="PNF507" s="324"/>
      <c r="PNG507" s="324"/>
      <c r="PNH507" s="324"/>
      <c r="PNI507" s="256"/>
      <c r="PNJ507" s="325"/>
      <c r="PNK507" s="311"/>
      <c r="PNL507" s="325"/>
      <c r="PNM507" s="310"/>
      <c r="PNN507" s="325"/>
      <c r="PNO507" s="325"/>
      <c r="PNP507" s="325"/>
      <c r="PNQ507" s="325"/>
      <c r="PNR507" s="325"/>
      <c r="PNS507" s="325"/>
      <c r="PNT507" s="325"/>
      <c r="PNU507" s="325"/>
      <c r="PNV507" s="325"/>
      <c r="PNW507" s="325"/>
      <c r="PNX507" s="325"/>
      <c r="PNY507" s="325"/>
      <c r="PNZ507" s="325"/>
      <c r="POA507" s="325"/>
      <c r="POB507" s="325"/>
      <c r="POC507" s="325"/>
      <c r="POD507" s="325"/>
      <c r="POE507" s="325"/>
      <c r="POF507" s="325"/>
      <c r="POG507" s="325"/>
      <c r="POH507" s="325"/>
      <c r="POI507" s="325"/>
      <c r="POJ507" s="325"/>
      <c r="POK507" s="325"/>
      <c r="POL507" s="325"/>
      <c r="POM507" s="325"/>
      <c r="PON507" s="325"/>
      <c r="POO507" s="325"/>
      <c r="POP507" s="325"/>
      <c r="POQ507" s="325"/>
      <c r="POR507" s="327"/>
      <c r="POS507" s="28"/>
      <c r="POT507" s="324"/>
      <c r="POU507" s="324"/>
      <c r="POV507" s="324"/>
      <c r="POW507" s="324"/>
      <c r="POX507" s="324"/>
      <c r="POY507" s="324"/>
      <c r="POZ507" s="256"/>
      <c r="PPA507" s="325"/>
      <c r="PPB507" s="311"/>
      <c r="PPC507" s="325"/>
      <c r="PPD507" s="310"/>
      <c r="PPE507" s="325"/>
      <c r="PPF507" s="325"/>
      <c r="PPG507" s="325"/>
      <c r="PPH507" s="325"/>
      <c r="PPI507" s="325"/>
      <c r="PPJ507" s="325"/>
      <c r="PPK507" s="325"/>
      <c r="PPL507" s="325"/>
      <c r="PPM507" s="325"/>
      <c r="PPN507" s="325"/>
      <c r="PPO507" s="325"/>
      <c r="PPP507" s="325"/>
      <c r="PPQ507" s="325"/>
      <c r="PPR507" s="325"/>
      <c r="PPS507" s="325"/>
      <c r="PPT507" s="325"/>
      <c r="PPU507" s="325"/>
      <c r="PPV507" s="325"/>
      <c r="PPW507" s="325"/>
      <c r="PPX507" s="325"/>
      <c r="PPY507" s="325"/>
      <c r="PPZ507" s="325"/>
      <c r="PQA507" s="325"/>
      <c r="PQB507" s="325"/>
      <c r="PQC507" s="325"/>
      <c r="PQD507" s="325"/>
      <c r="PQE507" s="325"/>
      <c r="PQF507" s="325"/>
      <c r="PQG507" s="325"/>
      <c r="PQH507" s="325"/>
      <c r="PQI507" s="327"/>
      <c r="PQJ507" s="28"/>
      <c r="PQK507" s="324"/>
      <c r="PQL507" s="324"/>
      <c r="PQM507" s="324"/>
      <c r="PQN507" s="324"/>
      <c r="PQO507" s="324"/>
      <c r="PQP507" s="324"/>
      <c r="PQQ507" s="256"/>
      <c r="PQR507" s="325"/>
      <c r="PQS507" s="311"/>
      <c r="PQT507" s="325"/>
      <c r="PQU507" s="310"/>
      <c r="PQV507" s="325"/>
      <c r="PQW507" s="325"/>
      <c r="PQX507" s="325"/>
      <c r="PQY507" s="325"/>
      <c r="PQZ507" s="325"/>
      <c r="PRA507" s="325"/>
      <c r="PRB507" s="325"/>
      <c r="PRC507" s="325"/>
      <c r="PRD507" s="325"/>
      <c r="PRE507" s="325"/>
      <c r="PRF507" s="325"/>
      <c r="PRG507" s="325"/>
      <c r="PRH507" s="325"/>
      <c r="PRI507" s="325"/>
      <c r="PRJ507" s="325"/>
      <c r="PRK507" s="325"/>
      <c r="PRL507" s="325"/>
      <c r="PRM507" s="325"/>
      <c r="PRN507" s="325"/>
      <c r="PRO507" s="325"/>
      <c r="PRP507" s="325"/>
      <c r="PRQ507" s="325"/>
      <c r="PRR507" s="325"/>
      <c r="PRS507" s="325"/>
      <c r="PRT507" s="325"/>
      <c r="PRU507" s="325"/>
      <c r="PRV507" s="325"/>
      <c r="PRW507" s="325"/>
      <c r="PRX507" s="325"/>
      <c r="PRY507" s="325"/>
      <c r="PRZ507" s="327"/>
      <c r="PSA507" s="28"/>
      <c r="PSB507" s="324"/>
      <c r="PSC507" s="324"/>
      <c r="PSD507" s="324"/>
      <c r="PSE507" s="324"/>
      <c r="PSF507" s="324"/>
      <c r="PSG507" s="324"/>
      <c r="PSH507" s="256"/>
      <c r="PSI507" s="325"/>
      <c r="PSJ507" s="311"/>
      <c r="PSK507" s="325"/>
      <c r="PSL507" s="310"/>
      <c r="PSM507" s="325"/>
      <c r="PSN507" s="325"/>
      <c r="PSO507" s="325"/>
      <c r="PSP507" s="325"/>
      <c r="PSQ507" s="325"/>
      <c r="PSR507" s="325"/>
      <c r="PSS507" s="325"/>
      <c r="PST507" s="325"/>
      <c r="PSU507" s="325"/>
      <c r="PSV507" s="325"/>
      <c r="PSW507" s="325"/>
      <c r="PSX507" s="325"/>
      <c r="PSY507" s="325"/>
      <c r="PSZ507" s="325"/>
      <c r="PTA507" s="325"/>
      <c r="PTB507" s="325"/>
      <c r="PTC507" s="325"/>
      <c r="PTD507" s="325"/>
      <c r="PTE507" s="325"/>
      <c r="PTF507" s="325"/>
      <c r="PTG507" s="325"/>
      <c r="PTH507" s="325"/>
      <c r="PTI507" s="325"/>
      <c r="PTJ507" s="325"/>
      <c r="PTK507" s="325"/>
      <c r="PTL507" s="325"/>
      <c r="PTM507" s="325"/>
      <c r="PTN507" s="325"/>
      <c r="PTO507" s="325"/>
      <c r="PTP507" s="325"/>
      <c r="PTQ507" s="327"/>
      <c r="PTR507" s="28"/>
      <c r="PTS507" s="324"/>
      <c r="PTT507" s="324"/>
      <c r="PTU507" s="324"/>
      <c r="PTV507" s="324"/>
      <c r="PTW507" s="324"/>
      <c r="PTX507" s="324"/>
      <c r="PTY507" s="256"/>
      <c r="PTZ507" s="325"/>
      <c r="PUA507" s="311"/>
      <c r="PUB507" s="325"/>
      <c r="PUC507" s="310"/>
      <c r="PUD507" s="325"/>
      <c r="PUE507" s="325"/>
      <c r="PUF507" s="325"/>
      <c r="PUG507" s="325"/>
      <c r="PUH507" s="325"/>
      <c r="PUI507" s="325"/>
      <c r="PUJ507" s="325"/>
      <c r="PUK507" s="325"/>
      <c r="PUL507" s="325"/>
      <c r="PUM507" s="325"/>
      <c r="PUN507" s="325"/>
      <c r="PUO507" s="325"/>
      <c r="PUP507" s="325"/>
      <c r="PUQ507" s="325"/>
      <c r="PUR507" s="325"/>
      <c r="PUS507" s="325"/>
      <c r="PUT507" s="325"/>
      <c r="PUU507" s="325"/>
      <c r="PUV507" s="325"/>
      <c r="PUW507" s="325"/>
      <c r="PUX507" s="325"/>
      <c r="PUY507" s="325"/>
      <c r="PUZ507" s="325"/>
      <c r="PVA507" s="325"/>
      <c r="PVB507" s="325"/>
      <c r="PVC507" s="325"/>
      <c r="PVD507" s="325"/>
      <c r="PVE507" s="325"/>
      <c r="PVF507" s="325"/>
      <c r="PVG507" s="325"/>
      <c r="PVH507" s="327"/>
      <c r="PVI507" s="28"/>
      <c r="PVJ507" s="324"/>
      <c r="PVK507" s="324"/>
      <c r="PVL507" s="324"/>
      <c r="PVM507" s="324"/>
      <c r="PVN507" s="324"/>
      <c r="PVO507" s="324"/>
      <c r="PVP507" s="256"/>
      <c r="PVQ507" s="325"/>
      <c r="PVR507" s="311"/>
      <c r="PVS507" s="325"/>
      <c r="PVT507" s="310"/>
      <c r="PVU507" s="325"/>
      <c r="PVV507" s="325"/>
      <c r="PVW507" s="325"/>
      <c r="PVX507" s="325"/>
      <c r="PVY507" s="325"/>
      <c r="PVZ507" s="325"/>
      <c r="PWA507" s="325"/>
      <c r="PWB507" s="325"/>
      <c r="PWC507" s="325"/>
      <c r="PWD507" s="325"/>
      <c r="PWE507" s="325"/>
      <c r="PWF507" s="325"/>
      <c r="PWG507" s="325"/>
      <c r="PWH507" s="325"/>
      <c r="PWI507" s="325"/>
      <c r="PWJ507" s="325"/>
      <c r="PWK507" s="325"/>
      <c r="PWL507" s="325"/>
      <c r="PWM507" s="325"/>
      <c r="PWN507" s="325"/>
      <c r="PWO507" s="325"/>
      <c r="PWP507" s="325"/>
      <c r="PWQ507" s="325"/>
      <c r="PWR507" s="325"/>
      <c r="PWS507" s="325"/>
      <c r="PWT507" s="325"/>
      <c r="PWU507" s="325"/>
      <c r="PWV507" s="325"/>
      <c r="PWW507" s="325"/>
      <c r="PWX507" s="325"/>
      <c r="PWY507" s="327"/>
      <c r="PWZ507" s="28"/>
      <c r="PXA507" s="324"/>
      <c r="PXB507" s="324"/>
      <c r="PXC507" s="324"/>
      <c r="PXD507" s="324"/>
      <c r="PXE507" s="324"/>
      <c r="PXF507" s="324"/>
      <c r="PXG507" s="256"/>
      <c r="PXH507" s="325"/>
      <c r="PXI507" s="311"/>
      <c r="PXJ507" s="325"/>
      <c r="PXK507" s="310"/>
      <c r="PXL507" s="325"/>
      <c r="PXM507" s="325"/>
      <c r="PXN507" s="325"/>
      <c r="PXO507" s="325"/>
      <c r="PXP507" s="325"/>
      <c r="PXQ507" s="325"/>
      <c r="PXR507" s="325"/>
      <c r="PXS507" s="325"/>
      <c r="PXT507" s="325"/>
      <c r="PXU507" s="325"/>
      <c r="PXV507" s="325"/>
      <c r="PXW507" s="325"/>
      <c r="PXX507" s="325"/>
      <c r="PXY507" s="325"/>
      <c r="PXZ507" s="325"/>
      <c r="PYA507" s="325"/>
      <c r="PYB507" s="325"/>
      <c r="PYC507" s="325"/>
      <c r="PYD507" s="325"/>
      <c r="PYE507" s="325"/>
      <c r="PYF507" s="325"/>
      <c r="PYG507" s="325"/>
      <c r="PYH507" s="325"/>
      <c r="PYI507" s="325"/>
      <c r="PYJ507" s="325"/>
      <c r="PYK507" s="325"/>
      <c r="PYL507" s="325"/>
      <c r="PYM507" s="325"/>
      <c r="PYN507" s="325"/>
      <c r="PYO507" s="325"/>
      <c r="PYP507" s="327"/>
      <c r="PYQ507" s="28"/>
      <c r="PYR507" s="324"/>
      <c r="PYS507" s="324"/>
      <c r="PYT507" s="324"/>
      <c r="PYU507" s="324"/>
      <c r="PYV507" s="324"/>
      <c r="PYW507" s="324"/>
      <c r="PYX507" s="256"/>
      <c r="PYY507" s="325"/>
      <c r="PYZ507" s="311"/>
      <c r="PZA507" s="325"/>
      <c r="PZB507" s="310"/>
      <c r="PZC507" s="325"/>
      <c r="PZD507" s="325"/>
      <c r="PZE507" s="325"/>
      <c r="PZF507" s="325"/>
      <c r="PZG507" s="325"/>
      <c r="PZH507" s="325"/>
      <c r="PZI507" s="325"/>
      <c r="PZJ507" s="325"/>
      <c r="PZK507" s="325"/>
      <c r="PZL507" s="325"/>
      <c r="PZM507" s="325"/>
      <c r="PZN507" s="325"/>
      <c r="PZO507" s="325"/>
      <c r="PZP507" s="325"/>
      <c r="PZQ507" s="325"/>
      <c r="PZR507" s="325"/>
      <c r="PZS507" s="325"/>
      <c r="PZT507" s="325"/>
      <c r="PZU507" s="325"/>
      <c r="PZV507" s="325"/>
      <c r="PZW507" s="325"/>
      <c r="PZX507" s="325"/>
      <c r="PZY507" s="325"/>
      <c r="PZZ507" s="325"/>
      <c r="QAA507" s="325"/>
      <c r="QAB507" s="325"/>
      <c r="QAC507" s="325"/>
      <c r="QAD507" s="325"/>
      <c r="QAE507" s="325"/>
      <c r="QAF507" s="325"/>
      <c r="QAG507" s="327"/>
      <c r="QAH507" s="28"/>
      <c r="QAI507" s="324"/>
      <c r="QAJ507" s="324"/>
      <c r="QAK507" s="324"/>
      <c r="QAL507" s="324"/>
      <c r="QAM507" s="324"/>
      <c r="QAN507" s="324"/>
      <c r="QAO507" s="256"/>
      <c r="QAP507" s="325"/>
      <c r="QAQ507" s="311"/>
      <c r="QAR507" s="325"/>
      <c r="QAS507" s="310"/>
      <c r="QAT507" s="325"/>
      <c r="QAU507" s="325"/>
      <c r="QAV507" s="325"/>
      <c r="QAW507" s="325"/>
      <c r="QAX507" s="325"/>
      <c r="QAY507" s="325"/>
      <c r="QAZ507" s="325"/>
      <c r="QBA507" s="325"/>
      <c r="QBB507" s="325"/>
      <c r="QBC507" s="325"/>
      <c r="QBD507" s="325"/>
      <c r="QBE507" s="325"/>
      <c r="QBF507" s="325"/>
      <c r="QBG507" s="325"/>
      <c r="QBH507" s="325"/>
      <c r="QBI507" s="325"/>
      <c r="QBJ507" s="325"/>
      <c r="QBK507" s="325"/>
      <c r="QBL507" s="325"/>
      <c r="QBM507" s="325"/>
      <c r="QBN507" s="325"/>
      <c r="QBO507" s="325"/>
      <c r="QBP507" s="325"/>
      <c r="QBQ507" s="325"/>
      <c r="QBR507" s="325"/>
      <c r="QBS507" s="325"/>
      <c r="QBT507" s="325"/>
      <c r="QBU507" s="325"/>
      <c r="QBV507" s="325"/>
      <c r="QBW507" s="325"/>
      <c r="QBX507" s="327"/>
      <c r="QBY507" s="28"/>
      <c r="QBZ507" s="324"/>
      <c r="QCA507" s="324"/>
      <c r="QCB507" s="324"/>
      <c r="QCC507" s="324"/>
      <c r="QCD507" s="324"/>
      <c r="QCE507" s="324"/>
      <c r="QCF507" s="256"/>
      <c r="QCG507" s="325"/>
      <c r="QCH507" s="311"/>
      <c r="QCI507" s="325"/>
      <c r="QCJ507" s="310"/>
      <c r="QCK507" s="325"/>
      <c r="QCL507" s="325"/>
      <c r="QCM507" s="325"/>
      <c r="QCN507" s="325"/>
      <c r="QCO507" s="325"/>
      <c r="QCP507" s="325"/>
      <c r="QCQ507" s="325"/>
      <c r="QCR507" s="325"/>
      <c r="QCS507" s="325"/>
      <c r="QCT507" s="325"/>
      <c r="QCU507" s="325"/>
      <c r="QCV507" s="325"/>
      <c r="QCW507" s="325"/>
      <c r="QCX507" s="325"/>
      <c r="QCY507" s="325"/>
      <c r="QCZ507" s="325"/>
      <c r="QDA507" s="325"/>
      <c r="QDB507" s="325"/>
      <c r="QDC507" s="325"/>
      <c r="QDD507" s="325"/>
      <c r="QDE507" s="325"/>
      <c r="QDF507" s="325"/>
      <c r="QDG507" s="325"/>
      <c r="QDH507" s="325"/>
      <c r="QDI507" s="325"/>
      <c r="QDJ507" s="325"/>
      <c r="QDK507" s="325"/>
      <c r="QDL507" s="325"/>
      <c r="QDM507" s="325"/>
      <c r="QDN507" s="325"/>
      <c r="QDO507" s="327"/>
      <c r="QDP507" s="28"/>
      <c r="QDQ507" s="324"/>
      <c r="QDR507" s="324"/>
      <c r="QDS507" s="324"/>
      <c r="QDT507" s="324"/>
      <c r="QDU507" s="324"/>
      <c r="QDV507" s="324"/>
      <c r="QDW507" s="256"/>
      <c r="QDX507" s="325"/>
      <c r="QDY507" s="311"/>
      <c r="QDZ507" s="325"/>
      <c r="QEA507" s="310"/>
      <c r="QEB507" s="325"/>
      <c r="QEC507" s="325"/>
      <c r="QED507" s="325"/>
      <c r="QEE507" s="325"/>
      <c r="QEF507" s="325"/>
      <c r="QEG507" s="325"/>
      <c r="QEH507" s="325"/>
      <c r="QEI507" s="325"/>
      <c r="QEJ507" s="325"/>
      <c r="QEK507" s="325"/>
      <c r="QEL507" s="325"/>
      <c r="QEM507" s="325"/>
      <c r="QEN507" s="325"/>
      <c r="QEO507" s="325"/>
      <c r="QEP507" s="325"/>
      <c r="QEQ507" s="325"/>
      <c r="QER507" s="325"/>
      <c r="QES507" s="325"/>
      <c r="QET507" s="325"/>
      <c r="QEU507" s="325"/>
      <c r="QEV507" s="325"/>
      <c r="QEW507" s="325"/>
      <c r="QEX507" s="325"/>
      <c r="QEY507" s="325"/>
      <c r="QEZ507" s="325"/>
      <c r="QFA507" s="325"/>
      <c r="QFB507" s="325"/>
      <c r="QFC507" s="325"/>
      <c r="QFD507" s="325"/>
      <c r="QFE507" s="325"/>
      <c r="QFF507" s="327"/>
      <c r="QFG507" s="28"/>
      <c r="QFH507" s="324"/>
      <c r="QFI507" s="324"/>
      <c r="QFJ507" s="324"/>
      <c r="QFK507" s="324"/>
      <c r="QFL507" s="324"/>
      <c r="QFM507" s="324"/>
      <c r="QFN507" s="256"/>
      <c r="QFO507" s="325"/>
      <c r="QFP507" s="311"/>
      <c r="QFQ507" s="325"/>
      <c r="QFR507" s="310"/>
      <c r="QFS507" s="325"/>
      <c r="QFT507" s="325"/>
      <c r="QFU507" s="325"/>
      <c r="QFV507" s="325"/>
      <c r="QFW507" s="325"/>
      <c r="QFX507" s="325"/>
      <c r="QFY507" s="325"/>
      <c r="QFZ507" s="325"/>
      <c r="QGA507" s="325"/>
      <c r="QGB507" s="325"/>
      <c r="QGC507" s="325"/>
      <c r="QGD507" s="325"/>
      <c r="QGE507" s="325"/>
      <c r="QGF507" s="325"/>
      <c r="QGG507" s="325"/>
      <c r="QGH507" s="325"/>
      <c r="QGI507" s="325"/>
      <c r="QGJ507" s="325"/>
      <c r="QGK507" s="325"/>
      <c r="QGL507" s="325"/>
      <c r="QGM507" s="325"/>
      <c r="QGN507" s="325"/>
      <c r="QGO507" s="325"/>
      <c r="QGP507" s="325"/>
      <c r="QGQ507" s="325"/>
      <c r="QGR507" s="325"/>
      <c r="QGS507" s="325"/>
      <c r="QGT507" s="325"/>
      <c r="QGU507" s="325"/>
      <c r="QGV507" s="325"/>
      <c r="QGW507" s="327"/>
      <c r="QGX507" s="28"/>
      <c r="QGY507" s="324"/>
      <c r="QGZ507" s="324"/>
      <c r="QHA507" s="324"/>
      <c r="QHB507" s="324"/>
      <c r="QHC507" s="324"/>
      <c r="QHD507" s="324"/>
      <c r="QHE507" s="256"/>
      <c r="QHF507" s="325"/>
      <c r="QHG507" s="311"/>
      <c r="QHH507" s="325"/>
      <c r="QHI507" s="310"/>
      <c r="QHJ507" s="325"/>
      <c r="QHK507" s="325"/>
      <c r="QHL507" s="325"/>
      <c r="QHM507" s="325"/>
      <c r="QHN507" s="325"/>
      <c r="QHO507" s="325"/>
      <c r="QHP507" s="325"/>
      <c r="QHQ507" s="325"/>
      <c r="QHR507" s="325"/>
      <c r="QHS507" s="325"/>
      <c r="QHT507" s="325"/>
      <c r="QHU507" s="325"/>
      <c r="QHV507" s="325"/>
      <c r="QHW507" s="325"/>
      <c r="QHX507" s="325"/>
      <c r="QHY507" s="325"/>
      <c r="QHZ507" s="325"/>
      <c r="QIA507" s="325"/>
      <c r="QIB507" s="325"/>
      <c r="QIC507" s="325"/>
      <c r="QID507" s="325"/>
      <c r="QIE507" s="325"/>
      <c r="QIF507" s="325"/>
      <c r="QIG507" s="325"/>
      <c r="QIH507" s="325"/>
      <c r="QII507" s="325"/>
      <c r="QIJ507" s="325"/>
      <c r="QIK507" s="325"/>
      <c r="QIL507" s="325"/>
      <c r="QIM507" s="325"/>
      <c r="QIN507" s="327"/>
      <c r="QIO507" s="28"/>
      <c r="QIP507" s="324"/>
      <c r="QIQ507" s="324"/>
      <c r="QIR507" s="324"/>
      <c r="QIS507" s="324"/>
      <c r="QIT507" s="324"/>
      <c r="QIU507" s="324"/>
      <c r="QIV507" s="256"/>
      <c r="QIW507" s="325"/>
      <c r="QIX507" s="311"/>
      <c r="QIY507" s="325"/>
      <c r="QIZ507" s="310"/>
      <c r="QJA507" s="325"/>
      <c r="QJB507" s="325"/>
      <c r="QJC507" s="325"/>
      <c r="QJD507" s="325"/>
      <c r="QJE507" s="325"/>
      <c r="QJF507" s="325"/>
      <c r="QJG507" s="325"/>
      <c r="QJH507" s="325"/>
      <c r="QJI507" s="325"/>
      <c r="QJJ507" s="325"/>
      <c r="QJK507" s="325"/>
      <c r="QJL507" s="325"/>
      <c r="QJM507" s="325"/>
      <c r="QJN507" s="325"/>
      <c r="QJO507" s="325"/>
      <c r="QJP507" s="325"/>
      <c r="QJQ507" s="325"/>
      <c r="QJR507" s="325"/>
      <c r="QJS507" s="325"/>
      <c r="QJT507" s="325"/>
      <c r="QJU507" s="325"/>
      <c r="QJV507" s="325"/>
      <c r="QJW507" s="325"/>
      <c r="QJX507" s="325"/>
      <c r="QJY507" s="325"/>
      <c r="QJZ507" s="325"/>
      <c r="QKA507" s="325"/>
      <c r="QKB507" s="325"/>
      <c r="QKC507" s="325"/>
      <c r="QKD507" s="325"/>
      <c r="QKE507" s="327"/>
      <c r="QKF507" s="28"/>
      <c r="QKG507" s="324"/>
      <c r="QKH507" s="324"/>
      <c r="QKI507" s="324"/>
      <c r="QKJ507" s="324"/>
      <c r="QKK507" s="324"/>
      <c r="QKL507" s="324"/>
      <c r="QKM507" s="256"/>
      <c r="QKN507" s="325"/>
      <c r="QKO507" s="311"/>
      <c r="QKP507" s="325"/>
      <c r="QKQ507" s="310"/>
      <c r="QKR507" s="325"/>
      <c r="QKS507" s="325"/>
      <c r="QKT507" s="325"/>
      <c r="QKU507" s="325"/>
      <c r="QKV507" s="325"/>
      <c r="QKW507" s="325"/>
      <c r="QKX507" s="325"/>
      <c r="QKY507" s="325"/>
      <c r="QKZ507" s="325"/>
      <c r="QLA507" s="325"/>
      <c r="QLB507" s="325"/>
      <c r="QLC507" s="325"/>
      <c r="QLD507" s="325"/>
      <c r="QLE507" s="325"/>
      <c r="QLF507" s="325"/>
      <c r="QLG507" s="325"/>
      <c r="QLH507" s="325"/>
      <c r="QLI507" s="325"/>
      <c r="QLJ507" s="325"/>
      <c r="QLK507" s="325"/>
      <c r="QLL507" s="325"/>
      <c r="QLM507" s="325"/>
      <c r="QLN507" s="325"/>
      <c r="QLO507" s="325"/>
      <c r="QLP507" s="325"/>
      <c r="QLQ507" s="325"/>
      <c r="QLR507" s="325"/>
      <c r="QLS507" s="325"/>
      <c r="QLT507" s="325"/>
      <c r="QLU507" s="325"/>
      <c r="QLV507" s="327"/>
      <c r="QLW507" s="28"/>
      <c r="QLX507" s="324"/>
      <c r="QLY507" s="324"/>
      <c r="QLZ507" s="324"/>
      <c r="QMA507" s="324"/>
      <c r="QMB507" s="324"/>
      <c r="QMC507" s="324"/>
      <c r="QMD507" s="256"/>
      <c r="QME507" s="325"/>
      <c r="QMF507" s="311"/>
      <c r="QMG507" s="325"/>
      <c r="QMH507" s="310"/>
      <c r="QMI507" s="325"/>
      <c r="QMJ507" s="325"/>
      <c r="QMK507" s="325"/>
      <c r="QML507" s="325"/>
      <c r="QMM507" s="325"/>
      <c r="QMN507" s="325"/>
      <c r="QMO507" s="325"/>
      <c r="QMP507" s="325"/>
      <c r="QMQ507" s="325"/>
      <c r="QMR507" s="325"/>
      <c r="QMS507" s="325"/>
      <c r="QMT507" s="325"/>
      <c r="QMU507" s="325"/>
      <c r="QMV507" s="325"/>
      <c r="QMW507" s="325"/>
      <c r="QMX507" s="325"/>
      <c r="QMY507" s="325"/>
      <c r="QMZ507" s="325"/>
      <c r="QNA507" s="325"/>
      <c r="QNB507" s="325"/>
      <c r="QNC507" s="325"/>
      <c r="QND507" s="325"/>
      <c r="QNE507" s="325"/>
      <c r="QNF507" s="325"/>
      <c r="QNG507" s="325"/>
      <c r="QNH507" s="325"/>
      <c r="QNI507" s="325"/>
      <c r="QNJ507" s="325"/>
      <c r="QNK507" s="325"/>
      <c r="QNL507" s="325"/>
      <c r="QNM507" s="327"/>
      <c r="QNN507" s="28"/>
      <c r="QNO507" s="324"/>
      <c r="QNP507" s="324"/>
      <c r="QNQ507" s="324"/>
      <c r="QNR507" s="324"/>
      <c r="QNS507" s="324"/>
      <c r="QNT507" s="324"/>
      <c r="QNU507" s="256"/>
      <c r="QNV507" s="325"/>
      <c r="QNW507" s="311"/>
      <c r="QNX507" s="325"/>
      <c r="QNY507" s="310"/>
      <c r="QNZ507" s="325"/>
      <c r="QOA507" s="325"/>
      <c r="QOB507" s="325"/>
      <c r="QOC507" s="325"/>
      <c r="QOD507" s="325"/>
      <c r="QOE507" s="325"/>
      <c r="QOF507" s="325"/>
      <c r="QOG507" s="325"/>
      <c r="QOH507" s="325"/>
      <c r="QOI507" s="325"/>
      <c r="QOJ507" s="325"/>
      <c r="QOK507" s="325"/>
      <c r="QOL507" s="325"/>
      <c r="QOM507" s="325"/>
      <c r="QON507" s="325"/>
      <c r="QOO507" s="325"/>
      <c r="QOP507" s="325"/>
      <c r="QOQ507" s="325"/>
      <c r="QOR507" s="325"/>
      <c r="QOS507" s="325"/>
      <c r="QOT507" s="325"/>
      <c r="QOU507" s="325"/>
      <c r="QOV507" s="325"/>
      <c r="QOW507" s="325"/>
      <c r="QOX507" s="325"/>
      <c r="QOY507" s="325"/>
      <c r="QOZ507" s="325"/>
      <c r="QPA507" s="325"/>
      <c r="QPB507" s="325"/>
      <c r="QPC507" s="325"/>
      <c r="QPD507" s="327"/>
      <c r="QPE507" s="28"/>
      <c r="QPF507" s="324"/>
      <c r="QPG507" s="324"/>
      <c r="QPH507" s="324"/>
      <c r="QPI507" s="324"/>
      <c r="QPJ507" s="324"/>
      <c r="QPK507" s="324"/>
      <c r="QPL507" s="256"/>
      <c r="QPM507" s="325"/>
      <c r="QPN507" s="311"/>
      <c r="QPO507" s="325"/>
      <c r="QPP507" s="310"/>
      <c r="QPQ507" s="325"/>
      <c r="QPR507" s="325"/>
      <c r="QPS507" s="325"/>
      <c r="QPT507" s="325"/>
      <c r="QPU507" s="325"/>
      <c r="QPV507" s="325"/>
      <c r="QPW507" s="325"/>
      <c r="QPX507" s="325"/>
      <c r="QPY507" s="325"/>
      <c r="QPZ507" s="325"/>
      <c r="QQA507" s="325"/>
      <c r="QQB507" s="325"/>
      <c r="QQC507" s="325"/>
      <c r="QQD507" s="325"/>
      <c r="QQE507" s="325"/>
      <c r="QQF507" s="325"/>
      <c r="QQG507" s="325"/>
      <c r="QQH507" s="325"/>
      <c r="QQI507" s="325"/>
      <c r="QQJ507" s="325"/>
      <c r="QQK507" s="325"/>
      <c r="QQL507" s="325"/>
      <c r="QQM507" s="325"/>
      <c r="QQN507" s="325"/>
      <c r="QQO507" s="325"/>
      <c r="QQP507" s="325"/>
      <c r="QQQ507" s="325"/>
      <c r="QQR507" s="325"/>
      <c r="QQS507" s="325"/>
      <c r="QQT507" s="325"/>
      <c r="QQU507" s="327"/>
      <c r="QQV507" s="28"/>
      <c r="QQW507" s="324"/>
      <c r="QQX507" s="324"/>
      <c r="QQY507" s="324"/>
      <c r="QQZ507" s="324"/>
      <c r="QRA507" s="324"/>
      <c r="QRB507" s="324"/>
      <c r="QRC507" s="256"/>
      <c r="QRD507" s="325"/>
      <c r="QRE507" s="311"/>
      <c r="QRF507" s="325"/>
      <c r="QRG507" s="310"/>
      <c r="QRH507" s="325"/>
      <c r="QRI507" s="325"/>
      <c r="QRJ507" s="325"/>
      <c r="QRK507" s="325"/>
      <c r="QRL507" s="325"/>
      <c r="QRM507" s="325"/>
      <c r="QRN507" s="325"/>
      <c r="QRO507" s="325"/>
      <c r="QRP507" s="325"/>
      <c r="QRQ507" s="325"/>
      <c r="QRR507" s="325"/>
      <c r="QRS507" s="325"/>
      <c r="QRT507" s="325"/>
      <c r="QRU507" s="325"/>
      <c r="QRV507" s="325"/>
      <c r="QRW507" s="325"/>
      <c r="QRX507" s="325"/>
      <c r="QRY507" s="325"/>
      <c r="QRZ507" s="325"/>
      <c r="QSA507" s="325"/>
      <c r="QSB507" s="325"/>
      <c r="QSC507" s="325"/>
      <c r="QSD507" s="325"/>
      <c r="QSE507" s="325"/>
      <c r="QSF507" s="325"/>
      <c r="QSG507" s="325"/>
      <c r="QSH507" s="325"/>
      <c r="QSI507" s="325"/>
      <c r="QSJ507" s="325"/>
      <c r="QSK507" s="325"/>
      <c r="QSL507" s="327"/>
      <c r="QSM507" s="28"/>
      <c r="QSN507" s="324"/>
      <c r="QSO507" s="324"/>
      <c r="QSP507" s="324"/>
      <c r="QSQ507" s="324"/>
      <c r="QSR507" s="324"/>
      <c r="QSS507" s="324"/>
      <c r="QST507" s="256"/>
      <c r="QSU507" s="325"/>
      <c r="QSV507" s="311"/>
      <c r="QSW507" s="325"/>
      <c r="QSX507" s="310"/>
      <c r="QSY507" s="325"/>
      <c r="QSZ507" s="325"/>
      <c r="QTA507" s="325"/>
      <c r="QTB507" s="325"/>
      <c r="QTC507" s="325"/>
      <c r="QTD507" s="325"/>
      <c r="QTE507" s="325"/>
      <c r="QTF507" s="325"/>
      <c r="QTG507" s="325"/>
      <c r="QTH507" s="325"/>
      <c r="QTI507" s="325"/>
      <c r="QTJ507" s="325"/>
      <c r="QTK507" s="325"/>
      <c r="QTL507" s="325"/>
      <c r="QTM507" s="325"/>
      <c r="QTN507" s="325"/>
      <c r="QTO507" s="325"/>
      <c r="QTP507" s="325"/>
      <c r="QTQ507" s="325"/>
      <c r="QTR507" s="325"/>
      <c r="QTS507" s="325"/>
      <c r="QTT507" s="325"/>
      <c r="QTU507" s="325"/>
      <c r="QTV507" s="325"/>
      <c r="QTW507" s="325"/>
      <c r="QTX507" s="325"/>
      <c r="QTY507" s="325"/>
      <c r="QTZ507" s="325"/>
      <c r="QUA507" s="325"/>
      <c r="QUB507" s="325"/>
      <c r="QUC507" s="327"/>
      <c r="QUD507" s="28"/>
      <c r="QUE507" s="324"/>
      <c r="QUF507" s="324"/>
      <c r="QUG507" s="324"/>
      <c r="QUH507" s="324"/>
      <c r="QUI507" s="324"/>
      <c r="QUJ507" s="324"/>
      <c r="QUK507" s="256"/>
      <c r="QUL507" s="325"/>
      <c r="QUM507" s="311"/>
      <c r="QUN507" s="325"/>
      <c r="QUO507" s="310"/>
      <c r="QUP507" s="325"/>
      <c r="QUQ507" s="325"/>
      <c r="QUR507" s="325"/>
      <c r="QUS507" s="325"/>
      <c r="QUT507" s="325"/>
      <c r="QUU507" s="325"/>
      <c r="QUV507" s="325"/>
      <c r="QUW507" s="325"/>
      <c r="QUX507" s="325"/>
      <c r="QUY507" s="325"/>
      <c r="QUZ507" s="325"/>
      <c r="QVA507" s="325"/>
      <c r="QVB507" s="325"/>
      <c r="QVC507" s="325"/>
      <c r="QVD507" s="325"/>
      <c r="QVE507" s="325"/>
      <c r="QVF507" s="325"/>
      <c r="QVG507" s="325"/>
      <c r="QVH507" s="325"/>
      <c r="QVI507" s="325"/>
      <c r="QVJ507" s="325"/>
      <c r="QVK507" s="325"/>
      <c r="QVL507" s="325"/>
      <c r="QVM507" s="325"/>
      <c r="QVN507" s="325"/>
      <c r="QVO507" s="325"/>
      <c r="QVP507" s="325"/>
      <c r="QVQ507" s="325"/>
      <c r="QVR507" s="325"/>
      <c r="QVS507" s="325"/>
      <c r="QVT507" s="327"/>
      <c r="QVU507" s="28"/>
      <c r="QVV507" s="324"/>
      <c r="QVW507" s="324"/>
      <c r="QVX507" s="324"/>
      <c r="QVY507" s="324"/>
      <c r="QVZ507" s="324"/>
      <c r="QWA507" s="324"/>
      <c r="QWB507" s="256"/>
      <c r="QWC507" s="325"/>
      <c r="QWD507" s="311"/>
      <c r="QWE507" s="325"/>
      <c r="QWF507" s="310"/>
      <c r="QWG507" s="325"/>
      <c r="QWH507" s="325"/>
      <c r="QWI507" s="325"/>
      <c r="QWJ507" s="325"/>
      <c r="QWK507" s="325"/>
      <c r="QWL507" s="325"/>
      <c r="QWM507" s="325"/>
      <c r="QWN507" s="325"/>
      <c r="QWO507" s="325"/>
      <c r="QWP507" s="325"/>
      <c r="QWQ507" s="325"/>
      <c r="QWR507" s="325"/>
      <c r="QWS507" s="325"/>
      <c r="QWT507" s="325"/>
      <c r="QWU507" s="325"/>
      <c r="QWV507" s="325"/>
      <c r="QWW507" s="325"/>
      <c r="QWX507" s="325"/>
      <c r="QWY507" s="325"/>
      <c r="QWZ507" s="325"/>
      <c r="QXA507" s="325"/>
      <c r="QXB507" s="325"/>
      <c r="QXC507" s="325"/>
      <c r="QXD507" s="325"/>
      <c r="QXE507" s="325"/>
      <c r="QXF507" s="325"/>
      <c r="QXG507" s="325"/>
      <c r="QXH507" s="325"/>
      <c r="QXI507" s="325"/>
      <c r="QXJ507" s="325"/>
      <c r="QXK507" s="327"/>
      <c r="QXL507" s="28"/>
      <c r="QXM507" s="324"/>
      <c r="QXN507" s="324"/>
      <c r="QXO507" s="324"/>
      <c r="QXP507" s="324"/>
      <c r="QXQ507" s="324"/>
      <c r="QXR507" s="324"/>
      <c r="QXS507" s="256"/>
      <c r="QXT507" s="325"/>
      <c r="QXU507" s="311"/>
      <c r="QXV507" s="325"/>
      <c r="QXW507" s="310"/>
      <c r="QXX507" s="325"/>
      <c r="QXY507" s="325"/>
      <c r="QXZ507" s="325"/>
      <c r="QYA507" s="325"/>
      <c r="QYB507" s="325"/>
      <c r="QYC507" s="325"/>
      <c r="QYD507" s="325"/>
      <c r="QYE507" s="325"/>
      <c r="QYF507" s="325"/>
      <c r="QYG507" s="325"/>
      <c r="QYH507" s="325"/>
      <c r="QYI507" s="325"/>
      <c r="QYJ507" s="325"/>
      <c r="QYK507" s="325"/>
      <c r="QYL507" s="325"/>
      <c r="QYM507" s="325"/>
      <c r="QYN507" s="325"/>
      <c r="QYO507" s="325"/>
      <c r="QYP507" s="325"/>
      <c r="QYQ507" s="325"/>
      <c r="QYR507" s="325"/>
      <c r="QYS507" s="325"/>
      <c r="QYT507" s="325"/>
      <c r="QYU507" s="325"/>
      <c r="QYV507" s="325"/>
      <c r="QYW507" s="325"/>
      <c r="QYX507" s="325"/>
      <c r="QYY507" s="325"/>
      <c r="QYZ507" s="325"/>
      <c r="QZA507" s="325"/>
      <c r="QZB507" s="327"/>
      <c r="QZC507" s="28"/>
      <c r="QZD507" s="324"/>
      <c r="QZE507" s="324"/>
      <c r="QZF507" s="324"/>
      <c r="QZG507" s="324"/>
      <c r="QZH507" s="324"/>
      <c r="QZI507" s="324"/>
      <c r="QZJ507" s="256"/>
      <c r="QZK507" s="325"/>
      <c r="QZL507" s="311"/>
      <c r="QZM507" s="325"/>
      <c r="QZN507" s="310"/>
      <c r="QZO507" s="325"/>
      <c r="QZP507" s="325"/>
      <c r="QZQ507" s="325"/>
      <c r="QZR507" s="325"/>
      <c r="QZS507" s="325"/>
      <c r="QZT507" s="325"/>
      <c r="QZU507" s="325"/>
      <c r="QZV507" s="325"/>
      <c r="QZW507" s="325"/>
      <c r="QZX507" s="325"/>
      <c r="QZY507" s="325"/>
      <c r="QZZ507" s="325"/>
      <c r="RAA507" s="325"/>
      <c r="RAB507" s="325"/>
      <c r="RAC507" s="325"/>
      <c r="RAD507" s="325"/>
      <c r="RAE507" s="325"/>
      <c r="RAF507" s="325"/>
      <c r="RAG507" s="325"/>
      <c r="RAH507" s="325"/>
      <c r="RAI507" s="325"/>
      <c r="RAJ507" s="325"/>
      <c r="RAK507" s="325"/>
      <c r="RAL507" s="325"/>
      <c r="RAM507" s="325"/>
      <c r="RAN507" s="325"/>
      <c r="RAO507" s="325"/>
      <c r="RAP507" s="325"/>
      <c r="RAQ507" s="325"/>
      <c r="RAR507" s="325"/>
      <c r="RAS507" s="327"/>
      <c r="RAT507" s="28"/>
      <c r="RAU507" s="324"/>
      <c r="RAV507" s="324"/>
      <c r="RAW507" s="324"/>
      <c r="RAX507" s="324"/>
      <c r="RAY507" s="324"/>
      <c r="RAZ507" s="324"/>
      <c r="RBA507" s="256"/>
      <c r="RBB507" s="325"/>
      <c r="RBC507" s="311"/>
      <c r="RBD507" s="325"/>
      <c r="RBE507" s="310"/>
      <c r="RBF507" s="325"/>
      <c r="RBG507" s="325"/>
      <c r="RBH507" s="325"/>
      <c r="RBI507" s="325"/>
      <c r="RBJ507" s="325"/>
      <c r="RBK507" s="325"/>
      <c r="RBL507" s="325"/>
      <c r="RBM507" s="325"/>
      <c r="RBN507" s="325"/>
      <c r="RBO507" s="325"/>
      <c r="RBP507" s="325"/>
      <c r="RBQ507" s="325"/>
      <c r="RBR507" s="325"/>
      <c r="RBS507" s="325"/>
      <c r="RBT507" s="325"/>
      <c r="RBU507" s="325"/>
      <c r="RBV507" s="325"/>
      <c r="RBW507" s="325"/>
      <c r="RBX507" s="325"/>
      <c r="RBY507" s="325"/>
      <c r="RBZ507" s="325"/>
      <c r="RCA507" s="325"/>
      <c r="RCB507" s="325"/>
      <c r="RCC507" s="325"/>
      <c r="RCD507" s="325"/>
      <c r="RCE507" s="325"/>
      <c r="RCF507" s="325"/>
      <c r="RCG507" s="325"/>
      <c r="RCH507" s="325"/>
      <c r="RCI507" s="325"/>
      <c r="RCJ507" s="327"/>
      <c r="RCK507" s="28"/>
      <c r="RCL507" s="324"/>
      <c r="RCM507" s="324"/>
      <c r="RCN507" s="324"/>
      <c r="RCO507" s="324"/>
      <c r="RCP507" s="324"/>
      <c r="RCQ507" s="324"/>
      <c r="RCR507" s="256"/>
      <c r="RCS507" s="325"/>
      <c r="RCT507" s="311"/>
      <c r="RCU507" s="325"/>
      <c r="RCV507" s="310"/>
      <c r="RCW507" s="325"/>
      <c r="RCX507" s="325"/>
      <c r="RCY507" s="325"/>
      <c r="RCZ507" s="325"/>
      <c r="RDA507" s="325"/>
      <c r="RDB507" s="325"/>
      <c r="RDC507" s="325"/>
      <c r="RDD507" s="325"/>
      <c r="RDE507" s="325"/>
      <c r="RDF507" s="325"/>
      <c r="RDG507" s="325"/>
      <c r="RDH507" s="325"/>
      <c r="RDI507" s="325"/>
      <c r="RDJ507" s="325"/>
      <c r="RDK507" s="325"/>
      <c r="RDL507" s="325"/>
      <c r="RDM507" s="325"/>
      <c r="RDN507" s="325"/>
      <c r="RDO507" s="325"/>
      <c r="RDP507" s="325"/>
      <c r="RDQ507" s="325"/>
      <c r="RDR507" s="325"/>
      <c r="RDS507" s="325"/>
      <c r="RDT507" s="325"/>
      <c r="RDU507" s="325"/>
      <c r="RDV507" s="325"/>
      <c r="RDW507" s="325"/>
      <c r="RDX507" s="325"/>
      <c r="RDY507" s="325"/>
      <c r="RDZ507" s="325"/>
      <c r="REA507" s="327"/>
      <c r="REB507" s="28"/>
      <c r="REC507" s="324"/>
      <c r="RED507" s="324"/>
      <c r="REE507" s="324"/>
      <c r="REF507" s="324"/>
      <c r="REG507" s="324"/>
      <c r="REH507" s="324"/>
      <c r="REI507" s="256"/>
      <c r="REJ507" s="325"/>
      <c r="REK507" s="311"/>
      <c r="REL507" s="325"/>
      <c r="REM507" s="310"/>
      <c r="REN507" s="325"/>
      <c r="REO507" s="325"/>
      <c r="REP507" s="325"/>
      <c r="REQ507" s="325"/>
      <c r="RER507" s="325"/>
      <c r="RES507" s="325"/>
      <c r="RET507" s="325"/>
      <c r="REU507" s="325"/>
      <c r="REV507" s="325"/>
      <c r="REW507" s="325"/>
      <c r="REX507" s="325"/>
      <c r="REY507" s="325"/>
      <c r="REZ507" s="325"/>
      <c r="RFA507" s="325"/>
      <c r="RFB507" s="325"/>
      <c r="RFC507" s="325"/>
      <c r="RFD507" s="325"/>
      <c r="RFE507" s="325"/>
      <c r="RFF507" s="325"/>
      <c r="RFG507" s="325"/>
      <c r="RFH507" s="325"/>
      <c r="RFI507" s="325"/>
      <c r="RFJ507" s="325"/>
      <c r="RFK507" s="325"/>
      <c r="RFL507" s="325"/>
      <c r="RFM507" s="325"/>
      <c r="RFN507" s="325"/>
      <c r="RFO507" s="325"/>
      <c r="RFP507" s="325"/>
      <c r="RFQ507" s="325"/>
      <c r="RFR507" s="327"/>
      <c r="RFS507" s="28"/>
      <c r="RFT507" s="324"/>
      <c r="RFU507" s="324"/>
      <c r="RFV507" s="324"/>
      <c r="RFW507" s="324"/>
      <c r="RFX507" s="324"/>
      <c r="RFY507" s="324"/>
      <c r="RFZ507" s="256"/>
      <c r="RGA507" s="325"/>
      <c r="RGB507" s="311"/>
      <c r="RGC507" s="325"/>
      <c r="RGD507" s="310"/>
      <c r="RGE507" s="325"/>
      <c r="RGF507" s="325"/>
      <c r="RGG507" s="325"/>
      <c r="RGH507" s="325"/>
      <c r="RGI507" s="325"/>
      <c r="RGJ507" s="325"/>
      <c r="RGK507" s="325"/>
      <c r="RGL507" s="325"/>
      <c r="RGM507" s="325"/>
      <c r="RGN507" s="325"/>
      <c r="RGO507" s="325"/>
      <c r="RGP507" s="325"/>
      <c r="RGQ507" s="325"/>
      <c r="RGR507" s="325"/>
      <c r="RGS507" s="325"/>
      <c r="RGT507" s="325"/>
      <c r="RGU507" s="325"/>
      <c r="RGV507" s="325"/>
      <c r="RGW507" s="325"/>
      <c r="RGX507" s="325"/>
      <c r="RGY507" s="325"/>
      <c r="RGZ507" s="325"/>
      <c r="RHA507" s="325"/>
      <c r="RHB507" s="325"/>
      <c r="RHC507" s="325"/>
      <c r="RHD507" s="325"/>
      <c r="RHE507" s="325"/>
      <c r="RHF507" s="325"/>
      <c r="RHG507" s="325"/>
      <c r="RHH507" s="325"/>
      <c r="RHI507" s="327"/>
      <c r="RHJ507" s="28"/>
      <c r="RHK507" s="324"/>
      <c r="RHL507" s="324"/>
      <c r="RHM507" s="324"/>
      <c r="RHN507" s="324"/>
      <c r="RHO507" s="324"/>
      <c r="RHP507" s="324"/>
      <c r="RHQ507" s="256"/>
      <c r="RHR507" s="325"/>
      <c r="RHS507" s="311"/>
      <c r="RHT507" s="325"/>
      <c r="RHU507" s="310"/>
      <c r="RHV507" s="325"/>
      <c r="RHW507" s="325"/>
      <c r="RHX507" s="325"/>
      <c r="RHY507" s="325"/>
      <c r="RHZ507" s="325"/>
      <c r="RIA507" s="325"/>
      <c r="RIB507" s="325"/>
      <c r="RIC507" s="325"/>
      <c r="RID507" s="325"/>
      <c r="RIE507" s="325"/>
      <c r="RIF507" s="325"/>
      <c r="RIG507" s="325"/>
      <c r="RIH507" s="325"/>
      <c r="RII507" s="325"/>
      <c r="RIJ507" s="325"/>
      <c r="RIK507" s="325"/>
      <c r="RIL507" s="325"/>
      <c r="RIM507" s="325"/>
      <c r="RIN507" s="325"/>
      <c r="RIO507" s="325"/>
      <c r="RIP507" s="325"/>
      <c r="RIQ507" s="325"/>
      <c r="RIR507" s="325"/>
      <c r="RIS507" s="325"/>
      <c r="RIT507" s="325"/>
      <c r="RIU507" s="325"/>
      <c r="RIV507" s="325"/>
      <c r="RIW507" s="325"/>
      <c r="RIX507" s="325"/>
      <c r="RIY507" s="325"/>
      <c r="RIZ507" s="327"/>
      <c r="RJA507" s="28"/>
      <c r="RJB507" s="324"/>
      <c r="RJC507" s="324"/>
      <c r="RJD507" s="324"/>
      <c r="RJE507" s="324"/>
      <c r="RJF507" s="324"/>
      <c r="RJG507" s="324"/>
      <c r="RJH507" s="256"/>
      <c r="RJI507" s="325"/>
      <c r="RJJ507" s="311"/>
      <c r="RJK507" s="325"/>
      <c r="RJL507" s="310"/>
      <c r="RJM507" s="325"/>
      <c r="RJN507" s="325"/>
      <c r="RJO507" s="325"/>
      <c r="RJP507" s="325"/>
      <c r="RJQ507" s="325"/>
      <c r="RJR507" s="325"/>
      <c r="RJS507" s="325"/>
      <c r="RJT507" s="325"/>
      <c r="RJU507" s="325"/>
      <c r="RJV507" s="325"/>
      <c r="RJW507" s="325"/>
      <c r="RJX507" s="325"/>
      <c r="RJY507" s="325"/>
      <c r="RJZ507" s="325"/>
      <c r="RKA507" s="325"/>
      <c r="RKB507" s="325"/>
      <c r="RKC507" s="325"/>
      <c r="RKD507" s="325"/>
      <c r="RKE507" s="325"/>
      <c r="RKF507" s="325"/>
      <c r="RKG507" s="325"/>
      <c r="RKH507" s="325"/>
      <c r="RKI507" s="325"/>
      <c r="RKJ507" s="325"/>
      <c r="RKK507" s="325"/>
      <c r="RKL507" s="325"/>
      <c r="RKM507" s="325"/>
      <c r="RKN507" s="325"/>
      <c r="RKO507" s="325"/>
      <c r="RKP507" s="325"/>
      <c r="RKQ507" s="327"/>
      <c r="RKR507" s="28"/>
      <c r="RKS507" s="324"/>
      <c r="RKT507" s="324"/>
      <c r="RKU507" s="324"/>
      <c r="RKV507" s="324"/>
      <c r="RKW507" s="324"/>
      <c r="RKX507" s="324"/>
      <c r="RKY507" s="256"/>
      <c r="RKZ507" s="325"/>
      <c r="RLA507" s="311"/>
      <c r="RLB507" s="325"/>
      <c r="RLC507" s="310"/>
      <c r="RLD507" s="325"/>
      <c r="RLE507" s="325"/>
      <c r="RLF507" s="325"/>
      <c r="RLG507" s="325"/>
      <c r="RLH507" s="325"/>
      <c r="RLI507" s="325"/>
      <c r="RLJ507" s="325"/>
      <c r="RLK507" s="325"/>
      <c r="RLL507" s="325"/>
      <c r="RLM507" s="325"/>
      <c r="RLN507" s="325"/>
      <c r="RLO507" s="325"/>
      <c r="RLP507" s="325"/>
      <c r="RLQ507" s="325"/>
      <c r="RLR507" s="325"/>
      <c r="RLS507" s="325"/>
      <c r="RLT507" s="325"/>
      <c r="RLU507" s="325"/>
      <c r="RLV507" s="325"/>
      <c r="RLW507" s="325"/>
      <c r="RLX507" s="325"/>
      <c r="RLY507" s="325"/>
      <c r="RLZ507" s="325"/>
      <c r="RMA507" s="325"/>
      <c r="RMB507" s="325"/>
      <c r="RMC507" s="325"/>
      <c r="RMD507" s="325"/>
      <c r="RME507" s="325"/>
      <c r="RMF507" s="325"/>
      <c r="RMG507" s="325"/>
      <c r="RMH507" s="327"/>
      <c r="RMI507" s="28"/>
      <c r="RMJ507" s="324"/>
      <c r="RMK507" s="324"/>
      <c r="RML507" s="324"/>
      <c r="RMM507" s="324"/>
      <c r="RMN507" s="324"/>
      <c r="RMO507" s="324"/>
      <c r="RMP507" s="256"/>
      <c r="RMQ507" s="325"/>
      <c r="RMR507" s="311"/>
      <c r="RMS507" s="325"/>
      <c r="RMT507" s="310"/>
      <c r="RMU507" s="325"/>
      <c r="RMV507" s="325"/>
      <c r="RMW507" s="325"/>
      <c r="RMX507" s="325"/>
      <c r="RMY507" s="325"/>
      <c r="RMZ507" s="325"/>
      <c r="RNA507" s="325"/>
      <c r="RNB507" s="325"/>
      <c r="RNC507" s="325"/>
      <c r="RND507" s="325"/>
      <c r="RNE507" s="325"/>
      <c r="RNF507" s="325"/>
      <c r="RNG507" s="325"/>
      <c r="RNH507" s="325"/>
      <c r="RNI507" s="325"/>
      <c r="RNJ507" s="325"/>
      <c r="RNK507" s="325"/>
      <c r="RNL507" s="325"/>
      <c r="RNM507" s="325"/>
      <c r="RNN507" s="325"/>
      <c r="RNO507" s="325"/>
      <c r="RNP507" s="325"/>
      <c r="RNQ507" s="325"/>
      <c r="RNR507" s="325"/>
      <c r="RNS507" s="325"/>
      <c r="RNT507" s="325"/>
      <c r="RNU507" s="325"/>
      <c r="RNV507" s="325"/>
      <c r="RNW507" s="325"/>
      <c r="RNX507" s="325"/>
      <c r="RNY507" s="327"/>
      <c r="RNZ507" s="28"/>
      <c r="ROA507" s="324"/>
      <c r="ROB507" s="324"/>
      <c r="ROC507" s="324"/>
      <c r="ROD507" s="324"/>
      <c r="ROE507" s="324"/>
      <c r="ROF507" s="324"/>
      <c r="ROG507" s="256"/>
      <c r="ROH507" s="325"/>
      <c r="ROI507" s="311"/>
      <c r="ROJ507" s="325"/>
      <c r="ROK507" s="310"/>
      <c r="ROL507" s="325"/>
      <c r="ROM507" s="325"/>
      <c r="RON507" s="325"/>
      <c r="ROO507" s="325"/>
      <c r="ROP507" s="325"/>
      <c r="ROQ507" s="325"/>
      <c r="ROR507" s="325"/>
      <c r="ROS507" s="325"/>
      <c r="ROT507" s="325"/>
      <c r="ROU507" s="325"/>
      <c r="ROV507" s="325"/>
      <c r="ROW507" s="325"/>
      <c r="ROX507" s="325"/>
      <c r="ROY507" s="325"/>
      <c r="ROZ507" s="325"/>
      <c r="RPA507" s="325"/>
      <c r="RPB507" s="325"/>
      <c r="RPC507" s="325"/>
      <c r="RPD507" s="325"/>
      <c r="RPE507" s="325"/>
      <c r="RPF507" s="325"/>
      <c r="RPG507" s="325"/>
      <c r="RPH507" s="325"/>
      <c r="RPI507" s="325"/>
      <c r="RPJ507" s="325"/>
      <c r="RPK507" s="325"/>
      <c r="RPL507" s="325"/>
      <c r="RPM507" s="325"/>
      <c r="RPN507" s="325"/>
      <c r="RPO507" s="325"/>
      <c r="RPP507" s="327"/>
      <c r="RPQ507" s="28"/>
      <c r="RPR507" s="324"/>
      <c r="RPS507" s="324"/>
      <c r="RPT507" s="324"/>
      <c r="RPU507" s="324"/>
      <c r="RPV507" s="324"/>
      <c r="RPW507" s="324"/>
      <c r="RPX507" s="256"/>
      <c r="RPY507" s="325"/>
      <c r="RPZ507" s="311"/>
      <c r="RQA507" s="325"/>
      <c r="RQB507" s="310"/>
      <c r="RQC507" s="325"/>
      <c r="RQD507" s="325"/>
      <c r="RQE507" s="325"/>
      <c r="RQF507" s="325"/>
      <c r="RQG507" s="325"/>
      <c r="RQH507" s="325"/>
      <c r="RQI507" s="325"/>
      <c r="RQJ507" s="325"/>
      <c r="RQK507" s="325"/>
      <c r="RQL507" s="325"/>
      <c r="RQM507" s="325"/>
      <c r="RQN507" s="325"/>
      <c r="RQO507" s="325"/>
      <c r="RQP507" s="325"/>
      <c r="RQQ507" s="325"/>
      <c r="RQR507" s="325"/>
      <c r="RQS507" s="325"/>
      <c r="RQT507" s="325"/>
      <c r="RQU507" s="325"/>
      <c r="RQV507" s="325"/>
      <c r="RQW507" s="325"/>
      <c r="RQX507" s="325"/>
      <c r="RQY507" s="325"/>
      <c r="RQZ507" s="325"/>
      <c r="RRA507" s="325"/>
      <c r="RRB507" s="325"/>
      <c r="RRC507" s="325"/>
      <c r="RRD507" s="325"/>
      <c r="RRE507" s="325"/>
      <c r="RRF507" s="325"/>
      <c r="RRG507" s="327"/>
      <c r="RRH507" s="28"/>
      <c r="RRI507" s="324"/>
      <c r="RRJ507" s="324"/>
      <c r="RRK507" s="324"/>
      <c r="RRL507" s="324"/>
      <c r="RRM507" s="324"/>
      <c r="RRN507" s="324"/>
      <c r="RRO507" s="256"/>
      <c r="RRP507" s="325"/>
      <c r="RRQ507" s="311"/>
      <c r="RRR507" s="325"/>
      <c r="RRS507" s="310"/>
      <c r="RRT507" s="325"/>
      <c r="RRU507" s="325"/>
      <c r="RRV507" s="325"/>
      <c r="RRW507" s="325"/>
      <c r="RRX507" s="325"/>
      <c r="RRY507" s="325"/>
      <c r="RRZ507" s="325"/>
      <c r="RSA507" s="325"/>
      <c r="RSB507" s="325"/>
      <c r="RSC507" s="325"/>
      <c r="RSD507" s="325"/>
      <c r="RSE507" s="325"/>
      <c r="RSF507" s="325"/>
      <c r="RSG507" s="325"/>
      <c r="RSH507" s="325"/>
      <c r="RSI507" s="325"/>
      <c r="RSJ507" s="325"/>
      <c r="RSK507" s="325"/>
      <c r="RSL507" s="325"/>
      <c r="RSM507" s="325"/>
      <c r="RSN507" s="325"/>
      <c r="RSO507" s="325"/>
      <c r="RSP507" s="325"/>
      <c r="RSQ507" s="325"/>
      <c r="RSR507" s="325"/>
      <c r="RSS507" s="325"/>
      <c r="RST507" s="325"/>
      <c r="RSU507" s="325"/>
      <c r="RSV507" s="325"/>
      <c r="RSW507" s="325"/>
      <c r="RSX507" s="327"/>
      <c r="RSY507" s="28"/>
      <c r="RSZ507" s="324"/>
      <c r="RTA507" s="324"/>
      <c r="RTB507" s="324"/>
      <c r="RTC507" s="324"/>
      <c r="RTD507" s="324"/>
      <c r="RTE507" s="324"/>
      <c r="RTF507" s="256"/>
      <c r="RTG507" s="325"/>
      <c r="RTH507" s="311"/>
      <c r="RTI507" s="325"/>
      <c r="RTJ507" s="310"/>
      <c r="RTK507" s="325"/>
      <c r="RTL507" s="325"/>
      <c r="RTM507" s="325"/>
      <c r="RTN507" s="325"/>
      <c r="RTO507" s="325"/>
      <c r="RTP507" s="325"/>
      <c r="RTQ507" s="325"/>
      <c r="RTR507" s="325"/>
      <c r="RTS507" s="325"/>
      <c r="RTT507" s="325"/>
      <c r="RTU507" s="325"/>
      <c r="RTV507" s="325"/>
      <c r="RTW507" s="325"/>
      <c r="RTX507" s="325"/>
      <c r="RTY507" s="325"/>
      <c r="RTZ507" s="325"/>
      <c r="RUA507" s="325"/>
      <c r="RUB507" s="325"/>
      <c r="RUC507" s="325"/>
      <c r="RUD507" s="325"/>
      <c r="RUE507" s="325"/>
      <c r="RUF507" s="325"/>
      <c r="RUG507" s="325"/>
      <c r="RUH507" s="325"/>
      <c r="RUI507" s="325"/>
      <c r="RUJ507" s="325"/>
      <c r="RUK507" s="325"/>
      <c r="RUL507" s="325"/>
      <c r="RUM507" s="325"/>
      <c r="RUN507" s="325"/>
      <c r="RUO507" s="327"/>
      <c r="RUP507" s="28"/>
      <c r="RUQ507" s="324"/>
      <c r="RUR507" s="324"/>
      <c r="RUS507" s="324"/>
      <c r="RUT507" s="324"/>
      <c r="RUU507" s="324"/>
      <c r="RUV507" s="324"/>
      <c r="RUW507" s="256"/>
      <c r="RUX507" s="325"/>
      <c r="RUY507" s="311"/>
      <c r="RUZ507" s="325"/>
      <c r="RVA507" s="310"/>
      <c r="RVB507" s="325"/>
      <c r="RVC507" s="325"/>
      <c r="RVD507" s="325"/>
      <c r="RVE507" s="325"/>
      <c r="RVF507" s="325"/>
      <c r="RVG507" s="325"/>
      <c r="RVH507" s="325"/>
      <c r="RVI507" s="325"/>
      <c r="RVJ507" s="325"/>
      <c r="RVK507" s="325"/>
      <c r="RVL507" s="325"/>
      <c r="RVM507" s="325"/>
      <c r="RVN507" s="325"/>
      <c r="RVO507" s="325"/>
      <c r="RVP507" s="325"/>
      <c r="RVQ507" s="325"/>
      <c r="RVR507" s="325"/>
      <c r="RVS507" s="325"/>
      <c r="RVT507" s="325"/>
      <c r="RVU507" s="325"/>
      <c r="RVV507" s="325"/>
      <c r="RVW507" s="325"/>
      <c r="RVX507" s="325"/>
      <c r="RVY507" s="325"/>
      <c r="RVZ507" s="325"/>
      <c r="RWA507" s="325"/>
      <c r="RWB507" s="325"/>
      <c r="RWC507" s="325"/>
      <c r="RWD507" s="325"/>
      <c r="RWE507" s="325"/>
      <c r="RWF507" s="327"/>
      <c r="RWG507" s="28"/>
      <c r="RWH507" s="324"/>
      <c r="RWI507" s="324"/>
      <c r="RWJ507" s="324"/>
      <c r="RWK507" s="324"/>
      <c r="RWL507" s="324"/>
      <c r="RWM507" s="324"/>
      <c r="RWN507" s="256"/>
      <c r="RWO507" s="325"/>
      <c r="RWP507" s="311"/>
      <c r="RWQ507" s="325"/>
      <c r="RWR507" s="310"/>
      <c r="RWS507" s="325"/>
      <c r="RWT507" s="325"/>
      <c r="RWU507" s="325"/>
      <c r="RWV507" s="325"/>
      <c r="RWW507" s="325"/>
      <c r="RWX507" s="325"/>
      <c r="RWY507" s="325"/>
      <c r="RWZ507" s="325"/>
      <c r="RXA507" s="325"/>
      <c r="RXB507" s="325"/>
      <c r="RXC507" s="325"/>
      <c r="RXD507" s="325"/>
      <c r="RXE507" s="325"/>
      <c r="RXF507" s="325"/>
      <c r="RXG507" s="325"/>
      <c r="RXH507" s="325"/>
      <c r="RXI507" s="325"/>
      <c r="RXJ507" s="325"/>
      <c r="RXK507" s="325"/>
      <c r="RXL507" s="325"/>
      <c r="RXM507" s="325"/>
      <c r="RXN507" s="325"/>
      <c r="RXO507" s="325"/>
      <c r="RXP507" s="325"/>
      <c r="RXQ507" s="325"/>
      <c r="RXR507" s="325"/>
      <c r="RXS507" s="325"/>
      <c r="RXT507" s="325"/>
      <c r="RXU507" s="325"/>
      <c r="RXV507" s="325"/>
      <c r="RXW507" s="327"/>
      <c r="RXX507" s="28"/>
      <c r="RXY507" s="324"/>
      <c r="RXZ507" s="324"/>
      <c r="RYA507" s="324"/>
      <c r="RYB507" s="324"/>
      <c r="RYC507" s="324"/>
      <c r="RYD507" s="324"/>
      <c r="RYE507" s="256"/>
      <c r="RYF507" s="325"/>
      <c r="RYG507" s="311"/>
      <c r="RYH507" s="325"/>
      <c r="RYI507" s="310"/>
      <c r="RYJ507" s="325"/>
      <c r="RYK507" s="325"/>
      <c r="RYL507" s="325"/>
      <c r="RYM507" s="325"/>
      <c r="RYN507" s="325"/>
      <c r="RYO507" s="325"/>
      <c r="RYP507" s="325"/>
      <c r="RYQ507" s="325"/>
      <c r="RYR507" s="325"/>
      <c r="RYS507" s="325"/>
      <c r="RYT507" s="325"/>
      <c r="RYU507" s="325"/>
      <c r="RYV507" s="325"/>
      <c r="RYW507" s="325"/>
      <c r="RYX507" s="325"/>
      <c r="RYY507" s="325"/>
      <c r="RYZ507" s="325"/>
      <c r="RZA507" s="325"/>
      <c r="RZB507" s="325"/>
      <c r="RZC507" s="325"/>
      <c r="RZD507" s="325"/>
      <c r="RZE507" s="325"/>
      <c r="RZF507" s="325"/>
      <c r="RZG507" s="325"/>
      <c r="RZH507" s="325"/>
      <c r="RZI507" s="325"/>
      <c r="RZJ507" s="325"/>
      <c r="RZK507" s="325"/>
      <c r="RZL507" s="325"/>
      <c r="RZM507" s="325"/>
      <c r="RZN507" s="327"/>
      <c r="RZO507" s="28"/>
      <c r="RZP507" s="324"/>
      <c r="RZQ507" s="324"/>
      <c r="RZR507" s="324"/>
      <c r="RZS507" s="324"/>
      <c r="RZT507" s="324"/>
      <c r="RZU507" s="324"/>
      <c r="RZV507" s="256"/>
      <c r="RZW507" s="325"/>
      <c r="RZX507" s="311"/>
      <c r="RZY507" s="325"/>
      <c r="RZZ507" s="310"/>
      <c r="SAA507" s="325"/>
      <c r="SAB507" s="325"/>
      <c r="SAC507" s="325"/>
      <c r="SAD507" s="325"/>
      <c r="SAE507" s="325"/>
      <c r="SAF507" s="325"/>
      <c r="SAG507" s="325"/>
      <c r="SAH507" s="325"/>
      <c r="SAI507" s="325"/>
      <c r="SAJ507" s="325"/>
      <c r="SAK507" s="325"/>
      <c r="SAL507" s="325"/>
      <c r="SAM507" s="325"/>
      <c r="SAN507" s="325"/>
      <c r="SAO507" s="325"/>
      <c r="SAP507" s="325"/>
      <c r="SAQ507" s="325"/>
      <c r="SAR507" s="325"/>
      <c r="SAS507" s="325"/>
      <c r="SAT507" s="325"/>
      <c r="SAU507" s="325"/>
      <c r="SAV507" s="325"/>
      <c r="SAW507" s="325"/>
      <c r="SAX507" s="325"/>
      <c r="SAY507" s="325"/>
      <c r="SAZ507" s="325"/>
      <c r="SBA507" s="325"/>
      <c r="SBB507" s="325"/>
      <c r="SBC507" s="325"/>
      <c r="SBD507" s="325"/>
      <c r="SBE507" s="327"/>
      <c r="SBF507" s="28"/>
      <c r="SBG507" s="324"/>
      <c r="SBH507" s="324"/>
      <c r="SBI507" s="324"/>
      <c r="SBJ507" s="324"/>
      <c r="SBK507" s="324"/>
      <c r="SBL507" s="324"/>
      <c r="SBM507" s="256"/>
      <c r="SBN507" s="325"/>
      <c r="SBO507" s="311"/>
      <c r="SBP507" s="325"/>
      <c r="SBQ507" s="310"/>
      <c r="SBR507" s="325"/>
      <c r="SBS507" s="325"/>
      <c r="SBT507" s="325"/>
      <c r="SBU507" s="325"/>
      <c r="SBV507" s="325"/>
      <c r="SBW507" s="325"/>
      <c r="SBX507" s="325"/>
      <c r="SBY507" s="325"/>
      <c r="SBZ507" s="325"/>
      <c r="SCA507" s="325"/>
      <c r="SCB507" s="325"/>
      <c r="SCC507" s="325"/>
      <c r="SCD507" s="325"/>
      <c r="SCE507" s="325"/>
      <c r="SCF507" s="325"/>
      <c r="SCG507" s="325"/>
      <c r="SCH507" s="325"/>
      <c r="SCI507" s="325"/>
      <c r="SCJ507" s="325"/>
      <c r="SCK507" s="325"/>
      <c r="SCL507" s="325"/>
      <c r="SCM507" s="325"/>
      <c r="SCN507" s="325"/>
      <c r="SCO507" s="325"/>
      <c r="SCP507" s="325"/>
      <c r="SCQ507" s="325"/>
      <c r="SCR507" s="325"/>
      <c r="SCS507" s="325"/>
      <c r="SCT507" s="325"/>
      <c r="SCU507" s="325"/>
      <c r="SCV507" s="327"/>
      <c r="SCW507" s="28"/>
      <c r="SCX507" s="324"/>
      <c r="SCY507" s="324"/>
      <c r="SCZ507" s="324"/>
      <c r="SDA507" s="324"/>
      <c r="SDB507" s="324"/>
      <c r="SDC507" s="324"/>
      <c r="SDD507" s="256"/>
      <c r="SDE507" s="325"/>
      <c r="SDF507" s="311"/>
      <c r="SDG507" s="325"/>
      <c r="SDH507" s="310"/>
      <c r="SDI507" s="325"/>
      <c r="SDJ507" s="325"/>
      <c r="SDK507" s="325"/>
      <c r="SDL507" s="325"/>
      <c r="SDM507" s="325"/>
      <c r="SDN507" s="325"/>
      <c r="SDO507" s="325"/>
      <c r="SDP507" s="325"/>
      <c r="SDQ507" s="325"/>
      <c r="SDR507" s="325"/>
      <c r="SDS507" s="325"/>
      <c r="SDT507" s="325"/>
      <c r="SDU507" s="325"/>
      <c r="SDV507" s="325"/>
      <c r="SDW507" s="325"/>
      <c r="SDX507" s="325"/>
      <c r="SDY507" s="325"/>
      <c r="SDZ507" s="325"/>
      <c r="SEA507" s="325"/>
      <c r="SEB507" s="325"/>
      <c r="SEC507" s="325"/>
      <c r="SED507" s="325"/>
      <c r="SEE507" s="325"/>
      <c r="SEF507" s="325"/>
      <c r="SEG507" s="325"/>
      <c r="SEH507" s="325"/>
      <c r="SEI507" s="325"/>
      <c r="SEJ507" s="325"/>
      <c r="SEK507" s="325"/>
      <c r="SEL507" s="325"/>
      <c r="SEM507" s="327"/>
      <c r="SEN507" s="28"/>
      <c r="SEO507" s="324"/>
      <c r="SEP507" s="324"/>
      <c r="SEQ507" s="324"/>
      <c r="SER507" s="324"/>
      <c r="SES507" s="324"/>
      <c r="SET507" s="324"/>
      <c r="SEU507" s="256"/>
      <c r="SEV507" s="325"/>
      <c r="SEW507" s="311"/>
      <c r="SEX507" s="325"/>
      <c r="SEY507" s="310"/>
      <c r="SEZ507" s="325"/>
      <c r="SFA507" s="325"/>
      <c r="SFB507" s="325"/>
      <c r="SFC507" s="325"/>
      <c r="SFD507" s="325"/>
      <c r="SFE507" s="325"/>
      <c r="SFF507" s="325"/>
      <c r="SFG507" s="325"/>
      <c r="SFH507" s="325"/>
      <c r="SFI507" s="325"/>
      <c r="SFJ507" s="325"/>
      <c r="SFK507" s="325"/>
      <c r="SFL507" s="325"/>
      <c r="SFM507" s="325"/>
      <c r="SFN507" s="325"/>
      <c r="SFO507" s="325"/>
      <c r="SFP507" s="325"/>
      <c r="SFQ507" s="325"/>
      <c r="SFR507" s="325"/>
      <c r="SFS507" s="325"/>
      <c r="SFT507" s="325"/>
      <c r="SFU507" s="325"/>
      <c r="SFV507" s="325"/>
      <c r="SFW507" s="325"/>
      <c r="SFX507" s="325"/>
      <c r="SFY507" s="325"/>
      <c r="SFZ507" s="325"/>
      <c r="SGA507" s="325"/>
      <c r="SGB507" s="325"/>
      <c r="SGC507" s="325"/>
      <c r="SGD507" s="327"/>
      <c r="SGE507" s="28"/>
      <c r="SGF507" s="324"/>
      <c r="SGG507" s="324"/>
      <c r="SGH507" s="324"/>
      <c r="SGI507" s="324"/>
      <c r="SGJ507" s="324"/>
      <c r="SGK507" s="324"/>
      <c r="SGL507" s="256"/>
      <c r="SGM507" s="325"/>
      <c r="SGN507" s="311"/>
      <c r="SGO507" s="325"/>
      <c r="SGP507" s="310"/>
      <c r="SGQ507" s="325"/>
      <c r="SGR507" s="325"/>
      <c r="SGS507" s="325"/>
      <c r="SGT507" s="325"/>
      <c r="SGU507" s="325"/>
      <c r="SGV507" s="325"/>
      <c r="SGW507" s="325"/>
      <c r="SGX507" s="325"/>
      <c r="SGY507" s="325"/>
      <c r="SGZ507" s="325"/>
      <c r="SHA507" s="325"/>
      <c r="SHB507" s="325"/>
      <c r="SHC507" s="325"/>
      <c r="SHD507" s="325"/>
      <c r="SHE507" s="325"/>
      <c r="SHF507" s="325"/>
      <c r="SHG507" s="325"/>
      <c r="SHH507" s="325"/>
      <c r="SHI507" s="325"/>
      <c r="SHJ507" s="325"/>
      <c r="SHK507" s="325"/>
      <c r="SHL507" s="325"/>
      <c r="SHM507" s="325"/>
      <c r="SHN507" s="325"/>
      <c r="SHO507" s="325"/>
      <c r="SHP507" s="325"/>
      <c r="SHQ507" s="325"/>
      <c r="SHR507" s="325"/>
      <c r="SHS507" s="325"/>
      <c r="SHT507" s="325"/>
      <c r="SHU507" s="327"/>
      <c r="SHV507" s="28"/>
      <c r="SHW507" s="324"/>
      <c r="SHX507" s="324"/>
      <c r="SHY507" s="324"/>
      <c r="SHZ507" s="324"/>
      <c r="SIA507" s="324"/>
      <c r="SIB507" s="324"/>
      <c r="SIC507" s="256"/>
      <c r="SID507" s="325"/>
      <c r="SIE507" s="311"/>
      <c r="SIF507" s="325"/>
      <c r="SIG507" s="310"/>
      <c r="SIH507" s="325"/>
      <c r="SII507" s="325"/>
      <c r="SIJ507" s="325"/>
      <c r="SIK507" s="325"/>
      <c r="SIL507" s="325"/>
      <c r="SIM507" s="325"/>
      <c r="SIN507" s="325"/>
      <c r="SIO507" s="325"/>
      <c r="SIP507" s="325"/>
      <c r="SIQ507" s="325"/>
      <c r="SIR507" s="325"/>
      <c r="SIS507" s="325"/>
      <c r="SIT507" s="325"/>
      <c r="SIU507" s="325"/>
      <c r="SIV507" s="325"/>
      <c r="SIW507" s="325"/>
      <c r="SIX507" s="325"/>
      <c r="SIY507" s="325"/>
      <c r="SIZ507" s="325"/>
      <c r="SJA507" s="325"/>
      <c r="SJB507" s="325"/>
      <c r="SJC507" s="325"/>
      <c r="SJD507" s="325"/>
      <c r="SJE507" s="325"/>
      <c r="SJF507" s="325"/>
      <c r="SJG507" s="325"/>
      <c r="SJH507" s="325"/>
      <c r="SJI507" s="325"/>
      <c r="SJJ507" s="325"/>
      <c r="SJK507" s="325"/>
      <c r="SJL507" s="327"/>
      <c r="SJM507" s="28"/>
      <c r="SJN507" s="324"/>
      <c r="SJO507" s="324"/>
      <c r="SJP507" s="324"/>
      <c r="SJQ507" s="324"/>
      <c r="SJR507" s="324"/>
      <c r="SJS507" s="324"/>
      <c r="SJT507" s="256"/>
      <c r="SJU507" s="325"/>
      <c r="SJV507" s="311"/>
      <c r="SJW507" s="325"/>
      <c r="SJX507" s="310"/>
      <c r="SJY507" s="325"/>
      <c r="SJZ507" s="325"/>
      <c r="SKA507" s="325"/>
      <c r="SKB507" s="325"/>
      <c r="SKC507" s="325"/>
      <c r="SKD507" s="325"/>
      <c r="SKE507" s="325"/>
      <c r="SKF507" s="325"/>
      <c r="SKG507" s="325"/>
      <c r="SKH507" s="325"/>
      <c r="SKI507" s="325"/>
      <c r="SKJ507" s="325"/>
      <c r="SKK507" s="325"/>
      <c r="SKL507" s="325"/>
      <c r="SKM507" s="325"/>
      <c r="SKN507" s="325"/>
      <c r="SKO507" s="325"/>
      <c r="SKP507" s="325"/>
      <c r="SKQ507" s="325"/>
      <c r="SKR507" s="325"/>
      <c r="SKS507" s="325"/>
      <c r="SKT507" s="325"/>
      <c r="SKU507" s="325"/>
      <c r="SKV507" s="325"/>
      <c r="SKW507" s="325"/>
      <c r="SKX507" s="325"/>
      <c r="SKY507" s="325"/>
      <c r="SKZ507" s="325"/>
      <c r="SLA507" s="325"/>
      <c r="SLB507" s="325"/>
      <c r="SLC507" s="327"/>
      <c r="SLD507" s="28"/>
      <c r="SLE507" s="324"/>
      <c r="SLF507" s="324"/>
      <c r="SLG507" s="324"/>
      <c r="SLH507" s="324"/>
      <c r="SLI507" s="324"/>
      <c r="SLJ507" s="324"/>
      <c r="SLK507" s="256"/>
      <c r="SLL507" s="325"/>
      <c r="SLM507" s="311"/>
      <c r="SLN507" s="325"/>
      <c r="SLO507" s="310"/>
      <c r="SLP507" s="325"/>
      <c r="SLQ507" s="325"/>
      <c r="SLR507" s="325"/>
      <c r="SLS507" s="325"/>
      <c r="SLT507" s="325"/>
      <c r="SLU507" s="325"/>
      <c r="SLV507" s="325"/>
      <c r="SLW507" s="325"/>
      <c r="SLX507" s="325"/>
      <c r="SLY507" s="325"/>
      <c r="SLZ507" s="325"/>
      <c r="SMA507" s="325"/>
      <c r="SMB507" s="325"/>
      <c r="SMC507" s="325"/>
      <c r="SMD507" s="325"/>
      <c r="SME507" s="325"/>
      <c r="SMF507" s="325"/>
      <c r="SMG507" s="325"/>
      <c r="SMH507" s="325"/>
      <c r="SMI507" s="325"/>
      <c r="SMJ507" s="325"/>
      <c r="SMK507" s="325"/>
      <c r="SML507" s="325"/>
      <c r="SMM507" s="325"/>
      <c r="SMN507" s="325"/>
      <c r="SMO507" s="325"/>
      <c r="SMP507" s="325"/>
      <c r="SMQ507" s="325"/>
      <c r="SMR507" s="325"/>
      <c r="SMS507" s="325"/>
      <c r="SMT507" s="327"/>
      <c r="SMU507" s="28"/>
      <c r="SMV507" s="324"/>
      <c r="SMW507" s="324"/>
      <c r="SMX507" s="324"/>
      <c r="SMY507" s="324"/>
      <c r="SMZ507" s="324"/>
      <c r="SNA507" s="324"/>
      <c r="SNB507" s="256"/>
      <c r="SNC507" s="325"/>
      <c r="SND507" s="311"/>
      <c r="SNE507" s="325"/>
      <c r="SNF507" s="310"/>
      <c r="SNG507" s="325"/>
      <c r="SNH507" s="325"/>
      <c r="SNI507" s="325"/>
      <c r="SNJ507" s="325"/>
      <c r="SNK507" s="325"/>
      <c r="SNL507" s="325"/>
      <c r="SNM507" s="325"/>
      <c r="SNN507" s="325"/>
      <c r="SNO507" s="325"/>
      <c r="SNP507" s="325"/>
      <c r="SNQ507" s="325"/>
      <c r="SNR507" s="325"/>
      <c r="SNS507" s="325"/>
      <c r="SNT507" s="325"/>
      <c r="SNU507" s="325"/>
      <c r="SNV507" s="325"/>
      <c r="SNW507" s="325"/>
      <c r="SNX507" s="325"/>
      <c r="SNY507" s="325"/>
      <c r="SNZ507" s="325"/>
      <c r="SOA507" s="325"/>
      <c r="SOB507" s="325"/>
      <c r="SOC507" s="325"/>
      <c r="SOD507" s="325"/>
      <c r="SOE507" s="325"/>
      <c r="SOF507" s="325"/>
      <c r="SOG507" s="325"/>
      <c r="SOH507" s="325"/>
      <c r="SOI507" s="325"/>
      <c r="SOJ507" s="325"/>
      <c r="SOK507" s="327"/>
      <c r="SOL507" s="28"/>
      <c r="SOM507" s="324"/>
      <c r="SON507" s="324"/>
      <c r="SOO507" s="324"/>
      <c r="SOP507" s="324"/>
      <c r="SOQ507" s="324"/>
      <c r="SOR507" s="324"/>
      <c r="SOS507" s="256"/>
      <c r="SOT507" s="325"/>
      <c r="SOU507" s="311"/>
      <c r="SOV507" s="325"/>
      <c r="SOW507" s="310"/>
      <c r="SOX507" s="325"/>
      <c r="SOY507" s="325"/>
      <c r="SOZ507" s="325"/>
      <c r="SPA507" s="325"/>
      <c r="SPB507" s="325"/>
      <c r="SPC507" s="325"/>
      <c r="SPD507" s="325"/>
      <c r="SPE507" s="325"/>
      <c r="SPF507" s="325"/>
      <c r="SPG507" s="325"/>
      <c r="SPH507" s="325"/>
      <c r="SPI507" s="325"/>
      <c r="SPJ507" s="325"/>
      <c r="SPK507" s="325"/>
      <c r="SPL507" s="325"/>
      <c r="SPM507" s="325"/>
      <c r="SPN507" s="325"/>
      <c r="SPO507" s="325"/>
      <c r="SPP507" s="325"/>
      <c r="SPQ507" s="325"/>
      <c r="SPR507" s="325"/>
      <c r="SPS507" s="325"/>
      <c r="SPT507" s="325"/>
      <c r="SPU507" s="325"/>
      <c r="SPV507" s="325"/>
      <c r="SPW507" s="325"/>
      <c r="SPX507" s="325"/>
      <c r="SPY507" s="325"/>
      <c r="SPZ507" s="325"/>
      <c r="SQA507" s="325"/>
      <c r="SQB507" s="327"/>
      <c r="SQC507" s="28"/>
      <c r="SQD507" s="324"/>
      <c r="SQE507" s="324"/>
      <c r="SQF507" s="324"/>
      <c r="SQG507" s="324"/>
      <c r="SQH507" s="324"/>
      <c r="SQI507" s="324"/>
      <c r="SQJ507" s="256"/>
      <c r="SQK507" s="325"/>
      <c r="SQL507" s="311"/>
      <c r="SQM507" s="325"/>
      <c r="SQN507" s="310"/>
      <c r="SQO507" s="325"/>
      <c r="SQP507" s="325"/>
      <c r="SQQ507" s="325"/>
      <c r="SQR507" s="325"/>
      <c r="SQS507" s="325"/>
      <c r="SQT507" s="325"/>
      <c r="SQU507" s="325"/>
      <c r="SQV507" s="325"/>
      <c r="SQW507" s="325"/>
      <c r="SQX507" s="325"/>
      <c r="SQY507" s="325"/>
      <c r="SQZ507" s="325"/>
      <c r="SRA507" s="325"/>
      <c r="SRB507" s="325"/>
      <c r="SRC507" s="325"/>
      <c r="SRD507" s="325"/>
      <c r="SRE507" s="325"/>
      <c r="SRF507" s="325"/>
      <c r="SRG507" s="325"/>
      <c r="SRH507" s="325"/>
      <c r="SRI507" s="325"/>
      <c r="SRJ507" s="325"/>
      <c r="SRK507" s="325"/>
      <c r="SRL507" s="325"/>
      <c r="SRM507" s="325"/>
      <c r="SRN507" s="325"/>
      <c r="SRO507" s="325"/>
      <c r="SRP507" s="325"/>
      <c r="SRQ507" s="325"/>
      <c r="SRR507" s="325"/>
      <c r="SRS507" s="327"/>
      <c r="SRT507" s="28"/>
      <c r="SRU507" s="324"/>
      <c r="SRV507" s="324"/>
      <c r="SRW507" s="324"/>
      <c r="SRX507" s="324"/>
      <c r="SRY507" s="324"/>
      <c r="SRZ507" s="324"/>
      <c r="SSA507" s="256"/>
      <c r="SSB507" s="325"/>
      <c r="SSC507" s="311"/>
      <c r="SSD507" s="325"/>
      <c r="SSE507" s="310"/>
      <c r="SSF507" s="325"/>
      <c r="SSG507" s="325"/>
      <c r="SSH507" s="325"/>
      <c r="SSI507" s="325"/>
      <c r="SSJ507" s="325"/>
      <c r="SSK507" s="325"/>
      <c r="SSL507" s="325"/>
      <c r="SSM507" s="325"/>
      <c r="SSN507" s="325"/>
      <c r="SSO507" s="325"/>
      <c r="SSP507" s="325"/>
      <c r="SSQ507" s="325"/>
      <c r="SSR507" s="325"/>
      <c r="SSS507" s="325"/>
      <c r="SST507" s="325"/>
      <c r="SSU507" s="325"/>
      <c r="SSV507" s="325"/>
      <c r="SSW507" s="325"/>
      <c r="SSX507" s="325"/>
      <c r="SSY507" s="325"/>
      <c r="SSZ507" s="325"/>
      <c r="STA507" s="325"/>
      <c r="STB507" s="325"/>
      <c r="STC507" s="325"/>
      <c r="STD507" s="325"/>
      <c r="STE507" s="325"/>
      <c r="STF507" s="325"/>
      <c r="STG507" s="325"/>
      <c r="STH507" s="325"/>
      <c r="STI507" s="325"/>
      <c r="STJ507" s="327"/>
      <c r="STK507" s="28"/>
      <c r="STL507" s="324"/>
      <c r="STM507" s="324"/>
      <c r="STN507" s="324"/>
      <c r="STO507" s="324"/>
      <c r="STP507" s="324"/>
      <c r="STQ507" s="324"/>
      <c r="STR507" s="256"/>
      <c r="STS507" s="325"/>
      <c r="STT507" s="311"/>
      <c r="STU507" s="325"/>
      <c r="STV507" s="310"/>
      <c r="STW507" s="325"/>
      <c r="STX507" s="325"/>
      <c r="STY507" s="325"/>
      <c r="STZ507" s="325"/>
      <c r="SUA507" s="325"/>
      <c r="SUB507" s="325"/>
      <c r="SUC507" s="325"/>
      <c r="SUD507" s="325"/>
      <c r="SUE507" s="325"/>
      <c r="SUF507" s="325"/>
      <c r="SUG507" s="325"/>
      <c r="SUH507" s="325"/>
      <c r="SUI507" s="325"/>
      <c r="SUJ507" s="325"/>
      <c r="SUK507" s="325"/>
      <c r="SUL507" s="325"/>
      <c r="SUM507" s="325"/>
      <c r="SUN507" s="325"/>
      <c r="SUO507" s="325"/>
      <c r="SUP507" s="325"/>
      <c r="SUQ507" s="325"/>
      <c r="SUR507" s="325"/>
      <c r="SUS507" s="325"/>
      <c r="SUT507" s="325"/>
      <c r="SUU507" s="325"/>
      <c r="SUV507" s="325"/>
      <c r="SUW507" s="325"/>
      <c r="SUX507" s="325"/>
      <c r="SUY507" s="325"/>
      <c r="SUZ507" s="325"/>
      <c r="SVA507" s="327"/>
      <c r="SVB507" s="28"/>
      <c r="SVC507" s="324"/>
      <c r="SVD507" s="324"/>
      <c r="SVE507" s="324"/>
      <c r="SVF507" s="324"/>
      <c r="SVG507" s="324"/>
      <c r="SVH507" s="324"/>
      <c r="SVI507" s="256"/>
      <c r="SVJ507" s="325"/>
      <c r="SVK507" s="311"/>
      <c r="SVL507" s="325"/>
      <c r="SVM507" s="310"/>
      <c r="SVN507" s="325"/>
      <c r="SVO507" s="325"/>
      <c r="SVP507" s="325"/>
      <c r="SVQ507" s="325"/>
      <c r="SVR507" s="325"/>
      <c r="SVS507" s="325"/>
      <c r="SVT507" s="325"/>
      <c r="SVU507" s="325"/>
      <c r="SVV507" s="325"/>
      <c r="SVW507" s="325"/>
      <c r="SVX507" s="325"/>
      <c r="SVY507" s="325"/>
      <c r="SVZ507" s="325"/>
      <c r="SWA507" s="325"/>
      <c r="SWB507" s="325"/>
      <c r="SWC507" s="325"/>
      <c r="SWD507" s="325"/>
      <c r="SWE507" s="325"/>
      <c r="SWF507" s="325"/>
      <c r="SWG507" s="325"/>
      <c r="SWH507" s="325"/>
      <c r="SWI507" s="325"/>
      <c r="SWJ507" s="325"/>
      <c r="SWK507" s="325"/>
      <c r="SWL507" s="325"/>
      <c r="SWM507" s="325"/>
      <c r="SWN507" s="325"/>
      <c r="SWO507" s="325"/>
      <c r="SWP507" s="325"/>
      <c r="SWQ507" s="325"/>
      <c r="SWR507" s="327"/>
      <c r="SWS507" s="28"/>
      <c r="SWT507" s="324"/>
      <c r="SWU507" s="324"/>
      <c r="SWV507" s="324"/>
      <c r="SWW507" s="324"/>
      <c r="SWX507" s="324"/>
      <c r="SWY507" s="324"/>
      <c r="SWZ507" s="256"/>
      <c r="SXA507" s="325"/>
      <c r="SXB507" s="311"/>
      <c r="SXC507" s="325"/>
      <c r="SXD507" s="310"/>
      <c r="SXE507" s="325"/>
      <c r="SXF507" s="325"/>
      <c r="SXG507" s="325"/>
      <c r="SXH507" s="325"/>
      <c r="SXI507" s="325"/>
      <c r="SXJ507" s="325"/>
      <c r="SXK507" s="325"/>
      <c r="SXL507" s="325"/>
      <c r="SXM507" s="325"/>
      <c r="SXN507" s="325"/>
      <c r="SXO507" s="325"/>
      <c r="SXP507" s="325"/>
      <c r="SXQ507" s="325"/>
      <c r="SXR507" s="325"/>
      <c r="SXS507" s="325"/>
      <c r="SXT507" s="325"/>
      <c r="SXU507" s="325"/>
      <c r="SXV507" s="325"/>
      <c r="SXW507" s="325"/>
      <c r="SXX507" s="325"/>
      <c r="SXY507" s="325"/>
      <c r="SXZ507" s="325"/>
      <c r="SYA507" s="325"/>
      <c r="SYB507" s="325"/>
      <c r="SYC507" s="325"/>
      <c r="SYD507" s="325"/>
      <c r="SYE507" s="325"/>
      <c r="SYF507" s="325"/>
      <c r="SYG507" s="325"/>
      <c r="SYH507" s="325"/>
      <c r="SYI507" s="327"/>
      <c r="SYJ507" s="28"/>
      <c r="SYK507" s="324"/>
      <c r="SYL507" s="324"/>
      <c r="SYM507" s="324"/>
      <c r="SYN507" s="324"/>
      <c r="SYO507" s="324"/>
      <c r="SYP507" s="324"/>
      <c r="SYQ507" s="256"/>
      <c r="SYR507" s="325"/>
      <c r="SYS507" s="311"/>
      <c r="SYT507" s="325"/>
      <c r="SYU507" s="310"/>
      <c r="SYV507" s="325"/>
      <c r="SYW507" s="325"/>
      <c r="SYX507" s="325"/>
      <c r="SYY507" s="325"/>
      <c r="SYZ507" s="325"/>
      <c r="SZA507" s="325"/>
      <c r="SZB507" s="325"/>
      <c r="SZC507" s="325"/>
      <c r="SZD507" s="325"/>
      <c r="SZE507" s="325"/>
      <c r="SZF507" s="325"/>
      <c r="SZG507" s="325"/>
      <c r="SZH507" s="325"/>
      <c r="SZI507" s="325"/>
      <c r="SZJ507" s="325"/>
      <c r="SZK507" s="325"/>
      <c r="SZL507" s="325"/>
      <c r="SZM507" s="325"/>
      <c r="SZN507" s="325"/>
      <c r="SZO507" s="325"/>
      <c r="SZP507" s="325"/>
      <c r="SZQ507" s="325"/>
      <c r="SZR507" s="325"/>
      <c r="SZS507" s="325"/>
      <c r="SZT507" s="325"/>
      <c r="SZU507" s="325"/>
      <c r="SZV507" s="325"/>
      <c r="SZW507" s="325"/>
      <c r="SZX507" s="325"/>
      <c r="SZY507" s="325"/>
      <c r="SZZ507" s="327"/>
      <c r="TAA507" s="28"/>
      <c r="TAB507" s="324"/>
      <c r="TAC507" s="324"/>
      <c r="TAD507" s="324"/>
      <c r="TAE507" s="324"/>
      <c r="TAF507" s="324"/>
      <c r="TAG507" s="324"/>
      <c r="TAH507" s="256"/>
      <c r="TAI507" s="325"/>
      <c r="TAJ507" s="311"/>
      <c r="TAK507" s="325"/>
      <c r="TAL507" s="310"/>
      <c r="TAM507" s="325"/>
      <c r="TAN507" s="325"/>
      <c r="TAO507" s="325"/>
      <c r="TAP507" s="325"/>
      <c r="TAQ507" s="325"/>
      <c r="TAR507" s="325"/>
      <c r="TAS507" s="325"/>
      <c r="TAT507" s="325"/>
      <c r="TAU507" s="325"/>
      <c r="TAV507" s="325"/>
      <c r="TAW507" s="325"/>
      <c r="TAX507" s="325"/>
      <c r="TAY507" s="325"/>
      <c r="TAZ507" s="325"/>
      <c r="TBA507" s="325"/>
      <c r="TBB507" s="325"/>
      <c r="TBC507" s="325"/>
      <c r="TBD507" s="325"/>
      <c r="TBE507" s="325"/>
      <c r="TBF507" s="325"/>
      <c r="TBG507" s="325"/>
      <c r="TBH507" s="325"/>
      <c r="TBI507" s="325"/>
      <c r="TBJ507" s="325"/>
      <c r="TBK507" s="325"/>
      <c r="TBL507" s="325"/>
      <c r="TBM507" s="325"/>
      <c r="TBN507" s="325"/>
      <c r="TBO507" s="325"/>
      <c r="TBP507" s="325"/>
      <c r="TBQ507" s="327"/>
      <c r="TBR507" s="28"/>
      <c r="TBS507" s="324"/>
      <c r="TBT507" s="324"/>
      <c r="TBU507" s="324"/>
      <c r="TBV507" s="324"/>
      <c r="TBW507" s="324"/>
      <c r="TBX507" s="324"/>
      <c r="TBY507" s="256"/>
      <c r="TBZ507" s="325"/>
      <c r="TCA507" s="311"/>
      <c r="TCB507" s="325"/>
      <c r="TCC507" s="310"/>
      <c r="TCD507" s="325"/>
      <c r="TCE507" s="325"/>
      <c r="TCF507" s="325"/>
      <c r="TCG507" s="325"/>
      <c r="TCH507" s="325"/>
      <c r="TCI507" s="325"/>
      <c r="TCJ507" s="325"/>
      <c r="TCK507" s="325"/>
      <c r="TCL507" s="325"/>
      <c r="TCM507" s="325"/>
      <c r="TCN507" s="325"/>
      <c r="TCO507" s="325"/>
      <c r="TCP507" s="325"/>
      <c r="TCQ507" s="325"/>
      <c r="TCR507" s="325"/>
      <c r="TCS507" s="325"/>
      <c r="TCT507" s="325"/>
      <c r="TCU507" s="325"/>
      <c r="TCV507" s="325"/>
      <c r="TCW507" s="325"/>
      <c r="TCX507" s="325"/>
      <c r="TCY507" s="325"/>
      <c r="TCZ507" s="325"/>
      <c r="TDA507" s="325"/>
      <c r="TDB507" s="325"/>
      <c r="TDC507" s="325"/>
      <c r="TDD507" s="325"/>
      <c r="TDE507" s="325"/>
      <c r="TDF507" s="325"/>
      <c r="TDG507" s="325"/>
      <c r="TDH507" s="327"/>
      <c r="TDI507" s="28"/>
      <c r="TDJ507" s="324"/>
      <c r="TDK507" s="324"/>
      <c r="TDL507" s="324"/>
      <c r="TDM507" s="324"/>
      <c r="TDN507" s="324"/>
      <c r="TDO507" s="324"/>
      <c r="TDP507" s="256"/>
      <c r="TDQ507" s="325"/>
      <c r="TDR507" s="311"/>
      <c r="TDS507" s="325"/>
      <c r="TDT507" s="310"/>
      <c r="TDU507" s="325"/>
      <c r="TDV507" s="325"/>
      <c r="TDW507" s="325"/>
      <c r="TDX507" s="325"/>
      <c r="TDY507" s="325"/>
      <c r="TDZ507" s="325"/>
      <c r="TEA507" s="325"/>
      <c r="TEB507" s="325"/>
      <c r="TEC507" s="325"/>
      <c r="TED507" s="325"/>
      <c r="TEE507" s="325"/>
      <c r="TEF507" s="325"/>
      <c r="TEG507" s="325"/>
      <c r="TEH507" s="325"/>
      <c r="TEI507" s="325"/>
      <c r="TEJ507" s="325"/>
      <c r="TEK507" s="325"/>
      <c r="TEL507" s="325"/>
      <c r="TEM507" s="325"/>
      <c r="TEN507" s="325"/>
      <c r="TEO507" s="325"/>
      <c r="TEP507" s="325"/>
      <c r="TEQ507" s="325"/>
      <c r="TER507" s="325"/>
      <c r="TES507" s="325"/>
      <c r="TET507" s="325"/>
      <c r="TEU507" s="325"/>
      <c r="TEV507" s="325"/>
      <c r="TEW507" s="325"/>
      <c r="TEX507" s="325"/>
      <c r="TEY507" s="327"/>
      <c r="TEZ507" s="28"/>
      <c r="TFA507" s="324"/>
      <c r="TFB507" s="324"/>
      <c r="TFC507" s="324"/>
      <c r="TFD507" s="324"/>
      <c r="TFE507" s="324"/>
      <c r="TFF507" s="324"/>
      <c r="TFG507" s="256"/>
      <c r="TFH507" s="325"/>
      <c r="TFI507" s="311"/>
      <c r="TFJ507" s="325"/>
      <c r="TFK507" s="310"/>
      <c r="TFL507" s="325"/>
      <c r="TFM507" s="325"/>
      <c r="TFN507" s="325"/>
      <c r="TFO507" s="325"/>
      <c r="TFP507" s="325"/>
      <c r="TFQ507" s="325"/>
      <c r="TFR507" s="325"/>
      <c r="TFS507" s="325"/>
      <c r="TFT507" s="325"/>
      <c r="TFU507" s="325"/>
      <c r="TFV507" s="325"/>
      <c r="TFW507" s="325"/>
      <c r="TFX507" s="325"/>
      <c r="TFY507" s="325"/>
      <c r="TFZ507" s="325"/>
      <c r="TGA507" s="325"/>
      <c r="TGB507" s="325"/>
      <c r="TGC507" s="325"/>
      <c r="TGD507" s="325"/>
      <c r="TGE507" s="325"/>
      <c r="TGF507" s="325"/>
      <c r="TGG507" s="325"/>
      <c r="TGH507" s="325"/>
      <c r="TGI507" s="325"/>
      <c r="TGJ507" s="325"/>
      <c r="TGK507" s="325"/>
      <c r="TGL507" s="325"/>
      <c r="TGM507" s="325"/>
      <c r="TGN507" s="325"/>
      <c r="TGO507" s="325"/>
      <c r="TGP507" s="327"/>
      <c r="TGQ507" s="28"/>
      <c r="TGR507" s="324"/>
      <c r="TGS507" s="324"/>
      <c r="TGT507" s="324"/>
      <c r="TGU507" s="324"/>
      <c r="TGV507" s="324"/>
      <c r="TGW507" s="324"/>
      <c r="TGX507" s="256"/>
      <c r="TGY507" s="325"/>
      <c r="TGZ507" s="311"/>
      <c r="THA507" s="325"/>
      <c r="THB507" s="310"/>
      <c r="THC507" s="325"/>
      <c r="THD507" s="325"/>
      <c r="THE507" s="325"/>
      <c r="THF507" s="325"/>
      <c r="THG507" s="325"/>
      <c r="THH507" s="325"/>
      <c r="THI507" s="325"/>
      <c r="THJ507" s="325"/>
      <c r="THK507" s="325"/>
      <c r="THL507" s="325"/>
      <c r="THM507" s="325"/>
      <c r="THN507" s="325"/>
      <c r="THO507" s="325"/>
      <c r="THP507" s="325"/>
      <c r="THQ507" s="325"/>
      <c r="THR507" s="325"/>
      <c r="THS507" s="325"/>
      <c r="THT507" s="325"/>
      <c r="THU507" s="325"/>
      <c r="THV507" s="325"/>
      <c r="THW507" s="325"/>
      <c r="THX507" s="325"/>
      <c r="THY507" s="325"/>
      <c r="THZ507" s="325"/>
      <c r="TIA507" s="325"/>
      <c r="TIB507" s="325"/>
      <c r="TIC507" s="325"/>
      <c r="TID507" s="325"/>
      <c r="TIE507" s="325"/>
      <c r="TIF507" s="325"/>
      <c r="TIG507" s="327"/>
      <c r="TIH507" s="28"/>
      <c r="TII507" s="324"/>
      <c r="TIJ507" s="324"/>
      <c r="TIK507" s="324"/>
      <c r="TIL507" s="324"/>
      <c r="TIM507" s="324"/>
      <c r="TIN507" s="324"/>
      <c r="TIO507" s="256"/>
      <c r="TIP507" s="325"/>
      <c r="TIQ507" s="311"/>
      <c r="TIR507" s="325"/>
      <c r="TIS507" s="310"/>
      <c r="TIT507" s="325"/>
      <c r="TIU507" s="325"/>
      <c r="TIV507" s="325"/>
      <c r="TIW507" s="325"/>
      <c r="TIX507" s="325"/>
      <c r="TIY507" s="325"/>
      <c r="TIZ507" s="325"/>
      <c r="TJA507" s="325"/>
      <c r="TJB507" s="325"/>
      <c r="TJC507" s="325"/>
      <c r="TJD507" s="325"/>
      <c r="TJE507" s="325"/>
      <c r="TJF507" s="325"/>
      <c r="TJG507" s="325"/>
      <c r="TJH507" s="325"/>
      <c r="TJI507" s="325"/>
      <c r="TJJ507" s="325"/>
      <c r="TJK507" s="325"/>
      <c r="TJL507" s="325"/>
      <c r="TJM507" s="325"/>
      <c r="TJN507" s="325"/>
      <c r="TJO507" s="325"/>
      <c r="TJP507" s="325"/>
      <c r="TJQ507" s="325"/>
      <c r="TJR507" s="325"/>
      <c r="TJS507" s="325"/>
      <c r="TJT507" s="325"/>
      <c r="TJU507" s="325"/>
      <c r="TJV507" s="325"/>
      <c r="TJW507" s="325"/>
      <c r="TJX507" s="327"/>
      <c r="TJY507" s="28"/>
      <c r="TJZ507" s="324"/>
      <c r="TKA507" s="324"/>
      <c r="TKB507" s="324"/>
      <c r="TKC507" s="324"/>
      <c r="TKD507" s="324"/>
      <c r="TKE507" s="324"/>
      <c r="TKF507" s="256"/>
      <c r="TKG507" s="325"/>
      <c r="TKH507" s="311"/>
      <c r="TKI507" s="325"/>
      <c r="TKJ507" s="310"/>
      <c r="TKK507" s="325"/>
      <c r="TKL507" s="325"/>
      <c r="TKM507" s="325"/>
      <c r="TKN507" s="325"/>
      <c r="TKO507" s="325"/>
      <c r="TKP507" s="325"/>
      <c r="TKQ507" s="325"/>
      <c r="TKR507" s="325"/>
      <c r="TKS507" s="325"/>
      <c r="TKT507" s="325"/>
      <c r="TKU507" s="325"/>
      <c r="TKV507" s="325"/>
      <c r="TKW507" s="325"/>
      <c r="TKX507" s="325"/>
      <c r="TKY507" s="325"/>
      <c r="TKZ507" s="325"/>
      <c r="TLA507" s="325"/>
      <c r="TLB507" s="325"/>
      <c r="TLC507" s="325"/>
      <c r="TLD507" s="325"/>
      <c r="TLE507" s="325"/>
      <c r="TLF507" s="325"/>
      <c r="TLG507" s="325"/>
      <c r="TLH507" s="325"/>
      <c r="TLI507" s="325"/>
      <c r="TLJ507" s="325"/>
      <c r="TLK507" s="325"/>
      <c r="TLL507" s="325"/>
      <c r="TLM507" s="325"/>
      <c r="TLN507" s="325"/>
      <c r="TLO507" s="327"/>
      <c r="TLP507" s="28"/>
      <c r="TLQ507" s="324"/>
      <c r="TLR507" s="324"/>
      <c r="TLS507" s="324"/>
      <c r="TLT507" s="324"/>
      <c r="TLU507" s="324"/>
      <c r="TLV507" s="324"/>
      <c r="TLW507" s="256"/>
      <c r="TLX507" s="325"/>
      <c r="TLY507" s="311"/>
      <c r="TLZ507" s="325"/>
      <c r="TMA507" s="310"/>
      <c r="TMB507" s="325"/>
      <c r="TMC507" s="325"/>
      <c r="TMD507" s="325"/>
      <c r="TME507" s="325"/>
      <c r="TMF507" s="325"/>
      <c r="TMG507" s="325"/>
      <c r="TMH507" s="325"/>
      <c r="TMI507" s="325"/>
      <c r="TMJ507" s="325"/>
      <c r="TMK507" s="325"/>
      <c r="TML507" s="325"/>
      <c r="TMM507" s="325"/>
      <c r="TMN507" s="325"/>
      <c r="TMO507" s="325"/>
      <c r="TMP507" s="325"/>
      <c r="TMQ507" s="325"/>
      <c r="TMR507" s="325"/>
      <c r="TMS507" s="325"/>
      <c r="TMT507" s="325"/>
      <c r="TMU507" s="325"/>
      <c r="TMV507" s="325"/>
      <c r="TMW507" s="325"/>
      <c r="TMX507" s="325"/>
      <c r="TMY507" s="325"/>
      <c r="TMZ507" s="325"/>
      <c r="TNA507" s="325"/>
      <c r="TNB507" s="325"/>
      <c r="TNC507" s="325"/>
      <c r="TND507" s="325"/>
      <c r="TNE507" s="325"/>
      <c r="TNF507" s="327"/>
      <c r="TNG507" s="28"/>
      <c r="TNH507" s="324"/>
      <c r="TNI507" s="324"/>
      <c r="TNJ507" s="324"/>
      <c r="TNK507" s="324"/>
      <c r="TNL507" s="324"/>
      <c r="TNM507" s="324"/>
      <c r="TNN507" s="256"/>
      <c r="TNO507" s="325"/>
      <c r="TNP507" s="311"/>
      <c r="TNQ507" s="325"/>
      <c r="TNR507" s="310"/>
      <c r="TNS507" s="325"/>
      <c r="TNT507" s="325"/>
      <c r="TNU507" s="325"/>
      <c r="TNV507" s="325"/>
      <c r="TNW507" s="325"/>
      <c r="TNX507" s="325"/>
      <c r="TNY507" s="325"/>
      <c r="TNZ507" s="325"/>
      <c r="TOA507" s="325"/>
      <c r="TOB507" s="325"/>
      <c r="TOC507" s="325"/>
      <c r="TOD507" s="325"/>
      <c r="TOE507" s="325"/>
      <c r="TOF507" s="325"/>
      <c r="TOG507" s="325"/>
      <c r="TOH507" s="325"/>
      <c r="TOI507" s="325"/>
      <c r="TOJ507" s="325"/>
      <c r="TOK507" s="325"/>
      <c r="TOL507" s="325"/>
      <c r="TOM507" s="325"/>
      <c r="TON507" s="325"/>
      <c r="TOO507" s="325"/>
      <c r="TOP507" s="325"/>
      <c r="TOQ507" s="325"/>
      <c r="TOR507" s="325"/>
      <c r="TOS507" s="325"/>
      <c r="TOT507" s="325"/>
      <c r="TOU507" s="325"/>
      <c r="TOV507" s="325"/>
      <c r="TOW507" s="327"/>
      <c r="TOX507" s="28"/>
      <c r="TOY507" s="324"/>
      <c r="TOZ507" s="324"/>
      <c r="TPA507" s="324"/>
      <c r="TPB507" s="324"/>
      <c r="TPC507" s="324"/>
      <c r="TPD507" s="324"/>
      <c r="TPE507" s="256"/>
      <c r="TPF507" s="325"/>
      <c r="TPG507" s="311"/>
      <c r="TPH507" s="325"/>
      <c r="TPI507" s="310"/>
      <c r="TPJ507" s="325"/>
      <c r="TPK507" s="325"/>
      <c r="TPL507" s="325"/>
      <c r="TPM507" s="325"/>
      <c r="TPN507" s="325"/>
      <c r="TPO507" s="325"/>
      <c r="TPP507" s="325"/>
      <c r="TPQ507" s="325"/>
      <c r="TPR507" s="325"/>
      <c r="TPS507" s="325"/>
      <c r="TPT507" s="325"/>
      <c r="TPU507" s="325"/>
      <c r="TPV507" s="325"/>
      <c r="TPW507" s="325"/>
      <c r="TPX507" s="325"/>
      <c r="TPY507" s="325"/>
      <c r="TPZ507" s="325"/>
      <c r="TQA507" s="325"/>
      <c r="TQB507" s="325"/>
      <c r="TQC507" s="325"/>
      <c r="TQD507" s="325"/>
      <c r="TQE507" s="325"/>
      <c r="TQF507" s="325"/>
      <c r="TQG507" s="325"/>
      <c r="TQH507" s="325"/>
      <c r="TQI507" s="325"/>
      <c r="TQJ507" s="325"/>
      <c r="TQK507" s="325"/>
      <c r="TQL507" s="325"/>
      <c r="TQM507" s="325"/>
      <c r="TQN507" s="327"/>
      <c r="TQO507" s="28"/>
      <c r="TQP507" s="324"/>
      <c r="TQQ507" s="324"/>
      <c r="TQR507" s="324"/>
      <c r="TQS507" s="324"/>
      <c r="TQT507" s="324"/>
      <c r="TQU507" s="324"/>
      <c r="TQV507" s="256"/>
      <c r="TQW507" s="325"/>
      <c r="TQX507" s="311"/>
      <c r="TQY507" s="325"/>
      <c r="TQZ507" s="310"/>
      <c r="TRA507" s="325"/>
      <c r="TRB507" s="325"/>
      <c r="TRC507" s="325"/>
      <c r="TRD507" s="325"/>
      <c r="TRE507" s="325"/>
      <c r="TRF507" s="325"/>
      <c r="TRG507" s="325"/>
      <c r="TRH507" s="325"/>
      <c r="TRI507" s="325"/>
      <c r="TRJ507" s="325"/>
      <c r="TRK507" s="325"/>
      <c r="TRL507" s="325"/>
      <c r="TRM507" s="325"/>
      <c r="TRN507" s="325"/>
      <c r="TRO507" s="325"/>
      <c r="TRP507" s="325"/>
      <c r="TRQ507" s="325"/>
      <c r="TRR507" s="325"/>
      <c r="TRS507" s="325"/>
      <c r="TRT507" s="325"/>
      <c r="TRU507" s="325"/>
      <c r="TRV507" s="325"/>
      <c r="TRW507" s="325"/>
      <c r="TRX507" s="325"/>
      <c r="TRY507" s="325"/>
      <c r="TRZ507" s="325"/>
      <c r="TSA507" s="325"/>
      <c r="TSB507" s="325"/>
      <c r="TSC507" s="325"/>
      <c r="TSD507" s="325"/>
      <c r="TSE507" s="327"/>
      <c r="TSF507" s="28"/>
      <c r="TSG507" s="324"/>
      <c r="TSH507" s="324"/>
      <c r="TSI507" s="324"/>
      <c r="TSJ507" s="324"/>
      <c r="TSK507" s="324"/>
      <c r="TSL507" s="324"/>
      <c r="TSM507" s="256"/>
      <c r="TSN507" s="325"/>
      <c r="TSO507" s="311"/>
      <c r="TSP507" s="325"/>
      <c r="TSQ507" s="310"/>
      <c r="TSR507" s="325"/>
      <c r="TSS507" s="325"/>
      <c r="TST507" s="325"/>
      <c r="TSU507" s="325"/>
      <c r="TSV507" s="325"/>
      <c r="TSW507" s="325"/>
      <c r="TSX507" s="325"/>
      <c r="TSY507" s="325"/>
      <c r="TSZ507" s="325"/>
      <c r="TTA507" s="325"/>
      <c r="TTB507" s="325"/>
      <c r="TTC507" s="325"/>
      <c r="TTD507" s="325"/>
      <c r="TTE507" s="325"/>
      <c r="TTF507" s="325"/>
      <c r="TTG507" s="325"/>
      <c r="TTH507" s="325"/>
      <c r="TTI507" s="325"/>
      <c r="TTJ507" s="325"/>
      <c r="TTK507" s="325"/>
      <c r="TTL507" s="325"/>
      <c r="TTM507" s="325"/>
      <c r="TTN507" s="325"/>
      <c r="TTO507" s="325"/>
      <c r="TTP507" s="325"/>
      <c r="TTQ507" s="325"/>
      <c r="TTR507" s="325"/>
      <c r="TTS507" s="325"/>
      <c r="TTT507" s="325"/>
      <c r="TTU507" s="325"/>
      <c r="TTV507" s="327"/>
      <c r="TTW507" s="28"/>
      <c r="TTX507" s="324"/>
      <c r="TTY507" s="324"/>
      <c r="TTZ507" s="324"/>
      <c r="TUA507" s="324"/>
      <c r="TUB507" s="324"/>
      <c r="TUC507" s="324"/>
      <c r="TUD507" s="256"/>
      <c r="TUE507" s="325"/>
      <c r="TUF507" s="311"/>
      <c r="TUG507" s="325"/>
      <c r="TUH507" s="310"/>
      <c r="TUI507" s="325"/>
      <c r="TUJ507" s="325"/>
      <c r="TUK507" s="325"/>
      <c r="TUL507" s="325"/>
      <c r="TUM507" s="325"/>
      <c r="TUN507" s="325"/>
      <c r="TUO507" s="325"/>
      <c r="TUP507" s="325"/>
      <c r="TUQ507" s="325"/>
      <c r="TUR507" s="325"/>
      <c r="TUS507" s="325"/>
      <c r="TUT507" s="325"/>
      <c r="TUU507" s="325"/>
      <c r="TUV507" s="325"/>
      <c r="TUW507" s="325"/>
      <c r="TUX507" s="325"/>
      <c r="TUY507" s="325"/>
      <c r="TUZ507" s="325"/>
      <c r="TVA507" s="325"/>
      <c r="TVB507" s="325"/>
      <c r="TVC507" s="325"/>
      <c r="TVD507" s="325"/>
      <c r="TVE507" s="325"/>
      <c r="TVF507" s="325"/>
      <c r="TVG507" s="325"/>
      <c r="TVH507" s="325"/>
      <c r="TVI507" s="325"/>
      <c r="TVJ507" s="325"/>
      <c r="TVK507" s="325"/>
      <c r="TVL507" s="325"/>
      <c r="TVM507" s="327"/>
      <c r="TVN507" s="28"/>
      <c r="TVO507" s="324"/>
      <c r="TVP507" s="324"/>
      <c r="TVQ507" s="324"/>
      <c r="TVR507" s="324"/>
      <c r="TVS507" s="324"/>
      <c r="TVT507" s="324"/>
      <c r="TVU507" s="256"/>
      <c r="TVV507" s="325"/>
      <c r="TVW507" s="311"/>
      <c r="TVX507" s="325"/>
      <c r="TVY507" s="310"/>
      <c r="TVZ507" s="325"/>
      <c r="TWA507" s="325"/>
      <c r="TWB507" s="325"/>
      <c r="TWC507" s="325"/>
      <c r="TWD507" s="325"/>
      <c r="TWE507" s="325"/>
      <c r="TWF507" s="325"/>
      <c r="TWG507" s="325"/>
      <c r="TWH507" s="325"/>
      <c r="TWI507" s="325"/>
      <c r="TWJ507" s="325"/>
      <c r="TWK507" s="325"/>
      <c r="TWL507" s="325"/>
      <c r="TWM507" s="325"/>
      <c r="TWN507" s="325"/>
      <c r="TWO507" s="325"/>
      <c r="TWP507" s="325"/>
      <c r="TWQ507" s="325"/>
      <c r="TWR507" s="325"/>
      <c r="TWS507" s="325"/>
      <c r="TWT507" s="325"/>
      <c r="TWU507" s="325"/>
      <c r="TWV507" s="325"/>
      <c r="TWW507" s="325"/>
      <c r="TWX507" s="325"/>
      <c r="TWY507" s="325"/>
      <c r="TWZ507" s="325"/>
      <c r="TXA507" s="325"/>
      <c r="TXB507" s="325"/>
      <c r="TXC507" s="325"/>
      <c r="TXD507" s="327"/>
      <c r="TXE507" s="28"/>
      <c r="TXF507" s="324"/>
      <c r="TXG507" s="324"/>
      <c r="TXH507" s="324"/>
      <c r="TXI507" s="324"/>
      <c r="TXJ507" s="324"/>
      <c r="TXK507" s="324"/>
      <c r="TXL507" s="256"/>
      <c r="TXM507" s="325"/>
      <c r="TXN507" s="311"/>
      <c r="TXO507" s="325"/>
      <c r="TXP507" s="310"/>
      <c r="TXQ507" s="325"/>
      <c r="TXR507" s="325"/>
      <c r="TXS507" s="325"/>
      <c r="TXT507" s="325"/>
      <c r="TXU507" s="325"/>
      <c r="TXV507" s="325"/>
      <c r="TXW507" s="325"/>
      <c r="TXX507" s="325"/>
      <c r="TXY507" s="325"/>
      <c r="TXZ507" s="325"/>
      <c r="TYA507" s="325"/>
      <c r="TYB507" s="325"/>
      <c r="TYC507" s="325"/>
      <c r="TYD507" s="325"/>
      <c r="TYE507" s="325"/>
      <c r="TYF507" s="325"/>
      <c r="TYG507" s="325"/>
      <c r="TYH507" s="325"/>
      <c r="TYI507" s="325"/>
      <c r="TYJ507" s="325"/>
      <c r="TYK507" s="325"/>
      <c r="TYL507" s="325"/>
      <c r="TYM507" s="325"/>
      <c r="TYN507" s="325"/>
      <c r="TYO507" s="325"/>
      <c r="TYP507" s="325"/>
      <c r="TYQ507" s="325"/>
      <c r="TYR507" s="325"/>
      <c r="TYS507" s="325"/>
      <c r="TYT507" s="325"/>
      <c r="TYU507" s="327"/>
      <c r="TYV507" s="28"/>
      <c r="TYW507" s="324"/>
      <c r="TYX507" s="324"/>
      <c r="TYY507" s="324"/>
      <c r="TYZ507" s="324"/>
      <c r="TZA507" s="324"/>
      <c r="TZB507" s="324"/>
      <c r="TZC507" s="256"/>
      <c r="TZD507" s="325"/>
      <c r="TZE507" s="311"/>
      <c r="TZF507" s="325"/>
      <c r="TZG507" s="310"/>
      <c r="TZH507" s="325"/>
      <c r="TZI507" s="325"/>
      <c r="TZJ507" s="325"/>
      <c r="TZK507" s="325"/>
      <c r="TZL507" s="325"/>
      <c r="TZM507" s="325"/>
      <c r="TZN507" s="325"/>
      <c r="TZO507" s="325"/>
      <c r="TZP507" s="325"/>
      <c r="TZQ507" s="325"/>
      <c r="TZR507" s="325"/>
      <c r="TZS507" s="325"/>
      <c r="TZT507" s="325"/>
      <c r="TZU507" s="325"/>
      <c r="TZV507" s="325"/>
      <c r="TZW507" s="325"/>
      <c r="TZX507" s="325"/>
      <c r="TZY507" s="325"/>
      <c r="TZZ507" s="325"/>
      <c r="UAA507" s="325"/>
      <c r="UAB507" s="325"/>
      <c r="UAC507" s="325"/>
      <c r="UAD507" s="325"/>
      <c r="UAE507" s="325"/>
      <c r="UAF507" s="325"/>
      <c r="UAG507" s="325"/>
      <c r="UAH507" s="325"/>
      <c r="UAI507" s="325"/>
      <c r="UAJ507" s="325"/>
      <c r="UAK507" s="325"/>
      <c r="UAL507" s="327"/>
      <c r="UAM507" s="28"/>
      <c r="UAN507" s="324"/>
      <c r="UAO507" s="324"/>
      <c r="UAP507" s="324"/>
      <c r="UAQ507" s="324"/>
      <c r="UAR507" s="324"/>
      <c r="UAS507" s="324"/>
      <c r="UAT507" s="256"/>
      <c r="UAU507" s="325"/>
      <c r="UAV507" s="311"/>
      <c r="UAW507" s="325"/>
      <c r="UAX507" s="310"/>
      <c r="UAY507" s="325"/>
      <c r="UAZ507" s="325"/>
      <c r="UBA507" s="325"/>
      <c r="UBB507" s="325"/>
      <c r="UBC507" s="325"/>
      <c r="UBD507" s="325"/>
      <c r="UBE507" s="325"/>
      <c r="UBF507" s="325"/>
      <c r="UBG507" s="325"/>
      <c r="UBH507" s="325"/>
      <c r="UBI507" s="325"/>
      <c r="UBJ507" s="325"/>
      <c r="UBK507" s="325"/>
      <c r="UBL507" s="325"/>
      <c r="UBM507" s="325"/>
      <c r="UBN507" s="325"/>
      <c r="UBO507" s="325"/>
      <c r="UBP507" s="325"/>
      <c r="UBQ507" s="325"/>
      <c r="UBR507" s="325"/>
      <c r="UBS507" s="325"/>
      <c r="UBT507" s="325"/>
      <c r="UBU507" s="325"/>
      <c r="UBV507" s="325"/>
      <c r="UBW507" s="325"/>
      <c r="UBX507" s="325"/>
      <c r="UBY507" s="325"/>
      <c r="UBZ507" s="325"/>
      <c r="UCA507" s="325"/>
      <c r="UCB507" s="325"/>
      <c r="UCC507" s="327"/>
      <c r="UCD507" s="28"/>
      <c r="UCE507" s="324"/>
      <c r="UCF507" s="324"/>
      <c r="UCG507" s="324"/>
      <c r="UCH507" s="324"/>
      <c r="UCI507" s="324"/>
      <c r="UCJ507" s="324"/>
      <c r="UCK507" s="256"/>
      <c r="UCL507" s="325"/>
      <c r="UCM507" s="311"/>
      <c r="UCN507" s="325"/>
      <c r="UCO507" s="310"/>
      <c r="UCP507" s="325"/>
      <c r="UCQ507" s="325"/>
      <c r="UCR507" s="325"/>
      <c r="UCS507" s="325"/>
      <c r="UCT507" s="325"/>
      <c r="UCU507" s="325"/>
      <c r="UCV507" s="325"/>
      <c r="UCW507" s="325"/>
      <c r="UCX507" s="325"/>
      <c r="UCY507" s="325"/>
      <c r="UCZ507" s="325"/>
      <c r="UDA507" s="325"/>
      <c r="UDB507" s="325"/>
      <c r="UDC507" s="325"/>
      <c r="UDD507" s="325"/>
      <c r="UDE507" s="325"/>
      <c r="UDF507" s="325"/>
      <c r="UDG507" s="325"/>
      <c r="UDH507" s="325"/>
      <c r="UDI507" s="325"/>
      <c r="UDJ507" s="325"/>
      <c r="UDK507" s="325"/>
      <c r="UDL507" s="325"/>
      <c r="UDM507" s="325"/>
      <c r="UDN507" s="325"/>
      <c r="UDO507" s="325"/>
      <c r="UDP507" s="325"/>
      <c r="UDQ507" s="325"/>
      <c r="UDR507" s="325"/>
      <c r="UDS507" s="325"/>
      <c r="UDT507" s="327"/>
      <c r="UDU507" s="28"/>
      <c r="UDV507" s="324"/>
      <c r="UDW507" s="324"/>
      <c r="UDX507" s="324"/>
      <c r="UDY507" s="324"/>
      <c r="UDZ507" s="324"/>
      <c r="UEA507" s="324"/>
      <c r="UEB507" s="256"/>
      <c r="UEC507" s="325"/>
      <c r="UED507" s="311"/>
      <c r="UEE507" s="325"/>
      <c r="UEF507" s="310"/>
      <c r="UEG507" s="325"/>
      <c r="UEH507" s="325"/>
      <c r="UEI507" s="325"/>
      <c r="UEJ507" s="325"/>
      <c r="UEK507" s="325"/>
      <c r="UEL507" s="325"/>
      <c r="UEM507" s="325"/>
      <c r="UEN507" s="325"/>
      <c r="UEO507" s="325"/>
      <c r="UEP507" s="325"/>
      <c r="UEQ507" s="325"/>
      <c r="UER507" s="325"/>
      <c r="UES507" s="325"/>
      <c r="UET507" s="325"/>
      <c r="UEU507" s="325"/>
      <c r="UEV507" s="325"/>
      <c r="UEW507" s="325"/>
      <c r="UEX507" s="325"/>
      <c r="UEY507" s="325"/>
      <c r="UEZ507" s="325"/>
      <c r="UFA507" s="325"/>
      <c r="UFB507" s="325"/>
      <c r="UFC507" s="325"/>
      <c r="UFD507" s="325"/>
      <c r="UFE507" s="325"/>
      <c r="UFF507" s="325"/>
      <c r="UFG507" s="325"/>
      <c r="UFH507" s="325"/>
      <c r="UFI507" s="325"/>
      <c r="UFJ507" s="325"/>
      <c r="UFK507" s="327"/>
      <c r="UFL507" s="28"/>
      <c r="UFM507" s="324"/>
      <c r="UFN507" s="324"/>
      <c r="UFO507" s="324"/>
      <c r="UFP507" s="324"/>
      <c r="UFQ507" s="324"/>
      <c r="UFR507" s="324"/>
      <c r="UFS507" s="256"/>
      <c r="UFT507" s="325"/>
      <c r="UFU507" s="311"/>
      <c r="UFV507" s="325"/>
      <c r="UFW507" s="310"/>
      <c r="UFX507" s="325"/>
      <c r="UFY507" s="325"/>
      <c r="UFZ507" s="325"/>
      <c r="UGA507" s="325"/>
      <c r="UGB507" s="325"/>
      <c r="UGC507" s="325"/>
      <c r="UGD507" s="325"/>
      <c r="UGE507" s="325"/>
      <c r="UGF507" s="325"/>
      <c r="UGG507" s="325"/>
      <c r="UGH507" s="325"/>
      <c r="UGI507" s="325"/>
      <c r="UGJ507" s="325"/>
      <c r="UGK507" s="325"/>
      <c r="UGL507" s="325"/>
      <c r="UGM507" s="325"/>
      <c r="UGN507" s="325"/>
      <c r="UGO507" s="325"/>
      <c r="UGP507" s="325"/>
      <c r="UGQ507" s="325"/>
      <c r="UGR507" s="325"/>
      <c r="UGS507" s="325"/>
      <c r="UGT507" s="325"/>
      <c r="UGU507" s="325"/>
      <c r="UGV507" s="325"/>
      <c r="UGW507" s="325"/>
      <c r="UGX507" s="325"/>
      <c r="UGY507" s="325"/>
      <c r="UGZ507" s="325"/>
      <c r="UHA507" s="325"/>
      <c r="UHB507" s="327"/>
      <c r="UHC507" s="28"/>
      <c r="UHD507" s="324"/>
      <c r="UHE507" s="324"/>
      <c r="UHF507" s="324"/>
      <c r="UHG507" s="324"/>
      <c r="UHH507" s="324"/>
      <c r="UHI507" s="324"/>
      <c r="UHJ507" s="256"/>
      <c r="UHK507" s="325"/>
      <c r="UHL507" s="311"/>
      <c r="UHM507" s="325"/>
      <c r="UHN507" s="310"/>
      <c r="UHO507" s="325"/>
      <c r="UHP507" s="325"/>
      <c r="UHQ507" s="325"/>
      <c r="UHR507" s="325"/>
      <c r="UHS507" s="325"/>
      <c r="UHT507" s="325"/>
      <c r="UHU507" s="325"/>
      <c r="UHV507" s="325"/>
      <c r="UHW507" s="325"/>
      <c r="UHX507" s="325"/>
      <c r="UHY507" s="325"/>
      <c r="UHZ507" s="325"/>
      <c r="UIA507" s="325"/>
      <c r="UIB507" s="325"/>
      <c r="UIC507" s="325"/>
      <c r="UID507" s="325"/>
      <c r="UIE507" s="325"/>
      <c r="UIF507" s="325"/>
      <c r="UIG507" s="325"/>
      <c r="UIH507" s="325"/>
      <c r="UII507" s="325"/>
      <c r="UIJ507" s="325"/>
      <c r="UIK507" s="325"/>
      <c r="UIL507" s="325"/>
      <c r="UIM507" s="325"/>
      <c r="UIN507" s="325"/>
      <c r="UIO507" s="325"/>
      <c r="UIP507" s="325"/>
      <c r="UIQ507" s="325"/>
      <c r="UIR507" s="325"/>
      <c r="UIS507" s="327"/>
      <c r="UIT507" s="28"/>
      <c r="UIU507" s="324"/>
      <c r="UIV507" s="324"/>
      <c r="UIW507" s="324"/>
      <c r="UIX507" s="324"/>
      <c r="UIY507" s="324"/>
      <c r="UIZ507" s="324"/>
      <c r="UJA507" s="256"/>
      <c r="UJB507" s="325"/>
      <c r="UJC507" s="311"/>
      <c r="UJD507" s="325"/>
      <c r="UJE507" s="310"/>
      <c r="UJF507" s="325"/>
      <c r="UJG507" s="325"/>
      <c r="UJH507" s="325"/>
      <c r="UJI507" s="325"/>
      <c r="UJJ507" s="325"/>
      <c r="UJK507" s="325"/>
      <c r="UJL507" s="325"/>
      <c r="UJM507" s="325"/>
      <c r="UJN507" s="325"/>
      <c r="UJO507" s="325"/>
      <c r="UJP507" s="325"/>
      <c r="UJQ507" s="325"/>
      <c r="UJR507" s="325"/>
      <c r="UJS507" s="325"/>
      <c r="UJT507" s="325"/>
      <c r="UJU507" s="325"/>
      <c r="UJV507" s="325"/>
      <c r="UJW507" s="325"/>
      <c r="UJX507" s="325"/>
      <c r="UJY507" s="325"/>
      <c r="UJZ507" s="325"/>
      <c r="UKA507" s="325"/>
      <c r="UKB507" s="325"/>
      <c r="UKC507" s="325"/>
      <c r="UKD507" s="325"/>
      <c r="UKE507" s="325"/>
      <c r="UKF507" s="325"/>
      <c r="UKG507" s="325"/>
      <c r="UKH507" s="325"/>
      <c r="UKI507" s="325"/>
      <c r="UKJ507" s="327"/>
      <c r="UKK507" s="28"/>
      <c r="UKL507" s="324"/>
      <c r="UKM507" s="324"/>
      <c r="UKN507" s="324"/>
      <c r="UKO507" s="324"/>
      <c r="UKP507" s="324"/>
      <c r="UKQ507" s="324"/>
      <c r="UKR507" s="256"/>
      <c r="UKS507" s="325"/>
      <c r="UKT507" s="311"/>
      <c r="UKU507" s="325"/>
      <c r="UKV507" s="310"/>
      <c r="UKW507" s="325"/>
      <c r="UKX507" s="325"/>
      <c r="UKY507" s="325"/>
      <c r="UKZ507" s="325"/>
      <c r="ULA507" s="325"/>
      <c r="ULB507" s="325"/>
      <c r="ULC507" s="325"/>
      <c r="ULD507" s="325"/>
      <c r="ULE507" s="325"/>
      <c r="ULF507" s="325"/>
      <c r="ULG507" s="325"/>
      <c r="ULH507" s="325"/>
      <c r="ULI507" s="325"/>
      <c r="ULJ507" s="325"/>
      <c r="ULK507" s="325"/>
      <c r="ULL507" s="325"/>
      <c r="ULM507" s="325"/>
      <c r="ULN507" s="325"/>
      <c r="ULO507" s="325"/>
      <c r="ULP507" s="325"/>
      <c r="ULQ507" s="325"/>
      <c r="ULR507" s="325"/>
      <c r="ULS507" s="325"/>
      <c r="ULT507" s="325"/>
      <c r="ULU507" s="325"/>
      <c r="ULV507" s="325"/>
      <c r="ULW507" s="325"/>
      <c r="ULX507" s="325"/>
      <c r="ULY507" s="325"/>
      <c r="ULZ507" s="325"/>
      <c r="UMA507" s="327"/>
      <c r="UMB507" s="28"/>
      <c r="UMC507" s="324"/>
      <c r="UMD507" s="324"/>
      <c r="UME507" s="324"/>
      <c r="UMF507" s="324"/>
      <c r="UMG507" s="324"/>
      <c r="UMH507" s="324"/>
      <c r="UMI507" s="256"/>
      <c r="UMJ507" s="325"/>
      <c r="UMK507" s="311"/>
      <c r="UML507" s="325"/>
      <c r="UMM507" s="310"/>
      <c r="UMN507" s="325"/>
      <c r="UMO507" s="325"/>
      <c r="UMP507" s="325"/>
      <c r="UMQ507" s="325"/>
      <c r="UMR507" s="325"/>
      <c r="UMS507" s="325"/>
      <c r="UMT507" s="325"/>
      <c r="UMU507" s="325"/>
      <c r="UMV507" s="325"/>
      <c r="UMW507" s="325"/>
      <c r="UMX507" s="325"/>
      <c r="UMY507" s="325"/>
      <c r="UMZ507" s="325"/>
      <c r="UNA507" s="325"/>
      <c r="UNB507" s="325"/>
      <c r="UNC507" s="325"/>
      <c r="UND507" s="325"/>
      <c r="UNE507" s="325"/>
      <c r="UNF507" s="325"/>
      <c r="UNG507" s="325"/>
      <c r="UNH507" s="325"/>
      <c r="UNI507" s="325"/>
      <c r="UNJ507" s="325"/>
      <c r="UNK507" s="325"/>
      <c r="UNL507" s="325"/>
      <c r="UNM507" s="325"/>
      <c r="UNN507" s="325"/>
      <c r="UNO507" s="325"/>
      <c r="UNP507" s="325"/>
      <c r="UNQ507" s="325"/>
      <c r="UNR507" s="327"/>
      <c r="UNS507" s="28"/>
      <c r="UNT507" s="324"/>
      <c r="UNU507" s="324"/>
      <c r="UNV507" s="324"/>
      <c r="UNW507" s="324"/>
      <c r="UNX507" s="324"/>
      <c r="UNY507" s="324"/>
      <c r="UNZ507" s="256"/>
      <c r="UOA507" s="325"/>
      <c r="UOB507" s="311"/>
      <c r="UOC507" s="325"/>
      <c r="UOD507" s="310"/>
      <c r="UOE507" s="325"/>
      <c r="UOF507" s="325"/>
      <c r="UOG507" s="325"/>
      <c r="UOH507" s="325"/>
      <c r="UOI507" s="325"/>
      <c r="UOJ507" s="325"/>
      <c r="UOK507" s="325"/>
      <c r="UOL507" s="325"/>
      <c r="UOM507" s="325"/>
      <c r="UON507" s="325"/>
      <c r="UOO507" s="325"/>
      <c r="UOP507" s="325"/>
      <c r="UOQ507" s="325"/>
      <c r="UOR507" s="325"/>
      <c r="UOS507" s="325"/>
      <c r="UOT507" s="325"/>
      <c r="UOU507" s="325"/>
      <c r="UOV507" s="325"/>
      <c r="UOW507" s="325"/>
      <c r="UOX507" s="325"/>
      <c r="UOY507" s="325"/>
      <c r="UOZ507" s="325"/>
      <c r="UPA507" s="325"/>
      <c r="UPB507" s="325"/>
      <c r="UPC507" s="325"/>
      <c r="UPD507" s="325"/>
      <c r="UPE507" s="325"/>
      <c r="UPF507" s="325"/>
      <c r="UPG507" s="325"/>
      <c r="UPH507" s="325"/>
      <c r="UPI507" s="327"/>
      <c r="UPJ507" s="28"/>
      <c r="UPK507" s="324"/>
      <c r="UPL507" s="324"/>
      <c r="UPM507" s="324"/>
      <c r="UPN507" s="324"/>
      <c r="UPO507" s="324"/>
      <c r="UPP507" s="324"/>
      <c r="UPQ507" s="256"/>
      <c r="UPR507" s="325"/>
      <c r="UPS507" s="311"/>
      <c r="UPT507" s="325"/>
      <c r="UPU507" s="310"/>
      <c r="UPV507" s="325"/>
      <c r="UPW507" s="325"/>
      <c r="UPX507" s="325"/>
      <c r="UPY507" s="325"/>
      <c r="UPZ507" s="325"/>
      <c r="UQA507" s="325"/>
      <c r="UQB507" s="325"/>
      <c r="UQC507" s="325"/>
      <c r="UQD507" s="325"/>
      <c r="UQE507" s="325"/>
      <c r="UQF507" s="325"/>
      <c r="UQG507" s="325"/>
      <c r="UQH507" s="325"/>
      <c r="UQI507" s="325"/>
      <c r="UQJ507" s="325"/>
      <c r="UQK507" s="325"/>
      <c r="UQL507" s="325"/>
      <c r="UQM507" s="325"/>
      <c r="UQN507" s="325"/>
      <c r="UQO507" s="325"/>
      <c r="UQP507" s="325"/>
      <c r="UQQ507" s="325"/>
      <c r="UQR507" s="325"/>
      <c r="UQS507" s="325"/>
      <c r="UQT507" s="325"/>
      <c r="UQU507" s="325"/>
      <c r="UQV507" s="325"/>
      <c r="UQW507" s="325"/>
      <c r="UQX507" s="325"/>
      <c r="UQY507" s="325"/>
      <c r="UQZ507" s="327"/>
      <c r="URA507" s="28"/>
      <c r="URB507" s="324"/>
      <c r="URC507" s="324"/>
      <c r="URD507" s="324"/>
      <c r="URE507" s="324"/>
      <c r="URF507" s="324"/>
      <c r="URG507" s="324"/>
      <c r="URH507" s="256"/>
      <c r="URI507" s="325"/>
      <c r="URJ507" s="311"/>
      <c r="URK507" s="325"/>
      <c r="URL507" s="310"/>
      <c r="URM507" s="325"/>
      <c r="URN507" s="325"/>
      <c r="URO507" s="325"/>
      <c r="URP507" s="325"/>
      <c r="URQ507" s="325"/>
      <c r="URR507" s="325"/>
      <c r="URS507" s="325"/>
      <c r="URT507" s="325"/>
      <c r="URU507" s="325"/>
      <c r="URV507" s="325"/>
      <c r="URW507" s="325"/>
      <c r="URX507" s="325"/>
      <c r="URY507" s="325"/>
      <c r="URZ507" s="325"/>
      <c r="USA507" s="325"/>
      <c r="USB507" s="325"/>
      <c r="USC507" s="325"/>
      <c r="USD507" s="325"/>
      <c r="USE507" s="325"/>
      <c r="USF507" s="325"/>
      <c r="USG507" s="325"/>
      <c r="USH507" s="325"/>
      <c r="USI507" s="325"/>
      <c r="USJ507" s="325"/>
      <c r="USK507" s="325"/>
      <c r="USL507" s="325"/>
      <c r="USM507" s="325"/>
      <c r="USN507" s="325"/>
      <c r="USO507" s="325"/>
      <c r="USP507" s="325"/>
      <c r="USQ507" s="327"/>
      <c r="USR507" s="28"/>
      <c r="USS507" s="324"/>
      <c r="UST507" s="324"/>
      <c r="USU507" s="324"/>
      <c r="USV507" s="324"/>
      <c r="USW507" s="324"/>
      <c r="USX507" s="324"/>
      <c r="USY507" s="256"/>
      <c r="USZ507" s="325"/>
      <c r="UTA507" s="311"/>
      <c r="UTB507" s="325"/>
      <c r="UTC507" s="310"/>
      <c r="UTD507" s="325"/>
      <c r="UTE507" s="325"/>
      <c r="UTF507" s="325"/>
      <c r="UTG507" s="325"/>
      <c r="UTH507" s="325"/>
      <c r="UTI507" s="325"/>
      <c r="UTJ507" s="325"/>
      <c r="UTK507" s="325"/>
      <c r="UTL507" s="325"/>
      <c r="UTM507" s="325"/>
      <c r="UTN507" s="325"/>
      <c r="UTO507" s="325"/>
      <c r="UTP507" s="325"/>
      <c r="UTQ507" s="325"/>
      <c r="UTR507" s="325"/>
      <c r="UTS507" s="325"/>
      <c r="UTT507" s="325"/>
      <c r="UTU507" s="325"/>
      <c r="UTV507" s="325"/>
      <c r="UTW507" s="325"/>
      <c r="UTX507" s="325"/>
      <c r="UTY507" s="325"/>
      <c r="UTZ507" s="325"/>
      <c r="UUA507" s="325"/>
      <c r="UUB507" s="325"/>
      <c r="UUC507" s="325"/>
      <c r="UUD507" s="325"/>
      <c r="UUE507" s="325"/>
      <c r="UUF507" s="325"/>
      <c r="UUG507" s="325"/>
      <c r="UUH507" s="327"/>
      <c r="UUI507" s="28"/>
      <c r="UUJ507" s="324"/>
      <c r="UUK507" s="324"/>
      <c r="UUL507" s="324"/>
      <c r="UUM507" s="324"/>
      <c r="UUN507" s="324"/>
      <c r="UUO507" s="324"/>
      <c r="UUP507" s="256"/>
      <c r="UUQ507" s="325"/>
      <c r="UUR507" s="311"/>
      <c r="UUS507" s="325"/>
      <c r="UUT507" s="310"/>
      <c r="UUU507" s="325"/>
      <c r="UUV507" s="325"/>
      <c r="UUW507" s="325"/>
      <c r="UUX507" s="325"/>
      <c r="UUY507" s="325"/>
      <c r="UUZ507" s="325"/>
      <c r="UVA507" s="325"/>
      <c r="UVB507" s="325"/>
      <c r="UVC507" s="325"/>
      <c r="UVD507" s="325"/>
      <c r="UVE507" s="325"/>
      <c r="UVF507" s="325"/>
      <c r="UVG507" s="325"/>
      <c r="UVH507" s="325"/>
      <c r="UVI507" s="325"/>
      <c r="UVJ507" s="325"/>
      <c r="UVK507" s="325"/>
      <c r="UVL507" s="325"/>
      <c r="UVM507" s="325"/>
      <c r="UVN507" s="325"/>
      <c r="UVO507" s="325"/>
      <c r="UVP507" s="325"/>
      <c r="UVQ507" s="325"/>
      <c r="UVR507" s="325"/>
      <c r="UVS507" s="325"/>
      <c r="UVT507" s="325"/>
      <c r="UVU507" s="325"/>
      <c r="UVV507" s="325"/>
      <c r="UVW507" s="325"/>
      <c r="UVX507" s="325"/>
      <c r="UVY507" s="327"/>
      <c r="UVZ507" s="28"/>
      <c r="UWA507" s="324"/>
      <c r="UWB507" s="324"/>
      <c r="UWC507" s="324"/>
      <c r="UWD507" s="324"/>
      <c r="UWE507" s="324"/>
      <c r="UWF507" s="324"/>
      <c r="UWG507" s="256"/>
      <c r="UWH507" s="325"/>
      <c r="UWI507" s="311"/>
      <c r="UWJ507" s="325"/>
      <c r="UWK507" s="310"/>
      <c r="UWL507" s="325"/>
      <c r="UWM507" s="325"/>
      <c r="UWN507" s="325"/>
      <c r="UWO507" s="325"/>
      <c r="UWP507" s="325"/>
      <c r="UWQ507" s="325"/>
      <c r="UWR507" s="325"/>
      <c r="UWS507" s="325"/>
      <c r="UWT507" s="325"/>
      <c r="UWU507" s="325"/>
      <c r="UWV507" s="325"/>
      <c r="UWW507" s="325"/>
      <c r="UWX507" s="325"/>
      <c r="UWY507" s="325"/>
      <c r="UWZ507" s="325"/>
      <c r="UXA507" s="325"/>
      <c r="UXB507" s="325"/>
      <c r="UXC507" s="325"/>
      <c r="UXD507" s="325"/>
      <c r="UXE507" s="325"/>
      <c r="UXF507" s="325"/>
      <c r="UXG507" s="325"/>
      <c r="UXH507" s="325"/>
      <c r="UXI507" s="325"/>
      <c r="UXJ507" s="325"/>
      <c r="UXK507" s="325"/>
      <c r="UXL507" s="325"/>
      <c r="UXM507" s="325"/>
      <c r="UXN507" s="325"/>
      <c r="UXO507" s="325"/>
      <c r="UXP507" s="327"/>
      <c r="UXQ507" s="28"/>
      <c r="UXR507" s="324"/>
      <c r="UXS507" s="324"/>
      <c r="UXT507" s="324"/>
      <c r="UXU507" s="324"/>
      <c r="UXV507" s="324"/>
      <c r="UXW507" s="324"/>
      <c r="UXX507" s="256"/>
      <c r="UXY507" s="325"/>
      <c r="UXZ507" s="311"/>
      <c r="UYA507" s="325"/>
      <c r="UYB507" s="310"/>
      <c r="UYC507" s="325"/>
      <c r="UYD507" s="325"/>
      <c r="UYE507" s="325"/>
      <c r="UYF507" s="325"/>
      <c r="UYG507" s="325"/>
      <c r="UYH507" s="325"/>
      <c r="UYI507" s="325"/>
      <c r="UYJ507" s="325"/>
      <c r="UYK507" s="325"/>
      <c r="UYL507" s="325"/>
      <c r="UYM507" s="325"/>
      <c r="UYN507" s="325"/>
      <c r="UYO507" s="325"/>
      <c r="UYP507" s="325"/>
      <c r="UYQ507" s="325"/>
      <c r="UYR507" s="325"/>
      <c r="UYS507" s="325"/>
      <c r="UYT507" s="325"/>
      <c r="UYU507" s="325"/>
      <c r="UYV507" s="325"/>
      <c r="UYW507" s="325"/>
      <c r="UYX507" s="325"/>
      <c r="UYY507" s="325"/>
      <c r="UYZ507" s="325"/>
      <c r="UZA507" s="325"/>
      <c r="UZB507" s="325"/>
      <c r="UZC507" s="325"/>
      <c r="UZD507" s="325"/>
      <c r="UZE507" s="325"/>
      <c r="UZF507" s="325"/>
      <c r="UZG507" s="327"/>
      <c r="UZH507" s="28"/>
      <c r="UZI507" s="324"/>
      <c r="UZJ507" s="324"/>
      <c r="UZK507" s="324"/>
      <c r="UZL507" s="324"/>
      <c r="UZM507" s="324"/>
      <c r="UZN507" s="324"/>
      <c r="UZO507" s="256"/>
      <c r="UZP507" s="325"/>
      <c r="UZQ507" s="311"/>
      <c r="UZR507" s="325"/>
      <c r="UZS507" s="310"/>
      <c r="UZT507" s="325"/>
      <c r="UZU507" s="325"/>
      <c r="UZV507" s="325"/>
      <c r="UZW507" s="325"/>
      <c r="UZX507" s="325"/>
      <c r="UZY507" s="325"/>
      <c r="UZZ507" s="325"/>
      <c r="VAA507" s="325"/>
      <c r="VAB507" s="325"/>
      <c r="VAC507" s="325"/>
      <c r="VAD507" s="325"/>
      <c r="VAE507" s="325"/>
      <c r="VAF507" s="325"/>
      <c r="VAG507" s="325"/>
      <c r="VAH507" s="325"/>
      <c r="VAI507" s="325"/>
      <c r="VAJ507" s="325"/>
      <c r="VAK507" s="325"/>
      <c r="VAL507" s="325"/>
      <c r="VAM507" s="325"/>
      <c r="VAN507" s="325"/>
      <c r="VAO507" s="325"/>
      <c r="VAP507" s="325"/>
      <c r="VAQ507" s="325"/>
      <c r="VAR507" s="325"/>
      <c r="VAS507" s="325"/>
      <c r="VAT507" s="325"/>
      <c r="VAU507" s="325"/>
      <c r="VAV507" s="325"/>
      <c r="VAW507" s="325"/>
      <c r="VAX507" s="327"/>
      <c r="VAY507" s="28"/>
      <c r="VAZ507" s="324"/>
      <c r="VBA507" s="324"/>
      <c r="VBB507" s="324"/>
      <c r="VBC507" s="324"/>
      <c r="VBD507" s="324"/>
      <c r="VBE507" s="324"/>
      <c r="VBF507" s="256"/>
      <c r="VBG507" s="325"/>
      <c r="VBH507" s="311"/>
      <c r="VBI507" s="325"/>
      <c r="VBJ507" s="310"/>
      <c r="VBK507" s="325"/>
      <c r="VBL507" s="325"/>
      <c r="VBM507" s="325"/>
      <c r="VBN507" s="325"/>
      <c r="VBO507" s="325"/>
      <c r="VBP507" s="325"/>
      <c r="VBQ507" s="325"/>
      <c r="VBR507" s="325"/>
      <c r="VBS507" s="325"/>
      <c r="VBT507" s="325"/>
      <c r="VBU507" s="325"/>
      <c r="VBV507" s="325"/>
      <c r="VBW507" s="325"/>
      <c r="VBX507" s="325"/>
      <c r="VBY507" s="325"/>
      <c r="VBZ507" s="325"/>
      <c r="VCA507" s="325"/>
      <c r="VCB507" s="325"/>
      <c r="VCC507" s="325"/>
      <c r="VCD507" s="325"/>
      <c r="VCE507" s="325"/>
      <c r="VCF507" s="325"/>
      <c r="VCG507" s="325"/>
      <c r="VCH507" s="325"/>
      <c r="VCI507" s="325"/>
      <c r="VCJ507" s="325"/>
      <c r="VCK507" s="325"/>
      <c r="VCL507" s="325"/>
      <c r="VCM507" s="325"/>
      <c r="VCN507" s="325"/>
      <c r="VCO507" s="327"/>
      <c r="VCP507" s="28"/>
      <c r="VCQ507" s="324"/>
      <c r="VCR507" s="324"/>
      <c r="VCS507" s="324"/>
      <c r="VCT507" s="324"/>
      <c r="VCU507" s="324"/>
      <c r="VCV507" s="324"/>
      <c r="VCW507" s="256"/>
      <c r="VCX507" s="325"/>
      <c r="VCY507" s="311"/>
      <c r="VCZ507" s="325"/>
      <c r="VDA507" s="310"/>
      <c r="VDB507" s="325"/>
      <c r="VDC507" s="325"/>
      <c r="VDD507" s="325"/>
      <c r="VDE507" s="325"/>
      <c r="VDF507" s="325"/>
      <c r="VDG507" s="325"/>
      <c r="VDH507" s="325"/>
      <c r="VDI507" s="325"/>
      <c r="VDJ507" s="325"/>
      <c r="VDK507" s="325"/>
      <c r="VDL507" s="325"/>
      <c r="VDM507" s="325"/>
      <c r="VDN507" s="325"/>
      <c r="VDO507" s="325"/>
      <c r="VDP507" s="325"/>
      <c r="VDQ507" s="325"/>
      <c r="VDR507" s="325"/>
      <c r="VDS507" s="325"/>
      <c r="VDT507" s="325"/>
      <c r="VDU507" s="325"/>
      <c r="VDV507" s="325"/>
      <c r="VDW507" s="325"/>
      <c r="VDX507" s="325"/>
      <c r="VDY507" s="325"/>
      <c r="VDZ507" s="325"/>
      <c r="VEA507" s="325"/>
      <c r="VEB507" s="325"/>
      <c r="VEC507" s="325"/>
      <c r="VED507" s="325"/>
      <c r="VEE507" s="325"/>
      <c r="VEF507" s="327"/>
      <c r="VEG507" s="28"/>
      <c r="VEH507" s="324"/>
      <c r="VEI507" s="324"/>
      <c r="VEJ507" s="324"/>
      <c r="VEK507" s="324"/>
      <c r="VEL507" s="324"/>
      <c r="VEM507" s="324"/>
      <c r="VEN507" s="256"/>
      <c r="VEO507" s="325"/>
      <c r="VEP507" s="311"/>
      <c r="VEQ507" s="325"/>
      <c r="VER507" s="310"/>
      <c r="VES507" s="325"/>
      <c r="VET507" s="325"/>
      <c r="VEU507" s="325"/>
      <c r="VEV507" s="325"/>
      <c r="VEW507" s="325"/>
      <c r="VEX507" s="325"/>
      <c r="VEY507" s="325"/>
      <c r="VEZ507" s="325"/>
      <c r="VFA507" s="325"/>
      <c r="VFB507" s="325"/>
      <c r="VFC507" s="325"/>
      <c r="VFD507" s="325"/>
      <c r="VFE507" s="325"/>
      <c r="VFF507" s="325"/>
      <c r="VFG507" s="325"/>
      <c r="VFH507" s="325"/>
      <c r="VFI507" s="325"/>
      <c r="VFJ507" s="325"/>
      <c r="VFK507" s="325"/>
      <c r="VFL507" s="325"/>
      <c r="VFM507" s="325"/>
      <c r="VFN507" s="325"/>
      <c r="VFO507" s="325"/>
      <c r="VFP507" s="325"/>
      <c r="VFQ507" s="325"/>
      <c r="VFR507" s="325"/>
      <c r="VFS507" s="325"/>
      <c r="VFT507" s="325"/>
      <c r="VFU507" s="325"/>
      <c r="VFV507" s="325"/>
      <c r="VFW507" s="327"/>
      <c r="VFX507" s="28"/>
      <c r="VFY507" s="324"/>
      <c r="VFZ507" s="324"/>
      <c r="VGA507" s="324"/>
      <c r="VGB507" s="324"/>
      <c r="VGC507" s="324"/>
      <c r="VGD507" s="324"/>
      <c r="VGE507" s="256"/>
      <c r="VGF507" s="325"/>
      <c r="VGG507" s="311"/>
      <c r="VGH507" s="325"/>
      <c r="VGI507" s="310"/>
      <c r="VGJ507" s="325"/>
      <c r="VGK507" s="325"/>
      <c r="VGL507" s="325"/>
      <c r="VGM507" s="325"/>
      <c r="VGN507" s="325"/>
      <c r="VGO507" s="325"/>
      <c r="VGP507" s="325"/>
      <c r="VGQ507" s="325"/>
      <c r="VGR507" s="325"/>
      <c r="VGS507" s="325"/>
      <c r="VGT507" s="325"/>
      <c r="VGU507" s="325"/>
      <c r="VGV507" s="325"/>
      <c r="VGW507" s="325"/>
      <c r="VGX507" s="325"/>
      <c r="VGY507" s="325"/>
      <c r="VGZ507" s="325"/>
      <c r="VHA507" s="325"/>
      <c r="VHB507" s="325"/>
      <c r="VHC507" s="325"/>
      <c r="VHD507" s="325"/>
      <c r="VHE507" s="325"/>
      <c r="VHF507" s="325"/>
      <c r="VHG507" s="325"/>
      <c r="VHH507" s="325"/>
      <c r="VHI507" s="325"/>
      <c r="VHJ507" s="325"/>
      <c r="VHK507" s="325"/>
      <c r="VHL507" s="325"/>
      <c r="VHM507" s="325"/>
      <c r="VHN507" s="327"/>
      <c r="VHO507" s="28"/>
      <c r="VHP507" s="324"/>
      <c r="VHQ507" s="324"/>
      <c r="VHR507" s="324"/>
      <c r="VHS507" s="324"/>
      <c r="VHT507" s="324"/>
      <c r="VHU507" s="324"/>
      <c r="VHV507" s="256"/>
      <c r="VHW507" s="325"/>
      <c r="VHX507" s="311"/>
      <c r="VHY507" s="325"/>
      <c r="VHZ507" s="310"/>
      <c r="VIA507" s="325"/>
      <c r="VIB507" s="325"/>
      <c r="VIC507" s="325"/>
      <c r="VID507" s="325"/>
      <c r="VIE507" s="325"/>
      <c r="VIF507" s="325"/>
      <c r="VIG507" s="325"/>
      <c r="VIH507" s="325"/>
      <c r="VII507" s="325"/>
      <c r="VIJ507" s="325"/>
      <c r="VIK507" s="325"/>
      <c r="VIL507" s="325"/>
      <c r="VIM507" s="325"/>
      <c r="VIN507" s="325"/>
      <c r="VIO507" s="325"/>
      <c r="VIP507" s="325"/>
      <c r="VIQ507" s="325"/>
      <c r="VIR507" s="325"/>
      <c r="VIS507" s="325"/>
      <c r="VIT507" s="325"/>
      <c r="VIU507" s="325"/>
      <c r="VIV507" s="325"/>
      <c r="VIW507" s="325"/>
      <c r="VIX507" s="325"/>
      <c r="VIY507" s="325"/>
      <c r="VIZ507" s="325"/>
      <c r="VJA507" s="325"/>
      <c r="VJB507" s="325"/>
      <c r="VJC507" s="325"/>
      <c r="VJD507" s="325"/>
      <c r="VJE507" s="327"/>
      <c r="VJF507" s="28"/>
      <c r="VJG507" s="324"/>
      <c r="VJH507" s="324"/>
      <c r="VJI507" s="324"/>
      <c r="VJJ507" s="324"/>
      <c r="VJK507" s="324"/>
      <c r="VJL507" s="324"/>
      <c r="VJM507" s="256"/>
      <c r="VJN507" s="325"/>
      <c r="VJO507" s="311"/>
      <c r="VJP507" s="325"/>
      <c r="VJQ507" s="310"/>
      <c r="VJR507" s="325"/>
      <c r="VJS507" s="325"/>
      <c r="VJT507" s="325"/>
      <c r="VJU507" s="325"/>
      <c r="VJV507" s="325"/>
      <c r="VJW507" s="325"/>
      <c r="VJX507" s="325"/>
      <c r="VJY507" s="325"/>
      <c r="VJZ507" s="325"/>
      <c r="VKA507" s="325"/>
      <c r="VKB507" s="325"/>
      <c r="VKC507" s="325"/>
      <c r="VKD507" s="325"/>
      <c r="VKE507" s="325"/>
      <c r="VKF507" s="325"/>
      <c r="VKG507" s="325"/>
      <c r="VKH507" s="325"/>
      <c r="VKI507" s="325"/>
      <c r="VKJ507" s="325"/>
      <c r="VKK507" s="325"/>
      <c r="VKL507" s="325"/>
      <c r="VKM507" s="325"/>
      <c r="VKN507" s="325"/>
      <c r="VKO507" s="325"/>
      <c r="VKP507" s="325"/>
      <c r="VKQ507" s="325"/>
      <c r="VKR507" s="325"/>
      <c r="VKS507" s="325"/>
      <c r="VKT507" s="325"/>
      <c r="VKU507" s="325"/>
      <c r="VKV507" s="327"/>
      <c r="VKW507" s="28"/>
      <c r="VKX507" s="324"/>
      <c r="VKY507" s="324"/>
      <c r="VKZ507" s="324"/>
      <c r="VLA507" s="324"/>
      <c r="VLB507" s="324"/>
      <c r="VLC507" s="324"/>
      <c r="VLD507" s="256"/>
      <c r="VLE507" s="325"/>
      <c r="VLF507" s="311"/>
      <c r="VLG507" s="325"/>
      <c r="VLH507" s="310"/>
      <c r="VLI507" s="325"/>
      <c r="VLJ507" s="325"/>
      <c r="VLK507" s="325"/>
      <c r="VLL507" s="325"/>
      <c r="VLM507" s="325"/>
      <c r="VLN507" s="325"/>
      <c r="VLO507" s="325"/>
      <c r="VLP507" s="325"/>
      <c r="VLQ507" s="325"/>
      <c r="VLR507" s="325"/>
      <c r="VLS507" s="325"/>
      <c r="VLT507" s="325"/>
      <c r="VLU507" s="325"/>
      <c r="VLV507" s="325"/>
      <c r="VLW507" s="325"/>
      <c r="VLX507" s="325"/>
      <c r="VLY507" s="325"/>
      <c r="VLZ507" s="325"/>
      <c r="VMA507" s="325"/>
      <c r="VMB507" s="325"/>
      <c r="VMC507" s="325"/>
      <c r="VMD507" s="325"/>
      <c r="VME507" s="325"/>
      <c r="VMF507" s="325"/>
      <c r="VMG507" s="325"/>
      <c r="VMH507" s="325"/>
      <c r="VMI507" s="325"/>
      <c r="VMJ507" s="325"/>
      <c r="VMK507" s="325"/>
      <c r="VML507" s="325"/>
      <c r="VMM507" s="327"/>
      <c r="VMN507" s="28"/>
      <c r="VMO507" s="324"/>
      <c r="VMP507" s="324"/>
      <c r="VMQ507" s="324"/>
      <c r="VMR507" s="324"/>
      <c r="VMS507" s="324"/>
      <c r="VMT507" s="324"/>
      <c r="VMU507" s="256"/>
      <c r="VMV507" s="325"/>
      <c r="VMW507" s="311"/>
      <c r="VMX507" s="325"/>
      <c r="VMY507" s="310"/>
      <c r="VMZ507" s="325"/>
      <c r="VNA507" s="325"/>
      <c r="VNB507" s="325"/>
      <c r="VNC507" s="325"/>
      <c r="VND507" s="325"/>
      <c r="VNE507" s="325"/>
      <c r="VNF507" s="325"/>
      <c r="VNG507" s="325"/>
      <c r="VNH507" s="325"/>
      <c r="VNI507" s="325"/>
      <c r="VNJ507" s="325"/>
      <c r="VNK507" s="325"/>
      <c r="VNL507" s="325"/>
      <c r="VNM507" s="325"/>
      <c r="VNN507" s="325"/>
      <c r="VNO507" s="325"/>
      <c r="VNP507" s="325"/>
      <c r="VNQ507" s="325"/>
      <c r="VNR507" s="325"/>
      <c r="VNS507" s="325"/>
      <c r="VNT507" s="325"/>
      <c r="VNU507" s="325"/>
      <c r="VNV507" s="325"/>
      <c r="VNW507" s="325"/>
      <c r="VNX507" s="325"/>
      <c r="VNY507" s="325"/>
      <c r="VNZ507" s="325"/>
      <c r="VOA507" s="325"/>
      <c r="VOB507" s="325"/>
      <c r="VOC507" s="325"/>
      <c r="VOD507" s="327"/>
      <c r="VOE507" s="28"/>
      <c r="VOF507" s="324"/>
      <c r="VOG507" s="324"/>
      <c r="VOH507" s="324"/>
      <c r="VOI507" s="324"/>
      <c r="VOJ507" s="324"/>
      <c r="VOK507" s="324"/>
      <c r="VOL507" s="256"/>
      <c r="VOM507" s="325"/>
      <c r="VON507" s="311"/>
      <c r="VOO507" s="325"/>
      <c r="VOP507" s="310"/>
      <c r="VOQ507" s="325"/>
      <c r="VOR507" s="325"/>
      <c r="VOS507" s="325"/>
      <c r="VOT507" s="325"/>
      <c r="VOU507" s="325"/>
      <c r="VOV507" s="325"/>
      <c r="VOW507" s="325"/>
      <c r="VOX507" s="325"/>
      <c r="VOY507" s="325"/>
      <c r="VOZ507" s="325"/>
      <c r="VPA507" s="325"/>
      <c r="VPB507" s="325"/>
      <c r="VPC507" s="325"/>
      <c r="VPD507" s="325"/>
      <c r="VPE507" s="325"/>
      <c r="VPF507" s="325"/>
      <c r="VPG507" s="325"/>
      <c r="VPH507" s="325"/>
      <c r="VPI507" s="325"/>
      <c r="VPJ507" s="325"/>
      <c r="VPK507" s="325"/>
      <c r="VPL507" s="325"/>
      <c r="VPM507" s="325"/>
      <c r="VPN507" s="325"/>
      <c r="VPO507" s="325"/>
      <c r="VPP507" s="325"/>
      <c r="VPQ507" s="325"/>
      <c r="VPR507" s="325"/>
      <c r="VPS507" s="325"/>
      <c r="VPT507" s="325"/>
      <c r="VPU507" s="327"/>
      <c r="VPV507" s="28"/>
      <c r="VPW507" s="324"/>
      <c r="VPX507" s="324"/>
      <c r="VPY507" s="324"/>
      <c r="VPZ507" s="324"/>
      <c r="VQA507" s="324"/>
      <c r="VQB507" s="324"/>
      <c r="VQC507" s="256"/>
      <c r="VQD507" s="325"/>
      <c r="VQE507" s="311"/>
      <c r="VQF507" s="325"/>
      <c r="VQG507" s="310"/>
      <c r="VQH507" s="325"/>
      <c r="VQI507" s="325"/>
      <c r="VQJ507" s="325"/>
      <c r="VQK507" s="325"/>
      <c r="VQL507" s="325"/>
      <c r="VQM507" s="325"/>
      <c r="VQN507" s="325"/>
      <c r="VQO507" s="325"/>
      <c r="VQP507" s="325"/>
      <c r="VQQ507" s="325"/>
      <c r="VQR507" s="325"/>
      <c r="VQS507" s="325"/>
      <c r="VQT507" s="325"/>
      <c r="VQU507" s="325"/>
      <c r="VQV507" s="325"/>
      <c r="VQW507" s="325"/>
      <c r="VQX507" s="325"/>
      <c r="VQY507" s="325"/>
      <c r="VQZ507" s="325"/>
      <c r="VRA507" s="325"/>
      <c r="VRB507" s="325"/>
      <c r="VRC507" s="325"/>
      <c r="VRD507" s="325"/>
      <c r="VRE507" s="325"/>
      <c r="VRF507" s="325"/>
      <c r="VRG507" s="325"/>
      <c r="VRH507" s="325"/>
      <c r="VRI507" s="325"/>
      <c r="VRJ507" s="325"/>
      <c r="VRK507" s="325"/>
      <c r="VRL507" s="327"/>
      <c r="VRM507" s="28"/>
      <c r="VRN507" s="324"/>
      <c r="VRO507" s="324"/>
      <c r="VRP507" s="324"/>
      <c r="VRQ507" s="324"/>
      <c r="VRR507" s="324"/>
      <c r="VRS507" s="324"/>
      <c r="VRT507" s="256"/>
      <c r="VRU507" s="325"/>
      <c r="VRV507" s="311"/>
      <c r="VRW507" s="325"/>
      <c r="VRX507" s="310"/>
      <c r="VRY507" s="325"/>
      <c r="VRZ507" s="325"/>
      <c r="VSA507" s="325"/>
      <c r="VSB507" s="325"/>
      <c r="VSC507" s="325"/>
      <c r="VSD507" s="325"/>
      <c r="VSE507" s="325"/>
      <c r="VSF507" s="325"/>
      <c r="VSG507" s="325"/>
      <c r="VSH507" s="325"/>
      <c r="VSI507" s="325"/>
      <c r="VSJ507" s="325"/>
      <c r="VSK507" s="325"/>
      <c r="VSL507" s="325"/>
      <c r="VSM507" s="325"/>
      <c r="VSN507" s="325"/>
      <c r="VSO507" s="325"/>
      <c r="VSP507" s="325"/>
      <c r="VSQ507" s="325"/>
      <c r="VSR507" s="325"/>
      <c r="VSS507" s="325"/>
      <c r="VST507" s="325"/>
      <c r="VSU507" s="325"/>
      <c r="VSV507" s="325"/>
      <c r="VSW507" s="325"/>
      <c r="VSX507" s="325"/>
      <c r="VSY507" s="325"/>
      <c r="VSZ507" s="325"/>
      <c r="VTA507" s="325"/>
      <c r="VTB507" s="325"/>
      <c r="VTC507" s="327"/>
      <c r="VTD507" s="28"/>
      <c r="VTE507" s="324"/>
      <c r="VTF507" s="324"/>
      <c r="VTG507" s="324"/>
      <c r="VTH507" s="324"/>
      <c r="VTI507" s="324"/>
      <c r="VTJ507" s="324"/>
      <c r="VTK507" s="256"/>
      <c r="VTL507" s="325"/>
      <c r="VTM507" s="311"/>
      <c r="VTN507" s="325"/>
      <c r="VTO507" s="310"/>
      <c r="VTP507" s="325"/>
      <c r="VTQ507" s="325"/>
      <c r="VTR507" s="325"/>
      <c r="VTS507" s="325"/>
      <c r="VTT507" s="325"/>
      <c r="VTU507" s="325"/>
      <c r="VTV507" s="325"/>
      <c r="VTW507" s="325"/>
      <c r="VTX507" s="325"/>
      <c r="VTY507" s="325"/>
      <c r="VTZ507" s="325"/>
      <c r="VUA507" s="325"/>
      <c r="VUB507" s="325"/>
      <c r="VUC507" s="325"/>
      <c r="VUD507" s="325"/>
      <c r="VUE507" s="325"/>
      <c r="VUF507" s="325"/>
      <c r="VUG507" s="325"/>
      <c r="VUH507" s="325"/>
      <c r="VUI507" s="325"/>
      <c r="VUJ507" s="325"/>
      <c r="VUK507" s="325"/>
      <c r="VUL507" s="325"/>
      <c r="VUM507" s="325"/>
      <c r="VUN507" s="325"/>
      <c r="VUO507" s="325"/>
      <c r="VUP507" s="325"/>
      <c r="VUQ507" s="325"/>
      <c r="VUR507" s="325"/>
      <c r="VUS507" s="325"/>
      <c r="VUT507" s="327"/>
      <c r="VUU507" s="28"/>
      <c r="VUV507" s="324"/>
      <c r="VUW507" s="324"/>
      <c r="VUX507" s="324"/>
      <c r="VUY507" s="324"/>
      <c r="VUZ507" s="324"/>
      <c r="VVA507" s="324"/>
      <c r="VVB507" s="256"/>
      <c r="VVC507" s="325"/>
      <c r="VVD507" s="311"/>
      <c r="VVE507" s="325"/>
      <c r="VVF507" s="310"/>
      <c r="VVG507" s="325"/>
      <c r="VVH507" s="325"/>
      <c r="VVI507" s="325"/>
      <c r="VVJ507" s="325"/>
      <c r="VVK507" s="325"/>
      <c r="VVL507" s="325"/>
      <c r="VVM507" s="325"/>
      <c r="VVN507" s="325"/>
      <c r="VVO507" s="325"/>
      <c r="VVP507" s="325"/>
      <c r="VVQ507" s="325"/>
      <c r="VVR507" s="325"/>
      <c r="VVS507" s="325"/>
      <c r="VVT507" s="325"/>
      <c r="VVU507" s="325"/>
      <c r="VVV507" s="325"/>
      <c r="VVW507" s="325"/>
      <c r="VVX507" s="325"/>
      <c r="VVY507" s="325"/>
      <c r="VVZ507" s="325"/>
      <c r="VWA507" s="325"/>
      <c r="VWB507" s="325"/>
      <c r="VWC507" s="325"/>
      <c r="VWD507" s="325"/>
      <c r="VWE507" s="325"/>
      <c r="VWF507" s="325"/>
      <c r="VWG507" s="325"/>
      <c r="VWH507" s="325"/>
      <c r="VWI507" s="325"/>
      <c r="VWJ507" s="325"/>
      <c r="VWK507" s="327"/>
      <c r="VWL507" s="28"/>
      <c r="VWM507" s="324"/>
      <c r="VWN507" s="324"/>
      <c r="VWO507" s="324"/>
      <c r="VWP507" s="324"/>
      <c r="VWQ507" s="324"/>
      <c r="VWR507" s="324"/>
      <c r="VWS507" s="256"/>
      <c r="VWT507" s="325"/>
      <c r="VWU507" s="311"/>
      <c r="VWV507" s="325"/>
      <c r="VWW507" s="310"/>
      <c r="VWX507" s="325"/>
      <c r="VWY507" s="325"/>
      <c r="VWZ507" s="325"/>
      <c r="VXA507" s="325"/>
      <c r="VXB507" s="325"/>
      <c r="VXC507" s="325"/>
      <c r="VXD507" s="325"/>
      <c r="VXE507" s="325"/>
      <c r="VXF507" s="325"/>
      <c r="VXG507" s="325"/>
      <c r="VXH507" s="325"/>
      <c r="VXI507" s="325"/>
      <c r="VXJ507" s="325"/>
      <c r="VXK507" s="325"/>
      <c r="VXL507" s="325"/>
      <c r="VXM507" s="325"/>
      <c r="VXN507" s="325"/>
      <c r="VXO507" s="325"/>
      <c r="VXP507" s="325"/>
      <c r="VXQ507" s="325"/>
      <c r="VXR507" s="325"/>
      <c r="VXS507" s="325"/>
      <c r="VXT507" s="325"/>
      <c r="VXU507" s="325"/>
      <c r="VXV507" s="325"/>
      <c r="VXW507" s="325"/>
      <c r="VXX507" s="325"/>
      <c r="VXY507" s="325"/>
      <c r="VXZ507" s="325"/>
      <c r="VYA507" s="325"/>
      <c r="VYB507" s="327"/>
      <c r="VYC507" s="28"/>
      <c r="VYD507" s="324"/>
      <c r="VYE507" s="324"/>
      <c r="VYF507" s="324"/>
      <c r="VYG507" s="324"/>
      <c r="VYH507" s="324"/>
      <c r="VYI507" s="324"/>
      <c r="VYJ507" s="256"/>
      <c r="VYK507" s="325"/>
      <c r="VYL507" s="311"/>
      <c r="VYM507" s="325"/>
      <c r="VYN507" s="310"/>
      <c r="VYO507" s="325"/>
      <c r="VYP507" s="325"/>
      <c r="VYQ507" s="325"/>
      <c r="VYR507" s="325"/>
      <c r="VYS507" s="325"/>
      <c r="VYT507" s="325"/>
      <c r="VYU507" s="325"/>
      <c r="VYV507" s="325"/>
      <c r="VYW507" s="325"/>
      <c r="VYX507" s="325"/>
      <c r="VYY507" s="325"/>
      <c r="VYZ507" s="325"/>
      <c r="VZA507" s="325"/>
      <c r="VZB507" s="325"/>
      <c r="VZC507" s="325"/>
      <c r="VZD507" s="325"/>
      <c r="VZE507" s="325"/>
      <c r="VZF507" s="325"/>
      <c r="VZG507" s="325"/>
      <c r="VZH507" s="325"/>
      <c r="VZI507" s="325"/>
      <c r="VZJ507" s="325"/>
      <c r="VZK507" s="325"/>
      <c r="VZL507" s="325"/>
      <c r="VZM507" s="325"/>
      <c r="VZN507" s="325"/>
      <c r="VZO507" s="325"/>
      <c r="VZP507" s="325"/>
      <c r="VZQ507" s="325"/>
      <c r="VZR507" s="325"/>
      <c r="VZS507" s="327"/>
      <c r="VZT507" s="28"/>
      <c r="VZU507" s="324"/>
      <c r="VZV507" s="324"/>
      <c r="VZW507" s="324"/>
      <c r="VZX507" s="324"/>
      <c r="VZY507" s="324"/>
      <c r="VZZ507" s="324"/>
      <c r="WAA507" s="256"/>
      <c r="WAB507" s="325"/>
      <c r="WAC507" s="311"/>
      <c r="WAD507" s="325"/>
      <c r="WAE507" s="310"/>
      <c r="WAF507" s="325"/>
      <c r="WAG507" s="325"/>
      <c r="WAH507" s="325"/>
      <c r="WAI507" s="325"/>
      <c r="WAJ507" s="325"/>
      <c r="WAK507" s="325"/>
      <c r="WAL507" s="325"/>
      <c r="WAM507" s="325"/>
      <c r="WAN507" s="325"/>
      <c r="WAO507" s="325"/>
      <c r="WAP507" s="325"/>
      <c r="WAQ507" s="325"/>
      <c r="WAR507" s="325"/>
      <c r="WAS507" s="325"/>
      <c r="WAT507" s="325"/>
      <c r="WAU507" s="325"/>
      <c r="WAV507" s="325"/>
      <c r="WAW507" s="325"/>
      <c r="WAX507" s="325"/>
      <c r="WAY507" s="325"/>
      <c r="WAZ507" s="325"/>
      <c r="WBA507" s="325"/>
      <c r="WBB507" s="325"/>
      <c r="WBC507" s="325"/>
      <c r="WBD507" s="325"/>
      <c r="WBE507" s="325"/>
      <c r="WBF507" s="325"/>
      <c r="WBG507" s="325"/>
      <c r="WBH507" s="325"/>
      <c r="WBI507" s="325"/>
      <c r="WBJ507" s="327"/>
      <c r="WBK507" s="28"/>
      <c r="WBL507" s="324"/>
      <c r="WBM507" s="324"/>
      <c r="WBN507" s="324"/>
      <c r="WBO507" s="324"/>
      <c r="WBP507" s="324"/>
      <c r="WBQ507" s="324"/>
      <c r="WBR507" s="256"/>
      <c r="WBS507" s="325"/>
      <c r="WBT507" s="311"/>
      <c r="WBU507" s="325"/>
      <c r="WBV507" s="310"/>
      <c r="WBW507" s="325"/>
      <c r="WBX507" s="325"/>
      <c r="WBY507" s="325"/>
      <c r="WBZ507" s="325"/>
      <c r="WCA507" s="325"/>
      <c r="WCB507" s="325"/>
      <c r="WCC507" s="325"/>
      <c r="WCD507" s="325"/>
      <c r="WCE507" s="325"/>
      <c r="WCF507" s="325"/>
      <c r="WCG507" s="325"/>
      <c r="WCH507" s="325"/>
      <c r="WCI507" s="325"/>
      <c r="WCJ507" s="325"/>
      <c r="WCK507" s="325"/>
      <c r="WCL507" s="325"/>
      <c r="WCM507" s="325"/>
      <c r="WCN507" s="325"/>
      <c r="WCO507" s="325"/>
      <c r="WCP507" s="325"/>
      <c r="WCQ507" s="325"/>
      <c r="WCR507" s="325"/>
      <c r="WCS507" s="325"/>
      <c r="WCT507" s="325"/>
      <c r="WCU507" s="325"/>
      <c r="WCV507" s="325"/>
      <c r="WCW507" s="325"/>
      <c r="WCX507" s="325"/>
      <c r="WCY507" s="325"/>
      <c r="WCZ507" s="325"/>
      <c r="WDA507" s="327"/>
      <c r="WDB507" s="28"/>
      <c r="WDC507" s="324"/>
      <c r="WDD507" s="324"/>
      <c r="WDE507" s="324"/>
      <c r="WDF507" s="324"/>
      <c r="WDG507" s="324"/>
      <c r="WDH507" s="324"/>
      <c r="WDI507" s="256"/>
      <c r="WDJ507" s="325"/>
      <c r="WDK507" s="311"/>
      <c r="WDL507" s="325"/>
      <c r="WDM507" s="310"/>
      <c r="WDN507" s="325"/>
      <c r="WDO507" s="325"/>
      <c r="WDP507" s="325"/>
      <c r="WDQ507" s="325"/>
      <c r="WDR507" s="325"/>
      <c r="WDS507" s="325"/>
      <c r="WDT507" s="325"/>
      <c r="WDU507" s="325"/>
      <c r="WDV507" s="325"/>
      <c r="WDW507" s="325"/>
      <c r="WDX507" s="325"/>
      <c r="WDY507" s="325"/>
      <c r="WDZ507" s="325"/>
      <c r="WEA507" s="325"/>
      <c r="WEB507" s="325"/>
      <c r="WEC507" s="325"/>
      <c r="WED507" s="325"/>
      <c r="WEE507" s="325"/>
      <c r="WEF507" s="325"/>
      <c r="WEG507" s="325"/>
      <c r="WEH507" s="325"/>
      <c r="WEI507" s="325"/>
      <c r="WEJ507" s="325"/>
      <c r="WEK507" s="325"/>
      <c r="WEL507" s="325"/>
      <c r="WEM507" s="325"/>
      <c r="WEN507" s="325"/>
      <c r="WEO507" s="325"/>
      <c r="WEP507" s="325"/>
      <c r="WEQ507" s="325"/>
      <c r="WER507" s="327"/>
      <c r="WES507" s="28"/>
      <c r="WET507" s="324"/>
      <c r="WEU507" s="324"/>
      <c r="WEV507" s="324"/>
      <c r="WEW507" s="324"/>
      <c r="WEX507" s="324"/>
      <c r="WEY507" s="324"/>
      <c r="WEZ507" s="256"/>
      <c r="WFA507" s="325"/>
      <c r="WFB507" s="311"/>
      <c r="WFC507" s="325"/>
      <c r="WFD507" s="310"/>
      <c r="WFE507" s="325"/>
      <c r="WFF507" s="325"/>
      <c r="WFG507" s="325"/>
      <c r="WFH507" s="325"/>
      <c r="WFI507" s="325"/>
      <c r="WFJ507" s="325"/>
      <c r="WFK507" s="325"/>
      <c r="WFL507" s="325"/>
      <c r="WFM507" s="325"/>
      <c r="WFN507" s="325"/>
      <c r="WFO507" s="325"/>
      <c r="WFP507" s="325"/>
      <c r="WFQ507" s="325"/>
      <c r="WFR507" s="325"/>
      <c r="WFS507" s="325"/>
      <c r="WFT507" s="325"/>
      <c r="WFU507" s="325"/>
      <c r="WFV507" s="325"/>
      <c r="WFW507" s="325"/>
      <c r="WFX507" s="325"/>
      <c r="WFY507" s="325"/>
      <c r="WFZ507" s="325"/>
      <c r="WGA507" s="325"/>
      <c r="WGB507" s="325"/>
      <c r="WGC507" s="325"/>
      <c r="WGD507" s="325"/>
      <c r="WGE507" s="325"/>
      <c r="WGF507" s="325"/>
      <c r="WGG507" s="325"/>
      <c r="WGH507" s="325"/>
      <c r="WGI507" s="327"/>
      <c r="WGJ507" s="28"/>
      <c r="WGK507" s="324"/>
      <c r="WGL507" s="324"/>
      <c r="WGM507" s="324"/>
      <c r="WGN507" s="324"/>
      <c r="WGO507" s="324"/>
      <c r="WGP507" s="324"/>
      <c r="WGQ507" s="256"/>
      <c r="WGR507" s="325"/>
      <c r="WGS507" s="311"/>
      <c r="WGT507" s="325"/>
      <c r="WGU507" s="310"/>
      <c r="WGV507" s="325"/>
      <c r="WGW507" s="325"/>
      <c r="WGX507" s="325"/>
      <c r="WGY507" s="325"/>
      <c r="WGZ507" s="325"/>
      <c r="WHA507" s="325"/>
      <c r="WHB507" s="325"/>
      <c r="WHC507" s="325"/>
      <c r="WHD507" s="325"/>
      <c r="WHE507" s="325"/>
      <c r="WHF507" s="325"/>
      <c r="WHG507" s="325"/>
      <c r="WHH507" s="325"/>
      <c r="WHI507" s="325"/>
      <c r="WHJ507" s="325"/>
      <c r="WHK507" s="325"/>
      <c r="WHL507" s="325"/>
      <c r="WHM507" s="325"/>
      <c r="WHN507" s="325"/>
      <c r="WHO507" s="325"/>
      <c r="WHP507" s="325"/>
      <c r="WHQ507" s="325"/>
      <c r="WHR507" s="325"/>
      <c r="WHS507" s="325"/>
      <c r="WHT507" s="325"/>
      <c r="WHU507" s="325"/>
      <c r="WHV507" s="325"/>
      <c r="WHW507" s="325"/>
      <c r="WHX507" s="325"/>
      <c r="WHY507" s="325"/>
      <c r="WHZ507" s="327"/>
      <c r="WIA507" s="28"/>
      <c r="WIB507" s="324"/>
      <c r="WIC507" s="324"/>
      <c r="WID507" s="324"/>
      <c r="WIE507" s="324"/>
      <c r="WIF507" s="324"/>
      <c r="WIG507" s="324"/>
      <c r="WIH507" s="256"/>
      <c r="WII507" s="325"/>
      <c r="WIJ507" s="311"/>
      <c r="WIK507" s="325"/>
      <c r="WIL507" s="310"/>
      <c r="WIM507" s="325"/>
      <c r="WIN507" s="325"/>
      <c r="WIO507" s="325"/>
      <c r="WIP507" s="325"/>
      <c r="WIQ507" s="325"/>
      <c r="WIR507" s="325"/>
      <c r="WIS507" s="325"/>
      <c r="WIT507" s="325"/>
      <c r="WIU507" s="325"/>
      <c r="WIV507" s="325"/>
      <c r="WIW507" s="325"/>
      <c r="WIX507" s="325"/>
      <c r="WIY507" s="325"/>
      <c r="WIZ507" s="325"/>
      <c r="WJA507" s="325"/>
      <c r="WJB507" s="325"/>
      <c r="WJC507" s="325"/>
      <c r="WJD507" s="325"/>
      <c r="WJE507" s="325"/>
      <c r="WJF507" s="325"/>
      <c r="WJG507" s="325"/>
      <c r="WJH507" s="325"/>
      <c r="WJI507" s="325"/>
      <c r="WJJ507" s="325"/>
      <c r="WJK507" s="325"/>
      <c r="WJL507" s="325"/>
      <c r="WJM507" s="325"/>
      <c r="WJN507" s="325"/>
      <c r="WJO507" s="325"/>
      <c r="WJP507" s="325"/>
      <c r="WJQ507" s="327"/>
      <c r="WJR507" s="28"/>
      <c r="WJS507" s="324"/>
      <c r="WJT507" s="324"/>
      <c r="WJU507" s="324"/>
      <c r="WJV507" s="324"/>
      <c r="WJW507" s="324"/>
      <c r="WJX507" s="324"/>
      <c r="WJY507" s="256"/>
      <c r="WJZ507" s="325"/>
      <c r="WKA507" s="311"/>
      <c r="WKB507" s="325"/>
      <c r="WKC507" s="310"/>
      <c r="WKD507" s="325"/>
      <c r="WKE507" s="325"/>
      <c r="WKF507" s="325"/>
      <c r="WKG507" s="325"/>
      <c r="WKH507" s="325"/>
      <c r="WKI507" s="325"/>
      <c r="WKJ507" s="325"/>
      <c r="WKK507" s="325"/>
      <c r="WKL507" s="325"/>
      <c r="WKM507" s="325"/>
      <c r="WKN507" s="325"/>
      <c r="WKO507" s="325"/>
      <c r="WKP507" s="325"/>
      <c r="WKQ507" s="325"/>
      <c r="WKR507" s="325"/>
      <c r="WKS507" s="325"/>
      <c r="WKT507" s="325"/>
      <c r="WKU507" s="325"/>
      <c r="WKV507" s="325"/>
      <c r="WKW507" s="325"/>
      <c r="WKX507" s="325"/>
      <c r="WKY507" s="325"/>
      <c r="WKZ507" s="325"/>
      <c r="WLA507" s="325"/>
      <c r="WLB507" s="325"/>
      <c r="WLC507" s="325"/>
      <c r="WLD507" s="325"/>
      <c r="WLE507" s="325"/>
      <c r="WLF507" s="325"/>
      <c r="WLG507" s="325"/>
      <c r="WLH507" s="327"/>
      <c r="WLI507" s="28"/>
      <c r="WLJ507" s="324"/>
      <c r="WLK507" s="324"/>
      <c r="WLL507" s="324"/>
      <c r="WLM507" s="324"/>
      <c r="WLN507" s="324"/>
      <c r="WLO507" s="324"/>
      <c r="WLP507" s="256"/>
      <c r="WLQ507" s="325"/>
      <c r="WLR507" s="311"/>
      <c r="WLS507" s="325"/>
      <c r="WLT507" s="310"/>
      <c r="WLU507" s="325"/>
      <c r="WLV507" s="325"/>
      <c r="WLW507" s="325"/>
      <c r="WLX507" s="325"/>
      <c r="WLY507" s="325"/>
      <c r="WLZ507" s="325"/>
      <c r="WMA507" s="325"/>
      <c r="WMB507" s="325"/>
      <c r="WMC507" s="325"/>
      <c r="WMD507" s="325"/>
      <c r="WME507" s="325"/>
      <c r="WMF507" s="325"/>
      <c r="WMG507" s="325"/>
      <c r="WMH507" s="325"/>
      <c r="WMI507" s="325"/>
      <c r="WMJ507" s="325"/>
      <c r="WMK507" s="325"/>
      <c r="WML507" s="325"/>
      <c r="WMM507" s="325"/>
      <c r="WMN507" s="325"/>
      <c r="WMO507" s="325"/>
      <c r="WMP507" s="325"/>
      <c r="WMQ507" s="325"/>
      <c r="WMR507" s="325"/>
      <c r="WMS507" s="325"/>
      <c r="WMT507" s="325"/>
      <c r="WMU507" s="325"/>
      <c r="WMV507" s="325"/>
      <c r="WMW507" s="325"/>
      <c r="WMX507" s="325"/>
      <c r="WMY507" s="327"/>
      <c r="WMZ507" s="28"/>
      <c r="WNA507" s="324"/>
      <c r="WNB507" s="324"/>
      <c r="WNC507" s="324"/>
      <c r="WND507" s="324"/>
      <c r="WNE507" s="324"/>
      <c r="WNF507" s="324"/>
      <c r="WNG507" s="256"/>
      <c r="WNH507" s="325"/>
      <c r="WNI507" s="311"/>
      <c r="WNJ507" s="325"/>
      <c r="WNK507" s="310"/>
      <c r="WNL507" s="325"/>
      <c r="WNM507" s="325"/>
      <c r="WNN507" s="325"/>
      <c r="WNO507" s="325"/>
      <c r="WNP507" s="325"/>
      <c r="WNQ507" s="325"/>
      <c r="WNR507" s="325"/>
      <c r="WNS507" s="325"/>
      <c r="WNT507" s="325"/>
      <c r="WNU507" s="325"/>
      <c r="WNV507" s="325"/>
      <c r="WNW507" s="325"/>
      <c r="WNX507" s="325"/>
      <c r="WNY507" s="325"/>
      <c r="WNZ507" s="325"/>
      <c r="WOA507" s="325"/>
      <c r="WOB507" s="325"/>
      <c r="WOC507" s="325"/>
      <c r="WOD507" s="325"/>
      <c r="WOE507" s="325"/>
      <c r="WOF507" s="325"/>
      <c r="WOG507" s="325"/>
      <c r="WOH507" s="325"/>
      <c r="WOI507" s="325"/>
      <c r="WOJ507" s="325"/>
      <c r="WOK507" s="325"/>
      <c r="WOL507" s="325"/>
      <c r="WOM507" s="325"/>
      <c r="WON507" s="325"/>
      <c r="WOO507" s="325"/>
      <c r="WOP507" s="327"/>
      <c r="WOQ507" s="28"/>
      <c r="WOR507" s="324"/>
      <c r="WOS507" s="324"/>
      <c r="WOT507" s="324"/>
      <c r="WOU507" s="324"/>
      <c r="WOV507" s="324"/>
      <c r="WOW507" s="324"/>
      <c r="WOX507" s="256"/>
      <c r="WOY507" s="325"/>
      <c r="WOZ507" s="311"/>
      <c r="WPA507" s="325"/>
      <c r="WPB507" s="310"/>
      <c r="WPC507" s="325"/>
      <c r="WPD507" s="325"/>
      <c r="WPE507" s="325"/>
      <c r="WPF507" s="325"/>
      <c r="WPG507" s="325"/>
      <c r="WPH507" s="325"/>
      <c r="WPI507" s="325"/>
      <c r="WPJ507" s="325"/>
      <c r="WPK507" s="325"/>
      <c r="WPL507" s="325"/>
      <c r="WPM507" s="325"/>
      <c r="WPN507" s="325"/>
      <c r="WPO507" s="325"/>
      <c r="WPP507" s="325"/>
      <c r="WPQ507" s="325"/>
      <c r="WPR507" s="325"/>
      <c r="WPS507" s="325"/>
      <c r="WPT507" s="325"/>
      <c r="WPU507" s="325"/>
      <c r="WPV507" s="325"/>
      <c r="WPW507" s="325"/>
      <c r="WPX507" s="325"/>
      <c r="WPY507" s="325"/>
      <c r="WPZ507" s="325"/>
      <c r="WQA507" s="325"/>
      <c r="WQB507" s="325"/>
      <c r="WQC507" s="325"/>
      <c r="WQD507" s="325"/>
      <c r="WQE507" s="325"/>
      <c r="WQF507" s="325"/>
      <c r="WQG507" s="327"/>
      <c r="WQH507" s="28"/>
      <c r="WQI507" s="324"/>
      <c r="WQJ507" s="324"/>
      <c r="WQK507" s="324"/>
      <c r="WQL507" s="324"/>
      <c r="WQM507" s="324"/>
      <c r="WQN507" s="324"/>
      <c r="WQO507" s="256"/>
      <c r="WQP507" s="325"/>
      <c r="WQQ507" s="311"/>
      <c r="WQR507" s="325"/>
      <c r="WQS507" s="310"/>
      <c r="WQT507" s="325"/>
      <c r="WQU507" s="325"/>
      <c r="WQV507" s="325"/>
      <c r="WQW507" s="325"/>
      <c r="WQX507" s="325"/>
      <c r="WQY507" s="325"/>
      <c r="WQZ507" s="325"/>
      <c r="WRA507" s="325"/>
      <c r="WRB507" s="325"/>
      <c r="WRC507" s="325"/>
      <c r="WRD507" s="325"/>
      <c r="WRE507" s="325"/>
      <c r="WRF507" s="325"/>
      <c r="WRG507" s="325"/>
      <c r="WRH507" s="325"/>
      <c r="WRI507" s="325"/>
      <c r="WRJ507" s="325"/>
      <c r="WRK507" s="325"/>
      <c r="WRL507" s="325"/>
      <c r="WRM507" s="325"/>
      <c r="WRN507" s="325"/>
      <c r="WRO507" s="325"/>
      <c r="WRP507" s="325"/>
      <c r="WRQ507" s="325"/>
      <c r="WRR507" s="325"/>
      <c r="WRS507" s="325"/>
      <c r="WRT507" s="325"/>
      <c r="WRU507" s="325"/>
      <c r="WRV507" s="325"/>
      <c r="WRW507" s="325"/>
      <c r="WRX507" s="327"/>
      <c r="WRY507" s="28"/>
      <c r="WRZ507" s="324"/>
      <c r="WSA507" s="324"/>
      <c r="WSB507" s="324"/>
      <c r="WSC507" s="324"/>
      <c r="WSD507" s="324"/>
      <c r="WSE507" s="324"/>
      <c r="WSF507" s="256"/>
      <c r="WSG507" s="325"/>
      <c r="WSH507" s="311"/>
      <c r="WSI507" s="325"/>
      <c r="WSJ507" s="310"/>
      <c r="WSK507" s="325"/>
      <c r="WSL507" s="325"/>
      <c r="WSM507" s="325"/>
      <c r="WSN507" s="325"/>
      <c r="WSO507" s="325"/>
      <c r="WSP507" s="325"/>
      <c r="WSQ507" s="325"/>
      <c r="WSR507" s="325"/>
      <c r="WSS507" s="325"/>
      <c r="WST507" s="325"/>
      <c r="WSU507" s="325"/>
      <c r="WSV507" s="325"/>
      <c r="WSW507" s="325"/>
      <c r="WSX507" s="325"/>
      <c r="WSY507" s="325"/>
      <c r="WSZ507" s="325"/>
      <c r="WTA507" s="325"/>
      <c r="WTB507" s="325"/>
      <c r="WTC507" s="325"/>
      <c r="WTD507" s="325"/>
      <c r="WTE507" s="325"/>
      <c r="WTF507" s="325"/>
      <c r="WTG507" s="325"/>
      <c r="WTH507" s="325"/>
      <c r="WTI507" s="325"/>
      <c r="WTJ507" s="325"/>
      <c r="WTK507" s="325"/>
      <c r="WTL507" s="325"/>
      <c r="WTM507" s="325"/>
      <c r="WTN507" s="325"/>
      <c r="WTO507" s="327"/>
      <c r="WTP507" s="28"/>
      <c r="WTQ507" s="324"/>
      <c r="WTR507" s="324"/>
      <c r="WTS507" s="324"/>
      <c r="WTT507" s="324"/>
      <c r="WTU507" s="324"/>
      <c r="WTV507" s="324"/>
      <c r="WTW507" s="256"/>
      <c r="WTX507" s="325"/>
      <c r="WTY507" s="311"/>
      <c r="WTZ507" s="325"/>
      <c r="WUA507" s="310"/>
      <c r="WUB507" s="325"/>
      <c r="WUC507" s="325"/>
      <c r="WUD507" s="325"/>
      <c r="WUE507" s="325"/>
      <c r="WUF507" s="325"/>
      <c r="WUG507" s="325"/>
      <c r="WUH507" s="325"/>
      <c r="WUI507" s="325"/>
      <c r="WUJ507" s="325"/>
      <c r="WUK507" s="325"/>
      <c r="WUL507" s="325"/>
      <c r="WUM507" s="325"/>
      <c r="WUN507" s="325"/>
      <c r="WUO507" s="325"/>
      <c r="WUP507" s="325"/>
      <c r="WUQ507" s="325"/>
      <c r="WUR507" s="325"/>
      <c r="WUS507" s="325"/>
      <c r="WUT507" s="325"/>
      <c r="WUU507" s="325"/>
      <c r="WUV507" s="325"/>
      <c r="WUW507" s="325"/>
      <c r="WUX507" s="325"/>
      <c r="WUY507" s="325"/>
      <c r="WUZ507" s="325"/>
      <c r="WVA507" s="325"/>
      <c r="WVB507" s="325"/>
      <c r="WVC507" s="325"/>
      <c r="WVD507" s="325"/>
      <c r="WVE507" s="325"/>
      <c r="WVF507" s="327"/>
      <c r="WVG507" s="28"/>
      <c r="WVH507" s="324"/>
      <c r="WVI507" s="324"/>
      <c r="WVJ507" s="324"/>
      <c r="WVK507" s="324"/>
      <c r="WVL507" s="324"/>
      <c r="WVM507" s="324"/>
      <c r="WVN507" s="256"/>
      <c r="WVO507" s="325"/>
      <c r="WVP507" s="311"/>
      <c r="WVQ507" s="325"/>
      <c r="WVR507" s="310"/>
      <c r="WVS507" s="325"/>
      <c r="WVT507" s="325"/>
      <c r="WVU507" s="325"/>
      <c r="WVV507" s="325"/>
      <c r="WVW507" s="325"/>
      <c r="WVX507" s="325"/>
      <c r="WVY507" s="325"/>
      <c r="WVZ507" s="325"/>
      <c r="WWA507" s="325"/>
      <c r="WWB507" s="325"/>
      <c r="WWC507" s="325"/>
      <c r="WWD507" s="325"/>
      <c r="WWE507" s="325"/>
      <c r="WWF507" s="325"/>
      <c r="WWG507" s="325"/>
      <c r="WWH507" s="325"/>
      <c r="WWI507" s="325"/>
      <c r="WWJ507" s="325"/>
      <c r="WWK507" s="325"/>
      <c r="WWL507" s="325"/>
      <c r="WWM507" s="325"/>
      <c r="WWN507" s="325"/>
      <c r="WWO507" s="325"/>
      <c r="WWP507" s="325"/>
      <c r="WWQ507" s="325"/>
      <c r="WWR507" s="325"/>
      <c r="WWS507" s="325"/>
      <c r="WWT507" s="325"/>
      <c r="WWU507" s="325"/>
      <c r="WWV507" s="325"/>
      <c r="WWW507" s="327"/>
      <c r="WWX507" s="28"/>
      <c r="WWY507" s="324"/>
      <c r="WWZ507" s="324"/>
      <c r="WXA507" s="324"/>
      <c r="WXB507" s="324"/>
      <c r="WXC507" s="324"/>
      <c r="WXD507" s="324"/>
      <c r="WXE507" s="256"/>
      <c r="WXF507" s="325"/>
      <c r="WXG507" s="311"/>
      <c r="WXH507" s="325"/>
      <c r="WXI507" s="310"/>
      <c r="WXJ507" s="325"/>
      <c r="WXK507" s="325"/>
      <c r="WXL507" s="325"/>
      <c r="WXM507" s="325"/>
      <c r="WXN507" s="325"/>
      <c r="WXO507" s="325"/>
      <c r="WXP507" s="325"/>
      <c r="WXQ507" s="325"/>
      <c r="WXR507" s="325"/>
      <c r="WXS507" s="325"/>
      <c r="WXT507" s="325"/>
      <c r="WXU507" s="325"/>
      <c r="WXV507" s="325"/>
      <c r="WXW507" s="325"/>
      <c r="WXX507" s="325"/>
      <c r="WXY507" s="325"/>
      <c r="WXZ507" s="325"/>
      <c r="WYA507" s="325"/>
      <c r="WYB507" s="325"/>
      <c r="WYC507" s="325"/>
      <c r="WYD507" s="325"/>
      <c r="WYE507" s="325"/>
      <c r="WYF507" s="325"/>
      <c r="WYG507" s="325"/>
      <c r="WYH507" s="325"/>
      <c r="WYI507" s="325"/>
      <c r="WYJ507" s="325"/>
      <c r="WYK507" s="325"/>
      <c r="WYL507" s="325"/>
      <c r="WYM507" s="325"/>
      <c r="WYN507" s="327"/>
      <c r="WYO507" s="28"/>
      <c r="WYP507" s="324"/>
      <c r="WYQ507" s="324"/>
      <c r="WYR507" s="324"/>
      <c r="WYS507" s="324"/>
      <c r="WYT507" s="324"/>
      <c r="WYU507" s="324"/>
      <c r="WYV507" s="256"/>
      <c r="WYW507" s="325"/>
      <c r="WYX507" s="311"/>
      <c r="WYY507" s="325"/>
      <c r="WYZ507" s="310"/>
      <c r="WZA507" s="325"/>
      <c r="WZB507" s="325"/>
      <c r="WZC507" s="325"/>
      <c r="WZD507" s="325"/>
      <c r="WZE507" s="325"/>
      <c r="WZF507" s="325"/>
      <c r="WZG507" s="325"/>
      <c r="WZH507" s="325"/>
      <c r="WZI507" s="325"/>
      <c r="WZJ507" s="325"/>
      <c r="WZK507" s="325"/>
      <c r="WZL507" s="325"/>
      <c r="WZM507" s="325"/>
      <c r="WZN507" s="325"/>
      <c r="WZO507" s="325"/>
      <c r="WZP507" s="325"/>
      <c r="WZQ507" s="325"/>
      <c r="WZR507" s="325"/>
      <c r="WZS507" s="325"/>
      <c r="WZT507" s="325"/>
      <c r="WZU507" s="325"/>
      <c r="WZV507" s="325"/>
      <c r="WZW507" s="325"/>
      <c r="WZX507" s="325"/>
      <c r="WZY507" s="325"/>
      <c r="WZZ507" s="325"/>
      <c r="XAA507" s="325"/>
      <c r="XAB507" s="325"/>
      <c r="XAC507" s="325"/>
      <c r="XAD507" s="325"/>
      <c r="XAE507" s="327"/>
      <c r="XAF507" s="28"/>
      <c r="XAG507" s="324"/>
      <c r="XAH507" s="324"/>
      <c r="XAI507" s="324"/>
      <c r="XAJ507" s="324"/>
      <c r="XAK507" s="324"/>
      <c r="XAL507" s="324"/>
      <c r="XAM507" s="256"/>
      <c r="XAN507" s="325"/>
      <c r="XAO507" s="311"/>
      <c r="XAP507" s="325"/>
      <c r="XAQ507" s="310"/>
      <c r="XAR507" s="325"/>
      <c r="XAS507" s="325"/>
      <c r="XAT507" s="325"/>
      <c r="XAU507" s="325"/>
      <c r="XAV507" s="325"/>
      <c r="XAW507" s="325"/>
      <c r="XAX507" s="325"/>
      <c r="XAY507" s="325"/>
      <c r="XAZ507" s="325"/>
      <c r="XBA507" s="325"/>
      <c r="XBB507" s="325"/>
      <c r="XBC507" s="325"/>
      <c r="XBD507" s="325"/>
      <c r="XBE507" s="325"/>
      <c r="XBF507" s="325"/>
      <c r="XBG507" s="325"/>
      <c r="XBH507" s="325"/>
      <c r="XBI507" s="325"/>
      <c r="XBJ507" s="325"/>
      <c r="XBK507" s="325"/>
      <c r="XBL507" s="325"/>
      <c r="XBM507" s="325"/>
      <c r="XBN507" s="325"/>
      <c r="XBO507" s="325"/>
      <c r="XBP507" s="325"/>
      <c r="XBQ507" s="325"/>
      <c r="XBR507" s="325"/>
      <c r="XBS507" s="325"/>
      <c r="XBT507" s="325"/>
      <c r="XBU507" s="325"/>
      <c r="XBV507" s="327"/>
      <c r="XBW507" s="28"/>
      <c r="XBX507" s="324"/>
      <c r="XBY507" s="324"/>
      <c r="XBZ507" s="324"/>
      <c r="XCA507" s="324"/>
      <c r="XCB507" s="324"/>
      <c r="XCC507" s="324"/>
      <c r="XCD507" s="256"/>
      <c r="XCE507" s="325"/>
      <c r="XCF507" s="311"/>
      <c r="XCG507" s="325"/>
      <c r="XCH507" s="310"/>
      <c r="XCI507" s="325"/>
      <c r="XCJ507" s="325"/>
      <c r="XCK507" s="325"/>
      <c r="XCL507" s="325"/>
      <c r="XCM507" s="325"/>
      <c r="XCN507" s="325"/>
      <c r="XCO507" s="325"/>
      <c r="XCP507" s="325"/>
      <c r="XCQ507" s="325"/>
      <c r="XCR507" s="325"/>
      <c r="XCS507" s="325"/>
      <c r="XCT507" s="325"/>
      <c r="XCU507" s="325"/>
      <c r="XCV507" s="325"/>
      <c r="XCW507" s="325"/>
      <c r="XCX507" s="325"/>
      <c r="XCY507" s="325"/>
      <c r="XCZ507" s="325"/>
      <c r="XDA507" s="325"/>
      <c r="XDB507" s="325"/>
      <c r="XDC507" s="325"/>
      <c r="XDD507" s="325"/>
      <c r="XDE507" s="325"/>
      <c r="XDF507" s="325"/>
      <c r="XDG507" s="325"/>
      <c r="XDH507" s="325"/>
      <c r="XDI507" s="325"/>
      <c r="XDJ507" s="325"/>
      <c r="XDK507" s="325"/>
      <c r="XDL507" s="325"/>
      <c r="XDM507" s="327"/>
      <c r="XDN507" s="28"/>
      <c r="XDO507" s="324"/>
      <c r="XDP507" s="324"/>
      <c r="XDQ507" s="324"/>
      <c r="XDR507" s="324"/>
      <c r="XDS507" s="324"/>
      <c r="XDT507" s="324"/>
      <c r="XDU507" s="256"/>
      <c r="XDV507" s="325"/>
      <c r="XDW507" s="311"/>
      <c r="XDX507" s="325"/>
      <c r="XDY507" s="310"/>
      <c r="XDZ507" s="325"/>
      <c r="XEA507" s="325"/>
      <c r="XEB507" s="325"/>
      <c r="XEC507" s="325"/>
      <c r="XED507" s="325"/>
      <c r="XEE507" s="325"/>
      <c r="XEF507" s="325"/>
      <c r="XEG507" s="325"/>
      <c r="XEH507" s="325"/>
      <c r="XEI507" s="325"/>
      <c r="XEJ507" s="325"/>
      <c r="XEK507" s="325"/>
      <c r="XEL507" s="325"/>
      <c r="XEM507" s="325"/>
      <c r="XEN507" s="325"/>
      <c r="XEO507" s="325"/>
      <c r="XEP507" s="325"/>
      <c r="XEQ507" s="325"/>
      <c r="XER507" s="325"/>
      <c r="XES507" s="325"/>
      <c r="XET507" s="325"/>
      <c r="XEU507" s="325"/>
      <c r="XEV507" s="325"/>
      <c r="XEW507" s="325"/>
      <c r="XEX507" s="325"/>
      <c r="XEY507" s="325"/>
      <c r="XEZ507" s="325"/>
      <c r="XFA507" s="325"/>
      <c r="XFB507" s="325"/>
      <c r="XFC507" s="325"/>
      <c r="XFD507" s="327"/>
    </row>
    <row r="508" spans="1:16384">
      <c r="E508" s="325"/>
      <c r="G508" s="39"/>
      <c r="H508" s="39"/>
      <c r="I508" s="39"/>
      <c r="J508" s="39"/>
      <c r="K508" s="39"/>
      <c r="R508" s="38">
        <f t="shared" ref="R508:AU508" si="359">ROUNDDOWN((R507-InServiceYr+1)/5,0)</f>
        <v>0</v>
      </c>
      <c r="S508" s="38">
        <f t="shared" si="359"/>
        <v>0</v>
      </c>
      <c r="T508" s="38">
        <f t="shared" si="359"/>
        <v>0</v>
      </c>
      <c r="U508" s="38">
        <f t="shared" si="359"/>
        <v>0</v>
      </c>
      <c r="V508" s="38">
        <f t="shared" si="359"/>
        <v>1</v>
      </c>
      <c r="W508" s="38">
        <f t="shared" si="359"/>
        <v>1</v>
      </c>
      <c r="X508" s="38">
        <f t="shared" si="359"/>
        <v>1</v>
      </c>
      <c r="Y508" s="38">
        <f t="shared" si="359"/>
        <v>1</v>
      </c>
      <c r="Z508" s="38">
        <f t="shared" si="359"/>
        <v>1</v>
      </c>
      <c r="AA508" s="38">
        <f t="shared" si="359"/>
        <v>2</v>
      </c>
      <c r="AB508" s="38">
        <f t="shared" si="359"/>
        <v>2</v>
      </c>
      <c r="AC508" s="38">
        <f t="shared" si="359"/>
        <v>2</v>
      </c>
      <c r="AD508" s="38">
        <f t="shared" si="359"/>
        <v>2</v>
      </c>
      <c r="AE508" s="38">
        <f t="shared" si="359"/>
        <v>2</v>
      </c>
      <c r="AF508" s="38">
        <f t="shared" si="359"/>
        <v>3</v>
      </c>
      <c r="AG508" s="38">
        <f t="shared" si="359"/>
        <v>3</v>
      </c>
      <c r="AH508" s="38">
        <f t="shared" si="359"/>
        <v>3</v>
      </c>
      <c r="AI508" s="38">
        <f t="shared" si="359"/>
        <v>3</v>
      </c>
      <c r="AJ508" s="38">
        <f t="shared" si="359"/>
        <v>3</v>
      </c>
      <c r="AK508" s="38">
        <f t="shared" si="359"/>
        <v>4</v>
      </c>
      <c r="AL508" s="38">
        <f t="shared" si="359"/>
        <v>4</v>
      </c>
      <c r="AM508" s="38">
        <f t="shared" si="359"/>
        <v>4</v>
      </c>
      <c r="AN508" s="38">
        <f t="shared" si="359"/>
        <v>4</v>
      </c>
      <c r="AO508" s="38">
        <f t="shared" si="359"/>
        <v>4</v>
      </c>
      <c r="AP508" s="38">
        <f t="shared" si="359"/>
        <v>5</v>
      </c>
      <c r="AQ508" s="38">
        <f t="shared" si="359"/>
        <v>5</v>
      </c>
      <c r="AR508" s="38">
        <f t="shared" si="359"/>
        <v>5</v>
      </c>
      <c r="AS508" s="38">
        <f t="shared" si="359"/>
        <v>5</v>
      </c>
      <c r="AT508" s="38">
        <f t="shared" si="359"/>
        <v>5</v>
      </c>
      <c r="AU508" s="38">
        <f t="shared" si="359"/>
        <v>6</v>
      </c>
    </row>
    <row r="509" spans="1:16384">
      <c r="E509" s="325"/>
      <c r="G509" s="38" t="s">
        <v>310</v>
      </c>
      <c r="N509" s="320"/>
      <c r="P509" s="320"/>
      <c r="R509" s="38">
        <f>R508-Q508</f>
        <v>0</v>
      </c>
      <c r="S509" s="38">
        <f t="shared" ref="S509:AU509" si="360">S508-R508</f>
        <v>0</v>
      </c>
      <c r="T509" s="38">
        <f t="shared" si="360"/>
        <v>0</v>
      </c>
      <c r="U509" s="38">
        <f t="shared" si="360"/>
        <v>0</v>
      </c>
      <c r="V509" s="38">
        <f t="shared" si="360"/>
        <v>1</v>
      </c>
      <c r="W509" s="38">
        <f t="shared" si="360"/>
        <v>0</v>
      </c>
      <c r="X509" s="38">
        <f t="shared" si="360"/>
        <v>0</v>
      </c>
      <c r="Y509" s="38">
        <f t="shared" si="360"/>
        <v>0</v>
      </c>
      <c r="Z509" s="38">
        <f t="shared" si="360"/>
        <v>0</v>
      </c>
      <c r="AA509" s="38">
        <f t="shared" si="360"/>
        <v>1</v>
      </c>
      <c r="AB509" s="38">
        <f t="shared" si="360"/>
        <v>0</v>
      </c>
      <c r="AC509" s="38">
        <f t="shared" si="360"/>
        <v>0</v>
      </c>
      <c r="AD509" s="38">
        <f t="shared" si="360"/>
        <v>0</v>
      </c>
      <c r="AE509" s="38">
        <f t="shared" si="360"/>
        <v>0</v>
      </c>
      <c r="AF509" s="38">
        <f t="shared" si="360"/>
        <v>1</v>
      </c>
      <c r="AG509" s="38">
        <f t="shared" si="360"/>
        <v>0</v>
      </c>
      <c r="AH509" s="38">
        <f t="shared" si="360"/>
        <v>0</v>
      </c>
      <c r="AI509" s="38">
        <f t="shared" si="360"/>
        <v>0</v>
      </c>
      <c r="AJ509" s="38">
        <f t="shared" si="360"/>
        <v>0</v>
      </c>
      <c r="AK509" s="38">
        <f t="shared" si="360"/>
        <v>1</v>
      </c>
      <c r="AL509" s="38">
        <f t="shared" si="360"/>
        <v>0</v>
      </c>
      <c r="AM509" s="38">
        <f t="shared" si="360"/>
        <v>0</v>
      </c>
      <c r="AN509" s="38">
        <f t="shared" si="360"/>
        <v>0</v>
      </c>
      <c r="AO509" s="38">
        <f t="shared" si="360"/>
        <v>0</v>
      </c>
      <c r="AP509" s="38">
        <f t="shared" si="360"/>
        <v>1</v>
      </c>
      <c r="AQ509" s="38">
        <f t="shared" si="360"/>
        <v>0</v>
      </c>
      <c r="AR509" s="38">
        <f t="shared" si="360"/>
        <v>0</v>
      </c>
      <c r="AS509" s="38">
        <f t="shared" si="360"/>
        <v>0</v>
      </c>
      <c r="AT509" s="38">
        <f t="shared" si="360"/>
        <v>0</v>
      </c>
      <c r="AU509" s="38">
        <f t="shared" si="360"/>
        <v>1</v>
      </c>
    </row>
    <row r="510" spans="1:16384">
      <c r="G510" s="37"/>
      <c r="H510" s="37"/>
      <c r="I510" s="37"/>
      <c r="J510" s="37"/>
      <c r="K510" s="37"/>
      <c r="L510" s="43"/>
      <c r="M510" s="43"/>
      <c r="N510" s="51"/>
      <c r="O510" s="43"/>
      <c r="P510" s="51"/>
      <c r="Q510" s="43"/>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0"/>
      <c r="AW510" s="50"/>
      <c r="AX510" s="50"/>
      <c r="AY510" s="50"/>
      <c r="AZ510" s="50"/>
      <c r="BA510" s="50"/>
      <c r="BB510" s="50"/>
      <c r="BC510" s="50"/>
      <c r="BD510" s="50"/>
      <c r="BE510" s="50"/>
      <c r="BF510" s="50"/>
      <c r="BG510" s="50"/>
      <c r="BH510" s="50"/>
      <c r="BI510" s="50"/>
      <c r="BJ510" s="50"/>
      <c r="BK510" s="50"/>
      <c r="BL510" s="50"/>
      <c r="BM510" s="50"/>
      <c r="BN510" s="50"/>
      <c r="BO510" s="50"/>
      <c r="BP510" s="50"/>
      <c r="BQ510" s="50"/>
      <c r="BR510" s="50"/>
      <c r="BS510" s="50"/>
      <c r="BT510" s="50"/>
      <c r="BU510" s="50"/>
    </row>
    <row r="511" spans="1:16384">
      <c r="E511" s="327"/>
      <c r="F511" s="28"/>
      <c r="G511" s="324" t="s">
        <v>865</v>
      </c>
      <c r="H511" s="324"/>
      <c r="I511" s="324"/>
      <c r="J511" s="324"/>
      <c r="K511" s="324"/>
      <c r="L511" s="405"/>
      <c r="M511" s="256"/>
      <c r="N511" s="325"/>
      <c r="O511" s="311"/>
      <c r="P511" s="325"/>
      <c r="Q511" s="310"/>
      <c r="R511" s="325"/>
      <c r="S511" s="325"/>
      <c r="T511" s="325"/>
      <c r="U511" s="325"/>
      <c r="V511" s="325"/>
      <c r="W511" s="325"/>
      <c r="X511" s="325"/>
      <c r="Y511" s="325"/>
      <c r="Z511" s="325"/>
      <c r="AA511" s="325"/>
      <c r="AB511" s="325"/>
      <c r="AC511" s="325"/>
      <c r="AD511" s="325"/>
      <c r="AE511" s="325"/>
      <c r="AF511" s="325"/>
      <c r="AG511" s="325"/>
      <c r="AH511" s="325"/>
      <c r="AI511" s="325"/>
      <c r="AJ511" s="325"/>
      <c r="AK511" s="325"/>
      <c r="AL511" s="325"/>
      <c r="AM511" s="325"/>
      <c r="AN511" s="325"/>
      <c r="AO511" s="325"/>
      <c r="AP511" s="325"/>
      <c r="AQ511" s="325"/>
      <c r="AR511" s="325"/>
      <c r="AS511" s="325"/>
      <c r="AT511" s="325"/>
      <c r="AU511" s="325"/>
    </row>
    <row r="512" spans="1:16384">
      <c r="E512" s="325"/>
      <c r="G512" s="39"/>
      <c r="H512" s="39"/>
      <c r="I512" s="39"/>
      <c r="J512" s="39"/>
      <c r="K512" s="39"/>
    </row>
    <row r="513" spans="5:47">
      <c r="E513" s="325"/>
      <c r="G513" s="36" t="s">
        <v>865</v>
      </c>
      <c r="H513" s="39"/>
      <c r="I513" s="39"/>
      <c r="J513" s="70"/>
      <c r="K513" s="39"/>
      <c r="L513" s="43"/>
      <c r="N513" s="320"/>
      <c r="P513" s="320"/>
      <c r="Q513" s="52"/>
      <c r="R513" s="52">
        <f>Assumptions!M56</f>
        <v>0</v>
      </c>
      <c r="S513" s="52">
        <f>Assumptions!N56</f>
        <v>0</v>
      </c>
      <c r="T513" s="52">
        <f>Assumptions!O56</f>
        <v>0</v>
      </c>
      <c r="U513" s="52">
        <f>Assumptions!P56</f>
        <v>0</v>
      </c>
      <c r="V513" s="52">
        <f>Assumptions!Q56</f>
        <v>0</v>
      </c>
      <c r="W513" s="52">
        <f>Assumptions!R56</f>
        <v>0</v>
      </c>
      <c r="X513" s="52">
        <f>Assumptions!S56</f>
        <v>0</v>
      </c>
      <c r="Y513" s="52">
        <f>Assumptions!T56</f>
        <v>0</v>
      </c>
      <c r="Z513" s="52">
        <f>Assumptions!U56</f>
        <v>0</v>
      </c>
      <c r="AA513" s="52">
        <f>Assumptions!V56</f>
        <v>0</v>
      </c>
      <c r="AB513" s="52">
        <f>Assumptions!W56</f>
        <v>0</v>
      </c>
      <c r="AC513" s="52">
        <f>Assumptions!X56</f>
        <v>0</v>
      </c>
      <c r="AD513" s="52">
        <f>Assumptions!Y56</f>
        <v>0</v>
      </c>
      <c r="AE513" s="52">
        <f>Assumptions!Z56</f>
        <v>0</v>
      </c>
      <c r="AF513" s="52">
        <f>Assumptions!AA56</f>
        <v>0</v>
      </c>
      <c r="AG513" s="52">
        <f>Assumptions!AB56</f>
        <v>0</v>
      </c>
      <c r="AH513" s="52">
        <f>Assumptions!AC56</f>
        <v>0</v>
      </c>
      <c r="AI513" s="52">
        <f>Assumptions!AD56</f>
        <v>0</v>
      </c>
      <c r="AJ513" s="52">
        <f>Assumptions!AE56</f>
        <v>0</v>
      </c>
      <c r="AK513" s="52">
        <f>Assumptions!AF56</f>
        <v>0</v>
      </c>
      <c r="AL513" s="52">
        <f>Assumptions!AG56</f>
        <v>0</v>
      </c>
      <c r="AM513" s="52">
        <f>Assumptions!AH56</f>
        <v>0</v>
      </c>
      <c r="AN513" s="52">
        <f>Assumptions!AI56</f>
        <v>0</v>
      </c>
      <c r="AO513" s="52">
        <f>Assumptions!AJ56</f>
        <v>0</v>
      </c>
      <c r="AP513" s="52">
        <f>Assumptions!AK56</f>
        <v>0</v>
      </c>
      <c r="AQ513" s="52">
        <f>Assumptions!AL56</f>
        <v>0</v>
      </c>
      <c r="AR513" s="52">
        <f>Assumptions!AM56</f>
        <v>0</v>
      </c>
      <c r="AS513" s="52">
        <f>Assumptions!AN56</f>
        <v>0</v>
      </c>
      <c r="AT513" s="52">
        <f>Assumptions!AO56</f>
        <v>0</v>
      </c>
      <c r="AU513" s="52">
        <f>Assumptions!AP56</f>
        <v>0</v>
      </c>
    </row>
    <row r="525" spans="5:47">
      <c r="N525" s="200"/>
      <c r="O525" s="316"/>
      <c r="P525" s="200"/>
      <c r="Q525" s="316"/>
      <c r="R525" s="198"/>
      <c r="S525" s="199"/>
    </row>
    <row r="526" spans="5:47">
      <c r="N526" s="200"/>
      <c r="O526" s="316"/>
      <c r="P526" s="200"/>
      <c r="Q526" s="316"/>
      <c r="R526" s="198"/>
      <c r="S526" s="199"/>
    </row>
    <row r="527" spans="5:47">
      <c r="N527" s="200"/>
      <c r="O527" s="316"/>
      <c r="P527" s="200"/>
      <c r="Q527" s="316"/>
      <c r="R527" s="198"/>
      <c r="S527" s="199"/>
    </row>
    <row r="528" spans="5:47">
      <c r="N528" s="200"/>
      <c r="O528" s="316"/>
      <c r="P528" s="200"/>
      <c r="Q528" s="316"/>
      <c r="R528" s="198"/>
      <c r="S528" s="199"/>
    </row>
    <row r="529" spans="14:19">
      <c r="N529" s="200"/>
      <c r="O529" s="316"/>
      <c r="P529" s="200"/>
      <c r="Q529" s="316"/>
      <c r="R529" s="198"/>
      <c r="S529" s="199"/>
    </row>
    <row r="530" spans="14:19">
      <c r="N530" s="200"/>
      <c r="O530" s="316"/>
      <c r="P530" s="200"/>
      <c r="Q530" s="316"/>
      <c r="R530" s="198"/>
      <c r="S530" s="199"/>
    </row>
    <row r="531" spans="14:19">
      <c r="N531" s="200"/>
      <c r="O531" s="316"/>
      <c r="P531" s="200"/>
      <c r="Q531" s="316"/>
      <c r="R531" s="198"/>
      <c r="S531" s="199"/>
    </row>
    <row r="532" spans="14:19">
      <c r="N532" s="200"/>
      <c r="O532" s="316"/>
      <c r="P532" s="200"/>
      <c r="Q532" s="316"/>
      <c r="R532" s="198"/>
      <c r="S532" s="199"/>
    </row>
    <row r="533" spans="14:19">
      <c r="N533" s="200"/>
      <c r="O533" s="316"/>
      <c r="P533" s="200"/>
      <c r="Q533" s="316"/>
      <c r="R533" s="198"/>
      <c r="S533" s="199"/>
    </row>
    <row r="534" spans="14:19">
      <c r="N534" s="200"/>
      <c r="O534" s="316"/>
      <c r="P534" s="200"/>
      <c r="Q534" s="316"/>
      <c r="R534" s="198"/>
      <c r="S534" s="199"/>
    </row>
  </sheetData>
  <dataConsolidate/>
  <dataValidations disablePrompts="1" count="1">
    <dataValidation type="list" allowBlank="1" showInputMessage="1" showErrorMessage="1" sqref="J4">
      <formula1>ConfigDropdown</formula1>
    </dataValidation>
  </dataValidations>
  <pageMargins left="0.75" right="0.75" top="1" bottom="1" header="0.5" footer="0.5"/>
  <pageSetup scale="60" pageOrder="overThenDown" orientation="landscape" r:id="rId1"/>
  <headerFooter alignWithMargins="0"/>
  <rowBreaks count="2" manualBreakCount="2">
    <brk id="39" min="17" max="46" man="1"/>
    <brk id="66" min="17" max="46" man="1"/>
  </rowBreaks>
  <extLst>
    <ext xmlns:mx="http://schemas.microsoft.com/office/mac/excel/2008/main" uri="http://schemas.microsoft.com/office/mac/excel/2008/main">
      <mx:PLV Mode="0" OnePage="0" WScale="0"/>
    </ext>
  </extLst>
</worksheet>
</file>

<file path=xl/worksheets/sheet18.xml><?xml version="1.0" encoding="utf-8"?>
<worksheet xmlns="http://schemas.openxmlformats.org/spreadsheetml/2006/main" xmlns:r="http://schemas.openxmlformats.org/officeDocument/2006/relationships">
  <sheetPr>
    <tabColor rgb="FFC00000"/>
  </sheetPr>
  <dimension ref="A1:XFD534"/>
  <sheetViews>
    <sheetView showGridLines="0" topLeftCell="Q1" zoomScale="55" zoomScaleNormal="55" zoomScalePageLayoutView="85" workbookViewId="0">
      <selection activeCell="R508" sqref="R508:AU509"/>
    </sheetView>
  </sheetViews>
  <sheetFormatPr defaultColWidth="8.85546875" defaultRowHeight="15" outlineLevelCol="1"/>
  <cols>
    <col min="1" max="2" width="8.85546875" style="38" hidden="1" customWidth="1" outlineLevel="1"/>
    <col min="3" max="3" width="42.28515625" style="38" hidden="1" customWidth="1" outlineLevel="1"/>
    <col min="4" max="4" width="13" style="38" hidden="1" customWidth="1" outlineLevel="1"/>
    <col min="5" max="5" width="3.7109375" style="38" customWidth="1" collapsed="1"/>
    <col min="6" max="6" width="3.28515625" style="38" customWidth="1"/>
    <col min="7" max="7" width="7.140625" style="38" customWidth="1"/>
    <col min="8" max="8" width="28.42578125" style="38" customWidth="1"/>
    <col min="9" max="9" width="1.85546875" style="38" customWidth="1"/>
    <col min="10" max="10" width="10.140625" style="38" customWidth="1"/>
    <col min="11" max="11" width="1.42578125" style="38" customWidth="1"/>
    <col min="12" max="12" width="25.7109375" style="408" customWidth="1"/>
    <col min="13" max="13" width="0.85546875" style="38" customWidth="1"/>
    <col min="14" max="14" width="18.28515625" style="38" customWidth="1"/>
    <col min="15" max="15" width="1" style="42" customWidth="1"/>
    <col min="16" max="16" width="18.28515625" style="38" customWidth="1"/>
    <col min="17" max="17" width="1" style="42" customWidth="1"/>
    <col min="18" max="47" width="14.28515625" style="38" customWidth="1"/>
    <col min="48" max="68" width="9.42578125" style="38" customWidth="1"/>
    <col min="69" max="16384" width="8.85546875" style="38"/>
  </cols>
  <sheetData>
    <row r="1" spans="1:47" s="28" customFormat="1">
      <c r="L1" s="406"/>
      <c r="O1" s="197"/>
      <c r="Q1" s="197"/>
    </row>
    <row r="2" spans="1:47" s="28" customFormat="1" ht="18.75">
      <c r="H2" s="29" t="s">
        <v>17</v>
      </c>
      <c r="I2" s="29"/>
      <c r="J2" s="29" t="s">
        <v>294</v>
      </c>
      <c r="K2" s="29"/>
      <c r="L2" s="406"/>
      <c r="O2" s="197"/>
      <c r="Q2" s="197"/>
    </row>
    <row r="3" spans="1:47" s="28" customFormat="1" ht="18.75">
      <c r="H3" s="29" t="s">
        <v>18</v>
      </c>
      <c r="I3" s="29"/>
      <c r="J3" s="29" t="s">
        <v>295</v>
      </c>
      <c r="K3" s="29"/>
      <c r="L3" s="406"/>
      <c r="O3" s="197"/>
      <c r="Q3" s="197"/>
      <c r="R3" s="193"/>
    </row>
    <row r="4" spans="1:47" s="28" customFormat="1" ht="18.75">
      <c r="G4" s="968"/>
      <c r="H4" s="29" t="s">
        <v>297</v>
      </c>
      <c r="J4" s="29" t="s">
        <v>299</v>
      </c>
      <c r="L4" s="406"/>
      <c r="O4" s="197"/>
      <c r="Q4" s="197"/>
    </row>
    <row r="5" spans="1:47" s="28" customFormat="1">
      <c r="H5" s="31"/>
      <c r="I5" s="31"/>
      <c r="J5" s="31"/>
      <c r="K5" s="31"/>
      <c r="L5" s="406"/>
      <c r="O5" s="197"/>
      <c r="Q5" s="197"/>
    </row>
    <row r="6" spans="1:47" s="42" customFormat="1">
      <c r="A6" s="317"/>
      <c r="B6" s="317"/>
      <c r="C6" s="317"/>
      <c r="D6" s="317"/>
      <c r="E6" s="317"/>
      <c r="F6" s="317"/>
      <c r="G6" s="318" t="s">
        <v>505</v>
      </c>
      <c r="H6" s="317"/>
      <c r="I6" s="317"/>
      <c r="J6" s="317"/>
      <c r="K6" s="317"/>
      <c r="L6" s="40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row>
    <row r="7" spans="1:47" s="28" customFormat="1">
      <c r="L7" s="406"/>
      <c r="O7" s="197"/>
      <c r="Q7" s="197"/>
    </row>
    <row r="8" spans="1:47" s="28" customFormat="1">
      <c r="A8" s="40" t="s">
        <v>254</v>
      </c>
      <c r="B8" s="40" t="s">
        <v>44</v>
      </c>
      <c r="C8" s="40" t="s">
        <v>302</v>
      </c>
      <c r="D8" s="40" t="s">
        <v>298</v>
      </c>
      <c r="G8" s="324" t="s">
        <v>489</v>
      </c>
      <c r="H8" s="324"/>
      <c r="I8" s="324"/>
      <c r="J8" s="324"/>
      <c r="K8" s="324"/>
      <c r="L8" s="405"/>
      <c r="M8" s="256"/>
      <c r="N8" s="325" t="str">
        <f>"NPV "&amp;FirstYr-1&amp;" $"</f>
        <v>NPV 2013 $</v>
      </c>
      <c r="O8" s="311"/>
      <c r="P8" s="325" t="s">
        <v>491</v>
      </c>
      <c r="Q8" s="310"/>
      <c r="R8" s="325">
        <f>FirstYr</f>
        <v>2014</v>
      </c>
      <c r="S8" s="325">
        <f>R8+1</f>
        <v>2015</v>
      </c>
      <c r="T8" s="325">
        <f t="shared" ref="T8:AU8" si="0">S8+1</f>
        <v>2016</v>
      </c>
      <c r="U8" s="325">
        <f t="shared" si="0"/>
        <v>2017</v>
      </c>
      <c r="V8" s="325">
        <f t="shared" si="0"/>
        <v>2018</v>
      </c>
      <c r="W8" s="325">
        <f t="shared" si="0"/>
        <v>2019</v>
      </c>
      <c r="X8" s="325">
        <f t="shared" si="0"/>
        <v>2020</v>
      </c>
      <c r="Y8" s="325">
        <f t="shared" si="0"/>
        <v>2021</v>
      </c>
      <c r="Z8" s="325">
        <f t="shared" si="0"/>
        <v>2022</v>
      </c>
      <c r="AA8" s="325">
        <f t="shared" si="0"/>
        <v>2023</v>
      </c>
      <c r="AB8" s="325">
        <f t="shared" si="0"/>
        <v>2024</v>
      </c>
      <c r="AC8" s="325">
        <f t="shared" si="0"/>
        <v>2025</v>
      </c>
      <c r="AD8" s="325">
        <f t="shared" si="0"/>
        <v>2026</v>
      </c>
      <c r="AE8" s="325">
        <f t="shared" si="0"/>
        <v>2027</v>
      </c>
      <c r="AF8" s="325">
        <f t="shared" si="0"/>
        <v>2028</v>
      </c>
      <c r="AG8" s="325">
        <f t="shared" si="0"/>
        <v>2029</v>
      </c>
      <c r="AH8" s="325">
        <f t="shared" si="0"/>
        <v>2030</v>
      </c>
      <c r="AI8" s="325">
        <f t="shared" si="0"/>
        <v>2031</v>
      </c>
      <c r="AJ8" s="325">
        <f t="shared" si="0"/>
        <v>2032</v>
      </c>
      <c r="AK8" s="325">
        <f t="shared" si="0"/>
        <v>2033</v>
      </c>
      <c r="AL8" s="325">
        <f t="shared" si="0"/>
        <v>2034</v>
      </c>
      <c r="AM8" s="325">
        <f t="shared" si="0"/>
        <v>2035</v>
      </c>
      <c r="AN8" s="325">
        <f t="shared" si="0"/>
        <v>2036</v>
      </c>
      <c r="AO8" s="325">
        <f t="shared" si="0"/>
        <v>2037</v>
      </c>
      <c r="AP8" s="325">
        <f t="shared" si="0"/>
        <v>2038</v>
      </c>
      <c r="AQ8" s="325">
        <f t="shared" si="0"/>
        <v>2039</v>
      </c>
      <c r="AR8" s="325">
        <f t="shared" si="0"/>
        <v>2040</v>
      </c>
      <c r="AS8" s="325">
        <f t="shared" si="0"/>
        <v>2041</v>
      </c>
      <c r="AT8" s="325">
        <f t="shared" si="0"/>
        <v>2042</v>
      </c>
      <c r="AU8" s="325">
        <f t="shared" si="0"/>
        <v>2043</v>
      </c>
    </row>
    <row r="9" spans="1:47" s="28" customFormat="1">
      <c r="L9" s="406"/>
      <c r="O9" s="197"/>
      <c r="Q9" s="197"/>
    </row>
    <row r="10" spans="1:47" s="28" customFormat="1">
      <c r="B10" s="38" t="s">
        <v>306</v>
      </c>
      <c r="E10" s="254"/>
      <c r="G10" s="36" t="s">
        <v>8</v>
      </c>
      <c r="L10" s="43" t="str">
        <f>"["&amp;FirstYr-1&amp;" $]"</f>
        <v>[2013 $]</v>
      </c>
      <c r="N10" s="191">
        <f t="shared" ref="N10:N13" ca="1" si="1">NPV(DiscountRt,R10:AU10)</f>
        <v>36564028.30188679</v>
      </c>
      <c r="O10" s="189"/>
      <c r="P10" s="321"/>
      <c r="Q10" s="189"/>
      <c r="R10" s="190">
        <f t="shared" ref="R10:AU10" ca="1" si="2">IF($P10=0,SUMIF($B$96:$B$496,$B10,R$96:R$496),$P10*R$97)</f>
        <v>38757870</v>
      </c>
      <c r="S10" s="190">
        <f t="shared" ca="1" si="2"/>
        <v>0</v>
      </c>
      <c r="T10" s="190">
        <f t="shared" ca="1" si="2"/>
        <v>0</v>
      </c>
      <c r="U10" s="190">
        <f t="shared" ca="1" si="2"/>
        <v>0</v>
      </c>
      <c r="V10" s="190">
        <f t="shared" ca="1" si="2"/>
        <v>0</v>
      </c>
      <c r="W10" s="190">
        <f t="shared" ca="1" si="2"/>
        <v>0</v>
      </c>
      <c r="X10" s="190">
        <f t="shared" ca="1" si="2"/>
        <v>0</v>
      </c>
      <c r="Y10" s="190">
        <f t="shared" ca="1" si="2"/>
        <v>0</v>
      </c>
      <c r="Z10" s="190">
        <f t="shared" ca="1" si="2"/>
        <v>0</v>
      </c>
      <c r="AA10" s="190">
        <f t="shared" ca="1" si="2"/>
        <v>0</v>
      </c>
      <c r="AB10" s="190">
        <f t="shared" ca="1" si="2"/>
        <v>0</v>
      </c>
      <c r="AC10" s="190">
        <f t="shared" ca="1" si="2"/>
        <v>0</v>
      </c>
      <c r="AD10" s="190">
        <f t="shared" ca="1" si="2"/>
        <v>0</v>
      </c>
      <c r="AE10" s="190">
        <f t="shared" ca="1" si="2"/>
        <v>0</v>
      </c>
      <c r="AF10" s="190">
        <f t="shared" ca="1" si="2"/>
        <v>0</v>
      </c>
      <c r="AG10" s="190">
        <f t="shared" ca="1" si="2"/>
        <v>0</v>
      </c>
      <c r="AH10" s="190">
        <f t="shared" ca="1" si="2"/>
        <v>0</v>
      </c>
      <c r="AI10" s="190">
        <f t="shared" ca="1" si="2"/>
        <v>0</v>
      </c>
      <c r="AJ10" s="190">
        <f t="shared" ca="1" si="2"/>
        <v>0</v>
      </c>
      <c r="AK10" s="190">
        <f t="shared" ca="1" si="2"/>
        <v>0</v>
      </c>
      <c r="AL10" s="190">
        <f t="shared" ca="1" si="2"/>
        <v>0</v>
      </c>
      <c r="AM10" s="190">
        <f t="shared" ca="1" si="2"/>
        <v>0</v>
      </c>
      <c r="AN10" s="190">
        <f t="shared" ca="1" si="2"/>
        <v>0</v>
      </c>
      <c r="AO10" s="190">
        <f t="shared" ca="1" si="2"/>
        <v>0</v>
      </c>
      <c r="AP10" s="190">
        <f t="shared" ca="1" si="2"/>
        <v>0</v>
      </c>
      <c r="AQ10" s="190">
        <f t="shared" ca="1" si="2"/>
        <v>0</v>
      </c>
      <c r="AR10" s="190">
        <f t="shared" ca="1" si="2"/>
        <v>0</v>
      </c>
      <c r="AS10" s="190">
        <f t="shared" ca="1" si="2"/>
        <v>0</v>
      </c>
      <c r="AT10" s="190">
        <f t="shared" ca="1" si="2"/>
        <v>0</v>
      </c>
      <c r="AU10" s="190">
        <f t="shared" ca="1" si="2"/>
        <v>0</v>
      </c>
    </row>
    <row r="11" spans="1:47" s="28" customFormat="1">
      <c r="B11" s="38"/>
      <c r="E11" s="254"/>
      <c r="G11" s="36" t="s">
        <v>494</v>
      </c>
      <c r="L11" s="43" t="str">
        <f>"["&amp;FirstYr-1&amp;" $]"</f>
        <v>[2013 $]</v>
      </c>
      <c r="N11" s="191">
        <f t="shared" si="1"/>
        <v>0</v>
      </c>
      <c r="O11" s="189"/>
      <c r="P11" s="319"/>
      <c r="Q11" s="189"/>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row>
    <row r="12" spans="1:47" s="28" customFormat="1">
      <c r="B12" s="38"/>
      <c r="E12" s="254"/>
      <c r="G12" s="36" t="s">
        <v>495</v>
      </c>
      <c r="L12" s="43" t="str">
        <f>"["&amp;FirstYr-1&amp;" $]"</f>
        <v>[2013 $]</v>
      </c>
      <c r="N12" s="191">
        <f t="shared" si="1"/>
        <v>0</v>
      </c>
      <c r="O12" s="189"/>
      <c r="P12" s="319"/>
      <c r="Q12" s="189"/>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row>
    <row r="13" spans="1:47" s="28" customFormat="1">
      <c r="B13" s="38"/>
      <c r="E13" s="254"/>
      <c r="G13" s="36" t="s">
        <v>496</v>
      </c>
      <c r="L13" s="43" t="str">
        <f>"["&amp;FirstYr-1&amp;" $]"</f>
        <v>[2013 $]</v>
      </c>
      <c r="N13" s="191">
        <f t="shared" si="1"/>
        <v>0</v>
      </c>
      <c r="O13" s="189"/>
      <c r="P13" s="319"/>
      <c r="Q13" s="189"/>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row>
    <row r="14" spans="1:47">
      <c r="E14" s="49"/>
      <c r="G14" s="39" t="s">
        <v>114</v>
      </c>
      <c r="H14" s="42"/>
      <c r="I14" s="42"/>
      <c r="J14" s="42"/>
      <c r="K14" s="42"/>
      <c r="L14" s="43"/>
      <c r="M14" s="43"/>
      <c r="N14" s="189">
        <f ca="1">SUBTOTAL(9,N10:N13)</f>
        <v>36564028.30188679</v>
      </c>
      <c r="O14" s="189"/>
      <c r="P14" s="189"/>
      <c r="Q14" s="189"/>
      <c r="R14" s="189">
        <f t="shared" ref="R14:AU14" ca="1" si="3">SUBTOTAL(9,R10:R13)</f>
        <v>38757870</v>
      </c>
      <c r="S14" s="189">
        <f t="shared" ca="1" si="3"/>
        <v>0</v>
      </c>
      <c r="T14" s="189">
        <f t="shared" ca="1" si="3"/>
        <v>0</v>
      </c>
      <c r="U14" s="189">
        <f t="shared" ca="1" si="3"/>
        <v>0</v>
      </c>
      <c r="V14" s="189">
        <f t="shared" ca="1" si="3"/>
        <v>0</v>
      </c>
      <c r="W14" s="189">
        <f t="shared" ca="1" si="3"/>
        <v>0</v>
      </c>
      <c r="X14" s="189">
        <f t="shared" ca="1" si="3"/>
        <v>0</v>
      </c>
      <c r="Y14" s="189">
        <f t="shared" ca="1" si="3"/>
        <v>0</v>
      </c>
      <c r="Z14" s="189">
        <f t="shared" ca="1" si="3"/>
        <v>0</v>
      </c>
      <c r="AA14" s="189">
        <f t="shared" ca="1" si="3"/>
        <v>0</v>
      </c>
      <c r="AB14" s="189">
        <f t="shared" ca="1" si="3"/>
        <v>0</v>
      </c>
      <c r="AC14" s="189">
        <f t="shared" ca="1" si="3"/>
        <v>0</v>
      </c>
      <c r="AD14" s="189">
        <f t="shared" ca="1" si="3"/>
        <v>0</v>
      </c>
      <c r="AE14" s="189">
        <f t="shared" ca="1" si="3"/>
        <v>0</v>
      </c>
      <c r="AF14" s="189">
        <f t="shared" ca="1" si="3"/>
        <v>0</v>
      </c>
      <c r="AG14" s="189">
        <f t="shared" ca="1" si="3"/>
        <v>0</v>
      </c>
      <c r="AH14" s="189">
        <f t="shared" ca="1" si="3"/>
        <v>0</v>
      </c>
      <c r="AI14" s="189">
        <f t="shared" ca="1" si="3"/>
        <v>0</v>
      </c>
      <c r="AJ14" s="189">
        <f t="shared" ca="1" si="3"/>
        <v>0</v>
      </c>
      <c r="AK14" s="189">
        <f t="shared" ca="1" si="3"/>
        <v>0</v>
      </c>
      <c r="AL14" s="189">
        <f t="shared" ca="1" si="3"/>
        <v>0</v>
      </c>
      <c r="AM14" s="189">
        <f t="shared" ca="1" si="3"/>
        <v>0</v>
      </c>
      <c r="AN14" s="189">
        <f t="shared" ca="1" si="3"/>
        <v>0</v>
      </c>
      <c r="AO14" s="189">
        <f t="shared" ca="1" si="3"/>
        <v>0</v>
      </c>
      <c r="AP14" s="189">
        <f t="shared" ca="1" si="3"/>
        <v>0</v>
      </c>
      <c r="AQ14" s="189">
        <f t="shared" ca="1" si="3"/>
        <v>0</v>
      </c>
      <c r="AR14" s="189">
        <f t="shared" ca="1" si="3"/>
        <v>0</v>
      </c>
      <c r="AS14" s="189">
        <f t="shared" ca="1" si="3"/>
        <v>0</v>
      </c>
      <c r="AT14" s="189">
        <f t="shared" ca="1" si="3"/>
        <v>0</v>
      </c>
      <c r="AU14" s="189">
        <f t="shared" ca="1" si="3"/>
        <v>0</v>
      </c>
    </row>
    <row r="15" spans="1:47" s="28" customFormat="1">
      <c r="L15" s="406"/>
      <c r="O15" s="197"/>
      <c r="Q15" s="197"/>
    </row>
    <row r="16" spans="1:47" s="28" customFormat="1">
      <c r="A16" s="40"/>
      <c r="B16" s="40"/>
      <c r="C16" s="40"/>
      <c r="D16" s="40"/>
      <c r="G16" s="324" t="s">
        <v>400</v>
      </c>
      <c r="H16" s="324"/>
      <c r="I16" s="324"/>
      <c r="J16" s="324"/>
      <c r="K16" s="324"/>
      <c r="L16" s="405" t="s">
        <v>401</v>
      </c>
      <c r="M16" s="256"/>
      <c r="N16" s="325" t="str">
        <f>"NPV "&amp;FirstYr-1&amp;" $"</f>
        <v>NPV 2013 $</v>
      </c>
      <c r="O16" s="311"/>
      <c r="P16" s="325" t="s">
        <v>491</v>
      </c>
      <c r="Q16" s="310"/>
      <c r="R16" s="325">
        <f>R$8</f>
        <v>2014</v>
      </c>
      <c r="S16" s="325">
        <f t="shared" ref="S16:AU16" si="4">S$8</f>
        <v>2015</v>
      </c>
      <c r="T16" s="325">
        <f t="shared" si="4"/>
        <v>2016</v>
      </c>
      <c r="U16" s="325">
        <f t="shared" si="4"/>
        <v>2017</v>
      </c>
      <c r="V16" s="325">
        <f t="shared" si="4"/>
        <v>2018</v>
      </c>
      <c r="W16" s="325">
        <f t="shared" si="4"/>
        <v>2019</v>
      </c>
      <c r="X16" s="325">
        <f t="shared" si="4"/>
        <v>2020</v>
      </c>
      <c r="Y16" s="325">
        <f t="shared" si="4"/>
        <v>2021</v>
      </c>
      <c r="Z16" s="325">
        <f t="shared" si="4"/>
        <v>2022</v>
      </c>
      <c r="AA16" s="325">
        <f t="shared" si="4"/>
        <v>2023</v>
      </c>
      <c r="AB16" s="325">
        <f t="shared" si="4"/>
        <v>2024</v>
      </c>
      <c r="AC16" s="325">
        <f t="shared" si="4"/>
        <v>2025</v>
      </c>
      <c r="AD16" s="325">
        <f t="shared" si="4"/>
        <v>2026</v>
      </c>
      <c r="AE16" s="325">
        <f t="shared" si="4"/>
        <v>2027</v>
      </c>
      <c r="AF16" s="325">
        <f t="shared" si="4"/>
        <v>2028</v>
      </c>
      <c r="AG16" s="325">
        <f t="shared" si="4"/>
        <v>2029</v>
      </c>
      <c r="AH16" s="325">
        <f t="shared" si="4"/>
        <v>2030</v>
      </c>
      <c r="AI16" s="325">
        <f t="shared" si="4"/>
        <v>2031</v>
      </c>
      <c r="AJ16" s="325">
        <f t="shared" si="4"/>
        <v>2032</v>
      </c>
      <c r="AK16" s="325">
        <f t="shared" si="4"/>
        <v>2033</v>
      </c>
      <c r="AL16" s="325">
        <f t="shared" si="4"/>
        <v>2034</v>
      </c>
      <c r="AM16" s="325">
        <f t="shared" si="4"/>
        <v>2035</v>
      </c>
      <c r="AN16" s="325">
        <f t="shared" si="4"/>
        <v>2036</v>
      </c>
      <c r="AO16" s="325">
        <f t="shared" si="4"/>
        <v>2037</v>
      </c>
      <c r="AP16" s="325">
        <f t="shared" si="4"/>
        <v>2038</v>
      </c>
      <c r="AQ16" s="325">
        <f t="shared" si="4"/>
        <v>2039</v>
      </c>
      <c r="AR16" s="325">
        <f t="shared" si="4"/>
        <v>2040</v>
      </c>
      <c r="AS16" s="325">
        <f t="shared" si="4"/>
        <v>2041</v>
      </c>
      <c r="AT16" s="325">
        <f t="shared" si="4"/>
        <v>2042</v>
      </c>
      <c r="AU16" s="325">
        <f t="shared" si="4"/>
        <v>2043</v>
      </c>
    </row>
    <row r="17" spans="2:47">
      <c r="E17" s="49"/>
      <c r="G17" s="39"/>
      <c r="H17" s="28"/>
      <c r="I17" s="28"/>
      <c r="J17" s="28"/>
      <c r="K17" s="28"/>
      <c r="L17" s="406"/>
      <c r="M17" s="28"/>
      <c r="N17" s="28"/>
      <c r="O17" s="197"/>
      <c r="Q17" s="197"/>
    </row>
    <row r="18" spans="2:47">
      <c r="E18" s="49"/>
      <c r="G18" s="39" t="s">
        <v>23</v>
      </c>
      <c r="H18" s="28"/>
      <c r="I18" s="28"/>
      <c r="J18" s="28"/>
      <c r="K18" s="28"/>
      <c r="L18" s="406"/>
      <c r="M18" s="28"/>
      <c r="N18" s="28"/>
      <c r="O18" s="197"/>
      <c r="Q18" s="197"/>
    </row>
    <row r="19" spans="2:47">
      <c r="B19" s="38" t="s">
        <v>262</v>
      </c>
      <c r="E19" s="49"/>
      <c r="G19" s="36" t="s">
        <v>125</v>
      </c>
      <c r="H19" s="28"/>
      <c r="I19" s="28"/>
      <c r="J19" s="527"/>
      <c r="K19" s="28"/>
      <c r="L19" s="43" t="str">
        <f t="shared" ref="L19:L29" si="5">"["&amp;FirstYr-1&amp;" $]"</f>
        <v>[2013 $]</v>
      </c>
      <c r="M19" s="28"/>
      <c r="N19" s="191">
        <f t="shared" ref="N19:N29" ca="1" si="6">NPV(DiscountRt,R19:AU19)</f>
        <v>16171631.830854949</v>
      </c>
      <c r="O19" s="189"/>
      <c r="P19" s="321"/>
      <c r="Q19" s="189"/>
      <c r="R19" s="190">
        <f t="shared" ref="R19:AU19" ca="1" si="7">IF($P19=0,SUMIF($B$96:$B$496,$B19,R$96:R$496),IF(OR(S$99&lt;InServiceYr,S$99&gt;(InServiceYr+analysis_period)),0,$P19*(1+LaborEsc)^(R$16-FirstYr)))</f>
        <v>1205321.25</v>
      </c>
      <c r="S19" s="190">
        <f t="shared" ca="1" si="7"/>
        <v>1229427.675</v>
      </c>
      <c r="T19" s="190">
        <f t="shared" ca="1" si="7"/>
        <v>1254016.2285</v>
      </c>
      <c r="U19" s="190">
        <f t="shared" ca="1" si="7"/>
        <v>1279096.5530699999</v>
      </c>
      <c r="V19" s="190">
        <f t="shared" ca="1" si="7"/>
        <v>1304678.4841314</v>
      </c>
      <c r="W19" s="190">
        <f t="shared" ca="1" si="7"/>
        <v>1330772.0538140282</v>
      </c>
      <c r="X19" s="190">
        <f t="shared" ca="1" si="7"/>
        <v>1357387.4948903085</v>
      </c>
      <c r="Y19" s="190">
        <f t="shared" ca="1" si="7"/>
        <v>1384535.2447881147</v>
      </c>
      <c r="Z19" s="190">
        <f t="shared" ca="1" si="7"/>
        <v>1412225.9496838769</v>
      </c>
      <c r="AA19" s="190">
        <f t="shared" ca="1" si="7"/>
        <v>1440470.4686775545</v>
      </c>
      <c r="AB19" s="190">
        <f t="shared" ca="1" si="7"/>
        <v>1469279.8780511054</v>
      </c>
      <c r="AC19" s="190">
        <f t="shared" ca="1" si="7"/>
        <v>1498665.4756121277</v>
      </c>
      <c r="AD19" s="190">
        <f t="shared" ca="1" si="7"/>
        <v>1528638.7851243701</v>
      </c>
      <c r="AE19" s="190">
        <f t="shared" ca="1" si="7"/>
        <v>1559211.5608268578</v>
      </c>
      <c r="AF19" s="190">
        <f t="shared" ca="1" si="7"/>
        <v>1590395.7920433944</v>
      </c>
      <c r="AG19" s="190">
        <f t="shared" ca="1" si="7"/>
        <v>1622203.7078842628</v>
      </c>
      <c r="AH19" s="190">
        <f t="shared" ca="1" si="7"/>
        <v>1654647.7820419481</v>
      </c>
      <c r="AI19" s="190">
        <f t="shared" ca="1" si="7"/>
        <v>1687740.7376827868</v>
      </c>
      <c r="AJ19" s="190">
        <f t="shared" ca="1" si="7"/>
        <v>1721495.5524364426</v>
      </c>
      <c r="AK19" s="190">
        <f t="shared" ca="1" si="7"/>
        <v>1755925.4634851716</v>
      </c>
      <c r="AL19" s="190">
        <f t="shared" si="7"/>
        <v>0</v>
      </c>
      <c r="AM19" s="190">
        <f t="shared" si="7"/>
        <v>0</v>
      </c>
      <c r="AN19" s="190">
        <f t="shared" si="7"/>
        <v>0</v>
      </c>
      <c r="AO19" s="190">
        <f t="shared" si="7"/>
        <v>0</v>
      </c>
      <c r="AP19" s="190">
        <f t="shared" si="7"/>
        <v>0</v>
      </c>
      <c r="AQ19" s="190">
        <f t="shared" si="7"/>
        <v>0</v>
      </c>
      <c r="AR19" s="190">
        <f t="shared" si="7"/>
        <v>0</v>
      </c>
      <c r="AS19" s="190">
        <f t="shared" si="7"/>
        <v>0</v>
      </c>
      <c r="AT19" s="190">
        <f t="shared" si="7"/>
        <v>0</v>
      </c>
      <c r="AU19" s="190">
        <f t="shared" si="7"/>
        <v>0</v>
      </c>
    </row>
    <row r="20" spans="2:47">
      <c r="B20" s="38" t="s">
        <v>270</v>
      </c>
      <c r="E20" s="49"/>
      <c r="G20" s="36" t="s">
        <v>126</v>
      </c>
      <c r="H20" s="28"/>
      <c r="I20" s="28"/>
      <c r="J20" s="527"/>
      <c r="K20" s="28"/>
      <c r="L20" s="43" t="str">
        <f t="shared" si="5"/>
        <v>[2013 $]</v>
      </c>
      <c r="M20" s="28"/>
      <c r="N20" s="191">
        <f t="shared" ca="1" si="6"/>
        <v>4529801.7758612046</v>
      </c>
      <c r="O20" s="189"/>
      <c r="P20" s="321"/>
      <c r="Q20" s="189"/>
      <c r="R20" s="190">
        <f t="shared" ref="R20:AU20" ca="1" si="8">IF($P20=0,SUMIF($B$96:$B$496,$B20,R$96:R$496),IF(OR(S$99&lt;InServiceYr,S$99&gt;(InServiceYr+analysis_period)),0,$P20*(1+LaborEsc)^(R$16-FirstYr)))</f>
        <v>337620</v>
      </c>
      <c r="S20" s="190">
        <f t="shared" ca="1" si="8"/>
        <v>344372.4</v>
      </c>
      <c r="T20" s="190">
        <f t="shared" ca="1" si="8"/>
        <v>351259.84799999994</v>
      </c>
      <c r="U20" s="190">
        <f t="shared" ca="1" si="8"/>
        <v>358285.04495999997</v>
      </c>
      <c r="V20" s="190">
        <f t="shared" ca="1" si="8"/>
        <v>365450.74585920002</v>
      </c>
      <c r="W20" s="190">
        <f t="shared" ca="1" si="8"/>
        <v>372759.76077638404</v>
      </c>
      <c r="X20" s="190">
        <f t="shared" ca="1" si="8"/>
        <v>380214.95599191164</v>
      </c>
      <c r="Y20" s="190">
        <f t="shared" ca="1" si="8"/>
        <v>387819.25511174987</v>
      </c>
      <c r="Z20" s="190">
        <f t="shared" ca="1" si="8"/>
        <v>395575.64021398494</v>
      </c>
      <c r="AA20" s="190">
        <f t="shared" ca="1" si="8"/>
        <v>403487.15301826462</v>
      </c>
      <c r="AB20" s="190">
        <f t="shared" ca="1" si="8"/>
        <v>411556.89607862977</v>
      </c>
      <c r="AC20" s="190">
        <f t="shared" ca="1" si="8"/>
        <v>419788.03400020255</v>
      </c>
      <c r="AD20" s="190">
        <f t="shared" ca="1" si="8"/>
        <v>428183.79468020645</v>
      </c>
      <c r="AE20" s="190">
        <f t="shared" ca="1" si="8"/>
        <v>436747.47057381069</v>
      </c>
      <c r="AF20" s="190">
        <f t="shared" ca="1" si="8"/>
        <v>445482.41998528678</v>
      </c>
      <c r="AG20" s="190">
        <f t="shared" ca="1" si="8"/>
        <v>454392.06838499254</v>
      </c>
      <c r="AH20" s="190">
        <f t="shared" ca="1" si="8"/>
        <v>463479.90975269245</v>
      </c>
      <c r="AI20" s="190">
        <f t="shared" ca="1" si="8"/>
        <v>472749.50794774626</v>
      </c>
      <c r="AJ20" s="190">
        <f t="shared" ca="1" si="8"/>
        <v>482204.49810670118</v>
      </c>
      <c r="AK20" s="190">
        <f t="shared" ca="1" si="8"/>
        <v>491848.58806883526</v>
      </c>
      <c r="AL20" s="190">
        <f t="shared" si="8"/>
        <v>0</v>
      </c>
      <c r="AM20" s="190">
        <f t="shared" si="8"/>
        <v>0</v>
      </c>
      <c r="AN20" s="190">
        <f t="shared" si="8"/>
        <v>0</v>
      </c>
      <c r="AO20" s="190">
        <f t="shared" si="8"/>
        <v>0</v>
      </c>
      <c r="AP20" s="190">
        <f t="shared" si="8"/>
        <v>0</v>
      </c>
      <c r="AQ20" s="190">
        <f t="shared" si="8"/>
        <v>0</v>
      </c>
      <c r="AR20" s="190">
        <f t="shared" si="8"/>
        <v>0</v>
      </c>
      <c r="AS20" s="190">
        <f t="shared" si="8"/>
        <v>0</v>
      </c>
      <c r="AT20" s="190">
        <f t="shared" si="8"/>
        <v>0</v>
      </c>
      <c r="AU20" s="190">
        <f t="shared" si="8"/>
        <v>0</v>
      </c>
    </row>
    <row r="21" spans="2:47">
      <c r="B21" s="38" t="s">
        <v>263</v>
      </c>
      <c r="E21" s="49"/>
      <c r="G21" s="36" t="s">
        <v>127</v>
      </c>
      <c r="H21" s="28"/>
      <c r="I21" s="28"/>
      <c r="J21" s="527"/>
      <c r="K21" s="28"/>
      <c r="L21" s="43" t="str">
        <f t="shared" si="5"/>
        <v>[2013 $]</v>
      </c>
      <c r="M21" s="28"/>
      <c r="N21" s="191">
        <f t="shared" ca="1" si="6"/>
        <v>4912987.4245745381</v>
      </c>
      <c r="O21" s="189"/>
      <c r="P21" s="321"/>
      <c r="Q21" s="189"/>
      <c r="R21" s="190">
        <f t="shared" ref="R21:AU21" ca="1" si="9">IF($P21=0,SUMIF($B$96:$B$496,$B21,R$96:R$496),IF(OR(S$99&lt;InServiceYr,S$99&gt;(InServiceYr+analysis_period)),0,$P21*(1+LaborEsc)^(R$16-FirstYr)))</f>
        <v>366180</v>
      </c>
      <c r="S21" s="190">
        <f t="shared" ca="1" si="9"/>
        <v>373503.6</v>
      </c>
      <c r="T21" s="190">
        <f t="shared" ca="1" si="9"/>
        <v>380973.67200000002</v>
      </c>
      <c r="U21" s="190">
        <f t="shared" ca="1" si="9"/>
        <v>388593.14543999999</v>
      </c>
      <c r="V21" s="190">
        <f t="shared" ca="1" si="9"/>
        <v>396365.00834880001</v>
      </c>
      <c r="W21" s="190">
        <f t="shared" ca="1" si="9"/>
        <v>404292.30851577607</v>
      </c>
      <c r="X21" s="190">
        <f t="shared" ca="1" si="9"/>
        <v>412378.15468609147</v>
      </c>
      <c r="Y21" s="190">
        <f t="shared" ca="1" si="9"/>
        <v>420625.71777981333</v>
      </c>
      <c r="Z21" s="190">
        <f t="shared" ca="1" si="9"/>
        <v>429038.23213540955</v>
      </c>
      <c r="AA21" s="190">
        <f t="shared" ca="1" si="9"/>
        <v>437618.99677811784</v>
      </c>
      <c r="AB21" s="190">
        <f t="shared" ca="1" si="9"/>
        <v>446371.37671367999</v>
      </c>
      <c r="AC21" s="190">
        <f t="shared" ca="1" si="9"/>
        <v>455298.8042479537</v>
      </c>
      <c r="AD21" s="190">
        <f t="shared" ca="1" si="9"/>
        <v>464404.78033291281</v>
      </c>
      <c r="AE21" s="190">
        <f t="shared" ca="1" si="9"/>
        <v>473692.87593957107</v>
      </c>
      <c r="AF21" s="190">
        <f t="shared" ca="1" si="9"/>
        <v>483166.7334583624</v>
      </c>
      <c r="AG21" s="190">
        <f t="shared" ca="1" si="9"/>
        <v>492830.0681275297</v>
      </c>
      <c r="AH21" s="190">
        <f t="shared" ca="1" si="9"/>
        <v>502686.66949008033</v>
      </c>
      <c r="AI21" s="190">
        <f t="shared" ca="1" si="9"/>
        <v>512740.40287988191</v>
      </c>
      <c r="AJ21" s="190">
        <f t="shared" ca="1" si="9"/>
        <v>522995.21093747951</v>
      </c>
      <c r="AK21" s="190">
        <f t="shared" ca="1" si="9"/>
        <v>533455.11515622912</v>
      </c>
      <c r="AL21" s="190">
        <f t="shared" si="9"/>
        <v>0</v>
      </c>
      <c r="AM21" s="190">
        <f t="shared" si="9"/>
        <v>0</v>
      </c>
      <c r="AN21" s="190">
        <f t="shared" si="9"/>
        <v>0</v>
      </c>
      <c r="AO21" s="190">
        <f t="shared" si="9"/>
        <v>0</v>
      </c>
      <c r="AP21" s="190">
        <f t="shared" si="9"/>
        <v>0</v>
      </c>
      <c r="AQ21" s="190">
        <f t="shared" si="9"/>
        <v>0</v>
      </c>
      <c r="AR21" s="190">
        <f t="shared" si="9"/>
        <v>0</v>
      </c>
      <c r="AS21" s="190">
        <f t="shared" si="9"/>
        <v>0</v>
      </c>
      <c r="AT21" s="190">
        <f t="shared" si="9"/>
        <v>0</v>
      </c>
      <c r="AU21" s="190">
        <f t="shared" si="9"/>
        <v>0</v>
      </c>
    </row>
    <row r="22" spans="2:47">
      <c r="B22" s="38" t="s">
        <v>277</v>
      </c>
      <c r="E22" s="49"/>
      <c r="G22" s="36" t="s">
        <v>276</v>
      </c>
      <c r="H22" s="28"/>
      <c r="I22" s="28"/>
      <c r="J22" s="527"/>
      <c r="K22" s="28"/>
      <c r="L22" s="43" t="str">
        <f t="shared" si="5"/>
        <v>[2013 $]</v>
      </c>
      <c r="M22" s="28"/>
      <c r="N22" s="191">
        <f t="shared" ca="1" si="6"/>
        <v>4420320.1619431097</v>
      </c>
      <c r="O22" s="189"/>
      <c r="P22" s="321"/>
      <c r="Q22" s="189"/>
      <c r="R22" s="190">
        <f t="shared" ref="R22:AU22" ca="1" si="10">IF($P22=0,SUMIF($B$96:$B$496,$B22,R$96:R$496),IF(OR(S$99&lt;InServiceYr,S$99&gt;(InServiceYr+analysis_period)),0,$P22*(1+LaborEsc)^(R$16-FirstYr)))</f>
        <v>329460</v>
      </c>
      <c r="S22" s="190">
        <f t="shared" ca="1" si="10"/>
        <v>336049.2</v>
      </c>
      <c r="T22" s="190">
        <f t="shared" ca="1" si="10"/>
        <v>342770.18399999995</v>
      </c>
      <c r="U22" s="190">
        <f t="shared" ca="1" si="10"/>
        <v>349625.58768</v>
      </c>
      <c r="V22" s="190">
        <f t="shared" ca="1" si="10"/>
        <v>356618.09943359997</v>
      </c>
      <c r="W22" s="190">
        <f t="shared" ca="1" si="10"/>
        <v>363750.46142227203</v>
      </c>
      <c r="X22" s="190">
        <f t="shared" ca="1" si="10"/>
        <v>371025.47065071738</v>
      </c>
      <c r="Y22" s="190">
        <f t="shared" ca="1" si="10"/>
        <v>378445.98006373178</v>
      </c>
      <c r="Z22" s="190">
        <f t="shared" ca="1" si="10"/>
        <v>386014.89966500638</v>
      </c>
      <c r="AA22" s="190">
        <f t="shared" ca="1" si="10"/>
        <v>393735.19765830651</v>
      </c>
      <c r="AB22" s="190">
        <f t="shared" ca="1" si="10"/>
        <v>401609.9016114726</v>
      </c>
      <c r="AC22" s="190">
        <f t="shared" ca="1" si="10"/>
        <v>409642.09964370215</v>
      </c>
      <c r="AD22" s="190">
        <f t="shared" ca="1" si="10"/>
        <v>417834.94163657608</v>
      </c>
      <c r="AE22" s="190">
        <f t="shared" ca="1" si="10"/>
        <v>426191.64046930766</v>
      </c>
      <c r="AF22" s="190">
        <f t="shared" ca="1" si="10"/>
        <v>434715.47327869374</v>
      </c>
      <c r="AG22" s="190">
        <f t="shared" ca="1" si="10"/>
        <v>443409.78274426772</v>
      </c>
      <c r="AH22" s="190">
        <f t="shared" ca="1" si="10"/>
        <v>452277.9783991531</v>
      </c>
      <c r="AI22" s="190">
        <f t="shared" ca="1" si="10"/>
        <v>461323.53796713607</v>
      </c>
      <c r="AJ22" s="190">
        <f t="shared" ca="1" si="10"/>
        <v>470550.00872647879</v>
      </c>
      <c r="AK22" s="190">
        <f t="shared" ca="1" si="10"/>
        <v>479961.0089010084</v>
      </c>
      <c r="AL22" s="190">
        <f t="shared" si="10"/>
        <v>0</v>
      </c>
      <c r="AM22" s="190">
        <f t="shared" si="10"/>
        <v>0</v>
      </c>
      <c r="AN22" s="190">
        <f t="shared" si="10"/>
        <v>0</v>
      </c>
      <c r="AO22" s="190">
        <f t="shared" si="10"/>
        <v>0</v>
      </c>
      <c r="AP22" s="190">
        <f t="shared" si="10"/>
        <v>0</v>
      </c>
      <c r="AQ22" s="190">
        <f t="shared" si="10"/>
        <v>0</v>
      </c>
      <c r="AR22" s="190">
        <f t="shared" si="10"/>
        <v>0</v>
      </c>
      <c r="AS22" s="190">
        <f t="shared" si="10"/>
        <v>0</v>
      </c>
      <c r="AT22" s="190">
        <f t="shared" si="10"/>
        <v>0</v>
      </c>
      <c r="AU22" s="190">
        <f t="shared" si="10"/>
        <v>0</v>
      </c>
    </row>
    <row r="23" spans="2:47">
      <c r="B23" s="38" t="s">
        <v>274</v>
      </c>
      <c r="E23" s="49"/>
      <c r="G23" s="36" t="s">
        <v>16</v>
      </c>
      <c r="H23" s="28"/>
      <c r="I23" s="28"/>
      <c r="J23" s="527"/>
      <c r="K23" s="28"/>
      <c r="L23" s="43" t="str">
        <f t="shared" si="5"/>
        <v>[2013 $]</v>
      </c>
      <c r="M23" s="28"/>
      <c r="N23" s="191">
        <f t="shared" ca="1" si="6"/>
        <v>0</v>
      </c>
      <c r="O23" s="189"/>
      <c r="P23" s="321"/>
      <c r="Q23" s="189"/>
      <c r="R23" s="190">
        <f t="shared" ref="R23:AU23" ca="1" si="11">IF($P23=0,SUMIF($B$96:$B$496,$B23,R$96:R$496),IF(OR(S$99&lt;InServiceYr,S$99&gt;(InServiceYr+analysis_period)),0,$P23*(1+LaborEsc)^(R$16-FirstYr)))</f>
        <v>0</v>
      </c>
      <c r="S23" s="190">
        <f t="shared" ca="1" si="11"/>
        <v>0</v>
      </c>
      <c r="T23" s="190">
        <f t="shared" ca="1" si="11"/>
        <v>0</v>
      </c>
      <c r="U23" s="190">
        <f t="shared" ca="1" si="11"/>
        <v>0</v>
      </c>
      <c r="V23" s="190">
        <f t="shared" ca="1" si="11"/>
        <v>0</v>
      </c>
      <c r="W23" s="190">
        <f t="shared" ca="1" si="11"/>
        <v>0</v>
      </c>
      <c r="X23" s="190">
        <f t="shared" ca="1" si="11"/>
        <v>0</v>
      </c>
      <c r="Y23" s="190">
        <f t="shared" ca="1" si="11"/>
        <v>0</v>
      </c>
      <c r="Z23" s="190">
        <f t="shared" ca="1" si="11"/>
        <v>0</v>
      </c>
      <c r="AA23" s="190">
        <f t="shared" ca="1" si="11"/>
        <v>0</v>
      </c>
      <c r="AB23" s="190">
        <f t="shared" ca="1" si="11"/>
        <v>0</v>
      </c>
      <c r="AC23" s="190">
        <f t="shared" ca="1" si="11"/>
        <v>0</v>
      </c>
      <c r="AD23" s="190">
        <f t="shared" ca="1" si="11"/>
        <v>0</v>
      </c>
      <c r="AE23" s="190">
        <f t="shared" ca="1" si="11"/>
        <v>0</v>
      </c>
      <c r="AF23" s="190">
        <f t="shared" ca="1" si="11"/>
        <v>0</v>
      </c>
      <c r="AG23" s="190">
        <f t="shared" ca="1" si="11"/>
        <v>0</v>
      </c>
      <c r="AH23" s="190">
        <f t="shared" ca="1" si="11"/>
        <v>0</v>
      </c>
      <c r="AI23" s="190">
        <f t="shared" ca="1" si="11"/>
        <v>0</v>
      </c>
      <c r="AJ23" s="190">
        <f t="shared" ca="1" si="11"/>
        <v>0</v>
      </c>
      <c r="AK23" s="190">
        <f t="shared" ca="1" si="11"/>
        <v>0</v>
      </c>
      <c r="AL23" s="190">
        <f t="shared" si="11"/>
        <v>0</v>
      </c>
      <c r="AM23" s="190">
        <f t="shared" si="11"/>
        <v>0</v>
      </c>
      <c r="AN23" s="190">
        <f t="shared" si="11"/>
        <v>0</v>
      </c>
      <c r="AO23" s="190">
        <f t="shared" si="11"/>
        <v>0</v>
      </c>
      <c r="AP23" s="190">
        <f t="shared" si="11"/>
        <v>0</v>
      </c>
      <c r="AQ23" s="190">
        <f t="shared" si="11"/>
        <v>0</v>
      </c>
      <c r="AR23" s="190">
        <f t="shared" si="11"/>
        <v>0</v>
      </c>
      <c r="AS23" s="190">
        <f t="shared" si="11"/>
        <v>0</v>
      </c>
      <c r="AT23" s="190">
        <f t="shared" si="11"/>
        <v>0</v>
      </c>
      <c r="AU23" s="190">
        <f t="shared" si="11"/>
        <v>0</v>
      </c>
    </row>
    <row r="24" spans="2:47">
      <c r="B24" s="38" t="s">
        <v>257</v>
      </c>
      <c r="E24" s="49"/>
      <c r="G24" s="36" t="s">
        <v>284</v>
      </c>
      <c r="H24" s="28"/>
      <c r="I24" s="28"/>
      <c r="J24" s="527"/>
      <c r="K24" s="28"/>
      <c r="L24" s="43" t="str">
        <f t="shared" si="5"/>
        <v>[2013 $]</v>
      </c>
      <c r="M24" s="28"/>
      <c r="N24" s="191">
        <f t="shared" ca="1" si="6"/>
        <v>539934.9098973209</v>
      </c>
      <c r="O24" s="189"/>
      <c r="P24" s="321"/>
      <c r="Q24" s="189"/>
      <c r="R24" s="190">
        <f t="shared" ref="R24:AU24" ca="1" si="12">IF($P24=0,SUMIF($B$96:$B$496,$B24,R$96:R$496),IF(OR(S$99&lt;InServiceYr,S$99&gt;(InServiceYr+analysis_period)),0,$P24*(1+LaborEsc)^(R$16-FirstYr)))</f>
        <v>39320.480408819567</v>
      </c>
      <c r="S24" s="190">
        <f t="shared" ca="1" si="12"/>
        <v>39565.585853410295</v>
      </c>
      <c r="T24" s="190">
        <f t="shared" ca="1" si="12"/>
        <v>41271.255944860954</v>
      </c>
      <c r="U24" s="190">
        <f t="shared" ca="1" si="12"/>
        <v>42509.290348149239</v>
      </c>
      <c r="V24" s="190">
        <f t="shared" ca="1" si="12"/>
        <v>43535.086723650027</v>
      </c>
      <c r="W24" s="190">
        <f t="shared" ca="1" si="12"/>
        <v>44092.043400267408</v>
      </c>
      <c r="X24" s="190">
        <f t="shared" ca="1" si="12"/>
        <v>44809.52999596575</v>
      </c>
      <c r="Y24" s="190">
        <f t="shared" ca="1" si="12"/>
        <v>45913.545550721552</v>
      </c>
      <c r="Z24" s="190">
        <f t="shared" ca="1" si="12"/>
        <v>47012.747138473838</v>
      </c>
      <c r="AA24" s="190">
        <f t="shared" ca="1" si="12"/>
        <v>48188.181287791471</v>
      </c>
      <c r="AB24" s="190">
        <f t="shared" ca="1" si="12"/>
        <v>49231.927802438178</v>
      </c>
      <c r="AC24" s="190">
        <f t="shared" ca="1" si="12"/>
        <v>50179.955464764033</v>
      </c>
      <c r="AD24" s="190">
        <f t="shared" ca="1" si="12"/>
        <v>51339.102255259095</v>
      </c>
      <c r="AE24" s="190">
        <f t="shared" ca="1" si="12"/>
        <v>52509.205543315387</v>
      </c>
      <c r="AF24" s="190">
        <f t="shared" ca="1" si="12"/>
        <v>53757.696156951555</v>
      </c>
      <c r="AG24" s="190">
        <f t="shared" ca="1" si="12"/>
        <v>55156.299921051308</v>
      </c>
      <c r="AH24" s="190">
        <f t="shared" ca="1" si="12"/>
        <v>56508.040681656312</v>
      </c>
      <c r="AI24" s="190">
        <f t="shared" ca="1" si="12"/>
        <v>57973.948645060904</v>
      </c>
      <c r="AJ24" s="190">
        <f t="shared" ca="1" si="12"/>
        <v>59525.825049826664</v>
      </c>
      <c r="AK24" s="190">
        <f t="shared" ca="1" si="12"/>
        <v>61145.121903208244</v>
      </c>
      <c r="AL24" s="190">
        <f t="shared" si="12"/>
        <v>0</v>
      </c>
      <c r="AM24" s="190">
        <f t="shared" si="12"/>
        <v>0</v>
      </c>
      <c r="AN24" s="190">
        <f t="shared" si="12"/>
        <v>0</v>
      </c>
      <c r="AO24" s="190">
        <f t="shared" si="12"/>
        <v>0</v>
      </c>
      <c r="AP24" s="190">
        <f t="shared" si="12"/>
        <v>0</v>
      </c>
      <c r="AQ24" s="190">
        <f t="shared" si="12"/>
        <v>0</v>
      </c>
      <c r="AR24" s="190">
        <f t="shared" si="12"/>
        <v>0</v>
      </c>
      <c r="AS24" s="190">
        <f t="shared" si="12"/>
        <v>0</v>
      </c>
      <c r="AT24" s="190">
        <f t="shared" si="12"/>
        <v>0</v>
      </c>
      <c r="AU24" s="190">
        <f t="shared" si="12"/>
        <v>0</v>
      </c>
    </row>
    <row r="25" spans="2:47">
      <c r="B25" s="38" t="s">
        <v>864</v>
      </c>
      <c r="E25" s="49"/>
      <c r="G25" s="36" t="s">
        <v>865</v>
      </c>
      <c r="H25" s="28"/>
      <c r="I25" s="28"/>
      <c r="J25" s="527"/>
      <c r="K25" s="28"/>
      <c r="L25" s="43" t="str">
        <f t="shared" si="5"/>
        <v>[2013 $]</v>
      </c>
      <c r="M25" s="28"/>
      <c r="N25" s="191">
        <f t="shared" ca="1" si="6"/>
        <v>0</v>
      </c>
      <c r="O25" s="189"/>
      <c r="P25" s="321"/>
      <c r="Q25" s="189"/>
      <c r="R25" s="190">
        <f t="shared" ref="R25:AU25" ca="1" si="13">IF($P25=0,SUMIF($B$96:$B$496,$B25,R$96:R$496),IF(OR(S$99&lt;InServiceYr,S$99&gt;(InServiceYr+analysis_period)),0,$P25*(1+LaborEsc)^(R$16-FirstYr)))</f>
        <v>0</v>
      </c>
      <c r="S25" s="190">
        <f t="shared" ca="1" si="13"/>
        <v>0</v>
      </c>
      <c r="T25" s="190">
        <f t="shared" ca="1" si="13"/>
        <v>0</v>
      </c>
      <c r="U25" s="190">
        <f t="shared" ca="1" si="13"/>
        <v>0</v>
      </c>
      <c r="V25" s="190">
        <f t="shared" ca="1" si="13"/>
        <v>0</v>
      </c>
      <c r="W25" s="190">
        <f t="shared" ca="1" si="13"/>
        <v>0</v>
      </c>
      <c r="X25" s="190">
        <f t="shared" ca="1" si="13"/>
        <v>0</v>
      </c>
      <c r="Y25" s="190">
        <f t="shared" ca="1" si="13"/>
        <v>0</v>
      </c>
      <c r="Z25" s="190">
        <f t="shared" ca="1" si="13"/>
        <v>0</v>
      </c>
      <c r="AA25" s="190">
        <f t="shared" ca="1" si="13"/>
        <v>0</v>
      </c>
      <c r="AB25" s="190">
        <f t="shared" ca="1" si="13"/>
        <v>0</v>
      </c>
      <c r="AC25" s="190">
        <f t="shared" ca="1" si="13"/>
        <v>0</v>
      </c>
      <c r="AD25" s="190">
        <f t="shared" ca="1" si="13"/>
        <v>0</v>
      </c>
      <c r="AE25" s="190">
        <f t="shared" ca="1" si="13"/>
        <v>0</v>
      </c>
      <c r="AF25" s="190">
        <f t="shared" ca="1" si="13"/>
        <v>0</v>
      </c>
      <c r="AG25" s="190">
        <f t="shared" ca="1" si="13"/>
        <v>0</v>
      </c>
      <c r="AH25" s="190">
        <f t="shared" ca="1" si="13"/>
        <v>0</v>
      </c>
      <c r="AI25" s="190">
        <f t="shared" ca="1" si="13"/>
        <v>0</v>
      </c>
      <c r="AJ25" s="190">
        <f t="shared" ca="1" si="13"/>
        <v>0</v>
      </c>
      <c r="AK25" s="190">
        <f t="shared" ca="1" si="13"/>
        <v>0</v>
      </c>
      <c r="AL25" s="190">
        <f t="shared" si="13"/>
        <v>0</v>
      </c>
      <c r="AM25" s="190">
        <f t="shared" si="13"/>
        <v>0</v>
      </c>
      <c r="AN25" s="190">
        <f t="shared" si="13"/>
        <v>0</v>
      </c>
      <c r="AO25" s="190">
        <f t="shared" si="13"/>
        <v>0</v>
      </c>
      <c r="AP25" s="190">
        <f t="shared" si="13"/>
        <v>0</v>
      </c>
      <c r="AQ25" s="190">
        <f t="shared" si="13"/>
        <v>0</v>
      </c>
      <c r="AR25" s="190">
        <f t="shared" si="13"/>
        <v>0</v>
      </c>
      <c r="AS25" s="190">
        <f t="shared" si="13"/>
        <v>0</v>
      </c>
      <c r="AT25" s="190">
        <f t="shared" si="13"/>
        <v>0</v>
      </c>
      <c r="AU25" s="190">
        <f t="shared" si="13"/>
        <v>0</v>
      </c>
    </row>
    <row r="26" spans="2:47">
      <c r="B26" s="38" t="s">
        <v>273</v>
      </c>
      <c r="E26" s="49"/>
      <c r="G26" s="36" t="s">
        <v>291</v>
      </c>
      <c r="H26" s="28"/>
      <c r="I26" s="28"/>
      <c r="J26" s="527"/>
      <c r="K26" s="28"/>
      <c r="L26" s="43" t="str">
        <f t="shared" si="5"/>
        <v>[2013 $]</v>
      </c>
      <c r="M26" s="28"/>
      <c r="N26" s="191">
        <f t="shared" ca="1" si="6"/>
        <v>48081.832759436431</v>
      </c>
      <c r="O26" s="189"/>
      <c r="P26" s="321"/>
      <c r="Q26" s="189"/>
      <c r="R26" s="190">
        <f t="shared" ref="R26:AU26" ca="1" si="14">IF($P26=0,SUMIF($B$96:$B$496,$B26,R$96:R$496),IF(OR(S$99&lt;InServiceYr,S$99&gt;(InServiceYr+analysis_period)),0,$P26*(1+LaborEsc)^(R$16-FirstYr)))</f>
        <v>0</v>
      </c>
      <c r="S26" s="190">
        <f t="shared" ca="1" si="14"/>
        <v>0</v>
      </c>
      <c r="T26" s="190">
        <f t="shared" ca="1" si="14"/>
        <v>0</v>
      </c>
      <c r="U26" s="190">
        <f t="shared" ca="1" si="14"/>
        <v>0</v>
      </c>
      <c r="V26" s="190">
        <f t="shared" ca="1" si="14"/>
        <v>20977.535260799999</v>
      </c>
      <c r="W26" s="190">
        <f t="shared" ca="1" si="14"/>
        <v>0</v>
      </c>
      <c r="X26" s="190">
        <f t="shared" ca="1" si="14"/>
        <v>0</v>
      </c>
      <c r="Y26" s="190">
        <f t="shared" ca="1" si="14"/>
        <v>0</v>
      </c>
      <c r="Z26" s="190">
        <f t="shared" ca="1" si="14"/>
        <v>0</v>
      </c>
      <c r="AA26" s="190">
        <f t="shared" ca="1" si="14"/>
        <v>23160.893979900386</v>
      </c>
      <c r="AB26" s="190">
        <f t="shared" ca="1" si="14"/>
        <v>0</v>
      </c>
      <c r="AC26" s="190">
        <f t="shared" ca="1" si="14"/>
        <v>0</v>
      </c>
      <c r="AD26" s="190">
        <f t="shared" ca="1" si="14"/>
        <v>0</v>
      </c>
      <c r="AE26" s="190">
        <f t="shared" ca="1" si="14"/>
        <v>0</v>
      </c>
      <c r="AF26" s="190">
        <f t="shared" ca="1" si="14"/>
        <v>25571.498428158455</v>
      </c>
      <c r="AG26" s="190">
        <f t="shared" ca="1" si="14"/>
        <v>0</v>
      </c>
      <c r="AH26" s="190">
        <f t="shared" ca="1" si="14"/>
        <v>0</v>
      </c>
      <c r="AI26" s="190">
        <f t="shared" ca="1" si="14"/>
        <v>0</v>
      </c>
      <c r="AJ26" s="190">
        <f t="shared" ca="1" si="14"/>
        <v>0</v>
      </c>
      <c r="AK26" s="190">
        <f t="shared" ca="1" si="14"/>
        <v>28233.000523588729</v>
      </c>
      <c r="AL26" s="190">
        <f t="shared" si="14"/>
        <v>0</v>
      </c>
      <c r="AM26" s="190">
        <f t="shared" si="14"/>
        <v>0</v>
      </c>
      <c r="AN26" s="190">
        <f t="shared" si="14"/>
        <v>0</v>
      </c>
      <c r="AO26" s="190">
        <f t="shared" si="14"/>
        <v>0</v>
      </c>
      <c r="AP26" s="190">
        <f t="shared" si="14"/>
        <v>0</v>
      </c>
      <c r="AQ26" s="190">
        <f t="shared" si="14"/>
        <v>0</v>
      </c>
      <c r="AR26" s="190">
        <f t="shared" si="14"/>
        <v>0</v>
      </c>
      <c r="AS26" s="190">
        <f t="shared" si="14"/>
        <v>0</v>
      </c>
      <c r="AT26" s="190">
        <f t="shared" si="14"/>
        <v>0</v>
      </c>
      <c r="AU26" s="190">
        <f t="shared" si="14"/>
        <v>0</v>
      </c>
    </row>
    <row r="27" spans="2:47">
      <c r="E27" s="49"/>
      <c r="G27" s="36" t="s">
        <v>497</v>
      </c>
      <c r="H27" s="28"/>
      <c r="I27" s="28"/>
      <c r="J27" s="527"/>
      <c r="K27" s="28"/>
      <c r="L27" s="43" t="str">
        <f t="shared" si="5"/>
        <v>[2013 $]</v>
      </c>
      <c r="M27" s="28"/>
      <c r="N27" s="191">
        <f t="shared" si="6"/>
        <v>0</v>
      </c>
      <c r="O27" s="189"/>
      <c r="P27" s="319"/>
      <c r="Q27" s="189"/>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row>
    <row r="28" spans="2:47">
      <c r="E28" s="49"/>
      <c r="G28" s="36" t="s">
        <v>498</v>
      </c>
      <c r="H28" s="28"/>
      <c r="I28" s="28"/>
      <c r="J28" s="527"/>
      <c r="K28" s="28"/>
      <c r="L28" s="43" t="str">
        <f t="shared" si="5"/>
        <v>[2013 $]</v>
      </c>
      <c r="M28" s="28"/>
      <c r="N28" s="191">
        <f t="shared" si="6"/>
        <v>0</v>
      </c>
      <c r="O28" s="189"/>
      <c r="P28" s="319"/>
      <c r="Q28" s="189"/>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row>
    <row r="29" spans="2:47">
      <c r="E29" s="49"/>
      <c r="G29" s="36" t="s">
        <v>499</v>
      </c>
      <c r="H29" s="28"/>
      <c r="I29" s="28"/>
      <c r="J29" s="527"/>
      <c r="K29" s="28"/>
      <c r="L29" s="43" t="str">
        <f t="shared" si="5"/>
        <v>[2013 $]</v>
      </c>
      <c r="M29" s="28"/>
      <c r="N29" s="191">
        <f t="shared" si="6"/>
        <v>0</v>
      </c>
      <c r="O29" s="189"/>
      <c r="P29" s="319"/>
      <c r="Q29" s="189"/>
      <c r="R29" s="321"/>
      <c r="S29" s="321"/>
      <c r="T29" s="321"/>
      <c r="U29" s="321"/>
      <c r="V29" s="321"/>
      <c r="W29" s="32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c r="AT29" s="321"/>
      <c r="AU29" s="321"/>
    </row>
    <row r="30" spans="2:47">
      <c r="E30" s="49"/>
      <c r="G30" s="39" t="s">
        <v>304</v>
      </c>
      <c r="H30" s="28"/>
      <c r="I30" s="28"/>
      <c r="J30" s="28"/>
      <c r="K30" s="28"/>
      <c r="L30" s="968"/>
      <c r="M30" s="28"/>
      <c r="N30" s="60"/>
      <c r="O30" s="312"/>
      <c r="Q30" s="312"/>
    </row>
    <row r="31" spans="2:47">
      <c r="B31" s="38" t="s">
        <v>265</v>
      </c>
      <c r="E31" s="49"/>
      <c r="G31" s="36" t="s">
        <v>108</v>
      </c>
      <c r="H31" s="28"/>
      <c r="I31" s="28"/>
      <c r="J31" s="28"/>
      <c r="K31" s="28"/>
      <c r="L31" s="43" t="str">
        <f>"["&amp;FirstYr-1&amp;" $]"</f>
        <v>[2013 $]</v>
      </c>
      <c r="M31" s="28"/>
      <c r="N31" s="191">
        <f t="shared" ref="N31:N36" ca="1" si="15">NPV(DiscountRt,R31:AU31)</f>
        <v>2201065.0346803814</v>
      </c>
      <c r="O31" s="189"/>
      <c r="P31" s="321"/>
      <c r="Q31" s="189"/>
      <c r="R31" s="190">
        <f t="shared" ref="R31:AU31" ca="1" si="16">IF($P31=0,SUMIF($B$96:$B$496,$B31,R$96:R$496),IF(OR(S$99&lt;InServiceYr,S$99&gt;(InServiceYr+analysis_period)),0,$P31*(1+LaborEsc)^(R$16-FirstYr)))</f>
        <v>160291.4221478035</v>
      </c>
      <c r="S31" s="190">
        <f t="shared" ca="1" si="16"/>
        <v>161290.60374174977</v>
      </c>
      <c r="T31" s="190">
        <f t="shared" ca="1" si="16"/>
        <v>168243.83223313605</v>
      </c>
      <c r="U31" s="190">
        <f t="shared" ca="1" si="16"/>
        <v>173290.72619546097</v>
      </c>
      <c r="V31" s="190">
        <f t="shared" ca="1" si="16"/>
        <v>177472.42382869238</v>
      </c>
      <c r="W31" s="190">
        <f t="shared" ca="1" si="16"/>
        <v>179742.87873772476</v>
      </c>
      <c r="X31" s="190">
        <f t="shared" ca="1" si="16"/>
        <v>182667.73991949906</v>
      </c>
      <c r="Y31" s="190">
        <f t="shared" ca="1" si="16"/>
        <v>187168.30098857009</v>
      </c>
      <c r="Z31" s="190">
        <f t="shared" ca="1" si="16"/>
        <v>191649.2377394959</v>
      </c>
      <c r="AA31" s="190">
        <f t="shared" ca="1" si="16"/>
        <v>196440.93940428423</v>
      </c>
      <c r="AB31" s="190">
        <f t="shared" ca="1" si="16"/>
        <v>200695.81145709378</v>
      </c>
      <c r="AC31" s="190">
        <f t="shared" ca="1" si="16"/>
        <v>204560.48199645945</v>
      </c>
      <c r="AD31" s="190">
        <f t="shared" ca="1" si="16"/>
        <v>209285.78762840282</v>
      </c>
      <c r="AE31" s="190">
        <f t="shared" ca="1" si="16"/>
        <v>214055.75783609884</v>
      </c>
      <c r="AF31" s="190">
        <f t="shared" ca="1" si="16"/>
        <v>219145.27693447276</v>
      </c>
      <c r="AG31" s="190">
        <f t="shared" ca="1" si="16"/>
        <v>224846.7379552424</v>
      </c>
      <c r="AH31" s="190">
        <f t="shared" ca="1" si="16"/>
        <v>230357.16017388678</v>
      </c>
      <c r="AI31" s="190">
        <f t="shared" ca="1" si="16"/>
        <v>236332.98930285155</v>
      </c>
      <c r="AJ31" s="190">
        <f t="shared" ca="1" si="16"/>
        <v>242659.27202705064</v>
      </c>
      <c r="AK31" s="190">
        <f t="shared" ca="1" si="16"/>
        <v>249260.39675414775</v>
      </c>
      <c r="AL31" s="190">
        <f t="shared" si="16"/>
        <v>0</v>
      </c>
      <c r="AM31" s="190">
        <f t="shared" si="16"/>
        <v>0</v>
      </c>
      <c r="AN31" s="190">
        <f t="shared" si="16"/>
        <v>0</v>
      </c>
      <c r="AO31" s="190">
        <f t="shared" si="16"/>
        <v>0</v>
      </c>
      <c r="AP31" s="190">
        <f t="shared" si="16"/>
        <v>0</v>
      </c>
      <c r="AQ31" s="190">
        <f t="shared" si="16"/>
        <v>0</v>
      </c>
      <c r="AR31" s="190">
        <f t="shared" si="16"/>
        <v>0</v>
      </c>
      <c r="AS31" s="190">
        <f t="shared" si="16"/>
        <v>0</v>
      </c>
      <c r="AT31" s="190">
        <f t="shared" si="16"/>
        <v>0</v>
      </c>
      <c r="AU31" s="190">
        <f t="shared" si="16"/>
        <v>0</v>
      </c>
    </row>
    <row r="32" spans="2:47">
      <c r="B32" s="38" t="s">
        <v>289</v>
      </c>
      <c r="E32" s="49"/>
      <c r="G32" s="36" t="s">
        <v>292</v>
      </c>
      <c r="H32" s="28"/>
      <c r="I32" s="28"/>
      <c r="J32" s="28"/>
      <c r="K32" s="28"/>
      <c r="L32" s="43" t="str">
        <f>"["&amp;FirstYr-1&amp;" $]"</f>
        <v>[2013 $]</v>
      </c>
      <c r="M32" s="28"/>
      <c r="N32" s="191">
        <f t="shared" ca="1" si="15"/>
        <v>0</v>
      </c>
      <c r="O32" s="189"/>
      <c r="P32" s="321"/>
      <c r="Q32" s="189"/>
      <c r="R32" s="190">
        <f t="shared" ref="R32:AU32" ca="1" si="17">IF($P32=0,SUMIF($B$96:$B$496,$B32,R$96:R$496),IF(OR(S$99&lt;InServiceYr,S$99&gt;(InServiceYr+analysis_period)),0,$P32*(1+LaborEsc)^(R$16-FirstYr)))</f>
        <v>0</v>
      </c>
      <c r="S32" s="190">
        <f t="shared" ca="1" si="17"/>
        <v>0</v>
      </c>
      <c r="T32" s="190">
        <f t="shared" ca="1" si="17"/>
        <v>0</v>
      </c>
      <c r="U32" s="190">
        <f t="shared" ca="1" si="17"/>
        <v>0</v>
      </c>
      <c r="V32" s="190">
        <f t="shared" ca="1" si="17"/>
        <v>0</v>
      </c>
      <c r="W32" s="190">
        <f t="shared" ca="1" si="17"/>
        <v>0</v>
      </c>
      <c r="X32" s="190">
        <f t="shared" ca="1" si="17"/>
        <v>0</v>
      </c>
      <c r="Y32" s="190">
        <f t="shared" ca="1" si="17"/>
        <v>0</v>
      </c>
      <c r="Z32" s="190">
        <f t="shared" ca="1" si="17"/>
        <v>0</v>
      </c>
      <c r="AA32" s="190">
        <f t="shared" ca="1" si="17"/>
        <v>0</v>
      </c>
      <c r="AB32" s="190">
        <f t="shared" ca="1" si="17"/>
        <v>0</v>
      </c>
      <c r="AC32" s="190">
        <f t="shared" ca="1" si="17"/>
        <v>0</v>
      </c>
      <c r="AD32" s="190">
        <f t="shared" ca="1" si="17"/>
        <v>0</v>
      </c>
      <c r="AE32" s="190">
        <f t="shared" ca="1" si="17"/>
        <v>0</v>
      </c>
      <c r="AF32" s="190">
        <f t="shared" ca="1" si="17"/>
        <v>0</v>
      </c>
      <c r="AG32" s="190">
        <f t="shared" ca="1" si="17"/>
        <v>0</v>
      </c>
      <c r="AH32" s="190">
        <f t="shared" ca="1" si="17"/>
        <v>0</v>
      </c>
      <c r="AI32" s="190">
        <f t="shared" ca="1" si="17"/>
        <v>0</v>
      </c>
      <c r="AJ32" s="190">
        <f t="shared" ca="1" si="17"/>
        <v>0</v>
      </c>
      <c r="AK32" s="190">
        <f t="shared" ca="1" si="17"/>
        <v>0</v>
      </c>
      <c r="AL32" s="190">
        <f t="shared" si="17"/>
        <v>0</v>
      </c>
      <c r="AM32" s="190">
        <f t="shared" si="17"/>
        <v>0</v>
      </c>
      <c r="AN32" s="190">
        <f t="shared" si="17"/>
        <v>0</v>
      </c>
      <c r="AO32" s="190">
        <f t="shared" si="17"/>
        <v>0</v>
      </c>
      <c r="AP32" s="190">
        <f t="shared" si="17"/>
        <v>0</v>
      </c>
      <c r="AQ32" s="190">
        <f t="shared" si="17"/>
        <v>0</v>
      </c>
      <c r="AR32" s="190">
        <f t="shared" si="17"/>
        <v>0</v>
      </c>
      <c r="AS32" s="190">
        <f t="shared" si="17"/>
        <v>0</v>
      </c>
      <c r="AT32" s="190">
        <f t="shared" si="17"/>
        <v>0</v>
      </c>
      <c r="AU32" s="190">
        <f t="shared" si="17"/>
        <v>0</v>
      </c>
    </row>
    <row r="33" spans="1:47">
      <c r="E33" s="49"/>
      <c r="G33" s="36" t="s">
        <v>500</v>
      </c>
      <c r="H33" s="28"/>
      <c r="I33" s="28"/>
      <c r="J33" s="28"/>
      <c r="K33" s="28"/>
      <c r="L33" s="43" t="str">
        <f>"["&amp;FirstYr-1&amp;" $]"</f>
        <v>[2013 $]</v>
      </c>
      <c r="M33" s="28"/>
      <c r="N33" s="191">
        <f t="shared" si="15"/>
        <v>0</v>
      </c>
      <c r="O33" s="189"/>
      <c r="P33" s="319"/>
      <c r="Q33" s="189"/>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row>
    <row r="34" spans="1:47">
      <c r="E34" s="49"/>
      <c r="G34" s="36" t="s">
        <v>501</v>
      </c>
      <c r="H34" s="28"/>
      <c r="I34" s="28"/>
      <c r="J34" s="28"/>
      <c r="K34" s="28"/>
      <c r="L34" s="43" t="str">
        <f>"["&amp;FirstYr-1&amp;" $]"</f>
        <v>[2013 $]</v>
      </c>
      <c r="M34" s="28"/>
      <c r="N34" s="191">
        <f t="shared" si="15"/>
        <v>0</v>
      </c>
      <c r="O34" s="189"/>
      <c r="P34" s="319"/>
      <c r="Q34" s="189"/>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row>
    <row r="35" spans="1:47">
      <c r="E35" s="49"/>
      <c r="G35" s="36" t="s">
        <v>502</v>
      </c>
      <c r="H35" s="28"/>
      <c r="I35" s="28"/>
      <c r="J35" s="28"/>
      <c r="K35" s="28"/>
      <c r="L35" s="43" t="str">
        <f>"["&amp;FirstYr-1&amp;" $]"</f>
        <v>[2013 $]</v>
      </c>
      <c r="M35" s="28"/>
      <c r="N35" s="191">
        <f t="shared" si="15"/>
        <v>0</v>
      </c>
      <c r="O35" s="189"/>
      <c r="P35" s="319"/>
      <c r="Q35" s="189"/>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row>
    <row r="36" spans="1:47">
      <c r="E36" s="49"/>
      <c r="G36" s="39" t="s">
        <v>305</v>
      </c>
      <c r="H36" s="42"/>
      <c r="I36" s="42"/>
      <c r="J36" s="42"/>
      <c r="K36" s="42"/>
      <c r="L36" s="43"/>
      <c r="M36" s="43"/>
      <c r="N36" s="189">
        <f t="shared" ca="1" si="15"/>
        <v>28421692.901210181</v>
      </c>
      <c r="O36" s="189"/>
      <c r="P36" s="189"/>
      <c r="Q36" s="189"/>
      <c r="R36" s="189">
        <f t="shared" ref="R36:AU36" ca="1" si="18">SUM(R19:R29)-SUM(R31:R35)</f>
        <v>2117610.3082610159</v>
      </c>
      <c r="S36" s="189">
        <f t="shared" ca="1" si="18"/>
        <v>2161627.8571116612</v>
      </c>
      <c r="T36" s="189">
        <f t="shared" ca="1" si="18"/>
        <v>2202047.3562117252</v>
      </c>
      <c r="U36" s="189">
        <f t="shared" ca="1" si="18"/>
        <v>2244818.8953026882</v>
      </c>
      <c r="V36" s="189">
        <f t="shared" ca="1" si="18"/>
        <v>2310152.5359287574</v>
      </c>
      <c r="W36" s="189">
        <f t="shared" ca="1" si="18"/>
        <v>2335923.7491910029</v>
      </c>
      <c r="X36" s="189">
        <f t="shared" ca="1" si="18"/>
        <v>2383147.8662954955</v>
      </c>
      <c r="Y36" s="189">
        <f t="shared" ca="1" si="18"/>
        <v>2430171.4423055612</v>
      </c>
      <c r="Z36" s="189">
        <f t="shared" ca="1" si="18"/>
        <v>2478218.2310972558</v>
      </c>
      <c r="AA36" s="189">
        <f t="shared" ca="1" si="18"/>
        <v>2550219.9519956512</v>
      </c>
      <c r="AB36" s="189">
        <f t="shared" ca="1" si="18"/>
        <v>2577354.1688002325</v>
      </c>
      <c r="AC36" s="189">
        <f t="shared" ca="1" si="18"/>
        <v>2629013.8869722909</v>
      </c>
      <c r="AD36" s="189">
        <f t="shared" ca="1" si="18"/>
        <v>2681115.6164009213</v>
      </c>
      <c r="AE36" s="189">
        <f t="shared" ca="1" si="18"/>
        <v>2734296.995516764</v>
      </c>
      <c r="AF36" s="189">
        <f t="shared" ca="1" si="18"/>
        <v>2813944.3364163749</v>
      </c>
      <c r="AG36" s="189">
        <f t="shared" ca="1" si="18"/>
        <v>2843145.1891068616</v>
      </c>
      <c r="AH36" s="189">
        <f t="shared" ca="1" si="18"/>
        <v>2899243.2201916431</v>
      </c>
      <c r="AI36" s="189">
        <f t="shared" ca="1" si="18"/>
        <v>2956195.1458197604</v>
      </c>
      <c r="AJ36" s="189">
        <f t="shared" ca="1" si="18"/>
        <v>3014111.8232298787</v>
      </c>
      <c r="AK36" s="189">
        <f t="shared" ca="1" si="18"/>
        <v>3101307.9012838933</v>
      </c>
      <c r="AL36" s="189">
        <f t="shared" si="18"/>
        <v>0</v>
      </c>
      <c r="AM36" s="189">
        <f t="shared" si="18"/>
        <v>0</v>
      </c>
      <c r="AN36" s="189">
        <f t="shared" si="18"/>
        <v>0</v>
      </c>
      <c r="AO36" s="189">
        <f t="shared" si="18"/>
        <v>0</v>
      </c>
      <c r="AP36" s="189">
        <f t="shared" si="18"/>
        <v>0</v>
      </c>
      <c r="AQ36" s="189">
        <f t="shared" si="18"/>
        <v>0</v>
      </c>
      <c r="AR36" s="189">
        <f t="shared" si="18"/>
        <v>0</v>
      </c>
      <c r="AS36" s="189">
        <f t="shared" si="18"/>
        <v>0</v>
      </c>
      <c r="AT36" s="189">
        <f t="shared" si="18"/>
        <v>0</v>
      </c>
      <c r="AU36" s="189">
        <f t="shared" si="18"/>
        <v>0</v>
      </c>
    </row>
    <row r="37" spans="1:47" s="28" customFormat="1">
      <c r="E37" s="254"/>
      <c r="L37" s="406"/>
      <c r="O37" s="197"/>
      <c r="Q37" s="197"/>
    </row>
    <row r="38" spans="1:47" s="39" customFormat="1">
      <c r="E38" s="254"/>
      <c r="G38" s="194" t="s">
        <v>488</v>
      </c>
      <c r="L38" s="174"/>
      <c r="N38" s="192">
        <f ca="1">SUM(N36,N14)</f>
        <v>64985721.203096971</v>
      </c>
      <c r="O38" s="189"/>
      <c r="P38" s="320"/>
      <c r="Q38" s="189"/>
      <c r="R38" s="192">
        <f t="shared" ref="R38:AU38" ca="1" si="19">SUM(R36,R14)</f>
        <v>40875480.308261015</v>
      </c>
      <c r="S38" s="192">
        <f t="shared" ca="1" si="19"/>
        <v>2161627.8571116612</v>
      </c>
      <c r="T38" s="192">
        <f t="shared" ca="1" si="19"/>
        <v>2202047.3562117252</v>
      </c>
      <c r="U38" s="192">
        <f t="shared" ca="1" si="19"/>
        <v>2244818.8953026882</v>
      </c>
      <c r="V38" s="192">
        <f t="shared" ca="1" si="19"/>
        <v>2310152.5359287574</v>
      </c>
      <c r="W38" s="192">
        <f t="shared" ca="1" si="19"/>
        <v>2335923.7491910029</v>
      </c>
      <c r="X38" s="192">
        <f t="shared" ca="1" si="19"/>
        <v>2383147.8662954955</v>
      </c>
      <c r="Y38" s="192">
        <f t="shared" ca="1" si="19"/>
        <v>2430171.4423055612</v>
      </c>
      <c r="Z38" s="192">
        <f t="shared" ca="1" si="19"/>
        <v>2478218.2310972558</v>
      </c>
      <c r="AA38" s="192">
        <f t="shared" ca="1" si="19"/>
        <v>2550219.9519956512</v>
      </c>
      <c r="AB38" s="192">
        <f t="shared" ca="1" si="19"/>
        <v>2577354.1688002325</v>
      </c>
      <c r="AC38" s="192">
        <f t="shared" ca="1" si="19"/>
        <v>2629013.8869722909</v>
      </c>
      <c r="AD38" s="192">
        <f t="shared" ca="1" si="19"/>
        <v>2681115.6164009213</v>
      </c>
      <c r="AE38" s="192">
        <f t="shared" ca="1" si="19"/>
        <v>2734296.995516764</v>
      </c>
      <c r="AF38" s="192">
        <f t="shared" ca="1" si="19"/>
        <v>2813944.3364163749</v>
      </c>
      <c r="AG38" s="192">
        <f t="shared" ca="1" si="19"/>
        <v>2843145.1891068616</v>
      </c>
      <c r="AH38" s="192">
        <f t="shared" ca="1" si="19"/>
        <v>2899243.2201916431</v>
      </c>
      <c r="AI38" s="192">
        <f t="shared" ca="1" si="19"/>
        <v>2956195.1458197604</v>
      </c>
      <c r="AJ38" s="192">
        <f t="shared" ca="1" si="19"/>
        <v>3014111.8232298787</v>
      </c>
      <c r="AK38" s="192">
        <f t="shared" ca="1" si="19"/>
        <v>3101307.9012838933</v>
      </c>
      <c r="AL38" s="192">
        <f t="shared" ca="1" si="19"/>
        <v>0</v>
      </c>
      <c r="AM38" s="192">
        <f t="shared" ca="1" si="19"/>
        <v>0</v>
      </c>
      <c r="AN38" s="192">
        <f t="shared" ca="1" si="19"/>
        <v>0</v>
      </c>
      <c r="AO38" s="192">
        <f t="shared" ca="1" si="19"/>
        <v>0</v>
      </c>
      <c r="AP38" s="192">
        <f t="shared" ca="1" si="19"/>
        <v>0</v>
      </c>
      <c r="AQ38" s="192">
        <f t="shared" ca="1" si="19"/>
        <v>0</v>
      </c>
      <c r="AR38" s="192">
        <f t="shared" ca="1" si="19"/>
        <v>0</v>
      </c>
      <c r="AS38" s="192">
        <f t="shared" ca="1" si="19"/>
        <v>0</v>
      </c>
      <c r="AT38" s="192">
        <f t="shared" ca="1" si="19"/>
        <v>0</v>
      </c>
      <c r="AU38" s="192">
        <f t="shared" ca="1" si="19"/>
        <v>0</v>
      </c>
    </row>
    <row r="39" spans="1:47">
      <c r="G39" s="194" t="s">
        <v>537</v>
      </c>
      <c r="Q39" s="42">
        <v>0</v>
      </c>
      <c r="R39" s="198">
        <f ca="1">IF(OR(R$99&lt;InServiceYr,R$99&gt;(InServiceYr+analysis_period-1)),0,NPV(DiscountRt,$R38:R38))</f>
        <v>38561773.875717938</v>
      </c>
      <c r="S39" s="198">
        <f ca="1">IF(OR(S$99&lt;InServiceYr,S$99&gt;(InServiceYr+analysis_period-1)),0,NPV(DiscountRt,$R38:S38))</f>
        <v>40485614.973182924</v>
      </c>
      <c r="T39" s="198">
        <f ca="1">IF(OR(T$99&lt;InServiceYr,T$99&gt;(InServiceYr+analysis_period-1)),0,NPV(DiscountRt,$R38:T38))</f>
        <v>42334496.395608589</v>
      </c>
      <c r="U39" s="198">
        <f ca="1">IF(OR(U$99&lt;InServiceYr,U$99&gt;(InServiceYr+analysis_period-1)),0,NPV(DiscountRt,$R38:U38))</f>
        <v>44112603.217694819</v>
      </c>
      <c r="V39" s="198">
        <f ca="1">IF(OR(V$99&lt;InServiceYr,V$99&gt;(InServiceYr+analysis_period-1)),0,NPV(DiscountRt,$R38:V38))</f>
        <v>45838883.580734834</v>
      </c>
      <c r="W39" s="198">
        <f ca="1">IF(OR(W$99&lt;InServiceYr,W$99&gt;(InServiceYr+analysis_period-1)),0,NPV(DiscountRt,$R38:W38))</f>
        <v>47485617.649390399</v>
      </c>
      <c r="X39" s="198">
        <f ca="1">IF(OR(X$99&lt;InServiceYr,X$99&gt;(InServiceYr+analysis_period-1)),0,NPV(DiscountRt,$R38:X38))</f>
        <v>49070547.090684108</v>
      </c>
      <c r="Y39" s="198">
        <f ca="1">IF(OR(Y$99&lt;InServiceYr,Y$99&gt;(InServiceYr+analysis_period-1)),0,NPV(DiscountRt,$R38:Y38))</f>
        <v>50595266.718068227</v>
      </c>
      <c r="Z39" s="198">
        <f ca="1">IF(OR(Z$99&lt;InServiceYr,Z$99&gt;(InServiceYr+analysis_period-1)),0,NPV(DiscountRt,$R38:Z38))</f>
        <v>52062120.281346783</v>
      </c>
      <c r="AA39" s="198">
        <f ca="1">IF(OR(AA$99&lt;InServiceYr,AA$99&gt;(InServiceYr+analysis_period-1)),0,NPV(DiscountRt,$R38:AA38))</f>
        <v>53486149.782525882</v>
      </c>
      <c r="AB39" s="198">
        <f ca="1">IF(OR(AB$99&lt;InServiceYr,AB$99&gt;(InServiceYr+analysis_period-1)),0,NPV(DiscountRt,$R38:AB38))</f>
        <v>54843867.807165928</v>
      </c>
      <c r="AC39" s="198">
        <f ca="1">IF(OR(AC$99&lt;InServiceYr,AC$99&gt;(InServiceYr+analysis_period-1)),0,NPV(DiscountRt,$R38:AC38))</f>
        <v>56150407.165409647</v>
      </c>
      <c r="AD39" s="198">
        <f ca="1">IF(OR(AD$99&lt;InServiceYr,AD$99&gt;(InServiceYr+analysis_period-1)),0,NPV(DiscountRt,$R38:AD38))</f>
        <v>57407418.789522029</v>
      </c>
      <c r="AE39" s="198">
        <f ca="1">IF(OR(AE$99&lt;InServiceYr,AE$99&gt;(InServiceYr+analysis_period-1)),0,NPV(DiscountRt,$R38:AE38))</f>
        <v>58616800.987539537</v>
      </c>
      <c r="AF39" s="198">
        <f ca="1">IF(OR(AF$99&lt;InServiceYr,AF$99&gt;(InServiceYr+analysis_period-1)),0,NPV(DiscountRt,$R38:AF38))</f>
        <v>59790961.641980745</v>
      </c>
      <c r="AG39" s="198">
        <f ca="1">IF(OR(AG$99&lt;InServiceYr,AG$99&gt;(InServiceYr+analysis_period-1)),0,NPV(DiscountRt,$R38:AG38))</f>
        <v>60910155.179728515</v>
      </c>
      <c r="AH39" s="198">
        <f ca="1">IF(OR(AH$99&lt;InServiceYr,AH$99&gt;(InServiceYr+analysis_period-1)),0,NPV(DiscountRt,$R38:AH38))</f>
        <v>61986830.952566154</v>
      </c>
      <c r="AI39" s="198">
        <f ca="1">IF(OR(AI$99&lt;InServiceYr,AI$99&gt;(InServiceYr+analysis_period-1)),0,NPV(DiscountRt,$R38:AI38))</f>
        <v>63022515.567270406</v>
      </c>
      <c r="AJ39" s="198">
        <f ca="1">IF(OR(AJ$99&lt;InServiceYr,AJ$99&gt;(InServiceYr+analysis_period-1)),0,NPV(DiscountRt,$R38:AJ38))</f>
        <v>64018718.73994749</v>
      </c>
      <c r="AK39" s="198">
        <f ca="1">IF(OR(AK$99&lt;InServiceYr,AK$99&gt;(InServiceYr+analysis_period-1)),0,NPV(DiscountRt,$R38:AK38))</f>
        <v>64985721.203096963</v>
      </c>
      <c r="AL39" s="198">
        <f>IF(OR(AL$99&lt;InServiceYr,AL$99&gt;(InServiceYr+analysis_period-1)),0,NPV(DiscountRt,$R38:AL38))</f>
        <v>0</v>
      </c>
      <c r="AM39" s="198">
        <f>IF(OR(AM$99&lt;InServiceYr,AM$99&gt;(InServiceYr+analysis_period-1)),0,NPV(DiscountRt,$R38:AM38))</f>
        <v>0</v>
      </c>
      <c r="AN39" s="198">
        <f>IF(OR(AN$99&lt;InServiceYr,AN$99&gt;(InServiceYr+analysis_period-1)),0,NPV(DiscountRt,$R38:AN38))</f>
        <v>0</v>
      </c>
      <c r="AO39" s="198">
        <f>IF(OR(AO$99&lt;InServiceYr,AO$99&gt;(InServiceYr+analysis_period-1)),0,NPV(DiscountRt,$R38:AO38))</f>
        <v>0</v>
      </c>
      <c r="AP39" s="198">
        <f>IF(OR(AP$99&lt;InServiceYr,AP$99&gt;(InServiceYr+analysis_period-1)),0,NPV(DiscountRt,$R38:AP38))</f>
        <v>0</v>
      </c>
      <c r="AQ39" s="198">
        <f>IF(OR(AQ$99&lt;InServiceYr,AQ$99&gt;(InServiceYr+analysis_period-1)),0,NPV(DiscountRt,$R38:AQ38))</f>
        <v>0</v>
      </c>
      <c r="AR39" s="198">
        <f>IF(OR(AR$99&lt;InServiceYr,AR$99&gt;(InServiceYr+analysis_period-1)),0,NPV(DiscountRt,$R38:AR38))</f>
        <v>0</v>
      </c>
      <c r="AS39" s="198">
        <f>IF(OR(AS$99&lt;InServiceYr,AS$99&gt;(InServiceYr+analysis_period-1)),0,NPV(DiscountRt,$R38:AS38))</f>
        <v>0</v>
      </c>
      <c r="AT39" s="198">
        <f>IF(OR(AT$99&lt;InServiceYr,AT$99&gt;(InServiceYr+analysis_period-1)),0,NPV(DiscountRt,$R38:AT38))</f>
        <v>0</v>
      </c>
      <c r="AU39" s="198">
        <f>IF(OR(AU$99&lt;InServiceYr,AU$99&gt;(InServiceYr+analysis_period-1)),0,NPV(DiscountRt,$R38:AU38))</f>
        <v>0</v>
      </c>
    </row>
    <row r="40" spans="1:47" s="42" customFormat="1">
      <c r="A40" s="317"/>
      <c r="B40" s="317"/>
      <c r="C40" s="317"/>
      <c r="D40" s="317"/>
      <c r="E40" s="317"/>
      <c r="F40" s="317"/>
      <c r="G40" s="318" t="s">
        <v>504</v>
      </c>
      <c r="H40" s="317"/>
      <c r="I40" s="317"/>
      <c r="J40" s="317"/>
      <c r="K40" s="317"/>
      <c r="L40" s="407"/>
      <c r="M40" s="317"/>
      <c r="N40" s="317"/>
      <c r="O40" s="317"/>
      <c r="P40" s="317"/>
      <c r="Q40" s="317"/>
      <c r="R40" s="317">
        <f ca="1">R38/(1+DiscountRt)^(R$8-FirstYr)</f>
        <v>40875480.308261015</v>
      </c>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row>
    <row r="42" spans="1:47" s="28" customFormat="1">
      <c r="A42" s="40"/>
      <c r="B42" s="40"/>
      <c r="C42" s="40"/>
      <c r="D42" s="40"/>
      <c r="G42" s="324" t="s">
        <v>492</v>
      </c>
      <c r="H42" s="324"/>
      <c r="I42" s="324"/>
      <c r="J42" s="324"/>
      <c r="K42" s="324"/>
      <c r="L42" s="405" t="s">
        <v>11</v>
      </c>
      <c r="M42" s="256"/>
      <c r="N42" s="325" t="str">
        <f>"NPV "&amp;FirstYr-1&amp;" $"</f>
        <v>NPV 2013 $</v>
      </c>
      <c r="O42" s="311"/>
      <c r="P42" s="325"/>
      <c r="Q42" s="310"/>
      <c r="R42" s="325">
        <f>R$8</f>
        <v>2014</v>
      </c>
      <c r="S42" s="325">
        <f t="shared" ref="S42:AU42" si="20">S$8</f>
        <v>2015</v>
      </c>
      <c r="T42" s="325">
        <f t="shared" si="20"/>
        <v>2016</v>
      </c>
      <c r="U42" s="325">
        <f t="shared" si="20"/>
        <v>2017</v>
      </c>
      <c r="V42" s="325">
        <f t="shared" si="20"/>
        <v>2018</v>
      </c>
      <c r="W42" s="325">
        <f t="shared" si="20"/>
        <v>2019</v>
      </c>
      <c r="X42" s="325">
        <f t="shared" si="20"/>
        <v>2020</v>
      </c>
      <c r="Y42" s="325">
        <f t="shared" si="20"/>
        <v>2021</v>
      </c>
      <c r="Z42" s="325">
        <f t="shared" si="20"/>
        <v>2022</v>
      </c>
      <c r="AA42" s="325">
        <f t="shared" si="20"/>
        <v>2023</v>
      </c>
      <c r="AB42" s="325">
        <f t="shared" si="20"/>
        <v>2024</v>
      </c>
      <c r="AC42" s="325">
        <f t="shared" si="20"/>
        <v>2025</v>
      </c>
      <c r="AD42" s="325">
        <f t="shared" si="20"/>
        <v>2026</v>
      </c>
      <c r="AE42" s="325">
        <f t="shared" si="20"/>
        <v>2027</v>
      </c>
      <c r="AF42" s="325">
        <f t="shared" si="20"/>
        <v>2028</v>
      </c>
      <c r="AG42" s="325">
        <f t="shared" si="20"/>
        <v>2029</v>
      </c>
      <c r="AH42" s="325">
        <f t="shared" si="20"/>
        <v>2030</v>
      </c>
      <c r="AI42" s="325">
        <f t="shared" si="20"/>
        <v>2031</v>
      </c>
      <c r="AJ42" s="325">
        <f t="shared" si="20"/>
        <v>2032</v>
      </c>
      <c r="AK42" s="325">
        <f t="shared" si="20"/>
        <v>2033</v>
      </c>
      <c r="AL42" s="325">
        <f t="shared" si="20"/>
        <v>2034</v>
      </c>
      <c r="AM42" s="325">
        <f t="shared" si="20"/>
        <v>2035</v>
      </c>
      <c r="AN42" s="325">
        <f t="shared" si="20"/>
        <v>2036</v>
      </c>
      <c r="AO42" s="325">
        <f t="shared" si="20"/>
        <v>2037</v>
      </c>
      <c r="AP42" s="325">
        <f t="shared" si="20"/>
        <v>2038</v>
      </c>
      <c r="AQ42" s="325">
        <f t="shared" si="20"/>
        <v>2039</v>
      </c>
      <c r="AR42" s="325">
        <f t="shared" si="20"/>
        <v>2040</v>
      </c>
      <c r="AS42" s="325">
        <f t="shared" si="20"/>
        <v>2041</v>
      </c>
      <c r="AT42" s="325">
        <f t="shared" si="20"/>
        <v>2042</v>
      </c>
      <c r="AU42" s="325">
        <f t="shared" si="20"/>
        <v>2043</v>
      </c>
    </row>
    <row r="43" spans="1:47" s="28" customFormat="1">
      <c r="E43" s="254"/>
      <c r="L43" s="406"/>
      <c r="O43" s="197"/>
      <c r="Q43" s="197"/>
    </row>
    <row r="44" spans="1:47" s="28" customFormat="1">
      <c r="E44" s="254"/>
      <c r="G44" s="39" t="s">
        <v>19</v>
      </c>
      <c r="L44" s="406"/>
      <c r="O44" s="197"/>
      <c r="Q44" s="197"/>
    </row>
    <row r="45" spans="1:47" s="28" customFormat="1">
      <c r="E45" s="254"/>
      <c r="G45" s="36" t="s">
        <v>315</v>
      </c>
      <c r="L45" s="43" t="s">
        <v>12</v>
      </c>
      <c r="N45" s="189">
        <f t="shared" ref="N45:N64" ca="1" si="21">NPV(DiscountRt,R45:AU45)</f>
        <v>4116113.2075471696</v>
      </c>
      <c r="O45" s="189"/>
      <c r="P45" s="319"/>
      <c r="Q45" s="189"/>
      <c r="R45" s="190">
        <f t="shared" ref="R45:AU45" ca="1" si="22">R96</f>
        <v>4363080</v>
      </c>
      <c r="S45" s="190">
        <f t="shared" ca="1" si="22"/>
        <v>0</v>
      </c>
      <c r="T45" s="190">
        <f t="shared" ca="1" si="22"/>
        <v>0</v>
      </c>
      <c r="U45" s="190">
        <f t="shared" ca="1" si="22"/>
        <v>0</v>
      </c>
      <c r="V45" s="190">
        <f t="shared" ca="1" si="22"/>
        <v>0</v>
      </c>
      <c r="W45" s="190">
        <f t="shared" ca="1" si="22"/>
        <v>0</v>
      </c>
      <c r="X45" s="190">
        <f t="shared" ca="1" si="22"/>
        <v>0</v>
      </c>
      <c r="Y45" s="190">
        <f t="shared" ca="1" si="22"/>
        <v>0</v>
      </c>
      <c r="Z45" s="190">
        <f t="shared" ca="1" si="22"/>
        <v>0</v>
      </c>
      <c r="AA45" s="190">
        <f t="shared" ca="1" si="22"/>
        <v>0</v>
      </c>
      <c r="AB45" s="190">
        <f t="shared" ca="1" si="22"/>
        <v>0</v>
      </c>
      <c r="AC45" s="190">
        <f t="shared" ca="1" si="22"/>
        <v>0</v>
      </c>
      <c r="AD45" s="190">
        <f t="shared" ca="1" si="22"/>
        <v>0</v>
      </c>
      <c r="AE45" s="190">
        <f t="shared" ca="1" si="22"/>
        <v>0</v>
      </c>
      <c r="AF45" s="190">
        <f t="shared" ca="1" si="22"/>
        <v>0</v>
      </c>
      <c r="AG45" s="190">
        <f t="shared" ca="1" si="22"/>
        <v>0</v>
      </c>
      <c r="AH45" s="190">
        <f t="shared" ca="1" si="22"/>
        <v>0</v>
      </c>
      <c r="AI45" s="190">
        <f t="shared" ca="1" si="22"/>
        <v>0</v>
      </c>
      <c r="AJ45" s="190">
        <f t="shared" ca="1" si="22"/>
        <v>0</v>
      </c>
      <c r="AK45" s="190">
        <f t="shared" ca="1" si="22"/>
        <v>0</v>
      </c>
      <c r="AL45" s="190">
        <f t="shared" ca="1" si="22"/>
        <v>0</v>
      </c>
      <c r="AM45" s="190">
        <f t="shared" ca="1" si="22"/>
        <v>0</v>
      </c>
      <c r="AN45" s="190">
        <f t="shared" ca="1" si="22"/>
        <v>0</v>
      </c>
      <c r="AO45" s="190">
        <f t="shared" ca="1" si="22"/>
        <v>0</v>
      </c>
      <c r="AP45" s="190">
        <f t="shared" ca="1" si="22"/>
        <v>0</v>
      </c>
      <c r="AQ45" s="190">
        <f t="shared" ca="1" si="22"/>
        <v>0</v>
      </c>
      <c r="AR45" s="190">
        <f t="shared" ca="1" si="22"/>
        <v>0</v>
      </c>
      <c r="AS45" s="190">
        <f t="shared" ca="1" si="22"/>
        <v>0</v>
      </c>
      <c r="AT45" s="190">
        <f t="shared" ca="1" si="22"/>
        <v>0</v>
      </c>
      <c r="AU45" s="190">
        <f t="shared" ca="1" si="22"/>
        <v>0</v>
      </c>
    </row>
    <row r="46" spans="1:47" s="28" customFormat="1">
      <c r="E46" s="254"/>
      <c r="G46" s="36" t="s">
        <v>153</v>
      </c>
      <c r="L46" s="43" t="s">
        <v>12</v>
      </c>
      <c r="N46" s="189">
        <f t="shared" ca="1" si="21"/>
        <v>0</v>
      </c>
      <c r="O46" s="189"/>
      <c r="P46" s="319"/>
      <c r="Q46" s="189"/>
      <c r="R46" s="190">
        <f t="shared" ref="R46:AU46" ca="1" si="23">R117</f>
        <v>0</v>
      </c>
      <c r="S46" s="190">
        <f t="shared" ca="1" si="23"/>
        <v>0</v>
      </c>
      <c r="T46" s="190">
        <f t="shared" ca="1" si="23"/>
        <v>0</v>
      </c>
      <c r="U46" s="190">
        <f t="shared" ca="1" si="23"/>
        <v>0</v>
      </c>
      <c r="V46" s="190">
        <f t="shared" ca="1" si="23"/>
        <v>0</v>
      </c>
      <c r="W46" s="190">
        <f t="shared" ca="1" si="23"/>
        <v>0</v>
      </c>
      <c r="X46" s="190">
        <f t="shared" ca="1" si="23"/>
        <v>0</v>
      </c>
      <c r="Y46" s="190">
        <f t="shared" ca="1" si="23"/>
        <v>0</v>
      </c>
      <c r="Z46" s="190">
        <f t="shared" ca="1" si="23"/>
        <v>0</v>
      </c>
      <c r="AA46" s="190">
        <f t="shared" ca="1" si="23"/>
        <v>0</v>
      </c>
      <c r="AB46" s="190">
        <f t="shared" ca="1" si="23"/>
        <v>0</v>
      </c>
      <c r="AC46" s="190">
        <f t="shared" ca="1" si="23"/>
        <v>0</v>
      </c>
      <c r="AD46" s="190">
        <f t="shared" ca="1" si="23"/>
        <v>0</v>
      </c>
      <c r="AE46" s="190">
        <f t="shared" ca="1" si="23"/>
        <v>0</v>
      </c>
      <c r="AF46" s="190">
        <f t="shared" ca="1" si="23"/>
        <v>0</v>
      </c>
      <c r="AG46" s="190">
        <f t="shared" ca="1" si="23"/>
        <v>0</v>
      </c>
      <c r="AH46" s="190">
        <f t="shared" ca="1" si="23"/>
        <v>0</v>
      </c>
      <c r="AI46" s="190">
        <f t="shared" ca="1" si="23"/>
        <v>0</v>
      </c>
      <c r="AJ46" s="190">
        <f t="shared" ca="1" si="23"/>
        <v>0</v>
      </c>
      <c r="AK46" s="190">
        <f t="shared" ca="1" si="23"/>
        <v>0</v>
      </c>
      <c r="AL46" s="190">
        <f t="shared" ca="1" si="23"/>
        <v>0</v>
      </c>
      <c r="AM46" s="190">
        <f t="shared" ca="1" si="23"/>
        <v>0</v>
      </c>
      <c r="AN46" s="190">
        <f t="shared" ca="1" si="23"/>
        <v>0</v>
      </c>
      <c r="AO46" s="190">
        <f t="shared" ca="1" si="23"/>
        <v>0</v>
      </c>
      <c r="AP46" s="190">
        <f t="shared" ca="1" si="23"/>
        <v>0</v>
      </c>
      <c r="AQ46" s="190">
        <f t="shared" ca="1" si="23"/>
        <v>0</v>
      </c>
      <c r="AR46" s="190">
        <f t="shared" ca="1" si="23"/>
        <v>0</v>
      </c>
      <c r="AS46" s="190">
        <f t="shared" ca="1" si="23"/>
        <v>0</v>
      </c>
      <c r="AT46" s="190">
        <f t="shared" ca="1" si="23"/>
        <v>0</v>
      </c>
      <c r="AU46" s="190">
        <f t="shared" ca="1" si="23"/>
        <v>0</v>
      </c>
    </row>
    <row r="47" spans="1:47" s="28" customFormat="1">
      <c r="E47" s="254"/>
      <c r="G47" s="36" t="s">
        <v>143</v>
      </c>
      <c r="L47" s="43" t="s">
        <v>12</v>
      </c>
      <c r="N47" s="189">
        <f t="shared" ca="1" si="21"/>
        <v>2529330.1886792453</v>
      </c>
      <c r="O47" s="189"/>
      <c r="P47" s="319"/>
      <c r="Q47" s="189"/>
      <c r="R47" s="190">
        <f t="shared" ref="R47:AU47" ca="1" si="24">R138</f>
        <v>2681090</v>
      </c>
      <c r="S47" s="190">
        <f t="shared" ca="1" si="24"/>
        <v>0</v>
      </c>
      <c r="T47" s="190">
        <f t="shared" ca="1" si="24"/>
        <v>0</v>
      </c>
      <c r="U47" s="190">
        <f t="shared" ca="1" si="24"/>
        <v>0</v>
      </c>
      <c r="V47" s="190">
        <f t="shared" ca="1" si="24"/>
        <v>0</v>
      </c>
      <c r="W47" s="190">
        <f t="shared" ca="1" si="24"/>
        <v>0</v>
      </c>
      <c r="X47" s="190">
        <f t="shared" ca="1" si="24"/>
        <v>0</v>
      </c>
      <c r="Y47" s="190">
        <f t="shared" ca="1" si="24"/>
        <v>0</v>
      </c>
      <c r="Z47" s="190">
        <f t="shared" ca="1" si="24"/>
        <v>0</v>
      </c>
      <c r="AA47" s="190">
        <f t="shared" ca="1" si="24"/>
        <v>0</v>
      </c>
      <c r="AB47" s="190">
        <f t="shared" ca="1" si="24"/>
        <v>0</v>
      </c>
      <c r="AC47" s="190">
        <f t="shared" ca="1" si="24"/>
        <v>0</v>
      </c>
      <c r="AD47" s="190">
        <f t="shared" ca="1" si="24"/>
        <v>0</v>
      </c>
      <c r="AE47" s="190">
        <f t="shared" ca="1" si="24"/>
        <v>0</v>
      </c>
      <c r="AF47" s="190">
        <f t="shared" ca="1" si="24"/>
        <v>0</v>
      </c>
      <c r="AG47" s="190">
        <f t="shared" ca="1" si="24"/>
        <v>0</v>
      </c>
      <c r="AH47" s="190">
        <f t="shared" ca="1" si="24"/>
        <v>0</v>
      </c>
      <c r="AI47" s="190">
        <f t="shared" ca="1" si="24"/>
        <v>0</v>
      </c>
      <c r="AJ47" s="190">
        <f t="shared" ca="1" si="24"/>
        <v>0</v>
      </c>
      <c r="AK47" s="190">
        <f t="shared" ca="1" si="24"/>
        <v>0</v>
      </c>
      <c r="AL47" s="190">
        <f t="shared" ca="1" si="24"/>
        <v>0</v>
      </c>
      <c r="AM47" s="190">
        <f t="shared" ca="1" si="24"/>
        <v>0</v>
      </c>
      <c r="AN47" s="190">
        <f t="shared" ca="1" si="24"/>
        <v>0</v>
      </c>
      <c r="AO47" s="190">
        <f t="shared" ca="1" si="24"/>
        <v>0</v>
      </c>
      <c r="AP47" s="190">
        <f t="shared" ca="1" si="24"/>
        <v>0</v>
      </c>
      <c r="AQ47" s="190">
        <f t="shared" ca="1" si="24"/>
        <v>0</v>
      </c>
      <c r="AR47" s="190">
        <f t="shared" ca="1" si="24"/>
        <v>0</v>
      </c>
      <c r="AS47" s="190">
        <f t="shared" ca="1" si="24"/>
        <v>0</v>
      </c>
      <c r="AT47" s="190">
        <f t="shared" ca="1" si="24"/>
        <v>0</v>
      </c>
      <c r="AU47" s="190">
        <f t="shared" ca="1" si="24"/>
        <v>0</v>
      </c>
    </row>
    <row r="48" spans="1:47" s="28" customFormat="1">
      <c r="E48" s="254"/>
      <c r="G48" s="36" t="s">
        <v>316</v>
      </c>
      <c r="L48" s="43" t="s">
        <v>12</v>
      </c>
      <c r="N48" s="189">
        <f t="shared" ca="1" si="21"/>
        <v>0</v>
      </c>
      <c r="O48" s="189"/>
      <c r="P48" s="319"/>
      <c r="Q48" s="189"/>
      <c r="R48" s="190">
        <f t="shared" ref="R48:AU48" ca="1" si="25">R159</f>
        <v>0</v>
      </c>
      <c r="S48" s="190">
        <f t="shared" ca="1" si="25"/>
        <v>0</v>
      </c>
      <c r="T48" s="190">
        <f t="shared" ca="1" si="25"/>
        <v>0</v>
      </c>
      <c r="U48" s="190">
        <f t="shared" ca="1" si="25"/>
        <v>0</v>
      </c>
      <c r="V48" s="190">
        <f t="shared" ca="1" si="25"/>
        <v>0</v>
      </c>
      <c r="W48" s="190">
        <f t="shared" ca="1" si="25"/>
        <v>0</v>
      </c>
      <c r="X48" s="190">
        <f t="shared" ca="1" si="25"/>
        <v>0</v>
      </c>
      <c r="Y48" s="190">
        <f t="shared" ca="1" si="25"/>
        <v>0</v>
      </c>
      <c r="Z48" s="190">
        <f t="shared" ca="1" si="25"/>
        <v>0</v>
      </c>
      <c r="AA48" s="190">
        <f t="shared" ca="1" si="25"/>
        <v>0</v>
      </c>
      <c r="AB48" s="190">
        <f t="shared" ca="1" si="25"/>
        <v>0</v>
      </c>
      <c r="AC48" s="190">
        <f t="shared" ca="1" si="25"/>
        <v>0</v>
      </c>
      <c r="AD48" s="190">
        <f t="shared" ca="1" si="25"/>
        <v>0</v>
      </c>
      <c r="AE48" s="190">
        <f t="shared" ca="1" si="25"/>
        <v>0</v>
      </c>
      <c r="AF48" s="190">
        <f t="shared" ca="1" si="25"/>
        <v>0</v>
      </c>
      <c r="AG48" s="190">
        <f t="shared" ca="1" si="25"/>
        <v>0</v>
      </c>
      <c r="AH48" s="190">
        <f t="shared" ca="1" si="25"/>
        <v>0</v>
      </c>
      <c r="AI48" s="190">
        <f t="shared" ca="1" si="25"/>
        <v>0</v>
      </c>
      <c r="AJ48" s="190">
        <f t="shared" ca="1" si="25"/>
        <v>0</v>
      </c>
      <c r="AK48" s="190">
        <f t="shared" ca="1" si="25"/>
        <v>0</v>
      </c>
      <c r="AL48" s="190">
        <f t="shared" ca="1" si="25"/>
        <v>0</v>
      </c>
      <c r="AM48" s="190">
        <f t="shared" ca="1" si="25"/>
        <v>0</v>
      </c>
      <c r="AN48" s="190">
        <f t="shared" ca="1" si="25"/>
        <v>0</v>
      </c>
      <c r="AO48" s="190">
        <f t="shared" ca="1" si="25"/>
        <v>0</v>
      </c>
      <c r="AP48" s="190">
        <f t="shared" ca="1" si="25"/>
        <v>0</v>
      </c>
      <c r="AQ48" s="190">
        <f t="shared" ca="1" si="25"/>
        <v>0</v>
      </c>
      <c r="AR48" s="190">
        <f t="shared" ca="1" si="25"/>
        <v>0</v>
      </c>
      <c r="AS48" s="190">
        <f t="shared" ca="1" si="25"/>
        <v>0</v>
      </c>
      <c r="AT48" s="190">
        <f t="shared" ca="1" si="25"/>
        <v>0</v>
      </c>
      <c r="AU48" s="190">
        <f t="shared" ca="1" si="25"/>
        <v>0</v>
      </c>
    </row>
    <row r="49" spans="5:47" s="28" customFormat="1">
      <c r="E49" s="254"/>
      <c r="G49" s="36" t="s">
        <v>317</v>
      </c>
      <c r="L49" s="43" t="s">
        <v>12</v>
      </c>
      <c r="N49" s="189">
        <f t="shared" ca="1" si="21"/>
        <v>1300132.0754716981</v>
      </c>
      <c r="O49" s="189"/>
      <c r="P49" s="319"/>
      <c r="Q49" s="189"/>
      <c r="R49" s="190">
        <f t="shared" ref="R49:AU49" ca="1" si="26">R180</f>
        <v>1378140</v>
      </c>
      <c r="S49" s="190">
        <f t="shared" ca="1" si="26"/>
        <v>0</v>
      </c>
      <c r="T49" s="190">
        <f t="shared" ca="1" si="26"/>
        <v>0</v>
      </c>
      <c r="U49" s="190">
        <f t="shared" ca="1" si="26"/>
        <v>0</v>
      </c>
      <c r="V49" s="190">
        <f t="shared" ca="1" si="26"/>
        <v>0</v>
      </c>
      <c r="W49" s="190">
        <f t="shared" ca="1" si="26"/>
        <v>0</v>
      </c>
      <c r="X49" s="190">
        <f t="shared" ca="1" si="26"/>
        <v>0</v>
      </c>
      <c r="Y49" s="190">
        <f t="shared" ca="1" si="26"/>
        <v>0</v>
      </c>
      <c r="Z49" s="190">
        <f t="shared" ca="1" si="26"/>
        <v>0</v>
      </c>
      <c r="AA49" s="190">
        <f t="shared" ca="1" si="26"/>
        <v>0</v>
      </c>
      <c r="AB49" s="190">
        <f t="shared" ca="1" si="26"/>
        <v>0</v>
      </c>
      <c r="AC49" s="190">
        <f t="shared" ca="1" si="26"/>
        <v>0</v>
      </c>
      <c r="AD49" s="190">
        <f t="shared" ca="1" si="26"/>
        <v>0</v>
      </c>
      <c r="AE49" s="190">
        <f t="shared" ca="1" si="26"/>
        <v>0</v>
      </c>
      <c r="AF49" s="190">
        <f t="shared" ca="1" si="26"/>
        <v>0</v>
      </c>
      <c r="AG49" s="190">
        <f t="shared" ca="1" si="26"/>
        <v>0</v>
      </c>
      <c r="AH49" s="190">
        <f t="shared" ca="1" si="26"/>
        <v>0</v>
      </c>
      <c r="AI49" s="190">
        <f t="shared" ca="1" si="26"/>
        <v>0</v>
      </c>
      <c r="AJ49" s="190">
        <f t="shared" ca="1" si="26"/>
        <v>0</v>
      </c>
      <c r="AK49" s="190">
        <f t="shared" ca="1" si="26"/>
        <v>0</v>
      </c>
      <c r="AL49" s="190">
        <f t="shared" ca="1" si="26"/>
        <v>0</v>
      </c>
      <c r="AM49" s="190">
        <f t="shared" ca="1" si="26"/>
        <v>0</v>
      </c>
      <c r="AN49" s="190">
        <f t="shared" ca="1" si="26"/>
        <v>0</v>
      </c>
      <c r="AO49" s="190">
        <f t="shared" ca="1" si="26"/>
        <v>0</v>
      </c>
      <c r="AP49" s="190">
        <f t="shared" ca="1" si="26"/>
        <v>0</v>
      </c>
      <c r="AQ49" s="190">
        <f t="shared" ca="1" si="26"/>
        <v>0</v>
      </c>
      <c r="AR49" s="190">
        <f t="shared" ca="1" si="26"/>
        <v>0</v>
      </c>
      <c r="AS49" s="190">
        <f t="shared" ca="1" si="26"/>
        <v>0</v>
      </c>
      <c r="AT49" s="190">
        <f t="shared" ca="1" si="26"/>
        <v>0</v>
      </c>
      <c r="AU49" s="190">
        <f t="shared" ca="1" si="26"/>
        <v>0</v>
      </c>
    </row>
    <row r="50" spans="5:47" s="28" customFormat="1">
      <c r="E50" s="254"/>
      <c r="G50" s="36" t="s">
        <v>318</v>
      </c>
      <c r="L50" s="43" t="s">
        <v>12</v>
      </c>
      <c r="N50" s="189">
        <f t="shared" ca="1" si="21"/>
        <v>720028.30188679241</v>
      </c>
      <c r="O50" s="189"/>
      <c r="P50" s="319"/>
      <c r="Q50" s="189"/>
      <c r="R50" s="190">
        <f t="shared" ref="R50:AU50" ca="1" si="27">R201</f>
        <v>763230</v>
      </c>
      <c r="S50" s="190">
        <f t="shared" ca="1" si="27"/>
        <v>0</v>
      </c>
      <c r="T50" s="190">
        <f t="shared" ca="1" si="27"/>
        <v>0</v>
      </c>
      <c r="U50" s="190">
        <f t="shared" ca="1" si="27"/>
        <v>0</v>
      </c>
      <c r="V50" s="190">
        <f t="shared" ca="1" si="27"/>
        <v>0</v>
      </c>
      <c r="W50" s="190">
        <f t="shared" ca="1" si="27"/>
        <v>0</v>
      </c>
      <c r="X50" s="190">
        <f t="shared" ca="1" si="27"/>
        <v>0</v>
      </c>
      <c r="Y50" s="190">
        <f t="shared" ca="1" si="27"/>
        <v>0</v>
      </c>
      <c r="Z50" s="190">
        <f t="shared" ca="1" si="27"/>
        <v>0</v>
      </c>
      <c r="AA50" s="190">
        <f t="shared" ca="1" si="27"/>
        <v>0</v>
      </c>
      <c r="AB50" s="190">
        <f t="shared" ca="1" si="27"/>
        <v>0</v>
      </c>
      <c r="AC50" s="190">
        <f t="shared" ca="1" si="27"/>
        <v>0</v>
      </c>
      <c r="AD50" s="190">
        <f t="shared" ca="1" si="27"/>
        <v>0</v>
      </c>
      <c r="AE50" s="190">
        <f t="shared" ca="1" si="27"/>
        <v>0</v>
      </c>
      <c r="AF50" s="190">
        <f t="shared" ca="1" si="27"/>
        <v>0</v>
      </c>
      <c r="AG50" s="190">
        <f t="shared" ca="1" si="27"/>
        <v>0</v>
      </c>
      <c r="AH50" s="190">
        <f t="shared" ca="1" si="27"/>
        <v>0</v>
      </c>
      <c r="AI50" s="190">
        <f t="shared" ca="1" si="27"/>
        <v>0</v>
      </c>
      <c r="AJ50" s="190">
        <f t="shared" ca="1" si="27"/>
        <v>0</v>
      </c>
      <c r="AK50" s="190">
        <f t="shared" ca="1" si="27"/>
        <v>0</v>
      </c>
      <c r="AL50" s="190">
        <f t="shared" ca="1" si="27"/>
        <v>0</v>
      </c>
      <c r="AM50" s="190">
        <f t="shared" ca="1" si="27"/>
        <v>0</v>
      </c>
      <c r="AN50" s="190">
        <f t="shared" ca="1" si="27"/>
        <v>0</v>
      </c>
      <c r="AO50" s="190">
        <f t="shared" ca="1" si="27"/>
        <v>0</v>
      </c>
      <c r="AP50" s="190">
        <f t="shared" ca="1" si="27"/>
        <v>0</v>
      </c>
      <c r="AQ50" s="190">
        <f t="shared" ca="1" si="27"/>
        <v>0</v>
      </c>
      <c r="AR50" s="190">
        <f t="shared" ca="1" si="27"/>
        <v>0</v>
      </c>
      <c r="AS50" s="190">
        <f t="shared" ca="1" si="27"/>
        <v>0</v>
      </c>
      <c r="AT50" s="190">
        <f t="shared" ca="1" si="27"/>
        <v>0</v>
      </c>
      <c r="AU50" s="190">
        <f t="shared" ca="1" si="27"/>
        <v>0</v>
      </c>
    </row>
    <row r="51" spans="5:47" s="28" customFormat="1">
      <c r="E51" s="254"/>
      <c r="G51" s="36" t="s">
        <v>319</v>
      </c>
      <c r="L51" s="43" t="s">
        <v>12</v>
      </c>
      <c r="N51" s="189">
        <f t="shared" ca="1" si="21"/>
        <v>0</v>
      </c>
      <c r="O51" s="189"/>
      <c r="P51" s="319"/>
      <c r="Q51" s="189"/>
      <c r="R51" s="190">
        <f t="shared" ref="R51:AU51" ca="1" si="28">R222</f>
        <v>0</v>
      </c>
      <c r="S51" s="190">
        <f t="shared" ca="1" si="28"/>
        <v>0</v>
      </c>
      <c r="T51" s="190">
        <f t="shared" ca="1" si="28"/>
        <v>0</v>
      </c>
      <c r="U51" s="190">
        <f t="shared" ca="1" si="28"/>
        <v>0</v>
      </c>
      <c r="V51" s="190">
        <f t="shared" ca="1" si="28"/>
        <v>0</v>
      </c>
      <c r="W51" s="190">
        <f t="shared" ca="1" si="28"/>
        <v>0</v>
      </c>
      <c r="X51" s="190">
        <f t="shared" ca="1" si="28"/>
        <v>0</v>
      </c>
      <c r="Y51" s="190">
        <f t="shared" ca="1" si="28"/>
        <v>0</v>
      </c>
      <c r="Z51" s="190">
        <f t="shared" ca="1" si="28"/>
        <v>0</v>
      </c>
      <c r="AA51" s="190">
        <f t="shared" ca="1" si="28"/>
        <v>0</v>
      </c>
      <c r="AB51" s="190">
        <f t="shared" ca="1" si="28"/>
        <v>0</v>
      </c>
      <c r="AC51" s="190">
        <f t="shared" ca="1" si="28"/>
        <v>0</v>
      </c>
      <c r="AD51" s="190">
        <f t="shared" ca="1" si="28"/>
        <v>0</v>
      </c>
      <c r="AE51" s="190">
        <f t="shared" ca="1" si="28"/>
        <v>0</v>
      </c>
      <c r="AF51" s="190">
        <f t="shared" ca="1" si="28"/>
        <v>0</v>
      </c>
      <c r="AG51" s="190">
        <f t="shared" ca="1" si="28"/>
        <v>0</v>
      </c>
      <c r="AH51" s="190">
        <f t="shared" ca="1" si="28"/>
        <v>0</v>
      </c>
      <c r="AI51" s="190">
        <f t="shared" ca="1" si="28"/>
        <v>0</v>
      </c>
      <c r="AJ51" s="190">
        <f t="shared" ca="1" si="28"/>
        <v>0</v>
      </c>
      <c r="AK51" s="190">
        <f t="shared" ca="1" si="28"/>
        <v>0</v>
      </c>
      <c r="AL51" s="190">
        <f t="shared" ca="1" si="28"/>
        <v>0</v>
      </c>
      <c r="AM51" s="190">
        <f t="shared" ca="1" si="28"/>
        <v>0</v>
      </c>
      <c r="AN51" s="190">
        <f t="shared" ca="1" si="28"/>
        <v>0</v>
      </c>
      <c r="AO51" s="190">
        <f t="shared" ca="1" si="28"/>
        <v>0</v>
      </c>
      <c r="AP51" s="190">
        <f t="shared" ca="1" si="28"/>
        <v>0</v>
      </c>
      <c r="AQ51" s="190">
        <f t="shared" ca="1" si="28"/>
        <v>0</v>
      </c>
      <c r="AR51" s="190">
        <f t="shared" ca="1" si="28"/>
        <v>0</v>
      </c>
      <c r="AS51" s="190">
        <f t="shared" ca="1" si="28"/>
        <v>0</v>
      </c>
      <c r="AT51" s="190">
        <f t="shared" ca="1" si="28"/>
        <v>0</v>
      </c>
      <c r="AU51" s="190">
        <f t="shared" ca="1" si="28"/>
        <v>0</v>
      </c>
    </row>
    <row r="52" spans="5:47" s="28" customFormat="1">
      <c r="E52" s="254"/>
      <c r="G52" s="36" t="s">
        <v>320</v>
      </c>
      <c r="L52" s="43" t="s">
        <v>12</v>
      </c>
      <c r="N52" s="189">
        <f t="shared" ca="1" si="21"/>
        <v>0</v>
      </c>
      <c r="O52" s="189"/>
      <c r="P52" s="319"/>
      <c r="Q52" s="189"/>
      <c r="R52" s="190">
        <f t="shared" ref="R52:AU52" ca="1" si="29">R243</f>
        <v>0</v>
      </c>
      <c r="S52" s="190">
        <f t="shared" ca="1" si="29"/>
        <v>0</v>
      </c>
      <c r="T52" s="190">
        <f t="shared" ca="1" si="29"/>
        <v>0</v>
      </c>
      <c r="U52" s="190">
        <f t="shared" ca="1" si="29"/>
        <v>0</v>
      </c>
      <c r="V52" s="190">
        <f t="shared" ca="1" si="29"/>
        <v>0</v>
      </c>
      <c r="W52" s="190">
        <f t="shared" ca="1" si="29"/>
        <v>0</v>
      </c>
      <c r="X52" s="190">
        <f t="shared" ca="1" si="29"/>
        <v>0</v>
      </c>
      <c r="Y52" s="190">
        <f t="shared" ca="1" si="29"/>
        <v>0</v>
      </c>
      <c r="Z52" s="190">
        <f t="shared" ca="1" si="29"/>
        <v>0</v>
      </c>
      <c r="AA52" s="190">
        <f t="shared" ca="1" si="29"/>
        <v>0</v>
      </c>
      <c r="AB52" s="190">
        <f t="shared" ca="1" si="29"/>
        <v>0</v>
      </c>
      <c r="AC52" s="190">
        <f t="shared" ca="1" si="29"/>
        <v>0</v>
      </c>
      <c r="AD52" s="190">
        <f t="shared" ca="1" si="29"/>
        <v>0</v>
      </c>
      <c r="AE52" s="190">
        <f t="shared" ca="1" si="29"/>
        <v>0</v>
      </c>
      <c r="AF52" s="190">
        <f t="shared" ca="1" si="29"/>
        <v>0</v>
      </c>
      <c r="AG52" s="190">
        <f t="shared" ca="1" si="29"/>
        <v>0</v>
      </c>
      <c r="AH52" s="190">
        <f t="shared" ca="1" si="29"/>
        <v>0</v>
      </c>
      <c r="AI52" s="190">
        <f t="shared" ca="1" si="29"/>
        <v>0</v>
      </c>
      <c r="AJ52" s="190">
        <f t="shared" ca="1" si="29"/>
        <v>0</v>
      </c>
      <c r="AK52" s="190">
        <f t="shared" ca="1" si="29"/>
        <v>0</v>
      </c>
      <c r="AL52" s="190">
        <f t="shared" ca="1" si="29"/>
        <v>0</v>
      </c>
      <c r="AM52" s="190">
        <f t="shared" ca="1" si="29"/>
        <v>0</v>
      </c>
      <c r="AN52" s="190">
        <f t="shared" ca="1" si="29"/>
        <v>0</v>
      </c>
      <c r="AO52" s="190">
        <f t="shared" ca="1" si="29"/>
        <v>0</v>
      </c>
      <c r="AP52" s="190">
        <f t="shared" ca="1" si="29"/>
        <v>0</v>
      </c>
      <c r="AQ52" s="190">
        <f t="shared" ca="1" si="29"/>
        <v>0</v>
      </c>
      <c r="AR52" s="190">
        <f t="shared" ca="1" si="29"/>
        <v>0</v>
      </c>
      <c r="AS52" s="190">
        <f t="shared" ca="1" si="29"/>
        <v>0</v>
      </c>
      <c r="AT52" s="190">
        <f t="shared" ca="1" si="29"/>
        <v>0</v>
      </c>
      <c r="AU52" s="190">
        <f t="shared" ca="1" si="29"/>
        <v>0</v>
      </c>
    </row>
    <row r="53" spans="5:47" s="28" customFormat="1">
      <c r="E53" s="254"/>
      <c r="G53" s="36" t="s">
        <v>321</v>
      </c>
      <c r="L53" s="43" t="s">
        <v>12</v>
      </c>
      <c r="N53" s="189">
        <f t="shared" ca="1" si="21"/>
        <v>0</v>
      </c>
      <c r="O53" s="189"/>
      <c r="P53" s="319"/>
      <c r="Q53" s="189"/>
      <c r="R53" s="190">
        <f t="shared" ref="R53:AU53" ca="1" si="30">R264</f>
        <v>0</v>
      </c>
      <c r="S53" s="190">
        <f t="shared" ca="1" si="30"/>
        <v>0</v>
      </c>
      <c r="T53" s="190">
        <f t="shared" ca="1" si="30"/>
        <v>0</v>
      </c>
      <c r="U53" s="190">
        <f t="shared" ca="1" si="30"/>
        <v>0</v>
      </c>
      <c r="V53" s="190">
        <f t="shared" ca="1" si="30"/>
        <v>0</v>
      </c>
      <c r="W53" s="190">
        <f t="shared" ca="1" si="30"/>
        <v>0</v>
      </c>
      <c r="X53" s="190">
        <f t="shared" ca="1" si="30"/>
        <v>0</v>
      </c>
      <c r="Y53" s="190">
        <f t="shared" ca="1" si="30"/>
        <v>0</v>
      </c>
      <c r="Z53" s="190">
        <f t="shared" ca="1" si="30"/>
        <v>0</v>
      </c>
      <c r="AA53" s="190">
        <f t="shared" ca="1" si="30"/>
        <v>0</v>
      </c>
      <c r="AB53" s="190">
        <f t="shared" ca="1" si="30"/>
        <v>0</v>
      </c>
      <c r="AC53" s="190">
        <f t="shared" ca="1" si="30"/>
        <v>0</v>
      </c>
      <c r="AD53" s="190">
        <f t="shared" ca="1" si="30"/>
        <v>0</v>
      </c>
      <c r="AE53" s="190">
        <f t="shared" ca="1" si="30"/>
        <v>0</v>
      </c>
      <c r="AF53" s="190">
        <f t="shared" ca="1" si="30"/>
        <v>0</v>
      </c>
      <c r="AG53" s="190">
        <f t="shared" ca="1" si="30"/>
        <v>0</v>
      </c>
      <c r="AH53" s="190">
        <f t="shared" ca="1" si="30"/>
        <v>0</v>
      </c>
      <c r="AI53" s="190">
        <f t="shared" ca="1" si="30"/>
        <v>0</v>
      </c>
      <c r="AJ53" s="190">
        <f t="shared" ca="1" si="30"/>
        <v>0</v>
      </c>
      <c r="AK53" s="190">
        <f t="shared" ca="1" si="30"/>
        <v>0</v>
      </c>
      <c r="AL53" s="190">
        <f t="shared" ca="1" si="30"/>
        <v>0</v>
      </c>
      <c r="AM53" s="190">
        <f t="shared" ca="1" si="30"/>
        <v>0</v>
      </c>
      <c r="AN53" s="190">
        <f t="shared" ca="1" si="30"/>
        <v>0</v>
      </c>
      <c r="AO53" s="190">
        <f t="shared" ca="1" si="30"/>
        <v>0</v>
      </c>
      <c r="AP53" s="190">
        <f t="shared" ca="1" si="30"/>
        <v>0</v>
      </c>
      <c r="AQ53" s="190">
        <f t="shared" ca="1" si="30"/>
        <v>0</v>
      </c>
      <c r="AR53" s="190">
        <f t="shared" ca="1" si="30"/>
        <v>0</v>
      </c>
      <c r="AS53" s="190">
        <f t="shared" ca="1" si="30"/>
        <v>0</v>
      </c>
      <c r="AT53" s="190">
        <f t="shared" ca="1" si="30"/>
        <v>0</v>
      </c>
      <c r="AU53" s="190">
        <f t="shared" ca="1" si="30"/>
        <v>0</v>
      </c>
    </row>
    <row r="54" spans="5:47" s="28" customFormat="1">
      <c r="E54" s="254"/>
      <c r="G54" s="36" t="s">
        <v>160</v>
      </c>
      <c r="L54" s="43" t="s">
        <v>12</v>
      </c>
      <c r="N54" s="189">
        <f t="shared" ca="1" si="21"/>
        <v>0</v>
      </c>
      <c r="O54" s="189"/>
      <c r="P54" s="319"/>
      <c r="Q54" s="189"/>
      <c r="R54" s="190">
        <f t="shared" ref="R54:AU54" ca="1" si="31">R285</f>
        <v>0</v>
      </c>
      <c r="S54" s="190">
        <f t="shared" ca="1" si="31"/>
        <v>0</v>
      </c>
      <c r="T54" s="190">
        <f t="shared" ca="1" si="31"/>
        <v>0</v>
      </c>
      <c r="U54" s="190">
        <f t="shared" ca="1" si="31"/>
        <v>0</v>
      </c>
      <c r="V54" s="190">
        <f t="shared" ca="1" si="31"/>
        <v>0</v>
      </c>
      <c r="W54" s="190">
        <f t="shared" ca="1" si="31"/>
        <v>0</v>
      </c>
      <c r="X54" s="190">
        <f t="shared" ca="1" si="31"/>
        <v>0</v>
      </c>
      <c r="Y54" s="190">
        <f t="shared" ca="1" si="31"/>
        <v>0</v>
      </c>
      <c r="Z54" s="190">
        <f t="shared" ca="1" si="31"/>
        <v>0</v>
      </c>
      <c r="AA54" s="190">
        <f t="shared" ca="1" si="31"/>
        <v>0</v>
      </c>
      <c r="AB54" s="190">
        <f t="shared" ca="1" si="31"/>
        <v>0</v>
      </c>
      <c r="AC54" s="190">
        <f t="shared" ca="1" si="31"/>
        <v>0</v>
      </c>
      <c r="AD54" s="190">
        <f t="shared" ca="1" si="31"/>
        <v>0</v>
      </c>
      <c r="AE54" s="190">
        <f t="shared" ca="1" si="31"/>
        <v>0</v>
      </c>
      <c r="AF54" s="190">
        <f t="shared" ca="1" si="31"/>
        <v>0</v>
      </c>
      <c r="AG54" s="190">
        <f t="shared" ca="1" si="31"/>
        <v>0</v>
      </c>
      <c r="AH54" s="190">
        <f t="shared" ca="1" si="31"/>
        <v>0</v>
      </c>
      <c r="AI54" s="190">
        <f t="shared" ca="1" si="31"/>
        <v>0</v>
      </c>
      <c r="AJ54" s="190">
        <f t="shared" ca="1" si="31"/>
        <v>0</v>
      </c>
      <c r="AK54" s="190">
        <f t="shared" ca="1" si="31"/>
        <v>0</v>
      </c>
      <c r="AL54" s="190">
        <f t="shared" ca="1" si="31"/>
        <v>0</v>
      </c>
      <c r="AM54" s="190">
        <f t="shared" ca="1" si="31"/>
        <v>0</v>
      </c>
      <c r="AN54" s="190">
        <f t="shared" ca="1" si="31"/>
        <v>0</v>
      </c>
      <c r="AO54" s="190">
        <f t="shared" ca="1" si="31"/>
        <v>0</v>
      </c>
      <c r="AP54" s="190">
        <f t="shared" ca="1" si="31"/>
        <v>0</v>
      </c>
      <c r="AQ54" s="190">
        <f t="shared" ca="1" si="31"/>
        <v>0</v>
      </c>
      <c r="AR54" s="190">
        <f t="shared" ca="1" si="31"/>
        <v>0</v>
      </c>
      <c r="AS54" s="190">
        <f t="shared" ca="1" si="31"/>
        <v>0</v>
      </c>
      <c r="AT54" s="190">
        <f t="shared" ca="1" si="31"/>
        <v>0</v>
      </c>
      <c r="AU54" s="190">
        <f t="shared" ca="1" si="31"/>
        <v>0</v>
      </c>
    </row>
    <row r="55" spans="5:47" s="28" customFormat="1">
      <c r="E55" s="254"/>
      <c r="G55" s="36" t="s">
        <v>161</v>
      </c>
      <c r="L55" s="43" t="s">
        <v>12</v>
      </c>
      <c r="N55" s="189">
        <f t="shared" ca="1" si="21"/>
        <v>0</v>
      </c>
      <c r="O55" s="189"/>
      <c r="P55" s="319"/>
      <c r="Q55" s="189"/>
      <c r="R55" s="190">
        <f t="shared" ref="R55:AU55" ca="1" si="32">R306</f>
        <v>0</v>
      </c>
      <c r="S55" s="190">
        <f t="shared" ca="1" si="32"/>
        <v>0</v>
      </c>
      <c r="T55" s="190">
        <f t="shared" ca="1" si="32"/>
        <v>0</v>
      </c>
      <c r="U55" s="190">
        <f t="shared" ca="1" si="32"/>
        <v>0</v>
      </c>
      <c r="V55" s="190">
        <f t="shared" ca="1" si="32"/>
        <v>0</v>
      </c>
      <c r="W55" s="190">
        <f t="shared" ca="1" si="32"/>
        <v>0</v>
      </c>
      <c r="X55" s="190">
        <f t="shared" ca="1" si="32"/>
        <v>0</v>
      </c>
      <c r="Y55" s="190">
        <f t="shared" ca="1" si="32"/>
        <v>0</v>
      </c>
      <c r="Z55" s="190">
        <f t="shared" ca="1" si="32"/>
        <v>0</v>
      </c>
      <c r="AA55" s="190">
        <f t="shared" ca="1" si="32"/>
        <v>0</v>
      </c>
      <c r="AB55" s="190">
        <f t="shared" ca="1" si="32"/>
        <v>0</v>
      </c>
      <c r="AC55" s="190">
        <f t="shared" ca="1" si="32"/>
        <v>0</v>
      </c>
      <c r="AD55" s="190">
        <f t="shared" ca="1" si="32"/>
        <v>0</v>
      </c>
      <c r="AE55" s="190">
        <f t="shared" ca="1" si="32"/>
        <v>0</v>
      </c>
      <c r="AF55" s="190">
        <f t="shared" ca="1" si="32"/>
        <v>0</v>
      </c>
      <c r="AG55" s="190">
        <f t="shared" ca="1" si="32"/>
        <v>0</v>
      </c>
      <c r="AH55" s="190">
        <f t="shared" ca="1" si="32"/>
        <v>0</v>
      </c>
      <c r="AI55" s="190">
        <f t="shared" ca="1" si="32"/>
        <v>0</v>
      </c>
      <c r="AJ55" s="190">
        <f t="shared" ca="1" si="32"/>
        <v>0</v>
      </c>
      <c r="AK55" s="190">
        <f t="shared" ca="1" si="32"/>
        <v>0</v>
      </c>
      <c r="AL55" s="190">
        <f t="shared" ca="1" si="32"/>
        <v>0</v>
      </c>
      <c r="AM55" s="190">
        <f t="shared" ca="1" si="32"/>
        <v>0</v>
      </c>
      <c r="AN55" s="190">
        <f t="shared" ca="1" si="32"/>
        <v>0</v>
      </c>
      <c r="AO55" s="190">
        <f t="shared" ca="1" si="32"/>
        <v>0</v>
      </c>
      <c r="AP55" s="190">
        <f t="shared" ca="1" si="32"/>
        <v>0</v>
      </c>
      <c r="AQ55" s="190">
        <f t="shared" ca="1" si="32"/>
        <v>0</v>
      </c>
      <c r="AR55" s="190">
        <f t="shared" ca="1" si="32"/>
        <v>0</v>
      </c>
      <c r="AS55" s="190">
        <f t="shared" ca="1" si="32"/>
        <v>0</v>
      </c>
      <c r="AT55" s="190">
        <f t="shared" ca="1" si="32"/>
        <v>0</v>
      </c>
      <c r="AU55" s="190">
        <f t="shared" ca="1" si="32"/>
        <v>0</v>
      </c>
    </row>
    <row r="56" spans="5:47" s="28" customFormat="1">
      <c r="E56" s="254"/>
      <c r="G56" s="36" t="s">
        <v>162</v>
      </c>
      <c r="L56" s="43" t="s">
        <v>12</v>
      </c>
      <c r="N56" s="189">
        <f t="shared" ca="1" si="21"/>
        <v>676301.88679245277</v>
      </c>
      <c r="O56" s="189"/>
      <c r="P56" s="319"/>
      <c r="Q56" s="189"/>
      <c r="R56" s="190">
        <f t="shared" ref="R56:AU56" ca="1" si="33">R327</f>
        <v>716880</v>
      </c>
      <c r="S56" s="190">
        <f t="shared" ca="1" si="33"/>
        <v>0</v>
      </c>
      <c r="T56" s="190">
        <f t="shared" ca="1" si="33"/>
        <v>0</v>
      </c>
      <c r="U56" s="190">
        <f t="shared" ca="1" si="33"/>
        <v>0</v>
      </c>
      <c r="V56" s="190">
        <f t="shared" ca="1" si="33"/>
        <v>0</v>
      </c>
      <c r="W56" s="190">
        <f t="shared" ca="1" si="33"/>
        <v>0</v>
      </c>
      <c r="X56" s="190">
        <f t="shared" ca="1" si="33"/>
        <v>0</v>
      </c>
      <c r="Y56" s="190">
        <f t="shared" ca="1" si="33"/>
        <v>0</v>
      </c>
      <c r="Z56" s="190">
        <f t="shared" ca="1" si="33"/>
        <v>0</v>
      </c>
      <c r="AA56" s="190">
        <f t="shared" ca="1" si="33"/>
        <v>0</v>
      </c>
      <c r="AB56" s="190">
        <f t="shared" ca="1" si="33"/>
        <v>0</v>
      </c>
      <c r="AC56" s="190">
        <f t="shared" ca="1" si="33"/>
        <v>0</v>
      </c>
      <c r="AD56" s="190">
        <f t="shared" ca="1" si="33"/>
        <v>0</v>
      </c>
      <c r="AE56" s="190">
        <f t="shared" ca="1" si="33"/>
        <v>0</v>
      </c>
      <c r="AF56" s="190">
        <f t="shared" ca="1" si="33"/>
        <v>0</v>
      </c>
      <c r="AG56" s="190">
        <f t="shared" ca="1" si="33"/>
        <v>0</v>
      </c>
      <c r="AH56" s="190">
        <f t="shared" ca="1" si="33"/>
        <v>0</v>
      </c>
      <c r="AI56" s="190">
        <f t="shared" ca="1" si="33"/>
        <v>0</v>
      </c>
      <c r="AJ56" s="190">
        <f t="shared" ca="1" si="33"/>
        <v>0</v>
      </c>
      <c r="AK56" s="190">
        <f t="shared" ca="1" si="33"/>
        <v>0</v>
      </c>
      <c r="AL56" s="190">
        <f t="shared" ca="1" si="33"/>
        <v>0</v>
      </c>
      <c r="AM56" s="190">
        <f t="shared" ca="1" si="33"/>
        <v>0</v>
      </c>
      <c r="AN56" s="190">
        <f t="shared" ca="1" si="33"/>
        <v>0</v>
      </c>
      <c r="AO56" s="190">
        <f t="shared" ca="1" si="33"/>
        <v>0</v>
      </c>
      <c r="AP56" s="190">
        <f t="shared" ca="1" si="33"/>
        <v>0</v>
      </c>
      <c r="AQ56" s="190">
        <f t="shared" ca="1" si="33"/>
        <v>0</v>
      </c>
      <c r="AR56" s="190">
        <f t="shared" ca="1" si="33"/>
        <v>0</v>
      </c>
      <c r="AS56" s="190">
        <f t="shared" ca="1" si="33"/>
        <v>0</v>
      </c>
      <c r="AT56" s="190">
        <f t="shared" ca="1" si="33"/>
        <v>0</v>
      </c>
      <c r="AU56" s="190">
        <f t="shared" ca="1" si="33"/>
        <v>0</v>
      </c>
    </row>
    <row r="57" spans="5:47" s="28" customFormat="1">
      <c r="E57" s="254"/>
      <c r="G57" s="36" t="s">
        <v>135</v>
      </c>
      <c r="L57" s="43" t="s">
        <v>12</v>
      </c>
      <c r="N57" s="189">
        <f t="shared" ca="1" si="21"/>
        <v>1991981.1320754716</v>
      </c>
      <c r="O57" s="189"/>
      <c r="P57" s="319"/>
      <c r="Q57" s="189"/>
      <c r="R57" s="190">
        <f t="shared" ref="R57:AU57" ca="1" si="34">R348</f>
        <v>2111500</v>
      </c>
      <c r="S57" s="190">
        <f t="shared" ca="1" si="34"/>
        <v>0</v>
      </c>
      <c r="T57" s="190">
        <f t="shared" ca="1" si="34"/>
        <v>0</v>
      </c>
      <c r="U57" s="190">
        <f t="shared" ca="1" si="34"/>
        <v>0</v>
      </c>
      <c r="V57" s="190">
        <f t="shared" ca="1" si="34"/>
        <v>0</v>
      </c>
      <c r="W57" s="190">
        <f t="shared" ca="1" si="34"/>
        <v>0</v>
      </c>
      <c r="X57" s="190">
        <f t="shared" ca="1" si="34"/>
        <v>0</v>
      </c>
      <c r="Y57" s="190">
        <f t="shared" ca="1" si="34"/>
        <v>0</v>
      </c>
      <c r="Z57" s="190">
        <f t="shared" ca="1" si="34"/>
        <v>0</v>
      </c>
      <c r="AA57" s="190">
        <f t="shared" ca="1" si="34"/>
        <v>0</v>
      </c>
      <c r="AB57" s="190">
        <f t="shared" ca="1" si="34"/>
        <v>0</v>
      </c>
      <c r="AC57" s="190">
        <f t="shared" ca="1" si="34"/>
        <v>0</v>
      </c>
      <c r="AD57" s="190">
        <f t="shared" ca="1" si="34"/>
        <v>0</v>
      </c>
      <c r="AE57" s="190">
        <f t="shared" ca="1" si="34"/>
        <v>0</v>
      </c>
      <c r="AF57" s="190">
        <f t="shared" ca="1" si="34"/>
        <v>0</v>
      </c>
      <c r="AG57" s="190">
        <f t="shared" ca="1" si="34"/>
        <v>0</v>
      </c>
      <c r="AH57" s="190">
        <f t="shared" ca="1" si="34"/>
        <v>0</v>
      </c>
      <c r="AI57" s="190">
        <f t="shared" ca="1" si="34"/>
        <v>0</v>
      </c>
      <c r="AJ57" s="190">
        <f t="shared" ca="1" si="34"/>
        <v>0</v>
      </c>
      <c r="AK57" s="190">
        <f t="shared" ca="1" si="34"/>
        <v>0</v>
      </c>
      <c r="AL57" s="190">
        <f t="shared" ca="1" si="34"/>
        <v>0</v>
      </c>
      <c r="AM57" s="190">
        <f t="shared" ca="1" si="34"/>
        <v>0</v>
      </c>
      <c r="AN57" s="190">
        <f t="shared" ca="1" si="34"/>
        <v>0</v>
      </c>
      <c r="AO57" s="190">
        <f t="shared" ca="1" si="34"/>
        <v>0</v>
      </c>
      <c r="AP57" s="190">
        <f t="shared" ca="1" si="34"/>
        <v>0</v>
      </c>
      <c r="AQ57" s="190">
        <f t="shared" ca="1" si="34"/>
        <v>0</v>
      </c>
      <c r="AR57" s="190">
        <f t="shared" ca="1" si="34"/>
        <v>0</v>
      </c>
      <c r="AS57" s="190">
        <f t="shared" ca="1" si="34"/>
        <v>0</v>
      </c>
      <c r="AT57" s="190">
        <f t="shared" ca="1" si="34"/>
        <v>0</v>
      </c>
      <c r="AU57" s="190">
        <f t="shared" ca="1" si="34"/>
        <v>0</v>
      </c>
    </row>
    <row r="58" spans="5:47" s="28" customFormat="1">
      <c r="E58" s="254"/>
      <c r="G58" s="36" t="s">
        <v>29</v>
      </c>
      <c r="L58" s="43" t="s">
        <v>12</v>
      </c>
      <c r="N58" s="189">
        <f t="shared" ca="1" si="21"/>
        <v>999877.35849056602</v>
      </c>
      <c r="O58" s="189"/>
      <c r="P58" s="319"/>
      <c r="Q58" s="189"/>
      <c r="R58" s="190">
        <f t="shared" ref="R58:AU58" ca="1" si="35">R369</f>
        <v>1059870</v>
      </c>
      <c r="S58" s="190">
        <f t="shared" ca="1" si="35"/>
        <v>0</v>
      </c>
      <c r="T58" s="190">
        <f t="shared" ca="1" si="35"/>
        <v>0</v>
      </c>
      <c r="U58" s="190">
        <f t="shared" ca="1" si="35"/>
        <v>0</v>
      </c>
      <c r="V58" s="190">
        <f t="shared" ca="1" si="35"/>
        <v>0</v>
      </c>
      <c r="W58" s="190">
        <f t="shared" ca="1" si="35"/>
        <v>0</v>
      </c>
      <c r="X58" s="190">
        <f t="shared" ca="1" si="35"/>
        <v>0</v>
      </c>
      <c r="Y58" s="190">
        <f t="shared" ca="1" si="35"/>
        <v>0</v>
      </c>
      <c r="Z58" s="190">
        <f t="shared" ca="1" si="35"/>
        <v>0</v>
      </c>
      <c r="AA58" s="190">
        <f t="shared" ca="1" si="35"/>
        <v>0</v>
      </c>
      <c r="AB58" s="190">
        <f t="shared" ca="1" si="35"/>
        <v>0</v>
      </c>
      <c r="AC58" s="190">
        <f t="shared" ca="1" si="35"/>
        <v>0</v>
      </c>
      <c r="AD58" s="190">
        <f t="shared" ca="1" si="35"/>
        <v>0</v>
      </c>
      <c r="AE58" s="190">
        <f t="shared" ca="1" si="35"/>
        <v>0</v>
      </c>
      <c r="AF58" s="190">
        <f t="shared" ca="1" si="35"/>
        <v>0</v>
      </c>
      <c r="AG58" s="190">
        <f t="shared" ca="1" si="35"/>
        <v>0</v>
      </c>
      <c r="AH58" s="190">
        <f t="shared" ca="1" si="35"/>
        <v>0</v>
      </c>
      <c r="AI58" s="190">
        <f t="shared" ca="1" si="35"/>
        <v>0</v>
      </c>
      <c r="AJ58" s="190">
        <f t="shared" ca="1" si="35"/>
        <v>0</v>
      </c>
      <c r="AK58" s="190">
        <f t="shared" ca="1" si="35"/>
        <v>0</v>
      </c>
      <c r="AL58" s="190">
        <f t="shared" ca="1" si="35"/>
        <v>0</v>
      </c>
      <c r="AM58" s="190">
        <f t="shared" ca="1" si="35"/>
        <v>0</v>
      </c>
      <c r="AN58" s="190">
        <f t="shared" ca="1" si="35"/>
        <v>0</v>
      </c>
      <c r="AO58" s="190">
        <f t="shared" ca="1" si="35"/>
        <v>0</v>
      </c>
      <c r="AP58" s="190">
        <f t="shared" ca="1" si="35"/>
        <v>0</v>
      </c>
      <c r="AQ58" s="190">
        <f t="shared" ca="1" si="35"/>
        <v>0</v>
      </c>
      <c r="AR58" s="190">
        <f t="shared" ca="1" si="35"/>
        <v>0</v>
      </c>
      <c r="AS58" s="190">
        <f t="shared" ca="1" si="35"/>
        <v>0</v>
      </c>
      <c r="AT58" s="190">
        <f t="shared" ca="1" si="35"/>
        <v>0</v>
      </c>
      <c r="AU58" s="190">
        <f t="shared" ca="1" si="35"/>
        <v>0</v>
      </c>
    </row>
    <row r="59" spans="5:47" s="28" customFormat="1">
      <c r="E59" s="254"/>
      <c r="G59" s="36" t="s">
        <v>163</v>
      </c>
      <c r="L59" s="43" t="s">
        <v>12</v>
      </c>
      <c r="N59" s="189">
        <f t="shared" ca="1" si="21"/>
        <v>3948981.1320754713</v>
      </c>
      <c r="O59" s="189"/>
      <c r="P59" s="319"/>
      <c r="Q59" s="189"/>
      <c r="R59" s="190">
        <f t="shared" ref="R59:AU59" ca="1" si="36">R390</f>
        <v>4185920</v>
      </c>
      <c r="S59" s="190">
        <f t="shared" ca="1" si="36"/>
        <v>0</v>
      </c>
      <c r="T59" s="190">
        <f t="shared" ca="1" si="36"/>
        <v>0</v>
      </c>
      <c r="U59" s="190">
        <f t="shared" ca="1" si="36"/>
        <v>0</v>
      </c>
      <c r="V59" s="190">
        <f t="shared" ca="1" si="36"/>
        <v>0</v>
      </c>
      <c r="W59" s="190">
        <f t="shared" ca="1" si="36"/>
        <v>0</v>
      </c>
      <c r="X59" s="190">
        <f t="shared" ca="1" si="36"/>
        <v>0</v>
      </c>
      <c r="Y59" s="190">
        <f t="shared" ca="1" si="36"/>
        <v>0</v>
      </c>
      <c r="Z59" s="190">
        <f t="shared" ca="1" si="36"/>
        <v>0</v>
      </c>
      <c r="AA59" s="190">
        <f t="shared" ca="1" si="36"/>
        <v>0</v>
      </c>
      <c r="AB59" s="190">
        <f t="shared" ca="1" si="36"/>
        <v>0</v>
      </c>
      <c r="AC59" s="190">
        <f t="shared" ca="1" si="36"/>
        <v>0</v>
      </c>
      <c r="AD59" s="190">
        <f t="shared" ca="1" si="36"/>
        <v>0</v>
      </c>
      <c r="AE59" s="190">
        <f t="shared" ca="1" si="36"/>
        <v>0</v>
      </c>
      <c r="AF59" s="190">
        <f t="shared" ca="1" si="36"/>
        <v>0</v>
      </c>
      <c r="AG59" s="190">
        <f t="shared" ca="1" si="36"/>
        <v>0</v>
      </c>
      <c r="AH59" s="190">
        <f t="shared" ca="1" si="36"/>
        <v>0</v>
      </c>
      <c r="AI59" s="190">
        <f t="shared" ca="1" si="36"/>
        <v>0</v>
      </c>
      <c r="AJ59" s="190">
        <f t="shared" ca="1" si="36"/>
        <v>0</v>
      </c>
      <c r="AK59" s="190">
        <f t="shared" ca="1" si="36"/>
        <v>0</v>
      </c>
      <c r="AL59" s="190">
        <f t="shared" ca="1" si="36"/>
        <v>0</v>
      </c>
      <c r="AM59" s="190">
        <f t="shared" ca="1" si="36"/>
        <v>0</v>
      </c>
      <c r="AN59" s="190">
        <f t="shared" ca="1" si="36"/>
        <v>0</v>
      </c>
      <c r="AO59" s="190">
        <f t="shared" ca="1" si="36"/>
        <v>0</v>
      </c>
      <c r="AP59" s="190">
        <f t="shared" ca="1" si="36"/>
        <v>0</v>
      </c>
      <c r="AQ59" s="190">
        <f t="shared" ca="1" si="36"/>
        <v>0</v>
      </c>
      <c r="AR59" s="190">
        <f t="shared" ca="1" si="36"/>
        <v>0</v>
      </c>
      <c r="AS59" s="190">
        <f t="shared" ca="1" si="36"/>
        <v>0</v>
      </c>
      <c r="AT59" s="190">
        <f t="shared" ca="1" si="36"/>
        <v>0</v>
      </c>
      <c r="AU59" s="190">
        <f t="shared" ca="1" si="36"/>
        <v>0</v>
      </c>
    </row>
    <row r="60" spans="5:47" s="28" customFormat="1">
      <c r="E60" s="254"/>
      <c r="G60" s="36" t="s">
        <v>138</v>
      </c>
      <c r="L60" s="43" t="s">
        <v>12</v>
      </c>
      <c r="N60" s="189">
        <f t="shared" ca="1" si="21"/>
        <v>4984811.3207547171</v>
      </c>
      <c r="O60" s="189"/>
      <c r="P60" s="319"/>
      <c r="Q60" s="189"/>
      <c r="R60" s="190">
        <f t="shared" ref="R60:AU60" ca="1" si="37">R411</f>
        <v>5283900</v>
      </c>
      <c r="S60" s="190">
        <f t="shared" ca="1" si="37"/>
        <v>0</v>
      </c>
      <c r="T60" s="190">
        <f t="shared" ca="1" si="37"/>
        <v>0</v>
      </c>
      <c r="U60" s="190">
        <f t="shared" ca="1" si="37"/>
        <v>0</v>
      </c>
      <c r="V60" s="190">
        <f t="shared" ca="1" si="37"/>
        <v>0</v>
      </c>
      <c r="W60" s="190">
        <f t="shared" ca="1" si="37"/>
        <v>0</v>
      </c>
      <c r="X60" s="190">
        <f t="shared" ca="1" si="37"/>
        <v>0</v>
      </c>
      <c r="Y60" s="190">
        <f t="shared" ca="1" si="37"/>
        <v>0</v>
      </c>
      <c r="Z60" s="190">
        <f t="shared" ca="1" si="37"/>
        <v>0</v>
      </c>
      <c r="AA60" s="190">
        <f t="shared" ca="1" si="37"/>
        <v>0</v>
      </c>
      <c r="AB60" s="190">
        <f t="shared" ca="1" si="37"/>
        <v>0</v>
      </c>
      <c r="AC60" s="190">
        <f t="shared" ca="1" si="37"/>
        <v>0</v>
      </c>
      <c r="AD60" s="190">
        <f t="shared" ca="1" si="37"/>
        <v>0</v>
      </c>
      <c r="AE60" s="190">
        <f t="shared" ca="1" si="37"/>
        <v>0</v>
      </c>
      <c r="AF60" s="190">
        <f t="shared" ca="1" si="37"/>
        <v>0</v>
      </c>
      <c r="AG60" s="190">
        <f t="shared" ca="1" si="37"/>
        <v>0</v>
      </c>
      <c r="AH60" s="190">
        <f t="shared" ca="1" si="37"/>
        <v>0</v>
      </c>
      <c r="AI60" s="190">
        <f t="shared" ca="1" si="37"/>
        <v>0</v>
      </c>
      <c r="AJ60" s="190">
        <f t="shared" ca="1" si="37"/>
        <v>0</v>
      </c>
      <c r="AK60" s="190">
        <f t="shared" ca="1" si="37"/>
        <v>0</v>
      </c>
      <c r="AL60" s="190">
        <f t="shared" ca="1" si="37"/>
        <v>0</v>
      </c>
      <c r="AM60" s="190">
        <f t="shared" ca="1" si="37"/>
        <v>0</v>
      </c>
      <c r="AN60" s="190">
        <f t="shared" ca="1" si="37"/>
        <v>0</v>
      </c>
      <c r="AO60" s="190">
        <f t="shared" ca="1" si="37"/>
        <v>0</v>
      </c>
      <c r="AP60" s="190">
        <f t="shared" ca="1" si="37"/>
        <v>0</v>
      </c>
      <c r="AQ60" s="190">
        <f t="shared" ca="1" si="37"/>
        <v>0</v>
      </c>
      <c r="AR60" s="190">
        <f t="shared" ca="1" si="37"/>
        <v>0</v>
      </c>
      <c r="AS60" s="190">
        <f t="shared" ca="1" si="37"/>
        <v>0</v>
      </c>
      <c r="AT60" s="190">
        <f t="shared" ca="1" si="37"/>
        <v>0</v>
      </c>
      <c r="AU60" s="190">
        <f t="shared" ca="1" si="37"/>
        <v>0</v>
      </c>
    </row>
    <row r="61" spans="5:47" s="28" customFormat="1">
      <c r="E61" s="254"/>
      <c r="G61" s="36" t="s">
        <v>113</v>
      </c>
      <c r="L61" s="43" t="s">
        <v>12</v>
      </c>
      <c r="N61" s="189">
        <f t="shared" ca="1" si="21"/>
        <v>1063037.7358490566</v>
      </c>
      <c r="O61" s="189"/>
      <c r="P61" s="319"/>
      <c r="Q61" s="189"/>
      <c r="R61" s="190">
        <f t="shared" ref="R61:AU61" ca="1" si="38">R432</f>
        <v>1126820</v>
      </c>
      <c r="S61" s="190">
        <f t="shared" ca="1" si="38"/>
        <v>0</v>
      </c>
      <c r="T61" s="190">
        <f t="shared" ca="1" si="38"/>
        <v>0</v>
      </c>
      <c r="U61" s="190">
        <f t="shared" ca="1" si="38"/>
        <v>0</v>
      </c>
      <c r="V61" s="190">
        <f t="shared" ca="1" si="38"/>
        <v>0</v>
      </c>
      <c r="W61" s="190">
        <f t="shared" ca="1" si="38"/>
        <v>0</v>
      </c>
      <c r="X61" s="190">
        <f t="shared" ca="1" si="38"/>
        <v>0</v>
      </c>
      <c r="Y61" s="190">
        <f t="shared" ca="1" si="38"/>
        <v>0</v>
      </c>
      <c r="Z61" s="190">
        <f t="shared" ca="1" si="38"/>
        <v>0</v>
      </c>
      <c r="AA61" s="190">
        <f t="shared" ca="1" si="38"/>
        <v>0</v>
      </c>
      <c r="AB61" s="190">
        <f t="shared" ca="1" si="38"/>
        <v>0</v>
      </c>
      <c r="AC61" s="190">
        <f t="shared" ca="1" si="38"/>
        <v>0</v>
      </c>
      <c r="AD61" s="190">
        <f t="shared" ca="1" si="38"/>
        <v>0</v>
      </c>
      <c r="AE61" s="190">
        <f t="shared" ca="1" si="38"/>
        <v>0</v>
      </c>
      <c r="AF61" s="190">
        <f t="shared" ca="1" si="38"/>
        <v>0</v>
      </c>
      <c r="AG61" s="190">
        <f t="shared" ca="1" si="38"/>
        <v>0</v>
      </c>
      <c r="AH61" s="190">
        <f t="shared" ca="1" si="38"/>
        <v>0</v>
      </c>
      <c r="AI61" s="190">
        <f t="shared" ca="1" si="38"/>
        <v>0</v>
      </c>
      <c r="AJ61" s="190">
        <f t="shared" ca="1" si="38"/>
        <v>0</v>
      </c>
      <c r="AK61" s="190">
        <f t="shared" ca="1" si="38"/>
        <v>0</v>
      </c>
      <c r="AL61" s="190">
        <f t="shared" ca="1" si="38"/>
        <v>0</v>
      </c>
      <c r="AM61" s="190">
        <f t="shared" ca="1" si="38"/>
        <v>0</v>
      </c>
      <c r="AN61" s="190">
        <f t="shared" ca="1" si="38"/>
        <v>0</v>
      </c>
      <c r="AO61" s="190">
        <f t="shared" ca="1" si="38"/>
        <v>0</v>
      </c>
      <c r="AP61" s="190">
        <f t="shared" ca="1" si="38"/>
        <v>0</v>
      </c>
      <c r="AQ61" s="190">
        <f t="shared" ca="1" si="38"/>
        <v>0</v>
      </c>
      <c r="AR61" s="190">
        <f t="shared" ca="1" si="38"/>
        <v>0</v>
      </c>
      <c r="AS61" s="190">
        <f t="shared" ca="1" si="38"/>
        <v>0</v>
      </c>
      <c r="AT61" s="190">
        <f t="shared" ca="1" si="38"/>
        <v>0</v>
      </c>
      <c r="AU61" s="190">
        <f t="shared" ca="1" si="38"/>
        <v>0</v>
      </c>
    </row>
    <row r="62" spans="5:47" s="28" customFormat="1">
      <c r="E62" s="254"/>
      <c r="G62" s="36" t="s">
        <v>115</v>
      </c>
      <c r="L62" s="43" t="s">
        <v>12</v>
      </c>
      <c r="N62" s="189">
        <f t="shared" ca="1" si="21"/>
        <v>2127047.1698113205</v>
      </c>
      <c r="O62" s="189"/>
      <c r="P62" s="319"/>
      <c r="Q62" s="189"/>
      <c r="R62" s="190">
        <f t="shared" ref="R62:AU62" ca="1" si="39">R437</f>
        <v>2254670</v>
      </c>
      <c r="S62" s="190">
        <f t="shared" ca="1" si="39"/>
        <v>0</v>
      </c>
      <c r="T62" s="190">
        <f t="shared" ca="1" si="39"/>
        <v>0</v>
      </c>
      <c r="U62" s="190">
        <f t="shared" ca="1" si="39"/>
        <v>0</v>
      </c>
      <c r="V62" s="190">
        <f t="shared" ca="1" si="39"/>
        <v>0</v>
      </c>
      <c r="W62" s="190">
        <f t="shared" ca="1" si="39"/>
        <v>0</v>
      </c>
      <c r="X62" s="190">
        <f t="shared" ca="1" si="39"/>
        <v>0</v>
      </c>
      <c r="Y62" s="190">
        <f t="shared" ca="1" si="39"/>
        <v>0</v>
      </c>
      <c r="Z62" s="190">
        <f t="shared" ca="1" si="39"/>
        <v>0</v>
      </c>
      <c r="AA62" s="190">
        <f t="shared" ca="1" si="39"/>
        <v>0</v>
      </c>
      <c r="AB62" s="190">
        <f t="shared" ca="1" si="39"/>
        <v>0</v>
      </c>
      <c r="AC62" s="190">
        <f t="shared" ca="1" si="39"/>
        <v>0</v>
      </c>
      <c r="AD62" s="190">
        <f t="shared" ca="1" si="39"/>
        <v>0</v>
      </c>
      <c r="AE62" s="190">
        <f t="shared" ca="1" si="39"/>
        <v>0</v>
      </c>
      <c r="AF62" s="190">
        <f t="shared" ca="1" si="39"/>
        <v>0</v>
      </c>
      <c r="AG62" s="190">
        <f t="shared" ca="1" si="39"/>
        <v>0</v>
      </c>
      <c r="AH62" s="190">
        <f t="shared" ca="1" si="39"/>
        <v>0</v>
      </c>
      <c r="AI62" s="190">
        <f t="shared" ca="1" si="39"/>
        <v>0</v>
      </c>
      <c r="AJ62" s="190">
        <f t="shared" ca="1" si="39"/>
        <v>0</v>
      </c>
      <c r="AK62" s="190">
        <f t="shared" ca="1" si="39"/>
        <v>0</v>
      </c>
      <c r="AL62" s="190">
        <f t="shared" ca="1" si="39"/>
        <v>0</v>
      </c>
      <c r="AM62" s="190">
        <f t="shared" ca="1" si="39"/>
        <v>0</v>
      </c>
      <c r="AN62" s="190">
        <f t="shared" ca="1" si="39"/>
        <v>0</v>
      </c>
      <c r="AO62" s="190">
        <f t="shared" ca="1" si="39"/>
        <v>0</v>
      </c>
      <c r="AP62" s="190">
        <f t="shared" ca="1" si="39"/>
        <v>0</v>
      </c>
      <c r="AQ62" s="190">
        <f t="shared" ca="1" si="39"/>
        <v>0</v>
      </c>
      <c r="AR62" s="190">
        <f t="shared" ca="1" si="39"/>
        <v>0</v>
      </c>
      <c r="AS62" s="190">
        <f t="shared" ca="1" si="39"/>
        <v>0</v>
      </c>
      <c r="AT62" s="190">
        <f t="shared" ca="1" si="39"/>
        <v>0</v>
      </c>
      <c r="AU62" s="190">
        <f t="shared" ca="1" si="39"/>
        <v>0</v>
      </c>
    </row>
    <row r="63" spans="5:47" s="28" customFormat="1">
      <c r="E63" s="254"/>
      <c r="G63" s="36" t="s">
        <v>146</v>
      </c>
      <c r="L63" s="43" t="s">
        <v>12</v>
      </c>
      <c r="N63" s="189">
        <f t="shared" ca="1" si="21"/>
        <v>7337292.452830188</v>
      </c>
      <c r="O63" s="189"/>
      <c r="P63" s="319"/>
      <c r="Q63" s="189"/>
      <c r="R63" s="190">
        <f t="shared" ref="R63:AU63" ca="1" si="40">R442</f>
        <v>7777530</v>
      </c>
      <c r="S63" s="190">
        <f t="shared" ca="1" si="40"/>
        <v>0</v>
      </c>
      <c r="T63" s="190">
        <f t="shared" ca="1" si="40"/>
        <v>0</v>
      </c>
      <c r="U63" s="190">
        <f t="shared" ca="1" si="40"/>
        <v>0</v>
      </c>
      <c r="V63" s="190">
        <f t="shared" ca="1" si="40"/>
        <v>0</v>
      </c>
      <c r="W63" s="190">
        <f t="shared" ca="1" si="40"/>
        <v>0</v>
      </c>
      <c r="X63" s="190">
        <f t="shared" ca="1" si="40"/>
        <v>0</v>
      </c>
      <c r="Y63" s="190">
        <f t="shared" ca="1" si="40"/>
        <v>0</v>
      </c>
      <c r="Z63" s="190">
        <f t="shared" ca="1" si="40"/>
        <v>0</v>
      </c>
      <c r="AA63" s="190">
        <f t="shared" ca="1" si="40"/>
        <v>0</v>
      </c>
      <c r="AB63" s="190">
        <f t="shared" ca="1" si="40"/>
        <v>0</v>
      </c>
      <c r="AC63" s="190">
        <f t="shared" ca="1" si="40"/>
        <v>0</v>
      </c>
      <c r="AD63" s="190">
        <f t="shared" ca="1" si="40"/>
        <v>0</v>
      </c>
      <c r="AE63" s="190">
        <f t="shared" ca="1" si="40"/>
        <v>0</v>
      </c>
      <c r="AF63" s="190">
        <f t="shared" ca="1" si="40"/>
        <v>0</v>
      </c>
      <c r="AG63" s="190">
        <f t="shared" ca="1" si="40"/>
        <v>0</v>
      </c>
      <c r="AH63" s="190">
        <f t="shared" ca="1" si="40"/>
        <v>0</v>
      </c>
      <c r="AI63" s="190">
        <f t="shared" ca="1" si="40"/>
        <v>0</v>
      </c>
      <c r="AJ63" s="190">
        <f t="shared" ca="1" si="40"/>
        <v>0</v>
      </c>
      <c r="AK63" s="190">
        <f t="shared" ca="1" si="40"/>
        <v>0</v>
      </c>
      <c r="AL63" s="190">
        <f t="shared" ca="1" si="40"/>
        <v>0</v>
      </c>
      <c r="AM63" s="190">
        <f t="shared" ca="1" si="40"/>
        <v>0</v>
      </c>
      <c r="AN63" s="190">
        <f t="shared" ca="1" si="40"/>
        <v>0</v>
      </c>
      <c r="AO63" s="190">
        <f t="shared" ca="1" si="40"/>
        <v>0</v>
      </c>
      <c r="AP63" s="190">
        <f t="shared" ca="1" si="40"/>
        <v>0</v>
      </c>
      <c r="AQ63" s="190">
        <f t="shared" ca="1" si="40"/>
        <v>0</v>
      </c>
      <c r="AR63" s="190">
        <f t="shared" ca="1" si="40"/>
        <v>0</v>
      </c>
      <c r="AS63" s="190">
        <f t="shared" ca="1" si="40"/>
        <v>0</v>
      </c>
      <c r="AT63" s="190">
        <f t="shared" ca="1" si="40"/>
        <v>0</v>
      </c>
      <c r="AU63" s="190">
        <f t="shared" ca="1" si="40"/>
        <v>0</v>
      </c>
    </row>
    <row r="64" spans="5:47" s="28" customFormat="1">
      <c r="E64" s="254"/>
      <c r="G64" s="36" t="s">
        <v>147</v>
      </c>
      <c r="L64" s="43" t="s">
        <v>12</v>
      </c>
      <c r="N64" s="189">
        <f t="shared" ca="1" si="21"/>
        <v>4769094.339622641</v>
      </c>
      <c r="O64" s="189"/>
      <c r="P64" s="319"/>
      <c r="Q64" s="189"/>
      <c r="R64" s="190">
        <f t="shared" ref="R64:AU64" ca="1" si="41">R447</f>
        <v>5055240</v>
      </c>
      <c r="S64" s="190">
        <f t="shared" ca="1" si="41"/>
        <v>0</v>
      </c>
      <c r="T64" s="190">
        <f t="shared" ca="1" si="41"/>
        <v>0</v>
      </c>
      <c r="U64" s="190">
        <f t="shared" ca="1" si="41"/>
        <v>0</v>
      </c>
      <c r="V64" s="190">
        <f t="shared" ca="1" si="41"/>
        <v>0</v>
      </c>
      <c r="W64" s="190">
        <f t="shared" ca="1" si="41"/>
        <v>0</v>
      </c>
      <c r="X64" s="190">
        <f t="shared" ca="1" si="41"/>
        <v>0</v>
      </c>
      <c r="Y64" s="190">
        <f t="shared" ca="1" si="41"/>
        <v>0</v>
      </c>
      <c r="Z64" s="190">
        <f t="shared" ca="1" si="41"/>
        <v>0</v>
      </c>
      <c r="AA64" s="190">
        <f t="shared" ca="1" si="41"/>
        <v>0</v>
      </c>
      <c r="AB64" s="190">
        <f t="shared" ca="1" si="41"/>
        <v>0</v>
      </c>
      <c r="AC64" s="190">
        <f t="shared" ca="1" si="41"/>
        <v>0</v>
      </c>
      <c r="AD64" s="190">
        <f t="shared" ca="1" si="41"/>
        <v>0</v>
      </c>
      <c r="AE64" s="190">
        <f t="shared" ca="1" si="41"/>
        <v>0</v>
      </c>
      <c r="AF64" s="190">
        <f t="shared" ca="1" si="41"/>
        <v>0</v>
      </c>
      <c r="AG64" s="190">
        <f t="shared" ca="1" si="41"/>
        <v>0</v>
      </c>
      <c r="AH64" s="190">
        <f t="shared" ca="1" si="41"/>
        <v>0</v>
      </c>
      <c r="AI64" s="190">
        <f t="shared" ca="1" si="41"/>
        <v>0</v>
      </c>
      <c r="AJ64" s="190">
        <f t="shared" ca="1" si="41"/>
        <v>0</v>
      </c>
      <c r="AK64" s="190">
        <f t="shared" ca="1" si="41"/>
        <v>0</v>
      </c>
      <c r="AL64" s="190">
        <f t="shared" ca="1" si="41"/>
        <v>0</v>
      </c>
      <c r="AM64" s="190">
        <f t="shared" ca="1" si="41"/>
        <v>0</v>
      </c>
      <c r="AN64" s="190">
        <f t="shared" ca="1" si="41"/>
        <v>0</v>
      </c>
      <c r="AO64" s="190">
        <f t="shared" ca="1" si="41"/>
        <v>0</v>
      </c>
      <c r="AP64" s="190">
        <f t="shared" ca="1" si="41"/>
        <v>0</v>
      </c>
      <c r="AQ64" s="190">
        <f t="shared" ca="1" si="41"/>
        <v>0</v>
      </c>
      <c r="AR64" s="190">
        <f t="shared" ca="1" si="41"/>
        <v>0</v>
      </c>
      <c r="AS64" s="190">
        <f t="shared" ca="1" si="41"/>
        <v>0</v>
      </c>
      <c r="AT64" s="190">
        <f t="shared" ca="1" si="41"/>
        <v>0</v>
      </c>
      <c r="AU64" s="190">
        <f t="shared" ca="1" si="41"/>
        <v>0</v>
      </c>
    </row>
    <row r="65" spans="1:47" s="39" customFormat="1">
      <c r="E65" s="254"/>
      <c r="G65" s="173" t="s">
        <v>114</v>
      </c>
      <c r="L65" s="174" t="s">
        <v>12</v>
      </c>
      <c r="N65" s="189">
        <f ca="1">SUBTOTAL(9,N45:N64)</f>
        <v>36564028.30188679</v>
      </c>
      <c r="O65" s="189"/>
      <c r="P65" s="320"/>
      <c r="Q65" s="189"/>
      <c r="R65" s="189">
        <f t="shared" ref="R65:AU65" ca="1" si="42">SUBTOTAL(9,R45:R64)</f>
        <v>38757870</v>
      </c>
      <c r="S65" s="189">
        <f t="shared" ca="1" si="42"/>
        <v>0</v>
      </c>
      <c r="T65" s="189">
        <f t="shared" ca="1" si="42"/>
        <v>0</v>
      </c>
      <c r="U65" s="189">
        <f t="shared" ca="1" si="42"/>
        <v>0</v>
      </c>
      <c r="V65" s="189">
        <f t="shared" ca="1" si="42"/>
        <v>0</v>
      </c>
      <c r="W65" s="189">
        <f t="shared" ca="1" si="42"/>
        <v>0</v>
      </c>
      <c r="X65" s="189">
        <f t="shared" ca="1" si="42"/>
        <v>0</v>
      </c>
      <c r="Y65" s="189">
        <f t="shared" ca="1" si="42"/>
        <v>0</v>
      </c>
      <c r="Z65" s="189">
        <f t="shared" ca="1" si="42"/>
        <v>0</v>
      </c>
      <c r="AA65" s="189">
        <f t="shared" ca="1" si="42"/>
        <v>0</v>
      </c>
      <c r="AB65" s="189">
        <f t="shared" ca="1" si="42"/>
        <v>0</v>
      </c>
      <c r="AC65" s="189">
        <f t="shared" ca="1" si="42"/>
        <v>0</v>
      </c>
      <c r="AD65" s="189">
        <f t="shared" ca="1" si="42"/>
        <v>0</v>
      </c>
      <c r="AE65" s="189">
        <f t="shared" ca="1" si="42"/>
        <v>0</v>
      </c>
      <c r="AF65" s="189">
        <f t="shared" ca="1" si="42"/>
        <v>0</v>
      </c>
      <c r="AG65" s="189">
        <f t="shared" ca="1" si="42"/>
        <v>0</v>
      </c>
      <c r="AH65" s="189">
        <f t="shared" ca="1" si="42"/>
        <v>0</v>
      </c>
      <c r="AI65" s="189">
        <f t="shared" ca="1" si="42"/>
        <v>0</v>
      </c>
      <c r="AJ65" s="189">
        <f t="shared" ca="1" si="42"/>
        <v>0</v>
      </c>
      <c r="AK65" s="189">
        <f t="shared" ca="1" si="42"/>
        <v>0</v>
      </c>
      <c r="AL65" s="189">
        <f t="shared" ca="1" si="42"/>
        <v>0</v>
      </c>
      <c r="AM65" s="189">
        <f t="shared" ca="1" si="42"/>
        <v>0</v>
      </c>
      <c r="AN65" s="189">
        <f t="shared" ca="1" si="42"/>
        <v>0</v>
      </c>
      <c r="AO65" s="189">
        <f t="shared" ca="1" si="42"/>
        <v>0</v>
      </c>
      <c r="AP65" s="189">
        <f t="shared" ca="1" si="42"/>
        <v>0</v>
      </c>
      <c r="AQ65" s="189">
        <f t="shared" ca="1" si="42"/>
        <v>0</v>
      </c>
      <c r="AR65" s="189">
        <f t="shared" ca="1" si="42"/>
        <v>0</v>
      </c>
      <c r="AS65" s="189">
        <f t="shared" ca="1" si="42"/>
        <v>0</v>
      </c>
      <c r="AT65" s="189">
        <f t="shared" ca="1" si="42"/>
        <v>0</v>
      </c>
      <c r="AU65" s="189">
        <f t="shared" ca="1" si="42"/>
        <v>0</v>
      </c>
    </row>
    <row r="66" spans="1:47" s="28" customFormat="1">
      <c r="E66" s="53"/>
      <c r="G66" s="36"/>
      <c r="L66" s="43"/>
      <c r="N66" s="189"/>
      <c r="O66" s="189"/>
      <c r="P66" s="190"/>
      <c r="Q66" s="189"/>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row>
    <row r="67" spans="1:47" s="28" customFormat="1">
      <c r="A67" s="40"/>
      <c r="B67" s="40"/>
      <c r="C67" s="40"/>
      <c r="D67" s="40"/>
      <c r="G67" s="324" t="s">
        <v>493</v>
      </c>
      <c r="H67" s="324"/>
      <c r="I67" s="324"/>
      <c r="J67" s="324"/>
      <c r="K67" s="324"/>
      <c r="L67" s="405"/>
      <c r="M67" s="256"/>
      <c r="N67" s="325"/>
      <c r="O67" s="311"/>
      <c r="P67" s="325"/>
      <c r="Q67" s="310"/>
      <c r="R67" s="325">
        <f>R42</f>
        <v>2014</v>
      </c>
      <c r="S67" s="325">
        <f t="shared" ref="S67:AU67" si="43">S42</f>
        <v>2015</v>
      </c>
      <c r="T67" s="325">
        <f t="shared" si="43"/>
        <v>2016</v>
      </c>
      <c r="U67" s="325">
        <f t="shared" si="43"/>
        <v>2017</v>
      </c>
      <c r="V67" s="325">
        <f t="shared" si="43"/>
        <v>2018</v>
      </c>
      <c r="W67" s="325">
        <f t="shared" si="43"/>
        <v>2019</v>
      </c>
      <c r="X67" s="325">
        <f t="shared" si="43"/>
        <v>2020</v>
      </c>
      <c r="Y67" s="325">
        <f t="shared" si="43"/>
        <v>2021</v>
      </c>
      <c r="Z67" s="325">
        <f t="shared" si="43"/>
        <v>2022</v>
      </c>
      <c r="AA67" s="325">
        <f t="shared" si="43"/>
        <v>2023</v>
      </c>
      <c r="AB67" s="325">
        <f t="shared" si="43"/>
        <v>2024</v>
      </c>
      <c r="AC67" s="325">
        <f t="shared" si="43"/>
        <v>2025</v>
      </c>
      <c r="AD67" s="325">
        <f t="shared" si="43"/>
        <v>2026</v>
      </c>
      <c r="AE67" s="325">
        <f t="shared" si="43"/>
        <v>2027</v>
      </c>
      <c r="AF67" s="325">
        <f t="shared" si="43"/>
        <v>2028</v>
      </c>
      <c r="AG67" s="325">
        <f t="shared" si="43"/>
        <v>2029</v>
      </c>
      <c r="AH67" s="325">
        <f t="shared" si="43"/>
        <v>2030</v>
      </c>
      <c r="AI67" s="325">
        <f t="shared" si="43"/>
        <v>2031</v>
      </c>
      <c r="AJ67" s="325">
        <f t="shared" si="43"/>
        <v>2032</v>
      </c>
      <c r="AK67" s="325">
        <f t="shared" si="43"/>
        <v>2033</v>
      </c>
      <c r="AL67" s="325">
        <f t="shared" si="43"/>
        <v>2034</v>
      </c>
      <c r="AM67" s="325">
        <f t="shared" si="43"/>
        <v>2035</v>
      </c>
      <c r="AN67" s="325">
        <f t="shared" si="43"/>
        <v>2036</v>
      </c>
      <c r="AO67" s="325">
        <f t="shared" si="43"/>
        <v>2037</v>
      </c>
      <c r="AP67" s="325">
        <f t="shared" si="43"/>
        <v>2038</v>
      </c>
      <c r="AQ67" s="325">
        <f t="shared" si="43"/>
        <v>2039</v>
      </c>
      <c r="AR67" s="325">
        <f t="shared" si="43"/>
        <v>2040</v>
      </c>
      <c r="AS67" s="325">
        <f t="shared" si="43"/>
        <v>2041</v>
      </c>
      <c r="AT67" s="325">
        <f t="shared" si="43"/>
        <v>2042</v>
      </c>
      <c r="AU67" s="325">
        <f t="shared" si="43"/>
        <v>2043</v>
      </c>
    </row>
    <row r="68" spans="1:47" s="28" customFormat="1">
      <c r="E68" s="254"/>
      <c r="G68" s="36"/>
      <c r="L68" s="43"/>
      <c r="N68" s="189"/>
      <c r="O68" s="189"/>
      <c r="P68" s="190"/>
      <c r="Q68" s="189"/>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row>
    <row r="69" spans="1:47" s="28" customFormat="1">
      <c r="E69" s="254"/>
      <c r="G69" s="36" t="s">
        <v>315</v>
      </c>
      <c r="L69" s="43" t="s">
        <v>12</v>
      </c>
      <c r="N69" s="189">
        <f t="shared" ref="N69:N87" ca="1" si="44">NPV(DiscountRt,R69:AU69)</f>
        <v>2171848.6737827016</v>
      </c>
      <c r="O69" s="189"/>
      <c r="P69" s="320"/>
      <c r="Q69" s="189"/>
      <c r="R69" s="190">
        <f t="shared" ref="R69:AU69" ca="1" si="45">R113</f>
        <v>158039.20483090539</v>
      </c>
      <c r="S69" s="190">
        <f t="shared" ca="1" si="45"/>
        <v>161052.33384747375</v>
      </c>
      <c r="T69" s="190">
        <f t="shared" ca="1" si="45"/>
        <v>164522.79604354521</v>
      </c>
      <c r="U69" s="190">
        <f t="shared" ca="1" si="45"/>
        <v>167925.8020998381</v>
      </c>
      <c r="V69" s="190">
        <f t="shared" ca="1" si="45"/>
        <v>192309.75584695247</v>
      </c>
      <c r="W69" s="190">
        <f t="shared" ca="1" si="45"/>
        <v>174673.28270468564</v>
      </c>
      <c r="X69" s="190">
        <f t="shared" ca="1" si="45"/>
        <v>178121.9163680677</v>
      </c>
      <c r="Y69" s="190">
        <f t="shared" ca="1" si="45"/>
        <v>181741.044468771</v>
      </c>
      <c r="Z69" s="190">
        <f t="shared" ca="1" si="45"/>
        <v>185425.21900320292</v>
      </c>
      <c r="AA69" s="190">
        <f t="shared" ca="1" si="45"/>
        <v>212358.7687348082</v>
      </c>
      <c r="AB69" s="190">
        <f t="shared" ca="1" si="45"/>
        <v>193003.64970617247</v>
      </c>
      <c r="AC69" s="190">
        <f t="shared" ca="1" si="45"/>
        <v>196853.73610716214</v>
      </c>
      <c r="AD69" s="190">
        <f t="shared" ca="1" si="45"/>
        <v>200833.24058851317</v>
      </c>
      <c r="AE69" s="190">
        <f t="shared" ca="1" si="45"/>
        <v>204889.00007389652</v>
      </c>
      <c r="AF69" s="190">
        <f t="shared" ca="1" si="45"/>
        <v>234612.37186639733</v>
      </c>
      <c r="AG69" s="190">
        <f t="shared" ca="1" si="45"/>
        <v>213309.92043740812</v>
      </c>
      <c r="AH69" s="190">
        <f t="shared" ca="1" si="45"/>
        <v>217643.93512225634</v>
      </c>
      <c r="AI69" s="190">
        <f t="shared" ca="1" si="45"/>
        <v>222088.39777252777</v>
      </c>
      <c r="AJ69" s="190">
        <f t="shared" ca="1" si="45"/>
        <v>226637.20254408091</v>
      </c>
      <c r="AK69" s="190">
        <f t="shared" ca="1" si="45"/>
        <v>259519.90834204492</v>
      </c>
      <c r="AL69" s="190">
        <f t="shared" si="45"/>
        <v>0</v>
      </c>
      <c r="AM69" s="190">
        <f t="shared" si="45"/>
        <v>0</v>
      </c>
      <c r="AN69" s="190">
        <f t="shared" si="45"/>
        <v>0</v>
      </c>
      <c r="AO69" s="190">
        <f t="shared" si="45"/>
        <v>0</v>
      </c>
      <c r="AP69" s="190">
        <f t="shared" si="45"/>
        <v>0</v>
      </c>
      <c r="AQ69" s="190">
        <f t="shared" si="45"/>
        <v>0</v>
      </c>
      <c r="AR69" s="190">
        <f t="shared" si="45"/>
        <v>0</v>
      </c>
      <c r="AS69" s="190">
        <f t="shared" si="45"/>
        <v>0</v>
      </c>
      <c r="AT69" s="190">
        <f t="shared" si="45"/>
        <v>0</v>
      </c>
      <c r="AU69" s="190">
        <f t="shared" si="45"/>
        <v>0</v>
      </c>
    </row>
    <row r="70" spans="1:47" s="28" customFormat="1">
      <c r="E70" s="254"/>
      <c r="G70" s="36" t="s">
        <v>153</v>
      </c>
      <c r="L70" s="43" t="s">
        <v>12</v>
      </c>
      <c r="N70" s="189">
        <f t="shared" ca="1" si="44"/>
        <v>0</v>
      </c>
      <c r="O70" s="189"/>
      <c r="P70" s="320"/>
      <c r="Q70" s="189"/>
      <c r="R70" s="190">
        <f t="shared" ref="R70:AU70" ca="1" si="46">R134</f>
        <v>0</v>
      </c>
      <c r="S70" s="190">
        <f t="shared" ca="1" si="46"/>
        <v>0</v>
      </c>
      <c r="T70" s="190">
        <f t="shared" ca="1" si="46"/>
        <v>0</v>
      </c>
      <c r="U70" s="190">
        <f t="shared" ca="1" si="46"/>
        <v>0</v>
      </c>
      <c r="V70" s="190">
        <f t="shared" ca="1" si="46"/>
        <v>0</v>
      </c>
      <c r="W70" s="190">
        <f t="shared" ca="1" si="46"/>
        <v>0</v>
      </c>
      <c r="X70" s="190">
        <f t="shared" ca="1" si="46"/>
        <v>0</v>
      </c>
      <c r="Y70" s="190">
        <f t="shared" ca="1" si="46"/>
        <v>0</v>
      </c>
      <c r="Z70" s="190">
        <f t="shared" ca="1" si="46"/>
        <v>0</v>
      </c>
      <c r="AA70" s="190">
        <f t="shared" ca="1" si="46"/>
        <v>0</v>
      </c>
      <c r="AB70" s="190">
        <f t="shared" ca="1" si="46"/>
        <v>0</v>
      </c>
      <c r="AC70" s="190">
        <f t="shared" ca="1" si="46"/>
        <v>0</v>
      </c>
      <c r="AD70" s="190">
        <f t="shared" ca="1" si="46"/>
        <v>0</v>
      </c>
      <c r="AE70" s="190">
        <f t="shared" ca="1" si="46"/>
        <v>0</v>
      </c>
      <c r="AF70" s="190">
        <f t="shared" ca="1" si="46"/>
        <v>0</v>
      </c>
      <c r="AG70" s="190">
        <f t="shared" ca="1" si="46"/>
        <v>0</v>
      </c>
      <c r="AH70" s="190">
        <f t="shared" ca="1" si="46"/>
        <v>0</v>
      </c>
      <c r="AI70" s="190">
        <f t="shared" ca="1" si="46"/>
        <v>0</v>
      </c>
      <c r="AJ70" s="190">
        <f t="shared" ca="1" si="46"/>
        <v>0</v>
      </c>
      <c r="AK70" s="190">
        <f t="shared" ca="1" si="46"/>
        <v>0</v>
      </c>
      <c r="AL70" s="190">
        <f t="shared" si="46"/>
        <v>0</v>
      </c>
      <c r="AM70" s="190">
        <f t="shared" si="46"/>
        <v>0</v>
      </c>
      <c r="AN70" s="190">
        <f t="shared" si="46"/>
        <v>0</v>
      </c>
      <c r="AO70" s="190">
        <f t="shared" si="46"/>
        <v>0</v>
      </c>
      <c r="AP70" s="190">
        <f t="shared" si="46"/>
        <v>0</v>
      </c>
      <c r="AQ70" s="190">
        <f t="shared" si="46"/>
        <v>0</v>
      </c>
      <c r="AR70" s="190">
        <f t="shared" si="46"/>
        <v>0</v>
      </c>
      <c r="AS70" s="190">
        <f t="shared" si="46"/>
        <v>0</v>
      </c>
      <c r="AT70" s="190">
        <f t="shared" si="46"/>
        <v>0</v>
      </c>
      <c r="AU70" s="190">
        <f t="shared" si="46"/>
        <v>0</v>
      </c>
    </row>
    <row r="71" spans="1:47" s="28" customFormat="1">
      <c r="E71" s="254"/>
      <c r="G71" s="36" t="s">
        <v>143</v>
      </c>
      <c r="L71" s="43" t="s">
        <v>12</v>
      </c>
      <c r="N71" s="189">
        <f t="shared" ca="1" si="44"/>
        <v>4214431.4432330104</v>
      </c>
      <c r="O71" s="189"/>
      <c r="P71" s="320"/>
      <c r="Q71" s="189"/>
      <c r="R71" s="190">
        <f t="shared" ref="R71:AU71" ca="1" si="47">R155</f>
        <v>314065.25475647952</v>
      </c>
      <c r="S71" s="190">
        <f t="shared" ca="1" si="47"/>
        <v>320317.67429313832</v>
      </c>
      <c r="T71" s="190">
        <f t="shared" ca="1" si="47"/>
        <v>326772.820590997</v>
      </c>
      <c r="U71" s="190">
        <f t="shared" ca="1" si="47"/>
        <v>333330.29502967064</v>
      </c>
      <c r="V71" s="190">
        <f t="shared" ca="1" si="47"/>
        <v>340006.2720189917</v>
      </c>
      <c r="W71" s="190">
        <f t="shared" ca="1" si="47"/>
        <v>346789.65511408163</v>
      </c>
      <c r="X71" s="190">
        <f t="shared" ca="1" si="47"/>
        <v>353716.67779621499</v>
      </c>
      <c r="Y71" s="190">
        <f t="shared" ca="1" si="47"/>
        <v>360802.10149385338</v>
      </c>
      <c r="Z71" s="190">
        <f t="shared" ca="1" si="47"/>
        <v>368027.79850884539</v>
      </c>
      <c r="AA71" s="190">
        <f t="shared" ca="1" si="47"/>
        <v>375400.90432286024</v>
      </c>
      <c r="AB71" s="190">
        <f t="shared" ca="1" si="47"/>
        <v>382913.1905280003</v>
      </c>
      <c r="AC71" s="190">
        <f t="shared" ca="1" si="47"/>
        <v>390569.50067519984</v>
      </c>
      <c r="AD71" s="190">
        <f t="shared" ca="1" si="47"/>
        <v>398389.19116363546</v>
      </c>
      <c r="AE71" s="190">
        <f t="shared" ca="1" si="47"/>
        <v>406364.6230236718</v>
      </c>
      <c r="AF71" s="190">
        <f t="shared" ca="1" si="47"/>
        <v>414502.49769367953</v>
      </c>
      <c r="AG71" s="190">
        <f t="shared" ca="1" si="47"/>
        <v>422809.80786818679</v>
      </c>
      <c r="AH71" s="190">
        <f t="shared" ca="1" si="47"/>
        <v>431279.27082956367</v>
      </c>
      <c r="AI71" s="190">
        <f t="shared" ca="1" si="47"/>
        <v>439922.77268681524</v>
      </c>
      <c r="AJ71" s="190">
        <f t="shared" ca="1" si="47"/>
        <v>448742.1676043953</v>
      </c>
      <c r="AK71" s="190">
        <f t="shared" ca="1" si="47"/>
        <v>457739.89191837702</v>
      </c>
      <c r="AL71" s="190">
        <f t="shared" si="47"/>
        <v>0</v>
      </c>
      <c r="AM71" s="190">
        <f t="shared" si="47"/>
        <v>0</v>
      </c>
      <c r="AN71" s="190">
        <f t="shared" si="47"/>
        <v>0</v>
      </c>
      <c r="AO71" s="190">
        <f t="shared" si="47"/>
        <v>0</v>
      </c>
      <c r="AP71" s="190">
        <f t="shared" si="47"/>
        <v>0</v>
      </c>
      <c r="AQ71" s="190">
        <f t="shared" si="47"/>
        <v>0</v>
      </c>
      <c r="AR71" s="190">
        <f t="shared" si="47"/>
        <v>0</v>
      </c>
      <c r="AS71" s="190">
        <f t="shared" si="47"/>
        <v>0</v>
      </c>
      <c r="AT71" s="190">
        <f t="shared" si="47"/>
        <v>0</v>
      </c>
      <c r="AU71" s="190">
        <f t="shared" si="47"/>
        <v>0</v>
      </c>
    </row>
    <row r="72" spans="1:47" s="28" customFormat="1">
      <c r="E72" s="254"/>
      <c r="G72" s="36" t="s">
        <v>316</v>
      </c>
      <c r="L72" s="43" t="s">
        <v>12</v>
      </c>
      <c r="N72" s="189">
        <f t="shared" ca="1" si="44"/>
        <v>14570.305608299223</v>
      </c>
      <c r="O72" s="189"/>
      <c r="P72" s="320"/>
      <c r="Q72" s="189"/>
      <c r="R72" s="190">
        <f t="shared" ref="R72:AU72" ca="1" si="48">R176</f>
        <v>1061.0749661113664</v>
      </c>
      <c r="S72" s="190">
        <f t="shared" ca="1" si="48"/>
        <v>1067.6892101035248</v>
      </c>
      <c r="T72" s="190">
        <f t="shared" ca="1" si="48"/>
        <v>1113.7172294884872</v>
      </c>
      <c r="U72" s="190">
        <f t="shared" ca="1" si="48"/>
        <v>1147.1259594647156</v>
      </c>
      <c r="V72" s="190">
        <f t="shared" ca="1" si="48"/>
        <v>1174.8073825565737</v>
      </c>
      <c r="W72" s="190">
        <f t="shared" ca="1" si="48"/>
        <v>1189.837025649</v>
      </c>
      <c r="X72" s="190">
        <f t="shared" ca="1" si="48"/>
        <v>1209.198616791849</v>
      </c>
      <c r="Y72" s="190">
        <f t="shared" ca="1" si="48"/>
        <v>1238.9908079138625</v>
      </c>
      <c r="Z72" s="190">
        <f t="shared" ca="1" si="48"/>
        <v>1268.6530926913447</v>
      </c>
      <c r="AA72" s="190">
        <f t="shared" ca="1" si="48"/>
        <v>1300.3725360243311</v>
      </c>
      <c r="AB72" s="190">
        <f t="shared" ca="1" si="48"/>
        <v>1328.5383490088843</v>
      </c>
      <c r="AC72" s="190">
        <f t="shared" ca="1" si="48"/>
        <v>1354.1211600329689</v>
      </c>
      <c r="AD72" s="190">
        <f t="shared" ca="1" si="48"/>
        <v>1385.401084099379</v>
      </c>
      <c r="AE72" s="190">
        <f t="shared" ca="1" si="48"/>
        <v>1416.9766725411378</v>
      </c>
      <c r="AF72" s="190">
        <f t="shared" ca="1" si="48"/>
        <v>1450.6675664920981</v>
      </c>
      <c r="AG72" s="190">
        <f t="shared" ca="1" si="48"/>
        <v>1488.4093088656859</v>
      </c>
      <c r="AH72" s="190">
        <f t="shared" ca="1" si="48"/>
        <v>1524.886439023755</v>
      </c>
      <c r="AI72" s="190">
        <f t="shared" ca="1" si="48"/>
        <v>1564.4444054173453</v>
      </c>
      <c r="AJ72" s="190">
        <f t="shared" ca="1" si="48"/>
        <v>1606.3222560050128</v>
      </c>
      <c r="AK72" s="190">
        <f t="shared" ca="1" si="48"/>
        <v>1650.0194676352328</v>
      </c>
      <c r="AL72" s="190">
        <f t="shared" si="48"/>
        <v>0</v>
      </c>
      <c r="AM72" s="190">
        <f t="shared" si="48"/>
        <v>0</v>
      </c>
      <c r="AN72" s="190">
        <f t="shared" si="48"/>
        <v>0</v>
      </c>
      <c r="AO72" s="190">
        <f t="shared" si="48"/>
        <v>0</v>
      </c>
      <c r="AP72" s="190">
        <f t="shared" si="48"/>
        <v>0</v>
      </c>
      <c r="AQ72" s="190">
        <f t="shared" si="48"/>
        <v>0</v>
      </c>
      <c r="AR72" s="190">
        <f t="shared" si="48"/>
        <v>0</v>
      </c>
      <c r="AS72" s="190">
        <f t="shared" si="48"/>
        <v>0</v>
      </c>
      <c r="AT72" s="190">
        <f t="shared" si="48"/>
        <v>0</v>
      </c>
      <c r="AU72" s="190">
        <f t="shared" si="48"/>
        <v>0</v>
      </c>
    </row>
    <row r="73" spans="1:47" s="28" customFormat="1">
      <c r="E73" s="254"/>
      <c r="G73" s="36" t="s">
        <v>317</v>
      </c>
      <c r="L73" s="43" t="s">
        <v>12</v>
      </c>
      <c r="N73" s="189">
        <f t="shared" ca="1" si="44"/>
        <v>981400.0297626789</v>
      </c>
      <c r="O73" s="189"/>
      <c r="P73" s="320"/>
      <c r="Q73" s="189"/>
      <c r="R73" s="190">
        <f t="shared" ref="R73:AU73" ca="1" si="49">R197</f>
        <v>73146.75</v>
      </c>
      <c r="S73" s="190">
        <f t="shared" ca="1" si="49"/>
        <v>74609.684999999998</v>
      </c>
      <c r="T73" s="190">
        <f t="shared" ca="1" si="49"/>
        <v>76101.878700000001</v>
      </c>
      <c r="U73" s="190">
        <f t="shared" ca="1" si="49"/>
        <v>77623.916274000003</v>
      </c>
      <c r="V73" s="190">
        <f t="shared" ca="1" si="49"/>
        <v>79176.394599480001</v>
      </c>
      <c r="W73" s="190">
        <f t="shared" ca="1" si="49"/>
        <v>80759.92249146961</v>
      </c>
      <c r="X73" s="190">
        <f t="shared" ca="1" si="49"/>
        <v>82375.120941298985</v>
      </c>
      <c r="Y73" s="190">
        <f t="shared" ca="1" si="49"/>
        <v>84022.62336012497</v>
      </c>
      <c r="Z73" s="190">
        <f t="shared" ca="1" si="49"/>
        <v>85703.07582732747</v>
      </c>
      <c r="AA73" s="190">
        <f t="shared" ca="1" si="49"/>
        <v>87417.137343874027</v>
      </c>
      <c r="AB73" s="190">
        <f t="shared" ca="1" si="49"/>
        <v>89165.480090751487</v>
      </c>
      <c r="AC73" s="190">
        <f t="shared" ca="1" si="49"/>
        <v>90948.789692566526</v>
      </c>
      <c r="AD73" s="190">
        <f t="shared" ca="1" si="49"/>
        <v>92767.765486417848</v>
      </c>
      <c r="AE73" s="190">
        <f t="shared" ca="1" si="49"/>
        <v>94623.120796146221</v>
      </c>
      <c r="AF73" s="190">
        <f t="shared" ca="1" si="49"/>
        <v>96515.583212069119</v>
      </c>
      <c r="AG73" s="190">
        <f t="shared" ca="1" si="49"/>
        <v>98445.894876310515</v>
      </c>
      <c r="AH73" s="190">
        <f t="shared" ca="1" si="49"/>
        <v>100414.81277383673</v>
      </c>
      <c r="AI73" s="190">
        <f t="shared" ca="1" si="49"/>
        <v>102423.10902931346</v>
      </c>
      <c r="AJ73" s="190">
        <f t="shared" ca="1" si="49"/>
        <v>104471.57120989973</v>
      </c>
      <c r="AK73" s="190">
        <f t="shared" ca="1" si="49"/>
        <v>106561.00263409773</v>
      </c>
      <c r="AL73" s="190">
        <f t="shared" si="49"/>
        <v>0</v>
      </c>
      <c r="AM73" s="190">
        <f t="shared" si="49"/>
        <v>0</v>
      </c>
      <c r="AN73" s="190">
        <f t="shared" si="49"/>
        <v>0</v>
      </c>
      <c r="AO73" s="190">
        <f t="shared" si="49"/>
        <v>0</v>
      </c>
      <c r="AP73" s="190">
        <f t="shared" si="49"/>
        <v>0</v>
      </c>
      <c r="AQ73" s="190">
        <f t="shared" si="49"/>
        <v>0</v>
      </c>
      <c r="AR73" s="190">
        <f t="shared" si="49"/>
        <v>0</v>
      </c>
      <c r="AS73" s="190">
        <f t="shared" si="49"/>
        <v>0</v>
      </c>
      <c r="AT73" s="190">
        <f t="shared" si="49"/>
        <v>0</v>
      </c>
      <c r="AU73" s="190">
        <f t="shared" si="49"/>
        <v>0</v>
      </c>
    </row>
    <row r="74" spans="1:47" s="28" customFormat="1">
      <c r="E74" s="254"/>
      <c r="G74" s="36" t="s">
        <v>318</v>
      </c>
      <c r="L74" s="43" t="s">
        <v>12</v>
      </c>
      <c r="N74" s="189">
        <f t="shared" ca="1" si="44"/>
        <v>-1296473.199682117</v>
      </c>
      <c r="O74" s="189"/>
      <c r="P74" s="320"/>
      <c r="Q74" s="189"/>
      <c r="R74" s="190">
        <f t="shared" ref="R74:AU74" ca="1" si="50">R218</f>
        <v>-92869.422147803503</v>
      </c>
      <c r="S74" s="190">
        <f t="shared" ca="1" si="50"/>
        <v>-92520.16374174977</v>
      </c>
      <c r="T74" s="190">
        <f t="shared" ca="1" si="50"/>
        <v>-98097.983433136062</v>
      </c>
      <c r="U74" s="190">
        <f t="shared" ca="1" si="50"/>
        <v>-101741.96041946097</v>
      </c>
      <c r="V74" s="190">
        <f t="shared" ca="1" si="50"/>
        <v>-104492.68273717238</v>
      </c>
      <c r="W74" s="190">
        <f t="shared" ca="1" si="50"/>
        <v>-105303.54282437437</v>
      </c>
      <c r="X74" s="190">
        <f t="shared" ca="1" si="50"/>
        <v>-106739.61728788166</v>
      </c>
      <c r="Y74" s="190">
        <f t="shared" ca="1" si="50"/>
        <v>-109721.61590432034</v>
      </c>
      <c r="Z74" s="190">
        <f t="shared" ca="1" si="50"/>
        <v>-112653.61895356115</v>
      </c>
      <c r="AA74" s="190">
        <f t="shared" ca="1" si="50"/>
        <v>-115865.40824263079</v>
      </c>
      <c r="AB74" s="190">
        <f t="shared" ca="1" si="50"/>
        <v>-118508.76967220727</v>
      </c>
      <c r="AC74" s="190">
        <f t="shared" ca="1" si="50"/>
        <v>-120729.69937587521</v>
      </c>
      <c r="AD74" s="190">
        <f t="shared" ca="1" si="50"/>
        <v>-123778.38935540689</v>
      </c>
      <c r="AE74" s="190">
        <f t="shared" ca="1" si="50"/>
        <v>-126838.21159764298</v>
      </c>
      <c r="AF74" s="190">
        <f t="shared" ca="1" si="50"/>
        <v>-130183.37977124781</v>
      </c>
      <c r="AG74" s="190">
        <f t="shared" ca="1" si="50"/>
        <v>-134105.60284875293</v>
      </c>
      <c r="AH74" s="190">
        <f t="shared" ca="1" si="50"/>
        <v>-137801.20236526753</v>
      </c>
      <c r="AI74" s="190">
        <f t="shared" ca="1" si="50"/>
        <v>-141925.91233805992</v>
      </c>
      <c r="AJ74" s="190">
        <f t="shared" ca="1" si="50"/>
        <v>-146364.05352296319</v>
      </c>
      <c r="AK74" s="190">
        <f t="shared" ca="1" si="50"/>
        <v>-151039.27387997854</v>
      </c>
      <c r="AL74" s="190">
        <f t="shared" si="50"/>
        <v>0</v>
      </c>
      <c r="AM74" s="190">
        <f t="shared" si="50"/>
        <v>0</v>
      </c>
      <c r="AN74" s="190">
        <f t="shared" si="50"/>
        <v>0</v>
      </c>
      <c r="AO74" s="190">
        <f t="shared" si="50"/>
        <v>0</v>
      </c>
      <c r="AP74" s="190">
        <f t="shared" si="50"/>
        <v>0</v>
      </c>
      <c r="AQ74" s="190">
        <f t="shared" si="50"/>
        <v>0</v>
      </c>
      <c r="AR74" s="190">
        <f t="shared" si="50"/>
        <v>0</v>
      </c>
      <c r="AS74" s="190">
        <f t="shared" si="50"/>
        <v>0</v>
      </c>
      <c r="AT74" s="190">
        <f t="shared" si="50"/>
        <v>0</v>
      </c>
      <c r="AU74" s="190">
        <f t="shared" si="50"/>
        <v>0</v>
      </c>
    </row>
    <row r="75" spans="1:47" s="28" customFormat="1">
      <c r="E75" s="254"/>
      <c r="G75" s="36" t="s">
        <v>319</v>
      </c>
      <c r="L75" s="43" t="s">
        <v>12</v>
      </c>
      <c r="N75" s="189">
        <f t="shared" ca="1" si="44"/>
        <v>0</v>
      </c>
      <c r="O75" s="189"/>
      <c r="P75" s="320"/>
      <c r="Q75" s="189"/>
      <c r="R75" s="190">
        <f t="shared" ref="R75:AU75" ca="1" si="51">R239</f>
        <v>0</v>
      </c>
      <c r="S75" s="190">
        <f t="shared" ca="1" si="51"/>
        <v>0</v>
      </c>
      <c r="T75" s="190">
        <f t="shared" ca="1" si="51"/>
        <v>0</v>
      </c>
      <c r="U75" s="190">
        <f t="shared" ca="1" si="51"/>
        <v>0</v>
      </c>
      <c r="V75" s="190">
        <f t="shared" ca="1" si="51"/>
        <v>0</v>
      </c>
      <c r="W75" s="190">
        <f t="shared" ca="1" si="51"/>
        <v>0</v>
      </c>
      <c r="X75" s="190">
        <f t="shared" ca="1" si="51"/>
        <v>0</v>
      </c>
      <c r="Y75" s="190">
        <f t="shared" ca="1" si="51"/>
        <v>0</v>
      </c>
      <c r="Z75" s="190">
        <f t="shared" ca="1" si="51"/>
        <v>0</v>
      </c>
      <c r="AA75" s="190">
        <f t="shared" ca="1" si="51"/>
        <v>0</v>
      </c>
      <c r="AB75" s="190">
        <f t="shared" ca="1" si="51"/>
        <v>0</v>
      </c>
      <c r="AC75" s="190">
        <f t="shared" ca="1" si="51"/>
        <v>0</v>
      </c>
      <c r="AD75" s="190">
        <f t="shared" ca="1" si="51"/>
        <v>0</v>
      </c>
      <c r="AE75" s="190">
        <f t="shared" ca="1" si="51"/>
        <v>0</v>
      </c>
      <c r="AF75" s="190">
        <f t="shared" ca="1" si="51"/>
        <v>0</v>
      </c>
      <c r="AG75" s="190">
        <f t="shared" ca="1" si="51"/>
        <v>0</v>
      </c>
      <c r="AH75" s="190">
        <f t="shared" ca="1" si="51"/>
        <v>0</v>
      </c>
      <c r="AI75" s="190">
        <f t="shared" ca="1" si="51"/>
        <v>0</v>
      </c>
      <c r="AJ75" s="190">
        <f t="shared" ca="1" si="51"/>
        <v>0</v>
      </c>
      <c r="AK75" s="190">
        <f t="shared" ca="1" si="51"/>
        <v>0</v>
      </c>
      <c r="AL75" s="190">
        <f t="shared" si="51"/>
        <v>0</v>
      </c>
      <c r="AM75" s="190">
        <f t="shared" si="51"/>
        <v>0</v>
      </c>
      <c r="AN75" s="190">
        <f t="shared" si="51"/>
        <v>0</v>
      </c>
      <c r="AO75" s="190">
        <f t="shared" si="51"/>
        <v>0</v>
      </c>
      <c r="AP75" s="190">
        <f t="shared" si="51"/>
        <v>0</v>
      </c>
      <c r="AQ75" s="190">
        <f t="shared" si="51"/>
        <v>0</v>
      </c>
      <c r="AR75" s="190">
        <f t="shared" si="51"/>
        <v>0</v>
      </c>
      <c r="AS75" s="190">
        <f t="shared" si="51"/>
        <v>0</v>
      </c>
      <c r="AT75" s="190">
        <f t="shared" si="51"/>
        <v>0</v>
      </c>
      <c r="AU75" s="190">
        <f t="shared" si="51"/>
        <v>0</v>
      </c>
    </row>
    <row r="76" spans="1:47" s="28" customFormat="1">
      <c r="E76" s="254"/>
      <c r="G76" s="36" t="s">
        <v>320</v>
      </c>
      <c r="L76" s="43" t="s">
        <v>12</v>
      </c>
      <c r="N76" s="189">
        <f t="shared" ca="1" si="44"/>
        <v>0</v>
      </c>
      <c r="O76" s="189"/>
      <c r="P76" s="320"/>
      <c r="Q76" s="189"/>
      <c r="R76" s="190">
        <f t="shared" ref="R76:AU76" ca="1" si="52">R260</f>
        <v>0</v>
      </c>
      <c r="S76" s="190">
        <f t="shared" ca="1" si="52"/>
        <v>0</v>
      </c>
      <c r="T76" s="190">
        <f t="shared" ca="1" si="52"/>
        <v>0</v>
      </c>
      <c r="U76" s="190">
        <f t="shared" ca="1" si="52"/>
        <v>0</v>
      </c>
      <c r="V76" s="190">
        <f t="shared" ca="1" si="52"/>
        <v>0</v>
      </c>
      <c r="W76" s="190">
        <f t="shared" ca="1" si="52"/>
        <v>0</v>
      </c>
      <c r="X76" s="190">
        <f t="shared" ca="1" si="52"/>
        <v>0</v>
      </c>
      <c r="Y76" s="190">
        <f t="shared" ca="1" si="52"/>
        <v>0</v>
      </c>
      <c r="Z76" s="190">
        <f t="shared" ca="1" si="52"/>
        <v>0</v>
      </c>
      <c r="AA76" s="190">
        <f t="shared" ca="1" si="52"/>
        <v>0</v>
      </c>
      <c r="AB76" s="190">
        <f t="shared" ca="1" si="52"/>
        <v>0</v>
      </c>
      <c r="AC76" s="190">
        <f t="shared" ca="1" si="52"/>
        <v>0</v>
      </c>
      <c r="AD76" s="190">
        <f t="shared" ca="1" si="52"/>
        <v>0</v>
      </c>
      <c r="AE76" s="190">
        <f t="shared" ca="1" si="52"/>
        <v>0</v>
      </c>
      <c r="AF76" s="190">
        <f t="shared" ca="1" si="52"/>
        <v>0</v>
      </c>
      <c r="AG76" s="190">
        <f t="shared" ca="1" si="52"/>
        <v>0</v>
      </c>
      <c r="AH76" s="190">
        <f t="shared" ca="1" si="52"/>
        <v>0</v>
      </c>
      <c r="AI76" s="190">
        <f t="shared" ca="1" si="52"/>
        <v>0</v>
      </c>
      <c r="AJ76" s="190">
        <f t="shared" ca="1" si="52"/>
        <v>0</v>
      </c>
      <c r="AK76" s="190">
        <f t="shared" ca="1" si="52"/>
        <v>0</v>
      </c>
      <c r="AL76" s="190">
        <f t="shared" si="52"/>
        <v>0</v>
      </c>
      <c r="AM76" s="190">
        <f t="shared" si="52"/>
        <v>0</v>
      </c>
      <c r="AN76" s="190">
        <f t="shared" si="52"/>
        <v>0</v>
      </c>
      <c r="AO76" s="190">
        <f t="shared" si="52"/>
        <v>0</v>
      </c>
      <c r="AP76" s="190">
        <f t="shared" si="52"/>
        <v>0</v>
      </c>
      <c r="AQ76" s="190">
        <f t="shared" si="52"/>
        <v>0</v>
      </c>
      <c r="AR76" s="190">
        <f t="shared" si="52"/>
        <v>0</v>
      </c>
      <c r="AS76" s="190">
        <f t="shared" si="52"/>
        <v>0</v>
      </c>
      <c r="AT76" s="190">
        <f t="shared" si="52"/>
        <v>0</v>
      </c>
      <c r="AU76" s="190">
        <f t="shared" si="52"/>
        <v>0</v>
      </c>
    </row>
    <row r="77" spans="1:47" s="28" customFormat="1">
      <c r="E77" s="254"/>
      <c r="G77" s="36" t="s">
        <v>321</v>
      </c>
      <c r="L77" s="43" t="s">
        <v>12</v>
      </c>
      <c r="N77" s="189">
        <f t="shared" ca="1" si="44"/>
        <v>0</v>
      </c>
      <c r="O77" s="189"/>
      <c r="P77" s="320"/>
      <c r="Q77" s="189"/>
      <c r="R77" s="190">
        <f t="shared" ref="R77:AU77" ca="1" si="53">R281</f>
        <v>0</v>
      </c>
      <c r="S77" s="190">
        <f t="shared" ca="1" si="53"/>
        <v>0</v>
      </c>
      <c r="T77" s="190">
        <f t="shared" ca="1" si="53"/>
        <v>0</v>
      </c>
      <c r="U77" s="190">
        <f t="shared" ca="1" si="53"/>
        <v>0</v>
      </c>
      <c r="V77" s="190">
        <f t="shared" ca="1" si="53"/>
        <v>0</v>
      </c>
      <c r="W77" s="190">
        <f t="shared" ca="1" si="53"/>
        <v>0</v>
      </c>
      <c r="X77" s="190">
        <f t="shared" ca="1" si="53"/>
        <v>0</v>
      </c>
      <c r="Y77" s="190">
        <f t="shared" ca="1" si="53"/>
        <v>0</v>
      </c>
      <c r="Z77" s="190">
        <f t="shared" ca="1" si="53"/>
        <v>0</v>
      </c>
      <c r="AA77" s="190">
        <f t="shared" ca="1" si="53"/>
        <v>0</v>
      </c>
      <c r="AB77" s="190">
        <f t="shared" ca="1" si="53"/>
        <v>0</v>
      </c>
      <c r="AC77" s="190">
        <f t="shared" ca="1" si="53"/>
        <v>0</v>
      </c>
      <c r="AD77" s="190">
        <f t="shared" ca="1" si="53"/>
        <v>0</v>
      </c>
      <c r="AE77" s="190">
        <f t="shared" ca="1" si="53"/>
        <v>0</v>
      </c>
      <c r="AF77" s="190">
        <f t="shared" ca="1" si="53"/>
        <v>0</v>
      </c>
      <c r="AG77" s="190">
        <f t="shared" ca="1" si="53"/>
        <v>0</v>
      </c>
      <c r="AH77" s="190">
        <f t="shared" ca="1" si="53"/>
        <v>0</v>
      </c>
      <c r="AI77" s="190">
        <f t="shared" ca="1" si="53"/>
        <v>0</v>
      </c>
      <c r="AJ77" s="190">
        <f t="shared" ca="1" si="53"/>
        <v>0</v>
      </c>
      <c r="AK77" s="190">
        <f t="shared" ca="1" si="53"/>
        <v>0</v>
      </c>
      <c r="AL77" s="190">
        <f t="shared" si="53"/>
        <v>0</v>
      </c>
      <c r="AM77" s="190">
        <f t="shared" si="53"/>
        <v>0</v>
      </c>
      <c r="AN77" s="190">
        <f t="shared" si="53"/>
        <v>0</v>
      </c>
      <c r="AO77" s="190">
        <f t="shared" si="53"/>
        <v>0</v>
      </c>
      <c r="AP77" s="190">
        <f t="shared" si="53"/>
        <v>0</v>
      </c>
      <c r="AQ77" s="190">
        <f t="shared" si="53"/>
        <v>0</v>
      </c>
      <c r="AR77" s="190">
        <f t="shared" si="53"/>
        <v>0</v>
      </c>
      <c r="AS77" s="190">
        <f t="shared" si="53"/>
        <v>0</v>
      </c>
      <c r="AT77" s="190">
        <f t="shared" si="53"/>
        <v>0</v>
      </c>
      <c r="AU77" s="190">
        <f t="shared" si="53"/>
        <v>0</v>
      </c>
    </row>
    <row r="78" spans="1:47" s="28" customFormat="1">
      <c r="E78" s="254"/>
      <c r="G78" s="36" t="s">
        <v>160</v>
      </c>
      <c r="L78" s="43" t="s">
        <v>12</v>
      </c>
      <c r="N78" s="189">
        <f t="shared" ca="1" si="44"/>
        <v>0</v>
      </c>
      <c r="O78" s="189"/>
      <c r="P78" s="320"/>
      <c r="Q78" s="189"/>
      <c r="R78" s="190">
        <f t="shared" ref="R78:AU78" ca="1" si="54">R302</f>
        <v>0</v>
      </c>
      <c r="S78" s="190">
        <f t="shared" ca="1" si="54"/>
        <v>0</v>
      </c>
      <c r="T78" s="190">
        <f t="shared" ca="1" si="54"/>
        <v>0</v>
      </c>
      <c r="U78" s="190">
        <f t="shared" ca="1" si="54"/>
        <v>0</v>
      </c>
      <c r="V78" s="190">
        <f t="shared" ca="1" si="54"/>
        <v>0</v>
      </c>
      <c r="W78" s="190">
        <f t="shared" ca="1" si="54"/>
        <v>0</v>
      </c>
      <c r="X78" s="190">
        <f t="shared" ca="1" si="54"/>
        <v>0</v>
      </c>
      <c r="Y78" s="190">
        <f t="shared" ca="1" si="54"/>
        <v>0</v>
      </c>
      <c r="Z78" s="190">
        <f t="shared" ca="1" si="54"/>
        <v>0</v>
      </c>
      <c r="AA78" s="190">
        <f t="shared" ca="1" si="54"/>
        <v>0</v>
      </c>
      <c r="AB78" s="190">
        <f t="shared" ca="1" si="54"/>
        <v>0</v>
      </c>
      <c r="AC78" s="190">
        <f t="shared" ca="1" si="54"/>
        <v>0</v>
      </c>
      <c r="AD78" s="190">
        <f t="shared" ca="1" si="54"/>
        <v>0</v>
      </c>
      <c r="AE78" s="190">
        <f t="shared" ca="1" si="54"/>
        <v>0</v>
      </c>
      <c r="AF78" s="190">
        <f t="shared" ca="1" si="54"/>
        <v>0</v>
      </c>
      <c r="AG78" s="190">
        <f t="shared" ca="1" si="54"/>
        <v>0</v>
      </c>
      <c r="AH78" s="190">
        <f t="shared" ca="1" si="54"/>
        <v>0</v>
      </c>
      <c r="AI78" s="190">
        <f t="shared" ca="1" si="54"/>
        <v>0</v>
      </c>
      <c r="AJ78" s="190">
        <f t="shared" ca="1" si="54"/>
        <v>0</v>
      </c>
      <c r="AK78" s="190">
        <f t="shared" ca="1" si="54"/>
        <v>0</v>
      </c>
      <c r="AL78" s="190">
        <f t="shared" si="54"/>
        <v>0</v>
      </c>
      <c r="AM78" s="190">
        <f t="shared" si="54"/>
        <v>0</v>
      </c>
      <c r="AN78" s="190">
        <f t="shared" si="54"/>
        <v>0</v>
      </c>
      <c r="AO78" s="190">
        <f t="shared" si="54"/>
        <v>0</v>
      </c>
      <c r="AP78" s="190">
        <f t="shared" si="54"/>
        <v>0</v>
      </c>
      <c r="AQ78" s="190">
        <f t="shared" si="54"/>
        <v>0</v>
      </c>
      <c r="AR78" s="190">
        <f t="shared" si="54"/>
        <v>0</v>
      </c>
      <c r="AS78" s="190">
        <f t="shared" si="54"/>
        <v>0</v>
      </c>
      <c r="AT78" s="190">
        <f t="shared" si="54"/>
        <v>0</v>
      </c>
      <c r="AU78" s="190">
        <f t="shared" si="54"/>
        <v>0</v>
      </c>
    </row>
    <row r="79" spans="1:47" s="28" customFormat="1">
      <c r="E79" s="254"/>
      <c r="G79" s="36" t="s">
        <v>161</v>
      </c>
      <c r="L79" s="43" t="s">
        <v>12</v>
      </c>
      <c r="N79" s="189">
        <f t="shared" ca="1" si="44"/>
        <v>0</v>
      </c>
      <c r="O79" s="189"/>
      <c r="P79" s="320"/>
      <c r="Q79" s="189"/>
      <c r="R79" s="190">
        <f t="shared" ref="R79:AU79" ca="1" si="55">R323</f>
        <v>0</v>
      </c>
      <c r="S79" s="190">
        <f t="shared" ca="1" si="55"/>
        <v>0</v>
      </c>
      <c r="T79" s="190">
        <f t="shared" ca="1" si="55"/>
        <v>0</v>
      </c>
      <c r="U79" s="190">
        <f t="shared" ca="1" si="55"/>
        <v>0</v>
      </c>
      <c r="V79" s="190">
        <f t="shared" ca="1" si="55"/>
        <v>0</v>
      </c>
      <c r="W79" s="190">
        <f t="shared" ca="1" si="55"/>
        <v>0</v>
      </c>
      <c r="X79" s="190">
        <f t="shared" ca="1" si="55"/>
        <v>0</v>
      </c>
      <c r="Y79" s="190">
        <f t="shared" ca="1" si="55"/>
        <v>0</v>
      </c>
      <c r="Z79" s="190">
        <f t="shared" ca="1" si="55"/>
        <v>0</v>
      </c>
      <c r="AA79" s="190">
        <f t="shared" ca="1" si="55"/>
        <v>0</v>
      </c>
      <c r="AB79" s="190">
        <f t="shared" ca="1" si="55"/>
        <v>0</v>
      </c>
      <c r="AC79" s="190">
        <f t="shared" ca="1" si="55"/>
        <v>0</v>
      </c>
      <c r="AD79" s="190">
        <f t="shared" ca="1" si="55"/>
        <v>0</v>
      </c>
      <c r="AE79" s="190">
        <f t="shared" ca="1" si="55"/>
        <v>0</v>
      </c>
      <c r="AF79" s="190">
        <f t="shared" ca="1" si="55"/>
        <v>0</v>
      </c>
      <c r="AG79" s="190">
        <f t="shared" ca="1" si="55"/>
        <v>0</v>
      </c>
      <c r="AH79" s="190">
        <f t="shared" ca="1" si="55"/>
        <v>0</v>
      </c>
      <c r="AI79" s="190">
        <f t="shared" ca="1" si="55"/>
        <v>0</v>
      </c>
      <c r="AJ79" s="190">
        <f t="shared" ca="1" si="55"/>
        <v>0</v>
      </c>
      <c r="AK79" s="190">
        <f t="shared" ca="1" si="55"/>
        <v>0</v>
      </c>
      <c r="AL79" s="190">
        <f t="shared" si="55"/>
        <v>0</v>
      </c>
      <c r="AM79" s="190">
        <f t="shared" si="55"/>
        <v>0</v>
      </c>
      <c r="AN79" s="190">
        <f t="shared" si="55"/>
        <v>0</v>
      </c>
      <c r="AO79" s="190">
        <f t="shared" si="55"/>
        <v>0</v>
      </c>
      <c r="AP79" s="190">
        <f t="shared" si="55"/>
        <v>0</v>
      </c>
      <c r="AQ79" s="190">
        <f t="shared" si="55"/>
        <v>0</v>
      </c>
      <c r="AR79" s="190">
        <f t="shared" si="55"/>
        <v>0</v>
      </c>
      <c r="AS79" s="190">
        <f t="shared" si="55"/>
        <v>0</v>
      </c>
      <c r="AT79" s="190">
        <f t="shared" si="55"/>
        <v>0</v>
      </c>
      <c r="AU79" s="190">
        <f t="shared" si="55"/>
        <v>0</v>
      </c>
    </row>
    <row r="80" spans="1:47" s="28" customFormat="1">
      <c r="E80" s="254"/>
      <c r="G80" s="36" t="s">
        <v>162</v>
      </c>
      <c r="L80" s="43" t="s">
        <v>12</v>
      </c>
      <c r="N80" s="189">
        <f t="shared" ca="1" si="44"/>
        <v>1461601.3182997147</v>
      </c>
      <c r="O80" s="189"/>
      <c r="P80" s="320"/>
      <c r="Q80" s="189"/>
      <c r="R80" s="190">
        <f t="shared" ref="R80:AU80" ca="1" si="56">R344</f>
        <v>108640.6308038642</v>
      </c>
      <c r="S80" s="190">
        <f t="shared" ca="1" si="56"/>
        <v>110639.17877494777</v>
      </c>
      <c r="T80" s="190">
        <f t="shared" ca="1" si="56"/>
        <v>113146.32612635657</v>
      </c>
      <c r="U80" s="190">
        <f t="shared" ca="1" si="56"/>
        <v>115542.08593431277</v>
      </c>
      <c r="V80" s="190">
        <f t="shared" ca="1" si="56"/>
        <v>117909.46280539961</v>
      </c>
      <c r="W80" s="190">
        <f t="shared" ca="1" si="56"/>
        <v>120166.6466105915</v>
      </c>
      <c r="X80" s="190">
        <f t="shared" ca="1" si="56"/>
        <v>122517.06818382343</v>
      </c>
      <c r="Y80" s="190">
        <f t="shared" ca="1" si="56"/>
        <v>125034.31563175299</v>
      </c>
      <c r="Z80" s="190">
        <f t="shared" ca="1" si="56"/>
        <v>127593.24982473197</v>
      </c>
      <c r="AA80" s="190">
        <f t="shared" ca="1" si="56"/>
        <v>130220.82719089978</v>
      </c>
      <c r="AB80" s="190">
        <f t="shared" ca="1" si="56"/>
        <v>132850.99300966476</v>
      </c>
      <c r="AC80" s="190">
        <f t="shared" ca="1" si="56"/>
        <v>135496.22654928878</v>
      </c>
      <c r="AD80" s="190">
        <f t="shared" ca="1" si="56"/>
        <v>138256.22729115075</v>
      </c>
      <c r="AE80" s="190">
        <f t="shared" ca="1" si="56"/>
        <v>141067.49193195751</v>
      </c>
      <c r="AF80" s="190">
        <f t="shared" ca="1" si="56"/>
        <v>143952.68353393392</v>
      </c>
      <c r="AG80" s="190">
        <f t="shared" ca="1" si="56"/>
        <v>146935.86696288924</v>
      </c>
      <c r="AH80" s="190">
        <f t="shared" ca="1" si="56"/>
        <v>149954.62204467092</v>
      </c>
      <c r="AI80" s="190">
        <f t="shared" ca="1" si="56"/>
        <v>153061.80317543331</v>
      </c>
      <c r="AJ80" s="190">
        <f t="shared" ca="1" si="56"/>
        <v>156249.36562576919</v>
      </c>
      <c r="AK80" s="190">
        <f t="shared" ca="1" si="56"/>
        <v>159512.39225317491</v>
      </c>
      <c r="AL80" s="190">
        <f t="shared" si="56"/>
        <v>0</v>
      </c>
      <c r="AM80" s="190">
        <f t="shared" si="56"/>
        <v>0</v>
      </c>
      <c r="AN80" s="190">
        <f t="shared" si="56"/>
        <v>0</v>
      </c>
      <c r="AO80" s="190">
        <f t="shared" si="56"/>
        <v>0</v>
      </c>
      <c r="AP80" s="190">
        <f t="shared" si="56"/>
        <v>0</v>
      </c>
      <c r="AQ80" s="190">
        <f t="shared" si="56"/>
        <v>0</v>
      </c>
      <c r="AR80" s="190">
        <f t="shared" si="56"/>
        <v>0</v>
      </c>
      <c r="AS80" s="190">
        <f t="shared" si="56"/>
        <v>0</v>
      </c>
      <c r="AT80" s="190">
        <f t="shared" si="56"/>
        <v>0</v>
      </c>
      <c r="AU80" s="190">
        <f t="shared" si="56"/>
        <v>0</v>
      </c>
    </row>
    <row r="81" spans="1:47" s="28" customFormat="1">
      <c r="E81" s="254"/>
      <c r="G81" s="36" t="s">
        <v>135</v>
      </c>
      <c r="L81" s="43" t="s">
        <v>12</v>
      </c>
      <c r="N81" s="189">
        <f t="shared" ca="1" si="44"/>
        <v>3224056.4168166756</v>
      </c>
      <c r="O81" s="189"/>
      <c r="P81" s="320"/>
      <c r="Q81" s="189"/>
      <c r="R81" s="190">
        <f t="shared" ref="R81:AU81" ca="1" si="57">R365</f>
        <v>240211.41833814015</v>
      </c>
      <c r="S81" s="190">
        <f t="shared" ca="1" si="57"/>
        <v>244964.37461635243</v>
      </c>
      <c r="T81" s="190">
        <f t="shared" ca="1" si="57"/>
        <v>249950.26972541696</v>
      </c>
      <c r="U81" s="190">
        <f t="shared" ca="1" si="57"/>
        <v>254988.35728701219</v>
      </c>
      <c r="V81" s="190">
        <f t="shared" ca="1" si="57"/>
        <v>260104.75818735137</v>
      </c>
      <c r="W81" s="190">
        <f t="shared" ca="1" si="57"/>
        <v>265277.13555938203</v>
      </c>
      <c r="X81" s="190">
        <f t="shared" ca="1" si="57"/>
        <v>270567.11070732091</v>
      </c>
      <c r="Y81" s="190">
        <f t="shared" ca="1" si="57"/>
        <v>275998.13800834498</v>
      </c>
      <c r="Z81" s="190">
        <f t="shared" ca="1" si="57"/>
        <v>281535.23844138283</v>
      </c>
      <c r="AA81" s="190">
        <f t="shared" ca="1" si="57"/>
        <v>287188.21927958989</v>
      </c>
      <c r="AB81" s="190">
        <f t="shared" ca="1" si="57"/>
        <v>292939.55960868549</v>
      </c>
      <c r="AC81" s="190">
        <f t="shared" ca="1" si="57"/>
        <v>298794.88303336152</v>
      </c>
      <c r="AD81" s="190">
        <f t="shared" ca="1" si="57"/>
        <v>304785.51410090202</v>
      </c>
      <c r="AE81" s="190">
        <f t="shared" ca="1" si="57"/>
        <v>310894.79970702453</v>
      </c>
      <c r="AF81" s="190">
        <f t="shared" ca="1" si="57"/>
        <v>317131.47920451505</v>
      </c>
      <c r="AG81" s="190">
        <f t="shared" ca="1" si="57"/>
        <v>323504.74581304198</v>
      </c>
      <c r="AH81" s="190">
        <f t="shared" ca="1" si="57"/>
        <v>329998.38940850983</v>
      </c>
      <c r="AI81" s="190">
        <f t="shared" ca="1" si="57"/>
        <v>336630.15901671333</v>
      </c>
      <c r="AJ81" s="190">
        <f t="shared" ca="1" si="57"/>
        <v>343399.92990649265</v>
      </c>
      <c r="AK81" s="190">
        <f t="shared" ca="1" si="57"/>
        <v>350308.54238804546</v>
      </c>
      <c r="AL81" s="190">
        <f t="shared" si="57"/>
        <v>0</v>
      </c>
      <c r="AM81" s="190">
        <f t="shared" si="57"/>
        <v>0</v>
      </c>
      <c r="AN81" s="190">
        <f t="shared" si="57"/>
        <v>0</v>
      </c>
      <c r="AO81" s="190">
        <f t="shared" si="57"/>
        <v>0</v>
      </c>
      <c r="AP81" s="190">
        <f t="shared" si="57"/>
        <v>0</v>
      </c>
      <c r="AQ81" s="190">
        <f t="shared" si="57"/>
        <v>0</v>
      </c>
      <c r="AR81" s="190">
        <f t="shared" si="57"/>
        <v>0</v>
      </c>
      <c r="AS81" s="190">
        <f t="shared" si="57"/>
        <v>0</v>
      </c>
      <c r="AT81" s="190">
        <f t="shared" si="57"/>
        <v>0</v>
      </c>
      <c r="AU81" s="190">
        <f t="shared" si="57"/>
        <v>0</v>
      </c>
    </row>
    <row r="82" spans="1:47" s="28" customFormat="1">
      <c r="E82" s="254"/>
      <c r="G82" s="36" t="s">
        <v>29</v>
      </c>
      <c r="L82" s="43" t="s">
        <v>12</v>
      </c>
      <c r="N82" s="189">
        <f t="shared" ca="1" si="44"/>
        <v>843615.03914849437</v>
      </c>
      <c r="O82" s="189"/>
      <c r="P82" s="320"/>
      <c r="Q82" s="189"/>
      <c r="R82" s="190">
        <f t="shared" ref="R82:AU82" ca="1" si="58">R386</f>
        <v>62864.485070927294</v>
      </c>
      <c r="S82" s="190">
        <f t="shared" ca="1" si="58"/>
        <v>64114.306668586105</v>
      </c>
      <c r="T82" s="190">
        <f t="shared" ca="1" si="58"/>
        <v>65409.207748734225</v>
      </c>
      <c r="U82" s="190">
        <f t="shared" ca="1" si="58"/>
        <v>66723.084468361762</v>
      </c>
      <c r="V82" s="190">
        <f t="shared" ca="1" si="58"/>
        <v>68059.968969219044</v>
      </c>
      <c r="W82" s="190">
        <f t="shared" ca="1" si="58"/>
        <v>69416.839764410295</v>
      </c>
      <c r="X82" s="190">
        <f t="shared" ca="1" si="58"/>
        <v>70802.909045717402</v>
      </c>
      <c r="Y82" s="190">
        <f t="shared" ca="1" si="58"/>
        <v>72221.834483953964</v>
      </c>
      <c r="Z82" s="190">
        <f t="shared" ca="1" si="58"/>
        <v>73668.767384004415</v>
      </c>
      <c r="AA82" s="190">
        <f t="shared" ca="1" si="58"/>
        <v>75145.387381984241</v>
      </c>
      <c r="AB82" s="190">
        <f t="shared" ca="1" si="58"/>
        <v>76649.398613678582</v>
      </c>
      <c r="AC82" s="190">
        <f t="shared" ca="1" si="58"/>
        <v>78181.881483698293</v>
      </c>
      <c r="AD82" s="190">
        <f t="shared" ca="1" si="58"/>
        <v>79747.665127205022</v>
      </c>
      <c r="AE82" s="190">
        <f t="shared" ca="1" si="58"/>
        <v>81344.595761507022</v>
      </c>
      <c r="AF82" s="190">
        <f t="shared" ca="1" si="58"/>
        <v>82974.223612720161</v>
      </c>
      <c r="AG82" s="190">
        <f t="shared" ca="1" si="58"/>
        <v>84638.170561223364</v>
      </c>
      <c r="AH82" s="190">
        <f t="shared" ca="1" si="58"/>
        <v>86334.363986412427</v>
      </c>
      <c r="AI82" s="190">
        <f t="shared" ca="1" si="58"/>
        <v>88065.683402230148</v>
      </c>
      <c r="AJ82" s="190">
        <f t="shared" ca="1" si="58"/>
        <v>89832.410782071849</v>
      </c>
      <c r="AK82" s="190">
        <f t="shared" ca="1" si="58"/>
        <v>91634.974666531605</v>
      </c>
      <c r="AL82" s="190">
        <f t="shared" si="58"/>
        <v>0</v>
      </c>
      <c r="AM82" s="190">
        <f t="shared" si="58"/>
        <v>0</v>
      </c>
      <c r="AN82" s="190">
        <f t="shared" si="58"/>
        <v>0</v>
      </c>
      <c r="AO82" s="190">
        <f t="shared" si="58"/>
        <v>0</v>
      </c>
      <c r="AP82" s="190">
        <f t="shared" si="58"/>
        <v>0</v>
      </c>
      <c r="AQ82" s="190">
        <f t="shared" si="58"/>
        <v>0</v>
      </c>
      <c r="AR82" s="190">
        <f t="shared" si="58"/>
        <v>0</v>
      </c>
      <c r="AS82" s="190">
        <f t="shared" si="58"/>
        <v>0</v>
      </c>
      <c r="AT82" s="190">
        <f t="shared" si="58"/>
        <v>0</v>
      </c>
      <c r="AU82" s="190">
        <f t="shared" si="58"/>
        <v>0</v>
      </c>
    </row>
    <row r="83" spans="1:47" s="28" customFormat="1">
      <c r="E83" s="254"/>
      <c r="G83" s="36" t="s">
        <v>163</v>
      </c>
      <c r="L83" s="43" t="s">
        <v>12</v>
      </c>
      <c r="N83" s="189">
        <f t="shared" ca="1" si="44"/>
        <v>4820750.3711046409</v>
      </c>
      <c r="O83" s="189"/>
      <c r="P83" s="320"/>
      <c r="Q83" s="189"/>
      <c r="R83" s="190">
        <f t="shared" ref="R83:AU83" ca="1" si="59">R407</f>
        <v>359155.40752572956</v>
      </c>
      <c r="S83" s="190">
        <f t="shared" ca="1" si="59"/>
        <v>366250.56986387348</v>
      </c>
      <c r="T83" s="190">
        <f t="shared" ca="1" si="59"/>
        <v>373724.13727723685</v>
      </c>
      <c r="U83" s="190">
        <f t="shared" ca="1" si="59"/>
        <v>381265.6567484315</v>
      </c>
      <c r="V83" s="190">
        <f t="shared" ca="1" si="59"/>
        <v>388919.50137299486</v>
      </c>
      <c r="W83" s="190">
        <f t="shared" ca="1" si="59"/>
        <v>396646.91716850427</v>
      </c>
      <c r="X83" s="190">
        <f t="shared" ca="1" si="59"/>
        <v>404553.15283532563</v>
      </c>
      <c r="Y83" s="190">
        <f t="shared" ca="1" si="59"/>
        <v>412677.98126040277</v>
      </c>
      <c r="Z83" s="190">
        <f t="shared" ca="1" si="59"/>
        <v>420960.93673441251</v>
      </c>
      <c r="AA83" s="190">
        <f t="shared" ca="1" si="59"/>
        <v>429418.3650890594</v>
      </c>
      <c r="AB83" s="190">
        <f t="shared" ca="1" si="59"/>
        <v>438019.7272292556</v>
      </c>
      <c r="AC83" s="190">
        <f t="shared" ca="1" si="59"/>
        <v>446774.17359348922</v>
      </c>
      <c r="AD83" s="190">
        <f t="shared" ca="1" si="59"/>
        <v>455734.92893301812</v>
      </c>
      <c r="AE83" s="190">
        <f t="shared" ca="1" si="59"/>
        <v>464872.91294709407</v>
      </c>
      <c r="AF83" s="190">
        <f t="shared" ca="1" si="59"/>
        <v>474202.59010930266</v>
      </c>
      <c r="AG83" s="190">
        <f t="shared" ca="1" si="59"/>
        <v>483739.19288178987</v>
      </c>
      <c r="AH83" s="190">
        <f t="shared" ca="1" si="59"/>
        <v>493454.3692372088</v>
      </c>
      <c r="AI83" s="190">
        <f t="shared" ca="1" si="59"/>
        <v>503378.00553885428</v>
      </c>
      <c r="AJ83" s="190">
        <f t="shared" ca="1" si="59"/>
        <v>513509.31855093717</v>
      </c>
      <c r="AK83" s="190">
        <f t="shared" ca="1" si="59"/>
        <v>523849.16896475456</v>
      </c>
      <c r="AL83" s="190">
        <f t="shared" si="59"/>
        <v>0</v>
      </c>
      <c r="AM83" s="190">
        <f t="shared" si="59"/>
        <v>0</v>
      </c>
      <c r="AN83" s="190">
        <f t="shared" si="59"/>
        <v>0</v>
      </c>
      <c r="AO83" s="190">
        <f t="shared" si="59"/>
        <v>0</v>
      </c>
      <c r="AP83" s="190">
        <f t="shared" si="59"/>
        <v>0</v>
      </c>
      <c r="AQ83" s="190">
        <f t="shared" si="59"/>
        <v>0</v>
      </c>
      <c r="AR83" s="190">
        <f t="shared" si="59"/>
        <v>0</v>
      </c>
      <c r="AS83" s="190">
        <f t="shared" si="59"/>
        <v>0</v>
      </c>
      <c r="AT83" s="190">
        <f t="shared" si="59"/>
        <v>0</v>
      </c>
      <c r="AU83" s="190">
        <f t="shared" si="59"/>
        <v>0</v>
      </c>
    </row>
    <row r="84" spans="1:47" s="28" customFormat="1">
      <c r="E84" s="254"/>
      <c r="G84" s="36" t="s">
        <v>138</v>
      </c>
      <c r="L84" s="43" t="s">
        <v>12</v>
      </c>
      <c r="N84" s="189">
        <f t="shared" ca="1" si="44"/>
        <v>6333904.1846143948</v>
      </c>
      <c r="O84" s="189"/>
      <c r="P84" s="320"/>
      <c r="Q84" s="189"/>
      <c r="R84" s="190">
        <f t="shared" ref="R84:AU84" ca="1" si="60">R428</f>
        <v>472035.50411666208</v>
      </c>
      <c r="S84" s="190">
        <f t="shared" ca="1" si="60"/>
        <v>481447.00857893488</v>
      </c>
      <c r="T84" s="190">
        <f t="shared" ca="1" si="60"/>
        <v>491125.2822030856</v>
      </c>
      <c r="U84" s="190">
        <f t="shared" ca="1" si="60"/>
        <v>500970.04984105757</v>
      </c>
      <c r="V84" s="190">
        <f t="shared" ca="1" si="60"/>
        <v>510998.92576138448</v>
      </c>
      <c r="W84" s="190">
        <f t="shared" ca="1" si="60"/>
        <v>521201.97642057121</v>
      </c>
      <c r="X84" s="190">
        <f t="shared" ca="1" si="60"/>
        <v>531617.14834966359</v>
      </c>
      <c r="Y84" s="190">
        <f t="shared" ca="1" si="60"/>
        <v>542260.70434082777</v>
      </c>
      <c r="Z84" s="190">
        <f t="shared" ca="1" si="60"/>
        <v>553115.68039320363</v>
      </c>
      <c r="AA84" s="190">
        <f t="shared" ca="1" si="60"/>
        <v>564190.68290134717</v>
      </c>
      <c r="AB84" s="190">
        <f t="shared" ca="1" si="60"/>
        <v>575478.81197023077</v>
      </c>
      <c r="AC84" s="190">
        <f t="shared" ca="1" si="60"/>
        <v>586986.41289903538</v>
      </c>
      <c r="AD84" s="190">
        <f t="shared" ca="1" si="60"/>
        <v>598734.53360396915</v>
      </c>
      <c r="AE84" s="190">
        <f t="shared" ca="1" si="60"/>
        <v>610716.95705560187</v>
      </c>
      <c r="AF84" s="190">
        <f t="shared" ca="1" si="60"/>
        <v>622941.99566064728</v>
      </c>
      <c r="AG84" s="190">
        <f t="shared" ca="1" si="60"/>
        <v>635418.28704347613</v>
      </c>
      <c r="AH84" s="190">
        <f t="shared" ca="1" si="60"/>
        <v>648140.06658895721</v>
      </c>
      <c r="AI84" s="190">
        <f t="shared" ca="1" si="60"/>
        <v>661120.9828815147</v>
      </c>
      <c r="AJ84" s="190">
        <f t="shared" ca="1" si="60"/>
        <v>674364.57401920878</v>
      </c>
      <c r="AK84" s="190">
        <f t="shared" ca="1" si="60"/>
        <v>687874.99999015033</v>
      </c>
      <c r="AL84" s="190">
        <f t="shared" si="60"/>
        <v>0</v>
      </c>
      <c r="AM84" s="190">
        <f t="shared" si="60"/>
        <v>0</v>
      </c>
      <c r="AN84" s="190">
        <f t="shared" si="60"/>
        <v>0</v>
      </c>
      <c r="AO84" s="190">
        <f t="shared" si="60"/>
        <v>0</v>
      </c>
      <c r="AP84" s="190">
        <f t="shared" si="60"/>
        <v>0</v>
      </c>
      <c r="AQ84" s="190">
        <f t="shared" si="60"/>
        <v>0</v>
      </c>
      <c r="AR84" s="190">
        <f t="shared" si="60"/>
        <v>0</v>
      </c>
      <c r="AS84" s="190">
        <f t="shared" si="60"/>
        <v>0</v>
      </c>
      <c r="AT84" s="190">
        <f t="shared" si="60"/>
        <v>0</v>
      </c>
      <c r="AU84" s="190">
        <f t="shared" si="60"/>
        <v>0</v>
      </c>
    </row>
    <row r="85" spans="1:47" s="28" customFormat="1">
      <c r="E85" s="254"/>
      <c r="G85" s="36" t="s">
        <v>312</v>
      </c>
      <c r="L85" s="43" t="s">
        <v>12</v>
      </c>
      <c r="N85" s="189">
        <f t="shared" ca="1" si="44"/>
        <v>0</v>
      </c>
      <c r="O85" s="189"/>
      <c r="P85" s="320"/>
      <c r="Q85" s="189"/>
      <c r="R85" s="190">
        <f t="shared" ref="R85:AU85" ca="1" si="61">R464</f>
        <v>0</v>
      </c>
      <c r="S85" s="190">
        <f t="shared" ca="1" si="61"/>
        <v>0</v>
      </c>
      <c r="T85" s="190">
        <f t="shared" ca="1" si="61"/>
        <v>0</v>
      </c>
      <c r="U85" s="190">
        <f t="shared" ca="1" si="61"/>
        <v>0</v>
      </c>
      <c r="V85" s="190">
        <f t="shared" ca="1" si="61"/>
        <v>0</v>
      </c>
      <c r="W85" s="190">
        <f t="shared" ca="1" si="61"/>
        <v>0</v>
      </c>
      <c r="X85" s="190">
        <f t="shared" ca="1" si="61"/>
        <v>0</v>
      </c>
      <c r="Y85" s="190">
        <f t="shared" ca="1" si="61"/>
        <v>0</v>
      </c>
      <c r="Z85" s="190">
        <f t="shared" ca="1" si="61"/>
        <v>0</v>
      </c>
      <c r="AA85" s="190">
        <f t="shared" ca="1" si="61"/>
        <v>0</v>
      </c>
      <c r="AB85" s="190">
        <f t="shared" ca="1" si="61"/>
        <v>0</v>
      </c>
      <c r="AC85" s="190">
        <f t="shared" ca="1" si="61"/>
        <v>0</v>
      </c>
      <c r="AD85" s="190">
        <f t="shared" ca="1" si="61"/>
        <v>0</v>
      </c>
      <c r="AE85" s="190">
        <f t="shared" ca="1" si="61"/>
        <v>0</v>
      </c>
      <c r="AF85" s="190">
        <f t="shared" ca="1" si="61"/>
        <v>0</v>
      </c>
      <c r="AG85" s="190">
        <f t="shared" ca="1" si="61"/>
        <v>0</v>
      </c>
      <c r="AH85" s="190">
        <f t="shared" ca="1" si="61"/>
        <v>0</v>
      </c>
      <c r="AI85" s="190">
        <f t="shared" ca="1" si="61"/>
        <v>0</v>
      </c>
      <c r="AJ85" s="190">
        <f t="shared" ca="1" si="61"/>
        <v>0</v>
      </c>
      <c r="AK85" s="190">
        <f t="shared" ca="1" si="61"/>
        <v>0</v>
      </c>
      <c r="AL85" s="190">
        <f t="shared" si="61"/>
        <v>0</v>
      </c>
      <c r="AM85" s="190">
        <f t="shared" si="61"/>
        <v>0</v>
      </c>
      <c r="AN85" s="190">
        <f t="shared" si="61"/>
        <v>0</v>
      </c>
      <c r="AO85" s="190">
        <f t="shared" si="61"/>
        <v>0</v>
      </c>
      <c r="AP85" s="190">
        <f t="shared" si="61"/>
        <v>0</v>
      </c>
      <c r="AQ85" s="190">
        <f t="shared" si="61"/>
        <v>0</v>
      </c>
      <c r="AR85" s="190">
        <f t="shared" si="61"/>
        <v>0</v>
      </c>
      <c r="AS85" s="190">
        <f t="shared" si="61"/>
        <v>0</v>
      </c>
      <c r="AT85" s="190">
        <f t="shared" si="61"/>
        <v>0</v>
      </c>
      <c r="AU85" s="190">
        <f t="shared" si="61"/>
        <v>0</v>
      </c>
    </row>
    <row r="86" spans="1:47" s="28" customFormat="1">
      <c r="E86" s="254"/>
      <c r="G86" s="36" t="s">
        <v>313</v>
      </c>
      <c r="L86" s="43" t="s">
        <v>12</v>
      </c>
      <c r="N86" s="189">
        <f t="shared" ca="1" si="44"/>
        <v>4009764.1097502499</v>
      </c>
      <c r="O86" s="189"/>
      <c r="P86" s="320"/>
      <c r="Q86" s="189"/>
      <c r="R86" s="190">
        <f t="shared" ref="R86:AU86" ca="1" si="62">R480</f>
        <v>298860</v>
      </c>
      <c r="S86" s="190">
        <f t="shared" ca="1" si="62"/>
        <v>304837.2</v>
      </c>
      <c r="T86" s="190">
        <f t="shared" ca="1" si="62"/>
        <v>310933.94399999996</v>
      </c>
      <c r="U86" s="190">
        <f t="shared" ca="1" si="62"/>
        <v>317152.62287999998</v>
      </c>
      <c r="V86" s="190">
        <f t="shared" ca="1" si="62"/>
        <v>323495.6753376</v>
      </c>
      <c r="W86" s="190">
        <f t="shared" ca="1" si="62"/>
        <v>329965.58884435199</v>
      </c>
      <c r="X86" s="190">
        <f t="shared" ca="1" si="62"/>
        <v>336564.90062123898</v>
      </c>
      <c r="Y86" s="190">
        <f t="shared" ca="1" si="62"/>
        <v>343296.19863366382</v>
      </c>
      <c r="Z86" s="190">
        <f t="shared" ca="1" si="62"/>
        <v>350162.12260633707</v>
      </c>
      <c r="AA86" s="190">
        <f t="shared" ca="1" si="62"/>
        <v>357165.36505846382</v>
      </c>
      <c r="AB86" s="190">
        <f t="shared" ca="1" si="62"/>
        <v>364308.67235963303</v>
      </c>
      <c r="AC86" s="190">
        <f t="shared" ca="1" si="62"/>
        <v>371594.84580682579</v>
      </c>
      <c r="AD86" s="190">
        <f t="shared" ca="1" si="62"/>
        <v>379026.74272296223</v>
      </c>
      <c r="AE86" s="190">
        <f t="shared" ca="1" si="62"/>
        <v>386607.27757742151</v>
      </c>
      <c r="AF86" s="190">
        <f t="shared" ca="1" si="62"/>
        <v>394339.42312896985</v>
      </c>
      <c r="AG86" s="190">
        <f t="shared" ca="1" si="62"/>
        <v>402226.21159154933</v>
      </c>
      <c r="AH86" s="190">
        <f t="shared" ca="1" si="62"/>
        <v>410270.73582338035</v>
      </c>
      <c r="AI86" s="190">
        <f t="shared" ca="1" si="62"/>
        <v>418476.15053984791</v>
      </c>
      <c r="AJ86" s="190">
        <f t="shared" ca="1" si="62"/>
        <v>426845.67355064483</v>
      </c>
      <c r="AK86" s="190">
        <f t="shared" ca="1" si="62"/>
        <v>435382.58702165779</v>
      </c>
      <c r="AL86" s="190">
        <f t="shared" si="62"/>
        <v>0</v>
      </c>
      <c r="AM86" s="190">
        <f t="shared" si="62"/>
        <v>0</v>
      </c>
      <c r="AN86" s="190">
        <f t="shared" si="62"/>
        <v>0</v>
      </c>
      <c r="AO86" s="190">
        <f t="shared" si="62"/>
        <v>0</v>
      </c>
      <c r="AP86" s="190">
        <f t="shared" si="62"/>
        <v>0</v>
      </c>
      <c r="AQ86" s="190">
        <f t="shared" si="62"/>
        <v>0</v>
      </c>
      <c r="AR86" s="190">
        <f t="shared" si="62"/>
        <v>0</v>
      </c>
      <c r="AS86" s="190">
        <f t="shared" si="62"/>
        <v>0</v>
      </c>
      <c r="AT86" s="190">
        <f t="shared" si="62"/>
        <v>0</v>
      </c>
      <c r="AU86" s="190">
        <f t="shared" si="62"/>
        <v>0</v>
      </c>
    </row>
    <row r="87" spans="1:47" s="28" customFormat="1">
      <c r="E87" s="254"/>
      <c r="G87" s="36" t="s">
        <v>314</v>
      </c>
      <c r="L87" s="43" t="s">
        <v>12</v>
      </c>
      <c r="N87" s="189">
        <f t="shared" ca="1" si="44"/>
        <v>1642224.2087714339</v>
      </c>
      <c r="O87" s="189"/>
      <c r="P87" s="320"/>
      <c r="Q87" s="189"/>
      <c r="R87" s="190">
        <f t="shared" ref="R87:AU87" ca="1" si="63">R496</f>
        <v>122400</v>
      </c>
      <c r="S87" s="190">
        <f t="shared" ca="1" si="63"/>
        <v>124848</v>
      </c>
      <c r="T87" s="190">
        <f t="shared" ca="1" si="63"/>
        <v>127344.95999999999</v>
      </c>
      <c r="U87" s="190">
        <f t="shared" ca="1" si="63"/>
        <v>129891.85919999999</v>
      </c>
      <c r="V87" s="190">
        <f t="shared" ca="1" si="63"/>
        <v>132489.69638400001</v>
      </c>
      <c r="W87" s="190">
        <f t="shared" ca="1" si="63"/>
        <v>135139.49031168001</v>
      </c>
      <c r="X87" s="190">
        <f t="shared" ca="1" si="63"/>
        <v>137842.28011791359</v>
      </c>
      <c r="Y87" s="190">
        <f t="shared" ca="1" si="63"/>
        <v>140599.12572027187</v>
      </c>
      <c r="Z87" s="190">
        <f t="shared" ca="1" si="63"/>
        <v>143411.10823467729</v>
      </c>
      <c r="AA87" s="190">
        <f t="shared" ca="1" si="63"/>
        <v>146279.33039937084</v>
      </c>
      <c r="AB87" s="190">
        <f t="shared" ca="1" si="63"/>
        <v>149204.91700735825</v>
      </c>
      <c r="AC87" s="190">
        <f t="shared" ca="1" si="63"/>
        <v>152189.01534750542</v>
      </c>
      <c r="AD87" s="190">
        <f t="shared" ca="1" si="63"/>
        <v>155232.79565445552</v>
      </c>
      <c r="AE87" s="190">
        <f t="shared" ca="1" si="63"/>
        <v>158337.45156754466</v>
      </c>
      <c r="AF87" s="190">
        <f t="shared" ca="1" si="63"/>
        <v>161504.20059889552</v>
      </c>
      <c r="AG87" s="190">
        <f t="shared" ca="1" si="63"/>
        <v>164734.28461087344</v>
      </c>
      <c r="AH87" s="190">
        <f t="shared" ca="1" si="63"/>
        <v>168028.97030309093</v>
      </c>
      <c r="AI87" s="190">
        <f t="shared" ca="1" si="63"/>
        <v>171389.54970915272</v>
      </c>
      <c r="AJ87" s="190">
        <f t="shared" ca="1" si="63"/>
        <v>174817.34070333577</v>
      </c>
      <c r="AK87" s="190">
        <f t="shared" ca="1" si="63"/>
        <v>178313.68751740252</v>
      </c>
      <c r="AL87" s="190">
        <f t="shared" si="63"/>
        <v>0</v>
      </c>
      <c r="AM87" s="190">
        <f t="shared" si="63"/>
        <v>0</v>
      </c>
      <c r="AN87" s="190">
        <f t="shared" si="63"/>
        <v>0</v>
      </c>
      <c r="AO87" s="190">
        <f t="shared" si="63"/>
        <v>0</v>
      </c>
      <c r="AP87" s="190">
        <f t="shared" si="63"/>
        <v>0</v>
      </c>
      <c r="AQ87" s="190">
        <f t="shared" si="63"/>
        <v>0</v>
      </c>
      <c r="AR87" s="190">
        <f t="shared" si="63"/>
        <v>0</v>
      </c>
      <c r="AS87" s="190">
        <f t="shared" si="63"/>
        <v>0</v>
      </c>
      <c r="AT87" s="190">
        <f t="shared" si="63"/>
        <v>0</v>
      </c>
      <c r="AU87" s="190">
        <f t="shared" si="63"/>
        <v>0</v>
      </c>
    </row>
    <row r="88" spans="1:47" s="39" customFormat="1">
      <c r="E88" s="254"/>
      <c r="G88" s="173" t="s">
        <v>252</v>
      </c>
      <c r="L88" s="174" t="s">
        <v>12</v>
      </c>
      <c r="N88" s="189">
        <f ca="1">SUBTOTAL(9,N69:N87)</f>
        <v>28421692.901210178</v>
      </c>
      <c r="O88" s="189"/>
      <c r="P88" s="320"/>
      <c r="Q88" s="189"/>
      <c r="R88" s="189">
        <f ca="1">SUBTOTAL(9,R69:R87)</f>
        <v>2117610.3082610164</v>
      </c>
      <c r="S88" s="189">
        <f t="shared" ref="S88:AU88" ca="1" si="64">SUBTOTAL(9,S69:S87)</f>
        <v>2161627.8571116608</v>
      </c>
      <c r="T88" s="189">
        <f t="shared" ca="1" si="64"/>
        <v>2202047.3562117247</v>
      </c>
      <c r="U88" s="189">
        <f t="shared" ca="1" si="64"/>
        <v>2244818.8953026882</v>
      </c>
      <c r="V88" s="189">
        <f t="shared" ca="1" si="64"/>
        <v>2310152.5359287579</v>
      </c>
      <c r="W88" s="189">
        <f t="shared" ca="1" si="64"/>
        <v>2335923.7491910025</v>
      </c>
      <c r="X88" s="189">
        <f t="shared" ca="1" si="64"/>
        <v>2383147.8662954955</v>
      </c>
      <c r="Y88" s="189">
        <f t="shared" ca="1" si="64"/>
        <v>2430171.4423055612</v>
      </c>
      <c r="Z88" s="189">
        <f t="shared" ca="1" si="64"/>
        <v>2478218.2310972558</v>
      </c>
      <c r="AA88" s="189">
        <f t="shared" ca="1" si="64"/>
        <v>2550219.9519956508</v>
      </c>
      <c r="AB88" s="189">
        <f t="shared" ca="1" si="64"/>
        <v>2577354.1688002325</v>
      </c>
      <c r="AC88" s="189">
        <f t="shared" ca="1" si="64"/>
        <v>2629013.8869722909</v>
      </c>
      <c r="AD88" s="189">
        <f t="shared" ca="1" si="64"/>
        <v>2681115.6164009217</v>
      </c>
      <c r="AE88" s="189">
        <f t="shared" ca="1" si="64"/>
        <v>2734296.995516764</v>
      </c>
      <c r="AF88" s="189">
        <f t="shared" ca="1" si="64"/>
        <v>2813944.3364163749</v>
      </c>
      <c r="AG88" s="189">
        <f t="shared" ca="1" si="64"/>
        <v>2843145.1891068611</v>
      </c>
      <c r="AH88" s="189">
        <f t="shared" ca="1" si="64"/>
        <v>2899243.2201916436</v>
      </c>
      <c r="AI88" s="189">
        <f t="shared" ca="1" si="64"/>
        <v>2956195.1458197604</v>
      </c>
      <c r="AJ88" s="189">
        <f t="shared" ca="1" si="64"/>
        <v>3014111.8232298777</v>
      </c>
      <c r="AK88" s="189">
        <f t="shared" ca="1" si="64"/>
        <v>3101307.9012838933</v>
      </c>
      <c r="AL88" s="189">
        <f t="shared" si="64"/>
        <v>0</v>
      </c>
      <c r="AM88" s="189">
        <f t="shared" si="64"/>
        <v>0</v>
      </c>
      <c r="AN88" s="189">
        <f t="shared" si="64"/>
        <v>0</v>
      </c>
      <c r="AO88" s="189">
        <f t="shared" si="64"/>
        <v>0</v>
      </c>
      <c r="AP88" s="189">
        <f t="shared" si="64"/>
        <v>0</v>
      </c>
      <c r="AQ88" s="189">
        <f t="shared" si="64"/>
        <v>0</v>
      </c>
      <c r="AR88" s="189">
        <f t="shared" si="64"/>
        <v>0</v>
      </c>
      <c r="AS88" s="189">
        <f t="shared" si="64"/>
        <v>0</v>
      </c>
      <c r="AT88" s="189">
        <f t="shared" si="64"/>
        <v>0</v>
      </c>
      <c r="AU88" s="189">
        <f t="shared" si="64"/>
        <v>0</v>
      </c>
    </row>
    <row r="89" spans="1:47" s="28" customFormat="1">
      <c r="E89" s="254"/>
      <c r="G89" s="36"/>
      <c r="L89" s="43"/>
      <c r="N89" s="189"/>
      <c r="O89" s="189"/>
      <c r="P89" s="190"/>
      <c r="Q89" s="189"/>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row>
    <row r="90" spans="1:47" s="39" customFormat="1">
      <c r="E90" s="254"/>
      <c r="G90" s="194" t="s">
        <v>13</v>
      </c>
      <c r="L90" s="174" t="s">
        <v>12</v>
      </c>
      <c r="N90" s="192">
        <f ca="1">NPV(DiscountRt,R90:AU90)</f>
        <v>65013585.931823134</v>
      </c>
      <c r="O90" s="189"/>
      <c r="P90" s="320"/>
      <c r="Q90" s="189"/>
      <c r="R90" s="195">
        <f t="shared" ref="R90:AU90" ca="1" si="65">SUBTOTAL(9,R45:R89)</f>
        <v>40877494.308261022</v>
      </c>
      <c r="S90" s="195">
        <f t="shared" ca="1" si="65"/>
        <v>2163642.8571116608</v>
      </c>
      <c r="T90" s="195">
        <f t="shared" ca="1" si="65"/>
        <v>2204063.3562117247</v>
      </c>
      <c r="U90" s="195">
        <f t="shared" ca="1" si="65"/>
        <v>2246835.8953026882</v>
      </c>
      <c r="V90" s="195">
        <f t="shared" ca="1" si="65"/>
        <v>2312170.5359287579</v>
      </c>
      <c r="W90" s="195">
        <f t="shared" ca="1" si="65"/>
        <v>2337942.7491910029</v>
      </c>
      <c r="X90" s="195">
        <f t="shared" ca="1" si="65"/>
        <v>2385167.8662954955</v>
      </c>
      <c r="Y90" s="195">
        <f t="shared" ca="1" si="65"/>
        <v>2432192.4423055612</v>
      </c>
      <c r="Z90" s="195">
        <f t="shared" ca="1" si="65"/>
        <v>2480240.2310972558</v>
      </c>
      <c r="AA90" s="195">
        <f t="shared" ca="1" si="65"/>
        <v>2552242.9519956508</v>
      </c>
      <c r="AB90" s="195">
        <f t="shared" ca="1" si="65"/>
        <v>2579378.1688002325</v>
      </c>
      <c r="AC90" s="195">
        <f t="shared" ca="1" si="65"/>
        <v>2631038.8869722909</v>
      </c>
      <c r="AD90" s="195">
        <f t="shared" ca="1" si="65"/>
        <v>2683141.6164009217</v>
      </c>
      <c r="AE90" s="195">
        <f t="shared" ca="1" si="65"/>
        <v>2736323.995516764</v>
      </c>
      <c r="AF90" s="195">
        <f t="shared" ca="1" si="65"/>
        <v>2815972.3364163749</v>
      </c>
      <c r="AG90" s="195">
        <f t="shared" ca="1" si="65"/>
        <v>2845174.1891068611</v>
      </c>
      <c r="AH90" s="195">
        <f t="shared" ca="1" si="65"/>
        <v>2901273.2201916436</v>
      </c>
      <c r="AI90" s="195">
        <f t="shared" ca="1" si="65"/>
        <v>2958226.1458197604</v>
      </c>
      <c r="AJ90" s="195">
        <f t="shared" ca="1" si="65"/>
        <v>3016143.8232298777</v>
      </c>
      <c r="AK90" s="195">
        <f t="shared" ca="1" si="65"/>
        <v>3103340.9012838933</v>
      </c>
      <c r="AL90" s="195">
        <f t="shared" ca="1" si="65"/>
        <v>2034</v>
      </c>
      <c r="AM90" s="195">
        <f t="shared" ca="1" si="65"/>
        <v>2035</v>
      </c>
      <c r="AN90" s="195">
        <f t="shared" ca="1" si="65"/>
        <v>2036</v>
      </c>
      <c r="AO90" s="195">
        <f t="shared" ca="1" si="65"/>
        <v>2037</v>
      </c>
      <c r="AP90" s="195">
        <f t="shared" ca="1" si="65"/>
        <v>2038</v>
      </c>
      <c r="AQ90" s="195">
        <f t="shared" ca="1" si="65"/>
        <v>2039</v>
      </c>
      <c r="AR90" s="195">
        <f t="shared" ca="1" si="65"/>
        <v>2040</v>
      </c>
      <c r="AS90" s="195">
        <f t="shared" ca="1" si="65"/>
        <v>2041</v>
      </c>
      <c r="AT90" s="195">
        <f t="shared" ca="1" si="65"/>
        <v>2042</v>
      </c>
      <c r="AU90" s="195">
        <f t="shared" ca="1" si="65"/>
        <v>2043</v>
      </c>
    </row>
    <row r="91" spans="1:47">
      <c r="G91" s="194"/>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row>
    <row r="92" spans="1:47" s="317" customFormat="1">
      <c r="G92" s="318" t="s">
        <v>503</v>
      </c>
      <c r="L92" s="407"/>
    </row>
    <row r="94" spans="1:47" s="28" customFormat="1">
      <c r="A94" s="40"/>
      <c r="B94" s="40"/>
      <c r="C94" s="40"/>
      <c r="D94" s="40"/>
      <c r="E94" s="327"/>
      <c r="G94" s="324" t="str">
        <f>C96&amp;" Capital Costs"</f>
        <v>Anaerobic Digestion Capital Costs</v>
      </c>
      <c r="H94" s="324"/>
      <c r="I94" s="324"/>
      <c r="J94" s="324"/>
      <c r="K94" s="324"/>
      <c r="L94" s="405" t="s">
        <v>79</v>
      </c>
      <c r="M94" s="256"/>
      <c r="N94" s="325" t="s">
        <v>490</v>
      </c>
      <c r="O94" s="311"/>
      <c r="P94" s="325" t="s">
        <v>491</v>
      </c>
      <c r="Q94" s="310"/>
      <c r="R94" s="325">
        <f>R$8</f>
        <v>2014</v>
      </c>
      <c r="S94" s="325">
        <f t="shared" ref="S94:AU94" si="66">S$8</f>
        <v>2015</v>
      </c>
      <c r="T94" s="325">
        <f t="shared" si="66"/>
        <v>2016</v>
      </c>
      <c r="U94" s="325">
        <f t="shared" si="66"/>
        <v>2017</v>
      </c>
      <c r="V94" s="325">
        <f t="shared" si="66"/>
        <v>2018</v>
      </c>
      <c r="W94" s="325">
        <f t="shared" si="66"/>
        <v>2019</v>
      </c>
      <c r="X94" s="325">
        <f t="shared" si="66"/>
        <v>2020</v>
      </c>
      <c r="Y94" s="325">
        <f t="shared" si="66"/>
        <v>2021</v>
      </c>
      <c r="Z94" s="325">
        <f t="shared" si="66"/>
        <v>2022</v>
      </c>
      <c r="AA94" s="325">
        <f t="shared" si="66"/>
        <v>2023</v>
      </c>
      <c r="AB94" s="325">
        <f t="shared" si="66"/>
        <v>2024</v>
      </c>
      <c r="AC94" s="325">
        <f t="shared" si="66"/>
        <v>2025</v>
      </c>
      <c r="AD94" s="325">
        <f t="shared" si="66"/>
        <v>2026</v>
      </c>
      <c r="AE94" s="325">
        <f t="shared" si="66"/>
        <v>2027</v>
      </c>
      <c r="AF94" s="325">
        <f t="shared" si="66"/>
        <v>2028</v>
      </c>
      <c r="AG94" s="325">
        <f t="shared" si="66"/>
        <v>2029</v>
      </c>
      <c r="AH94" s="325">
        <f t="shared" si="66"/>
        <v>2030</v>
      </c>
      <c r="AI94" s="325">
        <f t="shared" si="66"/>
        <v>2031</v>
      </c>
      <c r="AJ94" s="325">
        <f t="shared" si="66"/>
        <v>2032</v>
      </c>
      <c r="AK94" s="325">
        <f t="shared" si="66"/>
        <v>2033</v>
      </c>
      <c r="AL94" s="325">
        <f t="shared" si="66"/>
        <v>2034</v>
      </c>
      <c r="AM94" s="325">
        <f t="shared" si="66"/>
        <v>2035</v>
      </c>
      <c r="AN94" s="325">
        <f t="shared" si="66"/>
        <v>2036</v>
      </c>
      <c r="AO94" s="325">
        <f t="shared" si="66"/>
        <v>2037</v>
      </c>
      <c r="AP94" s="325">
        <f t="shared" si="66"/>
        <v>2038</v>
      </c>
      <c r="AQ94" s="325">
        <f t="shared" si="66"/>
        <v>2039</v>
      </c>
      <c r="AR94" s="325">
        <f t="shared" si="66"/>
        <v>2040</v>
      </c>
      <c r="AS94" s="325">
        <f t="shared" si="66"/>
        <v>2041</v>
      </c>
      <c r="AT94" s="325">
        <f t="shared" si="66"/>
        <v>2042</v>
      </c>
      <c r="AU94" s="325">
        <f t="shared" si="66"/>
        <v>2043</v>
      </c>
    </row>
    <row r="95" spans="1:47">
      <c r="E95" s="325"/>
      <c r="G95" s="39"/>
      <c r="H95" s="39"/>
      <c r="I95" s="39"/>
      <c r="J95" s="39"/>
      <c r="K95" s="39"/>
    </row>
    <row r="96" spans="1:47">
      <c r="A96" s="38" t="str">
        <f>$J$4&amp;"-"</f>
        <v>1Y-</v>
      </c>
      <c r="B96" s="38" t="s">
        <v>306</v>
      </c>
      <c r="C96" s="38" t="s">
        <v>315</v>
      </c>
      <c r="D96" s="186">
        <f>CapExEsc</f>
        <v>0.03</v>
      </c>
      <c r="E96" s="325"/>
      <c r="G96" s="36" t="s">
        <v>8</v>
      </c>
      <c r="H96" s="39"/>
      <c r="I96" s="39"/>
      <c r="J96" s="70"/>
      <c r="K96" s="39"/>
      <c r="L96" s="43" t="str">
        <f>"["&amp;CostBaseYr&amp;" $]"</f>
        <v>[2013 $]</v>
      </c>
      <c r="N96" s="52">
        <f ca="1">SUMIFS(OFFSET(Assumptions!$I$65,0,MATCH($A96,Configurations,0)-1,COUNT(Assumptions!$A$65:$A$84),1),Assumptions!$E$65:$E$84,$C96)</f>
        <v>4236000</v>
      </c>
      <c r="O96" s="52"/>
      <c r="P96" s="322"/>
      <c r="Q96" s="52"/>
      <c r="R96" s="52">
        <f t="shared" ref="R96:AU96" ca="1" si="67">R97*IF($P96=0,$N96,$P96)*(1+$D96)^(R$8-CostBaseYr)</f>
        <v>4363080</v>
      </c>
      <c r="S96" s="52">
        <f t="shared" ca="1" si="67"/>
        <v>0</v>
      </c>
      <c r="T96" s="52">
        <f t="shared" ca="1" si="67"/>
        <v>0</v>
      </c>
      <c r="U96" s="52">
        <f t="shared" ca="1" si="67"/>
        <v>0</v>
      </c>
      <c r="V96" s="52">
        <f t="shared" ca="1" si="67"/>
        <v>0</v>
      </c>
      <c r="W96" s="52">
        <f t="shared" ca="1" si="67"/>
        <v>0</v>
      </c>
      <c r="X96" s="52">
        <f t="shared" ca="1" si="67"/>
        <v>0</v>
      </c>
      <c r="Y96" s="52">
        <f t="shared" ca="1" si="67"/>
        <v>0</v>
      </c>
      <c r="Z96" s="52">
        <f t="shared" ca="1" si="67"/>
        <v>0</v>
      </c>
      <c r="AA96" s="52">
        <f t="shared" ca="1" si="67"/>
        <v>0</v>
      </c>
      <c r="AB96" s="52">
        <f t="shared" ca="1" si="67"/>
        <v>0</v>
      </c>
      <c r="AC96" s="52">
        <f t="shared" ca="1" si="67"/>
        <v>0</v>
      </c>
      <c r="AD96" s="52">
        <f t="shared" ca="1" si="67"/>
        <v>0</v>
      </c>
      <c r="AE96" s="52">
        <f t="shared" ca="1" si="67"/>
        <v>0</v>
      </c>
      <c r="AF96" s="52">
        <f t="shared" ca="1" si="67"/>
        <v>0</v>
      </c>
      <c r="AG96" s="52">
        <f t="shared" ca="1" si="67"/>
        <v>0</v>
      </c>
      <c r="AH96" s="52">
        <f t="shared" ca="1" si="67"/>
        <v>0</v>
      </c>
      <c r="AI96" s="52">
        <f t="shared" ca="1" si="67"/>
        <v>0</v>
      </c>
      <c r="AJ96" s="52">
        <f t="shared" ca="1" si="67"/>
        <v>0</v>
      </c>
      <c r="AK96" s="52">
        <f t="shared" ca="1" si="67"/>
        <v>0</v>
      </c>
      <c r="AL96" s="52">
        <f t="shared" ca="1" si="67"/>
        <v>0</v>
      </c>
      <c r="AM96" s="52">
        <f t="shared" ca="1" si="67"/>
        <v>0</v>
      </c>
      <c r="AN96" s="52">
        <f t="shared" ca="1" si="67"/>
        <v>0</v>
      </c>
      <c r="AO96" s="52">
        <f t="shared" ca="1" si="67"/>
        <v>0</v>
      </c>
      <c r="AP96" s="52">
        <f t="shared" ca="1" si="67"/>
        <v>0</v>
      </c>
      <c r="AQ96" s="52">
        <f t="shared" ca="1" si="67"/>
        <v>0</v>
      </c>
      <c r="AR96" s="52">
        <f t="shared" ca="1" si="67"/>
        <v>0</v>
      </c>
      <c r="AS96" s="52">
        <f t="shared" ca="1" si="67"/>
        <v>0</v>
      </c>
      <c r="AT96" s="52">
        <f t="shared" ca="1" si="67"/>
        <v>0</v>
      </c>
      <c r="AU96" s="52">
        <f t="shared" ca="1" si="67"/>
        <v>0</v>
      </c>
    </row>
    <row r="97" spans="1:47">
      <c r="E97" s="325"/>
      <c r="G97" s="36" t="s">
        <v>10</v>
      </c>
      <c r="H97" s="39"/>
      <c r="I97" s="39"/>
      <c r="J97" s="39"/>
      <c r="K97" s="39"/>
      <c r="L97" s="43"/>
      <c r="R97" s="54">
        <f>Assumptions!M$60</f>
        <v>1</v>
      </c>
      <c r="S97" s="54">
        <f>Assumptions!N$60</f>
        <v>0</v>
      </c>
      <c r="T97" s="54">
        <f>Assumptions!O$60</f>
        <v>0</v>
      </c>
      <c r="U97" s="54">
        <f>Assumptions!P$60</f>
        <v>0</v>
      </c>
      <c r="V97" s="54">
        <f>Assumptions!Q$60</f>
        <v>0</v>
      </c>
      <c r="W97" s="54">
        <f>Assumptions!R$60</f>
        <v>0</v>
      </c>
      <c r="X97" s="54">
        <f>Assumptions!S$60</f>
        <v>0</v>
      </c>
      <c r="Y97" s="54">
        <f>Assumptions!T$60</f>
        <v>0</v>
      </c>
      <c r="Z97" s="54">
        <f>Assumptions!U$60</f>
        <v>0</v>
      </c>
      <c r="AA97" s="54">
        <f>Assumptions!V$60</f>
        <v>0</v>
      </c>
      <c r="AB97" s="54">
        <f>Assumptions!W$60</f>
        <v>0</v>
      </c>
      <c r="AC97" s="54">
        <f>Assumptions!X$60</f>
        <v>0</v>
      </c>
      <c r="AD97" s="54">
        <f>Assumptions!Y$60</f>
        <v>0</v>
      </c>
      <c r="AE97" s="54">
        <f>Assumptions!Z$60</f>
        <v>0</v>
      </c>
      <c r="AF97" s="54">
        <f>Assumptions!AA$60</f>
        <v>0</v>
      </c>
      <c r="AG97" s="54">
        <f>Assumptions!AB$60</f>
        <v>0</v>
      </c>
      <c r="AH97" s="54">
        <f>Assumptions!AC$60</f>
        <v>0</v>
      </c>
      <c r="AI97" s="54">
        <f>Assumptions!AD$60</f>
        <v>0</v>
      </c>
      <c r="AJ97" s="54">
        <f>Assumptions!AE$60</f>
        <v>0</v>
      </c>
      <c r="AK97" s="54">
        <f>Assumptions!AF$60</f>
        <v>0</v>
      </c>
      <c r="AL97" s="54">
        <f>Assumptions!AG$60</f>
        <v>0</v>
      </c>
      <c r="AM97" s="54">
        <f>Assumptions!AH$60</f>
        <v>0</v>
      </c>
      <c r="AN97" s="54">
        <f>Assumptions!AI$60</f>
        <v>0</v>
      </c>
      <c r="AO97" s="54">
        <f>Assumptions!AJ$60</f>
        <v>0</v>
      </c>
      <c r="AP97" s="54">
        <f>Assumptions!AK$60</f>
        <v>0</v>
      </c>
      <c r="AQ97" s="54">
        <f>Assumptions!AL$60</f>
        <v>0</v>
      </c>
      <c r="AR97" s="54">
        <f>Assumptions!AM$60</f>
        <v>0</v>
      </c>
      <c r="AS97" s="54">
        <f>Assumptions!AN$60</f>
        <v>0</v>
      </c>
      <c r="AT97" s="54">
        <f>Assumptions!AO$60</f>
        <v>0</v>
      </c>
      <c r="AU97" s="54">
        <f>Assumptions!AP$60</f>
        <v>0</v>
      </c>
    </row>
    <row r="98" spans="1:47">
      <c r="E98" s="326"/>
      <c r="G98" s="39"/>
      <c r="H98" s="39"/>
      <c r="I98" s="39"/>
      <c r="J98" s="39"/>
      <c r="K98" s="39"/>
    </row>
    <row r="99" spans="1:47" s="28" customFormat="1">
      <c r="A99" s="40"/>
      <c r="B99" s="40"/>
      <c r="C99" s="40"/>
      <c r="D99" s="40"/>
      <c r="E99" s="327"/>
      <c r="G99" s="324" t="str">
        <f>C96&amp;" O&amp;M"</f>
        <v>Anaerobic Digestion O&amp;M</v>
      </c>
      <c r="H99" s="324"/>
      <c r="I99" s="324"/>
      <c r="J99" s="324"/>
      <c r="K99" s="324"/>
      <c r="L99" s="405" t="s">
        <v>79</v>
      </c>
      <c r="M99" s="256"/>
      <c r="N99" s="325" t="s">
        <v>490</v>
      </c>
      <c r="O99" s="311"/>
      <c r="P99" s="325" t="s">
        <v>491</v>
      </c>
      <c r="Q99" s="310"/>
      <c r="R99" s="325">
        <f>R$8</f>
        <v>2014</v>
      </c>
      <c r="S99" s="325">
        <f t="shared" ref="S99:AU99" si="68">S$8</f>
        <v>2015</v>
      </c>
      <c r="T99" s="325">
        <f t="shared" si="68"/>
        <v>2016</v>
      </c>
      <c r="U99" s="325">
        <f t="shared" si="68"/>
        <v>2017</v>
      </c>
      <c r="V99" s="325">
        <f t="shared" si="68"/>
        <v>2018</v>
      </c>
      <c r="W99" s="325">
        <f t="shared" si="68"/>
        <v>2019</v>
      </c>
      <c r="X99" s="325">
        <f t="shared" si="68"/>
        <v>2020</v>
      </c>
      <c r="Y99" s="325">
        <f t="shared" si="68"/>
        <v>2021</v>
      </c>
      <c r="Z99" s="325">
        <f t="shared" si="68"/>
        <v>2022</v>
      </c>
      <c r="AA99" s="325">
        <f t="shared" si="68"/>
        <v>2023</v>
      </c>
      <c r="AB99" s="325">
        <f t="shared" si="68"/>
        <v>2024</v>
      </c>
      <c r="AC99" s="325">
        <f t="shared" si="68"/>
        <v>2025</v>
      </c>
      <c r="AD99" s="325">
        <f t="shared" si="68"/>
        <v>2026</v>
      </c>
      <c r="AE99" s="325">
        <f t="shared" si="68"/>
        <v>2027</v>
      </c>
      <c r="AF99" s="325">
        <f t="shared" si="68"/>
        <v>2028</v>
      </c>
      <c r="AG99" s="325">
        <f t="shared" si="68"/>
        <v>2029</v>
      </c>
      <c r="AH99" s="325">
        <f t="shared" si="68"/>
        <v>2030</v>
      </c>
      <c r="AI99" s="325">
        <f t="shared" si="68"/>
        <v>2031</v>
      </c>
      <c r="AJ99" s="325">
        <f t="shared" si="68"/>
        <v>2032</v>
      </c>
      <c r="AK99" s="325">
        <f t="shared" si="68"/>
        <v>2033</v>
      </c>
      <c r="AL99" s="325">
        <f t="shared" si="68"/>
        <v>2034</v>
      </c>
      <c r="AM99" s="325">
        <f t="shared" si="68"/>
        <v>2035</v>
      </c>
      <c r="AN99" s="325">
        <f t="shared" si="68"/>
        <v>2036</v>
      </c>
      <c r="AO99" s="325">
        <f t="shared" si="68"/>
        <v>2037</v>
      </c>
      <c r="AP99" s="325">
        <f t="shared" si="68"/>
        <v>2038</v>
      </c>
      <c r="AQ99" s="325">
        <f t="shared" si="68"/>
        <v>2039</v>
      </c>
      <c r="AR99" s="325">
        <f t="shared" si="68"/>
        <v>2040</v>
      </c>
      <c r="AS99" s="325">
        <f t="shared" si="68"/>
        <v>2041</v>
      </c>
      <c r="AT99" s="325">
        <f t="shared" si="68"/>
        <v>2042</v>
      </c>
      <c r="AU99" s="325">
        <f t="shared" si="68"/>
        <v>2043</v>
      </c>
    </row>
    <row r="100" spans="1:47">
      <c r="E100" s="325"/>
      <c r="G100" s="39"/>
      <c r="H100" s="39"/>
      <c r="I100" s="39"/>
      <c r="J100" s="39"/>
      <c r="K100" s="39"/>
    </row>
    <row r="101" spans="1:47">
      <c r="E101" s="325"/>
      <c r="G101" s="39" t="s">
        <v>23</v>
      </c>
      <c r="H101" s="39"/>
      <c r="I101" s="39"/>
      <c r="J101" s="39"/>
      <c r="K101" s="39"/>
    </row>
    <row r="102" spans="1:47">
      <c r="A102" s="38" t="str">
        <f t="shared" ref="A102:A109" si="69">$J$4&amp;"-"</f>
        <v>1Y-</v>
      </c>
      <c r="B102" s="38" t="s">
        <v>262</v>
      </c>
      <c r="C102" s="38" t="str">
        <f>C96</f>
        <v>Anaerobic Digestion</v>
      </c>
      <c r="D102" s="186">
        <f>LaborEsc</f>
        <v>0.02</v>
      </c>
      <c r="E102" s="325"/>
      <c r="G102" s="36" t="s">
        <v>125</v>
      </c>
      <c r="I102" s="39"/>
      <c r="K102" s="39"/>
      <c r="L102" s="43" t="s">
        <v>266</v>
      </c>
      <c r="N102" s="70">
        <f ca="1">SUMIFS(OFFSET(Assumptions!$I$90,0,MATCH($A102,Configurations,0)-1,COUNT(Assumptions!$A$90:$A$183),1),Assumptions!$D$90:$D$183,$B102&amp;$C102)</f>
        <v>2555</v>
      </c>
      <c r="O102" s="313"/>
      <c r="P102" s="323"/>
      <c r="Q102" s="313"/>
      <c r="R102" s="50">
        <f t="shared" ref="R102:AU102" ca="1" si="70">IF(OR(R$99&lt;InServiceYr,R$99&gt;(InServiceYr+analysis_period-1)),0,IF($P102=0,$N102,$P102)*LaborCost*(1+$D102)^(R$99-CostBaseYr))</f>
        <v>91213.5</v>
      </c>
      <c r="S102" s="50">
        <f t="shared" ca="1" si="70"/>
        <v>93037.77</v>
      </c>
      <c r="T102" s="50">
        <f t="shared" ca="1" si="70"/>
        <v>94898.525399999999</v>
      </c>
      <c r="U102" s="50">
        <f t="shared" ca="1" si="70"/>
        <v>96796.495907999997</v>
      </c>
      <c r="V102" s="50">
        <f t="shared" ca="1" si="70"/>
        <v>98732.425826160004</v>
      </c>
      <c r="W102" s="50">
        <f t="shared" ca="1" si="70"/>
        <v>100707.07434268321</v>
      </c>
      <c r="X102" s="50">
        <f t="shared" ca="1" si="70"/>
        <v>102721.21582953684</v>
      </c>
      <c r="Y102" s="50">
        <f t="shared" ca="1" si="70"/>
        <v>104775.6401461276</v>
      </c>
      <c r="Z102" s="50">
        <f t="shared" ca="1" si="70"/>
        <v>106871.15294905014</v>
      </c>
      <c r="AA102" s="50">
        <f t="shared" ca="1" si="70"/>
        <v>109008.57600803116</v>
      </c>
      <c r="AB102" s="50">
        <f t="shared" ca="1" si="70"/>
        <v>111188.74752819176</v>
      </c>
      <c r="AC102" s="50">
        <f t="shared" ca="1" si="70"/>
        <v>113412.52247875561</v>
      </c>
      <c r="AD102" s="50">
        <f t="shared" ca="1" si="70"/>
        <v>115680.77292833071</v>
      </c>
      <c r="AE102" s="50">
        <f t="shared" ca="1" si="70"/>
        <v>117994.38838689734</v>
      </c>
      <c r="AF102" s="50">
        <f t="shared" ca="1" si="70"/>
        <v>120354.27615463526</v>
      </c>
      <c r="AG102" s="50">
        <f t="shared" ca="1" si="70"/>
        <v>122761.36167772798</v>
      </c>
      <c r="AH102" s="50">
        <f t="shared" ca="1" si="70"/>
        <v>125216.58891128255</v>
      </c>
      <c r="AI102" s="50">
        <f t="shared" ca="1" si="70"/>
        <v>127720.92068950819</v>
      </c>
      <c r="AJ102" s="50">
        <f t="shared" ca="1" si="70"/>
        <v>130275.33910329835</v>
      </c>
      <c r="AK102" s="50">
        <f t="shared" ca="1" si="70"/>
        <v>132880.84588536434</v>
      </c>
      <c r="AL102" s="50">
        <f t="shared" si="70"/>
        <v>0</v>
      </c>
      <c r="AM102" s="50">
        <f t="shared" si="70"/>
        <v>0</v>
      </c>
      <c r="AN102" s="50">
        <f t="shared" si="70"/>
        <v>0</v>
      </c>
      <c r="AO102" s="50">
        <f t="shared" si="70"/>
        <v>0</v>
      </c>
      <c r="AP102" s="50">
        <f t="shared" si="70"/>
        <v>0</v>
      </c>
      <c r="AQ102" s="50">
        <f t="shared" si="70"/>
        <v>0</v>
      </c>
      <c r="AR102" s="50">
        <f t="shared" si="70"/>
        <v>0</v>
      </c>
      <c r="AS102" s="50">
        <f t="shared" si="70"/>
        <v>0</v>
      </c>
      <c r="AT102" s="50">
        <f t="shared" si="70"/>
        <v>0</v>
      </c>
      <c r="AU102" s="50">
        <f t="shared" si="70"/>
        <v>0</v>
      </c>
    </row>
    <row r="103" spans="1:47">
      <c r="A103" s="38" t="str">
        <f t="shared" si="69"/>
        <v>1Y-</v>
      </c>
      <c r="B103" s="38" t="s">
        <v>270</v>
      </c>
      <c r="C103" s="38" t="str">
        <f>C102</f>
        <v>Anaerobic Digestion</v>
      </c>
      <c r="D103" s="186">
        <f>OMEsc</f>
        <v>0.02</v>
      </c>
      <c r="E103" s="325"/>
      <c r="G103" s="36" t="s">
        <v>126</v>
      </c>
      <c r="I103" s="39"/>
      <c r="K103" s="39"/>
      <c r="L103" s="43" t="str">
        <f>"["&amp;CostBaseYr&amp;" $]"</f>
        <v>[2013 $]</v>
      </c>
      <c r="N103" s="70">
        <f ca="1">SUMIFS(OFFSET(Assumptions!$I$90,0,MATCH($A103,Configurations,0)-1,COUNT(Assumptions!$A$90:$A$183),1),Assumptions!$D$90:$D$183,$B103&amp;$C103)</f>
        <v>55000</v>
      </c>
      <c r="O103" s="313"/>
      <c r="P103" s="323"/>
      <c r="Q103" s="313"/>
      <c r="R103" s="50">
        <f t="shared" ref="R103:AG105" ca="1" si="71">IF(OR(R$99&lt;InServiceYr,R$99&gt;(InServiceYr+analysis_period-1)),0,IF($P103=0,$N103,$P103)*(1+$D103)^(R$99-CostBaseYr))</f>
        <v>56100</v>
      </c>
      <c r="S103" s="50">
        <f t="shared" ca="1" si="71"/>
        <v>57222</v>
      </c>
      <c r="T103" s="50">
        <f t="shared" ca="1" si="71"/>
        <v>58366.439999999995</v>
      </c>
      <c r="U103" s="50">
        <f t="shared" ca="1" si="71"/>
        <v>59533.768799999998</v>
      </c>
      <c r="V103" s="50">
        <f t="shared" ca="1" si="71"/>
        <v>60724.444176000005</v>
      </c>
      <c r="W103" s="50">
        <f t="shared" ca="1" si="71"/>
        <v>61938.933059520001</v>
      </c>
      <c r="X103" s="50">
        <f t="shared" ca="1" si="71"/>
        <v>63177.711720710387</v>
      </c>
      <c r="Y103" s="50">
        <f t="shared" ca="1" si="71"/>
        <v>64441.265955124603</v>
      </c>
      <c r="Z103" s="50">
        <f t="shared" ca="1" si="71"/>
        <v>65730.091274227103</v>
      </c>
      <c r="AA103" s="50">
        <f t="shared" ca="1" si="71"/>
        <v>67044.693099711643</v>
      </c>
      <c r="AB103" s="50">
        <f t="shared" ca="1" si="71"/>
        <v>68385.586961705863</v>
      </c>
      <c r="AC103" s="50">
        <f t="shared" ca="1" si="71"/>
        <v>69753.298700939995</v>
      </c>
      <c r="AD103" s="50">
        <f t="shared" ca="1" si="71"/>
        <v>71148.364674958779</v>
      </c>
      <c r="AE103" s="50">
        <f t="shared" ca="1" si="71"/>
        <v>72571.331968457962</v>
      </c>
      <c r="AF103" s="50">
        <f t="shared" ca="1" si="71"/>
        <v>74022.758607827112</v>
      </c>
      <c r="AG103" s="50">
        <f t="shared" ca="1" si="71"/>
        <v>75503.213779983664</v>
      </c>
      <c r="AH103" s="50">
        <f t="shared" ref="S103:AU105" ca="1" si="72">IF(OR(AH$99&lt;InServiceYr,AH$99&gt;(InServiceYr+analysis_period-1)),0,IF($P103=0,$N103,$P103)*(1+$D103)^(AH$99-CostBaseYr))</f>
        <v>77013.278055583345</v>
      </c>
      <c r="AI103" s="50">
        <f t="shared" ca="1" si="72"/>
        <v>78553.543616694995</v>
      </c>
      <c r="AJ103" s="50">
        <f t="shared" ca="1" si="72"/>
        <v>80124.6144890289</v>
      </c>
      <c r="AK103" s="50">
        <f t="shared" ca="1" si="72"/>
        <v>81727.106778809481</v>
      </c>
      <c r="AL103" s="50">
        <f t="shared" si="72"/>
        <v>0</v>
      </c>
      <c r="AM103" s="50">
        <f t="shared" si="72"/>
        <v>0</v>
      </c>
      <c r="AN103" s="50">
        <f t="shared" si="72"/>
        <v>0</v>
      </c>
      <c r="AO103" s="50">
        <f t="shared" si="72"/>
        <v>0</v>
      </c>
      <c r="AP103" s="50">
        <f t="shared" si="72"/>
        <v>0</v>
      </c>
      <c r="AQ103" s="50">
        <f t="shared" si="72"/>
        <v>0</v>
      </c>
      <c r="AR103" s="50">
        <f t="shared" si="72"/>
        <v>0</v>
      </c>
      <c r="AS103" s="50">
        <f t="shared" si="72"/>
        <v>0</v>
      </c>
      <c r="AT103" s="50">
        <f t="shared" si="72"/>
        <v>0</v>
      </c>
      <c r="AU103" s="50">
        <f t="shared" si="72"/>
        <v>0</v>
      </c>
    </row>
    <row r="104" spans="1:47">
      <c r="A104" s="38" t="str">
        <f t="shared" si="69"/>
        <v>1Y-</v>
      </c>
      <c r="B104" s="38" t="s">
        <v>263</v>
      </c>
      <c r="C104" s="38" t="str">
        <f t="shared" ref="C104:C108" si="73">C103</f>
        <v>Anaerobic Digestion</v>
      </c>
      <c r="D104" s="186">
        <f>OMEsc</f>
        <v>0.02</v>
      </c>
      <c r="E104" s="325"/>
      <c r="G104" s="36" t="s">
        <v>127</v>
      </c>
      <c r="I104" s="39"/>
      <c r="K104" s="39"/>
      <c r="L104" s="43" t="str">
        <f>"["&amp;CostBaseYr&amp;" $]"</f>
        <v>[2013 $]</v>
      </c>
      <c r="N104" s="70">
        <f ca="1">SUMIFS(OFFSET(Assumptions!$I$90,0,MATCH($A104,Configurations,0)-1,COUNT(Assumptions!$A$90:$A$183),1),Assumptions!$D$90:$D$183,$B104&amp;$C104)</f>
        <v>0</v>
      </c>
      <c r="O104" s="313"/>
      <c r="P104" s="323"/>
      <c r="Q104" s="313"/>
      <c r="R104" s="50">
        <f t="shared" ca="1" si="71"/>
        <v>0</v>
      </c>
      <c r="S104" s="50">
        <f t="shared" ca="1" si="72"/>
        <v>0</v>
      </c>
      <c r="T104" s="50">
        <f t="shared" ca="1" si="72"/>
        <v>0</v>
      </c>
      <c r="U104" s="50">
        <f t="shared" ca="1" si="72"/>
        <v>0</v>
      </c>
      <c r="V104" s="50">
        <f t="shared" ca="1" si="72"/>
        <v>0</v>
      </c>
      <c r="W104" s="50">
        <f t="shared" ca="1" si="72"/>
        <v>0</v>
      </c>
      <c r="X104" s="50">
        <f t="shared" ca="1" si="72"/>
        <v>0</v>
      </c>
      <c r="Y104" s="50">
        <f t="shared" ca="1" si="72"/>
        <v>0</v>
      </c>
      <c r="Z104" s="50">
        <f t="shared" ca="1" si="72"/>
        <v>0</v>
      </c>
      <c r="AA104" s="50">
        <f t="shared" ca="1" si="72"/>
        <v>0</v>
      </c>
      <c r="AB104" s="50">
        <f t="shared" ca="1" si="72"/>
        <v>0</v>
      </c>
      <c r="AC104" s="50">
        <f t="shared" ca="1" si="72"/>
        <v>0</v>
      </c>
      <c r="AD104" s="50">
        <f t="shared" ca="1" si="72"/>
        <v>0</v>
      </c>
      <c r="AE104" s="50">
        <f t="shared" ca="1" si="72"/>
        <v>0</v>
      </c>
      <c r="AF104" s="50">
        <f t="shared" ca="1" si="72"/>
        <v>0</v>
      </c>
      <c r="AG104" s="50">
        <f t="shared" ca="1" si="72"/>
        <v>0</v>
      </c>
      <c r="AH104" s="50">
        <f t="shared" ca="1" si="72"/>
        <v>0</v>
      </c>
      <c r="AI104" s="50">
        <f t="shared" ca="1" si="72"/>
        <v>0</v>
      </c>
      <c r="AJ104" s="50">
        <f t="shared" ca="1" si="72"/>
        <v>0</v>
      </c>
      <c r="AK104" s="50">
        <f t="shared" ca="1" si="72"/>
        <v>0</v>
      </c>
      <c r="AL104" s="50">
        <f t="shared" si="72"/>
        <v>0</v>
      </c>
      <c r="AM104" s="50">
        <f t="shared" si="72"/>
        <v>0</v>
      </c>
      <c r="AN104" s="50">
        <f t="shared" si="72"/>
        <v>0</v>
      </c>
      <c r="AO104" s="50">
        <f t="shared" si="72"/>
        <v>0</v>
      </c>
      <c r="AP104" s="50">
        <f t="shared" si="72"/>
        <v>0</v>
      </c>
      <c r="AQ104" s="50">
        <f t="shared" si="72"/>
        <v>0</v>
      </c>
      <c r="AR104" s="50">
        <f t="shared" si="72"/>
        <v>0</v>
      </c>
      <c r="AS104" s="50">
        <f t="shared" si="72"/>
        <v>0</v>
      </c>
      <c r="AT104" s="50">
        <f t="shared" si="72"/>
        <v>0</v>
      </c>
      <c r="AU104" s="50">
        <f t="shared" si="72"/>
        <v>0</v>
      </c>
    </row>
    <row r="105" spans="1:47">
      <c r="A105" s="38" t="str">
        <f t="shared" si="69"/>
        <v>1Y-</v>
      </c>
      <c r="B105" s="38" t="s">
        <v>277</v>
      </c>
      <c r="C105" s="38" t="str">
        <f t="shared" si="73"/>
        <v>Anaerobic Digestion</v>
      </c>
      <c r="D105" s="186">
        <f>OMEsc</f>
        <v>0.02</v>
      </c>
      <c r="E105" s="325"/>
      <c r="G105" s="36" t="s">
        <v>276</v>
      </c>
      <c r="I105" s="39"/>
      <c r="K105" s="39"/>
      <c r="L105" s="43" t="str">
        <f>"["&amp;CostBaseYr&amp;" $]"</f>
        <v>[2013 $]</v>
      </c>
      <c r="N105" s="70">
        <f ca="1">SUMIFS(OFFSET(Assumptions!$I$90,0,MATCH($A105,Configurations,0)-1,COUNT(Assumptions!$A$90:$A$183),1),Assumptions!$D$90:$D$183,$B105&amp;$C105)</f>
        <v>0</v>
      </c>
      <c r="O105" s="313"/>
      <c r="P105" s="323"/>
      <c r="Q105" s="313"/>
      <c r="R105" s="50">
        <f t="shared" ca="1" si="71"/>
        <v>0</v>
      </c>
      <c r="S105" s="50">
        <f t="shared" ca="1" si="72"/>
        <v>0</v>
      </c>
      <c r="T105" s="50">
        <f t="shared" ca="1" si="72"/>
        <v>0</v>
      </c>
      <c r="U105" s="50">
        <f t="shared" ca="1" si="72"/>
        <v>0</v>
      </c>
      <c r="V105" s="50">
        <f t="shared" ca="1" si="72"/>
        <v>0</v>
      </c>
      <c r="W105" s="50">
        <f t="shared" ca="1" si="72"/>
        <v>0</v>
      </c>
      <c r="X105" s="50">
        <f t="shared" ca="1" si="72"/>
        <v>0</v>
      </c>
      <c r="Y105" s="50">
        <f t="shared" ca="1" si="72"/>
        <v>0</v>
      </c>
      <c r="Z105" s="50">
        <f t="shared" ca="1" si="72"/>
        <v>0</v>
      </c>
      <c r="AA105" s="50">
        <f t="shared" ca="1" si="72"/>
        <v>0</v>
      </c>
      <c r="AB105" s="50">
        <f t="shared" ca="1" si="72"/>
        <v>0</v>
      </c>
      <c r="AC105" s="50">
        <f t="shared" ca="1" si="72"/>
        <v>0</v>
      </c>
      <c r="AD105" s="50">
        <f t="shared" ca="1" si="72"/>
        <v>0</v>
      </c>
      <c r="AE105" s="50">
        <f t="shared" ca="1" si="72"/>
        <v>0</v>
      </c>
      <c r="AF105" s="50">
        <f t="shared" ca="1" si="72"/>
        <v>0</v>
      </c>
      <c r="AG105" s="50">
        <f t="shared" ca="1" si="72"/>
        <v>0</v>
      </c>
      <c r="AH105" s="50">
        <f t="shared" ca="1" si="72"/>
        <v>0</v>
      </c>
      <c r="AI105" s="50">
        <f t="shared" ca="1" si="72"/>
        <v>0</v>
      </c>
      <c r="AJ105" s="50">
        <f t="shared" ca="1" si="72"/>
        <v>0</v>
      </c>
      <c r="AK105" s="50">
        <f t="shared" ca="1" si="72"/>
        <v>0</v>
      </c>
      <c r="AL105" s="50">
        <f t="shared" si="72"/>
        <v>0</v>
      </c>
      <c r="AM105" s="50">
        <f t="shared" si="72"/>
        <v>0</v>
      </c>
      <c r="AN105" s="50">
        <f t="shared" si="72"/>
        <v>0</v>
      </c>
      <c r="AO105" s="50">
        <f t="shared" si="72"/>
        <v>0</v>
      </c>
      <c r="AP105" s="50">
        <f t="shared" si="72"/>
        <v>0</v>
      </c>
      <c r="AQ105" s="50">
        <f t="shared" si="72"/>
        <v>0</v>
      </c>
      <c r="AR105" s="50">
        <f t="shared" si="72"/>
        <v>0</v>
      </c>
      <c r="AS105" s="50">
        <f t="shared" si="72"/>
        <v>0</v>
      </c>
      <c r="AT105" s="50">
        <f t="shared" si="72"/>
        <v>0</v>
      </c>
      <c r="AU105" s="50">
        <f t="shared" si="72"/>
        <v>0</v>
      </c>
    </row>
    <row r="106" spans="1:47">
      <c r="A106" s="38" t="str">
        <f t="shared" si="69"/>
        <v>1Y-</v>
      </c>
      <c r="B106" s="38" t="s">
        <v>274</v>
      </c>
      <c r="C106" s="38" t="str">
        <f t="shared" si="73"/>
        <v>Anaerobic Digestion</v>
      </c>
      <c r="D106" s="186"/>
      <c r="E106" s="325"/>
      <c r="G106" s="36" t="s">
        <v>16</v>
      </c>
      <c r="I106" s="39"/>
      <c r="K106" s="39"/>
      <c r="L106" s="43" t="s">
        <v>275</v>
      </c>
      <c r="N106" s="70">
        <f ca="1">SUMIFS(OFFSET(Assumptions!$I$90,0,MATCH($A106,Configurations,0)-1,COUNT(Assumptions!$A$90:$A$183),1),Assumptions!$D$90:$D$183,$B106&amp;$C106)</f>
        <v>0</v>
      </c>
      <c r="O106" s="313"/>
      <c r="P106" s="323"/>
      <c r="Q106" s="313"/>
      <c r="R106" s="50">
        <f t="shared" ref="R106:AU106" ca="1" si="74">IF(OR(R$99&lt;InServiceYr,R$99&gt;(InServiceYr+analysis_period-1)),0,IF($P106=0,$N106,$P106)*R$505)</f>
        <v>0</v>
      </c>
      <c r="S106" s="50">
        <f t="shared" ca="1" si="74"/>
        <v>0</v>
      </c>
      <c r="T106" s="50">
        <f t="shared" ca="1" si="74"/>
        <v>0</v>
      </c>
      <c r="U106" s="50">
        <f t="shared" ca="1" si="74"/>
        <v>0</v>
      </c>
      <c r="V106" s="50">
        <f t="shared" ca="1" si="74"/>
        <v>0</v>
      </c>
      <c r="W106" s="50">
        <f t="shared" ca="1" si="74"/>
        <v>0</v>
      </c>
      <c r="X106" s="50">
        <f t="shared" ca="1" si="74"/>
        <v>0</v>
      </c>
      <c r="Y106" s="50">
        <f t="shared" ca="1" si="74"/>
        <v>0</v>
      </c>
      <c r="Z106" s="50">
        <f t="shared" ca="1" si="74"/>
        <v>0</v>
      </c>
      <c r="AA106" s="50">
        <f t="shared" ca="1" si="74"/>
        <v>0</v>
      </c>
      <c r="AB106" s="50">
        <f t="shared" ca="1" si="74"/>
        <v>0</v>
      </c>
      <c r="AC106" s="50">
        <f t="shared" ca="1" si="74"/>
        <v>0</v>
      </c>
      <c r="AD106" s="50">
        <f t="shared" ca="1" si="74"/>
        <v>0</v>
      </c>
      <c r="AE106" s="50">
        <f t="shared" ca="1" si="74"/>
        <v>0</v>
      </c>
      <c r="AF106" s="50">
        <f t="shared" ca="1" si="74"/>
        <v>0</v>
      </c>
      <c r="AG106" s="50">
        <f t="shared" ca="1" si="74"/>
        <v>0</v>
      </c>
      <c r="AH106" s="50">
        <f t="shared" ca="1" si="74"/>
        <v>0</v>
      </c>
      <c r="AI106" s="50">
        <f t="shared" ca="1" si="74"/>
        <v>0</v>
      </c>
      <c r="AJ106" s="50">
        <f t="shared" ca="1" si="74"/>
        <v>0</v>
      </c>
      <c r="AK106" s="50">
        <f t="shared" ca="1" si="74"/>
        <v>0</v>
      </c>
      <c r="AL106" s="50">
        <f t="shared" si="74"/>
        <v>0</v>
      </c>
      <c r="AM106" s="50">
        <f t="shared" si="74"/>
        <v>0</v>
      </c>
      <c r="AN106" s="50">
        <f t="shared" si="74"/>
        <v>0</v>
      </c>
      <c r="AO106" s="50">
        <f t="shared" si="74"/>
        <v>0</v>
      </c>
      <c r="AP106" s="50">
        <f t="shared" si="74"/>
        <v>0</v>
      </c>
      <c r="AQ106" s="50">
        <f t="shared" si="74"/>
        <v>0</v>
      </c>
      <c r="AR106" s="50">
        <f t="shared" si="74"/>
        <v>0</v>
      </c>
      <c r="AS106" s="50">
        <f t="shared" si="74"/>
        <v>0</v>
      </c>
      <c r="AT106" s="50">
        <f t="shared" si="74"/>
        <v>0</v>
      </c>
      <c r="AU106" s="50">
        <f t="shared" si="74"/>
        <v>0</v>
      </c>
    </row>
    <row r="107" spans="1:47">
      <c r="A107" s="38" t="str">
        <f t="shared" si="69"/>
        <v>1Y-</v>
      </c>
      <c r="B107" s="38" t="s">
        <v>257</v>
      </c>
      <c r="C107" s="38" t="str">
        <f t="shared" si="73"/>
        <v>Anaerobic Digestion</v>
      </c>
      <c r="D107" s="186"/>
      <c r="E107" s="325"/>
      <c r="G107" s="36" t="s">
        <v>284</v>
      </c>
      <c r="I107" s="39"/>
      <c r="K107" s="39"/>
      <c r="L107" s="43" t="s">
        <v>293</v>
      </c>
      <c r="N107" s="70">
        <f ca="1">SUMIFS(OFFSET(Assumptions!$I$90,0,MATCH($A107,Configurations,0)-1,COUNT(Assumptions!$A$90:$A$183),1),Assumptions!$D$90:$D$183,$B107&amp;$C107)</f>
        <v>166080</v>
      </c>
      <c r="O107" s="313"/>
      <c r="P107" s="323"/>
      <c r="Q107" s="313"/>
      <c r="R107" s="50">
        <f t="shared" ref="R107:AU107" ca="1" si="75">IF(OR(R$99&lt;InServiceYr,R$99&gt;(InServiceYr+analysis_period-1)),0,IF($P107=0,$N107,$P107)*R$501)</f>
        <v>10725.704830905401</v>
      </c>
      <c r="S107" s="50">
        <f t="shared" ca="1" si="75"/>
        <v>10792.563847473732</v>
      </c>
      <c r="T107" s="50">
        <f t="shared" ca="1" si="75"/>
        <v>11257.83064354522</v>
      </c>
      <c r="U107" s="50">
        <f t="shared" ca="1" si="75"/>
        <v>11595.537391838099</v>
      </c>
      <c r="V107" s="50">
        <f t="shared" ca="1" si="75"/>
        <v>11875.350583992436</v>
      </c>
      <c r="W107" s="50">
        <f t="shared" ca="1" si="75"/>
        <v>12027.275302482405</v>
      </c>
      <c r="X107" s="50">
        <f t="shared" ca="1" si="75"/>
        <v>12222.988817820467</v>
      </c>
      <c r="Y107" s="50">
        <f t="shared" ca="1" si="75"/>
        <v>12524.138367518824</v>
      </c>
      <c r="Z107" s="50">
        <f t="shared" ca="1" si="75"/>
        <v>12823.974779925657</v>
      </c>
      <c r="AA107" s="50">
        <f t="shared" ca="1" si="75"/>
        <v>13144.605647164997</v>
      </c>
      <c r="AB107" s="50">
        <f t="shared" ca="1" si="75"/>
        <v>13429.315216274832</v>
      </c>
      <c r="AC107" s="50">
        <f t="shared" ca="1" si="75"/>
        <v>13687.914927466554</v>
      </c>
      <c r="AD107" s="50">
        <f t="shared" ca="1" si="75"/>
        <v>14004.102985223668</v>
      </c>
      <c r="AE107" s="50">
        <f t="shared" ca="1" si="75"/>
        <v>14323.279718541216</v>
      </c>
      <c r="AF107" s="50">
        <f t="shared" ca="1" si="75"/>
        <v>14663.838675776486</v>
      </c>
      <c r="AG107" s="50">
        <f t="shared" ca="1" si="75"/>
        <v>15045.344979696478</v>
      </c>
      <c r="AH107" s="50">
        <f t="shared" ca="1" si="75"/>
        <v>15414.068155390458</v>
      </c>
      <c r="AI107" s="50">
        <f t="shared" ca="1" si="75"/>
        <v>15813.933466324572</v>
      </c>
      <c r="AJ107" s="50">
        <f t="shared" ca="1" si="75"/>
        <v>16237.248951753654</v>
      </c>
      <c r="AK107" s="50">
        <f t="shared" ca="1" si="75"/>
        <v>16678.955154282376</v>
      </c>
      <c r="AL107" s="50">
        <f t="shared" si="75"/>
        <v>0</v>
      </c>
      <c r="AM107" s="50">
        <f t="shared" si="75"/>
        <v>0</v>
      </c>
      <c r="AN107" s="50">
        <f t="shared" si="75"/>
        <v>0</v>
      </c>
      <c r="AO107" s="50">
        <f t="shared" si="75"/>
        <v>0</v>
      </c>
      <c r="AP107" s="50">
        <f t="shared" si="75"/>
        <v>0</v>
      </c>
      <c r="AQ107" s="50">
        <f t="shared" si="75"/>
        <v>0</v>
      </c>
      <c r="AR107" s="50">
        <f t="shared" si="75"/>
        <v>0</v>
      </c>
      <c r="AS107" s="50">
        <f t="shared" si="75"/>
        <v>0</v>
      </c>
      <c r="AT107" s="50">
        <f t="shared" si="75"/>
        <v>0</v>
      </c>
      <c r="AU107" s="50">
        <f t="shared" si="75"/>
        <v>0</v>
      </c>
    </row>
    <row r="108" spans="1:47">
      <c r="A108" s="38" t="str">
        <f t="shared" si="69"/>
        <v>1Y-</v>
      </c>
      <c r="B108" s="38" t="s">
        <v>864</v>
      </c>
      <c r="C108" s="38" t="str">
        <f t="shared" si="73"/>
        <v>Anaerobic Digestion</v>
      </c>
      <c r="D108" s="186">
        <f>GHGEsc</f>
        <v>0.02</v>
      </c>
      <c r="E108" s="325"/>
      <c r="G108" s="36" t="s">
        <v>865</v>
      </c>
      <c r="I108" s="39"/>
      <c r="K108" s="39"/>
      <c r="L108" s="43" t="s">
        <v>866</v>
      </c>
      <c r="N108" s="70">
        <f ca="1">SUMIFS(OFFSET(Assumptions!$I$90,0,MATCH($A108,Configurations,0)-1,COUNT(Assumptions!$A$90:$A$183),1),Assumptions!$D$90:$D$183,$B108&amp;$C108)</f>
        <v>0</v>
      </c>
      <c r="O108" s="313"/>
      <c r="P108" s="323"/>
      <c r="Q108" s="313"/>
      <c r="R108" s="50">
        <f t="shared" ref="R108:AU108" ca="1" si="76">IF(OR(R$99&lt;InServiceYr,R$99&gt;(InServiceYr+analysis_period-1)),0,IF($P108=0,$N108,$P108)*R$513)</f>
        <v>0</v>
      </c>
      <c r="S108" s="50">
        <f t="shared" ca="1" si="76"/>
        <v>0</v>
      </c>
      <c r="T108" s="50">
        <f t="shared" ca="1" si="76"/>
        <v>0</v>
      </c>
      <c r="U108" s="50">
        <f t="shared" ca="1" si="76"/>
        <v>0</v>
      </c>
      <c r="V108" s="50">
        <f t="shared" ca="1" si="76"/>
        <v>0</v>
      </c>
      <c r="W108" s="50">
        <f t="shared" ca="1" si="76"/>
        <v>0</v>
      </c>
      <c r="X108" s="50">
        <f t="shared" ca="1" si="76"/>
        <v>0</v>
      </c>
      <c r="Y108" s="50">
        <f t="shared" ca="1" si="76"/>
        <v>0</v>
      </c>
      <c r="Z108" s="50">
        <f t="shared" ca="1" si="76"/>
        <v>0</v>
      </c>
      <c r="AA108" s="50">
        <f t="shared" ca="1" si="76"/>
        <v>0</v>
      </c>
      <c r="AB108" s="50">
        <f t="shared" ca="1" si="76"/>
        <v>0</v>
      </c>
      <c r="AC108" s="50">
        <f t="shared" ca="1" si="76"/>
        <v>0</v>
      </c>
      <c r="AD108" s="50">
        <f t="shared" ca="1" si="76"/>
        <v>0</v>
      </c>
      <c r="AE108" s="50">
        <f t="shared" ca="1" si="76"/>
        <v>0</v>
      </c>
      <c r="AF108" s="50">
        <f t="shared" ca="1" si="76"/>
        <v>0</v>
      </c>
      <c r="AG108" s="50">
        <f t="shared" ca="1" si="76"/>
        <v>0</v>
      </c>
      <c r="AH108" s="50">
        <f t="shared" ca="1" si="76"/>
        <v>0</v>
      </c>
      <c r="AI108" s="50">
        <f t="shared" ca="1" si="76"/>
        <v>0</v>
      </c>
      <c r="AJ108" s="50">
        <f t="shared" ca="1" si="76"/>
        <v>0</v>
      </c>
      <c r="AK108" s="50">
        <f t="shared" ca="1" si="76"/>
        <v>0</v>
      </c>
      <c r="AL108" s="50">
        <f t="shared" si="76"/>
        <v>0</v>
      </c>
      <c r="AM108" s="50">
        <f t="shared" si="76"/>
        <v>0</v>
      </c>
      <c r="AN108" s="50">
        <f t="shared" si="76"/>
        <v>0</v>
      </c>
      <c r="AO108" s="50">
        <f t="shared" si="76"/>
        <v>0</v>
      </c>
      <c r="AP108" s="50">
        <f t="shared" si="76"/>
        <v>0</v>
      </c>
      <c r="AQ108" s="50">
        <f t="shared" si="76"/>
        <v>0</v>
      </c>
      <c r="AR108" s="50">
        <f t="shared" si="76"/>
        <v>0</v>
      </c>
      <c r="AS108" s="50">
        <f t="shared" si="76"/>
        <v>0</v>
      </c>
      <c r="AT108" s="50">
        <f t="shared" si="76"/>
        <v>0</v>
      </c>
      <c r="AU108" s="50">
        <f t="shared" si="76"/>
        <v>0</v>
      </c>
    </row>
    <row r="109" spans="1:47">
      <c r="A109" s="38" t="str">
        <f t="shared" si="69"/>
        <v>1Y-</v>
      </c>
      <c r="B109" s="38" t="s">
        <v>273</v>
      </c>
      <c r="C109" s="38" t="str">
        <f>C107</f>
        <v>Anaerobic Digestion</v>
      </c>
      <c r="D109" s="186">
        <f>LaborEsc</f>
        <v>0.02</v>
      </c>
      <c r="E109" s="325"/>
      <c r="G109" s="36" t="s">
        <v>291</v>
      </c>
      <c r="I109" s="39"/>
      <c r="K109" s="39"/>
      <c r="L109" s="43" t="str">
        <f>"["&amp;CostBaseYr&amp;" $]"</f>
        <v>[2013 $]</v>
      </c>
      <c r="N109" s="70">
        <f ca="1">SUMIFS(OFFSET(Assumptions!$I$90,0,MATCH($A109,Configurations,0)-1,COUNT(Assumptions!$A$90:$A$183),1),Assumptions!$D$90:$D$183,$B109&amp;$C109)</f>
        <v>19000</v>
      </c>
      <c r="O109" s="313"/>
      <c r="P109" s="323"/>
      <c r="Q109" s="313"/>
      <c r="R109" s="50">
        <f t="shared" ref="R109:AU109" ca="1" si="77">IF(OR(R$99&lt;InServiceYr,R$99&gt;(InServiceYr+analysis_period-1)),0,IF($P109=0,$N109,$P109)*(1+$D109)^(R$99-CostBaseYr))*R$509</f>
        <v>0</v>
      </c>
      <c r="S109" s="50">
        <f t="shared" ca="1" si="77"/>
        <v>0</v>
      </c>
      <c r="T109" s="50">
        <f t="shared" ca="1" si="77"/>
        <v>0</v>
      </c>
      <c r="U109" s="50">
        <f t="shared" ca="1" si="77"/>
        <v>0</v>
      </c>
      <c r="V109" s="50">
        <f t="shared" ca="1" si="77"/>
        <v>20977.535260799999</v>
      </c>
      <c r="W109" s="50">
        <f t="shared" ca="1" si="77"/>
        <v>0</v>
      </c>
      <c r="X109" s="50">
        <f t="shared" ca="1" si="77"/>
        <v>0</v>
      </c>
      <c r="Y109" s="50">
        <f t="shared" ca="1" si="77"/>
        <v>0</v>
      </c>
      <c r="Z109" s="50">
        <f t="shared" ca="1" si="77"/>
        <v>0</v>
      </c>
      <c r="AA109" s="50">
        <f t="shared" ca="1" si="77"/>
        <v>23160.893979900386</v>
      </c>
      <c r="AB109" s="50">
        <f t="shared" ca="1" si="77"/>
        <v>0</v>
      </c>
      <c r="AC109" s="50">
        <f t="shared" ca="1" si="77"/>
        <v>0</v>
      </c>
      <c r="AD109" s="50">
        <f t="shared" ca="1" si="77"/>
        <v>0</v>
      </c>
      <c r="AE109" s="50">
        <f t="shared" ca="1" si="77"/>
        <v>0</v>
      </c>
      <c r="AF109" s="50">
        <f t="shared" ca="1" si="77"/>
        <v>25571.498428158455</v>
      </c>
      <c r="AG109" s="50">
        <f t="shared" ca="1" si="77"/>
        <v>0</v>
      </c>
      <c r="AH109" s="50">
        <f t="shared" ca="1" si="77"/>
        <v>0</v>
      </c>
      <c r="AI109" s="50">
        <f t="shared" ca="1" si="77"/>
        <v>0</v>
      </c>
      <c r="AJ109" s="50">
        <f t="shared" ca="1" si="77"/>
        <v>0</v>
      </c>
      <c r="AK109" s="50">
        <f t="shared" ca="1" si="77"/>
        <v>28233.000523588729</v>
      </c>
      <c r="AL109" s="50">
        <f t="shared" si="77"/>
        <v>0</v>
      </c>
      <c r="AM109" s="50">
        <f t="shared" si="77"/>
        <v>0</v>
      </c>
      <c r="AN109" s="50">
        <f t="shared" si="77"/>
        <v>0</v>
      </c>
      <c r="AO109" s="50">
        <f t="shared" si="77"/>
        <v>0</v>
      </c>
      <c r="AP109" s="50">
        <f t="shared" si="77"/>
        <v>0</v>
      </c>
      <c r="AQ109" s="50">
        <f t="shared" si="77"/>
        <v>0</v>
      </c>
      <c r="AR109" s="50">
        <f t="shared" si="77"/>
        <v>0</v>
      </c>
      <c r="AS109" s="50">
        <f t="shared" si="77"/>
        <v>0</v>
      </c>
      <c r="AT109" s="50">
        <f t="shared" si="77"/>
        <v>0</v>
      </c>
      <c r="AU109" s="50">
        <f t="shared" si="77"/>
        <v>0</v>
      </c>
    </row>
    <row r="110" spans="1:47">
      <c r="D110" s="186"/>
      <c r="E110" s="325"/>
      <c r="G110" s="39" t="s">
        <v>304</v>
      </c>
      <c r="I110" s="39"/>
      <c r="K110" s="39"/>
      <c r="L110" s="43"/>
      <c r="N110" s="70"/>
      <c r="O110" s="313"/>
      <c r="P110" s="70"/>
      <c r="Q110" s="313"/>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row>
    <row r="111" spans="1:47">
      <c r="A111" s="38" t="str">
        <f>$J$4&amp;"-"</f>
        <v>1Y-</v>
      </c>
      <c r="B111" s="38" t="s">
        <v>265</v>
      </c>
      <c r="C111" s="38" t="str">
        <f>C102</f>
        <v>Anaerobic Digestion</v>
      </c>
      <c r="D111" s="186"/>
      <c r="E111" s="325"/>
      <c r="G111" s="36" t="s">
        <v>108</v>
      </c>
      <c r="I111" s="39"/>
      <c r="K111" s="39"/>
      <c r="L111" s="43" t="s">
        <v>293</v>
      </c>
      <c r="N111" s="70">
        <f ca="1">SUMIFS(OFFSET(Assumptions!$I$90,0,MATCH($A111,Configurations,0)-1,COUNT(Assumptions!$A$90:$A$183),1),Assumptions!$D$90:$D$183,$B111&amp;$C111)</f>
        <v>0</v>
      </c>
      <c r="O111" s="313"/>
      <c r="P111" s="323"/>
      <c r="Q111" s="313"/>
      <c r="R111" s="50">
        <f t="shared" ref="R111:AU111" ca="1" si="78">IF(OR(R$99&lt;InServiceYr,R$99&gt;(InServiceYr+analysis_period-1)),0,IF($P111=0,$N111,$P111)*R$501)</f>
        <v>0</v>
      </c>
      <c r="S111" s="50">
        <f t="shared" ca="1" si="78"/>
        <v>0</v>
      </c>
      <c r="T111" s="50">
        <f t="shared" ca="1" si="78"/>
        <v>0</v>
      </c>
      <c r="U111" s="50">
        <f t="shared" ca="1" si="78"/>
        <v>0</v>
      </c>
      <c r="V111" s="50">
        <f t="shared" ca="1" si="78"/>
        <v>0</v>
      </c>
      <c r="W111" s="50">
        <f t="shared" ca="1" si="78"/>
        <v>0</v>
      </c>
      <c r="X111" s="50">
        <f t="shared" ca="1" si="78"/>
        <v>0</v>
      </c>
      <c r="Y111" s="50">
        <f t="shared" ca="1" si="78"/>
        <v>0</v>
      </c>
      <c r="Z111" s="50">
        <f t="shared" ca="1" si="78"/>
        <v>0</v>
      </c>
      <c r="AA111" s="50">
        <f t="shared" ca="1" si="78"/>
        <v>0</v>
      </c>
      <c r="AB111" s="50">
        <f t="shared" ca="1" si="78"/>
        <v>0</v>
      </c>
      <c r="AC111" s="50">
        <f t="shared" ca="1" si="78"/>
        <v>0</v>
      </c>
      <c r="AD111" s="50">
        <f t="shared" ca="1" si="78"/>
        <v>0</v>
      </c>
      <c r="AE111" s="50">
        <f t="shared" ca="1" si="78"/>
        <v>0</v>
      </c>
      <c r="AF111" s="50">
        <f t="shared" ca="1" si="78"/>
        <v>0</v>
      </c>
      <c r="AG111" s="50">
        <f t="shared" ca="1" si="78"/>
        <v>0</v>
      </c>
      <c r="AH111" s="50">
        <f t="shared" ca="1" si="78"/>
        <v>0</v>
      </c>
      <c r="AI111" s="50">
        <f t="shared" ca="1" si="78"/>
        <v>0</v>
      </c>
      <c r="AJ111" s="50">
        <f t="shared" ca="1" si="78"/>
        <v>0</v>
      </c>
      <c r="AK111" s="50">
        <f t="shared" ca="1" si="78"/>
        <v>0</v>
      </c>
      <c r="AL111" s="50">
        <f t="shared" si="78"/>
        <v>0</v>
      </c>
      <c r="AM111" s="50">
        <f t="shared" si="78"/>
        <v>0</v>
      </c>
      <c r="AN111" s="50">
        <f t="shared" si="78"/>
        <v>0</v>
      </c>
      <c r="AO111" s="50">
        <f t="shared" si="78"/>
        <v>0</v>
      </c>
      <c r="AP111" s="50">
        <f t="shared" si="78"/>
        <v>0</v>
      </c>
      <c r="AQ111" s="50">
        <f t="shared" si="78"/>
        <v>0</v>
      </c>
      <c r="AR111" s="50">
        <f t="shared" si="78"/>
        <v>0</v>
      </c>
      <c r="AS111" s="50">
        <f t="shared" si="78"/>
        <v>0</v>
      </c>
      <c r="AT111" s="50">
        <f t="shared" si="78"/>
        <v>0</v>
      </c>
      <c r="AU111" s="50">
        <f t="shared" si="78"/>
        <v>0</v>
      </c>
    </row>
    <row r="112" spans="1:47">
      <c r="A112" s="38" t="str">
        <f>$J$4&amp;"-"</f>
        <v>1Y-</v>
      </c>
      <c r="B112" s="38" t="s">
        <v>289</v>
      </c>
      <c r="C112" s="38" t="str">
        <f>C102</f>
        <v>Anaerobic Digestion</v>
      </c>
      <c r="D112" s="186">
        <f>LaborEsc</f>
        <v>0.02</v>
      </c>
      <c r="E112" s="325"/>
      <c r="G112" s="36" t="s">
        <v>292</v>
      </c>
      <c r="I112" s="39"/>
      <c r="K112" s="39"/>
      <c r="L112" s="43" t="str">
        <f>"["&amp;CostBaseYr&amp;" $]"</f>
        <v>[2013 $]</v>
      </c>
      <c r="N112" s="70">
        <f ca="1">SUMIFS(OFFSET(Assumptions!$I$90,0,MATCH($A112,Configurations,0)-1,COUNT(Assumptions!$A$90:$A$183),1),Assumptions!$D$90:$D$183,$B112&amp;$C112)</f>
        <v>0</v>
      </c>
      <c r="O112" s="313"/>
      <c r="P112" s="323"/>
      <c r="Q112" s="313"/>
      <c r="R112" s="50">
        <f t="shared" ref="R112:AU112" ca="1" si="79">IF(OR(R$99&lt;InServiceYr,R$99&gt;(InServiceYr+analysis_period-1)),0,IF($P112=0,$N112,$P112)*(1+$D112)^(R$99-CostBaseYr))</f>
        <v>0</v>
      </c>
      <c r="S112" s="50">
        <f t="shared" ca="1" si="79"/>
        <v>0</v>
      </c>
      <c r="T112" s="50">
        <f t="shared" ca="1" si="79"/>
        <v>0</v>
      </c>
      <c r="U112" s="50">
        <f t="shared" ca="1" si="79"/>
        <v>0</v>
      </c>
      <c r="V112" s="50">
        <f t="shared" ca="1" si="79"/>
        <v>0</v>
      </c>
      <c r="W112" s="50">
        <f t="shared" ca="1" si="79"/>
        <v>0</v>
      </c>
      <c r="X112" s="50">
        <f t="shared" ca="1" si="79"/>
        <v>0</v>
      </c>
      <c r="Y112" s="50">
        <f t="shared" ca="1" si="79"/>
        <v>0</v>
      </c>
      <c r="Z112" s="50">
        <f t="shared" ca="1" si="79"/>
        <v>0</v>
      </c>
      <c r="AA112" s="50">
        <f t="shared" ca="1" si="79"/>
        <v>0</v>
      </c>
      <c r="AB112" s="50">
        <f t="shared" ca="1" si="79"/>
        <v>0</v>
      </c>
      <c r="AC112" s="50">
        <f t="shared" ca="1" si="79"/>
        <v>0</v>
      </c>
      <c r="AD112" s="50">
        <f t="shared" ca="1" si="79"/>
        <v>0</v>
      </c>
      <c r="AE112" s="50">
        <f t="shared" ca="1" si="79"/>
        <v>0</v>
      </c>
      <c r="AF112" s="50">
        <f t="shared" ca="1" si="79"/>
        <v>0</v>
      </c>
      <c r="AG112" s="50">
        <f t="shared" ca="1" si="79"/>
        <v>0</v>
      </c>
      <c r="AH112" s="50">
        <f t="shared" ca="1" si="79"/>
        <v>0</v>
      </c>
      <c r="AI112" s="50">
        <f t="shared" ca="1" si="79"/>
        <v>0</v>
      </c>
      <c r="AJ112" s="50">
        <f t="shared" ca="1" si="79"/>
        <v>0</v>
      </c>
      <c r="AK112" s="50">
        <f t="shared" ca="1" si="79"/>
        <v>0</v>
      </c>
      <c r="AL112" s="50">
        <f t="shared" si="79"/>
        <v>0</v>
      </c>
      <c r="AM112" s="50">
        <f t="shared" si="79"/>
        <v>0</v>
      </c>
      <c r="AN112" s="50">
        <f t="shared" si="79"/>
        <v>0</v>
      </c>
      <c r="AO112" s="50">
        <f t="shared" si="79"/>
        <v>0</v>
      </c>
      <c r="AP112" s="50">
        <f t="shared" si="79"/>
        <v>0</v>
      </c>
      <c r="AQ112" s="50">
        <f t="shared" si="79"/>
        <v>0</v>
      </c>
      <c r="AR112" s="50">
        <f t="shared" si="79"/>
        <v>0</v>
      </c>
      <c r="AS112" s="50">
        <f t="shared" si="79"/>
        <v>0</v>
      </c>
      <c r="AT112" s="50">
        <f t="shared" si="79"/>
        <v>0</v>
      </c>
      <c r="AU112" s="50">
        <f t="shared" si="79"/>
        <v>0</v>
      </c>
    </row>
    <row r="113" spans="1:47" s="60" customFormat="1">
      <c r="D113" s="187"/>
      <c r="E113" s="325"/>
      <c r="G113" s="39" t="s">
        <v>305</v>
      </c>
      <c r="I113" s="39"/>
      <c r="K113" s="39"/>
      <c r="L113" s="174"/>
      <c r="N113" s="188"/>
      <c r="O113" s="314"/>
      <c r="P113" s="185"/>
      <c r="Q113" s="314"/>
      <c r="R113" s="185">
        <f ca="1">SUM(R102:R109)-SUM(R111:R112)</f>
        <v>158039.20483090539</v>
      </c>
      <c r="S113" s="185">
        <f t="shared" ref="S113:AU113" ca="1" si="80">SUM(S102:S109)-SUM(S111:S112)</f>
        <v>161052.33384747375</v>
      </c>
      <c r="T113" s="185">
        <f t="shared" ca="1" si="80"/>
        <v>164522.79604354521</v>
      </c>
      <c r="U113" s="185">
        <f t="shared" ca="1" si="80"/>
        <v>167925.8020998381</v>
      </c>
      <c r="V113" s="185">
        <f t="shared" ca="1" si="80"/>
        <v>192309.75584695247</v>
      </c>
      <c r="W113" s="185">
        <f t="shared" ca="1" si="80"/>
        <v>174673.28270468564</v>
      </c>
      <c r="X113" s="185">
        <f t="shared" ca="1" si="80"/>
        <v>178121.9163680677</v>
      </c>
      <c r="Y113" s="185">
        <f t="shared" ca="1" si="80"/>
        <v>181741.044468771</v>
      </c>
      <c r="Z113" s="185">
        <f t="shared" ca="1" si="80"/>
        <v>185425.21900320292</v>
      </c>
      <c r="AA113" s="185">
        <f t="shared" ca="1" si="80"/>
        <v>212358.7687348082</v>
      </c>
      <c r="AB113" s="185">
        <f t="shared" ca="1" si="80"/>
        <v>193003.64970617247</v>
      </c>
      <c r="AC113" s="185">
        <f t="shared" ca="1" si="80"/>
        <v>196853.73610716214</v>
      </c>
      <c r="AD113" s="185">
        <f t="shared" ca="1" si="80"/>
        <v>200833.24058851317</v>
      </c>
      <c r="AE113" s="185">
        <f t="shared" ca="1" si="80"/>
        <v>204889.00007389652</v>
      </c>
      <c r="AF113" s="185">
        <f t="shared" ca="1" si="80"/>
        <v>234612.37186639733</v>
      </c>
      <c r="AG113" s="185">
        <f t="shared" ca="1" si="80"/>
        <v>213309.92043740812</v>
      </c>
      <c r="AH113" s="185">
        <f t="shared" ca="1" si="80"/>
        <v>217643.93512225634</v>
      </c>
      <c r="AI113" s="185">
        <f t="shared" ca="1" si="80"/>
        <v>222088.39777252777</v>
      </c>
      <c r="AJ113" s="185">
        <f t="shared" ca="1" si="80"/>
        <v>226637.20254408091</v>
      </c>
      <c r="AK113" s="185">
        <f t="shared" ca="1" si="80"/>
        <v>259519.90834204492</v>
      </c>
      <c r="AL113" s="185">
        <f t="shared" si="80"/>
        <v>0</v>
      </c>
      <c r="AM113" s="185">
        <f t="shared" si="80"/>
        <v>0</v>
      </c>
      <c r="AN113" s="185">
        <f t="shared" si="80"/>
        <v>0</v>
      </c>
      <c r="AO113" s="185">
        <f t="shared" si="80"/>
        <v>0</v>
      </c>
      <c r="AP113" s="185">
        <f t="shared" si="80"/>
        <v>0</v>
      </c>
      <c r="AQ113" s="185">
        <f t="shared" si="80"/>
        <v>0</v>
      </c>
      <c r="AR113" s="185">
        <f t="shared" si="80"/>
        <v>0</v>
      </c>
      <c r="AS113" s="185">
        <f t="shared" si="80"/>
        <v>0</v>
      </c>
      <c r="AT113" s="185">
        <f t="shared" si="80"/>
        <v>0</v>
      </c>
      <c r="AU113" s="185">
        <f t="shared" si="80"/>
        <v>0</v>
      </c>
    </row>
    <row r="114" spans="1:47">
      <c r="G114" s="28"/>
      <c r="H114" s="28"/>
      <c r="I114" s="28"/>
      <c r="J114" s="28"/>
      <c r="K114" s="28"/>
      <c r="L114" s="409"/>
      <c r="M114" s="46"/>
      <c r="N114" s="46"/>
      <c r="O114" s="315"/>
      <c r="P114" s="46"/>
      <c r="Q114" s="315"/>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row>
    <row r="115" spans="1:47" s="28" customFormat="1">
      <c r="A115" s="40"/>
      <c r="B115" s="40"/>
      <c r="C115" s="40"/>
      <c r="D115" s="40"/>
      <c r="E115" s="327"/>
      <c r="G115" s="324" t="str">
        <f>C117&amp;" Capital Costs"</f>
        <v>Ash Conveyance &amp; Storage Capital Costs</v>
      </c>
      <c r="H115" s="324"/>
      <c r="I115" s="324"/>
      <c r="J115" s="324"/>
      <c r="K115" s="324"/>
      <c r="L115" s="405" t="s">
        <v>79</v>
      </c>
      <c r="M115" s="256"/>
      <c r="N115" s="325" t="s">
        <v>490</v>
      </c>
      <c r="O115" s="311"/>
      <c r="P115" s="325" t="s">
        <v>491</v>
      </c>
      <c r="Q115" s="310"/>
      <c r="R115" s="325">
        <f>R$8</f>
        <v>2014</v>
      </c>
      <c r="S115" s="325">
        <f t="shared" ref="S115:AU115" si="81">S$8</f>
        <v>2015</v>
      </c>
      <c r="T115" s="325">
        <f t="shared" si="81"/>
        <v>2016</v>
      </c>
      <c r="U115" s="325">
        <f t="shared" si="81"/>
        <v>2017</v>
      </c>
      <c r="V115" s="325">
        <f t="shared" si="81"/>
        <v>2018</v>
      </c>
      <c r="W115" s="325">
        <f t="shared" si="81"/>
        <v>2019</v>
      </c>
      <c r="X115" s="325">
        <f t="shared" si="81"/>
        <v>2020</v>
      </c>
      <c r="Y115" s="325">
        <f t="shared" si="81"/>
        <v>2021</v>
      </c>
      <c r="Z115" s="325">
        <f t="shared" si="81"/>
        <v>2022</v>
      </c>
      <c r="AA115" s="325">
        <f t="shared" si="81"/>
        <v>2023</v>
      </c>
      <c r="AB115" s="325">
        <f t="shared" si="81"/>
        <v>2024</v>
      </c>
      <c r="AC115" s="325">
        <f t="shared" si="81"/>
        <v>2025</v>
      </c>
      <c r="AD115" s="325">
        <f t="shared" si="81"/>
        <v>2026</v>
      </c>
      <c r="AE115" s="325">
        <f t="shared" si="81"/>
        <v>2027</v>
      </c>
      <c r="AF115" s="325">
        <f t="shared" si="81"/>
        <v>2028</v>
      </c>
      <c r="AG115" s="325">
        <f t="shared" si="81"/>
        <v>2029</v>
      </c>
      <c r="AH115" s="325">
        <f t="shared" si="81"/>
        <v>2030</v>
      </c>
      <c r="AI115" s="325">
        <f t="shared" si="81"/>
        <v>2031</v>
      </c>
      <c r="AJ115" s="325">
        <f t="shared" si="81"/>
        <v>2032</v>
      </c>
      <c r="AK115" s="325">
        <f t="shared" si="81"/>
        <v>2033</v>
      </c>
      <c r="AL115" s="325">
        <f t="shared" si="81"/>
        <v>2034</v>
      </c>
      <c r="AM115" s="325">
        <f t="shared" si="81"/>
        <v>2035</v>
      </c>
      <c r="AN115" s="325">
        <f t="shared" si="81"/>
        <v>2036</v>
      </c>
      <c r="AO115" s="325">
        <f t="shared" si="81"/>
        <v>2037</v>
      </c>
      <c r="AP115" s="325">
        <f t="shared" si="81"/>
        <v>2038</v>
      </c>
      <c r="AQ115" s="325">
        <f t="shared" si="81"/>
        <v>2039</v>
      </c>
      <c r="AR115" s="325">
        <f t="shared" si="81"/>
        <v>2040</v>
      </c>
      <c r="AS115" s="325">
        <f t="shared" si="81"/>
        <v>2041</v>
      </c>
      <c r="AT115" s="325">
        <f t="shared" si="81"/>
        <v>2042</v>
      </c>
      <c r="AU115" s="325">
        <f t="shared" si="81"/>
        <v>2043</v>
      </c>
    </row>
    <row r="116" spans="1:47">
      <c r="E116" s="325"/>
      <c r="G116" s="39"/>
      <c r="H116" s="39"/>
      <c r="I116" s="39"/>
      <c r="J116" s="39"/>
      <c r="K116" s="39"/>
    </row>
    <row r="117" spans="1:47">
      <c r="A117" s="38" t="str">
        <f>$J$4&amp;"-"</f>
        <v>1Y-</v>
      </c>
      <c r="B117" s="38" t="s">
        <v>306</v>
      </c>
      <c r="C117" s="38" t="s">
        <v>153</v>
      </c>
      <c r="D117" s="186">
        <f>CapExEsc</f>
        <v>0.03</v>
      </c>
      <c r="E117" s="325"/>
      <c r="G117" s="36" t="s">
        <v>8</v>
      </c>
      <c r="H117" s="39"/>
      <c r="I117" s="39"/>
      <c r="J117" s="70"/>
      <c r="K117" s="39"/>
      <c r="L117" s="43" t="str">
        <f>"["&amp;CostBaseYr&amp;" $]"</f>
        <v>[2013 $]</v>
      </c>
      <c r="N117" s="52">
        <f ca="1">SUMIFS(OFFSET(Assumptions!$I$65,0,MATCH($A117,Configurations,0)-1,COUNT(Assumptions!$A$65:$A$84),1),Assumptions!$E$65:$E$84,$C117)</f>
        <v>0</v>
      </c>
      <c r="O117" s="52"/>
      <c r="P117" s="322"/>
      <c r="Q117" s="52"/>
      <c r="R117" s="52">
        <f t="shared" ref="R117:AU117" ca="1" si="82">R118*IF($P117=0,$N117,$P117)*(1+$D117)^(R$8-CostBaseYr)</f>
        <v>0</v>
      </c>
      <c r="S117" s="52">
        <f t="shared" ca="1" si="82"/>
        <v>0</v>
      </c>
      <c r="T117" s="52">
        <f t="shared" ca="1" si="82"/>
        <v>0</v>
      </c>
      <c r="U117" s="52">
        <f t="shared" ca="1" si="82"/>
        <v>0</v>
      </c>
      <c r="V117" s="52">
        <f t="shared" ca="1" si="82"/>
        <v>0</v>
      </c>
      <c r="W117" s="52">
        <f t="shared" ca="1" si="82"/>
        <v>0</v>
      </c>
      <c r="X117" s="52">
        <f t="shared" ca="1" si="82"/>
        <v>0</v>
      </c>
      <c r="Y117" s="52">
        <f t="shared" ca="1" si="82"/>
        <v>0</v>
      </c>
      <c r="Z117" s="52">
        <f t="shared" ca="1" si="82"/>
        <v>0</v>
      </c>
      <c r="AA117" s="52">
        <f t="shared" ca="1" si="82"/>
        <v>0</v>
      </c>
      <c r="AB117" s="52">
        <f t="shared" ca="1" si="82"/>
        <v>0</v>
      </c>
      <c r="AC117" s="52">
        <f t="shared" ca="1" si="82"/>
        <v>0</v>
      </c>
      <c r="AD117" s="52">
        <f t="shared" ca="1" si="82"/>
        <v>0</v>
      </c>
      <c r="AE117" s="52">
        <f t="shared" ca="1" si="82"/>
        <v>0</v>
      </c>
      <c r="AF117" s="52">
        <f t="shared" ca="1" si="82"/>
        <v>0</v>
      </c>
      <c r="AG117" s="52">
        <f t="shared" ca="1" si="82"/>
        <v>0</v>
      </c>
      <c r="AH117" s="52">
        <f t="shared" ca="1" si="82"/>
        <v>0</v>
      </c>
      <c r="AI117" s="52">
        <f t="shared" ca="1" si="82"/>
        <v>0</v>
      </c>
      <c r="AJ117" s="52">
        <f t="shared" ca="1" si="82"/>
        <v>0</v>
      </c>
      <c r="AK117" s="52">
        <f t="shared" ca="1" si="82"/>
        <v>0</v>
      </c>
      <c r="AL117" s="52">
        <f t="shared" ca="1" si="82"/>
        <v>0</v>
      </c>
      <c r="AM117" s="52">
        <f t="shared" ca="1" si="82"/>
        <v>0</v>
      </c>
      <c r="AN117" s="52">
        <f t="shared" ca="1" si="82"/>
        <v>0</v>
      </c>
      <c r="AO117" s="52">
        <f t="shared" ca="1" si="82"/>
        <v>0</v>
      </c>
      <c r="AP117" s="52">
        <f t="shared" ca="1" si="82"/>
        <v>0</v>
      </c>
      <c r="AQ117" s="52">
        <f t="shared" ca="1" si="82"/>
        <v>0</v>
      </c>
      <c r="AR117" s="52">
        <f t="shared" ca="1" si="82"/>
        <v>0</v>
      </c>
      <c r="AS117" s="52">
        <f t="shared" ca="1" si="82"/>
        <v>0</v>
      </c>
      <c r="AT117" s="52">
        <f t="shared" ca="1" si="82"/>
        <v>0</v>
      </c>
      <c r="AU117" s="52">
        <f t="shared" ca="1" si="82"/>
        <v>0</v>
      </c>
    </row>
    <row r="118" spans="1:47">
      <c r="E118" s="325"/>
      <c r="G118" s="36" t="s">
        <v>10</v>
      </c>
      <c r="H118" s="39"/>
      <c r="I118" s="39"/>
      <c r="J118" s="39"/>
      <c r="K118" s="39"/>
      <c r="L118" s="43"/>
      <c r="R118" s="54">
        <f>Assumptions!M$60</f>
        <v>1</v>
      </c>
      <c r="S118" s="54">
        <f>Assumptions!N$60</f>
        <v>0</v>
      </c>
      <c r="T118" s="54">
        <f>Assumptions!O$60</f>
        <v>0</v>
      </c>
      <c r="U118" s="54">
        <f>Assumptions!P$60</f>
        <v>0</v>
      </c>
      <c r="V118" s="54">
        <f>Assumptions!Q$60</f>
        <v>0</v>
      </c>
      <c r="W118" s="54">
        <f>Assumptions!R$60</f>
        <v>0</v>
      </c>
      <c r="X118" s="54">
        <f>Assumptions!S$60</f>
        <v>0</v>
      </c>
      <c r="Y118" s="54">
        <f>Assumptions!T$60</f>
        <v>0</v>
      </c>
      <c r="Z118" s="54">
        <f>Assumptions!U$60</f>
        <v>0</v>
      </c>
      <c r="AA118" s="54">
        <f>Assumptions!V$60</f>
        <v>0</v>
      </c>
      <c r="AB118" s="54">
        <f>Assumptions!W$60</f>
        <v>0</v>
      </c>
      <c r="AC118" s="54">
        <f>Assumptions!X$60</f>
        <v>0</v>
      </c>
      <c r="AD118" s="54">
        <f>Assumptions!Y$60</f>
        <v>0</v>
      </c>
      <c r="AE118" s="54">
        <f>Assumptions!Z$60</f>
        <v>0</v>
      </c>
      <c r="AF118" s="54">
        <f>Assumptions!AA$60</f>
        <v>0</v>
      </c>
      <c r="AG118" s="54">
        <f>Assumptions!AB$60</f>
        <v>0</v>
      </c>
      <c r="AH118" s="54">
        <f>Assumptions!AC$60</f>
        <v>0</v>
      </c>
      <c r="AI118" s="54">
        <f>Assumptions!AD$60</f>
        <v>0</v>
      </c>
      <c r="AJ118" s="54">
        <f>Assumptions!AE$60</f>
        <v>0</v>
      </c>
      <c r="AK118" s="54">
        <f>Assumptions!AF$60</f>
        <v>0</v>
      </c>
      <c r="AL118" s="54">
        <f>Assumptions!AG$60</f>
        <v>0</v>
      </c>
      <c r="AM118" s="54">
        <f>Assumptions!AH$60</f>
        <v>0</v>
      </c>
      <c r="AN118" s="54">
        <f>Assumptions!AI$60</f>
        <v>0</v>
      </c>
      <c r="AO118" s="54">
        <f>Assumptions!AJ$60</f>
        <v>0</v>
      </c>
      <c r="AP118" s="54">
        <f>Assumptions!AK$60</f>
        <v>0</v>
      </c>
      <c r="AQ118" s="54">
        <f>Assumptions!AL$60</f>
        <v>0</v>
      </c>
      <c r="AR118" s="54">
        <f>Assumptions!AM$60</f>
        <v>0</v>
      </c>
      <c r="AS118" s="54">
        <f>Assumptions!AN$60</f>
        <v>0</v>
      </c>
      <c r="AT118" s="54">
        <f>Assumptions!AO$60</f>
        <v>0</v>
      </c>
      <c r="AU118" s="54">
        <f>Assumptions!AP$60</f>
        <v>0</v>
      </c>
    </row>
    <row r="119" spans="1:47">
      <c r="E119" s="326"/>
      <c r="G119" s="39"/>
      <c r="H119" s="39"/>
      <c r="I119" s="39"/>
      <c r="J119" s="39"/>
      <c r="K119" s="39"/>
    </row>
    <row r="120" spans="1:47" s="255" customFormat="1">
      <c r="E120" s="327"/>
      <c r="F120" s="28"/>
      <c r="G120" s="324" t="str">
        <f>C117&amp;" O&amp;M"</f>
        <v>Ash Conveyance &amp; Storage O&amp;M</v>
      </c>
      <c r="H120" s="324"/>
      <c r="I120" s="324"/>
      <c r="J120" s="324"/>
      <c r="K120" s="324"/>
      <c r="L120" s="405" t="s">
        <v>79</v>
      </c>
      <c r="M120" s="256"/>
      <c r="N120" s="325" t="s">
        <v>490</v>
      </c>
      <c r="O120" s="311"/>
      <c r="P120" s="325" t="s">
        <v>491</v>
      </c>
      <c r="Q120" s="310"/>
      <c r="R120" s="325">
        <f>R$8</f>
        <v>2014</v>
      </c>
      <c r="S120" s="325">
        <f t="shared" ref="S120:AU120" si="83">S$8</f>
        <v>2015</v>
      </c>
      <c r="T120" s="325">
        <f t="shared" si="83"/>
        <v>2016</v>
      </c>
      <c r="U120" s="325">
        <f t="shared" si="83"/>
        <v>2017</v>
      </c>
      <c r="V120" s="325">
        <f t="shared" si="83"/>
        <v>2018</v>
      </c>
      <c r="W120" s="325">
        <f t="shared" si="83"/>
        <v>2019</v>
      </c>
      <c r="X120" s="325">
        <f t="shared" si="83"/>
        <v>2020</v>
      </c>
      <c r="Y120" s="325">
        <f t="shared" si="83"/>
        <v>2021</v>
      </c>
      <c r="Z120" s="325">
        <f t="shared" si="83"/>
        <v>2022</v>
      </c>
      <c r="AA120" s="325">
        <f t="shared" si="83"/>
        <v>2023</v>
      </c>
      <c r="AB120" s="325">
        <f t="shared" si="83"/>
        <v>2024</v>
      </c>
      <c r="AC120" s="325">
        <f t="shared" si="83"/>
        <v>2025</v>
      </c>
      <c r="AD120" s="325">
        <f t="shared" si="83"/>
        <v>2026</v>
      </c>
      <c r="AE120" s="325">
        <f t="shared" si="83"/>
        <v>2027</v>
      </c>
      <c r="AF120" s="325">
        <f t="shared" si="83"/>
        <v>2028</v>
      </c>
      <c r="AG120" s="325">
        <f t="shared" si="83"/>
        <v>2029</v>
      </c>
      <c r="AH120" s="325">
        <f t="shared" si="83"/>
        <v>2030</v>
      </c>
      <c r="AI120" s="325">
        <f t="shared" si="83"/>
        <v>2031</v>
      </c>
      <c r="AJ120" s="325">
        <f t="shared" si="83"/>
        <v>2032</v>
      </c>
      <c r="AK120" s="325">
        <f t="shared" si="83"/>
        <v>2033</v>
      </c>
      <c r="AL120" s="325">
        <f t="shared" si="83"/>
        <v>2034</v>
      </c>
      <c r="AM120" s="325">
        <f t="shared" si="83"/>
        <v>2035</v>
      </c>
      <c r="AN120" s="325">
        <f t="shared" si="83"/>
        <v>2036</v>
      </c>
      <c r="AO120" s="325">
        <f t="shared" si="83"/>
        <v>2037</v>
      </c>
      <c r="AP120" s="325">
        <f t="shared" si="83"/>
        <v>2038</v>
      </c>
      <c r="AQ120" s="325">
        <f t="shared" si="83"/>
        <v>2039</v>
      </c>
      <c r="AR120" s="325">
        <f t="shared" si="83"/>
        <v>2040</v>
      </c>
      <c r="AS120" s="325">
        <f t="shared" si="83"/>
        <v>2041</v>
      </c>
      <c r="AT120" s="325">
        <f t="shared" si="83"/>
        <v>2042</v>
      </c>
      <c r="AU120" s="325">
        <f t="shared" si="83"/>
        <v>2043</v>
      </c>
    </row>
    <row r="121" spans="1:47">
      <c r="E121" s="325"/>
      <c r="G121" s="39"/>
      <c r="H121" s="39"/>
      <c r="I121" s="39"/>
      <c r="J121" s="39"/>
      <c r="K121" s="39"/>
    </row>
    <row r="122" spans="1:47">
      <c r="E122" s="325"/>
      <c r="G122" s="39" t="s">
        <v>23</v>
      </c>
      <c r="H122" s="39"/>
      <c r="I122" s="39"/>
      <c r="J122" s="39"/>
      <c r="K122" s="39"/>
    </row>
    <row r="123" spans="1:47">
      <c r="A123" s="38" t="str">
        <f t="shared" ref="A123:A130" si="84">$J$4&amp;"-"</f>
        <v>1Y-</v>
      </c>
      <c r="B123" s="38" t="s">
        <v>262</v>
      </c>
      <c r="C123" s="38" t="str">
        <f>C117</f>
        <v>Ash Conveyance &amp; Storage</v>
      </c>
      <c r="D123" s="186">
        <f>LaborEsc</f>
        <v>0.02</v>
      </c>
      <c r="E123" s="325"/>
      <c r="G123" s="36" t="s">
        <v>125</v>
      </c>
      <c r="I123" s="39"/>
      <c r="K123" s="39"/>
      <c r="L123" s="43" t="s">
        <v>266</v>
      </c>
      <c r="N123" s="70">
        <f ca="1">SUMIFS(OFFSET(Assumptions!$I$90,0,MATCH($A123,Configurations,0)-1,COUNT(Assumptions!$A$90:$A$183),1),Assumptions!$D$90:$D$183,$B123&amp;$C123)</f>
        <v>0</v>
      </c>
      <c r="O123" s="313"/>
      <c r="P123" s="323"/>
      <c r="Q123" s="313"/>
      <c r="R123" s="50">
        <f t="shared" ref="R123:AU123" ca="1" si="85">IF(OR(R$99&lt;InServiceYr,R$99&gt;(InServiceYr+analysis_period-1)),0,IF($P123=0,$N123,$P123)*LaborCost*(1+$D123)^(R$99-CostBaseYr))</f>
        <v>0</v>
      </c>
      <c r="S123" s="50">
        <f t="shared" ca="1" si="85"/>
        <v>0</v>
      </c>
      <c r="T123" s="50">
        <f t="shared" ca="1" si="85"/>
        <v>0</v>
      </c>
      <c r="U123" s="50">
        <f t="shared" ca="1" si="85"/>
        <v>0</v>
      </c>
      <c r="V123" s="50">
        <f t="shared" ca="1" si="85"/>
        <v>0</v>
      </c>
      <c r="W123" s="50">
        <f t="shared" ca="1" si="85"/>
        <v>0</v>
      </c>
      <c r="X123" s="50">
        <f t="shared" ca="1" si="85"/>
        <v>0</v>
      </c>
      <c r="Y123" s="50">
        <f t="shared" ca="1" si="85"/>
        <v>0</v>
      </c>
      <c r="Z123" s="50">
        <f t="shared" ca="1" si="85"/>
        <v>0</v>
      </c>
      <c r="AA123" s="50">
        <f t="shared" ca="1" si="85"/>
        <v>0</v>
      </c>
      <c r="AB123" s="50">
        <f t="shared" ca="1" si="85"/>
        <v>0</v>
      </c>
      <c r="AC123" s="50">
        <f t="shared" ca="1" si="85"/>
        <v>0</v>
      </c>
      <c r="AD123" s="50">
        <f t="shared" ca="1" si="85"/>
        <v>0</v>
      </c>
      <c r="AE123" s="50">
        <f t="shared" ca="1" si="85"/>
        <v>0</v>
      </c>
      <c r="AF123" s="50">
        <f t="shared" ca="1" si="85"/>
        <v>0</v>
      </c>
      <c r="AG123" s="50">
        <f t="shared" ca="1" si="85"/>
        <v>0</v>
      </c>
      <c r="AH123" s="50">
        <f t="shared" ca="1" si="85"/>
        <v>0</v>
      </c>
      <c r="AI123" s="50">
        <f t="shared" ca="1" si="85"/>
        <v>0</v>
      </c>
      <c r="AJ123" s="50">
        <f t="shared" ca="1" si="85"/>
        <v>0</v>
      </c>
      <c r="AK123" s="50">
        <f t="shared" ca="1" si="85"/>
        <v>0</v>
      </c>
      <c r="AL123" s="50">
        <f t="shared" si="85"/>
        <v>0</v>
      </c>
      <c r="AM123" s="50">
        <f t="shared" si="85"/>
        <v>0</v>
      </c>
      <c r="AN123" s="50">
        <f t="shared" si="85"/>
        <v>0</v>
      </c>
      <c r="AO123" s="50">
        <f t="shared" si="85"/>
        <v>0</v>
      </c>
      <c r="AP123" s="50">
        <f t="shared" si="85"/>
        <v>0</v>
      </c>
      <c r="AQ123" s="50">
        <f t="shared" si="85"/>
        <v>0</v>
      </c>
      <c r="AR123" s="50">
        <f t="shared" si="85"/>
        <v>0</v>
      </c>
      <c r="AS123" s="50">
        <f t="shared" si="85"/>
        <v>0</v>
      </c>
      <c r="AT123" s="50">
        <f t="shared" si="85"/>
        <v>0</v>
      </c>
      <c r="AU123" s="50">
        <f t="shared" si="85"/>
        <v>0</v>
      </c>
    </row>
    <row r="124" spans="1:47">
      <c r="A124" s="38" t="str">
        <f t="shared" si="84"/>
        <v>1Y-</v>
      </c>
      <c r="B124" s="38" t="s">
        <v>270</v>
      </c>
      <c r="C124" s="38" t="str">
        <f>C123</f>
        <v>Ash Conveyance &amp; Storage</v>
      </c>
      <c r="D124" s="186">
        <f>OMEsc</f>
        <v>0.02</v>
      </c>
      <c r="E124" s="325"/>
      <c r="G124" s="36" t="s">
        <v>126</v>
      </c>
      <c r="I124" s="39"/>
      <c r="K124" s="39"/>
      <c r="L124" s="43" t="str">
        <f>"["&amp;CostBaseYr&amp;" $]"</f>
        <v>[2013 $]</v>
      </c>
      <c r="N124" s="70">
        <f ca="1">SUMIFS(OFFSET(Assumptions!$I$90,0,MATCH($A124,Configurations,0)-1,COUNT(Assumptions!$A$90:$A$183),1),Assumptions!$D$90:$D$183,$B124&amp;$C124)</f>
        <v>0</v>
      </c>
      <c r="O124" s="313"/>
      <c r="P124" s="323"/>
      <c r="Q124" s="313"/>
      <c r="R124" s="50">
        <f t="shared" ref="R124:AG126" ca="1" si="86">IF(OR(R$99&lt;InServiceYr,R$99&gt;(InServiceYr+analysis_period-1)),0,IF($P124=0,$N124,$P124)*(1+$D124)^(R$99-CostBaseYr))</f>
        <v>0</v>
      </c>
      <c r="S124" s="50">
        <f t="shared" ca="1" si="86"/>
        <v>0</v>
      </c>
      <c r="T124" s="50">
        <f t="shared" ca="1" si="86"/>
        <v>0</v>
      </c>
      <c r="U124" s="50">
        <f t="shared" ca="1" si="86"/>
        <v>0</v>
      </c>
      <c r="V124" s="50">
        <f t="shared" ca="1" si="86"/>
        <v>0</v>
      </c>
      <c r="W124" s="50">
        <f t="shared" ca="1" si="86"/>
        <v>0</v>
      </c>
      <c r="X124" s="50">
        <f t="shared" ca="1" si="86"/>
        <v>0</v>
      </c>
      <c r="Y124" s="50">
        <f t="shared" ca="1" si="86"/>
        <v>0</v>
      </c>
      <c r="Z124" s="50">
        <f t="shared" ca="1" si="86"/>
        <v>0</v>
      </c>
      <c r="AA124" s="50">
        <f t="shared" ca="1" si="86"/>
        <v>0</v>
      </c>
      <c r="AB124" s="50">
        <f t="shared" ca="1" si="86"/>
        <v>0</v>
      </c>
      <c r="AC124" s="50">
        <f t="shared" ca="1" si="86"/>
        <v>0</v>
      </c>
      <c r="AD124" s="50">
        <f t="shared" ca="1" si="86"/>
        <v>0</v>
      </c>
      <c r="AE124" s="50">
        <f t="shared" ca="1" si="86"/>
        <v>0</v>
      </c>
      <c r="AF124" s="50">
        <f t="shared" ca="1" si="86"/>
        <v>0</v>
      </c>
      <c r="AG124" s="50">
        <f t="shared" ca="1" si="86"/>
        <v>0</v>
      </c>
      <c r="AH124" s="50">
        <f t="shared" ref="S124:AU126" ca="1" si="87">IF(OR(AH$99&lt;InServiceYr,AH$99&gt;(InServiceYr+analysis_period-1)),0,IF($P124=0,$N124,$P124)*(1+$D124)^(AH$99-CostBaseYr))</f>
        <v>0</v>
      </c>
      <c r="AI124" s="50">
        <f t="shared" ca="1" si="87"/>
        <v>0</v>
      </c>
      <c r="AJ124" s="50">
        <f t="shared" ca="1" si="87"/>
        <v>0</v>
      </c>
      <c r="AK124" s="50">
        <f t="shared" ca="1" si="87"/>
        <v>0</v>
      </c>
      <c r="AL124" s="50">
        <f t="shared" si="87"/>
        <v>0</v>
      </c>
      <c r="AM124" s="50">
        <f t="shared" si="87"/>
        <v>0</v>
      </c>
      <c r="AN124" s="50">
        <f t="shared" si="87"/>
        <v>0</v>
      </c>
      <c r="AO124" s="50">
        <f t="shared" si="87"/>
        <v>0</v>
      </c>
      <c r="AP124" s="50">
        <f t="shared" si="87"/>
        <v>0</v>
      </c>
      <c r="AQ124" s="50">
        <f t="shared" si="87"/>
        <v>0</v>
      </c>
      <c r="AR124" s="50">
        <f t="shared" si="87"/>
        <v>0</v>
      </c>
      <c r="AS124" s="50">
        <f t="shared" si="87"/>
        <v>0</v>
      </c>
      <c r="AT124" s="50">
        <f t="shared" si="87"/>
        <v>0</v>
      </c>
      <c r="AU124" s="50">
        <f t="shared" si="87"/>
        <v>0</v>
      </c>
    </row>
    <row r="125" spans="1:47">
      <c r="A125" s="38" t="str">
        <f t="shared" si="84"/>
        <v>1Y-</v>
      </c>
      <c r="B125" s="38" t="s">
        <v>263</v>
      </c>
      <c r="C125" s="38" t="str">
        <f t="shared" ref="C125:C129" si="88">C124</f>
        <v>Ash Conveyance &amp; Storage</v>
      </c>
      <c r="D125" s="186">
        <f>OMEsc</f>
        <v>0.02</v>
      </c>
      <c r="E125" s="325"/>
      <c r="G125" s="36" t="s">
        <v>127</v>
      </c>
      <c r="I125" s="39"/>
      <c r="K125" s="39"/>
      <c r="L125" s="43" t="str">
        <f>"["&amp;CostBaseYr&amp;" $]"</f>
        <v>[2013 $]</v>
      </c>
      <c r="N125" s="70">
        <f ca="1">SUMIFS(OFFSET(Assumptions!$I$90,0,MATCH($A125,Configurations,0)-1,COUNT(Assumptions!$A$90:$A$183),1),Assumptions!$D$90:$D$183,$B125&amp;$C125)</f>
        <v>0</v>
      </c>
      <c r="O125" s="313"/>
      <c r="P125" s="323"/>
      <c r="Q125" s="313"/>
      <c r="R125" s="50">
        <f t="shared" ca="1" si="86"/>
        <v>0</v>
      </c>
      <c r="S125" s="50">
        <f t="shared" ca="1" si="87"/>
        <v>0</v>
      </c>
      <c r="T125" s="50">
        <f t="shared" ca="1" si="87"/>
        <v>0</v>
      </c>
      <c r="U125" s="50">
        <f t="shared" ca="1" si="87"/>
        <v>0</v>
      </c>
      <c r="V125" s="50">
        <f t="shared" ca="1" si="87"/>
        <v>0</v>
      </c>
      <c r="W125" s="50">
        <f t="shared" ca="1" si="87"/>
        <v>0</v>
      </c>
      <c r="X125" s="50">
        <f t="shared" ca="1" si="87"/>
        <v>0</v>
      </c>
      <c r="Y125" s="50">
        <f t="shared" ca="1" si="87"/>
        <v>0</v>
      </c>
      <c r="Z125" s="50">
        <f t="shared" ca="1" si="87"/>
        <v>0</v>
      </c>
      <c r="AA125" s="50">
        <f t="shared" ca="1" si="87"/>
        <v>0</v>
      </c>
      <c r="AB125" s="50">
        <f t="shared" ca="1" si="87"/>
        <v>0</v>
      </c>
      <c r="AC125" s="50">
        <f t="shared" ca="1" si="87"/>
        <v>0</v>
      </c>
      <c r="AD125" s="50">
        <f t="shared" ca="1" si="87"/>
        <v>0</v>
      </c>
      <c r="AE125" s="50">
        <f t="shared" ca="1" si="87"/>
        <v>0</v>
      </c>
      <c r="AF125" s="50">
        <f t="shared" ca="1" si="87"/>
        <v>0</v>
      </c>
      <c r="AG125" s="50">
        <f t="shared" ca="1" si="87"/>
        <v>0</v>
      </c>
      <c r="AH125" s="50">
        <f t="shared" ca="1" si="87"/>
        <v>0</v>
      </c>
      <c r="AI125" s="50">
        <f t="shared" ca="1" si="87"/>
        <v>0</v>
      </c>
      <c r="AJ125" s="50">
        <f t="shared" ca="1" si="87"/>
        <v>0</v>
      </c>
      <c r="AK125" s="50">
        <f t="shared" ca="1" si="87"/>
        <v>0</v>
      </c>
      <c r="AL125" s="50">
        <f t="shared" si="87"/>
        <v>0</v>
      </c>
      <c r="AM125" s="50">
        <f t="shared" si="87"/>
        <v>0</v>
      </c>
      <c r="AN125" s="50">
        <f t="shared" si="87"/>
        <v>0</v>
      </c>
      <c r="AO125" s="50">
        <f t="shared" si="87"/>
        <v>0</v>
      </c>
      <c r="AP125" s="50">
        <f t="shared" si="87"/>
        <v>0</v>
      </c>
      <c r="AQ125" s="50">
        <f t="shared" si="87"/>
        <v>0</v>
      </c>
      <c r="AR125" s="50">
        <f t="shared" si="87"/>
        <v>0</v>
      </c>
      <c r="AS125" s="50">
        <f t="shared" si="87"/>
        <v>0</v>
      </c>
      <c r="AT125" s="50">
        <f t="shared" si="87"/>
        <v>0</v>
      </c>
      <c r="AU125" s="50">
        <f t="shared" si="87"/>
        <v>0</v>
      </c>
    </row>
    <row r="126" spans="1:47">
      <c r="A126" s="38" t="str">
        <f t="shared" si="84"/>
        <v>1Y-</v>
      </c>
      <c r="B126" s="38" t="s">
        <v>277</v>
      </c>
      <c r="C126" s="38" t="str">
        <f t="shared" si="88"/>
        <v>Ash Conveyance &amp; Storage</v>
      </c>
      <c r="D126" s="186">
        <f>OMEsc</f>
        <v>0.02</v>
      </c>
      <c r="E126" s="325"/>
      <c r="G126" s="36" t="s">
        <v>276</v>
      </c>
      <c r="I126" s="39"/>
      <c r="K126" s="39"/>
      <c r="L126" s="43" t="str">
        <f>"["&amp;CostBaseYr&amp;" $]"</f>
        <v>[2013 $]</v>
      </c>
      <c r="N126" s="70">
        <f ca="1">SUMIFS(OFFSET(Assumptions!$I$90,0,MATCH($A126,Configurations,0)-1,COUNT(Assumptions!$A$90:$A$183),1),Assumptions!$D$90:$D$183,$B126&amp;$C126)</f>
        <v>0</v>
      </c>
      <c r="O126" s="313"/>
      <c r="P126" s="323"/>
      <c r="Q126" s="313"/>
      <c r="R126" s="50">
        <f t="shared" ca="1" si="86"/>
        <v>0</v>
      </c>
      <c r="S126" s="50">
        <f t="shared" ca="1" si="87"/>
        <v>0</v>
      </c>
      <c r="T126" s="50">
        <f t="shared" ca="1" si="87"/>
        <v>0</v>
      </c>
      <c r="U126" s="50">
        <f t="shared" ca="1" si="87"/>
        <v>0</v>
      </c>
      <c r="V126" s="50">
        <f t="shared" ca="1" si="87"/>
        <v>0</v>
      </c>
      <c r="W126" s="50">
        <f t="shared" ca="1" si="87"/>
        <v>0</v>
      </c>
      <c r="X126" s="50">
        <f t="shared" ca="1" si="87"/>
        <v>0</v>
      </c>
      <c r="Y126" s="50">
        <f t="shared" ca="1" si="87"/>
        <v>0</v>
      </c>
      <c r="Z126" s="50">
        <f t="shared" ca="1" si="87"/>
        <v>0</v>
      </c>
      <c r="AA126" s="50">
        <f t="shared" ca="1" si="87"/>
        <v>0</v>
      </c>
      <c r="AB126" s="50">
        <f t="shared" ca="1" si="87"/>
        <v>0</v>
      </c>
      <c r="AC126" s="50">
        <f t="shared" ca="1" si="87"/>
        <v>0</v>
      </c>
      <c r="AD126" s="50">
        <f t="shared" ca="1" si="87"/>
        <v>0</v>
      </c>
      <c r="AE126" s="50">
        <f t="shared" ca="1" si="87"/>
        <v>0</v>
      </c>
      <c r="AF126" s="50">
        <f t="shared" ca="1" si="87"/>
        <v>0</v>
      </c>
      <c r="AG126" s="50">
        <f t="shared" ca="1" si="87"/>
        <v>0</v>
      </c>
      <c r="AH126" s="50">
        <f t="shared" ca="1" si="87"/>
        <v>0</v>
      </c>
      <c r="AI126" s="50">
        <f t="shared" ca="1" si="87"/>
        <v>0</v>
      </c>
      <c r="AJ126" s="50">
        <f t="shared" ca="1" si="87"/>
        <v>0</v>
      </c>
      <c r="AK126" s="50">
        <f t="shared" ca="1" si="87"/>
        <v>0</v>
      </c>
      <c r="AL126" s="50">
        <f t="shared" si="87"/>
        <v>0</v>
      </c>
      <c r="AM126" s="50">
        <f t="shared" si="87"/>
        <v>0</v>
      </c>
      <c r="AN126" s="50">
        <f t="shared" si="87"/>
        <v>0</v>
      </c>
      <c r="AO126" s="50">
        <f t="shared" si="87"/>
        <v>0</v>
      </c>
      <c r="AP126" s="50">
        <f t="shared" si="87"/>
        <v>0</v>
      </c>
      <c r="AQ126" s="50">
        <f t="shared" si="87"/>
        <v>0</v>
      </c>
      <c r="AR126" s="50">
        <f t="shared" si="87"/>
        <v>0</v>
      </c>
      <c r="AS126" s="50">
        <f t="shared" si="87"/>
        <v>0</v>
      </c>
      <c r="AT126" s="50">
        <f t="shared" si="87"/>
        <v>0</v>
      </c>
      <c r="AU126" s="50">
        <f t="shared" si="87"/>
        <v>0</v>
      </c>
    </row>
    <row r="127" spans="1:47">
      <c r="A127" s="38" t="str">
        <f t="shared" si="84"/>
        <v>1Y-</v>
      </c>
      <c r="B127" s="38" t="s">
        <v>274</v>
      </c>
      <c r="C127" s="38" t="str">
        <f t="shared" si="88"/>
        <v>Ash Conveyance &amp; Storage</v>
      </c>
      <c r="D127" s="186"/>
      <c r="E127" s="325"/>
      <c r="G127" s="36" t="s">
        <v>16</v>
      </c>
      <c r="I127" s="39"/>
      <c r="K127" s="39"/>
      <c r="L127" s="43" t="s">
        <v>275</v>
      </c>
      <c r="N127" s="70">
        <f ca="1">SUMIFS(OFFSET(Assumptions!$I$90,0,MATCH($A127,Configurations,0)-1,COUNT(Assumptions!$A$90:$A$183),1),Assumptions!$D$90:$D$183,$B127&amp;$C127)</f>
        <v>0</v>
      </c>
      <c r="O127" s="313"/>
      <c r="P127" s="323"/>
      <c r="Q127" s="313"/>
      <c r="R127" s="50">
        <f t="shared" ref="R127:AU127" ca="1" si="89">IF(OR(R$99&lt;InServiceYr,R$99&gt;(InServiceYr+analysis_period-1)),0,IF($P127=0,$N127,$P127)*R$505)</f>
        <v>0</v>
      </c>
      <c r="S127" s="50">
        <f t="shared" ca="1" si="89"/>
        <v>0</v>
      </c>
      <c r="T127" s="50">
        <f t="shared" ca="1" si="89"/>
        <v>0</v>
      </c>
      <c r="U127" s="50">
        <f t="shared" ca="1" si="89"/>
        <v>0</v>
      </c>
      <c r="V127" s="50">
        <f t="shared" ca="1" si="89"/>
        <v>0</v>
      </c>
      <c r="W127" s="50">
        <f t="shared" ca="1" si="89"/>
        <v>0</v>
      </c>
      <c r="X127" s="50">
        <f t="shared" ca="1" si="89"/>
        <v>0</v>
      </c>
      <c r="Y127" s="50">
        <f t="shared" ca="1" si="89"/>
        <v>0</v>
      </c>
      <c r="Z127" s="50">
        <f t="shared" ca="1" si="89"/>
        <v>0</v>
      </c>
      <c r="AA127" s="50">
        <f t="shared" ca="1" si="89"/>
        <v>0</v>
      </c>
      <c r="AB127" s="50">
        <f t="shared" ca="1" si="89"/>
        <v>0</v>
      </c>
      <c r="AC127" s="50">
        <f t="shared" ca="1" si="89"/>
        <v>0</v>
      </c>
      <c r="AD127" s="50">
        <f t="shared" ca="1" si="89"/>
        <v>0</v>
      </c>
      <c r="AE127" s="50">
        <f t="shared" ca="1" si="89"/>
        <v>0</v>
      </c>
      <c r="AF127" s="50">
        <f t="shared" ca="1" si="89"/>
        <v>0</v>
      </c>
      <c r="AG127" s="50">
        <f t="shared" ca="1" si="89"/>
        <v>0</v>
      </c>
      <c r="AH127" s="50">
        <f t="shared" ca="1" si="89"/>
        <v>0</v>
      </c>
      <c r="AI127" s="50">
        <f t="shared" ca="1" si="89"/>
        <v>0</v>
      </c>
      <c r="AJ127" s="50">
        <f t="shared" ca="1" si="89"/>
        <v>0</v>
      </c>
      <c r="AK127" s="50">
        <f t="shared" ca="1" si="89"/>
        <v>0</v>
      </c>
      <c r="AL127" s="50">
        <f t="shared" si="89"/>
        <v>0</v>
      </c>
      <c r="AM127" s="50">
        <f t="shared" si="89"/>
        <v>0</v>
      </c>
      <c r="AN127" s="50">
        <f t="shared" si="89"/>
        <v>0</v>
      </c>
      <c r="AO127" s="50">
        <f t="shared" si="89"/>
        <v>0</v>
      </c>
      <c r="AP127" s="50">
        <f t="shared" si="89"/>
        <v>0</v>
      </c>
      <c r="AQ127" s="50">
        <f t="shared" si="89"/>
        <v>0</v>
      </c>
      <c r="AR127" s="50">
        <f t="shared" si="89"/>
        <v>0</v>
      </c>
      <c r="AS127" s="50">
        <f t="shared" si="89"/>
        <v>0</v>
      </c>
      <c r="AT127" s="50">
        <f t="shared" si="89"/>
        <v>0</v>
      </c>
      <c r="AU127" s="50">
        <f t="shared" si="89"/>
        <v>0</v>
      </c>
    </row>
    <row r="128" spans="1:47">
      <c r="A128" s="38" t="str">
        <f t="shared" si="84"/>
        <v>1Y-</v>
      </c>
      <c r="B128" s="38" t="s">
        <v>257</v>
      </c>
      <c r="C128" s="38" t="str">
        <f t="shared" si="88"/>
        <v>Ash Conveyance &amp; Storage</v>
      </c>
      <c r="D128" s="186"/>
      <c r="E128" s="325"/>
      <c r="G128" s="36" t="s">
        <v>284</v>
      </c>
      <c r="I128" s="39"/>
      <c r="K128" s="39"/>
      <c r="L128" s="43" t="s">
        <v>293</v>
      </c>
      <c r="N128" s="70">
        <f ca="1">SUMIFS(OFFSET(Assumptions!$I$90,0,MATCH($A128,Configurations,0)-1,COUNT(Assumptions!$A$90:$A$183),1),Assumptions!$D$90:$D$183,$B128&amp;$C128)</f>
        <v>0</v>
      </c>
      <c r="O128" s="313"/>
      <c r="P128" s="323"/>
      <c r="Q128" s="313"/>
      <c r="R128" s="50">
        <f t="shared" ref="R128:AU128" ca="1" si="90">IF(OR(R$99&lt;InServiceYr,R$99&gt;(InServiceYr+analysis_period-1)),0,IF($P128=0,$N128,$P128)*R$501)</f>
        <v>0</v>
      </c>
      <c r="S128" s="50">
        <f t="shared" ca="1" si="90"/>
        <v>0</v>
      </c>
      <c r="T128" s="50">
        <f t="shared" ca="1" si="90"/>
        <v>0</v>
      </c>
      <c r="U128" s="50">
        <f t="shared" ca="1" si="90"/>
        <v>0</v>
      </c>
      <c r="V128" s="50">
        <f t="shared" ca="1" si="90"/>
        <v>0</v>
      </c>
      <c r="W128" s="50">
        <f t="shared" ca="1" si="90"/>
        <v>0</v>
      </c>
      <c r="X128" s="50">
        <f t="shared" ca="1" si="90"/>
        <v>0</v>
      </c>
      <c r="Y128" s="50">
        <f t="shared" ca="1" si="90"/>
        <v>0</v>
      </c>
      <c r="Z128" s="50">
        <f t="shared" ca="1" si="90"/>
        <v>0</v>
      </c>
      <c r="AA128" s="50">
        <f t="shared" ca="1" si="90"/>
        <v>0</v>
      </c>
      <c r="AB128" s="50">
        <f t="shared" ca="1" si="90"/>
        <v>0</v>
      </c>
      <c r="AC128" s="50">
        <f t="shared" ca="1" si="90"/>
        <v>0</v>
      </c>
      <c r="AD128" s="50">
        <f t="shared" ca="1" si="90"/>
        <v>0</v>
      </c>
      <c r="AE128" s="50">
        <f t="shared" ca="1" si="90"/>
        <v>0</v>
      </c>
      <c r="AF128" s="50">
        <f t="shared" ca="1" si="90"/>
        <v>0</v>
      </c>
      <c r="AG128" s="50">
        <f t="shared" ca="1" si="90"/>
        <v>0</v>
      </c>
      <c r="AH128" s="50">
        <f t="shared" ca="1" si="90"/>
        <v>0</v>
      </c>
      <c r="AI128" s="50">
        <f t="shared" ca="1" si="90"/>
        <v>0</v>
      </c>
      <c r="AJ128" s="50">
        <f t="shared" ca="1" si="90"/>
        <v>0</v>
      </c>
      <c r="AK128" s="50">
        <f t="shared" ca="1" si="90"/>
        <v>0</v>
      </c>
      <c r="AL128" s="50">
        <f t="shared" si="90"/>
        <v>0</v>
      </c>
      <c r="AM128" s="50">
        <f t="shared" si="90"/>
        <v>0</v>
      </c>
      <c r="AN128" s="50">
        <f t="shared" si="90"/>
        <v>0</v>
      </c>
      <c r="AO128" s="50">
        <f t="shared" si="90"/>
        <v>0</v>
      </c>
      <c r="AP128" s="50">
        <f t="shared" si="90"/>
        <v>0</v>
      </c>
      <c r="AQ128" s="50">
        <f t="shared" si="90"/>
        <v>0</v>
      </c>
      <c r="AR128" s="50">
        <f t="shared" si="90"/>
        <v>0</v>
      </c>
      <c r="AS128" s="50">
        <f t="shared" si="90"/>
        <v>0</v>
      </c>
      <c r="AT128" s="50">
        <f t="shared" si="90"/>
        <v>0</v>
      </c>
      <c r="AU128" s="50">
        <f t="shared" si="90"/>
        <v>0</v>
      </c>
    </row>
    <row r="129" spans="1:47">
      <c r="A129" s="38" t="str">
        <f t="shared" si="84"/>
        <v>1Y-</v>
      </c>
      <c r="B129" s="38" t="s">
        <v>864</v>
      </c>
      <c r="C129" s="38" t="str">
        <f t="shared" si="88"/>
        <v>Ash Conveyance &amp; Storage</v>
      </c>
      <c r="D129" s="186">
        <f>GHGEsc</f>
        <v>0.02</v>
      </c>
      <c r="E129" s="325"/>
      <c r="G129" s="36" t="s">
        <v>865</v>
      </c>
      <c r="I129" s="39"/>
      <c r="K129" s="39"/>
      <c r="L129" s="43" t="s">
        <v>866</v>
      </c>
      <c r="N129" s="70">
        <f ca="1">SUMIFS(OFFSET(Assumptions!$I$90,0,MATCH($A129,Configurations,0)-1,COUNT(Assumptions!$A$90:$A$183),1),Assumptions!$D$90:$D$183,$B129&amp;$C129)</f>
        <v>0</v>
      </c>
      <c r="O129" s="313"/>
      <c r="P129" s="323"/>
      <c r="Q129" s="313"/>
      <c r="R129" s="50">
        <f t="shared" ref="R129:AU129" ca="1" si="91">IF(OR(R$99&lt;InServiceYr,R$99&gt;(InServiceYr+analysis_period-1)),0,IF($P129=0,$N129,$P129)*R$513)</f>
        <v>0</v>
      </c>
      <c r="S129" s="50">
        <f t="shared" ca="1" si="91"/>
        <v>0</v>
      </c>
      <c r="T129" s="50">
        <f t="shared" ca="1" si="91"/>
        <v>0</v>
      </c>
      <c r="U129" s="50">
        <f t="shared" ca="1" si="91"/>
        <v>0</v>
      </c>
      <c r="V129" s="50">
        <f t="shared" ca="1" si="91"/>
        <v>0</v>
      </c>
      <c r="W129" s="50">
        <f t="shared" ca="1" si="91"/>
        <v>0</v>
      </c>
      <c r="X129" s="50">
        <f t="shared" ca="1" si="91"/>
        <v>0</v>
      </c>
      <c r="Y129" s="50">
        <f t="shared" ca="1" si="91"/>
        <v>0</v>
      </c>
      <c r="Z129" s="50">
        <f t="shared" ca="1" si="91"/>
        <v>0</v>
      </c>
      <c r="AA129" s="50">
        <f t="shared" ca="1" si="91"/>
        <v>0</v>
      </c>
      <c r="AB129" s="50">
        <f t="shared" ca="1" si="91"/>
        <v>0</v>
      </c>
      <c r="AC129" s="50">
        <f t="shared" ca="1" si="91"/>
        <v>0</v>
      </c>
      <c r="AD129" s="50">
        <f t="shared" ca="1" si="91"/>
        <v>0</v>
      </c>
      <c r="AE129" s="50">
        <f t="shared" ca="1" si="91"/>
        <v>0</v>
      </c>
      <c r="AF129" s="50">
        <f t="shared" ca="1" si="91"/>
        <v>0</v>
      </c>
      <c r="AG129" s="50">
        <f t="shared" ca="1" si="91"/>
        <v>0</v>
      </c>
      <c r="AH129" s="50">
        <f t="shared" ca="1" si="91"/>
        <v>0</v>
      </c>
      <c r="AI129" s="50">
        <f t="shared" ca="1" si="91"/>
        <v>0</v>
      </c>
      <c r="AJ129" s="50">
        <f t="shared" ca="1" si="91"/>
        <v>0</v>
      </c>
      <c r="AK129" s="50">
        <f t="shared" ca="1" si="91"/>
        <v>0</v>
      </c>
      <c r="AL129" s="50">
        <f t="shared" si="91"/>
        <v>0</v>
      </c>
      <c r="AM129" s="50">
        <f t="shared" si="91"/>
        <v>0</v>
      </c>
      <c r="AN129" s="50">
        <f t="shared" si="91"/>
        <v>0</v>
      </c>
      <c r="AO129" s="50">
        <f t="shared" si="91"/>
        <v>0</v>
      </c>
      <c r="AP129" s="50">
        <f t="shared" si="91"/>
        <v>0</v>
      </c>
      <c r="AQ129" s="50">
        <f t="shared" si="91"/>
        <v>0</v>
      </c>
      <c r="AR129" s="50">
        <f t="shared" si="91"/>
        <v>0</v>
      </c>
      <c r="AS129" s="50">
        <f t="shared" si="91"/>
        <v>0</v>
      </c>
      <c r="AT129" s="50">
        <f t="shared" si="91"/>
        <v>0</v>
      </c>
      <c r="AU129" s="50">
        <f t="shared" si="91"/>
        <v>0</v>
      </c>
    </row>
    <row r="130" spans="1:47">
      <c r="A130" s="38" t="str">
        <f t="shared" si="84"/>
        <v>1Y-</v>
      </c>
      <c r="B130" s="38" t="s">
        <v>273</v>
      </c>
      <c r="C130" s="38" t="str">
        <f>C128</f>
        <v>Ash Conveyance &amp; Storage</v>
      </c>
      <c r="D130" s="186">
        <f>LaborEsc</f>
        <v>0.02</v>
      </c>
      <c r="E130" s="325"/>
      <c r="G130" s="36" t="s">
        <v>291</v>
      </c>
      <c r="I130" s="39"/>
      <c r="K130" s="39"/>
      <c r="L130" s="43" t="str">
        <f>"["&amp;CostBaseYr&amp;" $]"</f>
        <v>[2013 $]</v>
      </c>
      <c r="N130" s="70">
        <f ca="1">SUMIFS(OFFSET(Assumptions!$I$90,0,MATCH($A130,Configurations,0)-1,COUNT(Assumptions!$A$90:$A$183),1),Assumptions!$D$90:$D$183,$B130&amp;$C130)</f>
        <v>0</v>
      </c>
      <c r="O130" s="313"/>
      <c r="P130" s="323"/>
      <c r="Q130" s="313"/>
      <c r="R130" s="50">
        <f t="shared" ref="R130:AU130" ca="1" si="92">IF(OR(R$99&lt;InServiceYr,R$99&gt;(InServiceYr+analysis_period-1)),0,IF($P130=0,$N130,$P130)*(1+$D130)^(R$99-CostBaseYr))*R$509</f>
        <v>0</v>
      </c>
      <c r="S130" s="50">
        <f t="shared" ca="1" si="92"/>
        <v>0</v>
      </c>
      <c r="T130" s="50">
        <f t="shared" ca="1" si="92"/>
        <v>0</v>
      </c>
      <c r="U130" s="50">
        <f t="shared" ca="1" si="92"/>
        <v>0</v>
      </c>
      <c r="V130" s="50">
        <f t="shared" ca="1" si="92"/>
        <v>0</v>
      </c>
      <c r="W130" s="50">
        <f t="shared" ca="1" si="92"/>
        <v>0</v>
      </c>
      <c r="X130" s="50">
        <f t="shared" ca="1" si="92"/>
        <v>0</v>
      </c>
      <c r="Y130" s="50">
        <f t="shared" ca="1" si="92"/>
        <v>0</v>
      </c>
      <c r="Z130" s="50">
        <f t="shared" ca="1" si="92"/>
        <v>0</v>
      </c>
      <c r="AA130" s="50">
        <f t="shared" ca="1" si="92"/>
        <v>0</v>
      </c>
      <c r="AB130" s="50">
        <f t="shared" ca="1" si="92"/>
        <v>0</v>
      </c>
      <c r="AC130" s="50">
        <f t="shared" ca="1" si="92"/>
        <v>0</v>
      </c>
      <c r="AD130" s="50">
        <f t="shared" ca="1" si="92"/>
        <v>0</v>
      </c>
      <c r="AE130" s="50">
        <f t="shared" ca="1" si="92"/>
        <v>0</v>
      </c>
      <c r="AF130" s="50">
        <f t="shared" ca="1" si="92"/>
        <v>0</v>
      </c>
      <c r="AG130" s="50">
        <f t="shared" ca="1" si="92"/>
        <v>0</v>
      </c>
      <c r="AH130" s="50">
        <f t="shared" ca="1" si="92"/>
        <v>0</v>
      </c>
      <c r="AI130" s="50">
        <f t="shared" ca="1" si="92"/>
        <v>0</v>
      </c>
      <c r="AJ130" s="50">
        <f t="shared" ca="1" si="92"/>
        <v>0</v>
      </c>
      <c r="AK130" s="50">
        <f t="shared" ca="1" si="92"/>
        <v>0</v>
      </c>
      <c r="AL130" s="50">
        <f t="shared" si="92"/>
        <v>0</v>
      </c>
      <c r="AM130" s="50">
        <f t="shared" si="92"/>
        <v>0</v>
      </c>
      <c r="AN130" s="50">
        <f t="shared" si="92"/>
        <v>0</v>
      </c>
      <c r="AO130" s="50">
        <f t="shared" si="92"/>
        <v>0</v>
      </c>
      <c r="AP130" s="50">
        <f t="shared" si="92"/>
        <v>0</v>
      </c>
      <c r="AQ130" s="50">
        <f t="shared" si="92"/>
        <v>0</v>
      </c>
      <c r="AR130" s="50">
        <f t="shared" si="92"/>
        <v>0</v>
      </c>
      <c r="AS130" s="50">
        <f t="shared" si="92"/>
        <v>0</v>
      </c>
      <c r="AT130" s="50">
        <f t="shared" si="92"/>
        <v>0</v>
      </c>
      <c r="AU130" s="50">
        <f t="shared" si="92"/>
        <v>0</v>
      </c>
    </row>
    <row r="131" spans="1:47">
      <c r="D131" s="186"/>
      <c r="E131" s="325"/>
      <c r="G131" s="39" t="s">
        <v>304</v>
      </c>
      <c r="I131" s="39"/>
      <c r="K131" s="39"/>
      <c r="L131" s="43"/>
      <c r="N131" s="70"/>
      <c r="O131" s="313"/>
      <c r="P131" s="70"/>
      <c r="Q131" s="313"/>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row>
    <row r="132" spans="1:47">
      <c r="A132" s="38" t="str">
        <f>$J$4&amp;"-"</f>
        <v>1Y-</v>
      </c>
      <c r="B132" s="38" t="s">
        <v>265</v>
      </c>
      <c r="C132" s="38" t="str">
        <f>C123</f>
        <v>Ash Conveyance &amp; Storage</v>
      </c>
      <c r="D132" s="186"/>
      <c r="E132" s="325"/>
      <c r="G132" s="36" t="s">
        <v>108</v>
      </c>
      <c r="I132" s="39"/>
      <c r="K132" s="39"/>
      <c r="L132" s="43" t="s">
        <v>293</v>
      </c>
      <c r="N132" s="70">
        <f ca="1">SUMIFS(OFFSET(Assumptions!$I$90,0,MATCH($A132,Configurations,0)-1,COUNT(Assumptions!$A$90:$A$183),1),Assumptions!$D$90:$D$183,$B132&amp;$C132)</f>
        <v>0</v>
      </c>
      <c r="O132" s="313"/>
      <c r="P132" s="323"/>
      <c r="Q132" s="313"/>
      <c r="R132" s="50">
        <f t="shared" ref="R132:AU132" ca="1" si="93">IF(OR(R$99&lt;InServiceYr,R$99&gt;(InServiceYr+analysis_period-1)),0,IF($P132=0,$N132,$P132)*R$501)</f>
        <v>0</v>
      </c>
      <c r="S132" s="50">
        <f t="shared" ca="1" si="93"/>
        <v>0</v>
      </c>
      <c r="T132" s="50">
        <f t="shared" ca="1" si="93"/>
        <v>0</v>
      </c>
      <c r="U132" s="50">
        <f t="shared" ca="1" si="93"/>
        <v>0</v>
      </c>
      <c r="V132" s="50">
        <f t="shared" ca="1" si="93"/>
        <v>0</v>
      </c>
      <c r="W132" s="50">
        <f t="shared" ca="1" si="93"/>
        <v>0</v>
      </c>
      <c r="X132" s="50">
        <f t="shared" ca="1" si="93"/>
        <v>0</v>
      </c>
      <c r="Y132" s="50">
        <f t="shared" ca="1" si="93"/>
        <v>0</v>
      </c>
      <c r="Z132" s="50">
        <f t="shared" ca="1" si="93"/>
        <v>0</v>
      </c>
      <c r="AA132" s="50">
        <f t="shared" ca="1" si="93"/>
        <v>0</v>
      </c>
      <c r="AB132" s="50">
        <f t="shared" ca="1" si="93"/>
        <v>0</v>
      </c>
      <c r="AC132" s="50">
        <f t="shared" ca="1" si="93"/>
        <v>0</v>
      </c>
      <c r="AD132" s="50">
        <f t="shared" ca="1" si="93"/>
        <v>0</v>
      </c>
      <c r="AE132" s="50">
        <f t="shared" ca="1" si="93"/>
        <v>0</v>
      </c>
      <c r="AF132" s="50">
        <f t="shared" ca="1" si="93"/>
        <v>0</v>
      </c>
      <c r="AG132" s="50">
        <f t="shared" ca="1" si="93"/>
        <v>0</v>
      </c>
      <c r="AH132" s="50">
        <f t="shared" ca="1" si="93"/>
        <v>0</v>
      </c>
      <c r="AI132" s="50">
        <f t="shared" ca="1" si="93"/>
        <v>0</v>
      </c>
      <c r="AJ132" s="50">
        <f t="shared" ca="1" si="93"/>
        <v>0</v>
      </c>
      <c r="AK132" s="50">
        <f t="shared" ca="1" si="93"/>
        <v>0</v>
      </c>
      <c r="AL132" s="50">
        <f t="shared" si="93"/>
        <v>0</v>
      </c>
      <c r="AM132" s="50">
        <f t="shared" si="93"/>
        <v>0</v>
      </c>
      <c r="AN132" s="50">
        <f t="shared" si="93"/>
        <v>0</v>
      </c>
      <c r="AO132" s="50">
        <f t="shared" si="93"/>
        <v>0</v>
      </c>
      <c r="AP132" s="50">
        <f t="shared" si="93"/>
        <v>0</v>
      </c>
      <c r="AQ132" s="50">
        <f t="shared" si="93"/>
        <v>0</v>
      </c>
      <c r="AR132" s="50">
        <f t="shared" si="93"/>
        <v>0</v>
      </c>
      <c r="AS132" s="50">
        <f t="shared" si="93"/>
        <v>0</v>
      </c>
      <c r="AT132" s="50">
        <f t="shared" si="93"/>
        <v>0</v>
      </c>
      <c r="AU132" s="50">
        <f t="shared" si="93"/>
        <v>0</v>
      </c>
    </row>
    <row r="133" spans="1:47">
      <c r="A133" s="38" t="str">
        <f>$J$4&amp;"-"</f>
        <v>1Y-</v>
      </c>
      <c r="B133" s="38" t="s">
        <v>289</v>
      </c>
      <c r="C133" s="38" t="str">
        <f>C123</f>
        <v>Ash Conveyance &amp; Storage</v>
      </c>
      <c r="D133" s="186">
        <f>LaborEsc</f>
        <v>0.02</v>
      </c>
      <c r="E133" s="325"/>
      <c r="G133" s="36" t="s">
        <v>292</v>
      </c>
      <c r="I133" s="39"/>
      <c r="K133" s="39"/>
      <c r="L133" s="43" t="str">
        <f>"["&amp;CostBaseYr&amp;" $]"</f>
        <v>[2013 $]</v>
      </c>
      <c r="N133" s="70">
        <f ca="1">SUMIFS(OFFSET(Assumptions!$I$90,0,MATCH($A133,Configurations,0)-1,COUNT(Assumptions!$A$90:$A$183),1),Assumptions!$D$90:$D$183,$B133&amp;$C133)</f>
        <v>0</v>
      </c>
      <c r="O133" s="313"/>
      <c r="P133" s="323"/>
      <c r="Q133" s="313"/>
      <c r="R133" s="50">
        <f t="shared" ref="R133:AU133" ca="1" si="94">IF(OR(R$99&lt;InServiceYr,R$99&gt;(InServiceYr+analysis_period-1)),0,IF($P133=0,$N133,$P133)*(1+$D133)^(R$99-CostBaseYr))</f>
        <v>0</v>
      </c>
      <c r="S133" s="50">
        <f t="shared" ca="1" si="94"/>
        <v>0</v>
      </c>
      <c r="T133" s="50">
        <f t="shared" ca="1" si="94"/>
        <v>0</v>
      </c>
      <c r="U133" s="50">
        <f t="shared" ca="1" si="94"/>
        <v>0</v>
      </c>
      <c r="V133" s="50">
        <f t="shared" ca="1" si="94"/>
        <v>0</v>
      </c>
      <c r="W133" s="50">
        <f t="shared" ca="1" si="94"/>
        <v>0</v>
      </c>
      <c r="X133" s="50">
        <f t="shared" ca="1" si="94"/>
        <v>0</v>
      </c>
      <c r="Y133" s="50">
        <f t="shared" ca="1" si="94"/>
        <v>0</v>
      </c>
      <c r="Z133" s="50">
        <f t="shared" ca="1" si="94"/>
        <v>0</v>
      </c>
      <c r="AA133" s="50">
        <f t="shared" ca="1" si="94"/>
        <v>0</v>
      </c>
      <c r="AB133" s="50">
        <f t="shared" ca="1" si="94"/>
        <v>0</v>
      </c>
      <c r="AC133" s="50">
        <f t="shared" ca="1" si="94"/>
        <v>0</v>
      </c>
      <c r="AD133" s="50">
        <f t="shared" ca="1" si="94"/>
        <v>0</v>
      </c>
      <c r="AE133" s="50">
        <f t="shared" ca="1" si="94"/>
        <v>0</v>
      </c>
      <c r="AF133" s="50">
        <f t="shared" ca="1" si="94"/>
        <v>0</v>
      </c>
      <c r="AG133" s="50">
        <f t="shared" ca="1" si="94"/>
        <v>0</v>
      </c>
      <c r="AH133" s="50">
        <f t="shared" ca="1" si="94"/>
        <v>0</v>
      </c>
      <c r="AI133" s="50">
        <f t="shared" ca="1" si="94"/>
        <v>0</v>
      </c>
      <c r="AJ133" s="50">
        <f t="shared" ca="1" si="94"/>
        <v>0</v>
      </c>
      <c r="AK133" s="50">
        <f t="shared" ca="1" si="94"/>
        <v>0</v>
      </c>
      <c r="AL133" s="50">
        <f t="shared" si="94"/>
        <v>0</v>
      </c>
      <c r="AM133" s="50">
        <f t="shared" si="94"/>
        <v>0</v>
      </c>
      <c r="AN133" s="50">
        <f t="shared" si="94"/>
        <v>0</v>
      </c>
      <c r="AO133" s="50">
        <f t="shared" si="94"/>
        <v>0</v>
      </c>
      <c r="AP133" s="50">
        <f t="shared" si="94"/>
        <v>0</v>
      </c>
      <c r="AQ133" s="50">
        <f t="shared" si="94"/>
        <v>0</v>
      </c>
      <c r="AR133" s="50">
        <f t="shared" si="94"/>
        <v>0</v>
      </c>
      <c r="AS133" s="50">
        <f t="shared" si="94"/>
        <v>0</v>
      </c>
      <c r="AT133" s="50">
        <f t="shared" si="94"/>
        <v>0</v>
      </c>
      <c r="AU133" s="50">
        <f t="shared" si="94"/>
        <v>0</v>
      </c>
    </row>
    <row r="134" spans="1:47">
      <c r="D134" s="186"/>
      <c r="E134" s="325"/>
      <c r="F134" s="60"/>
      <c r="G134" s="39" t="s">
        <v>305</v>
      </c>
      <c r="H134" s="60"/>
      <c r="I134" s="39"/>
      <c r="J134" s="60"/>
      <c r="K134" s="39"/>
      <c r="L134" s="174"/>
      <c r="M134" s="60"/>
      <c r="N134" s="188"/>
      <c r="O134" s="314"/>
      <c r="P134" s="185"/>
      <c r="Q134" s="314"/>
      <c r="R134" s="185">
        <f ca="1">SUM(R123:R130)-SUM(R132:R133)</f>
        <v>0</v>
      </c>
      <c r="S134" s="185">
        <f t="shared" ref="S134:AU134" ca="1" si="95">SUM(S123:S130)-SUM(S132:S133)</f>
        <v>0</v>
      </c>
      <c r="T134" s="185">
        <f t="shared" ca="1" si="95"/>
        <v>0</v>
      </c>
      <c r="U134" s="185">
        <f t="shared" ca="1" si="95"/>
        <v>0</v>
      </c>
      <c r="V134" s="185">
        <f t="shared" ca="1" si="95"/>
        <v>0</v>
      </c>
      <c r="W134" s="185">
        <f t="shared" ca="1" si="95"/>
        <v>0</v>
      </c>
      <c r="X134" s="185">
        <f t="shared" ca="1" si="95"/>
        <v>0</v>
      </c>
      <c r="Y134" s="185">
        <f t="shared" ca="1" si="95"/>
        <v>0</v>
      </c>
      <c r="Z134" s="185">
        <f t="shared" ca="1" si="95"/>
        <v>0</v>
      </c>
      <c r="AA134" s="185">
        <f t="shared" ca="1" si="95"/>
        <v>0</v>
      </c>
      <c r="AB134" s="185">
        <f t="shared" ca="1" si="95"/>
        <v>0</v>
      </c>
      <c r="AC134" s="185">
        <f t="shared" ca="1" si="95"/>
        <v>0</v>
      </c>
      <c r="AD134" s="185">
        <f t="shared" ca="1" si="95"/>
        <v>0</v>
      </c>
      <c r="AE134" s="185">
        <f t="shared" ca="1" si="95"/>
        <v>0</v>
      </c>
      <c r="AF134" s="185">
        <f t="shared" ca="1" si="95"/>
        <v>0</v>
      </c>
      <c r="AG134" s="185">
        <f t="shared" ca="1" si="95"/>
        <v>0</v>
      </c>
      <c r="AH134" s="185">
        <f t="shared" ca="1" si="95"/>
        <v>0</v>
      </c>
      <c r="AI134" s="185">
        <f t="shared" ca="1" si="95"/>
        <v>0</v>
      </c>
      <c r="AJ134" s="185">
        <f t="shared" ca="1" si="95"/>
        <v>0</v>
      </c>
      <c r="AK134" s="185">
        <f t="shared" ca="1" si="95"/>
        <v>0</v>
      </c>
      <c r="AL134" s="185">
        <f t="shared" si="95"/>
        <v>0</v>
      </c>
      <c r="AM134" s="185">
        <f t="shared" si="95"/>
        <v>0</v>
      </c>
      <c r="AN134" s="185">
        <f t="shared" si="95"/>
        <v>0</v>
      </c>
      <c r="AO134" s="185">
        <f t="shared" si="95"/>
        <v>0</v>
      </c>
      <c r="AP134" s="185">
        <f t="shared" si="95"/>
        <v>0</v>
      </c>
      <c r="AQ134" s="185">
        <f t="shared" si="95"/>
        <v>0</v>
      </c>
      <c r="AR134" s="185">
        <f t="shared" si="95"/>
        <v>0</v>
      </c>
      <c r="AS134" s="185">
        <f t="shared" si="95"/>
        <v>0</v>
      </c>
      <c r="AT134" s="185">
        <f t="shared" si="95"/>
        <v>0</v>
      </c>
      <c r="AU134" s="185">
        <f t="shared" si="95"/>
        <v>0</v>
      </c>
    </row>
    <row r="135" spans="1:47">
      <c r="G135" s="28"/>
      <c r="H135" s="28"/>
      <c r="I135" s="28"/>
      <c r="J135" s="28"/>
      <c r="K135" s="28"/>
      <c r="L135" s="409"/>
      <c r="M135" s="46"/>
      <c r="N135" s="46"/>
      <c r="O135" s="315"/>
      <c r="P135" s="46"/>
      <c r="Q135" s="315"/>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row>
    <row r="136" spans="1:47" s="255" customFormat="1">
      <c r="E136" s="327"/>
      <c r="F136" s="28"/>
      <c r="G136" s="324" t="str">
        <f>C138&amp;" Capital Costs"</f>
        <v>Belt Filter Press Dewatering Capital Costs</v>
      </c>
      <c r="H136" s="324"/>
      <c r="I136" s="324"/>
      <c r="J136" s="324"/>
      <c r="K136" s="324"/>
      <c r="L136" s="405" t="s">
        <v>79</v>
      </c>
      <c r="M136" s="256"/>
      <c r="N136" s="325" t="s">
        <v>490</v>
      </c>
      <c r="O136" s="311"/>
      <c r="P136" s="325" t="s">
        <v>491</v>
      </c>
      <c r="Q136" s="310"/>
      <c r="R136" s="325">
        <f>R$8</f>
        <v>2014</v>
      </c>
      <c r="S136" s="325">
        <f t="shared" ref="S136:AU136" si="96">S$8</f>
        <v>2015</v>
      </c>
      <c r="T136" s="325">
        <f t="shared" si="96"/>
        <v>2016</v>
      </c>
      <c r="U136" s="325">
        <f t="shared" si="96"/>
        <v>2017</v>
      </c>
      <c r="V136" s="325">
        <f t="shared" si="96"/>
        <v>2018</v>
      </c>
      <c r="W136" s="325">
        <f t="shared" si="96"/>
        <v>2019</v>
      </c>
      <c r="X136" s="325">
        <f t="shared" si="96"/>
        <v>2020</v>
      </c>
      <c r="Y136" s="325">
        <f t="shared" si="96"/>
        <v>2021</v>
      </c>
      <c r="Z136" s="325">
        <f t="shared" si="96"/>
        <v>2022</v>
      </c>
      <c r="AA136" s="325">
        <f t="shared" si="96"/>
        <v>2023</v>
      </c>
      <c r="AB136" s="325">
        <f t="shared" si="96"/>
        <v>2024</v>
      </c>
      <c r="AC136" s="325">
        <f t="shared" si="96"/>
        <v>2025</v>
      </c>
      <c r="AD136" s="325">
        <f t="shared" si="96"/>
        <v>2026</v>
      </c>
      <c r="AE136" s="325">
        <f t="shared" si="96"/>
        <v>2027</v>
      </c>
      <c r="AF136" s="325">
        <f t="shared" si="96"/>
        <v>2028</v>
      </c>
      <c r="AG136" s="325">
        <f t="shared" si="96"/>
        <v>2029</v>
      </c>
      <c r="AH136" s="325">
        <f t="shared" si="96"/>
        <v>2030</v>
      </c>
      <c r="AI136" s="325">
        <f t="shared" si="96"/>
        <v>2031</v>
      </c>
      <c r="AJ136" s="325">
        <f t="shared" si="96"/>
        <v>2032</v>
      </c>
      <c r="AK136" s="325">
        <f t="shared" si="96"/>
        <v>2033</v>
      </c>
      <c r="AL136" s="325">
        <f t="shared" si="96"/>
        <v>2034</v>
      </c>
      <c r="AM136" s="325">
        <f t="shared" si="96"/>
        <v>2035</v>
      </c>
      <c r="AN136" s="325">
        <f t="shared" si="96"/>
        <v>2036</v>
      </c>
      <c r="AO136" s="325">
        <f t="shared" si="96"/>
        <v>2037</v>
      </c>
      <c r="AP136" s="325">
        <f t="shared" si="96"/>
        <v>2038</v>
      </c>
      <c r="AQ136" s="325">
        <f t="shared" si="96"/>
        <v>2039</v>
      </c>
      <c r="AR136" s="325">
        <f t="shared" si="96"/>
        <v>2040</v>
      </c>
      <c r="AS136" s="325">
        <f t="shared" si="96"/>
        <v>2041</v>
      </c>
      <c r="AT136" s="325">
        <f t="shared" si="96"/>
        <v>2042</v>
      </c>
      <c r="AU136" s="325">
        <f t="shared" si="96"/>
        <v>2043</v>
      </c>
    </row>
    <row r="137" spans="1:47">
      <c r="E137" s="325"/>
      <c r="G137" s="39"/>
      <c r="H137" s="39"/>
      <c r="I137" s="39"/>
      <c r="J137" s="39"/>
      <c r="K137" s="39"/>
    </row>
    <row r="138" spans="1:47">
      <c r="A138" s="38" t="str">
        <f>$J$4&amp;"-"</f>
        <v>1Y-</v>
      </c>
      <c r="B138" s="38" t="s">
        <v>306</v>
      </c>
      <c r="C138" s="38" t="s">
        <v>143</v>
      </c>
      <c r="D138" s="186">
        <f>CapExEsc</f>
        <v>0.03</v>
      </c>
      <c r="E138" s="325"/>
      <c r="G138" s="36" t="s">
        <v>8</v>
      </c>
      <c r="H138" s="39"/>
      <c r="I138" s="39"/>
      <c r="J138" s="70"/>
      <c r="K138" s="39"/>
      <c r="L138" s="43" t="str">
        <f>"["&amp;CostBaseYr&amp;" $]"</f>
        <v>[2013 $]</v>
      </c>
      <c r="N138" s="52">
        <f ca="1">SUMIFS(OFFSET(Assumptions!$I$65,0,MATCH($A138,Configurations,0)-1,COUNT(Assumptions!$A$65:$A$84),1),Assumptions!$E$65:$E$84,$C138)</f>
        <v>2603000</v>
      </c>
      <c r="O138" s="52"/>
      <c r="P138" s="322"/>
      <c r="Q138" s="52"/>
      <c r="R138" s="52">
        <f t="shared" ref="R138:AU138" ca="1" si="97">R139*IF($P138=0,$N138,$P138)*(1+$D138)^(R$8-CostBaseYr)</f>
        <v>2681090</v>
      </c>
      <c r="S138" s="52">
        <f t="shared" ca="1" si="97"/>
        <v>0</v>
      </c>
      <c r="T138" s="52">
        <f t="shared" ca="1" si="97"/>
        <v>0</v>
      </c>
      <c r="U138" s="52">
        <f t="shared" ca="1" si="97"/>
        <v>0</v>
      </c>
      <c r="V138" s="52">
        <f t="shared" ca="1" si="97"/>
        <v>0</v>
      </c>
      <c r="W138" s="52">
        <f t="shared" ca="1" si="97"/>
        <v>0</v>
      </c>
      <c r="X138" s="52">
        <f t="shared" ca="1" si="97"/>
        <v>0</v>
      </c>
      <c r="Y138" s="52">
        <f t="shared" ca="1" si="97"/>
        <v>0</v>
      </c>
      <c r="Z138" s="52">
        <f t="shared" ca="1" si="97"/>
        <v>0</v>
      </c>
      <c r="AA138" s="52">
        <f t="shared" ca="1" si="97"/>
        <v>0</v>
      </c>
      <c r="AB138" s="52">
        <f t="shared" ca="1" si="97"/>
        <v>0</v>
      </c>
      <c r="AC138" s="52">
        <f t="shared" ca="1" si="97"/>
        <v>0</v>
      </c>
      <c r="AD138" s="52">
        <f t="shared" ca="1" si="97"/>
        <v>0</v>
      </c>
      <c r="AE138" s="52">
        <f t="shared" ca="1" si="97"/>
        <v>0</v>
      </c>
      <c r="AF138" s="52">
        <f t="shared" ca="1" si="97"/>
        <v>0</v>
      </c>
      <c r="AG138" s="52">
        <f t="shared" ca="1" si="97"/>
        <v>0</v>
      </c>
      <c r="AH138" s="52">
        <f t="shared" ca="1" si="97"/>
        <v>0</v>
      </c>
      <c r="AI138" s="52">
        <f t="shared" ca="1" si="97"/>
        <v>0</v>
      </c>
      <c r="AJ138" s="52">
        <f t="shared" ca="1" si="97"/>
        <v>0</v>
      </c>
      <c r="AK138" s="52">
        <f t="shared" ca="1" si="97"/>
        <v>0</v>
      </c>
      <c r="AL138" s="52">
        <f t="shared" ca="1" si="97"/>
        <v>0</v>
      </c>
      <c r="AM138" s="52">
        <f t="shared" ca="1" si="97"/>
        <v>0</v>
      </c>
      <c r="AN138" s="52">
        <f t="shared" ca="1" si="97"/>
        <v>0</v>
      </c>
      <c r="AO138" s="52">
        <f t="shared" ca="1" si="97"/>
        <v>0</v>
      </c>
      <c r="AP138" s="52">
        <f t="shared" ca="1" si="97"/>
        <v>0</v>
      </c>
      <c r="AQ138" s="52">
        <f t="shared" ca="1" si="97"/>
        <v>0</v>
      </c>
      <c r="AR138" s="52">
        <f t="shared" ca="1" si="97"/>
        <v>0</v>
      </c>
      <c r="AS138" s="52">
        <f t="shared" ca="1" si="97"/>
        <v>0</v>
      </c>
      <c r="AT138" s="52">
        <f t="shared" ca="1" si="97"/>
        <v>0</v>
      </c>
      <c r="AU138" s="52">
        <f t="shared" ca="1" si="97"/>
        <v>0</v>
      </c>
    </row>
    <row r="139" spans="1:47">
      <c r="E139" s="325"/>
      <c r="G139" s="36" t="s">
        <v>10</v>
      </c>
      <c r="H139" s="39"/>
      <c r="I139" s="39"/>
      <c r="J139" s="39"/>
      <c r="K139" s="39"/>
      <c r="L139" s="43"/>
      <c r="R139" s="54">
        <f>Assumptions!M$60</f>
        <v>1</v>
      </c>
      <c r="S139" s="54">
        <f>Assumptions!N$60</f>
        <v>0</v>
      </c>
      <c r="T139" s="54">
        <f>Assumptions!O$60</f>
        <v>0</v>
      </c>
      <c r="U139" s="54">
        <f>Assumptions!P$60</f>
        <v>0</v>
      </c>
      <c r="V139" s="54">
        <f>Assumptions!Q$60</f>
        <v>0</v>
      </c>
      <c r="W139" s="54">
        <f>Assumptions!R$60</f>
        <v>0</v>
      </c>
      <c r="X139" s="54">
        <f>Assumptions!S$60</f>
        <v>0</v>
      </c>
      <c r="Y139" s="54">
        <f>Assumptions!T$60</f>
        <v>0</v>
      </c>
      <c r="Z139" s="54">
        <f>Assumptions!U$60</f>
        <v>0</v>
      </c>
      <c r="AA139" s="54">
        <f>Assumptions!V$60</f>
        <v>0</v>
      </c>
      <c r="AB139" s="54">
        <f>Assumptions!W$60</f>
        <v>0</v>
      </c>
      <c r="AC139" s="54">
        <f>Assumptions!X$60</f>
        <v>0</v>
      </c>
      <c r="AD139" s="54">
        <f>Assumptions!Y$60</f>
        <v>0</v>
      </c>
      <c r="AE139" s="54">
        <f>Assumptions!Z$60</f>
        <v>0</v>
      </c>
      <c r="AF139" s="54">
        <f>Assumptions!AA$60</f>
        <v>0</v>
      </c>
      <c r="AG139" s="54">
        <f>Assumptions!AB$60</f>
        <v>0</v>
      </c>
      <c r="AH139" s="54">
        <f>Assumptions!AC$60</f>
        <v>0</v>
      </c>
      <c r="AI139" s="54">
        <f>Assumptions!AD$60</f>
        <v>0</v>
      </c>
      <c r="AJ139" s="54">
        <f>Assumptions!AE$60</f>
        <v>0</v>
      </c>
      <c r="AK139" s="54">
        <f>Assumptions!AF$60</f>
        <v>0</v>
      </c>
      <c r="AL139" s="54">
        <f>Assumptions!AG$60</f>
        <v>0</v>
      </c>
      <c r="AM139" s="54">
        <f>Assumptions!AH$60</f>
        <v>0</v>
      </c>
      <c r="AN139" s="54">
        <f>Assumptions!AI$60</f>
        <v>0</v>
      </c>
      <c r="AO139" s="54">
        <f>Assumptions!AJ$60</f>
        <v>0</v>
      </c>
      <c r="AP139" s="54">
        <f>Assumptions!AK$60</f>
        <v>0</v>
      </c>
      <c r="AQ139" s="54">
        <f>Assumptions!AL$60</f>
        <v>0</v>
      </c>
      <c r="AR139" s="54">
        <f>Assumptions!AM$60</f>
        <v>0</v>
      </c>
      <c r="AS139" s="54">
        <f>Assumptions!AN$60</f>
        <v>0</v>
      </c>
      <c r="AT139" s="54">
        <f>Assumptions!AO$60</f>
        <v>0</v>
      </c>
      <c r="AU139" s="54">
        <f>Assumptions!AP$60</f>
        <v>0</v>
      </c>
    </row>
    <row r="140" spans="1:47">
      <c r="E140" s="326"/>
      <c r="G140" s="39"/>
      <c r="H140" s="39"/>
      <c r="I140" s="39"/>
      <c r="J140" s="39"/>
      <c r="K140" s="39"/>
    </row>
    <row r="141" spans="1:47">
      <c r="E141" s="327"/>
      <c r="F141" s="28"/>
      <c r="G141" s="324" t="str">
        <f>C138&amp;" O&amp;M"</f>
        <v>Belt Filter Press Dewatering O&amp;M</v>
      </c>
      <c r="H141" s="324"/>
      <c r="I141" s="324"/>
      <c r="J141" s="324"/>
      <c r="K141" s="324"/>
      <c r="L141" s="405" t="s">
        <v>79</v>
      </c>
      <c r="M141" s="256"/>
      <c r="N141" s="325" t="s">
        <v>490</v>
      </c>
      <c r="O141" s="311"/>
      <c r="P141" s="325" t="s">
        <v>491</v>
      </c>
      <c r="Q141" s="310"/>
      <c r="R141" s="325">
        <f>R$8</f>
        <v>2014</v>
      </c>
      <c r="S141" s="325">
        <f t="shared" ref="S141:AU141" si="98">S$8</f>
        <v>2015</v>
      </c>
      <c r="T141" s="325">
        <f t="shared" si="98"/>
        <v>2016</v>
      </c>
      <c r="U141" s="325">
        <f t="shared" si="98"/>
        <v>2017</v>
      </c>
      <c r="V141" s="325">
        <f t="shared" si="98"/>
        <v>2018</v>
      </c>
      <c r="W141" s="325">
        <f t="shared" si="98"/>
        <v>2019</v>
      </c>
      <c r="X141" s="325">
        <f t="shared" si="98"/>
        <v>2020</v>
      </c>
      <c r="Y141" s="325">
        <f t="shared" si="98"/>
        <v>2021</v>
      </c>
      <c r="Z141" s="325">
        <f t="shared" si="98"/>
        <v>2022</v>
      </c>
      <c r="AA141" s="325">
        <f t="shared" si="98"/>
        <v>2023</v>
      </c>
      <c r="AB141" s="325">
        <f t="shared" si="98"/>
        <v>2024</v>
      </c>
      <c r="AC141" s="325">
        <f t="shared" si="98"/>
        <v>2025</v>
      </c>
      <c r="AD141" s="325">
        <f t="shared" si="98"/>
        <v>2026</v>
      </c>
      <c r="AE141" s="325">
        <f t="shared" si="98"/>
        <v>2027</v>
      </c>
      <c r="AF141" s="325">
        <f t="shared" si="98"/>
        <v>2028</v>
      </c>
      <c r="AG141" s="325">
        <f t="shared" si="98"/>
        <v>2029</v>
      </c>
      <c r="AH141" s="325">
        <f t="shared" si="98"/>
        <v>2030</v>
      </c>
      <c r="AI141" s="325">
        <f t="shared" si="98"/>
        <v>2031</v>
      </c>
      <c r="AJ141" s="325">
        <f t="shared" si="98"/>
        <v>2032</v>
      </c>
      <c r="AK141" s="325">
        <f t="shared" si="98"/>
        <v>2033</v>
      </c>
      <c r="AL141" s="325">
        <f t="shared" si="98"/>
        <v>2034</v>
      </c>
      <c r="AM141" s="325">
        <f t="shared" si="98"/>
        <v>2035</v>
      </c>
      <c r="AN141" s="325">
        <f t="shared" si="98"/>
        <v>2036</v>
      </c>
      <c r="AO141" s="325">
        <f t="shared" si="98"/>
        <v>2037</v>
      </c>
      <c r="AP141" s="325">
        <f t="shared" si="98"/>
        <v>2038</v>
      </c>
      <c r="AQ141" s="325">
        <f t="shared" si="98"/>
        <v>2039</v>
      </c>
      <c r="AR141" s="325">
        <f t="shared" si="98"/>
        <v>2040</v>
      </c>
      <c r="AS141" s="325">
        <f t="shared" si="98"/>
        <v>2041</v>
      </c>
      <c r="AT141" s="325">
        <f t="shared" si="98"/>
        <v>2042</v>
      </c>
      <c r="AU141" s="325">
        <f t="shared" si="98"/>
        <v>2043</v>
      </c>
    </row>
    <row r="142" spans="1:47">
      <c r="E142" s="325"/>
      <c r="G142" s="39"/>
      <c r="H142" s="39"/>
      <c r="I142" s="39"/>
      <c r="J142" s="39"/>
      <c r="K142" s="39"/>
    </row>
    <row r="143" spans="1:47">
      <c r="E143" s="325"/>
      <c r="G143" s="39" t="s">
        <v>23</v>
      </c>
      <c r="H143" s="39"/>
      <c r="I143" s="39"/>
      <c r="J143" s="39"/>
      <c r="K143" s="39"/>
    </row>
    <row r="144" spans="1:47">
      <c r="A144" s="38" t="str">
        <f t="shared" ref="A144:A151" si="99">$J$4&amp;"-"</f>
        <v>1Y-</v>
      </c>
      <c r="B144" s="38" t="s">
        <v>262</v>
      </c>
      <c r="C144" s="38" t="str">
        <f>C138</f>
        <v>Belt Filter Press Dewatering</v>
      </c>
      <c r="D144" s="186">
        <f>LaborEsc</f>
        <v>0.02</v>
      </c>
      <c r="E144" s="325"/>
      <c r="G144" s="36" t="s">
        <v>125</v>
      </c>
      <c r="I144" s="39"/>
      <c r="K144" s="39"/>
      <c r="L144" s="43" t="s">
        <v>266</v>
      </c>
      <c r="N144" s="70">
        <f ca="1">SUMIFS(OFFSET(Assumptions!$I$90,0,MATCH($A144,Configurations,0)-1,COUNT(Assumptions!$A$90:$A$183),1),Assumptions!$D$90:$D$183,$B144&amp;$C144)</f>
        <v>5110</v>
      </c>
      <c r="O144" s="313"/>
      <c r="P144" s="323"/>
      <c r="Q144" s="313"/>
      <c r="R144" s="50">
        <f t="shared" ref="R144:AU144" ca="1" si="100">IF(OR(R$99&lt;InServiceYr,R$99&gt;(InServiceYr+analysis_period-1)),0,IF($P144=0,$N144,$P144)*LaborCost*(1+$D144)^(R$99-CostBaseYr))</f>
        <v>182427</v>
      </c>
      <c r="S144" s="50">
        <f t="shared" ca="1" si="100"/>
        <v>186075.54</v>
      </c>
      <c r="T144" s="50">
        <f t="shared" ca="1" si="100"/>
        <v>189797.0508</v>
      </c>
      <c r="U144" s="50">
        <f t="shared" ca="1" si="100"/>
        <v>193592.99181599999</v>
      </c>
      <c r="V144" s="50">
        <f t="shared" ca="1" si="100"/>
        <v>197464.85165232001</v>
      </c>
      <c r="W144" s="50">
        <f t="shared" ca="1" si="100"/>
        <v>201414.14868536641</v>
      </c>
      <c r="X144" s="50">
        <f t="shared" ca="1" si="100"/>
        <v>205442.43165907369</v>
      </c>
      <c r="Y144" s="50">
        <f t="shared" ca="1" si="100"/>
        <v>209551.28029225519</v>
      </c>
      <c r="Z144" s="50">
        <f t="shared" ca="1" si="100"/>
        <v>213742.30589810028</v>
      </c>
      <c r="AA144" s="50">
        <f t="shared" ca="1" si="100"/>
        <v>218017.15201606232</v>
      </c>
      <c r="AB144" s="50">
        <f t="shared" ca="1" si="100"/>
        <v>222377.49505638352</v>
      </c>
      <c r="AC144" s="50">
        <f t="shared" ca="1" si="100"/>
        <v>226825.04495751121</v>
      </c>
      <c r="AD144" s="50">
        <f t="shared" ca="1" si="100"/>
        <v>231361.54585666143</v>
      </c>
      <c r="AE144" s="50">
        <f t="shared" ca="1" si="100"/>
        <v>235988.77677379467</v>
      </c>
      <c r="AF144" s="50">
        <f t="shared" ca="1" si="100"/>
        <v>240708.55230927051</v>
      </c>
      <c r="AG144" s="50">
        <f t="shared" ca="1" si="100"/>
        <v>245522.72335545596</v>
      </c>
      <c r="AH144" s="50">
        <f t="shared" ca="1" si="100"/>
        <v>250433.17782256511</v>
      </c>
      <c r="AI144" s="50">
        <f t="shared" ca="1" si="100"/>
        <v>255441.84137901638</v>
      </c>
      <c r="AJ144" s="50">
        <f t="shared" ca="1" si="100"/>
        <v>260550.6782065967</v>
      </c>
      <c r="AK144" s="50">
        <f t="shared" ca="1" si="100"/>
        <v>265761.69177072868</v>
      </c>
      <c r="AL144" s="50">
        <f t="shared" si="100"/>
        <v>0</v>
      </c>
      <c r="AM144" s="50">
        <f t="shared" si="100"/>
        <v>0</v>
      </c>
      <c r="AN144" s="50">
        <f t="shared" si="100"/>
        <v>0</v>
      </c>
      <c r="AO144" s="50">
        <f t="shared" si="100"/>
        <v>0</v>
      </c>
      <c r="AP144" s="50">
        <f t="shared" si="100"/>
        <v>0</v>
      </c>
      <c r="AQ144" s="50">
        <f t="shared" si="100"/>
        <v>0</v>
      </c>
      <c r="AR144" s="50">
        <f t="shared" si="100"/>
        <v>0</v>
      </c>
      <c r="AS144" s="50">
        <f t="shared" si="100"/>
        <v>0</v>
      </c>
      <c r="AT144" s="50">
        <f t="shared" si="100"/>
        <v>0</v>
      </c>
      <c r="AU144" s="50">
        <f t="shared" si="100"/>
        <v>0</v>
      </c>
    </row>
    <row r="145" spans="1:47">
      <c r="A145" s="38" t="str">
        <f t="shared" si="99"/>
        <v>1Y-</v>
      </c>
      <c r="B145" s="38" t="s">
        <v>270</v>
      </c>
      <c r="C145" s="38" t="str">
        <f>C144</f>
        <v>Belt Filter Press Dewatering</v>
      </c>
      <c r="D145" s="186">
        <f>OMEsc</f>
        <v>0.02</v>
      </c>
      <c r="E145" s="325"/>
      <c r="G145" s="36" t="s">
        <v>126</v>
      </c>
      <c r="I145" s="39"/>
      <c r="K145" s="39"/>
      <c r="L145" s="43" t="str">
        <f>"["&amp;CostBaseYr&amp;" $]"</f>
        <v>[2013 $]</v>
      </c>
      <c r="N145" s="70">
        <f ca="1">SUMIFS(OFFSET(Assumptions!$I$90,0,MATCH($A145,Configurations,0)-1,COUNT(Assumptions!$A$90:$A$183),1),Assumptions!$D$90:$D$183,$B145&amp;$C145)</f>
        <v>36000</v>
      </c>
      <c r="O145" s="313"/>
      <c r="P145" s="323"/>
      <c r="Q145" s="313"/>
      <c r="R145" s="50">
        <f t="shared" ref="R145:AG147" ca="1" si="101">IF(OR(R$99&lt;InServiceYr,R$99&gt;(InServiceYr+analysis_period-1)),0,IF($P145=0,$N145,$P145)*(1+$D145)^(R$99-CostBaseYr))</f>
        <v>36720</v>
      </c>
      <c r="S145" s="50">
        <f t="shared" ca="1" si="101"/>
        <v>37454.400000000001</v>
      </c>
      <c r="T145" s="50">
        <f t="shared" ca="1" si="101"/>
        <v>38203.487999999998</v>
      </c>
      <c r="U145" s="50">
        <f t="shared" ca="1" si="101"/>
        <v>38967.557759999996</v>
      </c>
      <c r="V145" s="50">
        <f t="shared" ca="1" si="101"/>
        <v>39746.908915200002</v>
      </c>
      <c r="W145" s="50">
        <f t="shared" ca="1" si="101"/>
        <v>40541.847093504002</v>
      </c>
      <c r="X145" s="50">
        <f t="shared" ca="1" si="101"/>
        <v>41352.68403537407</v>
      </c>
      <c r="Y145" s="50">
        <f t="shared" ca="1" si="101"/>
        <v>42179.737716081559</v>
      </c>
      <c r="Z145" s="50">
        <f t="shared" ca="1" si="101"/>
        <v>43023.332470403191</v>
      </c>
      <c r="AA145" s="50">
        <f t="shared" ca="1" si="101"/>
        <v>43883.799119811258</v>
      </c>
      <c r="AB145" s="50">
        <f t="shared" ca="1" si="101"/>
        <v>44761.475102207471</v>
      </c>
      <c r="AC145" s="50">
        <f t="shared" ca="1" si="101"/>
        <v>45656.70460425163</v>
      </c>
      <c r="AD145" s="50">
        <f t="shared" ca="1" si="101"/>
        <v>46569.838696336657</v>
      </c>
      <c r="AE145" s="50">
        <f t="shared" ca="1" si="101"/>
        <v>47501.235470263397</v>
      </c>
      <c r="AF145" s="50">
        <f t="shared" ca="1" si="101"/>
        <v>48451.26017966865</v>
      </c>
      <c r="AG145" s="50">
        <f t="shared" ca="1" si="101"/>
        <v>49420.285383262031</v>
      </c>
      <c r="AH145" s="50">
        <f t="shared" ref="S145:AU147" ca="1" si="102">IF(OR(AH$99&lt;InServiceYr,AH$99&gt;(InServiceYr+analysis_period-1)),0,IF($P145=0,$N145,$P145)*(1+$D145)^(AH$99-CostBaseYr))</f>
        <v>50408.691090927277</v>
      </c>
      <c r="AI145" s="50">
        <f t="shared" ca="1" si="102"/>
        <v>51416.864912745819</v>
      </c>
      <c r="AJ145" s="50">
        <f t="shared" ca="1" si="102"/>
        <v>52445.202211000731</v>
      </c>
      <c r="AK145" s="50">
        <f t="shared" ca="1" si="102"/>
        <v>53494.106255220751</v>
      </c>
      <c r="AL145" s="50">
        <f t="shared" si="102"/>
        <v>0</v>
      </c>
      <c r="AM145" s="50">
        <f t="shared" si="102"/>
        <v>0</v>
      </c>
      <c r="AN145" s="50">
        <f t="shared" si="102"/>
        <v>0</v>
      </c>
      <c r="AO145" s="50">
        <f t="shared" si="102"/>
        <v>0</v>
      </c>
      <c r="AP145" s="50">
        <f t="shared" si="102"/>
        <v>0</v>
      </c>
      <c r="AQ145" s="50">
        <f t="shared" si="102"/>
        <v>0</v>
      </c>
      <c r="AR145" s="50">
        <f t="shared" si="102"/>
        <v>0</v>
      </c>
      <c r="AS145" s="50">
        <f t="shared" si="102"/>
        <v>0</v>
      </c>
      <c r="AT145" s="50">
        <f t="shared" si="102"/>
        <v>0</v>
      </c>
      <c r="AU145" s="50">
        <f t="shared" si="102"/>
        <v>0</v>
      </c>
    </row>
    <row r="146" spans="1:47">
      <c r="A146" s="38" t="str">
        <f t="shared" si="99"/>
        <v>1Y-</v>
      </c>
      <c r="B146" s="38" t="s">
        <v>263</v>
      </c>
      <c r="C146" s="38" t="str">
        <f t="shared" ref="C146:C150" si="103">C145</f>
        <v>Belt Filter Press Dewatering</v>
      </c>
      <c r="D146" s="186">
        <f>OMEsc</f>
        <v>0.02</v>
      </c>
      <c r="E146" s="325"/>
      <c r="G146" s="36" t="s">
        <v>127</v>
      </c>
      <c r="I146" s="39"/>
      <c r="K146" s="39"/>
      <c r="L146" s="43" t="str">
        <f>"["&amp;CostBaseYr&amp;" $]"</f>
        <v>[2013 $]</v>
      </c>
      <c r="N146" s="70">
        <f ca="1">SUMIFS(OFFSET(Assumptions!$I$90,0,MATCH($A146,Configurations,0)-1,COUNT(Assumptions!$A$90:$A$183),1),Assumptions!$D$90:$D$183,$B146&amp;$C146)</f>
        <v>91000</v>
      </c>
      <c r="O146" s="313"/>
      <c r="P146" s="323"/>
      <c r="Q146" s="313"/>
      <c r="R146" s="50">
        <f t="shared" ca="1" si="101"/>
        <v>92820</v>
      </c>
      <c r="S146" s="50">
        <f t="shared" ca="1" si="102"/>
        <v>94676.4</v>
      </c>
      <c r="T146" s="50">
        <f t="shared" ca="1" si="102"/>
        <v>96569.928</v>
      </c>
      <c r="U146" s="50">
        <f t="shared" ca="1" si="102"/>
        <v>98501.326560000001</v>
      </c>
      <c r="V146" s="50">
        <f t="shared" ca="1" si="102"/>
        <v>100471.3530912</v>
      </c>
      <c r="W146" s="50">
        <f t="shared" ca="1" si="102"/>
        <v>102480.78015302401</v>
      </c>
      <c r="X146" s="50">
        <f t="shared" ca="1" si="102"/>
        <v>104530.39575608446</v>
      </c>
      <c r="Y146" s="50">
        <f t="shared" ca="1" si="102"/>
        <v>106621.00367120616</v>
      </c>
      <c r="Z146" s="50">
        <f t="shared" ca="1" si="102"/>
        <v>108753.42374463029</v>
      </c>
      <c r="AA146" s="50">
        <f t="shared" ca="1" si="102"/>
        <v>110928.4922195229</v>
      </c>
      <c r="AB146" s="50">
        <f t="shared" ca="1" si="102"/>
        <v>113147.06206391333</v>
      </c>
      <c r="AC146" s="50">
        <f t="shared" ca="1" si="102"/>
        <v>115410.00330519163</v>
      </c>
      <c r="AD146" s="50">
        <f t="shared" ca="1" si="102"/>
        <v>117718.20337129544</v>
      </c>
      <c r="AE146" s="50">
        <f t="shared" ca="1" si="102"/>
        <v>120072.56743872137</v>
      </c>
      <c r="AF146" s="50">
        <f t="shared" ca="1" si="102"/>
        <v>122474.01878749576</v>
      </c>
      <c r="AG146" s="50">
        <f t="shared" ca="1" si="102"/>
        <v>124923.49916324569</v>
      </c>
      <c r="AH146" s="50">
        <f t="shared" ca="1" si="102"/>
        <v>127421.96914651062</v>
      </c>
      <c r="AI146" s="50">
        <f t="shared" ca="1" si="102"/>
        <v>129970.40852944081</v>
      </c>
      <c r="AJ146" s="50">
        <f t="shared" ca="1" si="102"/>
        <v>132569.81670002962</v>
      </c>
      <c r="AK146" s="50">
        <f t="shared" ca="1" si="102"/>
        <v>135221.21303403022</v>
      </c>
      <c r="AL146" s="50">
        <f t="shared" si="102"/>
        <v>0</v>
      </c>
      <c r="AM146" s="50">
        <f t="shared" si="102"/>
        <v>0</v>
      </c>
      <c r="AN146" s="50">
        <f t="shared" si="102"/>
        <v>0</v>
      </c>
      <c r="AO146" s="50">
        <f t="shared" si="102"/>
        <v>0</v>
      </c>
      <c r="AP146" s="50">
        <f t="shared" si="102"/>
        <v>0</v>
      </c>
      <c r="AQ146" s="50">
        <f t="shared" si="102"/>
        <v>0</v>
      </c>
      <c r="AR146" s="50">
        <f t="shared" si="102"/>
        <v>0</v>
      </c>
      <c r="AS146" s="50">
        <f t="shared" si="102"/>
        <v>0</v>
      </c>
      <c r="AT146" s="50">
        <f t="shared" si="102"/>
        <v>0</v>
      </c>
      <c r="AU146" s="50">
        <f t="shared" si="102"/>
        <v>0</v>
      </c>
    </row>
    <row r="147" spans="1:47">
      <c r="A147" s="38" t="str">
        <f t="shared" si="99"/>
        <v>1Y-</v>
      </c>
      <c r="B147" s="38" t="s">
        <v>277</v>
      </c>
      <c r="C147" s="38" t="str">
        <f t="shared" si="103"/>
        <v>Belt Filter Press Dewatering</v>
      </c>
      <c r="D147" s="186">
        <f>OMEsc</f>
        <v>0.02</v>
      </c>
      <c r="E147" s="325"/>
      <c r="G147" s="36" t="s">
        <v>276</v>
      </c>
      <c r="I147" s="39"/>
      <c r="K147" s="39"/>
      <c r="L147" s="43" t="str">
        <f>"["&amp;CostBaseYr&amp;" $]"</f>
        <v>[2013 $]</v>
      </c>
      <c r="N147" s="70">
        <f ca="1">SUMIFS(OFFSET(Assumptions!$I$90,0,MATCH($A147,Configurations,0)-1,COUNT(Assumptions!$A$90:$A$183),1),Assumptions!$D$90:$D$183,$B147&amp;$C147)</f>
        <v>0</v>
      </c>
      <c r="O147" s="313"/>
      <c r="P147" s="323"/>
      <c r="Q147" s="313"/>
      <c r="R147" s="50">
        <f t="shared" ca="1" si="101"/>
        <v>0</v>
      </c>
      <c r="S147" s="50">
        <f t="shared" ca="1" si="102"/>
        <v>0</v>
      </c>
      <c r="T147" s="50">
        <f t="shared" ca="1" si="102"/>
        <v>0</v>
      </c>
      <c r="U147" s="50">
        <f t="shared" ca="1" si="102"/>
        <v>0</v>
      </c>
      <c r="V147" s="50">
        <f t="shared" ca="1" si="102"/>
        <v>0</v>
      </c>
      <c r="W147" s="50">
        <f t="shared" ca="1" si="102"/>
        <v>0</v>
      </c>
      <c r="X147" s="50">
        <f t="shared" ca="1" si="102"/>
        <v>0</v>
      </c>
      <c r="Y147" s="50">
        <f t="shared" ca="1" si="102"/>
        <v>0</v>
      </c>
      <c r="Z147" s="50">
        <f t="shared" ca="1" si="102"/>
        <v>0</v>
      </c>
      <c r="AA147" s="50">
        <f t="shared" ca="1" si="102"/>
        <v>0</v>
      </c>
      <c r="AB147" s="50">
        <f t="shared" ca="1" si="102"/>
        <v>0</v>
      </c>
      <c r="AC147" s="50">
        <f t="shared" ca="1" si="102"/>
        <v>0</v>
      </c>
      <c r="AD147" s="50">
        <f t="shared" ca="1" si="102"/>
        <v>0</v>
      </c>
      <c r="AE147" s="50">
        <f t="shared" ca="1" si="102"/>
        <v>0</v>
      </c>
      <c r="AF147" s="50">
        <f t="shared" ca="1" si="102"/>
        <v>0</v>
      </c>
      <c r="AG147" s="50">
        <f t="shared" ca="1" si="102"/>
        <v>0</v>
      </c>
      <c r="AH147" s="50">
        <f t="shared" ca="1" si="102"/>
        <v>0</v>
      </c>
      <c r="AI147" s="50">
        <f t="shared" ca="1" si="102"/>
        <v>0</v>
      </c>
      <c r="AJ147" s="50">
        <f t="shared" ca="1" si="102"/>
        <v>0</v>
      </c>
      <c r="AK147" s="50">
        <f t="shared" ca="1" si="102"/>
        <v>0</v>
      </c>
      <c r="AL147" s="50">
        <f t="shared" si="102"/>
        <v>0</v>
      </c>
      <c r="AM147" s="50">
        <f t="shared" si="102"/>
        <v>0</v>
      </c>
      <c r="AN147" s="50">
        <f t="shared" si="102"/>
        <v>0</v>
      </c>
      <c r="AO147" s="50">
        <f t="shared" si="102"/>
        <v>0</v>
      </c>
      <c r="AP147" s="50">
        <f t="shared" si="102"/>
        <v>0</v>
      </c>
      <c r="AQ147" s="50">
        <f t="shared" si="102"/>
        <v>0</v>
      </c>
      <c r="AR147" s="50">
        <f t="shared" si="102"/>
        <v>0</v>
      </c>
      <c r="AS147" s="50">
        <f t="shared" si="102"/>
        <v>0</v>
      </c>
      <c r="AT147" s="50">
        <f t="shared" si="102"/>
        <v>0</v>
      </c>
      <c r="AU147" s="50">
        <f t="shared" si="102"/>
        <v>0</v>
      </c>
    </row>
    <row r="148" spans="1:47">
      <c r="A148" s="38" t="str">
        <f t="shared" si="99"/>
        <v>1Y-</v>
      </c>
      <c r="B148" s="38" t="s">
        <v>274</v>
      </c>
      <c r="C148" s="38" t="str">
        <f t="shared" si="103"/>
        <v>Belt Filter Press Dewatering</v>
      </c>
      <c r="D148" s="186"/>
      <c r="E148" s="325"/>
      <c r="G148" s="36" t="s">
        <v>16</v>
      </c>
      <c r="I148" s="39"/>
      <c r="K148" s="39"/>
      <c r="L148" s="43" t="s">
        <v>275</v>
      </c>
      <c r="N148" s="70">
        <f ca="1">SUMIFS(OFFSET(Assumptions!$I$90,0,MATCH($A148,Configurations,0)-1,COUNT(Assumptions!$A$90:$A$183),1),Assumptions!$D$90:$D$183,$B148&amp;$C148)</f>
        <v>0</v>
      </c>
      <c r="O148" s="313"/>
      <c r="P148" s="323"/>
      <c r="Q148" s="313"/>
      <c r="R148" s="50">
        <f t="shared" ref="R148:AU148" ca="1" si="104">IF(OR(R$99&lt;InServiceYr,R$99&gt;(InServiceYr+analysis_period-1)),0,IF($P148=0,$N148,$P148)*R$505)</f>
        <v>0</v>
      </c>
      <c r="S148" s="50">
        <f t="shared" ca="1" si="104"/>
        <v>0</v>
      </c>
      <c r="T148" s="50">
        <f t="shared" ca="1" si="104"/>
        <v>0</v>
      </c>
      <c r="U148" s="50">
        <f t="shared" ca="1" si="104"/>
        <v>0</v>
      </c>
      <c r="V148" s="50">
        <f t="shared" ca="1" si="104"/>
        <v>0</v>
      </c>
      <c r="W148" s="50">
        <f t="shared" ca="1" si="104"/>
        <v>0</v>
      </c>
      <c r="X148" s="50">
        <f t="shared" ca="1" si="104"/>
        <v>0</v>
      </c>
      <c r="Y148" s="50">
        <f t="shared" ca="1" si="104"/>
        <v>0</v>
      </c>
      <c r="Z148" s="50">
        <f t="shared" ca="1" si="104"/>
        <v>0</v>
      </c>
      <c r="AA148" s="50">
        <f t="shared" ca="1" si="104"/>
        <v>0</v>
      </c>
      <c r="AB148" s="50">
        <f t="shared" ca="1" si="104"/>
        <v>0</v>
      </c>
      <c r="AC148" s="50">
        <f t="shared" ca="1" si="104"/>
        <v>0</v>
      </c>
      <c r="AD148" s="50">
        <f t="shared" ca="1" si="104"/>
        <v>0</v>
      </c>
      <c r="AE148" s="50">
        <f t="shared" ca="1" si="104"/>
        <v>0</v>
      </c>
      <c r="AF148" s="50">
        <f t="shared" ca="1" si="104"/>
        <v>0</v>
      </c>
      <c r="AG148" s="50">
        <f t="shared" ca="1" si="104"/>
        <v>0</v>
      </c>
      <c r="AH148" s="50">
        <f t="shared" ca="1" si="104"/>
        <v>0</v>
      </c>
      <c r="AI148" s="50">
        <f t="shared" ca="1" si="104"/>
        <v>0</v>
      </c>
      <c r="AJ148" s="50">
        <f t="shared" ca="1" si="104"/>
        <v>0</v>
      </c>
      <c r="AK148" s="50">
        <f t="shared" ca="1" si="104"/>
        <v>0</v>
      </c>
      <c r="AL148" s="50">
        <f t="shared" si="104"/>
        <v>0</v>
      </c>
      <c r="AM148" s="50">
        <f t="shared" si="104"/>
        <v>0</v>
      </c>
      <c r="AN148" s="50">
        <f t="shared" si="104"/>
        <v>0</v>
      </c>
      <c r="AO148" s="50">
        <f t="shared" si="104"/>
        <v>0</v>
      </c>
      <c r="AP148" s="50">
        <f t="shared" si="104"/>
        <v>0</v>
      </c>
      <c r="AQ148" s="50">
        <f t="shared" si="104"/>
        <v>0</v>
      </c>
      <c r="AR148" s="50">
        <f t="shared" si="104"/>
        <v>0</v>
      </c>
      <c r="AS148" s="50">
        <f t="shared" si="104"/>
        <v>0</v>
      </c>
      <c r="AT148" s="50">
        <f t="shared" si="104"/>
        <v>0</v>
      </c>
      <c r="AU148" s="50">
        <f t="shared" si="104"/>
        <v>0</v>
      </c>
    </row>
    <row r="149" spans="1:47">
      <c r="A149" s="38" t="str">
        <f t="shared" si="99"/>
        <v>1Y-</v>
      </c>
      <c r="B149" s="38" t="s">
        <v>257</v>
      </c>
      <c r="C149" s="38" t="str">
        <f t="shared" si="103"/>
        <v>Belt Filter Press Dewatering</v>
      </c>
      <c r="D149" s="186"/>
      <c r="E149" s="325"/>
      <c r="G149" s="36" t="s">
        <v>284</v>
      </c>
      <c r="I149" s="39"/>
      <c r="K149" s="39"/>
      <c r="L149" s="43" t="s">
        <v>293</v>
      </c>
      <c r="N149" s="70">
        <f ca="1">SUMIFS(OFFSET(Assumptions!$I$90,0,MATCH($A149,Configurations,0)-1,COUNT(Assumptions!$A$90:$A$183),1),Assumptions!$D$90:$D$183,$B149&amp;$C149)</f>
        <v>32490</v>
      </c>
      <c r="O149" s="313"/>
      <c r="P149" s="323"/>
      <c r="Q149" s="313"/>
      <c r="R149" s="50">
        <f t="shared" ref="R149:AU149" ca="1" si="105">IF(OR(R$99&lt;InServiceYr,R$99&gt;(InServiceYr+analysis_period-1)),0,IF($P149=0,$N149,$P149)*R$501)</f>
        <v>2098.2547564795068</v>
      </c>
      <c r="S149" s="50">
        <f t="shared" ca="1" si="105"/>
        <v>2111.3342931383763</v>
      </c>
      <c r="T149" s="50">
        <f t="shared" ca="1" si="105"/>
        <v>2202.3537909970146</v>
      </c>
      <c r="U149" s="50">
        <f t="shared" ca="1" si="105"/>
        <v>2268.4188936706396</v>
      </c>
      <c r="V149" s="50">
        <f t="shared" ca="1" si="105"/>
        <v>2323.1583602716419</v>
      </c>
      <c r="W149" s="50">
        <f t="shared" ca="1" si="105"/>
        <v>2352.8791821872192</v>
      </c>
      <c r="X149" s="50">
        <f t="shared" ca="1" si="105"/>
        <v>2391.166345682725</v>
      </c>
      <c r="Y149" s="50">
        <f t="shared" ca="1" si="105"/>
        <v>2450.0798143104926</v>
      </c>
      <c r="Z149" s="50">
        <f t="shared" ca="1" si="105"/>
        <v>2508.7363957116122</v>
      </c>
      <c r="AA149" s="50">
        <f t="shared" ca="1" si="105"/>
        <v>2571.4609674638173</v>
      </c>
      <c r="AB149" s="50">
        <f t="shared" ca="1" si="105"/>
        <v>2627.1583054959615</v>
      </c>
      <c r="AC149" s="50">
        <f t="shared" ca="1" si="105"/>
        <v>2677.7478082453536</v>
      </c>
      <c r="AD149" s="50">
        <f t="shared" ca="1" si="105"/>
        <v>2739.6032393419855</v>
      </c>
      <c r="AE149" s="50">
        <f t="shared" ca="1" si="105"/>
        <v>2802.0433408923659</v>
      </c>
      <c r="AF149" s="50">
        <f t="shared" ca="1" si="105"/>
        <v>2868.6664172445689</v>
      </c>
      <c r="AG149" s="50">
        <f t="shared" ca="1" si="105"/>
        <v>2943.2999662231368</v>
      </c>
      <c r="AH149" s="50">
        <f t="shared" ca="1" si="105"/>
        <v>3015.4327695606694</v>
      </c>
      <c r="AI149" s="50">
        <f t="shared" ca="1" si="105"/>
        <v>3093.657865612267</v>
      </c>
      <c r="AJ149" s="50">
        <f t="shared" ca="1" si="105"/>
        <v>3176.4704867682817</v>
      </c>
      <c r="AK149" s="50">
        <f t="shared" ca="1" si="105"/>
        <v>3262.880858397365</v>
      </c>
      <c r="AL149" s="50">
        <f t="shared" si="105"/>
        <v>0</v>
      </c>
      <c r="AM149" s="50">
        <f t="shared" si="105"/>
        <v>0</v>
      </c>
      <c r="AN149" s="50">
        <f t="shared" si="105"/>
        <v>0</v>
      </c>
      <c r="AO149" s="50">
        <f t="shared" si="105"/>
        <v>0</v>
      </c>
      <c r="AP149" s="50">
        <f t="shared" si="105"/>
        <v>0</v>
      </c>
      <c r="AQ149" s="50">
        <f t="shared" si="105"/>
        <v>0</v>
      </c>
      <c r="AR149" s="50">
        <f t="shared" si="105"/>
        <v>0</v>
      </c>
      <c r="AS149" s="50">
        <f t="shared" si="105"/>
        <v>0</v>
      </c>
      <c r="AT149" s="50">
        <f t="shared" si="105"/>
        <v>0</v>
      </c>
      <c r="AU149" s="50">
        <f t="shared" si="105"/>
        <v>0</v>
      </c>
    </row>
    <row r="150" spans="1:47">
      <c r="A150" s="38" t="str">
        <f t="shared" si="99"/>
        <v>1Y-</v>
      </c>
      <c r="B150" s="38" t="s">
        <v>864</v>
      </c>
      <c r="C150" s="38" t="str">
        <f t="shared" si="103"/>
        <v>Belt Filter Press Dewatering</v>
      </c>
      <c r="D150" s="186">
        <f>GHGEsc</f>
        <v>0.02</v>
      </c>
      <c r="E150" s="325"/>
      <c r="G150" s="36" t="s">
        <v>865</v>
      </c>
      <c r="I150" s="39"/>
      <c r="K150" s="39"/>
      <c r="L150" s="43" t="s">
        <v>866</v>
      </c>
      <c r="N150" s="70">
        <f ca="1">SUMIFS(OFFSET(Assumptions!$I$90,0,MATCH($A150,Configurations,0)-1,COUNT(Assumptions!$A$90:$A$183),1),Assumptions!$D$90:$D$183,$B150&amp;$C150)</f>
        <v>0</v>
      </c>
      <c r="O150" s="313"/>
      <c r="P150" s="323"/>
      <c r="Q150" s="313"/>
      <c r="R150" s="50">
        <f t="shared" ref="R150:AU150" ca="1" si="106">IF(OR(R$99&lt;InServiceYr,R$99&gt;(InServiceYr+analysis_period-1)),0,IF($P150=0,$N150,$P150)*R$513)</f>
        <v>0</v>
      </c>
      <c r="S150" s="50">
        <f t="shared" ca="1" si="106"/>
        <v>0</v>
      </c>
      <c r="T150" s="50">
        <f t="shared" ca="1" si="106"/>
        <v>0</v>
      </c>
      <c r="U150" s="50">
        <f t="shared" ca="1" si="106"/>
        <v>0</v>
      </c>
      <c r="V150" s="50">
        <f t="shared" ca="1" si="106"/>
        <v>0</v>
      </c>
      <c r="W150" s="50">
        <f t="shared" ca="1" si="106"/>
        <v>0</v>
      </c>
      <c r="X150" s="50">
        <f t="shared" ca="1" si="106"/>
        <v>0</v>
      </c>
      <c r="Y150" s="50">
        <f t="shared" ca="1" si="106"/>
        <v>0</v>
      </c>
      <c r="Z150" s="50">
        <f t="shared" ca="1" si="106"/>
        <v>0</v>
      </c>
      <c r="AA150" s="50">
        <f t="shared" ca="1" si="106"/>
        <v>0</v>
      </c>
      <c r="AB150" s="50">
        <f t="shared" ca="1" si="106"/>
        <v>0</v>
      </c>
      <c r="AC150" s="50">
        <f t="shared" ca="1" si="106"/>
        <v>0</v>
      </c>
      <c r="AD150" s="50">
        <f t="shared" ca="1" si="106"/>
        <v>0</v>
      </c>
      <c r="AE150" s="50">
        <f t="shared" ca="1" si="106"/>
        <v>0</v>
      </c>
      <c r="AF150" s="50">
        <f t="shared" ca="1" si="106"/>
        <v>0</v>
      </c>
      <c r="AG150" s="50">
        <f t="shared" ca="1" si="106"/>
        <v>0</v>
      </c>
      <c r="AH150" s="50">
        <f t="shared" ca="1" si="106"/>
        <v>0</v>
      </c>
      <c r="AI150" s="50">
        <f t="shared" ca="1" si="106"/>
        <v>0</v>
      </c>
      <c r="AJ150" s="50">
        <f t="shared" ca="1" si="106"/>
        <v>0</v>
      </c>
      <c r="AK150" s="50">
        <f t="shared" ca="1" si="106"/>
        <v>0</v>
      </c>
      <c r="AL150" s="50">
        <f t="shared" si="106"/>
        <v>0</v>
      </c>
      <c r="AM150" s="50">
        <f t="shared" si="106"/>
        <v>0</v>
      </c>
      <c r="AN150" s="50">
        <f t="shared" si="106"/>
        <v>0</v>
      </c>
      <c r="AO150" s="50">
        <f t="shared" si="106"/>
        <v>0</v>
      </c>
      <c r="AP150" s="50">
        <f t="shared" si="106"/>
        <v>0</v>
      </c>
      <c r="AQ150" s="50">
        <f t="shared" si="106"/>
        <v>0</v>
      </c>
      <c r="AR150" s="50">
        <f t="shared" si="106"/>
        <v>0</v>
      </c>
      <c r="AS150" s="50">
        <f t="shared" si="106"/>
        <v>0</v>
      </c>
      <c r="AT150" s="50">
        <f t="shared" si="106"/>
        <v>0</v>
      </c>
      <c r="AU150" s="50">
        <f t="shared" si="106"/>
        <v>0</v>
      </c>
    </row>
    <row r="151" spans="1:47">
      <c r="A151" s="38" t="str">
        <f t="shared" si="99"/>
        <v>1Y-</v>
      </c>
      <c r="B151" s="38" t="s">
        <v>273</v>
      </c>
      <c r="C151" s="38" t="str">
        <f>C149</f>
        <v>Belt Filter Press Dewatering</v>
      </c>
      <c r="D151" s="186">
        <f>LaborEsc</f>
        <v>0.02</v>
      </c>
      <c r="E151" s="325"/>
      <c r="G151" s="36" t="s">
        <v>291</v>
      </c>
      <c r="I151" s="39"/>
      <c r="K151" s="39"/>
      <c r="L151" s="43" t="str">
        <f>"["&amp;CostBaseYr&amp;" $]"</f>
        <v>[2013 $]</v>
      </c>
      <c r="N151" s="70">
        <f ca="1">SUMIFS(OFFSET(Assumptions!$I$90,0,MATCH($A151,Configurations,0)-1,COUNT(Assumptions!$A$90:$A$183),1),Assumptions!$D$90:$D$183,$B151&amp;$C151)</f>
        <v>0</v>
      </c>
      <c r="O151" s="313"/>
      <c r="P151" s="323"/>
      <c r="Q151" s="313"/>
      <c r="R151" s="50">
        <f t="shared" ref="R151:AU151" ca="1" si="107">IF(OR(R$99&lt;InServiceYr,R$99&gt;(InServiceYr+analysis_period-1)),0,IF($P151=0,$N151,$P151)*(1+$D151)^(R$99-CostBaseYr))*R$509</f>
        <v>0</v>
      </c>
      <c r="S151" s="50">
        <f t="shared" ca="1" si="107"/>
        <v>0</v>
      </c>
      <c r="T151" s="50">
        <f t="shared" ca="1" si="107"/>
        <v>0</v>
      </c>
      <c r="U151" s="50">
        <f t="shared" ca="1" si="107"/>
        <v>0</v>
      </c>
      <c r="V151" s="50">
        <f t="shared" ca="1" si="107"/>
        <v>0</v>
      </c>
      <c r="W151" s="50">
        <f t="shared" ca="1" si="107"/>
        <v>0</v>
      </c>
      <c r="X151" s="50">
        <f t="shared" ca="1" si="107"/>
        <v>0</v>
      </c>
      <c r="Y151" s="50">
        <f t="shared" ca="1" si="107"/>
        <v>0</v>
      </c>
      <c r="Z151" s="50">
        <f t="shared" ca="1" si="107"/>
        <v>0</v>
      </c>
      <c r="AA151" s="50">
        <f t="shared" ca="1" si="107"/>
        <v>0</v>
      </c>
      <c r="AB151" s="50">
        <f t="shared" ca="1" si="107"/>
        <v>0</v>
      </c>
      <c r="AC151" s="50">
        <f t="shared" ca="1" si="107"/>
        <v>0</v>
      </c>
      <c r="AD151" s="50">
        <f t="shared" ca="1" si="107"/>
        <v>0</v>
      </c>
      <c r="AE151" s="50">
        <f t="shared" ca="1" si="107"/>
        <v>0</v>
      </c>
      <c r="AF151" s="50">
        <f t="shared" ca="1" si="107"/>
        <v>0</v>
      </c>
      <c r="AG151" s="50">
        <f t="shared" ca="1" si="107"/>
        <v>0</v>
      </c>
      <c r="AH151" s="50">
        <f t="shared" ca="1" si="107"/>
        <v>0</v>
      </c>
      <c r="AI151" s="50">
        <f t="shared" ca="1" si="107"/>
        <v>0</v>
      </c>
      <c r="AJ151" s="50">
        <f t="shared" ca="1" si="107"/>
        <v>0</v>
      </c>
      <c r="AK151" s="50">
        <f t="shared" ca="1" si="107"/>
        <v>0</v>
      </c>
      <c r="AL151" s="50">
        <f t="shared" si="107"/>
        <v>0</v>
      </c>
      <c r="AM151" s="50">
        <f t="shared" si="107"/>
        <v>0</v>
      </c>
      <c r="AN151" s="50">
        <f t="shared" si="107"/>
        <v>0</v>
      </c>
      <c r="AO151" s="50">
        <f t="shared" si="107"/>
        <v>0</v>
      </c>
      <c r="AP151" s="50">
        <f t="shared" si="107"/>
        <v>0</v>
      </c>
      <c r="AQ151" s="50">
        <f t="shared" si="107"/>
        <v>0</v>
      </c>
      <c r="AR151" s="50">
        <f t="shared" si="107"/>
        <v>0</v>
      </c>
      <c r="AS151" s="50">
        <f t="shared" si="107"/>
        <v>0</v>
      </c>
      <c r="AT151" s="50">
        <f t="shared" si="107"/>
        <v>0</v>
      </c>
      <c r="AU151" s="50">
        <f t="shared" si="107"/>
        <v>0</v>
      </c>
    </row>
    <row r="152" spans="1:47">
      <c r="D152" s="186"/>
      <c r="E152" s="325"/>
      <c r="G152" s="39" t="s">
        <v>304</v>
      </c>
      <c r="I152" s="39"/>
      <c r="K152" s="39"/>
      <c r="L152" s="43"/>
      <c r="N152" s="70"/>
      <c r="O152" s="313"/>
      <c r="P152" s="70"/>
      <c r="Q152" s="313"/>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row>
    <row r="153" spans="1:47">
      <c r="A153" s="38" t="str">
        <f>$J$4&amp;"-"</f>
        <v>1Y-</v>
      </c>
      <c r="B153" s="38" t="s">
        <v>265</v>
      </c>
      <c r="C153" s="38" t="str">
        <f>C144</f>
        <v>Belt Filter Press Dewatering</v>
      </c>
      <c r="D153" s="186"/>
      <c r="E153" s="325"/>
      <c r="G153" s="36" t="s">
        <v>108</v>
      </c>
      <c r="I153" s="39"/>
      <c r="K153" s="39"/>
      <c r="L153" s="43" t="s">
        <v>293</v>
      </c>
      <c r="N153" s="70">
        <f ca="1">SUMIFS(OFFSET(Assumptions!$I$90,0,MATCH($A153,Configurations,0)-1,COUNT(Assumptions!$A$90:$A$183),1),Assumptions!$D$90:$D$183,$B153&amp;$C153)</f>
        <v>0</v>
      </c>
      <c r="O153" s="313"/>
      <c r="P153" s="323"/>
      <c r="Q153" s="313"/>
      <c r="R153" s="50">
        <f t="shared" ref="R153:AU153" ca="1" si="108">IF(OR(R$99&lt;InServiceYr,R$99&gt;(InServiceYr+analysis_period-1)),0,IF($P153=0,$N153,$P153)*R$501)</f>
        <v>0</v>
      </c>
      <c r="S153" s="50">
        <f t="shared" ca="1" si="108"/>
        <v>0</v>
      </c>
      <c r="T153" s="50">
        <f t="shared" ca="1" si="108"/>
        <v>0</v>
      </c>
      <c r="U153" s="50">
        <f t="shared" ca="1" si="108"/>
        <v>0</v>
      </c>
      <c r="V153" s="50">
        <f t="shared" ca="1" si="108"/>
        <v>0</v>
      </c>
      <c r="W153" s="50">
        <f t="shared" ca="1" si="108"/>
        <v>0</v>
      </c>
      <c r="X153" s="50">
        <f t="shared" ca="1" si="108"/>
        <v>0</v>
      </c>
      <c r="Y153" s="50">
        <f t="shared" ca="1" si="108"/>
        <v>0</v>
      </c>
      <c r="Z153" s="50">
        <f t="shared" ca="1" si="108"/>
        <v>0</v>
      </c>
      <c r="AA153" s="50">
        <f t="shared" ca="1" si="108"/>
        <v>0</v>
      </c>
      <c r="AB153" s="50">
        <f t="shared" ca="1" si="108"/>
        <v>0</v>
      </c>
      <c r="AC153" s="50">
        <f t="shared" ca="1" si="108"/>
        <v>0</v>
      </c>
      <c r="AD153" s="50">
        <f t="shared" ca="1" si="108"/>
        <v>0</v>
      </c>
      <c r="AE153" s="50">
        <f t="shared" ca="1" si="108"/>
        <v>0</v>
      </c>
      <c r="AF153" s="50">
        <f t="shared" ca="1" si="108"/>
        <v>0</v>
      </c>
      <c r="AG153" s="50">
        <f t="shared" ca="1" si="108"/>
        <v>0</v>
      </c>
      <c r="AH153" s="50">
        <f t="shared" ca="1" si="108"/>
        <v>0</v>
      </c>
      <c r="AI153" s="50">
        <f t="shared" ca="1" si="108"/>
        <v>0</v>
      </c>
      <c r="AJ153" s="50">
        <f t="shared" ca="1" si="108"/>
        <v>0</v>
      </c>
      <c r="AK153" s="50">
        <f t="shared" ca="1" si="108"/>
        <v>0</v>
      </c>
      <c r="AL153" s="50">
        <f t="shared" si="108"/>
        <v>0</v>
      </c>
      <c r="AM153" s="50">
        <f t="shared" si="108"/>
        <v>0</v>
      </c>
      <c r="AN153" s="50">
        <f t="shared" si="108"/>
        <v>0</v>
      </c>
      <c r="AO153" s="50">
        <f t="shared" si="108"/>
        <v>0</v>
      </c>
      <c r="AP153" s="50">
        <f t="shared" si="108"/>
        <v>0</v>
      </c>
      <c r="AQ153" s="50">
        <f t="shared" si="108"/>
        <v>0</v>
      </c>
      <c r="AR153" s="50">
        <f t="shared" si="108"/>
        <v>0</v>
      </c>
      <c r="AS153" s="50">
        <f t="shared" si="108"/>
        <v>0</v>
      </c>
      <c r="AT153" s="50">
        <f t="shared" si="108"/>
        <v>0</v>
      </c>
      <c r="AU153" s="50">
        <f t="shared" si="108"/>
        <v>0</v>
      </c>
    </row>
    <row r="154" spans="1:47">
      <c r="A154" s="38" t="str">
        <f>$J$4&amp;"-"</f>
        <v>1Y-</v>
      </c>
      <c r="B154" s="38" t="s">
        <v>289</v>
      </c>
      <c r="C154" s="38" t="str">
        <f>C144</f>
        <v>Belt Filter Press Dewatering</v>
      </c>
      <c r="D154" s="186">
        <f>LaborEsc</f>
        <v>0.02</v>
      </c>
      <c r="E154" s="325"/>
      <c r="G154" s="36" t="s">
        <v>292</v>
      </c>
      <c r="I154" s="39"/>
      <c r="K154" s="39"/>
      <c r="L154" s="43" t="str">
        <f>"["&amp;CostBaseYr&amp;" $]"</f>
        <v>[2013 $]</v>
      </c>
      <c r="N154" s="70">
        <f ca="1">SUMIFS(OFFSET(Assumptions!$I$90,0,MATCH($A154,Configurations,0)-1,COUNT(Assumptions!$A$90:$A$183),1),Assumptions!$D$90:$D$183,$B154&amp;$C154)</f>
        <v>0</v>
      </c>
      <c r="O154" s="313"/>
      <c r="P154" s="323"/>
      <c r="Q154" s="313"/>
      <c r="R154" s="50">
        <f t="shared" ref="R154:AU154" ca="1" si="109">IF(OR(R$99&lt;InServiceYr,R$99&gt;(InServiceYr+analysis_period-1)),0,IF($P154=0,$N154,$P154)*(1+$D154)^(R$99-CostBaseYr))</f>
        <v>0</v>
      </c>
      <c r="S154" s="50">
        <f t="shared" ca="1" si="109"/>
        <v>0</v>
      </c>
      <c r="T154" s="50">
        <f t="shared" ca="1" si="109"/>
        <v>0</v>
      </c>
      <c r="U154" s="50">
        <f t="shared" ca="1" si="109"/>
        <v>0</v>
      </c>
      <c r="V154" s="50">
        <f t="shared" ca="1" si="109"/>
        <v>0</v>
      </c>
      <c r="W154" s="50">
        <f t="shared" ca="1" si="109"/>
        <v>0</v>
      </c>
      <c r="X154" s="50">
        <f t="shared" ca="1" si="109"/>
        <v>0</v>
      </c>
      <c r="Y154" s="50">
        <f t="shared" ca="1" si="109"/>
        <v>0</v>
      </c>
      <c r="Z154" s="50">
        <f t="shared" ca="1" si="109"/>
        <v>0</v>
      </c>
      <c r="AA154" s="50">
        <f t="shared" ca="1" si="109"/>
        <v>0</v>
      </c>
      <c r="AB154" s="50">
        <f t="shared" ca="1" si="109"/>
        <v>0</v>
      </c>
      <c r="AC154" s="50">
        <f t="shared" ca="1" si="109"/>
        <v>0</v>
      </c>
      <c r="AD154" s="50">
        <f t="shared" ca="1" si="109"/>
        <v>0</v>
      </c>
      <c r="AE154" s="50">
        <f t="shared" ca="1" si="109"/>
        <v>0</v>
      </c>
      <c r="AF154" s="50">
        <f t="shared" ca="1" si="109"/>
        <v>0</v>
      </c>
      <c r="AG154" s="50">
        <f t="shared" ca="1" si="109"/>
        <v>0</v>
      </c>
      <c r="AH154" s="50">
        <f t="shared" ca="1" si="109"/>
        <v>0</v>
      </c>
      <c r="AI154" s="50">
        <f t="shared" ca="1" si="109"/>
        <v>0</v>
      </c>
      <c r="AJ154" s="50">
        <f t="shared" ca="1" si="109"/>
        <v>0</v>
      </c>
      <c r="AK154" s="50">
        <f t="shared" ca="1" si="109"/>
        <v>0</v>
      </c>
      <c r="AL154" s="50">
        <f t="shared" si="109"/>
        <v>0</v>
      </c>
      <c r="AM154" s="50">
        <f t="shared" si="109"/>
        <v>0</v>
      </c>
      <c r="AN154" s="50">
        <f t="shared" si="109"/>
        <v>0</v>
      </c>
      <c r="AO154" s="50">
        <f t="shared" si="109"/>
        <v>0</v>
      </c>
      <c r="AP154" s="50">
        <f t="shared" si="109"/>
        <v>0</v>
      </c>
      <c r="AQ154" s="50">
        <f t="shared" si="109"/>
        <v>0</v>
      </c>
      <c r="AR154" s="50">
        <f t="shared" si="109"/>
        <v>0</v>
      </c>
      <c r="AS154" s="50">
        <f t="shared" si="109"/>
        <v>0</v>
      </c>
      <c r="AT154" s="50">
        <f t="shared" si="109"/>
        <v>0</v>
      </c>
      <c r="AU154" s="50">
        <f t="shared" si="109"/>
        <v>0</v>
      </c>
    </row>
    <row r="155" spans="1:47" s="60" customFormat="1">
      <c r="D155" s="187"/>
      <c r="E155" s="325"/>
      <c r="G155" s="39" t="s">
        <v>305</v>
      </c>
      <c r="I155" s="39"/>
      <c r="K155" s="39"/>
      <c r="L155" s="174"/>
      <c r="N155" s="188"/>
      <c r="O155" s="314"/>
      <c r="P155" s="185"/>
      <c r="Q155" s="314"/>
      <c r="R155" s="185">
        <f ca="1">SUM(R144:R151)-SUM(R153:R154)</f>
        <v>314065.25475647952</v>
      </c>
      <c r="S155" s="185">
        <f t="shared" ref="S155:AU155" ca="1" si="110">SUM(S144:S151)-SUM(S153:S154)</f>
        <v>320317.67429313832</v>
      </c>
      <c r="T155" s="185">
        <f t="shared" ca="1" si="110"/>
        <v>326772.820590997</v>
      </c>
      <c r="U155" s="185">
        <f t="shared" ca="1" si="110"/>
        <v>333330.29502967064</v>
      </c>
      <c r="V155" s="185">
        <f t="shared" ca="1" si="110"/>
        <v>340006.2720189917</v>
      </c>
      <c r="W155" s="185">
        <f t="shared" ca="1" si="110"/>
        <v>346789.65511408163</v>
      </c>
      <c r="X155" s="185">
        <f t="shared" ca="1" si="110"/>
        <v>353716.67779621499</v>
      </c>
      <c r="Y155" s="185">
        <f t="shared" ca="1" si="110"/>
        <v>360802.10149385338</v>
      </c>
      <c r="Z155" s="185">
        <f t="shared" ca="1" si="110"/>
        <v>368027.79850884539</v>
      </c>
      <c r="AA155" s="185">
        <f t="shared" ca="1" si="110"/>
        <v>375400.90432286024</v>
      </c>
      <c r="AB155" s="185">
        <f t="shared" ca="1" si="110"/>
        <v>382913.1905280003</v>
      </c>
      <c r="AC155" s="185">
        <f t="shared" ca="1" si="110"/>
        <v>390569.50067519984</v>
      </c>
      <c r="AD155" s="185">
        <f t="shared" ca="1" si="110"/>
        <v>398389.19116363546</v>
      </c>
      <c r="AE155" s="185">
        <f t="shared" ca="1" si="110"/>
        <v>406364.6230236718</v>
      </c>
      <c r="AF155" s="185">
        <f t="shared" ca="1" si="110"/>
        <v>414502.49769367953</v>
      </c>
      <c r="AG155" s="185">
        <f t="shared" ca="1" si="110"/>
        <v>422809.80786818679</v>
      </c>
      <c r="AH155" s="185">
        <f t="shared" ca="1" si="110"/>
        <v>431279.27082956367</v>
      </c>
      <c r="AI155" s="185">
        <f t="shared" ca="1" si="110"/>
        <v>439922.77268681524</v>
      </c>
      <c r="AJ155" s="185">
        <f t="shared" ca="1" si="110"/>
        <v>448742.1676043953</v>
      </c>
      <c r="AK155" s="185">
        <f t="shared" ca="1" si="110"/>
        <v>457739.89191837702</v>
      </c>
      <c r="AL155" s="185">
        <f t="shared" si="110"/>
        <v>0</v>
      </c>
      <c r="AM155" s="185">
        <f t="shared" si="110"/>
        <v>0</v>
      </c>
      <c r="AN155" s="185">
        <f t="shared" si="110"/>
        <v>0</v>
      </c>
      <c r="AO155" s="185">
        <f t="shared" si="110"/>
        <v>0</v>
      </c>
      <c r="AP155" s="185">
        <f t="shared" si="110"/>
        <v>0</v>
      </c>
      <c r="AQ155" s="185">
        <f t="shared" si="110"/>
        <v>0</v>
      </c>
      <c r="AR155" s="185">
        <f t="shared" si="110"/>
        <v>0</v>
      </c>
      <c r="AS155" s="185">
        <f t="shared" si="110"/>
        <v>0</v>
      </c>
      <c r="AT155" s="185">
        <f t="shared" si="110"/>
        <v>0</v>
      </c>
      <c r="AU155" s="185">
        <f t="shared" si="110"/>
        <v>0</v>
      </c>
    </row>
    <row r="156" spans="1:47">
      <c r="G156" s="28"/>
      <c r="H156" s="28"/>
      <c r="I156" s="28"/>
      <c r="J156" s="28"/>
      <c r="K156" s="28"/>
      <c r="L156" s="409"/>
      <c r="M156" s="46"/>
      <c r="N156" s="46"/>
      <c r="O156" s="315"/>
      <c r="P156" s="46"/>
      <c r="Q156" s="315"/>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row>
    <row r="157" spans="1:47">
      <c r="E157" s="327"/>
      <c r="F157" s="28"/>
      <c r="G157" s="324" t="str">
        <f>C159&amp;" Capital Costs"</f>
        <v>Cake Storage/Load Out Capital Costs</v>
      </c>
      <c r="H157" s="324"/>
      <c r="I157" s="324"/>
      <c r="J157" s="324"/>
      <c r="K157" s="324"/>
      <c r="L157" s="405" t="s">
        <v>79</v>
      </c>
      <c r="M157" s="256"/>
      <c r="N157" s="325" t="s">
        <v>490</v>
      </c>
      <c r="O157" s="311"/>
      <c r="P157" s="325" t="s">
        <v>491</v>
      </c>
      <c r="Q157" s="310"/>
      <c r="R157" s="325">
        <f>R$8</f>
        <v>2014</v>
      </c>
      <c r="S157" s="325">
        <f t="shared" ref="S157:AU157" si="111">S$8</f>
        <v>2015</v>
      </c>
      <c r="T157" s="325">
        <f t="shared" si="111"/>
        <v>2016</v>
      </c>
      <c r="U157" s="325">
        <f t="shared" si="111"/>
        <v>2017</v>
      </c>
      <c r="V157" s="325">
        <f t="shared" si="111"/>
        <v>2018</v>
      </c>
      <c r="W157" s="325">
        <f t="shared" si="111"/>
        <v>2019</v>
      </c>
      <c r="X157" s="325">
        <f t="shared" si="111"/>
        <v>2020</v>
      </c>
      <c r="Y157" s="325">
        <f t="shared" si="111"/>
        <v>2021</v>
      </c>
      <c r="Z157" s="325">
        <f t="shared" si="111"/>
        <v>2022</v>
      </c>
      <c r="AA157" s="325">
        <f t="shared" si="111"/>
        <v>2023</v>
      </c>
      <c r="AB157" s="325">
        <f t="shared" si="111"/>
        <v>2024</v>
      </c>
      <c r="AC157" s="325">
        <f t="shared" si="111"/>
        <v>2025</v>
      </c>
      <c r="AD157" s="325">
        <f t="shared" si="111"/>
        <v>2026</v>
      </c>
      <c r="AE157" s="325">
        <f t="shared" si="111"/>
        <v>2027</v>
      </c>
      <c r="AF157" s="325">
        <f t="shared" si="111"/>
        <v>2028</v>
      </c>
      <c r="AG157" s="325">
        <f t="shared" si="111"/>
        <v>2029</v>
      </c>
      <c r="AH157" s="325">
        <f t="shared" si="111"/>
        <v>2030</v>
      </c>
      <c r="AI157" s="325">
        <f t="shared" si="111"/>
        <v>2031</v>
      </c>
      <c r="AJ157" s="325">
        <f t="shared" si="111"/>
        <v>2032</v>
      </c>
      <c r="AK157" s="325">
        <f t="shared" si="111"/>
        <v>2033</v>
      </c>
      <c r="AL157" s="325">
        <f t="shared" si="111"/>
        <v>2034</v>
      </c>
      <c r="AM157" s="325">
        <f t="shared" si="111"/>
        <v>2035</v>
      </c>
      <c r="AN157" s="325">
        <f t="shared" si="111"/>
        <v>2036</v>
      </c>
      <c r="AO157" s="325">
        <f t="shared" si="111"/>
        <v>2037</v>
      </c>
      <c r="AP157" s="325">
        <f t="shared" si="111"/>
        <v>2038</v>
      </c>
      <c r="AQ157" s="325">
        <f t="shared" si="111"/>
        <v>2039</v>
      </c>
      <c r="AR157" s="325">
        <f t="shared" si="111"/>
        <v>2040</v>
      </c>
      <c r="AS157" s="325">
        <f t="shared" si="111"/>
        <v>2041</v>
      </c>
      <c r="AT157" s="325">
        <f t="shared" si="111"/>
        <v>2042</v>
      </c>
      <c r="AU157" s="325">
        <f t="shared" si="111"/>
        <v>2043</v>
      </c>
    </row>
    <row r="158" spans="1:47">
      <c r="E158" s="325"/>
      <c r="G158" s="39"/>
      <c r="H158" s="39"/>
      <c r="I158" s="39"/>
      <c r="J158" s="39"/>
      <c r="K158" s="39"/>
    </row>
    <row r="159" spans="1:47">
      <c r="A159" s="38" t="str">
        <f>$J$4&amp;"-"</f>
        <v>1Y-</v>
      </c>
      <c r="B159" s="38" t="s">
        <v>306</v>
      </c>
      <c r="C159" s="38" t="s">
        <v>316</v>
      </c>
      <c r="D159" s="186">
        <f>CapExEsc</f>
        <v>0.03</v>
      </c>
      <c r="E159" s="325"/>
      <c r="G159" s="36" t="s">
        <v>8</v>
      </c>
      <c r="H159" s="39"/>
      <c r="I159" s="39"/>
      <c r="J159" s="70"/>
      <c r="K159" s="39"/>
      <c r="L159" s="43" t="str">
        <f>"["&amp;CostBaseYr&amp;" $]"</f>
        <v>[2013 $]</v>
      </c>
      <c r="N159" s="52">
        <f ca="1">SUMIFS(OFFSET(Assumptions!$I$65,0,MATCH($A159,Configurations,0)-1,COUNT(Assumptions!$A$65:$A$84),1),Assumptions!$E$65:$E$84,$C159)</f>
        <v>0</v>
      </c>
      <c r="O159" s="52"/>
      <c r="P159" s="322"/>
      <c r="Q159" s="52"/>
      <c r="R159" s="52">
        <f t="shared" ref="R159:AU159" ca="1" si="112">R160*IF($P159=0,$N159,$P159)*(1+$D159)^(R$8-CostBaseYr)</f>
        <v>0</v>
      </c>
      <c r="S159" s="52">
        <f t="shared" ca="1" si="112"/>
        <v>0</v>
      </c>
      <c r="T159" s="52">
        <f t="shared" ca="1" si="112"/>
        <v>0</v>
      </c>
      <c r="U159" s="52">
        <f t="shared" ca="1" si="112"/>
        <v>0</v>
      </c>
      <c r="V159" s="52">
        <f t="shared" ca="1" si="112"/>
        <v>0</v>
      </c>
      <c r="W159" s="52">
        <f t="shared" ca="1" si="112"/>
        <v>0</v>
      </c>
      <c r="X159" s="52">
        <f t="shared" ca="1" si="112"/>
        <v>0</v>
      </c>
      <c r="Y159" s="52">
        <f t="shared" ca="1" si="112"/>
        <v>0</v>
      </c>
      <c r="Z159" s="52">
        <f t="shared" ca="1" si="112"/>
        <v>0</v>
      </c>
      <c r="AA159" s="52">
        <f t="shared" ca="1" si="112"/>
        <v>0</v>
      </c>
      <c r="AB159" s="52">
        <f t="shared" ca="1" si="112"/>
        <v>0</v>
      </c>
      <c r="AC159" s="52">
        <f t="shared" ca="1" si="112"/>
        <v>0</v>
      </c>
      <c r="AD159" s="52">
        <f t="shared" ca="1" si="112"/>
        <v>0</v>
      </c>
      <c r="AE159" s="52">
        <f t="shared" ca="1" si="112"/>
        <v>0</v>
      </c>
      <c r="AF159" s="52">
        <f t="shared" ca="1" si="112"/>
        <v>0</v>
      </c>
      <c r="AG159" s="52">
        <f t="shared" ca="1" si="112"/>
        <v>0</v>
      </c>
      <c r="AH159" s="52">
        <f t="shared" ca="1" si="112"/>
        <v>0</v>
      </c>
      <c r="AI159" s="52">
        <f t="shared" ca="1" si="112"/>
        <v>0</v>
      </c>
      <c r="AJ159" s="52">
        <f t="shared" ca="1" si="112"/>
        <v>0</v>
      </c>
      <c r="AK159" s="52">
        <f t="shared" ca="1" si="112"/>
        <v>0</v>
      </c>
      <c r="AL159" s="52">
        <f t="shared" ca="1" si="112"/>
        <v>0</v>
      </c>
      <c r="AM159" s="52">
        <f t="shared" ca="1" si="112"/>
        <v>0</v>
      </c>
      <c r="AN159" s="52">
        <f t="shared" ca="1" si="112"/>
        <v>0</v>
      </c>
      <c r="AO159" s="52">
        <f t="shared" ca="1" si="112"/>
        <v>0</v>
      </c>
      <c r="AP159" s="52">
        <f t="shared" ca="1" si="112"/>
        <v>0</v>
      </c>
      <c r="AQ159" s="52">
        <f t="shared" ca="1" si="112"/>
        <v>0</v>
      </c>
      <c r="AR159" s="52">
        <f t="shared" ca="1" si="112"/>
        <v>0</v>
      </c>
      <c r="AS159" s="52">
        <f t="shared" ca="1" si="112"/>
        <v>0</v>
      </c>
      <c r="AT159" s="52">
        <f t="shared" ca="1" si="112"/>
        <v>0</v>
      </c>
      <c r="AU159" s="52">
        <f t="shared" ca="1" si="112"/>
        <v>0</v>
      </c>
    </row>
    <row r="160" spans="1:47">
      <c r="E160" s="325"/>
      <c r="G160" s="36" t="s">
        <v>10</v>
      </c>
      <c r="H160" s="39"/>
      <c r="I160" s="39"/>
      <c r="J160" s="39"/>
      <c r="K160" s="39"/>
      <c r="L160" s="43"/>
      <c r="R160" s="54">
        <f>Assumptions!M$60</f>
        <v>1</v>
      </c>
      <c r="S160" s="54">
        <f>Assumptions!N$60</f>
        <v>0</v>
      </c>
      <c r="T160" s="54">
        <f>Assumptions!O$60</f>
        <v>0</v>
      </c>
      <c r="U160" s="54">
        <f>Assumptions!P$60</f>
        <v>0</v>
      </c>
      <c r="V160" s="54">
        <f>Assumptions!Q$60</f>
        <v>0</v>
      </c>
      <c r="W160" s="54">
        <f>Assumptions!R$60</f>
        <v>0</v>
      </c>
      <c r="X160" s="54">
        <f>Assumptions!S$60</f>
        <v>0</v>
      </c>
      <c r="Y160" s="54">
        <f>Assumptions!T$60</f>
        <v>0</v>
      </c>
      <c r="Z160" s="54">
        <f>Assumptions!U$60</f>
        <v>0</v>
      </c>
      <c r="AA160" s="54">
        <f>Assumptions!V$60</f>
        <v>0</v>
      </c>
      <c r="AB160" s="54">
        <f>Assumptions!W$60</f>
        <v>0</v>
      </c>
      <c r="AC160" s="54">
        <f>Assumptions!X$60</f>
        <v>0</v>
      </c>
      <c r="AD160" s="54">
        <f>Assumptions!Y$60</f>
        <v>0</v>
      </c>
      <c r="AE160" s="54">
        <f>Assumptions!Z$60</f>
        <v>0</v>
      </c>
      <c r="AF160" s="54">
        <f>Assumptions!AA$60</f>
        <v>0</v>
      </c>
      <c r="AG160" s="54">
        <f>Assumptions!AB$60</f>
        <v>0</v>
      </c>
      <c r="AH160" s="54">
        <f>Assumptions!AC$60</f>
        <v>0</v>
      </c>
      <c r="AI160" s="54">
        <f>Assumptions!AD$60</f>
        <v>0</v>
      </c>
      <c r="AJ160" s="54">
        <f>Assumptions!AE$60</f>
        <v>0</v>
      </c>
      <c r="AK160" s="54">
        <f>Assumptions!AF$60</f>
        <v>0</v>
      </c>
      <c r="AL160" s="54">
        <f>Assumptions!AG$60</f>
        <v>0</v>
      </c>
      <c r="AM160" s="54">
        <f>Assumptions!AH$60</f>
        <v>0</v>
      </c>
      <c r="AN160" s="54">
        <f>Assumptions!AI$60</f>
        <v>0</v>
      </c>
      <c r="AO160" s="54">
        <f>Assumptions!AJ$60</f>
        <v>0</v>
      </c>
      <c r="AP160" s="54">
        <f>Assumptions!AK$60</f>
        <v>0</v>
      </c>
      <c r="AQ160" s="54">
        <f>Assumptions!AL$60</f>
        <v>0</v>
      </c>
      <c r="AR160" s="54">
        <f>Assumptions!AM$60</f>
        <v>0</v>
      </c>
      <c r="AS160" s="54">
        <f>Assumptions!AN$60</f>
        <v>0</v>
      </c>
      <c r="AT160" s="54">
        <f>Assumptions!AO$60</f>
        <v>0</v>
      </c>
      <c r="AU160" s="54">
        <f>Assumptions!AP$60</f>
        <v>0</v>
      </c>
    </row>
    <row r="161" spans="1:47">
      <c r="E161" s="326"/>
      <c r="G161" s="39"/>
      <c r="H161" s="39"/>
      <c r="I161" s="39"/>
      <c r="J161" s="39"/>
      <c r="K161" s="39"/>
    </row>
    <row r="162" spans="1:47">
      <c r="E162" s="327"/>
      <c r="F162" s="28"/>
      <c r="G162" s="324" t="str">
        <f>C159&amp;" O&amp;M"</f>
        <v>Cake Storage/Load Out O&amp;M</v>
      </c>
      <c r="H162" s="324"/>
      <c r="I162" s="324"/>
      <c r="J162" s="324"/>
      <c r="K162" s="324"/>
      <c r="L162" s="405" t="s">
        <v>79</v>
      </c>
      <c r="M162" s="256"/>
      <c r="N162" s="325" t="s">
        <v>490</v>
      </c>
      <c r="O162" s="311"/>
      <c r="P162" s="325" t="s">
        <v>491</v>
      </c>
      <c r="Q162" s="310"/>
      <c r="R162" s="325">
        <f>R$8</f>
        <v>2014</v>
      </c>
      <c r="S162" s="325">
        <f t="shared" ref="S162:AU162" si="113">S$8</f>
        <v>2015</v>
      </c>
      <c r="T162" s="325">
        <f t="shared" si="113"/>
        <v>2016</v>
      </c>
      <c r="U162" s="325">
        <f t="shared" si="113"/>
        <v>2017</v>
      </c>
      <c r="V162" s="325">
        <f t="shared" si="113"/>
        <v>2018</v>
      </c>
      <c r="W162" s="325">
        <f t="shared" si="113"/>
        <v>2019</v>
      </c>
      <c r="X162" s="325">
        <f t="shared" si="113"/>
        <v>2020</v>
      </c>
      <c r="Y162" s="325">
        <f t="shared" si="113"/>
        <v>2021</v>
      </c>
      <c r="Z162" s="325">
        <f t="shared" si="113"/>
        <v>2022</v>
      </c>
      <c r="AA162" s="325">
        <f t="shared" si="113"/>
        <v>2023</v>
      </c>
      <c r="AB162" s="325">
        <f t="shared" si="113"/>
        <v>2024</v>
      </c>
      <c r="AC162" s="325">
        <f t="shared" si="113"/>
        <v>2025</v>
      </c>
      <c r="AD162" s="325">
        <f t="shared" si="113"/>
        <v>2026</v>
      </c>
      <c r="AE162" s="325">
        <f t="shared" si="113"/>
        <v>2027</v>
      </c>
      <c r="AF162" s="325">
        <f t="shared" si="113"/>
        <v>2028</v>
      </c>
      <c r="AG162" s="325">
        <f t="shared" si="113"/>
        <v>2029</v>
      </c>
      <c r="AH162" s="325">
        <f t="shared" si="113"/>
        <v>2030</v>
      </c>
      <c r="AI162" s="325">
        <f t="shared" si="113"/>
        <v>2031</v>
      </c>
      <c r="AJ162" s="325">
        <f t="shared" si="113"/>
        <v>2032</v>
      </c>
      <c r="AK162" s="325">
        <f t="shared" si="113"/>
        <v>2033</v>
      </c>
      <c r="AL162" s="325">
        <f t="shared" si="113"/>
        <v>2034</v>
      </c>
      <c r="AM162" s="325">
        <f t="shared" si="113"/>
        <v>2035</v>
      </c>
      <c r="AN162" s="325">
        <f t="shared" si="113"/>
        <v>2036</v>
      </c>
      <c r="AO162" s="325">
        <f t="shared" si="113"/>
        <v>2037</v>
      </c>
      <c r="AP162" s="325">
        <f t="shared" si="113"/>
        <v>2038</v>
      </c>
      <c r="AQ162" s="325">
        <f t="shared" si="113"/>
        <v>2039</v>
      </c>
      <c r="AR162" s="325">
        <f t="shared" si="113"/>
        <v>2040</v>
      </c>
      <c r="AS162" s="325">
        <f t="shared" si="113"/>
        <v>2041</v>
      </c>
      <c r="AT162" s="325">
        <f t="shared" si="113"/>
        <v>2042</v>
      </c>
      <c r="AU162" s="325">
        <f t="shared" si="113"/>
        <v>2043</v>
      </c>
    </row>
    <row r="163" spans="1:47">
      <c r="E163" s="325"/>
      <c r="G163" s="39"/>
      <c r="H163" s="39"/>
      <c r="I163" s="39"/>
      <c r="J163" s="39"/>
      <c r="K163" s="39"/>
    </row>
    <row r="164" spans="1:47">
      <c r="E164" s="325"/>
      <c r="G164" s="39" t="s">
        <v>23</v>
      </c>
      <c r="H164" s="39"/>
      <c r="I164" s="39"/>
      <c r="J164" s="39"/>
      <c r="K164" s="39"/>
    </row>
    <row r="165" spans="1:47">
      <c r="A165" s="38" t="str">
        <f t="shared" ref="A165:A172" si="114">$J$4&amp;"-"</f>
        <v>1Y-</v>
      </c>
      <c r="B165" s="38" t="s">
        <v>262</v>
      </c>
      <c r="C165" s="38" t="str">
        <f>C159</f>
        <v>Cake Storage/Load Out</v>
      </c>
      <c r="D165" s="186">
        <f>LaborEsc</f>
        <v>0.02</v>
      </c>
      <c r="E165" s="325"/>
      <c r="G165" s="36" t="s">
        <v>125</v>
      </c>
      <c r="I165" s="39"/>
      <c r="K165" s="39"/>
      <c r="L165" s="43" t="s">
        <v>266</v>
      </c>
      <c r="N165" s="70">
        <f ca="1">SUMIFS(OFFSET(Assumptions!$I$90,0,MATCH($A165,Configurations,0)-1,COUNT(Assumptions!$A$90:$A$183),1),Assumptions!$D$90:$D$183,$B165&amp;$C165)</f>
        <v>0</v>
      </c>
      <c r="O165" s="313"/>
      <c r="P165" s="323"/>
      <c r="Q165" s="313"/>
      <c r="R165" s="50">
        <f t="shared" ref="R165:AU165" ca="1" si="115">IF(OR(R$99&lt;InServiceYr,R$99&gt;(InServiceYr+analysis_period-1)),0,IF($P165=0,$N165,$P165)*LaborCost*(1+$D165)^(R$99-CostBaseYr))</f>
        <v>0</v>
      </c>
      <c r="S165" s="50">
        <f t="shared" ca="1" si="115"/>
        <v>0</v>
      </c>
      <c r="T165" s="50">
        <f t="shared" ca="1" si="115"/>
        <v>0</v>
      </c>
      <c r="U165" s="50">
        <f t="shared" ca="1" si="115"/>
        <v>0</v>
      </c>
      <c r="V165" s="50">
        <f t="shared" ca="1" si="115"/>
        <v>0</v>
      </c>
      <c r="W165" s="50">
        <f t="shared" ca="1" si="115"/>
        <v>0</v>
      </c>
      <c r="X165" s="50">
        <f t="shared" ca="1" si="115"/>
        <v>0</v>
      </c>
      <c r="Y165" s="50">
        <f t="shared" ca="1" si="115"/>
        <v>0</v>
      </c>
      <c r="Z165" s="50">
        <f t="shared" ca="1" si="115"/>
        <v>0</v>
      </c>
      <c r="AA165" s="50">
        <f t="shared" ca="1" si="115"/>
        <v>0</v>
      </c>
      <c r="AB165" s="50">
        <f t="shared" ca="1" si="115"/>
        <v>0</v>
      </c>
      <c r="AC165" s="50">
        <f t="shared" ca="1" si="115"/>
        <v>0</v>
      </c>
      <c r="AD165" s="50">
        <f t="shared" ca="1" si="115"/>
        <v>0</v>
      </c>
      <c r="AE165" s="50">
        <f t="shared" ca="1" si="115"/>
        <v>0</v>
      </c>
      <c r="AF165" s="50">
        <f t="shared" ca="1" si="115"/>
        <v>0</v>
      </c>
      <c r="AG165" s="50">
        <f t="shared" ca="1" si="115"/>
        <v>0</v>
      </c>
      <c r="AH165" s="50">
        <f t="shared" ca="1" si="115"/>
        <v>0</v>
      </c>
      <c r="AI165" s="50">
        <f t="shared" ca="1" si="115"/>
        <v>0</v>
      </c>
      <c r="AJ165" s="50">
        <f t="shared" ca="1" si="115"/>
        <v>0</v>
      </c>
      <c r="AK165" s="50">
        <f t="shared" ca="1" si="115"/>
        <v>0</v>
      </c>
      <c r="AL165" s="50">
        <f t="shared" si="115"/>
        <v>0</v>
      </c>
      <c r="AM165" s="50">
        <f t="shared" si="115"/>
        <v>0</v>
      </c>
      <c r="AN165" s="50">
        <f t="shared" si="115"/>
        <v>0</v>
      </c>
      <c r="AO165" s="50">
        <f t="shared" si="115"/>
        <v>0</v>
      </c>
      <c r="AP165" s="50">
        <f t="shared" si="115"/>
        <v>0</v>
      </c>
      <c r="AQ165" s="50">
        <f t="shared" si="115"/>
        <v>0</v>
      </c>
      <c r="AR165" s="50">
        <f t="shared" si="115"/>
        <v>0</v>
      </c>
      <c r="AS165" s="50">
        <f t="shared" si="115"/>
        <v>0</v>
      </c>
      <c r="AT165" s="50">
        <f t="shared" si="115"/>
        <v>0</v>
      </c>
      <c r="AU165" s="50">
        <f t="shared" si="115"/>
        <v>0</v>
      </c>
    </row>
    <row r="166" spans="1:47">
      <c r="A166" s="38" t="str">
        <f t="shared" si="114"/>
        <v>1Y-</v>
      </c>
      <c r="B166" s="38" t="s">
        <v>270</v>
      </c>
      <c r="C166" s="38" t="str">
        <f>C165</f>
        <v>Cake Storage/Load Out</v>
      </c>
      <c r="D166" s="186">
        <f>OMEsc</f>
        <v>0.02</v>
      </c>
      <c r="E166" s="325"/>
      <c r="G166" s="36" t="s">
        <v>126</v>
      </c>
      <c r="I166" s="39"/>
      <c r="K166" s="39"/>
      <c r="L166" s="43" t="str">
        <f>"["&amp;CostBaseYr&amp;" $]"</f>
        <v>[2013 $]</v>
      </c>
      <c r="N166" s="70">
        <f ca="1">SUMIFS(OFFSET(Assumptions!$I$90,0,MATCH($A166,Configurations,0)-1,COUNT(Assumptions!$A$90:$A$183),1),Assumptions!$D$90:$D$183,$B166&amp;$C166)</f>
        <v>0</v>
      </c>
      <c r="O166" s="313"/>
      <c r="P166" s="323"/>
      <c r="Q166" s="313"/>
      <c r="R166" s="50">
        <f t="shared" ref="R166:AG168" ca="1" si="116">IF(OR(R$99&lt;InServiceYr,R$99&gt;(InServiceYr+analysis_period-1)),0,IF($P166=0,$N166,$P166)*(1+$D166)^(R$99-CostBaseYr))</f>
        <v>0</v>
      </c>
      <c r="S166" s="50">
        <f t="shared" ca="1" si="116"/>
        <v>0</v>
      </c>
      <c r="T166" s="50">
        <f t="shared" ca="1" si="116"/>
        <v>0</v>
      </c>
      <c r="U166" s="50">
        <f t="shared" ca="1" si="116"/>
        <v>0</v>
      </c>
      <c r="V166" s="50">
        <f t="shared" ca="1" si="116"/>
        <v>0</v>
      </c>
      <c r="W166" s="50">
        <f t="shared" ca="1" si="116"/>
        <v>0</v>
      </c>
      <c r="X166" s="50">
        <f t="shared" ca="1" si="116"/>
        <v>0</v>
      </c>
      <c r="Y166" s="50">
        <f t="shared" ca="1" si="116"/>
        <v>0</v>
      </c>
      <c r="Z166" s="50">
        <f t="shared" ca="1" si="116"/>
        <v>0</v>
      </c>
      <c r="AA166" s="50">
        <f t="shared" ca="1" si="116"/>
        <v>0</v>
      </c>
      <c r="AB166" s="50">
        <f t="shared" ca="1" si="116"/>
        <v>0</v>
      </c>
      <c r="AC166" s="50">
        <f t="shared" ca="1" si="116"/>
        <v>0</v>
      </c>
      <c r="AD166" s="50">
        <f t="shared" ca="1" si="116"/>
        <v>0</v>
      </c>
      <c r="AE166" s="50">
        <f t="shared" ca="1" si="116"/>
        <v>0</v>
      </c>
      <c r="AF166" s="50">
        <f t="shared" ca="1" si="116"/>
        <v>0</v>
      </c>
      <c r="AG166" s="50">
        <f t="shared" ca="1" si="116"/>
        <v>0</v>
      </c>
      <c r="AH166" s="50">
        <f t="shared" ref="S166:AU168" ca="1" si="117">IF(OR(AH$99&lt;InServiceYr,AH$99&gt;(InServiceYr+analysis_period-1)),0,IF($P166=0,$N166,$P166)*(1+$D166)^(AH$99-CostBaseYr))</f>
        <v>0</v>
      </c>
      <c r="AI166" s="50">
        <f t="shared" ca="1" si="117"/>
        <v>0</v>
      </c>
      <c r="AJ166" s="50">
        <f t="shared" ca="1" si="117"/>
        <v>0</v>
      </c>
      <c r="AK166" s="50">
        <f t="shared" ca="1" si="117"/>
        <v>0</v>
      </c>
      <c r="AL166" s="50">
        <f t="shared" si="117"/>
        <v>0</v>
      </c>
      <c r="AM166" s="50">
        <f t="shared" si="117"/>
        <v>0</v>
      </c>
      <c r="AN166" s="50">
        <f t="shared" si="117"/>
        <v>0</v>
      </c>
      <c r="AO166" s="50">
        <f t="shared" si="117"/>
        <v>0</v>
      </c>
      <c r="AP166" s="50">
        <f t="shared" si="117"/>
        <v>0</v>
      </c>
      <c r="AQ166" s="50">
        <f t="shared" si="117"/>
        <v>0</v>
      </c>
      <c r="AR166" s="50">
        <f t="shared" si="117"/>
        <v>0</v>
      </c>
      <c r="AS166" s="50">
        <f t="shared" si="117"/>
        <v>0</v>
      </c>
      <c r="AT166" s="50">
        <f t="shared" si="117"/>
        <v>0</v>
      </c>
      <c r="AU166" s="50">
        <f t="shared" si="117"/>
        <v>0</v>
      </c>
    </row>
    <row r="167" spans="1:47">
      <c r="A167" s="38" t="str">
        <f t="shared" si="114"/>
        <v>1Y-</v>
      </c>
      <c r="B167" s="38" t="s">
        <v>263</v>
      </c>
      <c r="C167" s="38" t="str">
        <f t="shared" ref="C167:C171" si="118">C166</f>
        <v>Cake Storage/Load Out</v>
      </c>
      <c r="D167" s="186">
        <f>OMEsc</f>
        <v>0.02</v>
      </c>
      <c r="E167" s="325"/>
      <c r="G167" s="36" t="s">
        <v>127</v>
      </c>
      <c r="I167" s="39"/>
      <c r="K167" s="39"/>
      <c r="L167" s="43" t="str">
        <f>"["&amp;CostBaseYr&amp;" $]"</f>
        <v>[2013 $]</v>
      </c>
      <c r="N167" s="70">
        <f ca="1">SUMIFS(OFFSET(Assumptions!$I$90,0,MATCH($A167,Configurations,0)-1,COUNT(Assumptions!$A$90:$A$183),1),Assumptions!$D$90:$D$183,$B167&amp;$C167)</f>
        <v>0</v>
      </c>
      <c r="O167" s="313"/>
      <c r="P167" s="323"/>
      <c r="Q167" s="313"/>
      <c r="R167" s="50">
        <f t="shared" ca="1" si="116"/>
        <v>0</v>
      </c>
      <c r="S167" s="50">
        <f t="shared" ca="1" si="117"/>
        <v>0</v>
      </c>
      <c r="T167" s="50">
        <f t="shared" ca="1" si="117"/>
        <v>0</v>
      </c>
      <c r="U167" s="50">
        <f t="shared" ca="1" si="117"/>
        <v>0</v>
      </c>
      <c r="V167" s="50">
        <f t="shared" ca="1" si="117"/>
        <v>0</v>
      </c>
      <c r="W167" s="50">
        <f t="shared" ca="1" si="117"/>
        <v>0</v>
      </c>
      <c r="X167" s="50">
        <f t="shared" ca="1" si="117"/>
        <v>0</v>
      </c>
      <c r="Y167" s="50">
        <f t="shared" ca="1" si="117"/>
        <v>0</v>
      </c>
      <c r="Z167" s="50">
        <f t="shared" ca="1" si="117"/>
        <v>0</v>
      </c>
      <c r="AA167" s="50">
        <f t="shared" ca="1" si="117"/>
        <v>0</v>
      </c>
      <c r="AB167" s="50">
        <f t="shared" ca="1" si="117"/>
        <v>0</v>
      </c>
      <c r="AC167" s="50">
        <f t="shared" ca="1" si="117"/>
        <v>0</v>
      </c>
      <c r="AD167" s="50">
        <f t="shared" ca="1" si="117"/>
        <v>0</v>
      </c>
      <c r="AE167" s="50">
        <f t="shared" ca="1" si="117"/>
        <v>0</v>
      </c>
      <c r="AF167" s="50">
        <f t="shared" ca="1" si="117"/>
        <v>0</v>
      </c>
      <c r="AG167" s="50">
        <f t="shared" ca="1" si="117"/>
        <v>0</v>
      </c>
      <c r="AH167" s="50">
        <f t="shared" ca="1" si="117"/>
        <v>0</v>
      </c>
      <c r="AI167" s="50">
        <f t="shared" ca="1" si="117"/>
        <v>0</v>
      </c>
      <c r="AJ167" s="50">
        <f t="shared" ca="1" si="117"/>
        <v>0</v>
      </c>
      <c r="AK167" s="50">
        <f t="shared" ca="1" si="117"/>
        <v>0</v>
      </c>
      <c r="AL167" s="50">
        <f t="shared" si="117"/>
        <v>0</v>
      </c>
      <c r="AM167" s="50">
        <f t="shared" si="117"/>
        <v>0</v>
      </c>
      <c r="AN167" s="50">
        <f t="shared" si="117"/>
        <v>0</v>
      </c>
      <c r="AO167" s="50">
        <f t="shared" si="117"/>
        <v>0</v>
      </c>
      <c r="AP167" s="50">
        <f t="shared" si="117"/>
        <v>0</v>
      </c>
      <c r="AQ167" s="50">
        <f t="shared" si="117"/>
        <v>0</v>
      </c>
      <c r="AR167" s="50">
        <f t="shared" si="117"/>
        <v>0</v>
      </c>
      <c r="AS167" s="50">
        <f t="shared" si="117"/>
        <v>0</v>
      </c>
      <c r="AT167" s="50">
        <f t="shared" si="117"/>
        <v>0</v>
      </c>
      <c r="AU167" s="50">
        <f t="shared" si="117"/>
        <v>0</v>
      </c>
    </row>
    <row r="168" spans="1:47">
      <c r="A168" s="38" t="str">
        <f t="shared" si="114"/>
        <v>1Y-</v>
      </c>
      <c r="B168" s="38" t="s">
        <v>277</v>
      </c>
      <c r="C168" s="38" t="str">
        <f t="shared" si="118"/>
        <v>Cake Storage/Load Out</v>
      </c>
      <c r="D168" s="186">
        <f>OMEsc</f>
        <v>0.02</v>
      </c>
      <c r="E168" s="325"/>
      <c r="G168" s="36" t="s">
        <v>276</v>
      </c>
      <c r="I168" s="39"/>
      <c r="K168" s="39"/>
      <c r="L168" s="43" t="str">
        <f>"["&amp;CostBaseYr&amp;" $]"</f>
        <v>[2013 $]</v>
      </c>
      <c r="N168" s="70">
        <f ca="1">SUMIFS(OFFSET(Assumptions!$I$90,0,MATCH($A168,Configurations,0)-1,COUNT(Assumptions!$A$90:$A$183),1),Assumptions!$D$90:$D$183,$B168&amp;$C168)</f>
        <v>0</v>
      </c>
      <c r="O168" s="313"/>
      <c r="P168" s="323"/>
      <c r="Q168" s="313"/>
      <c r="R168" s="50">
        <f t="shared" ca="1" si="116"/>
        <v>0</v>
      </c>
      <c r="S168" s="50">
        <f t="shared" ca="1" si="117"/>
        <v>0</v>
      </c>
      <c r="T168" s="50">
        <f t="shared" ca="1" si="117"/>
        <v>0</v>
      </c>
      <c r="U168" s="50">
        <f t="shared" ca="1" si="117"/>
        <v>0</v>
      </c>
      <c r="V168" s="50">
        <f t="shared" ca="1" si="117"/>
        <v>0</v>
      </c>
      <c r="W168" s="50">
        <f t="shared" ca="1" si="117"/>
        <v>0</v>
      </c>
      <c r="X168" s="50">
        <f t="shared" ca="1" si="117"/>
        <v>0</v>
      </c>
      <c r="Y168" s="50">
        <f t="shared" ca="1" si="117"/>
        <v>0</v>
      </c>
      <c r="Z168" s="50">
        <f t="shared" ca="1" si="117"/>
        <v>0</v>
      </c>
      <c r="AA168" s="50">
        <f t="shared" ca="1" si="117"/>
        <v>0</v>
      </c>
      <c r="AB168" s="50">
        <f t="shared" ca="1" si="117"/>
        <v>0</v>
      </c>
      <c r="AC168" s="50">
        <f t="shared" ca="1" si="117"/>
        <v>0</v>
      </c>
      <c r="AD168" s="50">
        <f t="shared" ca="1" si="117"/>
        <v>0</v>
      </c>
      <c r="AE168" s="50">
        <f t="shared" ca="1" si="117"/>
        <v>0</v>
      </c>
      <c r="AF168" s="50">
        <f t="shared" ca="1" si="117"/>
        <v>0</v>
      </c>
      <c r="AG168" s="50">
        <f t="shared" ca="1" si="117"/>
        <v>0</v>
      </c>
      <c r="AH168" s="50">
        <f t="shared" ca="1" si="117"/>
        <v>0</v>
      </c>
      <c r="AI168" s="50">
        <f t="shared" ca="1" si="117"/>
        <v>0</v>
      </c>
      <c r="AJ168" s="50">
        <f t="shared" ca="1" si="117"/>
        <v>0</v>
      </c>
      <c r="AK168" s="50">
        <f t="shared" ca="1" si="117"/>
        <v>0</v>
      </c>
      <c r="AL168" s="50">
        <f t="shared" si="117"/>
        <v>0</v>
      </c>
      <c r="AM168" s="50">
        <f t="shared" si="117"/>
        <v>0</v>
      </c>
      <c r="AN168" s="50">
        <f t="shared" si="117"/>
        <v>0</v>
      </c>
      <c r="AO168" s="50">
        <f t="shared" si="117"/>
        <v>0</v>
      </c>
      <c r="AP168" s="50">
        <f t="shared" si="117"/>
        <v>0</v>
      </c>
      <c r="AQ168" s="50">
        <f t="shared" si="117"/>
        <v>0</v>
      </c>
      <c r="AR168" s="50">
        <f t="shared" si="117"/>
        <v>0</v>
      </c>
      <c r="AS168" s="50">
        <f t="shared" si="117"/>
        <v>0</v>
      </c>
      <c r="AT168" s="50">
        <f t="shared" si="117"/>
        <v>0</v>
      </c>
      <c r="AU168" s="50">
        <f t="shared" si="117"/>
        <v>0</v>
      </c>
    </row>
    <row r="169" spans="1:47">
      <c r="A169" s="38" t="str">
        <f t="shared" si="114"/>
        <v>1Y-</v>
      </c>
      <c r="B169" s="38" t="s">
        <v>274</v>
      </c>
      <c r="C169" s="38" t="str">
        <f t="shared" si="118"/>
        <v>Cake Storage/Load Out</v>
      </c>
      <c r="D169" s="186"/>
      <c r="E169" s="325"/>
      <c r="G169" s="36" t="s">
        <v>16</v>
      </c>
      <c r="I169" s="39"/>
      <c r="K169" s="39"/>
      <c r="L169" s="43" t="s">
        <v>275</v>
      </c>
      <c r="N169" s="70">
        <f ca="1">SUMIFS(OFFSET(Assumptions!$I$90,0,MATCH($A169,Configurations,0)-1,COUNT(Assumptions!$A$90:$A$183),1),Assumptions!$D$90:$D$183,$B169&amp;$C169)</f>
        <v>0</v>
      </c>
      <c r="O169" s="313"/>
      <c r="P169" s="323"/>
      <c r="Q169" s="313"/>
      <c r="R169" s="50">
        <f t="shared" ref="R169:AU169" ca="1" si="119">IF(OR(R$99&lt;InServiceYr,R$99&gt;(InServiceYr+analysis_period-1)),0,IF($P169=0,$N169,$P169)*R$505)</f>
        <v>0</v>
      </c>
      <c r="S169" s="50">
        <f t="shared" ca="1" si="119"/>
        <v>0</v>
      </c>
      <c r="T169" s="50">
        <f t="shared" ca="1" si="119"/>
        <v>0</v>
      </c>
      <c r="U169" s="50">
        <f t="shared" ca="1" si="119"/>
        <v>0</v>
      </c>
      <c r="V169" s="50">
        <f t="shared" ca="1" si="119"/>
        <v>0</v>
      </c>
      <c r="W169" s="50">
        <f t="shared" ca="1" si="119"/>
        <v>0</v>
      </c>
      <c r="X169" s="50">
        <f t="shared" ca="1" si="119"/>
        <v>0</v>
      </c>
      <c r="Y169" s="50">
        <f t="shared" ca="1" si="119"/>
        <v>0</v>
      </c>
      <c r="Z169" s="50">
        <f t="shared" ca="1" si="119"/>
        <v>0</v>
      </c>
      <c r="AA169" s="50">
        <f t="shared" ca="1" si="119"/>
        <v>0</v>
      </c>
      <c r="AB169" s="50">
        <f t="shared" ca="1" si="119"/>
        <v>0</v>
      </c>
      <c r="AC169" s="50">
        <f t="shared" ca="1" si="119"/>
        <v>0</v>
      </c>
      <c r="AD169" s="50">
        <f t="shared" ca="1" si="119"/>
        <v>0</v>
      </c>
      <c r="AE169" s="50">
        <f t="shared" ca="1" si="119"/>
        <v>0</v>
      </c>
      <c r="AF169" s="50">
        <f t="shared" ca="1" si="119"/>
        <v>0</v>
      </c>
      <c r="AG169" s="50">
        <f t="shared" ca="1" si="119"/>
        <v>0</v>
      </c>
      <c r="AH169" s="50">
        <f t="shared" ca="1" si="119"/>
        <v>0</v>
      </c>
      <c r="AI169" s="50">
        <f t="shared" ca="1" si="119"/>
        <v>0</v>
      </c>
      <c r="AJ169" s="50">
        <f t="shared" ca="1" si="119"/>
        <v>0</v>
      </c>
      <c r="AK169" s="50">
        <f t="shared" ca="1" si="119"/>
        <v>0</v>
      </c>
      <c r="AL169" s="50">
        <f t="shared" si="119"/>
        <v>0</v>
      </c>
      <c r="AM169" s="50">
        <f t="shared" si="119"/>
        <v>0</v>
      </c>
      <c r="AN169" s="50">
        <f t="shared" si="119"/>
        <v>0</v>
      </c>
      <c r="AO169" s="50">
        <f t="shared" si="119"/>
        <v>0</v>
      </c>
      <c r="AP169" s="50">
        <f t="shared" si="119"/>
        <v>0</v>
      </c>
      <c r="AQ169" s="50">
        <f t="shared" si="119"/>
        <v>0</v>
      </c>
      <c r="AR169" s="50">
        <f t="shared" si="119"/>
        <v>0</v>
      </c>
      <c r="AS169" s="50">
        <f t="shared" si="119"/>
        <v>0</v>
      </c>
      <c r="AT169" s="50">
        <f t="shared" si="119"/>
        <v>0</v>
      </c>
      <c r="AU169" s="50">
        <f t="shared" si="119"/>
        <v>0</v>
      </c>
    </row>
    <row r="170" spans="1:47">
      <c r="A170" s="38" t="str">
        <f t="shared" si="114"/>
        <v>1Y-</v>
      </c>
      <c r="B170" s="38" t="s">
        <v>257</v>
      </c>
      <c r="C170" s="38" t="str">
        <f t="shared" si="118"/>
        <v>Cake Storage/Load Out</v>
      </c>
      <c r="D170" s="186"/>
      <c r="E170" s="325"/>
      <c r="G170" s="36" t="s">
        <v>284</v>
      </c>
      <c r="I170" s="39"/>
      <c r="K170" s="39"/>
      <c r="L170" s="43" t="s">
        <v>293</v>
      </c>
      <c r="N170" s="70">
        <f ca="1">SUMIFS(OFFSET(Assumptions!$I$90,0,MATCH($A170,Configurations,0)-1,COUNT(Assumptions!$A$90:$A$183),1),Assumptions!$D$90:$D$183,$B170&amp;$C170)</f>
        <v>16430</v>
      </c>
      <c r="O170" s="313"/>
      <c r="P170" s="323"/>
      <c r="Q170" s="313"/>
      <c r="R170" s="50">
        <f t="shared" ref="R170:AU170" ca="1" si="120">IF(OR(R$99&lt;InServiceYr,R$99&gt;(InServiceYr+analysis_period-1)),0,IF($P170=0,$N170,$P170)*R$501)</f>
        <v>1061.0749661113664</v>
      </c>
      <c r="S170" s="50">
        <f t="shared" ca="1" si="120"/>
        <v>1067.6892101035248</v>
      </c>
      <c r="T170" s="50">
        <f t="shared" ca="1" si="120"/>
        <v>1113.7172294884872</v>
      </c>
      <c r="U170" s="50">
        <f t="shared" ca="1" si="120"/>
        <v>1147.1259594647156</v>
      </c>
      <c r="V170" s="50">
        <f t="shared" ca="1" si="120"/>
        <v>1174.8073825565737</v>
      </c>
      <c r="W170" s="50">
        <f t="shared" ca="1" si="120"/>
        <v>1189.837025649</v>
      </c>
      <c r="X170" s="50">
        <f t="shared" ca="1" si="120"/>
        <v>1209.198616791849</v>
      </c>
      <c r="Y170" s="50">
        <f t="shared" ca="1" si="120"/>
        <v>1238.9908079138625</v>
      </c>
      <c r="Z170" s="50">
        <f t="shared" ca="1" si="120"/>
        <v>1268.6530926913447</v>
      </c>
      <c r="AA170" s="50">
        <f t="shared" ca="1" si="120"/>
        <v>1300.3725360243311</v>
      </c>
      <c r="AB170" s="50">
        <f t="shared" ca="1" si="120"/>
        <v>1328.5383490088843</v>
      </c>
      <c r="AC170" s="50">
        <f t="shared" ca="1" si="120"/>
        <v>1354.1211600329689</v>
      </c>
      <c r="AD170" s="50">
        <f t="shared" ca="1" si="120"/>
        <v>1385.401084099379</v>
      </c>
      <c r="AE170" s="50">
        <f t="shared" ca="1" si="120"/>
        <v>1416.9766725411378</v>
      </c>
      <c r="AF170" s="50">
        <f t="shared" ca="1" si="120"/>
        <v>1450.6675664920981</v>
      </c>
      <c r="AG170" s="50">
        <f t="shared" ca="1" si="120"/>
        <v>1488.4093088656859</v>
      </c>
      <c r="AH170" s="50">
        <f t="shared" ca="1" si="120"/>
        <v>1524.886439023755</v>
      </c>
      <c r="AI170" s="50">
        <f t="shared" ca="1" si="120"/>
        <v>1564.4444054173453</v>
      </c>
      <c r="AJ170" s="50">
        <f t="shared" ca="1" si="120"/>
        <v>1606.3222560050128</v>
      </c>
      <c r="AK170" s="50">
        <f t="shared" ca="1" si="120"/>
        <v>1650.0194676352328</v>
      </c>
      <c r="AL170" s="50">
        <f t="shared" si="120"/>
        <v>0</v>
      </c>
      <c r="AM170" s="50">
        <f t="shared" si="120"/>
        <v>0</v>
      </c>
      <c r="AN170" s="50">
        <f t="shared" si="120"/>
        <v>0</v>
      </c>
      <c r="AO170" s="50">
        <f t="shared" si="120"/>
        <v>0</v>
      </c>
      <c r="AP170" s="50">
        <f t="shared" si="120"/>
        <v>0</v>
      </c>
      <c r="AQ170" s="50">
        <f t="shared" si="120"/>
        <v>0</v>
      </c>
      <c r="AR170" s="50">
        <f t="shared" si="120"/>
        <v>0</v>
      </c>
      <c r="AS170" s="50">
        <f t="shared" si="120"/>
        <v>0</v>
      </c>
      <c r="AT170" s="50">
        <f t="shared" si="120"/>
        <v>0</v>
      </c>
      <c r="AU170" s="50">
        <f t="shared" si="120"/>
        <v>0</v>
      </c>
    </row>
    <row r="171" spans="1:47">
      <c r="A171" s="38" t="str">
        <f t="shared" si="114"/>
        <v>1Y-</v>
      </c>
      <c r="B171" s="38" t="s">
        <v>864</v>
      </c>
      <c r="C171" s="38" t="str">
        <f t="shared" si="118"/>
        <v>Cake Storage/Load Out</v>
      </c>
      <c r="D171" s="186">
        <f>GHGEsc</f>
        <v>0.02</v>
      </c>
      <c r="E171" s="325"/>
      <c r="G171" s="36" t="s">
        <v>865</v>
      </c>
      <c r="I171" s="39"/>
      <c r="K171" s="39"/>
      <c r="L171" s="43" t="s">
        <v>866</v>
      </c>
      <c r="N171" s="70">
        <f ca="1">SUMIFS(OFFSET(Assumptions!$I$90,0,MATCH($A171,Configurations,0)-1,COUNT(Assumptions!$A$90:$A$183),1),Assumptions!$D$90:$D$183,$B171&amp;$C171)</f>
        <v>0</v>
      </c>
      <c r="O171" s="313"/>
      <c r="P171" s="323"/>
      <c r="Q171" s="313"/>
      <c r="R171" s="50">
        <f t="shared" ref="R171:AU171" ca="1" si="121">IF(OR(R$99&lt;InServiceYr,R$99&gt;(InServiceYr+analysis_period-1)),0,IF($P171=0,$N171,$P171)*R$513)</f>
        <v>0</v>
      </c>
      <c r="S171" s="50">
        <f t="shared" ca="1" si="121"/>
        <v>0</v>
      </c>
      <c r="T171" s="50">
        <f t="shared" ca="1" si="121"/>
        <v>0</v>
      </c>
      <c r="U171" s="50">
        <f t="shared" ca="1" si="121"/>
        <v>0</v>
      </c>
      <c r="V171" s="50">
        <f t="shared" ca="1" si="121"/>
        <v>0</v>
      </c>
      <c r="W171" s="50">
        <f t="shared" ca="1" si="121"/>
        <v>0</v>
      </c>
      <c r="X171" s="50">
        <f t="shared" ca="1" si="121"/>
        <v>0</v>
      </c>
      <c r="Y171" s="50">
        <f t="shared" ca="1" si="121"/>
        <v>0</v>
      </c>
      <c r="Z171" s="50">
        <f t="shared" ca="1" si="121"/>
        <v>0</v>
      </c>
      <c r="AA171" s="50">
        <f t="shared" ca="1" si="121"/>
        <v>0</v>
      </c>
      <c r="AB171" s="50">
        <f t="shared" ca="1" si="121"/>
        <v>0</v>
      </c>
      <c r="AC171" s="50">
        <f t="shared" ca="1" si="121"/>
        <v>0</v>
      </c>
      <c r="AD171" s="50">
        <f t="shared" ca="1" si="121"/>
        <v>0</v>
      </c>
      <c r="AE171" s="50">
        <f t="shared" ca="1" si="121"/>
        <v>0</v>
      </c>
      <c r="AF171" s="50">
        <f t="shared" ca="1" si="121"/>
        <v>0</v>
      </c>
      <c r="AG171" s="50">
        <f t="shared" ca="1" si="121"/>
        <v>0</v>
      </c>
      <c r="AH171" s="50">
        <f t="shared" ca="1" si="121"/>
        <v>0</v>
      </c>
      <c r="AI171" s="50">
        <f t="shared" ca="1" si="121"/>
        <v>0</v>
      </c>
      <c r="AJ171" s="50">
        <f t="shared" ca="1" si="121"/>
        <v>0</v>
      </c>
      <c r="AK171" s="50">
        <f t="shared" ca="1" si="121"/>
        <v>0</v>
      </c>
      <c r="AL171" s="50">
        <f t="shared" si="121"/>
        <v>0</v>
      </c>
      <c r="AM171" s="50">
        <f t="shared" si="121"/>
        <v>0</v>
      </c>
      <c r="AN171" s="50">
        <f t="shared" si="121"/>
        <v>0</v>
      </c>
      <c r="AO171" s="50">
        <f t="shared" si="121"/>
        <v>0</v>
      </c>
      <c r="AP171" s="50">
        <f t="shared" si="121"/>
        <v>0</v>
      </c>
      <c r="AQ171" s="50">
        <f t="shared" si="121"/>
        <v>0</v>
      </c>
      <c r="AR171" s="50">
        <f t="shared" si="121"/>
        <v>0</v>
      </c>
      <c r="AS171" s="50">
        <f t="shared" si="121"/>
        <v>0</v>
      </c>
      <c r="AT171" s="50">
        <f t="shared" si="121"/>
        <v>0</v>
      </c>
      <c r="AU171" s="50">
        <f t="shared" si="121"/>
        <v>0</v>
      </c>
    </row>
    <row r="172" spans="1:47">
      <c r="A172" s="38" t="str">
        <f t="shared" si="114"/>
        <v>1Y-</v>
      </c>
      <c r="B172" s="38" t="s">
        <v>273</v>
      </c>
      <c r="C172" s="38" t="str">
        <f>C170</f>
        <v>Cake Storage/Load Out</v>
      </c>
      <c r="D172" s="186">
        <f>LaborEsc</f>
        <v>0.02</v>
      </c>
      <c r="E172" s="325"/>
      <c r="G172" s="36" t="s">
        <v>291</v>
      </c>
      <c r="I172" s="39"/>
      <c r="K172" s="39"/>
      <c r="L172" s="43" t="str">
        <f>"["&amp;CostBaseYr&amp;" $]"</f>
        <v>[2013 $]</v>
      </c>
      <c r="N172" s="70">
        <f ca="1">SUMIFS(OFFSET(Assumptions!$I$90,0,MATCH($A172,Configurations,0)-1,COUNT(Assumptions!$A$90:$A$183),1),Assumptions!$D$90:$D$183,$B172&amp;$C172)</f>
        <v>0</v>
      </c>
      <c r="O172" s="313"/>
      <c r="P172" s="323"/>
      <c r="Q172" s="313"/>
      <c r="R172" s="50">
        <f t="shared" ref="R172:AU172" ca="1" si="122">IF(OR(R$99&lt;InServiceYr,R$99&gt;(InServiceYr+analysis_period-1)),0,IF($P172=0,$N172,$P172)*(1+$D172)^(R$99-CostBaseYr))*R$509</f>
        <v>0</v>
      </c>
      <c r="S172" s="50">
        <f t="shared" ca="1" si="122"/>
        <v>0</v>
      </c>
      <c r="T172" s="50">
        <f t="shared" ca="1" si="122"/>
        <v>0</v>
      </c>
      <c r="U172" s="50">
        <f t="shared" ca="1" si="122"/>
        <v>0</v>
      </c>
      <c r="V172" s="50">
        <f t="shared" ca="1" si="122"/>
        <v>0</v>
      </c>
      <c r="W172" s="50">
        <f t="shared" ca="1" si="122"/>
        <v>0</v>
      </c>
      <c r="X172" s="50">
        <f t="shared" ca="1" si="122"/>
        <v>0</v>
      </c>
      <c r="Y172" s="50">
        <f t="shared" ca="1" si="122"/>
        <v>0</v>
      </c>
      <c r="Z172" s="50">
        <f t="shared" ca="1" si="122"/>
        <v>0</v>
      </c>
      <c r="AA172" s="50">
        <f t="shared" ca="1" si="122"/>
        <v>0</v>
      </c>
      <c r="AB172" s="50">
        <f t="shared" ca="1" si="122"/>
        <v>0</v>
      </c>
      <c r="AC172" s="50">
        <f t="shared" ca="1" si="122"/>
        <v>0</v>
      </c>
      <c r="AD172" s="50">
        <f t="shared" ca="1" si="122"/>
        <v>0</v>
      </c>
      <c r="AE172" s="50">
        <f t="shared" ca="1" si="122"/>
        <v>0</v>
      </c>
      <c r="AF172" s="50">
        <f t="shared" ca="1" si="122"/>
        <v>0</v>
      </c>
      <c r="AG172" s="50">
        <f t="shared" ca="1" si="122"/>
        <v>0</v>
      </c>
      <c r="AH172" s="50">
        <f t="shared" ca="1" si="122"/>
        <v>0</v>
      </c>
      <c r="AI172" s="50">
        <f t="shared" ca="1" si="122"/>
        <v>0</v>
      </c>
      <c r="AJ172" s="50">
        <f t="shared" ca="1" si="122"/>
        <v>0</v>
      </c>
      <c r="AK172" s="50">
        <f t="shared" ca="1" si="122"/>
        <v>0</v>
      </c>
      <c r="AL172" s="50">
        <f t="shared" si="122"/>
        <v>0</v>
      </c>
      <c r="AM172" s="50">
        <f t="shared" si="122"/>
        <v>0</v>
      </c>
      <c r="AN172" s="50">
        <f t="shared" si="122"/>
        <v>0</v>
      </c>
      <c r="AO172" s="50">
        <f t="shared" si="122"/>
        <v>0</v>
      </c>
      <c r="AP172" s="50">
        <f t="shared" si="122"/>
        <v>0</v>
      </c>
      <c r="AQ172" s="50">
        <f t="shared" si="122"/>
        <v>0</v>
      </c>
      <c r="AR172" s="50">
        <f t="shared" si="122"/>
        <v>0</v>
      </c>
      <c r="AS172" s="50">
        <f t="shared" si="122"/>
        <v>0</v>
      </c>
      <c r="AT172" s="50">
        <f t="shared" si="122"/>
        <v>0</v>
      </c>
      <c r="AU172" s="50">
        <f t="shared" si="122"/>
        <v>0</v>
      </c>
    </row>
    <row r="173" spans="1:47">
      <c r="D173" s="186"/>
      <c r="E173" s="325"/>
      <c r="G173" s="39" t="s">
        <v>304</v>
      </c>
      <c r="I173" s="39"/>
      <c r="K173" s="39"/>
      <c r="L173" s="43"/>
      <c r="N173" s="70"/>
      <c r="O173" s="313"/>
      <c r="P173" s="70"/>
      <c r="Q173" s="313"/>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row>
    <row r="174" spans="1:47">
      <c r="A174" s="38" t="str">
        <f>$J$4&amp;"-"</f>
        <v>1Y-</v>
      </c>
      <c r="B174" s="38" t="s">
        <v>265</v>
      </c>
      <c r="C174" s="38" t="str">
        <f>C165</f>
        <v>Cake Storage/Load Out</v>
      </c>
      <c r="D174" s="186"/>
      <c r="E174" s="325"/>
      <c r="G174" s="36" t="s">
        <v>108</v>
      </c>
      <c r="I174" s="39"/>
      <c r="K174" s="39"/>
      <c r="L174" s="43" t="s">
        <v>293</v>
      </c>
      <c r="N174" s="70">
        <f ca="1">SUMIFS(OFFSET(Assumptions!$I$90,0,MATCH($A174,Configurations,0)-1,COUNT(Assumptions!$A$90:$A$183),1),Assumptions!$D$90:$D$183,$B174&amp;$C174)</f>
        <v>0</v>
      </c>
      <c r="O174" s="313"/>
      <c r="P174" s="323"/>
      <c r="Q174" s="313"/>
      <c r="R174" s="50">
        <f t="shared" ref="R174:AU174" ca="1" si="123">IF(OR(R$99&lt;InServiceYr,R$99&gt;(InServiceYr+analysis_period-1)),0,IF($P174=0,$N174,$P174)*R$501)</f>
        <v>0</v>
      </c>
      <c r="S174" s="50">
        <f t="shared" ca="1" si="123"/>
        <v>0</v>
      </c>
      <c r="T174" s="50">
        <f t="shared" ca="1" si="123"/>
        <v>0</v>
      </c>
      <c r="U174" s="50">
        <f t="shared" ca="1" si="123"/>
        <v>0</v>
      </c>
      <c r="V174" s="50">
        <f t="shared" ca="1" si="123"/>
        <v>0</v>
      </c>
      <c r="W174" s="50">
        <f t="shared" ca="1" si="123"/>
        <v>0</v>
      </c>
      <c r="X174" s="50">
        <f t="shared" ca="1" si="123"/>
        <v>0</v>
      </c>
      <c r="Y174" s="50">
        <f t="shared" ca="1" si="123"/>
        <v>0</v>
      </c>
      <c r="Z174" s="50">
        <f t="shared" ca="1" si="123"/>
        <v>0</v>
      </c>
      <c r="AA174" s="50">
        <f t="shared" ca="1" si="123"/>
        <v>0</v>
      </c>
      <c r="AB174" s="50">
        <f t="shared" ca="1" si="123"/>
        <v>0</v>
      </c>
      <c r="AC174" s="50">
        <f t="shared" ca="1" si="123"/>
        <v>0</v>
      </c>
      <c r="AD174" s="50">
        <f t="shared" ca="1" si="123"/>
        <v>0</v>
      </c>
      <c r="AE174" s="50">
        <f t="shared" ca="1" si="123"/>
        <v>0</v>
      </c>
      <c r="AF174" s="50">
        <f t="shared" ca="1" si="123"/>
        <v>0</v>
      </c>
      <c r="AG174" s="50">
        <f t="shared" ca="1" si="123"/>
        <v>0</v>
      </c>
      <c r="AH174" s="50">
        <f t="shared" ca="1" si="123"/>
        <v>0</v>
      </c>
      <c r="AI174" s="50">
        <f t="shared" ca="1" si="123"/>
        <v>0</v>
      </c>
      <c r="AJ174" s="50">
        <f t="shared" ca="1" si="123"/>
        <v>0</v>
      </c>
      <c r="AK174" s="50">
        <f t="shared" ca="1" si="123"/>
        <v>0</v>
      </c>
      <c r="AL174" s="50">
        <f t="shared" si="123"/>
        <v>0</v>
      </c>
      <c r="AM174" s="50">
        <f t="shared" si="123"/>
        <v>0</v>
      </c>
      <c r="AN174" s="50">
        <f t="shared" si="123"/>
        <v>0</v>
      </c>
      <c r="AO174" s="50">
        <f t="shared" si="123"/>
        <v>0</v>
      </c>
      <c r="AP174" s="50">
        <f t="shared" si="123"/>
        <v>0</v>
      </c>
      <c r="AQ174" s="50">
        <f t="shared" si="123"/>
        <v>0</v>
      </c>
      <c r="AR174" s="50">
        <f t="shared" si="123"/>
        <v>0</v>
      </c>
      <c r="AS174" s="50">
        <f t="shared" si="123"/>
        <v>0</v>
      </c>
      <c r="AT174" s="50">
        <f t="shared" si="123"/>
        <v>0</v>
      </c>
      <c r="AU174" s="50">
        <f t="shared" si="123"/>
        <v>0</v>
      </c>
    </row>
    <row r="175" spans="1:47">
      <c r="A175" s="38" t="str">
        <f>$J$4&amp;"-"</f>
        <v>1Y-</v>
      </c>
      <c r="B175" s="38" t="s">
        <v>289</v>
      </c>
      <c r="C175" s="38" t="str">
        <f>C165</f>
        <v>Cake Storage/Load Out</v>
      </c>
      <c r="D175" s="186">
        <f>LaborEsc</f>
        <v>0.02</v>
      </c>
      <c r="E175" s="325"/>
      <c r="G175" s="36" t="s">
        <v>292</v>
      </c>
      <c r="I175" s="39"/>
      <c r="K175" s="39"/>
      <c r="L175" s="43" t="str">
        <f>"["&amp;CostBaseYr&amp;" $]"</f>
        <v>[2013 $]</v>
      </c>
      <c r="N175" s="70">
        <f ca="1">SUMIFS(OFFSET(Assumptions!$I$90,0,MATCH($A175,Configurations,0)-1,COUNT(Assumptions!$A$90:$A$183),1),Assumptions!$D$90:$D$183,$B175&amp;$C175)</f>
        <v>0</v>
      </c>
      <c r="O175" s="313"/>
      <c r="P175" s="323"/>
      <c r="Q175" s="313"/>
      <c r="R175" s="50">
        <f t="shared" ref="R175:AU175" ca="1" si="124">IF(OR(R$99&lt;InServiceYr,R$99&gt;(InServiceYr+analysis_period-1)),0,IF($P175=0,$N175,$P175)*(1+$D175)^(R$99-CostBaseYr))</f>
        <v>0</v>
      </c>
      <c r="S175" s="50">
        <f t="shared" ca="1" si="124"/>
        <v>0</v>
      </c>
      <c r="T175" s="50">
        <f t="shared" ca="1" si="124"/>
        <v>0</v>
      </c>
      <c r="U175" s="50">
        <f t="shared" ca="1" si="124"/>
        <v>0</v>
      </c>
      <c r="V175" s="50">
        <f t="shared" ca="1" si="124"/>
        <v>0</v>
      </c>
      <c r="W175" s="50">
        <f t="shared" ca="1" si="124"/>
        <v>0</v>
      </c>
      <c r="X175" s="50">
        <f t="shared" ca="1" si="124"/>
        <v>0</v>
      </c>
      <c r="Y175" s="50">
        <f t="shared" ca="1" si="124"/>
        <v>0</v>
      </c>
      <c r="Z175" s="50">
        <f t="shared" ca="1" si="124"/>
        <v>0</v>
      </c>
      <c r="AA175" s="50">
        <f t="shared" ca="1" si="124"/>
        <v>0</v>
      </c>
      <c r="AB175" s="50">
        <f t="shared" ca="1" si="124"/>
        <v>0</v>
      </c>
      <c r="AC175" s="50">
        <f t="shared" ca="1" si="124"/>
        <v>0</v>
      </c>
      <c r="AD175" s="50">
        <f t="shared" ca="1" si="124"/>
        <v>0</v>
      </c>
      <c r="AE175" s="50">
        <f t="shared" ca="1" si="124"/>
        <v>0</v>
      </c>
      <c r="AF175" s="50">
        <f t="shared" ca="1" si="124"/>
        <v>0</v>
      </c>
      <c r="AG175" s="50">
        <f t="shared" ca="1" si="124"/>
        <v>0</v>
      </c>
      <c r="AH175" s="50">
        <f t="shared" ca="1" si="124"/>
        <v>0</v>
      </c>
      <c r="AI175" s="50">
        <f t="shared" ca="1" si="124"/>
        <v>0</v>
      </c>
      <c r="AJ175" s="50">
        <f t="shared" ca="1" si="124"/>
        <v>0</v>
      </c>
      <c r="AK175" s="50">
        <f t="shared" ca="1" si="124"/>
        <v>0</v>
      </c>
      <c r="AL175" s="50">
        <f t="shared" si="124"/>
        <v>0</v>
      </c>
      <c r="AM175" s="50">
        <f t="shared" si="124"/>
        <v>0</v>
      </c>
      <c r="AN175" s="50">
        <f t="shared" si="124"/>
        <v>0</v>
      </c>
      <c r="AO175" s="50">
        <f t="shared" si="124"/>
        <v>0</v>
      </c>
      <c r="AP175" s="50">
        <f t="shared" si="124"/>
        <v>0</v>
      </c>
      <c r="AQ175" s="50">
        <f t="shared" si="124"/>
        <v>0</v>
      </c>
      <c r="AR175" s="50">
        <f t="shared" si="124"/>
        <v>0</v>
      </c>
      <c r="AS175" s="50">
        <f t="shared" si="124"/>
        <v>0</v>
      </c>
      <c r="AT175" s="50">
        <f t="shared" si="124"/>
        <v>0</v>
      </c>
      <c r="AU175" s="50">
        <f t="shared" si="124"/>
        <v>0</v>
      </c>
    </row>
    <row r="176" spans="1:47" s="60" customFormat="1">
      <c r="D176" s="187"/>
      <c r="E176" s="325"/>
      <c r="G176" s="39" t="s">
        <v>305</v>
      </c>
      <c r="I176" s="39"/>
      <c r="K176" s="39"/>
      <c r="L176" s="174"/>
      <c r="N176" s="188"/>
      <c r="O176" s="314"/>
      <c r="P176" s="185"/>
      <c r="Q176" s="314"/>
      <c r="R176" s="185">
        <f ca="1">SUM(R165:R172)-SUM(R174:R175)</f>
        <v>1061.0749661113664</v>
      </c>
      <c r="S176" s="185">
        <f t="shared" ref="S176:AU176" ca="1" si="125">SUM(S165:S172)-SUM(S174:S175)</f>
        <v>1067.6892101035248</v>
      </c>
      <c r="T176" s="185">
        <f t="shared" ca="1" si="125"/>
        <v>1113.7172294884872</v>
      </c>
      <c r="U176" s="185">
        <f t="shared" ca="1" si="125"/>
        <v>1147.1259594647156</v>
      </c>
      <c r="V176" s="185">
        <f t="shared" ca="1" si="125"/>
        <v>1174.8073825565737</v>
      </c>
      <c r="W176" s="185">
        <f t="shared" ca="1" si="125"/>
        <v>1189.837025649</v>
      </c>
      <c r="X176" s="185">
        <f t="shared" ca="1" si="125"/>
        <v>1209.198616791849</v>
      </c>
      <c r="Y176" s="185">
        <f t="shared" ca="1" si="125"/>
        <v>1238.9908079138625</v>
      </c>
      <c r="Z176" s="185">
        <f t="shared" ca="1" si="125"/>
        <v>1268.6530926913447</v>
      </c>
      <c r="AA176" s="185">
        <f t="shared" ca="1" si="125"/>
        <v>1300.3725360243311</v>
      </c>
      <c r="AB176" s="185">
        <f t="shared" ca="1" si="125"/>
        <v>1328.5383490088843</v>
      </c>
      <c r="AC176" s="185">
        <f t="shared" ca="1" si="125"/>
        <v>1354.1211600329689</v>
      </c>
      <c r="AD176" s="185">
        <f t="shared" ca="1" si="125"/>
        <v>1385.401084099379</v>
      </c>
      <c r="AE176" s="185">
        <f t="shared" ca="1" si="125"/>
        <v>1416.9766725411378</v>
      </c>
      <c r="AF176" s="185">
        <f t="shared" ca="1" si="125"/>
        <v>1450.6675664920981</v>
      </c>
      <c r="AG176" s="185">
        <f t="shared" ca="1" si="125"/>
        <v>1488.4093088656859</v>
      </c>
      <c r="AH176" s="185">
        <f t="shared" ca="1" si="125"/>
        <v>1524.886439023755</v>
      </c>
      <c r="AI176" s="185">
        <f t="shared" ca="1" si="125"/>
        <v>1564.4444054173453</v>
      </c>
      <c r="AJ176" s="185">
        <f t="shared" ca="1" si="125"/>
        <v>1606.3222560050128</v>
      </c>
      <c r="AK176" s="185">
        <f t="shared" ca="1" si="125"/>
        <v>1650.0194676352328</v>
      </c>
      <c r="AL176" s="185">
        <f t="shared" si="125"/>
        <v>0</v>
      </c>
      <c r="AM176" s="185">
        <f t="shared" si="125"/>
        <v>0</v>
      </c>
      <c r="AN176" s="185">
        <f t="shared" si="125"/>
        <v>0</v>
      </c>
      <c r="AO176" s="185">
        <f t="shared" si="125"/>
        <v>0</v>
      </c>
      <c r="AP176" s="185">
        <f t="shared" si="125"/>
        <v>0</v>
      </c>
      <c r="AQ176" s="185">
        <f t="shared" si="125"/>
        <v>0</v>
      </c>
      <c r="AR176" s="185">
        <f t="shared" si="125"/>
        <v>0</v>
      </c>
      <c r="AS176" s="185">
        <f t="shared" si="125"/>
        <v>0</v>
      </c>
      <c r="AT176" s="185">
        <f t="shared" si="125"/>
        <v>0</v>
      </c>
      <c r="AU176" s="185">
        <f t="shared" si="125"/>
        <v>0</v>
      </c>
    </row>
    <row r="177" spans="1:47">
      <c r="G177" s="28"/>
      <c r="H177" s="28"/>
      <c r="I177" s="28"/>
      <c r="J177" s="28"/>
      <c r="K177" s="28"/>
      <c r="L177" s="409"/>
      <c r="M177" s="46"/>
      <c r="N177" s="46"/>
      <c r="O177" s="315"/>
      <c r="P177" s="46"/>
      <c r="Q177" s="315"/>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row>
    <row r="178" spans="1:47">
      <c r="E178" s="327"/>
      <c r="F178" s="28"/>
      <c r="G178" s="324" t="str">
        <f>C180&amp;" Capital Costs"</f>
        <v>Cake Storage Capital Costs</v>
      </c>
      <c r="H178" s="324"/>
      <c r="I178" s="324"/>
      <c r="J178" s="324"/>
      <c r="K178" s="324"/>
      <c r="L178" s="405" t="s">
        <v>79</v>
      </c>
      <c r="M178" s="256"/>
      <c r="N178" s="325" t="s">
        <v>490</v>
      </c>
      <c r="O178" s="311"/>
      <c r="P178" s="325" t="s">
        <v>491</v>
      </c>
      <c r="Q178" s="310"/>
      <c r="R178" s="325">
        <f>R$8</f>
        <v>2014</v>
      </c>
      <c r="S178" s="325">
        <f t="shared" ref="S178:AU178" si="126">S$8</f>
        <v>2015</v>
      </c>
      <c r="T178" s="325">
        <f t="shared" si="126"/>
        <v>2016</v>
      </c>
      <c r="U178" s="325">
        <f t="shared" si="126"/>
        <v>2017</v>
      </c>
      <c r="V178" s="325">
        <f t="shared" si="126"/>
        <v>2018</v>
      </c>
      <c r="W178" s="325">
        <f t="shared" si="126"/>
        <v>2019</v>
      </c>
      <c r="X178" s="325">
        <f t="shared" si="126"/>
        <v>2020</v>
      </c>
      <c r="Y178" s="325">
        <f t="shared" si="126"/>
        <v>2021</v>
      </c>
      <c r="Z178" s="325">
        <f t="shared" si="126"/>
        <v>2022</v>
      </c>
      <c r="AA178" s="325">
        <f t="shared" si="126"/>
        <v>2023</v>
      </c>
      <c r="AB178" s="325">
        <f t="shared" si="126"/>
        <v>2024</v>
      </c>
      <c r="AC178" s="325">
        <f t="shared" si="126"/>
        <v>2025</v>
      </c>
      <c r="AD178" s="325">
        <f t="shared" si="126"/>
        <v>2026</v>
      </c>
      <c r="AE178" s="325">
        <f t="shared" si="126"/>
        <v>2027</v>
      </c>
      <c r="AF178" s="325">
        <f t="shared" si="126"/>
        <v>2028</v>
      </c>
      <c r="AG178" s="325">
        <f t="shared" si="126"/>
        <v>2029</v>
      </c>
      <c r="AH178" s="325">
        <f t="shared" si="126"/>
        <v>2030</v>
      </c>
      <c r="AI178" s="325">
        <f t="shared" si="126"/>
        <v>2031</v>
      </c>
      <c r="AJ178" s="325">
        <f t="shared" si="126"/>
        <v>2032</v>
      </c>
      <c r="AK178" s="325">
        <f t="shared" si="126"/>
        <v>2033</v>
      </c>
      <c r="AL178" s="325">
        <f t="shared" si="126"/>
        <v>2034</v>
      </c>
      <c r="AM178" s="325">
        <f t="shared" si="126"/>
        <v>2035</v>
      </c>
      <c r="AN178" s="325">
        <f t="shared" si="126"/>
        <v>2036</v>
      </c>
      <c r="AO178" s="325">
        <f t="shared" si="126"/>
        <v>2037</v>
      </c>
      <c r="AP178" s="325">
        <f t="shared" si="126"/>
        <v>2038</v>
      </c>
      <c r="AQ178" s="325">
        <f t="shared" si="126"/>
        <v>2039</v>
      </c>
      <c r="AR178" s="325">
        <f t="shared" si="126"/>
        <v>2040</v>
      </c>
      <c r="AS178" s="325">
        <f t="shared" si="126"/>
        <v>2041</v>
      </c>
      <c r="AT178" s="325">
        <f t="shared" si="126"/>
        <v>2042</v>
      </c>
      <c r="AU178" s="325">
        <f t="shared" si="126"/>
        <v>2043</v>
      </c>
    </row>
    <row r="179" spans="1:47">
      <c r="E179" s="325"/>
      <c r="G179" s="39"/>
      <c r="H179" s="39"/>
      <c r="I179" s="39"/>
      <c r="J179" s="39"/>
      <c r="K179" s="39"/>
    </row>
    <row r="180" spans="1:47">
      <c r="A180" s="38" t="str">
        <f>$J$4&amp;"-"</f>
        <v>1Y-</v>
      </c>
      <c r="B180" s="38" t="s">
        <v>306</v>
      </c>
      <c r="C180" s="38" t="s">
        <v>317</v>
      </c>
      <c r="D180" s="186">
        <f>CapExEsc</f>
        <v>0.03</v>
      </c>
      <c r="E180" s="325"/>
      <c r="G180" s="36" t="s">
        <v>8</v>
      </c>
      <c r="H180" s="39"/>
      <c r="I180" s="39"/>
      <c r="J180" s="70"/>
      <c r="K180" s="39"/>
      <c r="L180" s="43" t="str">
        <f>"["&amp;CostBaseYr&amp;" $]"</f>
        <v>[2013 $]</v>
      </c>
      <c r="N180" s="52">
        <f ca="1">SUMIFS(OFFSET(Assumptions!$I$65,0,MATCH($A180,Configurations,0)-1,COUNT(Assumptions!$A$65:$A$84),1),Assumptions!$E$65:$E$84,$C180)</f>
        <v>1338000</v>
      </c>
      <c r="O180" s="52"/>
      <c r="P180" s="322"/>
      <c r="Q180" s="52"/>
      <c r="R180" s="52">
        <f t="shared" ref="R180:AU180" ca="1" si="127">R181*IF($P180=0,$N180,$P180)*(1+$D180)^(R$8-CostBaseYr)</f>
        <v>1378140</v>
      </c>
      <c r="S180" s="52">
        <f t="shared" ca="1" si="127"/>
        <v>0</v>
      </c>
      <c r="T180" s="52">
        <f t="shared" ca="1" si="127"/>
        <v>0</v>
      </c>
      <c r="U180" s="52">
        <f t="shared" ca="1" si="127"/>
        <v>0</v>
      </c>
      <c r="V180" s="52">
        <f t="shared" ca="1" si="127"/>
        <v>0</v>
      </c>
      <c r="W180" s="52">
        <f t="shared" ca="1" si="127"/>
        <v>0</v>
      </c>
      <c r="X180" s="52">
        <f t="shared" ca="1" si="127"/>
        <v>0</v>
      </c>
      <c r="Y180" s="52">
        <f t="shared" ca="1" si="127"/>
        <v>0</v>
      </c>
      <c r="Z180" s="52">
        <f t="shared" ca="1" si="127"/>
        <v>0</v>
      </c>
      <c r="AA180" s="52">
        <f t="shared" ca="1" si="127"/>
        <v>0</v>
      </c>
      <c r="AB180" s="52">
        <f t="shared" ca="1" si="127"/>
        <v>0</v>
      </c>
      <c r="AC180" s="52">
        <f t="shared" ca="1" si="127"/>
        <v>0</v>
      </c>
      <c r="AD180" s="52">
        <f t="shared" ca="1" si="127"/>
        <v>0</v>
      </c>
      <c r="AE180" s="52">
        <f t="shared" ca="1" si="127"/>
        <v>0</v>
      </c>
      <c r="AF180" s="52">
        <f t="shared" ca="1" si="127"/>
        <v>0</v>
      </c>
      <c r="AG180" s="52">
        <f t="shared" ca="1" si="127"/>
        <v>0</v>
      </c>
      <c r="AH180" s="52">
        <f t="shared" ca="1" si="127"/>
        <v>0</v>
      </c>
      <c r="AI180" s="52">
        <f t="shared" ca="1" si="127"/>
        <v>0</v>
      </c>
      <c r="AJ180" s="52">
        <f t="shared" ca="1" si="127"/>
        <v>0</v>
      </c>
      <c r="AK180" s="52">
        <f t="shared" ca="1" si="127"/>
        <v>0</v>
      </c>
      <c r="AL180" s="52">
        <f t="shared" ca="1" si="127"/>
        <v>0</v>
      </c>
      <c r="AM180" s="52">
        <f t="shared" ca="1" si="127"/>
        <v>0</v>
      </c>
      <c r="AN180" s="52">
        <f t="shared" ca="1" si="127"/>
        <v>0</v>
      </c>
      <c r="AO180" s="52">
        <f t="shared" ca="1" si="127"/>
        <v>0</v>
      </c>
      <c r="AP180" s="52">
        <f t="shared" ca="1" si="127"/>
        <v>0</v>
      </c>
      <c r="AQ180" s="52">
        <f t="shared" ca="1" si="127"/>
        <v>0</v>
      </c>
      <c r="AR180" s="52">
        <f t="shared" ca="1" si="127"/>
        <v>0</v>
      </c>
      <c r="AS180" s="52">
        <f t="shared" ca="1" si="127"/>
        <v>0</v>
      </c>
      <c r="AT180" s="52">
        <f t="shared" ca="1" si="127"/>
        <v>0</v>
      </c>
      <c r="AU180" s="52">
        <f t="shared" ca="1" si="127"/>
        <v>0</v>
      </c>
    </row>
    <row r="181" spans="1:47">
      <c r="E181" s="325"/>
      <c r="G181" s="36" t="s">
        <v>10</v>
      </c>
      <c r="H181" s="39"/>
      <c r="I181" s="39"/>
      <c r="J181" s="39"/>
      <c r="K181" s="39"/>
      <c r="L181" s="43"/>
      <c r="R181" s="54">
        <f>Assumptions!M$60</f>
        <v>1</v>
      </c>
      <c r="S181" s="54">
        <f>Assumptions!N$60</f>
        <v>0</v>
      </c>
      <c r="T181" s="54">
        <f>Assumptions!O$60</f>
        <v>0</v>
      </c>
      <c r="U181" s="54">
        <f>Assumptions!P$60</f>
        <v>0</v>
      </c>
      <c r="V181" s="54">
        <f>Assumptions!Q$60</f>
        <v>0</v>
      </c>
      <c r="W181" s="54">
        <f>Assumptions!R$60</f>
        <v>0</v>
      </c>
      <c r="X181" s="54">
        <f>Assumptions!S$60</f>
        <v>0</v>
      </c>
      <c r="Y181" s="54">
        <f>Assumptions!T$60</f>
        <v>0</v>
      </c>
      <c r="Z181" s="54">
        <f>Assumptions!U$60</f>
        <v>0</v>
      </c>
      <c r="AA181" s="54">
        <f>Assumptions!V$60</f>
        <v>0</v>
      </c>
      <c r="AB181" s="54">
        <f>Assumptions!W$60</f>
        <v>0</v>
      </c>
      <c r="AC181" s="54">
        <f>Assumptions!X$60</f>
        <v>0</v>
      </c>
      <c r="AD181" s="54">
        <f>Assumptions!Y$60</f>
        <v>0</v>
      </c>
      <c r="AE181" s="54">
        <f>Assumptions!Z$60</f>
        <v>0</v>
      </c>
      <c r="AF181" s="54">
        <f>Assumptions!AA$60</f>
        <v>0</v>
      </c>
      <c r="AG181" s="54">
        <f>Assumptions!AB$60</f>
        <v>0</v>
      </c>
      <c r="AH181" s="54">
        <f>Assumptions!AC$60</f>
        <v>0</v>
      </c>
      <c r="AI181" s="54">
        <f>Assumptions!AD$60</f>
        <v>0</v>
      </c>
      <c r="AJ181" s="54">
        <f>Assumptions!AE$60</f>
        <v>0</v>
      </c>
      <c r="AK181" s="54">
        <f>Assumptions!AF$60</f>
        <v>0</v>
      </c>
      <c r="AL181" s="54">
        <f>Assumptions!AG$60</f>
        <v>0</v>
      </c>
      <c r="AM181" s="54">
        <f>Assumptions!AH$60</f>
        <v>0</v>
      </c>
      <c r="AN181" s="54">
        <f>Assumptions!AI$60</f>
        <v>0</v>
      </c>
      <c r="AO181" s="54">
        <f>Assumptions!AJ$60</f>
        <v>0</v>
      </c>
      <c r="AP181" s="54">
        <f>Assumptions!AK$60</f>
        <v>0</v>
      </c>
      <c r="AQ181" s="54">
        <f>Assumptions!AL$60</f>
        <v>0</v>
      </c>
      <c r="AR181" s="54">
        <f>Assumptions!AM$60</f>
        <v>0</v>
      </c>
      <c r="AS181" s="54">
        <f>Assumptions!AN$60</f>
        <v>0</v>
      </c>
      <c r="AT181" s="54">
        <f>Assumptions!AO$60</f>
        <v>0</v>
      </c>
      <c r="AU181" s="54">
        <f>Assumptions!AP$60</f>
        <v>0</v>
      </c>
    </row>
    <row r="182" spans="1:47">
      <c r="E182" s="326"/>
      <c r="G182" s="39"/>
      <c r="H182" s="39"/>
      <c r="I182" s="39"/>
      <c r="J182" s="39"/>
      <c r="K182" s="39"/>
    </row>
    <row r="183" spans="1:47">
      <c r="E183" s="327"/>
      <c r="F183" s="28"/>
      <c r="G183" s="324" t="str">
        <f>C180&amp;" O&amp;M"</f>
        <v>Cake Storage O&amp;M</v>
      </c>
      <c r="H183" s="324"/>
      <c r="I183" s="324"/>
      <c r="J183" s="324"/>
      <c r="K183" s="324"/>
      <c r="L183" s="405" t="s">
        <v>79</v>
      </c>
      <c r="M183" s="256"/>
      <c r="N183" s="325" t="s">
        <v>490</v>
      </c>
      <c r="O183" s="311"/>
      <c r="P183" s="325" t="s">
        <v>491</v>
      </c>
      <c r="Q183" s="310"/>
      <c r="R183" s="325">
        <f>R$8</f>
        <v>2014</v>
      </c>
      <c r="S183" s="325">
        <f t="shared" ref="S183:AU183" si="128">S$8</f>
        <v>2015</v>
      </c>
      <c r="T183" s="325">
        <f t="shared" si="128"/>
        <v>2016</v>
      </c>
      <c r="U183" s="325">
        <f t="shared" si="128"/>
        <v>2017</v>
      </c>
      <c r="V183" s="325">
        <f t="shared" si="128"/>
        <v>2018</v>
      </c>
      <c r="W183" s="325">
        <f t="shared" si="128"/>
        <v>2019</v>
      </c>
      <c r="X183" s="325">
        <f t="shared" si="128"/>
        <v>2020</v>
      </c>
      <c r="Y183" s="325">
        <f t="shared" si="128"/>
        <v>2021</v>
      </c>
      <c r="Z183" s="325">
        <f t="shared" si="128"/>
        <v>2022</v>
      </c>
      <c r="AA183" s="325">
        <f t="shared" si="128"/>
        <v>2023</v>
      </c>
      <c r="AB183" s="325">
        <f t="shared" si="128"/>
        <v>2024</v>
      </c>
      <c r="AC183" s="325">
        <f t="shared" si="128"/>
        <v>2025</v>
      </c>
      <c r="AD183" s="325">
        <f t="shared" si="128"/>
        <v>2026</v>
      </c>
      <c r="AE183" s="325">
        <f t="shared" si="128"/>
        <v>2027</v>
      </c>
      <c r="AF183" s="325">
        <f t="shared" si="128"/>
        <v>2028</v>
      </c>
      <c r="AG183" s="325">
        <f t="shared" si="128"/>
        <v>2029</v>
      </c>
      <c r="AH183" s="325">
        <f t="shared" si="128"/>
        <v>2030</v>
      </c>
      <c r="AI183" s="325">
        <f t="shared" si="128"/>
        <v>2031</v>
      </c>
      <c r="AJ183" s="325">
        <f t="shared" si="128"/>
        <v>2032</v>
      </c>
      <c r="AK183" s="325">
        <f t="shared" si="128"/>
        <v>2033</v>
      </c>
      <c r="AL183" s="325">
        <f t="shared" si="128"/>
        <v>2034</v>
      </c>
      <c r="AM183" s="325">
        <f t="shared" si="128"/>
        <v>2035</v>
      </c>
      <c r="AN183" s="325">
        <f t="shared" si="128"/>
        <v>2036</v>
      </c>
      <c r="AO183" s="325">
        <f t="shared" si="128"/>
        <v>2037</v>
      </c>
      <c r="AP183" s="325">
        <f t="shared" si="128"/>
        <v>2038</v>
      </c>
      <c r="AQ183" s="325">
        <f t="shared" si="128"/>
        <v>2039</v>
      </c>
      <c r="AR183" s="325">
        <f t="shared" si="128"/>
        <v>2040</v>
      </c>
      <c r="AS183" s="325">
        <f t="shared" si="128"/>
        <v>2041</v>
      </c>
      <c r="AT183" s="325">
        <f t="shared" si="128"/>
        <v>2042</v>
      </c>
      <c r="AU183" s="325">
        <f t="shared" si="128"/>
        <v>2043</v>
      </c>
    </row>
    <row r="184" spans="1:47">
      <c r="E184" s="325"/>
      <c r="G184" s="39"/>
      <c r="H184" s="39"/>
      <c r="I184" s="39"/>
      <c r="J184" s="39"/>
      <c r="K184" s="39"/>
    </row>
    <row r="185" spans="1:47">
      <c r="E185" s="325"/>
      <c r="G185" s="39" t="s">
        <v>23</v>
      </c>
      <c r="H185" s="39"/>
      <c r="I185" s="39"/>
      <c r="J185" s="39"/>
      <c r="K185" s="39"/>
    </row>
    <row r="186" spans="1:47">
      <c r="A186" s="38" t="str">
        <f t="shared" ref="A186:A193" si="129">$J$4&amp;"-"</f>
        <v>1Y-</v>
      </c>
      <c r="B186" s="38" t="s">
        <v>262</v>
      </c>
      <c r="C186" s="38" t="str">
        <f>C180</f>
        <v>Cake Storage</v>
      </c>
      <c r="D186" s="186">
        <f>LaborEsc</f>
        <v>0.02</v>
      </c>
      <c r="E186" s="325"/>
      <c r="G186" s="36" t="s">
        <v>125</v>
      </c>
      <c r="I186" s="39"/>
      <c r="K186" s="39"/>
      <c r="L186" s="43" t="s">
        <v>266</v>
      </c>
      <c r="N186" s="70">
        <f ca="1">SUMIFS(OFFSET(Assumptions!$I$90,0,MATCH($A186,Configurations,0)-1,COUNT(Assumptions!$A$90:$A$183),1),Assumptions!$D$90:$D$183,$B186&amp;$C186)</f>
        <v>1277.5</v>
      </c>
      <c r="O186" s="313"/>
      <c r="P186" s="323"/>
      <c r="Q186" s="313"/>
      <c r="R186" s="50">
        <f t="shared" ref="R186:AU186" ca="1" si="130">IF(OR(R$99&lt;InServiceYr,R$99&gt;(InServiceYr+analysis_period-1)),0,IF($P186=0,$N186,$P186)*LaborCost*(1+$D186)^(R$99-CostBaseYr))</f>
        <v>45606.75</v>
      </c>
      <c r="S186" s="50">
        <f t="shared" ca="1" si="130"/>
        <v>46518.885000000002</v>
      </c>
      <c r="T186" s="50">
        <f t="shared" ca="1" si="130"/>
        <v>47449.262699999999</v>
      </c>
      <c r="U186" s="50">
        <f t="shared" ca="1" si="130"/>
        <v>48398.247953999999</v>
      </c>
      <c r="V186" s="50">
        <f t="shared" ca="1" si="130"/>
        <v>49366.212913080002</v>
      </c>
      <c r="W186" s="50">
        <f t="shared" ca="1" si="130"/>
        <v>50353.537171341603</v>
      </c>
      <c r="X186" s="50">
        <f t="shared" ca="1" si="130"/>
        <v>51360.607914768421</v>
      </c>
      <c r="Y186" s="50">
        <f t="shared" ca="1" si="130"/>
        <v>52387.820073063798</v>
      </c>
      <c r="Z186" s="50">
        <f t="shared" ca="1" si="130"/>
        <v>53435.576474525071</v>
      </c>
      <c r="AA186" s="50">
        <f t="shared" ca="1" si="130"/>
        <v>54504.28800401558</v>
      </c>
      <c r="AB186" s="50">
        <f t="shared" ca="1" si="130"/>
        <v>55594.373764095879</v>
      </c>
      <c r="AC186" s="50">
        <f t="shared" ca="1" si="130"/>
        <v>56706.261239377804</v>
      </c>
      <c r="AD186" s="50">
        <f t="shared" ca="1" si="130"/>
        <v>57840.386464165356</v>
      </c>
      <c r="AE186" s="50">
        <f t="shared" ca="1" si="130"/>
        <v>58997.194193448668</v>
      </c>
      <c r="AF186" s="50">
        <f t="shared" ca="1" si="130"/>
        <v>60177.138077317628</v>
      </c>
      <c r="AG186" s="50">
        <f t="shared" ca="1" si="130"/>
        <v>61380.680838863991</v>
      </c>
      <c r="AH186" s="50">
        <f t="shared" ca="1" si="130"/>
        <v>62608.294455641277</v>
      </c>
      <c r="AI186" s="50">
        <f t="shared" ca="1" si="130"/>
        <v>63860.460344754094</v>
      </c>
      <c r="AJ186" s="50">
        <f t="shared" ca="1" si="130"/>
        <v>65137.669551649175</v>
      </c>
      <c r="AK186" s="50">
        <f t="shared" ca="1" si="130"/>
        <v>66440.422942682169</v>
      </c>
      <c r="AL186" s="50">
        <f t="shared" si="130"/>
        <v>0</v>
      </c>
      <c r="AM186" s="50">
        <f t="shared" si="130"/>
        <v>0</v>
      </c>
      <c r="AN186" s="50">
        <f t="shared" si="130"/>
        <v>0</v>
      </c>
      <c r="AO186" s="50">
        <f t="shared" si="130"/>
        <v>0</v>
      </c>
      <c r="AP186" s="50">
        <f t="shared" si="130"/>
        <v>0</v>
      </c>
      <c r="AQ186" s="50">
        <f t="shared" si="130"/>
        <v>0</v>
      </c>
      <c r="AR186" s="50">
        <f t="shared" si="130"/>
        <v>0</v>
      </c>
      <c r="AS186" s="50">
        <f t="shared" si="130"/>
        <v>0</v>
      </c>
      <c r="AT186" s="50">
        <f t="shared" si="130"/>
        <v>0</v>
      </c>
      <c r="AU186" s="50">
        <f t="shared" si="130"/>
        <v>0</v>
      </c>
    </row>
    <row r="187" spans="1:47">
      <c r="A187" s="38" t="str">
        <f t="shared" si="129"/>
        <v>1Y-</v>
      </c>
      <c r="B187" s="38" t="s">
        <v>270</v>
      </c>
      <c r="C187" s="38" t="str">
        <f>C186</f>
        <v>Cake Storage</v>
      </c>
      <c r="D187" s="186">
        <f>OMEsc</f>
        <v>0.02</v>
      </c>
      <c r="E187" s="325"/>
      <c r="G187" s="36" t="s">
        <v>126</v>
      </c>
      <c r="I187" s="39"/>
      <c r="K187" s="39"/>
      <c r="L187" s="43" t="str">
        <f>"["&amp;CostBaseYr&amp;" $]"</f>
        <v>[2013 $]</v>
      </c>
      <c r="N187" s="70">
        <f ca="1">SUMIFS(OFFSET(Assumptions!$I$90,0,MATCH($A187,Configurations,0)-1,COUNT(Assumptions!$A$90:$A$183),1),Assumptions!$D$90:$D$183,$B187&amp;$C187)</f>
        <v>27000</v>
      </c>
      <c r="O187" s="313"/>
      <c r="P187" s="323"/>
      <c r="Q187" s="313"/>
      <c r="R187" s="50">
        <f t="shared" ref="R187:AG189" ca="1" si="131">IF(OR(R$99&lt;InServiceYr,R$99&gt;(InServiceYr+analysis_period-1)),0,IF($P187=0,$N187,$P187)*(1+$D187)^(R$99-CostBaseYr))</f>
        <v>27540</v>
      </c>
      <c r="S187" s="50">
        <f t="shared" ca="1" si="131"/>
        <v>28090.799999999999</v>
      </c>
      <c r="T187" s="50">
        <f t="shared" ca="1" si="131"/>
        <v>28652.615999999998</v>
      </c>
      <c r="U187" s="50">
        <f t="shared" ca="1" si="131"/>
        <v>29225.668320000001</v>
      </c>
      <c r="V187" s="50">
        <f t="shared" ca="1" si="131"/>
        <v>29810.181686399999</v>
      </c>
      <c r="W187" s="50">
        <f t="shared" ca="1" si="131"/>
        <v>30406.385320128004</v>
      </c>
      <c r="X187" s="50">
        <f t="shared" ca="1" si="131"/>
        <v>31014.513026530556</v>
      </c>
      <c r="Y187" s="50">
        <f t="shared" ca="1" si="131"/>
        <v>31634.803287061168</v>
      </c>
      <c r="Z187" s="50">
        <f t="shared" ca="1" si="131"/>
        <v>32267.499352802392</v>
      </c>
      <c r="AA187" s="50">
        <f t="shared" ca="1" si="131"/>
        <v>32912.84933985844</v>
      </c>
      <c r="AB187" s="50">
        <f t="shared" ca="1" si="131"/>
        <v>33571.106326655601</v>
      </c>
      <c r="AC187" s="50">
        <f t="shared" ca="1" si="131"/>
        <v>34242.528453188723</v>
      </c>
      <c r="AD187" s="50">
        <f t="shared" ca="1" si="131"/>
        <v>34927.379022252491</v>
      </c>
      <c r="AE187" s="50">
        <f t="shared" ca="1" si="131"/>
        <v>35625.926602697546</v>
      </c>
      <c r="AF187" s="50">
        <f t="shared" ca="1" si="131"/>
        <v>36338.445134751491</v>
      </c>
      <c r="AG187" s="50">
        <f t="shared" ca="1" si="131"/>
        <v>37065.214037446523</v>
      </c>
      <c r="AH187" s="50">
        <f t="shared" ref="S187:AU189" ca="1" si="132">IF(OR(AH$99&lt;InServiceYr,AH$99&gt;(InServiceYr+analysis_period-1)),0,IF($P187=0,$N187,$P187)*(1+$D187)^(AH$99-CostBaseYr))</f>
        <v>37806.518318195456</v>
      </c>
      <c r="AI187" s="50">
        <f t="shared" ca="1" si="132"/>
        <v>38562.648684559361</v>
      </c>
      <c r="AJ187" s="50">
        <f t="shared" ca="1" si="132"/>
        <v>39333.90165825055</v>
      </c>
      <c r="AK187" s="50">
        <f t="shared" ca="1" si="132"/>
        <v>40120.579691415565</v>
      </c>
      <c r="AL187" s="50">
        <f t="shared" si="132"/>
        <v>0</v>
      </c>
      <c r="AM187" s="50">
        <f t="shared" si="132"/>
        <v>0</v>
      </c>
      <c r="AN187" s="50">
        <f t="shared" si="132"/>
        <v>0</v>
      </c>
      <c r="AO187" s="50">
        <f t="shared" si="132"/>
        <v>0</v>
      </c>
      <c r="AP187" s="50">
        <f t="shared" si="132"/>
        <v>0</v>
      </c>
      <c r="AQ187" s="50">
        <f t="shared" si="132"/>
        <v>0</v>
      </c>
      <c r="AR187" s="50">
        <f t="shared" si="132"/>
        <v>0</v>
      </c>
      <c r="AS187" s="50">
        <f t="shared" si="132"/>
        <v>0</v>
      </c>
      <c r="AT187" s="50">
        <f t="shared" si="132"/>
        <v>0</v>
      </c>
      <c r="AU187" s="50">
        <f t="shared" si="132"/>
        <v>0</v>
      </c>
    </row>
    <row r="188" spans="1:47">
      <c r="A188" s="38" t="str">
        <f t="shared" si="129"/>
        <v>1Y-</v>
      </c>
      <c r="B188" s="38" t="s">
        <v>263</v>
      </c>
      <c r="C188" s="38" t="str">
        <f t="shared" ref="C188:C192" si="133">C187</f>
        <v>Cake Storage</v>
      </c>
      <c r="D188" s="186">
        <f>OMEsc</f>
        <v>0.02</v>
      </c>
      <c r="E188" s="325"/>
      <c r="G188" s="36" t="s">
        <v>127</v>
      </c>
      <c r="I188" s="39"/>
      <c r="K188" s="39"/>
      <c r="L188" s="43" t="str">
        <f>"["&amp;CostBaseYr&amp;" $]"</f>
        <v>[2013 $]</v>
      </c>
      <c r="N188" s="70">
        <f ca="1">SUMIFS(OFFSET(Assumptions!$I$90,0,MATCH($A188,Configurations,0)-1,COUNT(Assumptions!$A$90:$A$183),1),Assumptions!$D$90:$D$183,$B188&amp;$C188)</f>
        <v>0</v>
      </c>
      <c r="O188" s="313"/>
      <c r="P188" s="323"/>
      <c r="Q188" s="313"/>
      <c r="R188" s="50">
        <f t="shared" ca="1" si="131"/>
        <v>0</v>
      </c>
      <c r="S188" s="50">
        <f t="shared" ca="1" si="132"/>
        <v>0</v>
      </c>
      <c r="T188" s="50">
        <f t="shared" ca="1" si="132"/>
        <v>0</v>
      </c>
      <c r="U188" s="50">
        <f t="shared" ca="1" si="132"/>
        <v>0</v>
      </c>
      <c r="V188" s="50">
        <f t="shared" ca="1" si="132"/>
        <v>0</v>
      </c>
      <c r="W188" s="50">
        <f t="shared" ca="1" si="132"/>
        <v>0</v>
      </c>
      <c r="X188" s="50">
        <f t="shared" ca="1" si="132"/>
        <v>0</v>
      </c>
      <c r="Y188" s="50">
        <f t="shared" ca="1" si="132"/>
        <v>0</v>
      </c>
      <c r="Z188" s="50">
        <f t="shared" ca="1" si="132"/>
        <v>0</v>
      </c>
      <c r="AA188" s="50">
        <f t="shared" ca="1" si="132"/>
        <v>0</v>
      </c>
      <c r="AB188" s="50">
        <f t="shared" ca="1" si="132"/>
        <v>0</v>
      </c>
      <c r="AC188" s="50">
        <f t="shared" ca="1" si="132"/>
        <v>0</v>
      </c>
      <c r="AD188" s="50">
        <f t="shared" ca="1" si="132"/>
        <v>0</v>
      </c>
      <c r="AE188" s="50">
        <f t="shared" ca="1" si="132"/>
        <v>0</v>
      </c>
      <c r="AF188" s="50">
        <f t="shared" ca="1" si="132"/>
        <v>0</v>
      </c>
      <c r="AG188" s="50">
        <f t="shared" ca="1" si="132"/>
        <v>0</v>
      </c>
      <c r="AH188" s="50">
        <f t="shared" ca="1" si="132"/>
        <v>0</v>
      </c>
      <c r="AI188" s="50">
        <f t="shared" ca="1" si="132"/>
        <v>0</v>
      </c>
      <c r="AJ188" s="50">
        <f t="shared" ca="1" si="132"/>
        <v>0</v>
      </c>
      <c r="AK188" s="50">
        <f t="shared" ca="1" si="132"/>
        <v>0</v>
      </c>
      <c r="AL188" s="50">
        <f t="shared" si="132"/>
        <v>0</v>
      </c>
      <c r="AM188" s="50">
        <f t="shared" si="132"/>
        <v>0</v>
      </c>
      <c r="AN188" s="50">
        <f t="shared" si="132"/>
        <v>0</v>
      </c>
      <c r="AO188" s="50">
        <f t="shared" si="132"/>
        <v>0</v>
      </c>
      <c r="AP188" s="50">
        <f t="shared" si="132"/>
        <v>0</v>
      </c>
      <c r="AQ188" s="50">
        <f t="shared" si="132"/>
        <v>0</v>
      </c>
      <c r="AR188" s="50">
        <f t="shared" si="132"/>
        <v>0</v>
      </c>
      <c r="AS188" s="50">
        <f t="shared" si="132"/>
        <v>0</v>
      </c>
      <c r="AT188" s="50">
        <f t="shared" si="132"/>
        <v>0</v>
      </c>
      <c r="AU188" s="50">
        <f t="shared" si="132"/>
        <v>0</v>
      </c>
    </row>
    <row r="189" spans="1:47">
      <c r="A189" s="38" t="str">
        <f t="shared" si="129"/>
        <v>1Y-</v>
      </c>
      <c r="B189" s="38" t="s">
        <v>277</v>
      </c>
      <c r="C189" s="38" t="str">
        <f t="shared" si="133"/>
        <v>Cake Storage</v>
      </c>
      <c r="D189" s="186">
        <f>OMEsc</f>
        <v>0.02</v>
      </c>
      <c r="E189" s="325"/>
      <c r="G189" s="36" t="s">
        <v>276</v>
      </c>
      <c r="I189" s="39"/>
      <c r="K189" s="39"/>
      <c r="L189" s="43" t="str">
        <f>"["&amp;CostBaseYr&amp;" $]"</f>
        <v>[2013 $]</v>
      </c>
      <c r="N189" s="70">
        <f ca="1">SUMIFS(OFFSET(Assumptions!$I$90,0,MATCH($A189,Configurations,0)-1,COUNT(Assumptions!$A$90:$A$183),1),Assumptions!$D$90:$D$183,$B189&amp;$C189)</f>
        <v>0</v>
      </c>
      <c r="O189" s="313"/>
      <c r="P189" s="323"/>
      <c r="Q189" s="313"/>
      <c r="R189" s="50">
        <f t="shared" ca="1" si="131"/>
        <v>0</v>
      </c>
      <c r="S189" s="50">
        <f t="shared" ca="1" si="132"/>
        <v>0</v>
      </c>
      <c r="T189" s="50">
        <f t="shared" ca="1" si="132"/>
        <v>0</v>
      </c>
      <c r="U189" s="50">
        <f t="shared" ca="1" si="132"/>
        <v>0</v>
      </c>
      <c r="V189" s="50">
        <f t="shared" ca="1" si="132"/>
        <v>0</v>
      </c>
      <c r="W189" s="50">
        <f t="shared" ca="1" si="132"/>
        <v>0</v>
      </c>
      <c r="X189" s="50">
        <f t="shared" ca="1" si="132"/>
        <v>0</v>
      </c>
      <c r="Y189" s="50">
        <f t="shared" ca="1" si="132"/>
        <v>0</v>
      </c>
      <c r="Z189" s="50">
        <f t="shared" ca="1" si="132"/>
        <v>0</v>
      </c>
      <c r="AA189" s="50">
        <f t="shared" ca="1" si="132"/>
        <v>0</v>
      </c>
      <c r="AB189" s="50">
        <f t="shared" ca="1" si="132"/>
        <v>0</v>
      </c>
      <c r="AC189" s="50">
        <f t="shared" ca="1" si="132"/>
        <v>0</v>
      </c>
      <c r="AD189" s="50">
        <f t="shared" ca="1" si="132"/>
        <v>0</v>
      </c>
      <c r="AE189" s="50">
        <f t="shared" ca="1" si="132"/>
        <v>0</v>
      </c>
      <c r="AF189" s="50">
        <f t="shared" ca="1" si="132"/>
        <v>0</v>
      </c>
      <c r="AG189" s="50">
        <f t="shared" ca="1" si="132"/>
        <v>0</v>
      </c>
      <c r="AH189" s="50">
        <f t="shared" ca="1" si="132"/>
        <v>0</v>
      </c>
      <c r="AI189" s="50">
        <f t="shared" ca="1" si="132"/>
        <v>0</v>
      </c>
      <c r="AJ189" s="50">
        <f t="shared" ca="1" si="132"/>
        <v>0</v>
      </c>
      <c r="AK189" s="50">
        <f t="shared" ca="1" si="132"/>
        <v>0</v>
      </c>
      <c r="AL189" s="50">
        <f t="shared" si="132"/>
        <v>0</v>
      </c>
      <c r="AM189" s="50">
        <f t="shared" si="132"/>
        <v>0</v>
      </c>
      <c r="AN189" s="50">
        <f t="shared" si="132"/>
        <v>0</v>
      </c>
      <c r="AO189" s="50">
        <f t="shared" si="132"/>
        <v>0</v>
      </c>
      <c r="AP189" s="50">
        <f t="shared" si="132"/>
        <v>0</v>
      </c>
      <c r="AQ189" s="50">
        <f t="shared" si="132"/>
        <v>0</v>
      </c>
      <c r="AR189" s="50">
        <f t="shared" si="132"/>
        <v>0</v>
      </c>
      <c r="AS189" s="50">
        <f t="shared" si="132"/>
        <v>0</v>
      </c>
      <c r="AT189" s="50">
        <f t="shared" si="132"/>
        <v>0</v>
      </c>
      <c r="AU189" s="50">
        <f t="shared" si="132"/>
        <v>0</v>
      </c>
    </row>
    <row r="190" spans="1:47">
      <c r="A190" s="38" t="str">
        <f t="shared" si="129"/>
        <v>1Y-</v>
      </c>
      <c r="B190" s="38" t="s">
        <v>274</v>
      </c>
      <c r="C190" s="38" t="str">
        <f t="shared" si="133"/>
        <v>Cake Storage</v>
      </c>
      <c r="D190" s="186"/>
      <c r="E190" s="325"/>
      <c r="G190" s="36" t="s">
        <v>16</v>
      </c>
      <c r="I190" s="39"/>
      <c r="K190" s="39"/>
      <c r="L190" s="43" t="s">
        <v>275</v>
      </c>
      <c r="N190" s="70">
        <f ca="1">SUMIFS(OFFSET(Assumptions!$I$90,0,MATCH($A190,Configurations,0)-1,COUNT(Assumptions!$A$90:$A$183),1),Assumptions!$D$90:$D$183,$B190&amp;$C190)</f>
        <v>0</v>
      </c>
      <c r="O190" s="313"/>
      <c r="P190" s="323"/>
      <c r="Q190" s="313"/>
      <c r="R190" s="50">
        <f t="shared" ref="R190:AU190" ca="1" si="134">IF(OR(R$99&lt;InServiceYr,R$99&gt;(InServiceYr+analysis_period-1)),0,IF($P190=0,$N190,$P190)*R$505)</f>
        <v>0</v>
      </c>
      <c r="S190" s="50">
        <f t="shared" ca="1" si="134"/>
        <v>0</v>
      </c>
      <c r="T190" s="50">
        <f t="shared" ca="1" si="134"/>
        <v>0</v>
      </c>
      <c r="U190" s="50">
        <f t="shared" ca="1" si="134"/>
        <v>0</v>
      </c>
      <c r="V190" s="50">
        <f t="shared" ca="1" si="134"/>
        <v>0</v>
      </c>
      <c r="W190" s="50">
        <f t="shared" ca="1" si="134"/>
        <v>0</v>
      </c>
      <c r="X190" s="50">
        <f t="shared" ca="1" si="134"/>
        <v>0</v>
      </c>
      <c r="Y190" s="50">
        <f t="shared" ca="1" si="134"/>
        <v>0</v>
      </c>
      <c r="Z190" s="50">
        <f t="shared" ca="1" si="134"/>
        <v>0</v>
      </c>
      <c r="AA190" s="50">
        <f t="shared" ca="1" si="134"/>
        <v>0</v>
      </c>
      <c r="AB190" s="50">
        <f t="shared" ca="1" si="134"/>
        <v>0</v>
      </c>
      <c r="AC190" s="50">
        <f t="shared" ca="1" si="134"/>
        <v>0</v>
      </c>
      <c r="AD190" s="50">
        <f t="shared" ca="1" si="134"/>
        <v>0</v>
      </c>
      <c r="AE190" s="50">
        <f t="shared" ca="1" si="134"/>
        <v>0</v>
      </c>
      <c r="AF190" s="50">
        <f t="shared" ca="1" si="134"/>
        <v>0</v>
      </c>
      <c r="AG190" s="50">
        <f t="shared" ca="1" si="134"/>
        <v>0</v>
      </c>
      <c r="AH190" s="50">
        <f t="shared" ca="1" si="134"/>
        <v>0</v>
      </c>
      <c r="AI190" s="50">
        <f t="shared" ca="1" si="134"/>
        <v>0</v>
      </c>
      <c r="AJ190" s="50">
        <f t="shared" ca="1" si="134"/>
        <v>0</v>
      </c>
      <c r="AK190" s="50">
        <f t="shared" ca="1" si="134"/>
        <v>0</v>
      </c>
      <c r="AL190" s="50">
        <f t="shared" si="134"/>
        <v>0</v>
      </c>
      <c r="AM190" s="50">
        <f t="shared" si="134"/>
        <v>0</v>
      </c>
      <c r="AN190" s="50">
        <f t="shared" si="134"/>
        <v>0</v>
      </c>
      <c r="AO190" s="50">
        <f t="shared" si="134"/>
        <v>0</v>
      </c>
      <c r="AP190" s="50">
        <f t="shared" si="134"/>
        <v>0</v>
      </c>
      <c r="AQ190" s="50">
        <f t="shared" si="134"/>
        <v>0</v>
      </c>
      <c r="AR190" s="50">
        <f t="shared" si="134"/>
        <v>0</v>
      </c>
      <c r="AS190" s="50">
        <f t="shared" si="134"/>
        <v>0</v>
      </c>
      <c r="AT190" s="50">
        <f t="shared" si="134"/>
        <v>0</v>
      </c>
      <c r="AU190" s="50">
        <f t="shared" si="134"/>
        <v>0</v>
      </c>
    </row>
    <row r="191" spans="1:47">
      <c r="A191" s="38" t="str">
        <f t="shared" si="129"/>
        <v>1Y-</v>
      </c>
      <c r="B191" s="38" t="s">
        <v>257</v>
      </c>
      <c r="C191" s="38" t="str">
        <f t="shared" si="133"/>
        <v>Cake Storage</v>
      </c>
      <c r="D191" s="186"/>
      <c r="E191" s="325"/>
      <c r="G191" s="36" t="s">
        <v>284</v>
      </c>
      <c r="I191" s="39"/>
      <c r="K191" s="39"/>
      <c r="L191" s="43" t="s">
        <v>293</v>
      </c>
      <c r="N191" s="70">
        <f ca="1">SUMIFS(OFFSET(Assumptions!$I$90,0,MATCH($A191,Configurations,0)-1,COUNT(Assumptions!$A$90:$A$183),1),Assumptions!$D$90:$D$183,$B191&amp;$C191)</f>
        <v>0</v>
      </c>
      <c r="O191" s="313"/>
      <c r="P191" s="323"/>
      <c r="Q191" s="313"/>
      <c r="R191" s="50">
        <f t="shared" ref="R191:AU191" ca="1" si="135">IF(OR(R$99&lt;InServiceYr,R$99&gt;(InServiceYr+analysis_period-1)),0,IF($P191=0,$N191,$P191)*R$501)</f>
        <v>0</v>
      </c>
      <c r="S191" s="50">
        <f t="shared" ca="1" si="135"/>
        <v>0</v>
      </c>
      <c r="T191" s="50">
        <f t="shared" ca="1" si="135"/>
        <v>0</v>
      </c>
      <c r="U191" s="50">
        <f t="shared" ca="1" si="135"/>
        <v>0</v>
      </c>
      <c r="V191" s="50">
        <f t="shared" ca="1" si="135"/>
        <v>0</v>
      </c>
      <c r="W191" s="50">
        <f t="shared" ca="1" si="135"/>
        <v>0</v>
      </c>
      <c r="X191" s="50">
        <f t="shared" ca="1" si="135"/>
        <v>0</v>
      </c>
      <c r="Y191" s="50">
        <f t="shared" ca="1" si="135"/>
        <v>0</v>
      </c>
      <c r="Z191" s="50">
        <f t="shared" ca="1" si="135"/>
        <v>0</v>
      </c>
      <c r="AA191" s="50">
        <f t="shared" ca="1" si="135"/>
        <v>0</v>
      </c>
      <c r="AB191" s="50">
        <f t="shared" ca="1" si="135"/>
        <v>0</v>
      </c>
      <c r="AC191" s="50">
        <f t="shared" ca="1" si="135"/>
        <v>0</v>
      </c>
      <c r="AD191" s="50">
        <f t="shared" ca="1" si="135"/>
        <v>0</v>
      </c>
      <c r="AE191" s="50">
        <f t="shared" ca="1" si="135"/>
        <v>0</v>
      </c>
      <c r="AF191" s="50">
        <f t="shared" ca="1" si="135"/>
        <v>0</v>
      </c>
      <c r="AG191" s="50">
        <f t="shared" ca="1" si="135"/>
        <v>0</v>
      </c>
      <c r="AH191" s="50">
        <f t="shared" ca="1" si="135"/>
        <v>0</v>
      </c>
      <c r="AI191" s="50">
        <f t="shared" ca="1" si="135"/>
        <v>0</v>
      </c>
      <c r="AJ191" s="50">
        <f t="shared" ca="1" si="135"/>
        <v>0</v>
      </c>
      <c r="AK191" s="50">
        <f t="shared" ca="1" si="135"/>
        <v>0</v>
      </c>
      <c r="AL191" s="50">
        <f t="shared" si="135"/>
        <v>0</v>
      </c>
      <c r="AM191" s="50">
        <f t="shared" si="135"/>
        <v>0</v>
      </c>
      <c r="AN191" s="50">
        <f t="shared" si="135"/>
        <v>0</v>
      </c>
      <c r="AO191" s="50">
        <f t="shared" si="135"/>
        <v>0</v>
      </c>
      <c r="AP191" s="50">
        <f t="shared" si="135"/>
        <v>0</v>
      </c>
      <c r="AQ191" s="50">
        <f t="shared" si="135"/>
        <v>0</v>
      </c>
      <c r="AR191" s="50">
        <f t="shared" si="135"/>
        <v>0</v>
      </c>
      <c r="AS191" s="50">
        <f t="shared" si="135"/>
        <v>0</v>
      </c>
      <c r="AT191" s="50">
        <f t="shared" si="135"/>
        <v>0</v>
      </c>
      <c r="AU191" s="50">
        <f t="shared" si="135"/>
        <v>0</v>
      </c>
    </row>
    <row r="192" spans="1:47">
      <c r="A192" s="38" t="str">
        <f t="shared" si="129"/>
        <v>1Y-</v>
      </c>
      <c r="B192" s="38" t="s">
        <v>864</v>
      </c>
      <c r="C192" s="38" t="str">
        <f t="shared" si="133"/>
        <v>Cake Storage</v>
      </c>
      <c r="D192" s="186">
        <f>GHGEsc</f>
        <v>0.02</v>
      </c>
      <c r="E192" s="325"/>
      <c r="G192" s="36" t="s">
        <v>865</v>
      </c>
      <c r="I192" s="39"/>
      <c r="K192" s="39"/>
      <c r="L192" s="43" t="s">
        <v>866</v>
      </c>
      <c r="N192" s="70">
        <f ca="1">SUMIFS(OFFSET(Assumptions!$I$90,0,MATCH($A192,Configurations,0)-1,COUNT(Assumptions!$A$90:$A$183),1),Assumptions!$D$90:$D$183,$B192&amp;$C192)</f>
        <v>0</v>
      </c>
      <c r="O192" s="313"/>
      <c r="P192" s="323"/>
      <c r="Q192" s="313"/>
      <c r="R192" s="50">
        <f t="shared" ref="R192:AU192" ca="1" si="136">IF(OR(R$99&lt;InServiceYr,R$99&gt;(InServiceYr+analysis_period-1)),0,IF($P192=0,$N192,$P192)*R$513)</f>
        <v>0</v>
      </c>
      <c r="S192" s="50">
        <f t="shared" ca="1" si="136"/>
        <v>0</v>
      </c>
      <c r="T192" s="50">
        <f t="shared" ca="1" si="136"/>
        <v>0</v>
      </c>
      <c r="U192" s="50">
        <f t="shared" ca="1" si="136"/>
        <v>0</v>
      </c>
      <c r="V192" s="50">
        <f t="shared" ca="1" si="136"/>
        <v>0</v>
      </c>
      <c r="W192" s="50">
        <f t="shared" ca="1" si="136"/>
        <v>0</v>
      </c>
      <c r="X192" s="50">
        <f t="shared" ca="1" si="136"/>
        <v>0</v>
      </c>
      <c r="Y192" s="50">
        <f t="shared" ca="1" si="136"/>
        <v>0</v>
      </c>
      <c r="Z192" s="50">
        <f t="shared" ca="1" si="136"/>
        <v>0</v>
      </c>
      <c r="AA192" s="50">
        <f t="shared" ca="1" si="136"/>
        <v>0</v>
      </c>
      <c r="AB192" s="50">
        <f t="shared" ca="1" si="136"/>
        <v>0</v>
      </c>
      <c r="AC192" s="50">
        <f t="shared" ca="1" si="136"/>
        <v>0</v>
      </c>
      <c r="AD192" s="50">
        <f t="shared" ca="1" si="136"/>
        <v>0</v>
      </c>
      <c r="AE192" s="50">
        <f t="shared" ca="1" si="136"/>
        <v>0</v>
      </c>
      <c r="AF192" s="50">
        <f t="shared" ca="1" si="136"/>
        <v>0</v>
      </c>
      <c r="AG192" s="50">
        <f t="shared" ca="1" si="136"/>
        <v>0</v>
      </c>
      <c r="AH192" s="50">
        <f t="shared" ca="1" si="136"/>
        <v>0</v>
      </c>
      <c r="AI192" s="50">
        <f t="shared" ca="1" si="136"/>
        <v>0</v>
      </c>
      <c r="AJ192" s="50">
        <f t="shared" ca="1" si="136"/>
        <v>0</v>
      </c>
      <c r="AK192" s="50">
        <f t="shared" ca="1" si="136"/>
        <v>0</v>
      </c>
      <c r="AL192" s="50">
        <f t="shared" si="136"/>
        <v>0</v>
      </c>
      <c r="AM192" s="50">
        <f t="shared" si="136"/>
        <v>0</v>
      </c>
      <c r="AN192" s="50">
        <f t="shared" si="136"/>
        <v>0</v>
      </c>
      <c r="AO192" s="50">
        <f t="shared" si="136"/>
        <v>0</v>
      </c>
      <c r="AP192" s="50">
        <f t="shared" si="136"/>
        <v>0</v>
      </c>
      <c r="AQ192" s="50">
        <f t="shared" si="136"/>
        <v>0</v>
      </c>
      <c r="AR192" s="50">
        <f t="shared" si="136"/>
        <v>0</v>
      </c>
      <c r="AS192" s="50">
        <f t="shared" si="136"/>
        <v>0</v>
      </c>
      <c r="AT192" s="50">
        <f t="shared" si="136"/>
        <v>0</v>
      </c>
      <c r="AU192" s="50">
        <f t="shared" si="136"/>
        <v>0</v>
      </c>
    </row>
    <row r="193" spans="1:47">
      <c r="A193" s="38" t="str">
        <f t="shared" si="129"/>
        <v>1Y-</v>
      </c>
      <c r="B193" s="38" t="s">
        <v>273</v>
      </c>
      <c r="C193" s="38" t="str">
        <f>C191</f>
        <v>Cake Storage</v>
      </c>
      <c r="D193" s="186">
        <f>LaborEsc</f>
        <v>0.02</v>
      </c>
      <c r="E193" s="325"/>
      <c r="G193" s="36" t="s">
        <v>291</v>
      </c>
      <c r="I193" s="39"/>
      <c r="K193" s="39"/>
      <c r="L193" s="43" t="str">
        <f>"["&amp;CostBaseYr&amp;" $]"</f>
        <v>[2013 $]</v>
      </c>
      <c r="N193" s="70">
        <f ca="1">SUMIFS(OFFSET(Assumptions!$I$90,0,MATCH($A193,Configurations,0)-1,COUNT(Assumptions!$A$90:$A$183),1),Assumptions!$D$90:$D$183,$B193&amp;$C193)</f>
        <v>0</v>
      </c>
      <c r="O193" s="313"/>
      <c r="P193" s="323"/>
      <c r="Q193" s="313"/>
      <c r="R193" s="50">
        <f t="shared" ref="R193:AU193" ca="1" si="137">IF(OR(R$99&lt;InServiceYr,R$99&gt;(InServiceYr+analysis_period-1)),0,IF($P193=0,$N193,$P193)*(1+$D193)^(R$99-CostBaseYr))*R$509</f>
        <v>0</v>
      </c>
      <c r="S193" s="50">
        <f t="shared" ca="1" si="137"/>
        <v>0</v>
      </c>
      <c r="T193" s="50">
        <f t="shared" ca="1" si="137"/>
        <v>0</v>
      </c>
      <c r="U193" s="50">
        <f t="shared" ca="1" si="137"/>
        <v>0</v>
      </c>
      <c r="V193" s="50">
        <f t="shared" ca="1" si="137"/>
        <v>0</v>
      </c>
      <c r="W193" s="50">
        <f t="shared" ca="1" si="137"/>
        <v>0</v>
      </c>
      <c r="X193" s="50">
        <f t="shared" ca="1" si="137"/>
        <v>0</v>
      </c>
      <c r="Y193" s="50">
        <f t="shared" ca="1" si="137"/>
        <v>0</v>
      </c>
      <c r="Z193" s="50">
        <f t="shared" ca="1" si="137"/>
        <v>0</v>
      </c>
      <c r="AA193" s="50">
        <f t="shared" ca="1" si="137"/>
        <v>0</v>
      </c>
      <c r="AB193" s="50">
        <f t="shared" ca="1" si="137"/>
        <v>0</v>
      </c>
      <c r="AC193" s="50">
        <f t="shared" ca="1" si="137"/>
        <v>0</v>
      </c>
      <c r="AD193" s="50">
        <f t="shared" ca="1" si="137"/>
        <v>0</v>
      </c>
      <c r="AE193" s="50">
        <f t="shared" ca="1" si="137"/>
        <v>0</v>
      </c>
      <c r="AF193" s="50">
        <f t="shared" ca="1" si="137"/>
        <v>0</v>
      </c>
      <c r="AG193" s="50">
        <f t="shared" ca="1" si="137"/>
        <v>0</v>
      </c>
      <c r="AH193" s="50">
        <f t="shared" ca="1" si="137"/>
        <v>0</v>
      </c>
      <c r="AI193" s="50">
        <f t="shared" ca="1" si="137"/>
        <v>0</v>
      </c>
      <c r="AJ193" s="50">
        <f t="shared" ca="1" si="137"/>
        <v>0</v>
      </c>
      <c r="AK193" s="50">
        <f t="shared" ca="1" si="137"/>
        <v>0</v>
      </c>
      <c r="AL193" s="50">
        <f t="shared" si="137"/>
        <v>0</v>
      </c>
      <c r="AM193" s="50">
        <f t="shared" si="137"/>
        <v>0</v>
      </c>
      <c r="AN193" s="50">
        <f t="shared" si="137"/>
        <v>0</v>
      </c>
      <c r="AO193" s="50">
        <f t="shared" si="137"/>
        <v>0</v>
      </c>
      <c r="AP193" s="50">
        <f t="shared" si="137"/>
        <v>0</v>
      </c>
      <c r="AQ193" s="50">
        <f t="shared" si="137"/>
        <v>0</v>
      </c>
      <c r="AR193" s="50">
        <f t="shared" si="137"/>
        <v>0</v>
      </c>
      <c r="AS193" s="50">
        <f t="shared" si="137"/>
        <v>0</v>
      </c>
      <c r="AT193" s="50">
        <f t="shared" si="137"/>
        <v>0</v>
      </c>
      <c r="AU193" s="50">
        <f t="shared" si="137"/>
        <v>0</v>
      </c>
    </row>
    <row r="194" spans="1:47">
      <c r="D194" s="186"/>
      <c r="E194" s="325"/>
      <c r="G194" s="39" t="s">
        <v>304</v>
      </c>
      <c r="I194" s="39"/>
      <c r="K194" s="39"/>
      <c r="L194" s="43"/>
      <c r="N194" s="70"/>
      <c r="O194" s="313"/>
      <c r="P194" s="70"/>
      <c r="Q194" s="313"/>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row>
    <row r="195" spans="1:47">
      <c r="A195" s="38" t="str">
        <f>$J$4&amp;"-"</f>
        <v>1Y-</v>
      </c>
      <c r="B195" s="38" t="s">
        <v>265</v>
      </c>
      <c r="C195" s="38" t="str">
        <f>C186</f>
        <v>Cake Storage</v>
      </c>
      <c r="D195" s="186"/>
      <c r="E195" s="325"/>
      <c r="G195" s="36" t="s">
        <v>108</v>
      </c>
      <c r="I195" s="39"/>
      <c r="K195" s="39"/>
      <c r="L195" s="43" t="s">
        <v>293</v>
      </c>
      <c r="N195" s="70">
        <f ca="1">SUMIFS(OFFSET(Assumptions!$I$90,0,MATCH($A195,Configurations,0)-1,COUNT(Assumptions!$A$90:$A$183),1),Assumptions!$D$90:$D$183,$B195&amp;$C195)</f>
        <v>0</v>
      </c>
      <c r="O195" s="313"/>
      <c r="P195" s="323"/>
      <c r="Q195" s="313"/>
      <c r="R195" s="50">
        <f t="shared" ref="R195:AU195" ca="1" si="138">IF(OR(R$99&lt;InServiceYr,R$99&gt;(InServiceYr+analysis_period-1)),0,IF($P195=0,$N195,$P195)*R$501)</f>
        <v>0</v>
      </c>
      <c r="S195" s="50">
        <f t="shared" ca="1" si="138"/>
        <v>0</v>
      </c>
      <c r="T195" s="50">
        <f t="shared" ca="1" si="138"/>
        <v>0</v>
      </c>
      <c r="U195" s="50">
        <f t="shared" ca="1" si="138"/>
        <v>0</v>
      </c>
      <c r="V195" s="50">
        <f t="shared" ca="1" si="138"/>
        <v>0</v>
      </c>
      <c r="W195" s="50">
        <f t="shared" ca="1" si="138"/>
        <v>0</v>
      </c>
      <c r="X195" s="50">
        <f t="shared" ca="1" si="138"/>
        <v>0</v>
      </c>
      <c r="Y195" s="50">
        <f t="shared" ca="1" si="138"/>
        <v>0</v>
      </c>
      <c r="Z195" s="50">
        <f t="shared" ca="1" si="138"/>
        <v>0</v>
      </c>
      <c r="AA195" s="50">
        <f t="shared" ca="1" si="138"/>
        <v>0</v>
      </c>
      <c r="AB195" s="50">
        <f t="shared" ca="1" si="138"/>
        <v>0</v>
      </c>
      <c r="AC195" s="50">
        <f t="shared" ca="1" si="138"/>
        <v>0</v>
      </c>
      <c r="AD195" s="50">
        <f t="shared" ca="1" si="138"/>
        <v>0</v>
      </c>
      <c r="AE195" s="50">
        <f t="shared" ca="1" si="138"/>
        <v>0</v>
      </c>
      <c r="AF195" s="50">
        <f t="shared" ca="1" si="138"/>
        <v>0</v>
      </c>
      <c r="AG195" s="50">
        <f t="shared" ca="1" si="138"/>
        <v>0</v>
      </c>
      <c r="AH195" s="50">
        <f t="shared" ca="1" si="138"/>
        <v>0</v>
      </c>
      <c r="AI195" s="50">
        <f t="shared" ca="1" si="138"/>
        <v>0</v>
      </c>
      <c r="AJ195" s="50">
        <f t="shared" ca="1" si="138"/>
        <v>0</v>
      </c>
      <c r="AK195" s="50">
        <f t="shared" ca="1" si="138"/>
        <v>0</v>
      </c>
      <c r="AL195" s="50">
        <f t="shared" si="138"/>
        <v>0</v>
      </c>
      <c r="AM195" s="50">
        <f t="shared" si="138"/>
        <v>0</v>
      </c>
      <c r="AN195" s="50">
        <f t="shared" si="138"/>
        <v>0</v>
      </c>
      <c r="AO195" s="50">
        <f t="shared" si="138"/>
        <v>0</v>
      </c>
      <c r="AP195" s="50">
        <f t="shared" si="138"/>
        <v>0</v>
      </c>
      <c r="AQ195" s="50">
        <f t="shared" si="138"/>
        <v>0</v>
      </c>
      <c r="AR195" s="50">
        <f t="shared" si="138"/>
        <v>0</v>
      </c>
      <c r="AS195" s="50">
        <f t="shared" si="138"/>
        <v>0</v>
      </c>
      <c r="AT195" s="50">
        <f t="shared" si="138"/>
        <v>0</v>
      </c>
      <c r="AU195" s="50">
        <f t="shared" si="138"/>
        <v>0</v>
      </c>
    </row>
    <row r="196" spans="1:47">
      <c r="A196" s="38" t="str">
        <f>$J$4&amp;"-"</f>
        <v>1Y-</v>
      </c>
      <c r="B196" s="38" t="s">
        <v>289</v>
      </c>
      <c r="C196" s="38" t="str">
        <f>C186</f>
        <v>Cake Storage</v>
      </c>
      <c r="D196" s="186">
        <f>LaborEsc</f>
        <v>0.02</v>
      </c>
      <c r="E196" s="325"/>
      <c r="G196" s="36" t="s">
        <v>292</v>
      </c>
      <c r="I196" s="39"/>
      <c r="K196" s="39"/>
      <c r="L196" s="43" t="str">
        <f>"["&amp;CostBaseYr&amp;" $]"</f>
        <v>[2013 $]</v>
      </c>
      <c r="N196" s="70">
        <f ca="1">SUMIFS(OFFSET(Assumptions!$I$90,0,MATCH($A196,Configurations,0)-1,COUNT(Assumptions!$A$90:$A$183),1),Assumptions!$D$90:$D$183,$B196&amp;$C196)</f>
        <v>0</v>
      </c>
      <c r="O196" s="313"/>
      <c r="P196" s="323"/>
      <c r="Q196" s="313"/>
      <c r="R196" s="50">
        <f t="shared" ref="R196:AU196" ca="1" si="139">IF(OR(R$99&lt;InServiceYr,R$99&gt;(InServiceYr+analysis_period-1)),0,IF($P196=0,$N196,$P196)*(1+$D196)^(R$99-CostBaseYr))</f>
        <v>0</v>
      </c>
      <c r="S196" s="50">
        <f t="shared" ca="1" si="139"/>
        <v>0</v>
      </c>
      <c r="T196" s="50">
        <f t="shared" ca="1" si="139"/>
        <v>0</v>
      </c>
      <c r="U196" s="50">
        <f t="shared" ca="1" si="139"/>
        <v>0</v>
      </c>
      <c r="V196" s="50">
        <f t="shared" ca="1" si="139"/>
        <v>0</v>
      </c>
      <c r="W196" s="50">
        <f t="shared" ca="1" si="139"/>
        <v>0</v>
      </c>
      <c r="X196" s="50">
        <f t="shared" ca="1" si="139"/>
        <v>0</v>
      </c>
      <c r="Y196" s="50">
        <f t="shared" ca="1" si="139"/>
        <v>0</v>
      </c>
      <c r="Z196" s="50">
        <f t="shared" ca="1" si="139"/>
        <v>0</v>
      </c>
      <c r="AA196" s="50">
        <f t="shared" ca="1" si="139"/>
        <v>0</v>
      </c>
      <c r="AB196" s="50">
        <f t="shared" ca="1" si="139"/>
        <v>0</v>
      </c>
      <c r="AC196" s="50">
        <f t="shared" ca="1" si="139"/>
        <v>0</v>
      </c>
      <c r="AD196" s="50">
        <f t="shared" ca="1" si="139"/>
        <v>0</v>
      </c>
      <c r="AE196" s="50">
        <f t="shared" ca="1" si="139"/>
        <v>0</v>
      </c>
      <c r="AF196" s="50">
        <f t="shared" ca="1" si="139"/>
        <v>0</v>
      </c>
      <c r="AG196" s="50">
        <f t="shared" ca="1" si="139"/>
        <v>0</v>
      </c>
      <c r="AH196" s="50">
        <f t="shared" ca="1" si="139"/>
        <v>0</v>
      </c>
      <c r="AI196" s="50">
        <f t="shared" ca="1" si="139"/>
        <v>0</v>
      </c>
      <c r="AJ196" s="50">
        <f t="shared" ca="1" si="139"/>
        <v>0</v>
      </c>
      <c r="AK196" s="50">
        <f t="shared" ca="1" si="139"/>
        <v>0</v>
      </c>
      <c r="AL196" s="50">
        <f t="shared" si="139"/>
        <v>0</v>
      </c>
      <c r="AM196" s="50">
        <f t="shared" si="139"/>
        <v>0</v>
      </c>
      <c r="AN196" s="50">
        <f t="shared" si="139"/>
        <v>0</v>
      </c>
      <c r="AO196" s="50">
        <f t="shared" si="139"/>
        <v>0</v>
      </c>
      <c r="AP196" s="50">
        <f t="shared" si="139"/>
        <v>0</v>
      </c>
      <c r="AQ196" s="50">
        <f t="shared" si="139"/>
        <v>0</v>
      </c>
      <c r="AR196" s="50">
        <f t="shared" si="139"/>
        <v>0</v>
      </c>
      <c r="AS196" s="50">
        <f t="shared" si="139"/>
        <v>0</v>
      </c>
      <c r="AT196" s="50">
        <f t="shared" si="139"/>
        <v>0</v>
      </c>
      <c r="AU196" s="50">
        <f t="shared" si="139"/>
        <v>0</v>
      </c>
    </row>
    <row r="197" spans="1:47" s="60" customFormat="1">
      <c r="D197" s="187"/>
      <c r="E197" s="325"/>
      <c r="G197" s="39" t="s">
        <v>305</v>
      </c>
      <c r="I197" s="39"/>
      <c r="K197" s="39"/>
      <c r="L197" s="174"/>
      <c r="N197" s="188"/>
      <c r="O197" s="314"/>
      <c r="P197" s="185"/>
      <c r="Q197" s="314"/>
      <c r="R197" s="185">
        <f ca="1">SUM(R186:R193)-SUM(R195:R196)</f>
        <v>73146.75</v>
      </c>
      <c r="S197" s="185">
        <f t="shared" ref="S197:AU197" ca="1" si="140">SUM(S186:S193)-SUM(S195:S196)</f>
        <v>74609.684999999998</v>
      </c>
      <c r="T197" s="185">
        <f t="shared" ca="1" si="140"/>
        <v>76101.878700000001</v>
      </c>
      <c r="U197" s="185">
        <f t="shared" ca="1" si="140"/>
        <v>77623.916274000003</v>
      </c>
      <c r="V197" s="185">
        <f t="shared" ca="1" si="140"/>
        <v>79176.394599480001</v>
      </c>
      <c r="W197" s="185">
        <f t="shared" ca="1" si="140"/>
        <v>80759.92249146961</v>
      </c>
      <c r="X197" s="185">
        <f t="shared" ca="1" si="140"/>
        <v>82375.120941298985</v>
      </c>
      <c r="Y197" s="185">
        <f t="shared" ca="1" si="140"/>
        <v>84022.62336012497</v>
      </c>
      <c r="Z197" s="185">
        <f t="shared" ca="1" si="140"/>
        <v>85703.07582732747</v>
      </c>
      <c r="AA197" s="185">
        <f t="shared" ca="1" si="140"/>
        <v>87417.137343874027</v>
      </c>
      <c r="AB197" s="185">
        <f t="shared" ca="1" si="140"/>
        <v>89165.480090751487</v>
      </c>
      <c r="AC197" s="185">
        <f t="shared" ca="1" si="140"/>
        <v>90948.789692566526</v>
      </c>
      <c r="AD197" s="185">
        <f t="shared" ca="1" si="140"/>
        <v>92767.765486417848</v>
      </c>
      <c r="AE197" s="185">
        <f t="shared" ca="1" si="140"/>
        <v>94623.120796146221</v>
      </c>
      <c r="AF197" s="185">
        <f t="shared" ca="1" si="140"/>
        <v>96515.583212069119</v>
      </c>
      <c r="AG197" s="185">
        <f t="shared" ca="1" si="140"/>
        <v>98445.894876310515</v>
      </c>
      <c r="AH197" s="185">
        <f t="shared" ca="1" si="140"/>
        <v>100414.81277383673</v>
      </c>
      <c r="AI197" s="185">
        <f t="shared" ca="1" si="140"/>
        <v>102423.10902931346</v>
      </c>
      <c r="AJ197" s="185">
        <f t="shared" ca="1" si="140"/>
        <v>104471.57120989973</v>
      </c>
      <c r="AK197" s="185">
        <f t="shared" ca="1" si="140"/>
        <v>106561.00263409773</v>
      </c>
      <c r="AL197" s="185">
        <f t="shared" si="140"/>
        <v>0</v>
      </c>
      <c r="AM197" s="185">
        <f t="shared" si="140"/>
        <v>0</v>
      </c>
      <c r="AN197" s="185">
        <f t="shared" si="140"/>
        <v>0</v>
      </c>
      <c r="AO197" s="185">
        <f t="shared" si="140"/>
        <v>0</v>
      </c>
      <c r="AP197" s="185">
        <f t="shared" si="140"/>
        <v>0</v>
      </c>
      <c r="AQ197" s="185">
        <f t="shared" si="140"/>
        <v>0</v>
      </c>
      <c r="AR197" s="185">
        <f t="shared" si="140"/>
        <v>0</v>
      </c>
      <c r="AS197" s="185">
        <f t="shared" si="140"/>
        <v>0</v>
      </c>
      <c r="AT197" s="185">
        <f t="shared" si="140"/>
        <v>0</v>
      </c>
      <c r="AU197" s="185">
        <f t="shared" si="140"/>
        <v>0</v>
      </c>
    </row>
    <row r="198" spans="1:47">
      <c r="G198" s="28"/>
      <c r="H198" s="28"/>
      <c r="I198" s="28"/>
      <c r="J198" s="28"/>
      <c r="K198" s="28"/>
      <c r="L198" s="409"/>
      <c r="M198" s="46"/>
      <c r="N198" s="46"/>
      <c r="O198" s="315"/>
      <c r="P198" s="46"/>
      <c r="Q198" s="315"/>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row>
    <row r="199" spans="1:47">
      <c r="E199" s="327"/>
      <c r="F199" s="28"/>
      <c r="G199" s="324" t="str">
        <f>C201&amp;" Capital Costs"</f>
        <v>CHP Capital Costs</v>
      </c>
      <c r="H199" s="324"/>
      <c r="I199" s="324"/>
      <c r="J199" s="324"/>
      <c r="K199" s="324"/>
      <c r="L199" s="405" t="s">
        <v>79</v>
      </c>
      <c r="M199" s="256"/>
      <c r="N199" s="325" t="s">
        <v>490</v>
      </c>
      <c r="O199" s="311"/>
      <c r="P199" s="325" t="s">
        <v>491</v>
      </c>
      <c r="Q199" s="310"/>
      <c r="R199" s="325">
        <f>R$8</f>
        <v>2014</v>
      </c>
      <c r="S199" s="325">
        <f t="shared" ref="S199:AU199" si="141">S$8</f>
        <v>2015</v>
      </c>
      <c r="T199" s="325">
        <f t="shared" si="141"/>
        <v>2016</v>
      </c>
      <c r="U199" s="325">
        <f t="shared" si="141"/>
        <v>2017</v>
      </c>
      <c r="V199" s="325">
        <f t="shared" si="141"/>
        <v>2018</v>
      </c>
      <c r="W199" s="325">
        <f t="shared" si="141"/>
        <v>2019</v>
      </c>
      <c r="X199" s="325">
        <f t="shared" si="141"/>
        <v>2020</v>
      </c>
      <c r="Y199" s="325">
        <f t="shared" si="141"/>
        <v>2021</v>
      </c>
      <c r="Z199" s="325">
        <f t="shared" si="141"/>
        <v>2022</v>
      </c>
      <c r="AA199" s="325">
        <f t="shared" si="141"/>
        <v>2023</v>
      </c>
      <c r="AB199" s="325">
        <f t="shared" si="141"/>
        <v>2024</v>
      </c>
      <c r="AC199" s="325">
        <f t="shared" si="141"/>
        <v>2025</v>
      </c>
      <c r="AD199" s="325">
        <f t="shared" si="141"/>
        <v>2026</v>
      </c>
      <c r="AE199" s="325">
        <f t="shared" si="141"/>
        <v>2027</v>
      </c>
      <c r="AF199" s="325">
        <f t="shared" si="141"/>
        <v>2028</v>
      </c>
      <c r="AG199" s="325">
        <f t="shared" si="141"/>
        <v>2029</v>
      </c>
      <c r="AH199" s="325">
        <f t="shared" si="141"/>
        <v>2030</v>
      </c>
      <c r="AI199" s="325">
        <f t="shared" si="141"/>
        <v>2031</v>
      </c>
      <c r="AJ199" s="325">
        <f t="shared" si="141"/>
        <v>2032</v>
      </c>
      <c r="AK199" s="325">
        <f t="shared" si="141"/>
        <v>2033</v>
      </c>
      <c r="AL199" s="325">
        <f t="shared" si="141"/>
        <v>2034</v>
      </c>
      <c r="AM199" s="325">
        <f t="shared" si="141"/>
        <v>2035</v>
      </c>
      <c r="AN199" s="325">
        <f t="shared" si="141"/>
        <v>2036</v>
      </c>
      <c r="AO199" s="325">
        <f t="shared" si="141"/>
        <v>2037</v>
      </c>
      <c r="AP199" s="325">
        <f t="shared" si="141"/>
        <v>2038</v>
      </c>
      <c r="AQ199" s="325">
        <f t="shared" si="141"/>
        <v>2039</v>
      </c>
      <c r="AR199" s="325">
        <f t="shared" si="141"/>
        <v>2040</v>
      </c>
      <c r="AS199" s="325">
        <f t="shared" si="141"/>
        <v>2041</v>
      </c>
      <c r="AT199" s="325">
        <f t="shared" si="141"/>
        <v>2042</v>
      </c>
      <c r="AU199" s="325">
        <f t="shared" si="141"/>
        <v>2043</v>
      </c>
    </row>
    <row r="200" spans="1:47">
      <c r="E200" s="325"/>
      <c r="G200" s="39"/>
      <c r="H200" s="39"/>
      <c r="I200" s="39"/>
      <c r="J200" s="39"/>
      <c r="K200" s="39"/>
    </row>
    <row r="201" spans="1:47">
      <c r="A201" s="38" t="str">
        <f>$J$4&amp;"-"</f>
        <v>1Y-</v>
      </c>
      <c r="B201" s="38" t="s">
        <v>306</v>
      </c>
      <c r="C201" s="38" t="s">
        <v>318</v>
      </c>
      <c r="D201" s="186">
        <f>CapExEsc</f>
        <v>0.03</v>
      </c>
      <c r="E201" s="325"/>
      <c r="G201" s="36" t="s">
        <v>8</v>
      </c>
      <c r="H201" s="39"/>
      <c r="I201" s="39"/>
      <c r="J201" s="70"/>
      <c r="K201" s="39"/>
      <c r="L201" s="43" t="str">
        <f>"["&amp;CostBaseYr&amp;" $]"</f>
        <v>[2013 $]</v>
      </c>
      <c r="N201" s="52">
        <f ca="1">SUMIFS(OFFSET(Assumptions!$I$65,0,MATCH($A201,Configurations,0)-1,COUNT(Assumptions!$A$65:$A$84),1),Assumptions!$E$65:$E$84,$C201)</f>
        <v>741000</v>
      </c>
      <c r="O201" s="52"/>
      <c r="P201" s="322"/>
      <c r="Q201" s="52"/>
      <c r="R201" s="52">
        <f t="shared" ref="R201:AU201" ca="1" si="142">R202*IF($P201=0,$N201,$P201)*(1+$D201)^(R$8-CostBaseYr)</f>
        <v>763230</v>
      </c>
      <c r="S201" s="52">
        <f t="shared" ca="1" si="142"/>
        <v>0</v>
      </c>
      <c r="T201" s="52">
        <f t="shared" ca="1" si="142"/>
        <v>0</v>
      </c>
      <c r="U201" s="52">
        <f t="shared" ca="1" si="142"/>
        <v>0</v>
      </c>
      <c r="V201" s="52">
        <f t="shared" ca="1" si="142"/>
        <v>0</v>
      </c>
      <c r="W201" s="52">
        <f t="shared" ca="1" si="142"/>
        <v>0</v>
      </c>
      <c r="X201" s="52">
        <f t="shared" ca="1" si="142"/>
        <v>0</v>
      </c>
      <c r="Y201" s="52">
        <f t="shared" ca="1" si="142"/>
        <v>0</v>
      </c>
      <c r="Z201" s="52">
        <f t="shared" ca="1" si="142"/>
        <v>0</v>
      </c>
      <c r="AA201" s="52">
        <f t="shared" ca="1" si="142"/>
        <v>0</v>
      </c>
      <c r="AB201" s="52">
        <f t="shared" ca="1" si="142"/>
        <v>0</v>
      </c>
      <c r="AC201" s="52">
        <f t="shared" ca="1" si="142"/>
        <v>0</v>
      </c>
      <c r="AD201" s="52">
        <f t="shared" ca="1" si="142"/>
        <v>0</v>
      </c>
      <c r="AE201" s="52">
        <f t="shared" ca="1" si="142"/>
        <v>0</v>
      </c>
      <c r="AF201" s="52">
        <f t="shared" ca="1" si="142"/>
        <v>0</v>
      </c>
      <c r="AG201" s="52">
        <f t="shared" ca="1" si="142"/>
        <v>0</v>
      </c>
      <c r="AH201" s="52">
        <f t="shared" ca="1" si="142"/>
        <v>0</v>
      </c>
      <c r="AI201" s="52">
        <f t="shared" ca="1" si="142"/>
        <v>0</v>
      </c>
      <c r="AJ201" s="52">
        <f t="shared" ca="1" si="142"/>
        <v>0</v>
      </c>
      <c r="AK201" s="52">
        <f t="shared" ca="1" si="142"/>
        <v>0</v>
      </c>
      <c r="AL201" s="52">
        <f t="shared" ca="1" si="142"/>
        <v>0</v>
      </c>
      <c r="AM201" s="52">
        <f t="shared" ca="1" si="142"/>
        <v>0</v>
      </c>
      <c r="AN201" s="52">
        <f t="shared" ca="1" si="142"/>
        <v>0</v>
      </c>
      <c r="AO201" s="52">
        <f t="shared" ca="1" si="142"/>
        <v>0</v>
      </c>
      <c r="AP201" s="52">
        <f t="shared" ca="1" si="142"/>
        <v>0</v>
      </c>
      <c r="AQ201" s="52">
        <f t="shared" ca="1" si="142"/>
        <v>0</v>
      </c>
      <c r="AR201" s="52">
        <f t="shared" ca="1" si="142"/>
        <v>0</v>
      </c>
      <c r="AS201" s="52">
        <f t="shared" ca="1" si="142"/>
        <v>0</v>
      </c>
      <c r="AT201" s="52">
        <f t="shared" ca="1" si="142"/>
        <v>0</v>
      </c>
      <c r="AU201" s="52">
        <f t="shared" ca="1" si="142"/>
        <v>0</v>
      </c>
    </row>
    <row r="202" spans="1:47">
      <c r="E202" s="325"/>
      <c r="G202" s="36" t="s">
        <v>10</v>
      </c>
      <c r="H202" s="39"/>
      <c r="I202" s="39"/>
      <c r="J202" s="39"/>
      <c r="K202" s="39"/>
      <c r="L202" s="43"/>
      <c r="R202" s="54">
        <f>Assumptions!M$60</f>
        <v>1</v>
      </c>
      <c r="S202" s="54">
        <f>Assumptions!N$60</f>
        <v>0</v>
      </c>
      <c r="T202" s="54">
        <f>Assumptions!O$60</f>
        <v>0</v>
      </c>
      <c r="U202" s="54">
        <f>Assumptions!P$60</f>
        <v>0</v>
      </c>
      <c r="V202" s="54">
        <f>Assumptions!Q$60</f>
        <v>0</v>
      </c>
      <c r="W202" s="54">
        <f>Assumptions!R$60</f>
        <v>0</v>
      </c>
      <c r="X202" s="54">
        <f>Assumptions!S$60</f>
        <v>0</v>
      </c>
      <c r="Y202" s="54">
        <f>Assumptions!T$60</f>
        <v>0</v>
      </c>
      <c r="Z202" s="54">
        <f>Assumptions!U$60</f>
        <v>0</v>
      </c>
      <c r="AA202" s="54">
        <f>Assumptions!V$60</f>
        <v>0</v>
      </c>
      <c r="AB202" s="54">
        <f>Assumptions!W$60</f>
        <v>0</v>
      </c>
      <c r="AC202" s="54">
        <f>Assumptions!X$60</f>
        <v>0</v>
      </c>
      <c r="AD202" s="54">
        <f>Assumptions!Y$60</f>
        <v>0</v>
      </c>
      <c r="AE202" s="54">
        <f>Assumptions!Z$60</f>
        <v>0</v>
      </c>
      <c r="AF202" s="54">
        <f>Assumptions!AA$60</f>
        <v>0</v>
      </c>
      <c r="AG202" s="54">
        <f>Assumptions!AB$60</f>
        <v>0</v>
      </c>
      <c r="AH202" s="54">
        <f>Assumptions!AC$60</f>
        <v>0</v>
      </c>
      <c r="AI202" s="54">
        <f>Assumptions!AD$60</f>
        <v>0</v>
      </c>
      <c r="AJ202" s="54">
        <f>Assumptions!AE$60</f>
        <v>0</v>
      </c>
      <c r="AK202" s="54">
        <f>Assumptions!AF$60</f>
        <v>0</v>
      </c>
      <c r="AL202" s="54">
        <f>Assumptions!AG$60</f>
        <v>0</v>
      </c>
      <c r="AM202" s="54">
        <f>Assumptions!AH$60</f>
        <v>0</v>
      </c>
      <c r="AN202" s="54">
        <f>Assumptions!AI$60</f>
        <v>0</v>
      </c>
      <c r="AO202" s="54">
        <f>Assumptions!AJ$60</f>
        <v>0</v>
      </c>
      <c r="AP202" s="54">
        <f>Assumptions!AK$60</f>
        <v>0</v>
      </c>
      <c r="AQ202" s="54">
        <f>Assumptions!AL$60</f>
        <v>0</v>
      </c>
      <c r="AR202" s="54">
        <f>Assumptions!AM$60</f>
        <v>0</v>
      </c>
      <c r="AS202" s="54">
        <f>Assumptions!AN$60</f>
        <v>0</v>
      </c>
      <c r="AT202" s="54">
        <f>Assumptions!AO$60</f>
        <v>0</v>
      </c>
      <c r="AU202" s="54">
        <f>Assumptions!AP$60</f>
        <v>0</v>
      </c>
    </row>
    <row r="203" spans="1:47">
      <c r="E203" s="326"/>
      <c r="G203" s="39"/>
      <c r="H203" s="39"/>
      <c r="I203" s="39"/>
      <c r="J203" s="39"/>
      <c r="K203" s="39"/>
    </row>
    <row r="204" spans="1:47">
      <c r="E204" s="327"/>
      <c r="F204" s="28"/>
      <c r="G204" s="324" t="str">
        <f>C201&amp;" O&amp;M"</f>
        <v>CHP O&amp;M</v>
      </c>
      <c r="H204" s="324"/>
      <c r="I204" s="324"/>
      <c r="J204" s="324"/>
      <c r="K204" s="324"/>
      <c r="L204" s="405" t="s">
        <v>79</v>
      </c>
      <c r="M204" s="256"/>
      <c r="N204" s="325" t="s">
        <v>490</v>
      </c>
      <c r="O204" s="311"/>
      <c r="P204" s="325" t="s">
        <v>491</v>
      </c>
      <c r="Q204" s="310"/>
      <c r="R204" s="325">
        <f>R$8</f>
        <v>2014</v>
      </c>
      <c r="S204" s="325">
        <f t="shared" ref="S204:AU204" si="143">S$8</f>
        <v>2015</v>
      </c>
      <c r="T204" s="325">
        <f t="shared" si="143"/>
        <v>2016</v>
      </c>
      <c r="U204" s="325">
        <f t="shared" si="143"/>
        <v>2017</v>
      </c>
      <c r="V204" s="325">
        <f t="shared" si="143"/>
        <v>2018</v>
      </c>
      <c r="W204" s="325">
        <f t="shared" si="143"/>
        <v>2019</v>
      </c>
      <c r="X204" s="325">
        <f t="shared" si="143"/>
        <v>2020</v>
      </c>
      <c r="Y204" s="325">
        <f t="shared" si="143"/>
        <v>2021</v>
      </c>
      <c r="Z204" s="325">
        <f t="shared" si="143"/>
        <v>2022</v>
      </c>
      <c r="AA204" s="325">
        <f t="shared" si="143"/>
        <v>2023</v>
      </c>
      <c r="AB204" s="325">
        <f t="shared" si="143"/>
        <v>2024</v>
      </c>
      <c r="AC204" s="325">
        <f t="shared" si="143"/>
        <v>2025</v>
      </c>
      <c r="AD204" s="325">
        <f t="shared" si="143"/>
        <v>2026</v>
      </c>
      <c r="AE204" s="325">
        <f t="shared" si="143"/>
        <v>2027</v>
      </c>
      <c r="AF204" s="325">
        <f t="shared" si="143"/>
        <v>2028</v>
      </c>
      <c r="AG204" s="325">
        <f t="shared" si="143"/>
        <v>2029</v>
      </c>
      <c r="AH204" s="325">
        <f t="shared" si="143"/>
        <v>2030</v>
      </c>
      <c r="AI204" s="325">
        <f t="shared" si="143"/>
        <v>2031</v>
      </c>
      <c r="AJ204" s="325">
        <f t="shared" si="143"/>
        <v>2032</v>
      </c>
      <c r="AK204" s="325">
        <f t="shared" si="143"/>
        <v>2033</v>
      </c>
      <c r="AL204" s="325">
        <f t="shared" si="143"/>
        <v>2034</v>
      </c>
      <c r="AM204" s="325">
        <f t="shared" si="143"/>
        <v>2035</v>
      </c>
      <c r="AN204" s="325">
        <f t="shared" si="143"/>
        <v>2036</v>
      </c>
      <c r="AO204" s="325">
        <f t="shared" si="143"/>
        <v>2037</v>
      </c>
      <c r="AP204" s="325">
        <f t="shared" si="143"/>
        <v>2038</v>
      </c>
      <c r="AQ204" s="325">
        <f t="shared" si="143"/>
        <v>2039</v>
      </c>
      <c r="AR204" s="325">
        <f t="shared" si="143"/>
        <v>2040</v>
      </c>
      <c r="AS204" s="325">
        <f t="shared" si="143"/>
        <v>2041</v>
      </c>
      <c r="AT204" s="325">
        <f t="shared" si="143"/>
        <v>2042</v>
      </c>
      <c r="AU204" s="325">
        <f t="shared" si="143"/>
        <v>2043</v>
      </c>
    </row>
    <row r="205" spans="1:47">
      <c r="E205" s="325"/>
      <c r="G205" s="39"/>
      <c r="H205" s="39"/>
      <c r="I205" s="39"/>
      <c r="J205" s="39"/>
      <c r="K205" s="39"/>
    </row>
    <row r="206" spans="1:47">
      <c r="E206" s="325"/>
      <c r="G206" s="39" t="s">
        <v>23</v>
      </c>
      <c r="H206" s="39"/>
      <c r="I206" s="39"/>
      <c r="J206" s="39"/>
      <c r="K206" s="39"/>
    </row>
    <row r="207" spans="1:47">
      <c r="A207" s="38" t="str">
        <f t="shared" ref="A207:A214" si="144">$J$4&amp;"-"</f>
        <v>1Y-</v>
      </c>
      <c r="B207" s="38" t="s">
        <v>262</v>
      </c>
      <c r="C207" s="38" t="str">
        <f>C201</f>
        <v>CHP</v>
      </c>
      <c r="D207" s="186">
        <f>LaborEsc</f>
        <v>0.02</v>
      </c>
      <c r="E207" s="325"/>
      <c r="G207" s="36" t="s">
        <v>125</v>
      </c>
      <c r="I207" s="39"/>
      <c r="K207" s="39"/>
      <c r="L207" s="43" t="s">
        <v>266</v>
      </c>
      <c r="N207" s="70">
        <f ca="1">SUMIFS(OFFSET(Assumptions!$I$90,0,MATCH($A207,Configurations,0)-1,COUNT(Assumptions!$A$90:$A$183),1),Assumptions!$D$90:$D$183,$B207&amp;$C207)</f>
        <v>1460</v>
      </c>
      <c r="O207" s="313"/>
      <c r="P207" s="323"/>
      <c r="Q207" s="313"/>
      <c r="R207" s="50">
        <f t="shared" ref="R207:AU207" ca="1" si="145">IF(OR(R$99&lt;InServiceYr,R$99&gt;(InServiceYr+analysis_period-1)),0,IF($P207=0,$N207,$P207)*LaborCost*(1+$D207)^(R$99-CostBaseYr))</f>
        <v>52122</v>
      </c>
      <c r="S207" s="50">
        <f t="shared" ca="1" si="145"/>
        <v>53164.44</v>
      </c>
      <c r="T207" s="50">
        <f t="shared" ca="1" si="145"/>
        <v>54227.728799999997</v>
      </c>
      <c r="U207" s="50">
        <f t="shared" ca="1" si="145"/>
        <v>55312.283375999999</v>
      </c>
      <c r="V207" s="50">
        <f t="shared" ca="1" si="145"/>
        <v>56418.52904352</v>
      </c>
      <c r="W207" s="50">
        <f t="shared" ca="1" si="145"/>
        <v>57546.899624390404</v>
      </c>
      <c r="X207" s="50">
        <f t="shared" ca="1" si="145"/>
        <v>58697.837616878198</v>
      </c>
      <c r="Y207" s="50">
        <f t="shared" ca="1" si="145"/>
        <v>59871.794369215771</v>
      </c>
      <c r="Z207" s="50">
        <f t="shared" ca="1" si="145"/>
        <v>61069.230256600087</v>
      </c>
      <c r="AA207" s="50">
        <f t="shared" ca="1" si="145"/>
        <v>62290.614861732087</v>
      </c>
      <c r="AB207" s="50">
        <f t="shared" ca="1" si="145"/>
        <v>63536.427158966719</v>
      </c>
      <c r="AC207" s="50">
        <f t="shared" ca="1" si="145"/>
        <v>64807.155702146061</v>
      </c>
      <c r="AD207" s="50">
        <f t="shared" ca="1" si="145"/>
        <v>66103.298816188981</v>
      </c>
      <c r="AE207" s="50">
        <f t="shared" ca="1" si="145"/>
        <v>67425.364792512773</v>
      </c>
      <c r="AF207" s="50">
        <f t="shared" ca="1" si="145"/>
        <v>68773.872088363001</v>
      </c>
      <c r="AG207" s="50">
        <f t="shared" ca="1" si="145"/>
        <v>70149.349530130276</v>
      </c>
      <c r="AH207" s="50">
        <f t="shared" ca="1" si="145"/>
        <v>71552.33652073289</v>
      </c>
      <c r="AI207" s="50">
        <f t="shared" ca="1" si="145"/>
        <v>72983.383251147534</v>
      </c>
      <c r="AJ207" s="50">
        <f t="shared" ca="1" si="145"/>
        <v>74443.050916170483</v>
      </c>
      <c r="AK207" s="50">
        <f t="shared" ca="1" si="145"/>
        <v>75931.911934493895</v>
      </c>
      <c r="AL207" s="50">
        <f t="shared" si="145"/>
        <v>0</v>
      </c>
      <c r="AM207" s="50">
        <f t="shared" si="145"/>
        <v>0</v>
      </c>
      <c r="AN207" s="50">
        <f t="shared" si="145"/>
        <v>0</v>
      </c>
      <c r="AO207" s="50">
        <f t="shared" si="145"/>
        <v>0</v>
      </c>
      <c r="AP207" s="50">
        <f t="shared" si="145"/>
        <v>0</v>
      </c>
      <c r="AQ207" s="50">
        <f t="shared" si="145"/>
        <v>0</v>
      </c>
      <c r="AR207" s="50">
        <f t="shared" si="145"/>
        <v>0</v>
      </c>
      <c r="AS207" s="50">
        <f t="shared" si="145"/>
        <v>0</v>
      </c>
      <c r="AT207" s="50">
        <f t="shared" si="145"/>
        <v>0</v>
      </c>
      <c r="AU207" s="50">
        <f t="shared" si="145"/>
        <v>0</v>
      </c>
    </row>
    <row r="208" spans="1:47">
      <c r="A208" s="38" t="str">
        <f t="shared" si="144"/>
        <v>1Y-</v>
      </c>
      <c r="B208" s="38" t="s">
        <v>270</v>
      </c>
      <c r="C208" s="38" t="str">
        <f>C207</f>
        <v>CHP</v>
      </c>
      <c r="D208" s="186">
        <f>OMEsc</f>
        <v>0.02</v>
      </c>
      <c r="E208" s="325"/>
      <c r="G208" s="36" t="s">
        <v>126</v>
      </c>
      <c r="I208" s="39"/>
      <c r="K208" s="39"/>
      <c r="L208" s="43" t="str">
        <f>"["&amp;CostBaseYr&amp;" $]"</f>
        <v>[2013 $]</v>
      </c>
      <c r="N208" s="70">
        <f ca="1">SUMIFS(OFFSET(Assumptions!$I$90,0,MATCH($A208,Configurations,0)-1,COUNT(Assumptions!$A$90:$A$183),1),Assumptions!$D$90:$D$183,$B208&amp;$C208)</f>
        <v>15000</v>
      </c>
      <c r="O208" s="313"/>
      <c r="P208" s="323"/>
      <c r="Q208" s="313"/>
      <c r="R208" s="50">
        <f t="shared" ref="R208:AG210" ca="1" si="146">IF(OR(R$99&lt;InServiceYr,R$99&gt;(InServiceYr+analysis_period-1)),0,IF($P208=0,$N208,$P208)*(1+$D208)^(R$99-CostBaseYr))</f>
        <v>15300</v>
      </c>
      <c r="S208" s="50">
        <f t="shared" ca="1" si="146"/>
        <v>15606</v>
      </c>
      <c r="T208" s="50">
        <f t="shared" ca="1" si="146"/>
        <v>15918.119999999999</v>
      </c>
      <c r="U208" s="50">
        <f t="shared" ca="1" si="146"/>
        <v>16236.482399999999</v>
      </c>
      <c r="V208" s="50">
        <f t="shared" ca="1" si="146"/>
        <v>16561.212048000001</v>
      </c>
      <c r="W208" s="50">
        <f t="shared" ca="1" si="146"/>
        <v>16892.436288960002</v>
      </c>
      <c r="X208" s="50">
        <f t="shared" ca="1" si="146"/>
        <v>17230.285014739198</v>
      </c>
      <c r="Y208" s="50">
        <f t="shared" ca="1" si="146"/>
        <v>17574.890715033984</v>
      </c>
      <c r="Z208" s="50">
        <f t="shared" ca="1" si="146"/>
        <v>17926.388529334661</v>
      </c>
      <c r="AA208" s="50">
        <f t="shared" ca="1" si="146"/>
        <v>18284.916299921355</v>
      </c>
      <c r="AB208" s="50">
        <f t="shared" ca="1" si="146"/>
        <v>18650.614625919781</v>
      </c>
      <c r="AC208" s="50">
        <f t="shared" ca="1" si="146"/>
        <v>19023.626918438178</v>
      </c>
      <c r="AD208" s="50">
        <f t="shared" ca="1" si="146"/>
        <v>19404.09945680694</v>
      </c>
      <c r="AE208" s="50">
        <f t="shared" ca="1" si="146"/>
        <v>19792.181445943083</v>
      </c>
      <c r="AF208" s="50">
        <f t="shared" ca="1" si="146"/>
        <v>20188.02507486194</v>
      </c>
      <c r="AG208" s="50">
        <f t="shared" ca="1" si="146"/>
        <v>20591.78557635918</v>
      </c>
      <c r="AH208" s="50">
        <f t="shared" ref="S208:AU210" ca="1" si="147">IF(OR(AH$99&lt;InServiceYr,AH$99&gt;(InServiceYr+analysis_period-1)),0,IF($P208=0,$N208,$P208)*(1+$D208)^(AH$99-CostBaseYr))</f>
        <v>21003.621287886366</v>
      </c>
      <c r="AI208" s="50">
        <f t="shared" ca="1" si="147"/>
        <v>21423.69371364409</v>
      </c>
      <c r="AJ208" s="50">
        <f t="shared" ca="1" si="147"/>
        <v>21852.167587916971</v>
      </c>
      <c r="AK208" s="50">
        <f t="shared" ca="1" si="147"/>
        <v>22289.210939675315</v>
      </c>
      <c r="AL208" s="50">
        <f t="shared" si="147"/>
        <v>0</v>
      </c>
      <c r="AM208" s="50">
        <f t="shared" si="147"/>
        <v>0</v>
      </c>
      <c r="AN208" s="50">
        <f t="shared" si="147"/>
        <v>0</v>
      </c>
      <c r="AO208" s="50">
        <f t="shared" si="147"/>
        <v>0</v>
      </c>
      <c r="AP208" s="50">
        <f t="shared" si="147"/>
        <v>0</v>
      </c>
      <c r="AQ208" s="50">
        <f t="shared" si="147"/>
        <v>0</v>
      </c>
      <c r="AR208" s="50">
        <f t="shared" si="147"/>
        <v>0</v>
      </c>
      <c r="AS208" s="50">
        <f t="shared" si="147"/>
        <v>0</v>
      </c>
      <c r="AT208" s="50">
        <f t="shared" si="147"/>
        <v>0</v>
      </c>
      <c r="AU208" s="50">
        <f t="shared" si="147"/>
        <v>0</v>
      </c>
    </row>
    <row r="209" spans="1:47">
      <c r="A209" s="38" t="str">
        <f t="shared" si="144"/>
        <v>1Y-</v>
      </c>
      <c r="B209" s="38" t="s">
        <v>263</v>
      </c>
      <c r="C209" s="38" t="str">
        <f t="shared" ref="C209:C213" si="148">C208</f>
        <v>CHP</v>
      </c>
      <c r="D209" s="186">
        <f>OMEsc</f>
        <v>0.02</v>
      </c>
      <c r="E209" s="325"/>
      <c r="G209" s="36" t="s">
        <v>127</v>
      </c>
      <c r="I209" s="39"/>
      <c r="K209" s="39"/>
      <c r="L209" s="43" t="str">
        <f>"["&amp;CostBaseYr&amp;" $]"</f>
        <v>[2013 $]</v>
      </c>
      <c r="N209" s="70">
        <f ca="1">SUMIFS(OFFSET(Assumptions!$I$90,0,MATCH($A209,Configurations,0)-1,COUNT(Assumptions!$A$90:$A$183),1),Assumptions!$D$90:$D$183,$B209&amp;$C209)</f>
        <v>0</v>
      </c>
      <c r="O209" s="313"/>
      <c r="P209" s="323"/>
      <c r="Q209" s="313"/>
      <c r="R209" s="50">
        <f t="shared" ca="1" si="146"/>
        <v>0</v>
      </c>
      <c r="S209" s="50">
        <f t="shared" ca="1" si="147"/>
        <v>0</v>
      </c>
      <c r="T209" s="50">
        <f t="shared" ca="1" si="147"/>
        <v>0</v>
      </c>
      <c r="U209" s="50">
        <f t="shared" ca="1" si="147"/>
        <v>0</v>
      </c>
      <c r="V209" s="50">
        <f t="shared" ca="1" si="147"/>
        <v>0</v>
      </c>
      <c r="W209" s="50">
        <f t="shared" ca="1" si="147"/>
        <v>0</v>
      </c>
      <c r="X209" s="50">
        <f t="shared" ca="1" si="147"/>
        <v>0</v>
      </c>
      <c r="Y209" s="50">
        <f t="shared" ca="1" si="147"/>
        <v>0</v>
      </c>
      <c r="Z209" s="50">
        <f t="shared" ca="1" si="147"/>
        <v>0</v>
      </c>
      <c r="AA209" s="50">
        <f t="shared" ca="1" si="147"/>
        <v>0</v>
      </c>
      <c r="AB209" s="50">
        <f t="shared" ca="1" si="147"/>
        <v>0</v>
      </c>
      <c r="AC209" s="50">
        <f t="shared" ca="1" si="147"/>
        <v>0</v>
      </c>
      <c r="AD209" s="50">
        <f t="shared" ca="1" si="147"/>
        <v>0</v>
      </c>
      <c r="AE209" s="50">
        <f t="shared" ca="1" si="147"/>
        <v>0</v>
      </c>
      <c r="AF209" s="50">
        <f t="shared" ca="1" si="147"/>
        <v>0</v>
      </c>
      <c r="AG209" s="50">
        <f t="shared" ca="1" si="147"/>
        <v>0</v>
      </c>
      <c r="AH209" s="50">
        <f t="shared" ca="1" si="147"/>
        <v>0</v>
      </c>
      <c r="AI209" s="50">
        <f t="shared" ca="1" si="147"/>
        <v>0</v>
      </c>
      <c r="AJ209" s="50">
        <f t="shared" ca="1" si="147"/>
        <v>0</v>
      </c>
      <c r="AK209" s="50">
        <f t="shared" ca="1" si="147"/>
        <v>0</v>
      </c>
      <c r="AL209" s="50">
        <f t="shared" si="147"/>
        <v>0</v>
      </c>
      <c r="AM209" s="50">
        <f t="shared" si="147"/>
        <v>0</v>
      </c>
      <c r="AN209" s="50">
        <f t="shared" si="147"/>
        <v>0</v>
      </c>
      <c r="AO209" s="50">
        <f t="shared" si="147"/>
        <v>0</v>
      </c>
      <c r="AP209" s="50">
        <f t="shared" si="147"/>
        <v>0</v>
      </c>
      <c r="AQ209" s="50">
        <f t="shared" si="147"/>
        <v>0</v>
      </c>
      <c r="AR209" s="50">
        <f t="shared" si="147"/>
        <v>0</v>
      </c>
      <c r="AS209" s="50">
        <f t="shared" si="147"/>
        <v>0</v>
      </c>
      <c r="AT209" s="50">
        <f t="shared" si="147"/>
        <v>0</v>
      </c>
      <c r="AU209" s="50">
        <f t="shared" si="147"/>
        <v>0</v>
      </c>
    </row>
    <row r="210" spans="1:47">
      <c r="A210" s="38" t="str">
        <f t="shared" si="144"/>
        <v>1Y-</v>
      </c>
      <c r="B210" s="38" t="s">
        <v>277</v>
      </c>
      <c r="C210" s="38" t="str">
        <f t="shared" si="148"/>
        <v>CHP</v>
      </c>
      <c r="D210" s="186">
        <f>OMEsc</f>
        <v>0.02</v>
      </c>
      <c r="E210" s="325"/>
      <c r="G210" s="36" t="s">
        <v>276</v>
      </c>
      <c r="I210" s="39"/>
      <c r="K210" s="39"/>
      <c r="L210" s="43" t="str">
        <f>"["&amp;CostBaseYr&amp;" $]"</f>
        <v>[2013 $]</v>
      </c>
      <c r="N210" s="70">
        <f ca="1">SUMIFS(OFFSET(Assumptions!$I$90,0,MATCH($A210,Configurations,0)-1,COUNT(Assumptions!$A$90:$A$183),1),Assumptions!$D$90:$D$183,$B210&amp;$C210)</f>
        <v>0</v>
      </c>
      <c r="O210" s="313"/>
      <c r="P210" s="323"/>
      <c r="Q210" s="313"/>
      <c r="R210" s="50">
        <f t="shared" ca="1" si="146"/>
        <v>0</v>
      </c>
      <c r="S210" s="50">
        <f t="shared" ca="1" si="147"/>
        <v>0</v>
      </c>
      <c r="T210" s="50">
        <f t="shared" ca="1" si="147"/>
        <v>0</v>
      </c>
      <c r="U210" s="50">
        <f t="shared" ca="1" si="147"/>
        <v>0</v>
      </c>
      <c r="V210" s="50">
        <f t="shared" ca="1" si="147"/>
        <v>0</v>
      </c>
      <c r="W210" s="50">
        <f t="shared" ca="1" si="147"/>
        <v>0</v>
      </c>
      <c r="X210" s="50">
        <f t="shared" ca="1" si="147"/>
        <v>0</v>
      </c>
      <c r="Y210" s="50">
        <f t="shared" ca="1" si="147"/>
        <v>0</v>
      </c>
      <c r="Z210" s="50">
        <f t="shared" ca="1" si="147"/>
        <v>0</v>
      </c>
      <c r="AA210" s="50">
        <f t="shared" ca="1" si="147"/>
        <v>0</v>
      </c>
      <c r="AB210" s="50">
        <f t="shared" ca="1" si="147"/>
        <v>0</v>
      </c>
      <c r="AC210" s="50">
        <f t="shared" ca="1" si="147"/>
        <v>0</v>
      </c>
      <c r="AD210" s="50">
        <f t="shared" ca="1" si="147"/>
        <v>0</v>
      </c>
      <c r="AE210" s="50">
        <f t="shared" ca="1" si="147"/>
        <v>0</v>
      </c>
      <c r="AF210" s="50">
        <f t="shared" ca="1" si="147"/>
        <v>0</v>
      </c>
      <c r="AG210" s="50">
        <f t="shared" ca="1" si="147"/>
        <v>0</v>
      </c>
      <c r="AH210" s="50">
        <f t="shared" ca="1" si="147"/>
        <v>0</v>
      </c>
      <c r="AI210" s="50">
        <f t="shared" ca="1" si="147"/>
        <v>0</v>
      </c>
      <c r="AJ210" s="50">
        <f t="shared" ca="1" si="147"/>
        <v>0</v>
      </c>
      <c r="AK210" s="50">
        <f t="shared" ca="1" si="147"/>
        <v>0</v>
      </c>
      <c r="AL210" s="50">
        <f t="shared" si="147"/>
        <v>0</v>
      </c>
      <c r="AM210" s="50">
        <f t="shared" si="147"/>
        <v>0</v>
      </c>
      <c r="AN210" s="50">
        <f t="shared" si="147"/>
        <v>0</v>
      </c>
      <c r="AO210" s="50">
        <f t="shared" si="147"/>
        <v>0</v>
      </c>
      <c r="AP210" s="50">
        <f t="shared" si="147"/>
        <v>0</v>
      </c>
      <c r="AQ210" s="50">
        <f t="shared" si="147"/>
        <v>0</v>
      </c>
      <c r="AR210" s="50">
        <f t="shared" si="147"/>
        <v>0</v>
      </c>
      <c r="AS210" s="50">
        <f t="shared" si="147"/>
        <v>0</v>
      </c>
      <c r="AT210" s="50">
        <f t="shared" si="147"/>
        <v>0</v>
      </c>
      <c r="AU210" s="50">
        <f t="shared" si="147"/>
        <v>0</v>
      </c>
    </row>
    <row r="211" spans="1:47">
      <c r="A211" s="38" t="str">
        <f t="shared" si="144"/>
        <v>1Y-</v>
      </c>
      <c r="B211" s="38" t="s">
        <v>274</v>
      </c>
      <c r="C211" s="38" t="str">
        <f t="shared" si="148"/>
        <v>CHP</v>
      </c>
      <c r="D211" s="186"/>
      <c r="E211" s="325"/>
      <c r="G211" s="36" t="s">
        <v>16</v>
      </c>
      <c r="I211" s="39"/>
      <c r="K211" s="39"/>
      <c r="L211" s="43" t="s">
        <v>275</v>
      </c>
      <c r="N211" s="70">
        <f ca="1">SUMIFS(OFFSET(Assumptions!$I$90,0,MATCH($A211,Configurations,0)-1,COUNT(Assumptions!$A$90:$A$183),1),Assumptions!$D$90:$D$183,$B211&amp;$C211)</f>
        <v>0</v>
      </c>
      <c r="O211" s="313"/>
      <c r="P211" s="323"/>
      <c r="Q211" s="313"/>
      <c r="R211" s="50">
        <f t="shared" ref="R211:AU211" ca="1" si="149">IF(OR(R$99&lt;InServiceYr,R$99&gt;(InServiceYr+analysis_period-1)),0,IF($P211=0,$N211,$P211)*R$505)</f>
        <v>0</v>
      </c>
      <c r="S211" s="50">
        <f t="shared" ca="1" si="149"/>
        <v>0</v>
      </c>
      <c r="T211" s="50">
        <f t="shared" ca="1" si="149"/>
        <v>0</v>
      </c>
      <c r="U211" s="50">
        <f t="shared" ca="1" si="149"/>
        <v>0</v>
      </c>
      <c r="V211" s="50">
        <f t="shared" ca="1" si="149"/>
        <v>0</v>
      </c>
      <c r="W211" s="50">
        <f t="shared" ca="1" si="149"/>
        <v>0</v>
      </c>
      <c r="X211" s="50">
        <f t="shared" ca="1" si="149"/>
        <v>0</v>
      </c>
      <c r="Y211" s="50">
        <f t="shared" ca="1" si="149"/>
        <v>0</v>
      </c>
      <c r="Z211" s="50">
        <f t="shared" ca="1" si="149"/>
        <v>0</v>
      </c>
      <c r="AA211" s="50">
        <f t="shared" ca="1" si="149"/>
        <v>0</v>
      </c>
      <c r="AB211" s="50">
        <f t="shared" ca="1" si="149"/>
        <v>0</v>
      </c>
      <c r="AC211" s="50">
        <f t="shared" ca="1" si="149"/>
        <v>0</v>
      </c>
      <c r="AD211" s="50">
        <f t="shared" ca="1" si="149"/>
        <v>0</v>
      </c>
      <c r="AE211" s="50">
        <f t="shared" ca="1" si="149"/>
        <v>0</v>
      </c>
      <c r="AF211" s="50">
        <f t="shared" ca="1" si="149"/>
        <v>0</v>
      </c>
      <c r="AG211" s="50">
        <f t="shared" ca="1" si="149"/>
        <v>0</v>
      </c>
      <c r="AH211" s="50">
        <f t="shared" ca="1" si="149"/>
        <v>0</v>
      </c>
      <c r="AI211" s="50">
        <f t="shared" ca="1" si="149"/>
        <v>0</v>
      </c>
      <c r="AJ211" s="50">
        <f t="shared" ca="1" si="149"/>
        <v>0</v>
      </c>
      <c r="AK211" s="50">
        <f t="shared" ca="1" si="149"/>
        <v>0</v>
      </c>
      <c r="AL211" s="50">
        <f t="shared" si="149"/>
        <v>0</v>
      </c>
      <c r="AM211" s="50">
        <f t="shared" si="149"/>
        <v>0</v>
      </c>
      <c r="AN211" s="50">
        <f t="shared" si="149"/>
        <v>0</v>
      </c>
      <c r="AO211" s="50">
        <f t="shared" si="149"/>
        <v>0</v>
      </c>
      <c r="AP211" s="50">
        <f t="shared" si="149"/>
        <v>0</v>
      </c>
      <c r="AQ211" s="50">
        <f t="shared" si="149"/>
        <v>0</v>
      </c>
      <c r="AR211" s="50">
        <f t="shared" si="149"/>
        <v>0</v>
      </c>
      <c r="AS211" s="50">
        <f t="shared" si="149"/>
        <v>0</v>
      </c>
      <c r="AT211" s="50">
        <f t="shared" si="149"/>
        <v>0</v>
      </c>
      <c r="AU211" s="50">
        <f t="shared" si="149"/>
        <v>0</v>
      </c>
    </row>
    <row r="212" spans="1:47">
      <c r="A212" s="38" t="str">
        <f t="shared" si="144"/>
        <v>1Y-</v>
      </c>
      <c r="B212" s="38" t="s">
        <v>257</v>
      </c>
      <c r="C212" s="38" t="str">
        <f t="shared" si="148"/>
        <v>CHP</v>
      </c>
      <c r="D212" s="186"/>
      <c r="E212" s="325"/>
      <c r="G212" s="36" t="s">
        <v>284</v>
      </c>
      <c r="I212" s="39"/>
      <c r="K212" s="39"/>
      <c r="L212" s="43" t="s">
        <v>293</v>
      </c>
      <c r="N212" s="70">
        <f ca="1">SUMIFS(OFFSET(Assumptions!$I$90,0,MATCH($A212,Configurations,0)-1,COUNT(Assumptions!$A$90:$A$183),1),Assumptions!$D$90:$D$183,$B212&amp;$C212)</f>
        <v>0</v>
      </c>
      <c r="O212" s="313"/>
      <c r="P212" s="323"/>
      <c r="Q212" s="313"/>
      <c r="R212" s="50">
        <f t="shared" ref="R212:AU212" ca="1" si="150">IF(OR(R$99&lt;InServiceYr,R$99&gt;(InServiceYr+analysis_period-1)),0,IF($P212=0,$N212,$P212)*R$501)</f>
        <v>0</v>
      </c>
      <c r="S212" s="50">
        <f t="shared" ca="1" si="150"/>
        <v>0</v>
      </c>
      <c r="T212" s="50">
        <f t="shared" ca="1" si="150"/>
        <v>0</v>
      </c>
      <c r="U212" s="50">
        <f t="shared" ca="1" si="150"/>
        <v>0</v>
      </c>
      <c r="V212" s="50">
        <f t="shared" ca="1" si="150"/>
        <v>0</v>
      </c>
      <c r="W212" s="50">
        <f t="shared" ca="1" si="150"/>
        <v>0</v>
      </c>
      <c r="X212" s="50">
        <f t="shared" ca="1" si="150"/>
        <v>0</v>
      </c>
      <c r="Y212" s="50">
        <f t="shared" ca="1" si="150"/>
        <v>0</v>
      </c>
      <c r="Z212" s="50">
        <f t="shared" ca="1" si="150"/>
        <v>0</v>
      </c>
      <c r="AA212" s="50">
        <f t="shared" ca="1" si="150"/>
        <v>0</v>
      </c>
      <c r="AB212" s="50">
        <f t="shared" ca="1" si="150"/>
        <v>0</v>
      </c>
      <c r="AC212" s="50">
        <f t="shared" ca="1" si="150"/>
        <v>0</v>
      </c>
      <c r="AD212" s="50">
        <f t="shared" ca="1" si="150"/>
        <v>0</v>
      </c>
      <c r="AE212" s="50">
        <f t="shared" ca="1" si="150"/>
        <v>0</v>
      </c>
      <c r="AF212" s="50">
        <f t="shared" ca="1" si="150"/>
        <v>0</v>
      </c>
      <c r="AG212" s="50">
        <f t="shared" ca="1" si="150"/>
        <v>0</v>
      </c>
      <c r="AH212" s="50">
        <f t="shared" ca="1" si="150"/>
        <v>0</v>
      </c>
      <c r="AI212" s="50">
        <f t="shared" ca="1" si="150"/>
        <v>0</v>
      </c>
      <c r="AJ212" s="50">
        <f t="shared" ca="1" si="150"/>
        <v>0</v>
      </c>
      <c r="AK212" s="50">
        <f t="shared" ca="1" si="150"/>
        <v>0</v>
      </c>
      <c r="AL212" s="50">
        <f t="shared" si="150"/>
        <v>0</v>
      </c>
      <c r="AM212" s="50">
        <f t="shared" si="150"/>
        <v>0</v>
      </c>
      <c r="AN212" s="50">
        <f t="shared" si="150"/>
        <v>0</v>
      </c>
      <c r="AO212" s="50">
        <f t="shared" si="150"/>
        <v>0</v>
      </c>
      <c r="AP212" s="50">
        <f t="shared" si="150"/>
        <v>0</v>
      </c>
      <c r="AQ212" s="50">
        <f t="shared" si="150"/>
        <v>0</v>
      </c>
      <c r="AR212" s="50">
        <f t="shared" si="150"/>
        <v>0</v>
      </c>
      <c r="AS212" s="50">
        <f t="shared" si="150"/>
        <v>0</v>
      </c>
      <c r="AT212" s="50">
        <f t="shared" si="150"/>
        <v>0</v>
      </c>
      <c r="AU212" s="50">
        <f t="shared" si="150"/>
        <v>0</v>
      </c>
    </row>
    <row r="213" spans="1:47">
      <c r="A213" s="38" t="str">
        <f t="shared" si="144"/>
        <v>1Y-</v>
      </c>
      <c r="B213" s="38" t="s">
        <v>864</v>
      </c>
      <c r="C213" s="38" t="str">
        <f t="shared" si="148"/>
        <v>CHP</v>
      </c>
      <c r="D213" s="186">
        <f>GHGEsc</f>
        <v>0.02</v>
      </c>
      <c r="E213" s="325"/>
      <c r="G213" s="36" t="s">
        <v>865</v>
      </c>
      <c r="I213" s="39"/>
      <c r="K213" s="39"/>
      <c r="L213" s="43" t="s">
        <v>866</v>
      </c>
      <c r="N213" s="70">
        <f ca="1">SUMIFS(OFFSET(Assumptions!$I$90,0,MATCH($A213,Configurations,0)-1,COUNT(Assumptions!$A$90:$A$183),1),Assumptions!$D$90:$D$183,$B213&amp;$C213)</f>
        <v>1507.4250440917108</v>
      </c>
      <c r="O213" s="313"/>
      <c r="P213" s="323"/>
      <c r="Q213" s="313"/>
      <c r="R213" s="50">
        <f t="shared" ref="R213:AU213" ca="1" si="151">IF(OR(R$99&lt;InServiceYr,R$99&gt;(InServiceYr+analysis_period-1)),0,IF($P213=0,$N213,$P213)*R$513)</f>
        <v>0</v>
      </c>
      <c r="S213" s="50">
        <f t="shared" ca="1" si="151"/>
        <v>0</v>
      </c>
      <c r="T213" s="50">
        <f t="shared" ca="1" si="151"/>
        <v>0</v>
      </c>
      <c r="U213" s="50">
        <f t="shared" ca="1" si="151"/>
        <v>0</v>
      </c>
      <c r="V213" s="50">
        <f t="shared" ca="1" si="151"/>
        <v>0</v>
      </c>
      <c r="W213" s="50">
        <f t="shared" ca="1" si="151"/>
        <v>0</v>
      </c>
      <c r="X213" s="50">
        <f t="shared" ca="1" si="151"/>
        <v>0</v>
      </c>
      <c r="Y213" s="50">
        <f t="shared" ca="1" si="151"/>
        <v>0</v>
      </c>
      <c r="Z213" s="50">
        <f t="shared" ca="1" si="151"/>
        <v>0</v>
      </c>
      <c r="AA213" s="50">
        <f t="shared" ca="1" si="151"/>
        <v>0</v>
      </c>
      <c r="AB213" s="50">
        <f t="shared" ca="1" si="151"/>
        <v>0</v>
      </c>
      <c r="AC213" s="50">
        <f t="shared" ca="1" si="151"/>
        <v>0</v>
      </c>
      <c r="AD213" s="50">
        <f t="shared" ca="1" si="151"/>
        <v>0</v>
      </c>
      <c r="AE213" s="50">
        <f t="shared" ca="1" si="151"/>
        <v>0</v>
      </c>
      <c r="AF213" s="50">
        <f t="shared" ca="1" si="151"/>
        <v>0</v>
      </c>
      <c r="AG213" s="50">
        <f t="shared" ca="1" si="151"/>
        <v>0</v>
      </c>
      <c r="AH213" s="50">
        <f t="shared" ca="1" si="151"/>
        <v>0</v>
      </c>
      <c r="AI213" s="50">
        <f t="shared" ca="1" si="151"/>
        <v>0</v>
      </c>
      <c r="AJ213" s="50">
        <f t="shared" ca="1" si="151"/>
        <v>0</v>
      </c>
      <c r="AK213" s="50">
        <f t="shared" ca="1" si="151"/>
        <v>0</v>
      </c>
      <c r="AL213" s="50">
        <f t="shared" si="151"/>
        <v>0</v>
      </c>
      <c r="AM213" s="50">
        <f t="shared" si="151"/>
        <v>0</v>
      </c>
      <c r="AN213" s="50">
        <f t="shared" si="151"/>
        <v>0</v>
      </c>
      <c r="AO213" s="50">
        <f t="shared" si="151"/>
        <v>0</v>
      </c>
      <c r="AP213" s="50">
        <f t="shared" si="151"/>
        <v>0</v>
      </c>
      <c r="AQ213" s="50">
        <f t="shared" si="151"/>
        <v>0</v>
      </c>
      <c r="AR213" s="50">
        <f t="shared" si="151"/>
        <v>0</v>
      </c>
      <c r="AS213" s="50">
        <f t="shared" si="151"/>
        <v>0</v>
      </c>
      <c r="AT213" s="50">
        <f t="shared" si="151"/>
        <v>0</v>
      </c>
      <c r="AU213" s="50">
        <f t="shared" si="151"/>
        <v>0</v>
      </c>
    </row>
    <row r="214" spans="1:47">
      <c r="A214" s="38" t="str">
        <f t="shared" si="144"/>
        <v>1Y-</v>
      </c>
      <c r="B214" s="38" t="s">
        <v>273</v>
      </c>
      <c r="C214" s="38" t="str">
        <f>C212</f>
        <v>CHP</v>
      </c>
      <c r="D214" s="186">
        <f>LaborEsc</f>
        <v>0.02</v>
      </c>
      <c r="E214" s="325"/>
      <c r="G214" s="36" t="s">
        <v>291</v>
      </c>
      <c r="I214" s="39"/>
      <c r="K214" s="39"/>
      <c r="L214" s="43" t="str">
        <f>"["&amp;CostBaseYr&amp;" $]"</f>
        <v>[2013 $]</v>
      </c>
      <c r="N214" s="70">
        <f ca="1">SUMIFS(OFFSET(Assumptions!$I$90,0,MATCH($A214,Configurations,0)-1,COUNT(Assumptions!$A$90:$A$183),1),Assumptions!$D$90:$D$183,$B214&amp;$C214)</f>
        <v>0</v>
      </c>
      <c r="O214" s="313"/>
      <c r="P214" s="323"/>
      <c r="Q214" s="313"/>
      <c r="R214" s="50">
        <f t="shared" ref="R214:AU214" ca="1" si="152">IF(OR(R$99&lt;InServiceYr,R$99&gt;(InServiceYr+analysis_period-1)),0,IF($P214=0,$N214,$P214)*(1+$D214)^(R$99-CostBaseYr))*R$509</f>
        <v>0</v>
      </c>
      <c r="S214" s="50">
        <f t="shared" ca="1" si="152"/>
        <v>0</v>
      </c>
      <c r="T214" s="50">
        <f t="shared" ca="1" si="152"/>
        <v>0</v>
      </c>
      <c r="U214" s="50">
        <f t="shared" ca="1" si="152"/>
        <v>0</v>
      </c>
      <c r="V214" s="50">
        <f t="shared" ca="1" si="152"/>
        <v>0</v>
      </c>
      <c r="W214" s="50">
        <f t="shared" ca="1" si="152"/>
        <v>0</v>
      </c>
      <c r="X214" s="50">
        <f t="shared" ca="1" si="152"/>
        <v>0</v>
      </c>
      <c r="Y214" s="50">
        <f t="shared" ca="1" si="152"/>
        <v>0</v>
      </c>
      <c r="Z214" s="50">
        <f t="shared" ca="1" si="152"/>
        <v>0</v>
      </c>
      <c r="AA214" s="50">
        <f t="shared" ca="1" si="152"/>
        <v>0</v>
      </c>
      <c r="AB214" s="50">
        <f t="shared" ca="1" si="152"/>
        <v>0</v>
      </c>
      <c r="AC214" s="50">
        <f t="shared" ca="1" si="152"/>
        <v>0</v>
      </c>
      <c r="AD214" s="50">
        <f t="shared" ca="1" si="152"/>
        <v>0</v>
      </c>
      <c r="AE214" s="50">
        <f t="shared" ca="1" si="152"/>
        <v>0</v>
      </c>
      <c r="AF214" s="50">
        <f t="shared" ca="1" si="152"/>
        <v>0</v>
      </c>
      <c r="AG214" s="50">
        <f t="shared" ca="1" si="152"/>
        <v>0</v>
      </c>
      <c r="AH214" s="50">
        <f t="shared" ca="1" si="152"/>
        <v>0</v>
      </c>
      <c r="AI214" s="50">
        <f t="shared" ca="1" si="152"/>
        <v>0</v>
      </c>
      <c r="AJ214" s="50">
        <f t="shared" ca="1" si="152"/>
        <v>0</v>
      </c>
      <c r="AK214" s="50">
        <f t="shared" ca="1" si="152"/>
        <v>0</v>
      </c>
      <c r="AL214" s="50">
        <f t="shared" si="152"/>
        <v>0</v>
      </c>
      <c r="AM214" s="50">
        <f t="shared" si="152"/>
        <v>0</v>
      </c>
      <c r="AN214" s="50">
        <f t="shared" si="152"/>
        <v>0</v>
      </c>
      <c r="AO214" s="50">
        <f t="shared" si="152"/>
        <v>0</v>
      </c>
      <c r="AP214" s="50">
        <f t="shared" si="152"/>
        <v>0</v>
      </c>
      <c r="AQ214" s="50">
        <f t="shared" si="152"/>
        <v>0</v>
      </c>
      <c r="AR214" s="50">
        <f t="shared" si="152"/>
        <v>0</v>
      </c>
      <c r="AS214" s="50">
        <f t="shared" si="152"/>
        <v>0</v>
      </c>
      <c r="AT214" s="50">
        <f t="shared" si="152"/>
        <v>0</v>
      </c>
      <c r="AU214" s="50">
        <f t="shared" si="152"/>
        <v>0</v>
      </c>
    </row>
    <row r="215" spans="1:47">
      <c r="D215" s="186"/>
      <c r="E215" s="325"/>
      <c r="G215" s="39" t="s">
        <v>304</v>
      </c>
      <c r="I215" s="39"/>
      <c r="K215" s="39"/>
      <c r="L215" s="43"/>
      <c r="N215" s="70"/>
      <c r="O215" s="313"/>
      <c r="P215" s="70"/>
      <c r="Q215" s="313"/>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row>
    <row r="216" spans="1:47">
      <c r="A216" s="38" t="str">
        <f>$J$4&amp;"-"</f>
        <v>1Y-</v>
      </c>
      <c r="B216" s="38" t="s">
        <v>265</v>
      </c>
      <c r="C216" s="38" t="str">
        <f>C207</f>
        <v>CHP</v>
      </c>
      <c r="D216" s="186"/>
      <c r="E216" s="325"/>
      <c r="G216" s="36" t="s">
        <v>108</v>
      </c>
      <c r="I216" s="39"/>
      <c r="K216" s="39"/>
      <c r="L216" s="43" t="s">
        <v>293</v>
      </c>
      <c r="N216" s="70">
        <f ca="1">SUMIFS(OFFSET(Assumptions!$I$90,0,MATCH($A216,Configurations,0)-1,COUNT(Assumptions!$A$90:$A$183),1),Assumptions!$D$90:$D$183,$B216&amp;$C216)</f>
        <v>2482000</v>
      </c>
      <c r="O216" s="313"/>
      <c r="P216" s="323"/>
      <c r="Q216" s="313"/>
      <c r="R216" s="50">
        <f t="shared" ref="R216:AU216" ca="1" si="153">IF(OR(R$99&lt;InServiceYr,R$99&gt;(InServiceYr+analysis_period-1)),0,IF($P216=0,$N216,$P216)*R$501)</f>
        <v>160291.4221478035</v>
      </c>
      <c r="S216" s="50">
        <f t="shared" ca="1" si="153"/>
        <v>161290.60374174977</v>
      </c>
      <c r="T216" s="50">
        <f t="shared" ca="1" si="153"/>
        <v>168243.83223313605</v>
      </c>
      <c r="U216" s="50">
        <f t="shared" ca="1" si="153"/>
        <v>173290.72619546097</v>
      </c>
      <c r="V216" s="50">
        <f t="shared" ca="1" si="153"/>
        <v>177472.42382869238</v>
      </c>
      <c r="W216" s="50">
        <f t="shared" ca="1" si="153"/>
        <v>179742.87873772476</v>
      </c>
      <c r="X216" s="50">
        <f t="shared" ca="1" si="153"/>
        <v>182667.73991949906</v>
      </c>
      <c r="Y216" s="50">
        <f t="shared" ca="1" si="153"/>
        <v>187168.30098857009</v>
      </c>
      <c r="Z216" s="50">
        <f t="shared" ca="1" si="153"/>
        <v>191649.2377394959</v>
      </c>
      <c r="AA216" s="50">
        <f t="shared" ca="1" si="153"/>
        <v>196440.93940428423</v>
      </c>
      <c r="AB216" s="50">
        <f t="shared" ca="1" si="153"/>
        <v>200695.81145709378</v>
      </c>
      <c r="AC216" s="50">
        <f t="shared" ca="1" si="153"/>
        <v>204560.48199645945</v>
      </c>
      <c r="AD216" s="50">
        <f t="shared" ca="1" si="153"/>
        <v>209285.78762840282</v>
      </c>
      <c r="AE216" s="50">
        <f t="shared" ca="1" si="153"/>
        <v>214055.75783609884</v>
      </c>
      <c r="AF216" s="50">
        <f t="shared" ca="1" si="153"/>
        <v>219145.27693447276</v>
      </c>
      <c r="AG216" s="50">
        <f t="shared" ca="1" si="153"/>
        <v>224846.7379552424</v>
      </c>
      <c r="AH216" s="50">
        <f t="shared" ca="1" si="153"/>
        <v>230357.16017388678</v>
      </c>
      <c r="AI216" s="50">
        <f t="shared" ca="1" si="153"/>
        <v>236332.98930285155</v>
      </c>
      <c r="AJ216" s="50">
        <f t="shared" ca="1" si="153"/>
        <v>242659.27202705064</v>
      </c>
      <c r="AK216" s="50">
        <f t="shared" ca="1" si="153"/>
        <v>249260.39675414775</v>
      </c>
      <c r="AL216" s="50">
        <f t="shared" si="153"/>
        <v>0</v>
      </c>
      <c r="AM216" s="50">
        <f t="shared" si="153"/>
        <v>0</v>
      </c>
      <c r="AN216" s="50">
        <f t="shared" si="153"/>
        <v>0</v>
      </c>
      <c r="AO216" s="50">
        <f t="shared" si="153"/>
        <v>0</v>
      </c>
      <c r="AP216" s="50">
        <f t="shared" si="153"/>
        <v>0</v>
      </c>
      <c r="AQ216" s="50">
        <f t="shared" si="153"/>
        <v>0</v>
      </c>
      <c r="AR216" s="50">
        <f t="shared" si="153"/>
        <v>0</v>
      </c>
      <c r="AS216" s="50">
        <f t="shared" si="153"/>
        <v>0</v>
      </c>
      <c r="AT216" s="50">
        <f t="shared" si="153"/>
        <v>0</v>
      </c>
      <c r="AU216" s="50">
        <f t="shared" si="153"/>
        <v>0</v>
      </c>
    </row>
    <row r="217" spans="1:47">
      <c r="A217" s="38" t="str">
        <f>$J$4&amp;"-"</f>
        <v>1Y-</v>
      </c>
      <c r="B217" s="38" t="s">
        <v>289</v>
      </c>
      <c r="C217" s="38" t="str">
        <f>C207</f>
        <v>CHP</v>
      </c>
      <c r="D217" s="186">
        <f>LaborEsc</f>
        <v>0.02</v>
      </c>
      <c r="E217" s="325"/>
      <c r="G217" s="36" t="s">
        <v>292</v>
      </c>
      <c r="I217" s="39"/>
      <c r="K217" s="39"/>
      <c r="L217" s="43" t="str">
        <f>"["&amp;CostBaseYr&amp;" $]"</f>
        <v>[2013 $]</v>
      </c>
      <c r="N217" s="70">
        <f ca="1">SUMIFS(OFFSET(Assumptions!$I$90,0,MATCH($A217,Configurations,0)-1,COUNT(Assumptions!$A$90:$A$183),1),Assumptions!$D$90:$D$183,$B217&amp;$C217)</f>
        <v>0</v>
      </c>
      <c r="O217" s="313"/>
      <c r="P217" s="323"/>
      <c r="Q217" s="313"/>
      <c r="R217" s="50">
        <f t="shared" ref="R217:AU217" ca="1" si="154">IF(OR(R$99&lt;InServiceYr,R$99&gt;(InServiceYr+analysis_period-1)),0,IF($P217=0,$N217,$P217)*(1+$D217)^(R$99-CostBaseYr))</f>
        <v>0</v>
      </c>
      <c r="S217" s="50">
        <f t="shared" ca="1" si="154"/>
        <v>0</v>
      </c>
      <c r="T217" s="50">
        <f t="shared" ca="1" si="154"/>
        <v>0</v>
      </c>
      <c r="U217" s="50">
        <f t="shared" ca="1" si="154"/>
        <v>0</v>
      </c>
      <c r="V217" s="50">
        <f t="shared" ca="1" si="154"/>
        <v>0</v>
      </c>
      <c r="W217" s="50">
        <f t="shared" ca="1" si="154"/>
        <v>0</v>
      </c>
      <c r="X217" s="50">
        <f t="shared" ca="1" si="154"/>
        <v>0</v>
      </c>
      <c r="Y217" s="50">
        <f t="shared" ca="1" si="154"/>
        <v>0</v>
      </c>
      <c r="Z217" s="50">
        <f t="shared" ca="1" si="154"/>
        <v>0</v>
      </c>
      <c r="AA217" s="50">
        <f t="shared" ca="1" si="154"/>
        <v>0</v>
      </c>
      <c r="AB217" s="50">
        <f t="shared" ca="1" si="154"/>
        <v>0</v>
      </c>
      <c r="AC217" s="50">
        <f t="shared" ca="1" si="154"/>
        <v>0</v>
      </c>
      <c r="AD217" s="50">
        <f t="shared" ca="1" si="154"/>
        <v>0</v>
      </c>
      <c r="AE217" s="50">
        <f t="shared" ca="1" si="154"/>
        <v>0</v>
      </c>
      <c r="AF217" s="50">
        <f t="shared" ca="1" si="154"/>
        <v>0</v>
      </c>
      <c r="AG217" s="50">
        <f t="shared" ca="1" si="154"/>
        <v>0</v>
      </c>
      <c r="AH217" s="50">
        <f t="shared" ca="1" si="154"/>
        <v>0</v>
      </c>
      <c r="AI217" s="50">
        <f t="shared" ca="1" si="154"/>
        <v>0</v>
      </c>
      <c r="AJ217" s="50">
        <f t="shared" ca="1" si="154"/>
        <v>0</v>
      </c>
      <c r="AK217" s="50">
        <f t="shared" ca="1" si="154"/>
        <v>0</v>
      </c>
      <c r="AL217" s="50">
        <f t="shared" si="154"/>
        <v>0</v>
      </c>
      <c r="AM217" s="50">
        <f t="shared" si="154"/>
        <v>0</v>
      </c>
      <c r="AN217" s="50">
        <f t="shared" si="154"/>
        <v>0</v>
      </c>
      <c r="AO217" s="50">
        <f t="shared" si="154"/>
        <v>0</v>
      </c>
      <c r="AP217" s="50">
        <f t="shared" si="154"/>
        <v>0</v>
      </c>
      <c r="AQ217" s="50">
        <f t="shared" si="154"/>
        <v>0</v>
      </c>
      <c r="AR217" s="50">
        <f t="shared" si="154"/>
        <v>0</v>
      </c>
      <c r="AS217" s="50">
        <f t="shared" si="154"/>
        <v>0</v>
      </c>
      <c r="AT217" s="50">
        <f t="shared" si="154"/>
        <v>0</v>
      </c>
      <c r="AU217" s="50">
        <f t="shared" si="154"/>
        <v>0</v>
      </c>
    </row>
    <row r="218" spans="1:47" s="60" customFormat="1">
      <c r="D218" s="187"/>
      <c r="E218" s="325"/>
      <c r="G218" s="39" t="s">
        <v>305</v>
      </c>
      <c r="I218" s="39"/>
      <c r="K218" s="39"/>
      <c r="L218" s="174"/>
      <c r="N218" s="188"/>
      <c r="O218" s="314"/>
      <c r="P218" s="185"/>
      <c r="Q218" s="314"/>
      <c r="R218" s="185">
        <f ca="1">SUM(R207:R214)-SUM(R216:R217)</f>
        <v>-92869.422147803503</v>
      </c>
      <c r="S218" s="185">
        <f t="shared" ref="S218:AU218" ca="1" si="155">SUM(S207:S214)-SUM(S216:S217)</f>
        <v>-92520.16374174977</v>
      </c>
      <c r="T218" s="185">
        <f t="shared" ca="1" si="155"/>
        <v>-98097.983433136062</v>
      </c>
      <c r="U218" s="185">
        <f t="shared" ca="1" si="155"/>
        <v>-101741.96041946097</v>
      </c>
      <c r="V218" s="185">
        <f t="shared" ca="1" si="155"/>
        <v>-104492.68273717238</v>
      </c>
      <c r="W218" s="185">
        <f t="shared" ca="1" si="155"/>
        <v>-105303.54282437437</v>
      </c>
      <c r="X218" s="185">
        <f t="shared" ca="1" si="155"/>
        <v>-106739.61728788166</v>
      </c>
      <c r="Y218" s="185">
        <f t="shared" ca="1" si="155"/>
        <v>-109721.61590432034</v>
      </c>
      <c r="Z218" s="185">
        <f t="shared" ca="1" si="155"/>
        <v>-112653.61895356115</v>
      </c>
      <c r="AA218" s="185">
        <f t="shared" ca="1" si="155"/>
        <v>-115865.40824263079</v>
      </c>
      <c r="AB218" s="185">
        <f t="shared" ca="1" si="155"/>
        <v>-118508.76967220727</v>
      </c>
      <c r="AC218" s="185">
        <f t="shared" ca="1" si="155"/>
        <v>-120729.69937587521</v>
      </c>
      <c r="AD218" s="185">
        <f t="shared" ca="1" si="155"/>
        <v>-123778.38935540689</v>
      </c>
      <c r="AE218" s="185">
        <f t="shared" ca="1" si="155"/>
        <v>-126838.21159764298</v>
      </c>
      <c r="AF218" s="185">
        <f t="shared" ca="1" si="155"/>
        <v>-130183.37977124781</v>
      </c>
      <c r="AG218" s="185">
        <f t="shared" ca="1" si="155"/>
        <v>-134105.60284875293</v>
      </c>
      <c r="AH218" s="185">
        <f t="shared" ca="1" si="155"/>
        <v>-137801.20236526753</v>
      </c>
      <c r="AI218" s="185">
        <f t="shared" ca="1" si="155"/>
        <v>-141925.91233805992</v>
      </c>
      <c r="AJ218" s="185">
        <f t="shared" ca="1" si="155"/>
        <v>-146364.05352296319</v>
      </c>
      <c r="AK218" s="185">
        <f t="shared" ca="1" si="155"/>
        <v>-151039.27387997854</v>
      </c>
      <c r="AL218" s="185">
        <f t="shared" si="155"/>
        <v>0</v>
      </c>
      <c r="AM218" s="185">
        <f t="shared" si="155"/>
        <v>0</v>
      </c>
      <c r="AN218" s="185">
        <f t="shared" si="155"/>
        <v>0</v>
      </c>
      <c r="AO218" s="185">
        <f t="shared" si="155"/>
        <v>0</v>
      </c>
      <c r="AP218" s="185">
        <f t="shared" si="155"/>
        <v>0</v>
      </c>
      <c r="AQ218" s="185">
        <f t="shared" si="155"/>
        <v>0</v>
      </c>
      <c r="AR218" s="185">
        <f t="shared" si="155"/>
        <v>0</v>
      </c>
      <c r="AS218" s="185">
        <f t="shared" si="155"/>
        <v>0</v>
      </c>
      <c r="AT218" s="185">
        <f t="shared" si="155"/>
        <v>0</v>
      </c>
      <c r="AU218" s="185">
        <f t="shared" si="155"/>
        <v>0</v>
      </c>
    </row>
    <row r="219" spans="1:47">
      <c r="E219" s="36"/>
      <c r="G219" s="39"/>
      <c r="H219" s="39"/>
      <c r="I219" s="39"/>
      <c r="J219" s="39"/>
      <c r="K219" s="39"/>
    </row>
    <row r="220" spans="1:47">
      <c r="E220" s="327"/>
      <c r="F220" s="28"/>
      <c r="G220" s="324" t="str">
        <f>C222&amp;" Capital Costs"</f>
        <v>Dewatering Capital Costs</v>
      </c>
      <c r="H220" s="324"/>
      <c r="I220" s="324"/>
      <c r="J220" s="324"/>
      <c r="K220" s="324"/>
      <c r="L220" s="405" t="s">
        <v>79</v>
      </c>
      <c r="M220" s="256"/>
      <c r="N220" s="325" t="s">
        <v>490</v>
      </c>
      <c r="O220" s="311"/>
      <c r="P220" s="325" t="s">
        <v>491</v>
      </c>
      <c r="Q220" s="310"/>
      <c r="R220" s="325">
        <f>R$8</f>
        <v>2014</v>
      </c>
      <c r="S220" s="325">
        <f t="shared" ref="S220:AU220" si="156">S$8</f>
        <v>2015</v>
      </c>
      <c r="T220" s="325">
        <f t="shared" si="156"/>
        <v>2016</v>
      </c>
      <c r="U220" s="325">
        <f t="shared" si="156"/>
        <v>2017</v>
      </c>
      <c r="V220" s="325">
        <f t="shared" si="156"/>
        <v>2018</v>
      </c>
      <c r="W220" s="325">
        <f t="shared" si="156"/>
        <v>2019</v>
      </c>
      <c r="X220" s="325">
        <f t="shared" si="156"/>
        <v>2020</v>
      </c>
      <c r="Y220" s="325">
        <f t="shared" si="156"/>
        <v>2021</v>
      </c>
      <c r="Z220" s="325">
        <f t="shared" si="156"/>
        <v>2022</v>
      </c>
      <c r="AA220" s="325">
        <f t="shared" si="156"/>
        <v>2023</v>
      </c>
      <c r="AB220" s="325">
        <f t="shared" si="156"/>
        <v>2024</v>
      </c>
      <c r="AC220" s="325">
        <f t="shared" si="156"/>
        <v>2025</v>
      </c>
      <c r="AD220" s="325">
        <f t="shared" si="156"/>
        <v>2026</v>
      </c>
      <c r="AE220" s="325">
        <f t="shared" si="156"/>
        <v>2027</v>
      </c>
      <c r="AF220" s="325">
        <f t="shared" si="156"/>
        <v>2028</v>
      </c>
      <c r="AG220" s="325">
        <f t="shared" si="156"/>
        <v>2029</v>
      </c>
      <c r="AH220" s="325">
        <f t="shared" si="156"/>
        <v>2030</v>
      </c>
      <c r="AI220" s="325">
        <f t="shared" si="156"/>
        <v>2031</v>
      </c>
      <c r="AJ220" s="325">
        <f t="shared" si="156"/>
        <v>2032</v>
      </c>
      <c r="AK220" s="325">
        <f t="shared" si="156"/>
        <v>2033</v>
      </c>
      <c r="AL220" s="325">
        <f t="shared" si="156"/>
        <v>2034</v>
      </c>
      <c r="AM220" s="325">
        <f t="shared" si="156"/>
        <v>2035</v>
      </c>
      <c r="AN220" s="325">
        <f t="shared" si="156"/>
        <v>2036</v>
      </c>
      <c r="AO220" s="325">
        <f t="shared" si="156"/>
        <v>2037</v>
      </c>
      <c r="AP220" s="325">
        <f t="shared" si="156"/>
        <v>2038</v>
      </c>
      <c r="AQ220" s="325">
        <f t="shared" si="156"/>
        <v>2039</v>
      </c>
      <c r="AR220" s="325">
        <f t="shared" si="156"/>
        <v>2040</v>
      </c>
      <c r="AS220" s="325">
        <f t="shared" si="156"/>
        <v>2041</v>
      </c>
      <c r="AT220" s="325">
        <f t="shared" si="156"/>
        <v>2042</v>
      </c>
      <c r="AU220" s="325">
        <f t="shared" si="156"/>
        <v>2043</v>
      </c>
    </row>
    <row r="221" spans="1:47">
      <c r="E221" s="325"/>
      <c r="G221" s="39"/>
      <c r="H221" s="39"/>
      <c r="I221" s="39"/>
      <c r="J221" s="39"/>
      <c r="K221" s="39"/>
    </row>
    <row r="222" spans="1:47">
      <c r="A222" s="38" t="str">
        <f>$J$4&amp;"-"</f>
        <v>1Y-</v>
      </c>
      <c r="B222" s="38" t="s">
        <v>306</v>
      </c>
      <c r="C222" s="38" t="s">
        <v>319</v>
      </c>
      <c r="D222" s="186">
        <f>CapExEsc</f>
        <v>0.03</v>
      </c>
      <c r="E222" s="325"/>
      <c r="G222" s="36" t="s">
        <v>8</v>
      </c>
      <c r="H222" s="39"/>
      <c r="I222" s="39"/>
      <c r="J222" s="70"/>
      <c r="K222" s="39"/>
      <c r="L222" s="43" t="str">
        <f>"["&amp;CostBaseYr&amp;" $]"</f>
        <v>[2013 $]</v>
      </c>
      <c r="N222" s="52">
        <f ca="1">SUMIFS(OFFSET(Assumptions!$I$65,0,MATCH($A222,Configurations,0)-1,COUNT(Assumptions!$A$65:$A$84),1),Assumptions!$E$65:$E$84,$C222)</f>
        <v>0</v>
      </c>
      <c r="O222" s="52"/>
      <c r="P222" s="322"/>
      <c r="Q222" s="52"/>
      <c r="R222" s="52">
        <f t="shared" ref="R222:AU222" ca="1" si="157">R223*IF($P222=0,$N222,$P222)*(1+$D222)^(R$8-CostBaseYr)</f>
        <v>0</v>
      </c>
      <c r="S222" s="52">
        <f t="shared" ca="1" si="157"/>
        <v>0</v>
      </c>
      <c r="T222" s="52">
        <f t="shared" ca="1" si="157"/>
        <v>0</v>
      </c>
      <c r="U222" s="52">
        <f t="shared" ca="1" si="157"/>
        <v>0</v>
      </c>
      <c r="V222" s="52">
        <f t="shared" ca="1" si="157"/>
        <v>0</v>
      </c>
      <c r="W222" s="52">
        <f t="shared" ca="1" si="157"/>
        <v>0</v>
      </c>
      <c r="X222" s="52">
        <f t="shared" ca="1" si="157"/>
        <v>0</v>
      </c>
      <c r="Y222" s="52">
        <f t="shared" ca="1" si="157"/>
        <v>0</v>
      </c>
      <c r="Z222" s="52">
        <f t="shared" ca="1" si="157"/>
        <v>0</v>
      </c>
      <c r="AA222" s="52">
        <f t="shared" ca="1" si="157"/>
        <v>0</v>
      </c>
      <c r="AB222" s="52">
        <f t="shared" ca="1" si="157"/>
        <v>0</v>
      </c>
      <c r="AC222" s="52">
        <f t="shared" ca="1" si="157"/>
        <v>0</v>
      </c>
      <c r="AD222" s="52">
        <f t="shared" ca="1" si="157"/>
        <v>0</v>
      </c>
      <c r="AE222" s="52">
        <f t="shared" ca="1" si="157"/>
        <v>0</v>
      </c>
      <c r="AF222" s="52">
        <f t="shared" ca="1" si="157"/>
        <v>0</v>
      </c>
      <c r="AG222" s="52">
        <f t="shared" ca="1" si="157"/>
        <v>0</v>
      </c>
      <c r="AH222" s="52">
        <f t="shared" ca="1" si="157"/>
        <v>0</v>
      </c>
      <c r="AI222" s="52">
        <f t="shared" ca="1" si="157"/>
        <v>0</v>
      </c>
      <c r="AJ222" s="52">
        <f t="shared" ca="1" si="157"/>
        <v>0</v>
      </c>
      <c r="AK222" s="52">
        <f t="shared" ca="1" si="157"/>
        <v>0</v>
      </c>
      <c r="AL222" s="52">
        <f t="shared" ca="1" si="157"/>
        <v>0</v>
      </c>
      <c r="AM222" s="52">
        <f t="shared" ca="1" si="157"/>
        <v>0</v>
      </c>
      <c r="AN222" s="52">
        <f t="shared" ca="1" si="157"/>
        <v>0</v>
      </c>
      <c r="AO222" s="52">
        <f t="shared" ca="1" si="157"/>
        <v>0</v>
      </c>
      <c r="AP222" s="52">
        <f t="shared" ca="1" si="157"/>
        <v>0</v>
      </c>
      <c r="AQ222" s="52">
        <f t="shared" ca="1" si="157"/>
        <v>0</v>
      </c>
      <c r="AR222" s="52">
        <f t="shared" ca="1" si="157"/>
        <v>0</v>
      </c>
      <c r="AS222" s="52">
        <f t="shared" ca="1" si="157"/>
        <v>0</v>
      </c>
      <c r="AT222" s="52">
        <f t="shared" ca="1" si="157"/>
        <v>0</v>
      </c>
      <c r="AU222" s="52">
        <f t="shared" ca="1" si="157"/>
        <v>0</v>
      </c>
    </row>
    <row r="223" spans="1:47">
      <c r="E223" s="325"/>
      <c r="G223" s="36" t="s">
        <v>10</v>
      </c>
      <c r="H223" s="39"/>
      <c r="I223" s="39"/>
      <c r="J223" s="39"/>
      <c r="K223" s="39"/>
      <c r="L223" s="43"/>
      <c r="R223" s="54">
        <f>Assumptions!M$60</f>
        <v>1</v>
      </c>
      <c r="S223" s="54">
        <f>Assumptions!N$60</f>
        <v>0</v>
      </c>
      <c r="T223" s="54">
        <f>Assumptions!O$60</f>
        <v>0</v>
      </c>
      <c r="U223" s="54">
        <f>Assumptions!P$60</f>
        <v>0</v>
      </c>
      <c r="V223" s="54">
        <f>Assumptions!Q$60</f>
        <v>0</v>
      </c>
      <c r="W223" s="54">
        <f>Assumptions!R$60</f>
        <v>0</v>
      </c>
      <c r="X223" s="54">
        <f>Assumptions!S$60</f>
        <v>0</v>
      </c>
      <c r="Y223" s="54">
        <f>Assumptions!T$60</f>
        <v>0</v>
      </c>
      <c r="Z223" s="54">
        <f>Assumptions!U$60</f>
        <v>0</v>
      </c>
      <c r="AA223" s="54">
        <f>Assumptions!V$60</f>
        <v>0</v>
      </c>
      <c r="AB223" s="54">
        <f>Assumptions!W$60</f>
        <v>0</v>
      </c>
      <c r="AC223" s="54">
        <f>Assumptions!X$60</f>
        <v>0</v>
      </c>
      <c r="AD223" s="54">
        <f>Assumptions!Y$60</f>
        <v>0</v>
      </c>
      <c r="AE223" s="54">
        <f>Assumptions!Z$60</f>
        <v>0</v>
      </c>
      <c r="AF223" s="54">
        <f>Assumptions!AA$60</f>
        <v>0</v>
      </c>
      <c r="AG223" s="54">
        <f>Assumptions!AB$60</f>
        <v>0</v>
      </c>
      <c r="AH223" s="54">
        <f>Assumptions!AC$60</f>
        <v>0</v>
      </c>
      <c r="AI223" s="54">
        <f>Assumptions!AD$60</f>
        <v>0</v>
      </c>
      <c r="AJ223" s="54">
        <f>Assumptions!AE$60</f>
        <v>0</v>
      </c>
      <c r="AK223" s="54">
        <f>Assumptions!AF$60</f>
        <v>0</v>
      </c>
      <c r="AL223" s="54">
        <f>Assumptions!AG$60</f>
        <v>0</v>
      </c>
      <c r="AM223" s="54">
        <f>Assumptions!AH$60</f>
        <v>0</v>
      </c>
      <c r="AN223" s="54">
        <f>Assumptions!AI$60</f>
        <v>0</v>
      </c>
      <c r="AO223" s="54">
        <f>Assumptions!AJ$60</f>
        <v>0</v>
      </c>
      <c r="AP223" s="54">
        <f>Assumptions!AK$60</f>
        <v>0</v>
      </c>
      <c r="AQ223" s="54">
        <f>Assumptions!AL$60</f>
        <v>0</v>
      </c>
      <c r="AR223" s="54">
        <f>Assumptions!AM$60</f>
        <v>0</v>
      </c>
      <c r="AS223" s="54">
        <f>Assumptions!AN$60</f>
        <v>0</v>
      </c>
      <c r="AT223" s="54">
        <f>Assumptions!AO$60</f>
        <v>0</v>
      </c>
      <c r="AU223" s="54">
        <f>Assumptions!AP$60</f>
        <v>0</v>
      </c>
    </row>
    <row r="224" spans="1:47">
      <c r="E224" s="326"/>
      <c r="G224" s="39"/>
      <c r="H224" s="39"/>
      <c r="I224" s="39"/>
      <c r="J224" s="39"/>
      <c r="K224" s="39"/>
    </row>
    <row r="225" spans="1:47">
      <c r="E225" s="327"/>
      <c r="F225" s="28"/>
      <c r="G225" s="324" t="str">
        <f>C222&amp;" O&amp;M"</f>
        <v>Dewatering O&amp;M</v>
      </c>
      <c r="H225" s="324"/>
      <c r="I225" s="324"/>
      <c r="J225" s="324"/>
      <c r="K225" s="324"/>
      <c r="L225" s="405" t="s">
        <v>79</v>
      </c>
      <c r="M225" s="256"/>
      <c r="N225" s="325" t="s">
        <v>490</v>
      </c>
      <c r="O225" s="311"/>
      <c r="P225" s="325" t="s">
        <v>491</v>
      </c>
      <c r="Q225" s="310"/>
      <c r="R225" s="325">
        <f>R$8</f>
        <v>2014</v>
      </c>
      <c r="S225" s="325">
        <f t="shared" ref="S225:AU225" si="158">S$8</f>
        <v>2015</v>
      </c>
      <c r="T225" s="325">
        <f t="shared" si="158"/>
        <v>2016</v>
      </c>
      <c r="U225" s="325">
        <f t="shared" si="158"/>
        <v>2017</v>
      </c>
      <c r="V225" s="325">
        <f t="shared" si="158"/>
        <v>2018</v>
      </c>
      <c r="W225" s="325">
        <f t="shared" si="158"/>
        <v>2019</v>
      </c>
      <c r="X225" s="325">
        <f t="shared" si="158"/>
        <v>2020</v>
      </c>
      <c r="Y225" s="325">
        <f t="shared" si="158"/>
        <v>2021</v>
      </c>
      <c r="Z225" s="325">
        <f t="shared" si="158"/>
        <v>2022</v>
      </c>
      <c r="AA225" s="325">
        <f t="shared" si="158"/>
        <v>2023</v>
      </c>
      <c r="AB225" s="325">
        <f t="shared" si="158"/>
        <v>2024</v>
      </c>
      <c r="AC225" s="325">
        <f t="shared" si="158"/>
        <v>2025</v>
      </c>
      <c r="AD225" s="325">
        <f t="shared" si="158"/>
        <v>2026</v>
      </c>
      <c r="AE225" s="325">
        <f t="shared" si="158"/>
        <v>2027</v>
      </c>
      <c r="AF225" s="325">
        <f t="shared" si="158"/>
        <v>2028</v>
      </c>
      <c r="AG225" s="325">
        <f t="shared" si="158"/>
        <v>2029</v>
      </c>
      <c r="AH225" s="325">
        <f t="shared" si="158"/>
        <v>2030</v>
      </c>
      <c r="AI225" s="325">
        <f t="shared" si="158"/>
        <v>2031</v>
      </c>
      <c r="AJ225" s="325">
        <f t="shared" si="158"/>
        <v>2032</v>
      </c>
      <c r="AK225" s="325">
        <f t="shared" si="158"/>
        <v>2033</v>
      </c>
      <c r="AL225" s="325">
        <f t="shared" si="158"/>
        <v>2034</v>
      </c>
      <c r="AM225" s="325">
        <f t="shared" si="158"/>
        <v>2035</v>
      </c>
      <c r="AN225" s="325">
        <f t="shared" si="158"/>
        <v>2036</v>
      </c>
      <c r="AO225" s="325">
        <f t="shared" si="158"/>
        <v>2037</v>
      </c>
      <c r="AP225" s="325">
        <f t="shared" si="158"/>
        <v>2038</v>
      </c>
      <c r="AQ225" s="325">
        <f t="shared" si="158"/>
        <v>2039</v>
      </c>
      <c r="AR225" s="325">
        <f t="shared" si="158"/>
        <v>2040</v>
      </c>
      <c r="AS225" s="325">
        <f t="shared" si="158"/>
        <v>2041</v>
      </c>
      <c r="AT225" s="325">
        <f t="shared" si="158"/>
        <v>2042</v>
      </c>
      <c r="AU225" s="325">
        <f t="shared" si="158"/>
        <v>2043</v>
      </c>
    </row>
    <row r="226" spans="1:47">
      <c r="E226" s="325"/>
      <c r="G226" s="39"/>
      <c r="H226" s="39"/>
      <c r="I226" s="39"/>
      <c r="J226" s="39"/>
      <c r="K226" s="39"/>
    </row>
    <row r="227" spans="1:47">
      <c r="E227" s="325"/>
      <c r="G227" s="39" t="s">
        <v>23</v>
      </c>
      <c r="H227" s="39"/>
      <c r="I227" s="39"/>
      <c r="J227" s="39"/>
      <c r="K227" s="39"/>
    </row>
    <row r="228" spans="1:47">
      <c r="A228" s="38" t="str">
        <f t="shared" ref="A228:A235" si="159">$J$4&amp;"-"</f>
        <v>1Y-</v>
      </c>
      <c r="B228" s="38" t="s">
        <v>262</v>
      </c>
      <c r="C228" s="38" t="str">
        <f>C222</f>
        <v>Dewatering</v>
      </c>
      <c r="D228" s="186">
        <f>LaborEsc</f>
        <v>0.02</v>
      </c>
      <c r="E228" s="325"/>
      <c r="G228" s="36" t="s">
        <v>125</v>
      </c>
      <c r="I228" s="39"/>
      <c r="K228" s="39"/>
      <c r="L228" s="43" t="s">
        <v>266</v>
      </c>
      <c r="N228" s="70">
        <f ca="1">SUMIFS(OFFSET(Assumptions!$I$90,0,MATCH($A228,Configurations,0)-1,COUNT(Assumptions!$A$90:$A$183),1),Assumptions!$D$90:$D$183,$B228&amp;$C228)</f>
        <v>0</v>
      </c>
      <c r="O228" s="313"/>
      <c r="P228" s="323"/>
      <c r="Q228" s="313"/>
      <c r="R228" s="50">
        <f t="shared" ref="R228:AU228" ca="1" si="160">IF(OR(R$99&lt;InServiceYr,R$99&gt;(InServiceYr+analysis_period-1)),0,IF($P228=0,$N228,$P228)*LaborCost*(1+$D228)^(R$99-CostBaseYr))</f>
        <v>0</v>
      </c>
      <c r="S228" s="50">
        <f t="shared" ca="1" si="160"/>
        <v>0</v>
      </c>
      <c r="T228" s="50">
        <f t="shared" ca="1" si="160"/>
        <v>0</v>
      </c>
      <c r="U228" s="50">
        <f t="shared" ca="1" si="160"/>
        <v>0</v>
      </c>
      <c r="V228" s="50">
        <f t="shared" ca="1" si="160"/>
        <v>0</v>
      </c>
      <c r="W228" s="50">
        <f t="shared" ca="1" si="160"/>
        <v>0</v>
      </c>
      <c r="X228" s="50">
        <f t="shared" ca="1" si="160"/>
        <v>0</v>
      </c>
      <c r="Y228" s="50">
        <f t="shared" ca="1" si="160"/>
        <v>0</v>
      </c>
      <c r="Z228" s="50">
        <f t="shared" ca="1" si="160"/>
        <v>0</v>
      </c>
      <c r="AA228" s="50">
        <f t="shared" ca="1" si="160"/>
        <v>0</v>
      </c>
      <c r="AB228" s="50">
        <f t="shared" ca="1" si="160"/>
        <v>0</v>
      </c>
      <c r="AC228" s="50">
        <f t="shared" ca="1" si="160"/>
        <v>0</v>
      </c>
      <c r="AD228" s="50">
        <f t="shared" ca="1" si="160"/>
        <v>0</v>
      </c>
      <c r="AE228" s="50">
        <f t="shared" ca="1" si="160"/>
        <v>0</v>
      </c>
      <c r="AF228" s="50">
        <f t="shared" ca="1" si="160"/>
        <v>0</v>
      </c>
      <c r="AG228" s="50">
        <f t="shared" ca="1" si="160"/>
        <v>0</v>
      </c>
      <c r="AH228" s="50">
        <f t="shared" ca="1" si="160"/>
        <v>0</v>
      </c>
      <c r="AI228" s="50">
        <f t="shared" ca="1" si="160"/>
        <v>0</v>
      </c>
      <c r="AJ228" s="50">
        <f t="shared" ca="1" si="160"/>
        <v>0</v>
      </c>
      <c r="AK228" s="50">
        <f t="shared" ca="1" si="160"/>
        <v>0</v>
      </c>
      <c r="AL228" s="50">
        <f t="shared" si="160"/>
        <v>0</v>
      </c>
      <c r="AM228" s="50">
        <f t="shared" si="160"/>
        <v>0</v>
      </c>
      <c r="AN228" s="50">
        <f t="shared" si="160"/>
        <v>0</v>
      </c>
      <c r="AO228" s="50">
        <f t="shared" si="160"/>
        <v>0</v>
      </c>
      <c r="AP228" s="50">
        <f t="shared" si="160"/>
        <v>0</v>
      </c>
      <c r="AQ228" s="50">
        <f t="shared" si="160"/>
        <v>0</v>
      </c>
      <c r="AR228" s="50">
        <f t="shared" si="160"/>
        <v>0</v>
      </c>
      <c r="AS228" s="50">
        <f t="shared" si="160"/>
        <v>0</v>
      </c>
      <c r="AT228" s="50">
        <f t="shared" si="160"/>
        <v>0</v>
      </c>
      <c r="AU228" s="50">
        <f t="shared" si="160"/>
        <v>0</v>
      </c>
    </row>
    <row r="229" spans="1:47">
      <c r="A229" s="38" t="str">
        <f t="shared" si="159"/>
        <v>1Y-</v>
      </c>
      <c r="B229" s="38" t="s">
        <v>270</v>
      </c>
      <c r="C229" s="38" t="str">
        <f>C228</f>
        <v>Dewatering</v>
      </c>
      <c r="D229" s="186">
        <f>OMEsc</f>
        <v>0.02</v>
      </c>
      <c r="E229" s="325"/>
      <c r="G229" s="36" t="s">
        <v>126</v>
      </c>
      <c r="I229" s="39"/>
      <c r="K229" s="39"/>
      <c r="L229" s="43" t="str">
        <f>"["&amp;CostBaseYr&amp;" $]"</f>
        <v>[2013 $]</v>
      </c>
      <c r="N229" s="70">
        <f ca="1">SUMIFS(OFFSET(Assumptions!$I$90,0,MATCH($A229,Configurations,0)-1,COUNT(Assumptions!$A$90:$A$183),1),Assumptions!$D$90:$D$183,$B229&amp;$C229)</f>
        <v>0</v>
      </c>
      <c r="O229" s="313"/>
      <c r="P229" s="323"/>
      <c r="Q229" s="313"/>
      <c r="R229" s="50">
        <f t="shared" ref="R229:AG231" ca="1" si="161">IF(OR(R$99&lt;InServiceYr,R$99&gt;(InServiceYr+analysis_period-1)),0,IF($P229=0,$N229,$P229)*(1+$D229)^(R$99-CostBaseYr))</f>
        <v>0</v>
      </c>
      <c r="S229" s="50">
        <f t="shared" ca="1" si="161"/>
        <v>0</v>
      </c>
      <c r="T229" s="50">
        <f t="shared" ca="1" si="161"/>
        <v>0</v>
      </c>
      <c r="U229" s="50">
        <f t="shared" ca="1" si="161"/>
        <v>0</v>
      </c>
      <c r="V229" s="50">
        <f t="shared" ca="1" si="161"/>
        <v>0</v>
      </c>
      <c r="W229" s="50">
        <f t="shared" ca="1" si="161"/>
        <v>0</v>
      </c>
      <c r="X229" s="50">
        <f t="shared" ca="1" si="161"/>
        <v>0</v>
      </c>
      <c r="Y229" s="50">
        <f t="shared" ca="1" si="161"/>
        <v>0</v>
      </c>
      <c r="Z229" s="50">
        <f t="shared" ca="1" si="161"/>
        <v>0</v>
      </c>
      <c r="AA229" s="50">
        <f t="shared" ca="1" si="161"/>
        <v>0</v>
      </c>
      <c r="AB229" s="50">
        <f t="shared" ca="1" si="161"/>
        <v>0</v>
      </c>
      <c r="AC229" s="50">
        <f t="shared" ca="1" si="161"/>
        <v>0</v>
      </c>
      <c r="AD229" s="50">
        <f t="shared" ca="1" si="161"/>
        <v>0</v>
      </c>
      <c r="AE229" s="50">
        <f t="shared" ca="1" si="161"/>
        <v>0</v>
      </c>
      <c r="AF229" s="50">
        <f t="shared" ca="1" si="161"/>
        <v>0</v>
      </c>
      <c r="AG229" s="50">
        <f t="shared" ca="1" si="161"/>
        <v>0</v>
      </c>
      <c r="AH229" s="50">
        <f t="shared" ref="S229:AU231" ca="1" si="162">IF(OR(AH$99&lt;InServiceYr,AH$99&gt;(InServiceYr+analysis_period-1)),0,IF($P229=0,$N229,$P229)*(1+$D229)^(AH$99-CostBaseYr))</f>
        <v>0</v>
      </c>
      <c r="AI229" s="50">
        <f t="shared" ca="1" si="162"/>
        <v>0</v>
      </c>
      <c r="AJ229" s="50">
        <f t="shared" ca="1" si="162"/>
        <v>0</v>
      </c>
      <c r="AK229" s="50">
        <f t="shared" ca="1" si="162"/>
        <v>0</v>
      </c>
      <c r="AL229" s="50">
        <f t="shared" si="162"/>
        <v>0</v>
      </c>
      <c r="AM229" s="50">
        <f t="shared" si="162"/>
        <v>0</v>
      </c>
      <c r="AN229" s="50">
        <f t="shared" si="162"/>
        <v>0</v>
      </c>
      <c r="AO229" s="50">
        <f t="shared" si="162"/>
        <v>0</v>
      </c>
      <c r="AP229" s="50">
        <f t="shared" si="162"/>
        <v>0</v>
      </c>
      <c r="AQ229" s="50">
        <f t="shared" si="162"/>
        <v>0</v>
      </c>
      <c r="AR229" s="50">
        <f t="shared" si="162"/>
        <v>0</v>
      </c>
      <c r="AS229" s="50">
        <f t="shared" si="162"/>
        <v>0</v>
      </c>
      <c r="AT229" s="50">
        <f t="shared" si="162"/>
        <v>0</v>
      </c>
      <c r="AU229" s="50">
        <f t="shared" si="162"/>
        <v>0</v>
      </c>
    </row>
    <row r="230" spans="1:47">
      <c r="A230" s="38" t="str">
        <f t="shared" si="159"/>
        <v>1Y-</v>
      </c>
      <c r="B230" s="38" t="s">
        <v>263</v>
      </c>
      <c r="C230" s="38" t="str">
        <f t="shared" ref="C230:C234" si="163">C229</f>
        <v>Dewatering</v>
      </c>
      <c r="D230" s="186">
        <f>OMEsc</f>
        <v>0.02</v>
      </c>
      <c r="E230" s="325"/>
      <c r="G230" s="36" t="s">
        <v>127</v>
      </c>
      <c r="I230" s="39"/>
      <c r="K230" s="39"/>
      <c r="L230" s="43" t="str">
        <f>"["&amp;CostBaseYr&amp;" $]"</f>
        <v>[2013 $]</v>
      </c>
      <c r="N230" s="70">
        <f ca="1">SUMIFS(OFFSET(Assumptions!$I$90,0,MATCH($A230,Configurations,0)-1,COUNT(Assumptions!$A$90:$A$183),1),Assumptions!$D$90:$D$183,$B230&amp;$C230)</f>
        <v>0</v>
      </c>
      <c r="O230" s="313"/>
      <c r="P230" s="323"/>
      <c r="Q230" s="313"/>
      <c r="R230" s="50">
        <f t="shared" ca="1" si="161"/>
        <v>0</v>
      </c>
      <c r="S230" s="50">
        <f t="shared" ca="1" si="162"/>
        <v>0</v>
      </c>
      <c r="T230" s="50">
        <f t="shared" ca="1" si="162"/>
        <v>0</v>
      </c>
      <c r="U230" s="50">
        <f t="shared" ca="1" si="162"/>
        <v>0</v>
      </c>
      <c r="V230" s="50">
        <f t="shared" ca="1" si="162"/>
        <v>0</v>
      </c>
      <c r="W230" s="50">
        <f t="shared" ca="1" si="162"/>
        <v>0</v>
      </c>
      <c r="X230" s="50">
        <f t="shared" ca="1" si="162"/>
        <v>0</v>
      </c>
      <c r="Y230" s="50">
        <f t="shared" ca="1" si="162"/>
        <v>0</v>
      </c>
      <c r="Z230" s="50">
        <f t="shared" ca="1" si="162"/>
        <v>0</v>
      </c>
      <c r="AA230" s="50">
        <f t="shared" ca="1" si="162"/>
        <v>0</v>
      </c>
      <c r="AB230" s="50">
        <f t="shared" ca="1" si="162"/>
        <v>0</v>
      </c>
      <c r="AC230" s="50">
        <f t="shared" ca="1" si="162"/>
        <v>0</v>
      </c>
      <c r="AD230" s="50">
        <f t="shared" ca="1" si="162"/>
        <v>0</v>
      </c>
      <c r="AE230" s="50">
        <f t="shared" ca="1" si="162"/>
        <v>0</v>
      </c>
      <c r="AF230" s="50">
        <f t="shared" ca="1" si="162"/>
        <v>0</v>
      </c>
      <c r="AG230" s="50">
        <f t="shared" ca="1" si="162"/>
        <v>0</v>
      </c>
      <c r="AH230" s="50">
        <f t="shared" ca="1" si="162"/>
        <v>0</v>
      </c>
      <c r="AI230" s="50">
        <f t="shared" ca="1" si="162"/>
        <v>0</v>
      </c>
      <c r="AJ230" s="50">
        <f t="shared" ca="1" si="162"/>
        <v>0</v>
      </c>
      <c r="AK230" s="50">
        <f t="shared" ca="1" si="162"/>
        <v>0</v>
      </c>
      <c r="AL230" s="50">
        <f t="shared" si="162"/>
        <v>0</v>
      </c>
      <c r="AM230" s="50">
        <f t="shared" si="162"/>
        <v>0</v>
      </c>
      <c r="AN230" s="50">
        <f t="shared" si="162"/>
        <v>0</v>
      </c>
      <c r="AO230" s="50">
        <f t="shared" si="162"/>
        <v>0</v>
      </c>
      <c r="AP230" s="50">
        <f t="shared" si="162"/>
        <v>0</v>
      </c>
      <c r="AQ230" s="50">
        <f t="shared" si="162"/>
        <v>0</v>
      </c>
      <c r="AR230" s="50">
        <f t="shared" si="162"/>
        <v>0</v>
      </c>
      <c r="AS230" s="50">
        <f t="shared" si="162"/>
        <v>0</v>
      </c>
      <c r="AT230" s="50">
        <f t="shared" si="162"/>
        <v>0</v>
      </c>
      <c r="AU230" s="50">
        <f t="shared" si="162"/>
        <v>0</v>
      </c>
    </row>
    <row r="231" spans="1:47">
      <c r="A231" s="38" t="str">
        <f t="shared" si="159"/>
        <v>1Y-</v>
      </c>
      <c r="B231" s="38" t="s">
        <v>277</v>
      </c>
      <c r="C231" s="38" t="str">
        <f t="shared" si="163"/>
        <v>Dewatering</v>
      </c>
      <c r="D231" s="186">
        <f>OMEsc</f>
        <v>0.02</v>
      </c>
      <c r="E231" s="325"/>
      <c r="G231" s="36" t="s">
        <v>276</v>
      </c>
      <c r="I231" s="39"/>
      <c r="K231" s="39"/>
      <c r="L231" s="43" t="str">
        <f>"["&amp;CostBaseYr&amp;" $]"</f>
        <v>[2013 $]</v>
      </c>
      <c r="N231" s="70">
        <f ca="1">SUMIFS(OFFSET(Assumptions!$I$90,0,MATCH($A231,Configurations,0)-1,COUNT(Assumptions!$A$90:$A$183),1),Assumptions!$D$90:$D$183,$B231&amp;$C231)</f>
        <v>0</v>
      </c>
      <c r="O231" s="313"/>
      <c r="P231" s="323"/>
      <c r="Q231" s="313"/>
      <c r="R231" s="50">
        <f t="shared" ca="1" si="161"/>
        <v>0</v>
      </c>
      <c r="S231" s="50">
        <f t="shared" ca="1" si="162"/>
        <v>0</v>
      </c>
      <c r="T231" s="50">
        <f t="shared" ca="1" si="162"/>
        <v>0</v>
      </c>
      <c r="U231" s="50">
        <f t="shared" ca="1" si="162"/>
        <v>0</v>
      </c>
      <c r="V231" s="50">
        <f t="shared" ca="1" si="162"/>
        <v>0</v>
      </c>
      <c r="W231" s="50">
        <f t="shared" ca="1" si="162"/>
        <v>0</v>
      </c>
      <c r="X231" s="50">
        <f t="shared" ca="1" si="162"/>
        <v>0</v>
      </c>
      <c r="Y231" s="50">
        <f t="shared" ca="1" si="162"/>
        <v>0</v>
      </c>
      <c r="Z231" s="50">
        <f t="shared" ca="1" si="162"/>
        <v>0</v>
      </c>
      <c r="AA231" s="50">
        <f t="shared" ca="1" si="162"/>
        <v>0</v>
      </c>
      <c r="AB231" s="50">
        <f t="shared" ca="1" si="162"/>
        <v>0</v>
      </c>
      <c r="AC231" s="50">
        <f t="shared" ca="1" si="162"/>
        <v>0</v>
      </c>
      <c r="AD231" s="50">
        <f t="shared" ca="1" si="162"/>
        <v>0</v>
      </c>
      <c r="AE231" s="50">
        <f t="shared" ca="1" si="162"/>
        <v>0</v>
      </c>
      <c r="AF231" s="50">
        <f t="shared" ca="1" si="162"/>
        <v>0</v>
      </c>
      <c r="AG231" s="50">
        <f t="shared" ca="1" si="162"/>
        <v>0</v>
      </c>
      <c r="AH231" s="50">
        <f t="shared" ca="1" si="162"/>
        <v>0</v>
      </c>
      <c r="AI231" s="50">
        <f t="shared" ca="1" si="162"/>
        <v>0</v>
      </c>
      <c r="AJ231" s="50">
        <f t="shared" ca="1" si="162"/>
        <v>0</v>
      </c>
      <c r="AK231" s="50">
        <f t="shared" ca="1" si="162"/>
        <v>0</v>
      </c>
      <c r="AL231" s="50">
        <f t="shared" si="162"/>
        <v>0</v>
      </c>
      <c r="AM231" s="50">
        <f t="shared" si="162"/>
        <v>0</v>
      </c>
      <c r="AN231" s="50">
        <f t="shared" si="162"/>
        <v>0</v>
      </c>
      <c r="AO231" s="50">
        <f t="shared" si="162"/>
        <v>0</v>
      </c>
      <c r="AP231" s="50">
        <f t="shared" si="162"/>
        <v>0</v>
      </c>
      <c r="AQ231" s="50">
        <f t="shared" si="162"/>
        <v>0</v>
      </c>
      <c r="AR231" s="50">
        <f t="shared" si="162"/>
        <v>0</v>
      </c>
      <c r="AS231" s="50">
        <f t="shared" si="162"/>
        <v>0</v>
      </c>
      <c r="AT231" s="50">
        <f t="shared" si="162"/>
        <v>0</v>
      </c>
      <c r="AU231" s="50">
        <f t="shared" si="162"/>
        <v>0</v>
      </c>
    </row>
    <row r="232" spans="1:47">
      <c r="A232" s="38" t="str">
        <f t="shared" si="159"/>
        <v>1Y-</v>
      </c>
      <c r="B232" s="38" t="s">
        <v>274</v>
      </c>
      <c r="C232" s="38" t="str">
        <f t="shared" si="163"/>
        <v>Dewatering</v>
      </c>
      <c r="D232" s="186"/>
      <c r="E232" s="325"/>
      <c r="G232" s="36" t="s">
        <v>16</v>
      </c>
      <c r="I232" s="39"/>
      <c r="K232" s="39"/>
      <c r="L232" s="43" t="s">
        <v>275</v>
      </c>
      <c r="N232" s="70">
        <f ca="1">SUMIFS(OFFSET(Assumptions!$I$90,0,MATCH($A232,Configurations,0)-1,COUNT(Assumptions!$A$90:$A$183),1),Assumptions!$D$90:$D$183,$B232&amp;$C232)</f>
        <v>0</v>
      </c>
      <c r="O232" s="313"/>
      <c r="P232" s="323"/>
      <c r="Q232" s="313"/>
      <c r="R232" s="50">
        <f t="shared" ref="R232:AU232" ca="1" si="164">IF(OR(R$99&lt;InServiceYr,R$99&gt;(InServiceYr+analysis_period-1)),0,IF($P232=0,$N232,$P232)*R$505)</f>
        <v>0</v>
      </c>
      <c r="S232" s="50">
        <f t="shared" ca="1" si="164"/>
        <v>0</v>
      </c>
      <c r="T232" s="50">
        <f t="shared" ca="1" si="164"/>
        <v>0</v>
      </c>
      <c r="U232" s="50">
        <f t="shared" ca="1" si="164"/>
        <v>0</v>
      </c>
      <c r="V232" s="50">
        <f t="shared" ca="1" si="164"/>
        <v>0</v>
      </c>
      <c r="W232" s="50">
        <f t="shared" ca="1" si="164"/>
        <v>0</v>
      </c>
      <c r="X232" s="50">
        <f t="shared" ca="1" si="164"/>
        <v>0</v>
      </c>
      <c r="Y232" s="50">
        <f t="shared" ca="1" si="164"/>
        <v>0</v>
      </c>
      <c r="Z232" s="50">
        <f t="shared" ca="1" si="164"/>
        <v>0</v>
      </c>
      <c r="AA232" s="50">
        <f t="shared" ca="1" si="164"/>
        <v>0</v>
      </c>
      <c r="AB232" s="50">
        <f t="shared" ca="1" si="164"/>
        <v>0</v>
      </c>
      <c r="AC232" s="50">
        <f t="shared" ca="1" si="164"/>
        <v>0</v>
      </c>
      <c r="AD232" s="50">
        <f t="shared" ca="1" si="164"/>
        <v>0</v>
      </c>
      <c r="AE232" s="50">
        <f t="shared" ca="1" si="164"/>
        <v>0</v>
      </c>
      <c r="AF232" s="50">
        <f t="shared" ca="1" si="164"/>
        <v>0</v>
      </c>
      <c r="AG232" s="50">
        <f t="shared" ca="1" si="164"/>
        <v>0</v>
      </c>
      <c r="AH232" s="50">
        <f t="shared" ca="1" si="164"/>
        <v>0</v>
      </c>
      <c r="AI232" s="50">
        <f t="shared" ca="1" si="164"/>
        <v>0</v>
      </c>
      <c r="AJ232" s="50">
        <f t="shared" ca="1" si="164"/>
        <v>0</v>
      </c>
      <c r="AK232" s="50">
        <f t="shared" ca="1" si="164"/>
        <v>0</v>
      </c>
      <c r="AL232" s="50">
        <f t="shared" si="164"/>
        <v>0</v>
      </c>
      <c r="AM232" s="50">
        <f t="shared" si="164"/>
        <v>0</v>
      </c>
      <c r="AN232" s="50">
        <f t="shared" si="164"/>
        <v>0</v>
      </c>
      <c r="AO232" s="50">
        <f t="shared" si="164"/>
        <v>0</v>
      </c>
      <c r="AP232" s="50">
        <f t="shared" si="164"/>
        <v>0</v>
      </c>
      <c r="AQ232" s="50">
        <f t="shared" si="164"/>
        <v>0</v>
      </c>
      <c r="AR232" s="50">
        <f t="shared" si="164"/>
        <v>0</v>
      </c>
      <c r="AS232" s="50">
        <f t="shared" si="164"/>
        <v>0</v>
      </c>
      <c r="AT232" s="50">
        <f t="shared" si="164"/>
        <v>0</v>
      </c>
      <c r="AU232" s="50">
        <f t="shared" si="164"/>
        <v>0</v>
      </c>
    </row>
    <row r="233" spans="1:47">
      <c r="A233" s="38" t="str">
        <f t="shared" si="159"/>
        <v>1Y-</v>
      </c>
      <c r="B233" s="38" t="s">
        <v>257</v>
      </c>
      <c r="C233" s="38" t="str">
        <f t="shared" si="163"/>
        <v>Dewatering</v>
      </c>
      <c r="D233" s="186"/>
      <c r="E233" s="325"/>
      <c r="G233" s="36" t="s">
        <v>284</v>
      </c>
      <c r="I233" s="39"/>
      <c r="K233" s="39"/>
      <c r="L233" s="43" t="s">
        <v>293</v>
      </c>
      <c r="N233" s="70">
        <f ca="1">SUMIFS(OFFSET(Assumptions!$I$90,0,MATCH($A233,Configurations,0)-1,COUNT(Assumptions!$A$90:$A$183),1),Assumptions!$D$90:$D$183,$B233&amp;$C233)</f>
        <v>0</v>
      </c>
      <c r="O233" s="313"/>
      <c r="P233" s="323"/>
      <c r="Q233" s="313"/>
      <c r="R233" s="50">
        <f t="shared" ref="R233:AU233" ca="1" si="165">IF(OR(R$99&lt;InServiceYr,R$99&gt;(InServiceYr+analysis_period-1)),0,IF($P233=0,$N233,$P233)*R$501)</f>
        <v>0</v>
      </c>
      <c r="S233" s="50">
        <f t="shared" ca="1" si="165"/>
        <v>0</v>
      </c>
      <c r="T233" s="50">
        <f t="shared" ca="1" si="165"/>
        <v>0</v>
      </c>
      <c r="U233" s="50">
        <f t="shared" ca="1" si="165"/>
        <v>0</v>
      </c>
      <c r="V233" s="50">
        <f t="shared" ca="1" si="165"/>
        <v>0</v>
      </c>
      <c r="W233" s="50">
        <f t="shared" ca="1" si="165"/>
        <v>0</v>
      </c>
      <c r="X233" s="50">
        <f t="shared" ca="1" si="165"/>
        <v>0</v>
      </c>
      <c r="Y233" s="50">
        <f t="shared" ca="1" si="165"/>
        <v>0</v>
      </c>
      <c r="Z233" s="50">
        <f t="shared" ca="1" si="165"/>
        <v>0</v>
      </c>
      <c r="AA233" s="50">
        <f t="shared" ca="1" si="165"/>
        <v>0</v>
      </c>
      <c r="AB233" s="50">
        <f t="shared" ca="1" si="165"/>
        <v>0</v>
      </c>
      <c r="AC233" s="50">
        <f t="shared" ca="1" si="165"/>
        <v>0</v>
      </c>
      <c r="AD233" s="50">
        <f t="shared" ca="1" si="165"/>
        <v>0</v>
      </c>
      <c r="AE233" s="50">
        <f t="shared" ca="1" si="165"/>
        <v>0</v>
      </c>
      <c r="AF233" s="50">
        <f t="shared" ca="1" si="165"/>
        <v>0</v>
      </c>
      <c r="AG233" s="50">
        <f t="shared" ca="1" si="165"/>
        <v>0</v>
      </c>
      <c r="AH233" s="50">
        <f t="shared" ca="1" si="165"/>
        <v>0</v>
      </c>
      <c r="AI233" s="50">
        <f t="shared" ca="1" si="165"/>
        <v>0</v>
      </c>
      <c r="AJ233" s="50">
        <f t="shared" ca="1" si="165"/>
        <v>0</v>
      </c>
      <c r="AK233" s="50">
        <f t="shared" ca="1" si="165"/>
        <v>0</v>
      </c>
      <c r="AL233" s="50">
        <f t="shared" si="165"/>
        <v>0</v>
      </c>
      <c r="AM233" s="50">
        <f t="shared" si="165"/>
        <v>0</v>
      </c>
      <c r="AN233" s="50">
        <f t="shared" si="165"/>
        <v>0</v>
      </c>
      <c r="AO233" s="50">
        <f t="shared" si="165"/>
        <v>0</v>
      </c>
      <c r="AP233" s="50">
        <f t="shared" si="165"/>
        <v>0</v>
      </c>
      <c r="AQ233" s="50">
        <f t="shared" si="165"/>
        <v>0</v>
      </c>
      <c r="AR233" s="50">
        <f t="shared" si="165"/>
        <v>0</v>
      </c>
      <c r="AS233" s="50">
        <f t="shared" si="165"/>
        <v>0</v>
      </c>
      <c r="AT233" s="50">
        <f t="shared" si="165"/>
        <v>0</v>
      </c>
      <c r="AU233" s="50">
        <f t="shared" si="165"/>
        <v>0</v>
      </c>
    </row>
    <row r="234" spans="1:47">
      <c r="A234" s="38" t="str">
        <f t="shared" si="159"/>
        <v>1Y-</v>
      </c>
      <c r="B234" s="38" t="s">
        <v>864</v>
      </c>
      <c r="C234" s="38" t="str">
        <f t="shared" si="163"/>
        <v>Dewatering</v>
      </c>
      <c r="D234" s="186">
        <f>GHGEsc</f>
        <v>0.02</v>
      </c>
      <c r="E234" s="325"/>
      <c r="G234" s="36" t="s">
        <v>865</v>
      </c>
      <c r="I234" s="39"/>
      <c r="K234" s="39"/>
      <c r="L234" s="43" t="s">
        <v>866</v>
      </c>
      <c r="N234" s="70">
        <f ca="1">SUMIFS(OFFSET(Assumptions!$I$90,0,MATCH($A234,Configurations,0)-1,COUNT(Assumptions!$A$90:$A$183),1),Assumptions!$D$90:$D$183,$B234&amp;$C234)</f>
        <v>0</v>
      </c>
      <c r="O234" s="313"/>
      <c r="P234" s="323"/>
      <c r="Q234" s="313"/>
      <c r="R234" s="50">
        <f t="shared" ref="R234:AU234" ca="1" si="166">IF(OR(R$99&lt;InServiceYr,R$99&gt;(InServiceYr+analysis_period-1)),0,IF($P234=0,$N234,$P234)*R$513)</f>
        <v>0</v>
      </c>
      <c r="S234" s="50">
        <f t="shared" ca="1" si="166"/>
        <v>0</v>
      </c>
      <c r="T234" s="50">
        <f t="shared" ca="1" si="166"/>
        <v>0</v>
      </c>
      <c r="U234" s="50">
        <f t="shared" ca="1" si="166"/>
        <v>0</v>
      </c>
      <c r="V234" s="50">
        <f t="shared" ca="1" si="166"/>
        <v>0</v>
      </c>
      <c r="W234" s="50">
        <f t="shared" ca="1" si="166"/>
        <v>0</v>
      </c>
      <c r="X234" s="50">
        <f t="shared" ca="1" si="166"/>
        <v>0</v>
      </c>
      <c r="Y234" s="50">
        <f t="shared" ca="1" si="166"/>
        <v>0</v>
      </c>
      <c r="Z234" s="50">
        <f t="shared" ca="1" si="166"/>
        <v>0</v>
      </c>
      <c r="AA234" s="50">
        <f t="shared" ca="1" si="166"/>
        <v>0</v>
      </c>
      <c r="AB234" s="50">
        <f t="shared" ca="1" si="166"/>
        <v>0</v>
      </c>
      <c r="AC234" s="50">
        <f t="shared" ca="1" si="166"/>
        <v>0</v>
      </c>
      <c r="AD234" s="50">
        <f t="shared" ca="1" si="166"/>
        <v>0</v>
      </c>
      <c r="AE234" s="50">
        <f t="shared" ca="1" si="166"/>
        <v>0</v>
      </c>
      <c r="AF234" s="50">
        <f t="shared" ca="1" si="166"/>
        <v>0</v>
      </c>
      <c r="AG234" s="50">
        <f t="shared" ca="1" si="166"/>
        <v>0</v>
      </c>
      <c r="AH234" s="50">
        <f t="shared" ca="1" si="166"/>
        <v>0</v>
      </c>
      <c r="AI234" s="50">
        <f t="shared" ca="1" si="166"/>
        <v>0</v>
      </c>
      <c r="AJ234" s="50">
        <f t="shared" ca="1" si="166"/>
        <v>0</v>
      </c>
      <c r="AK234" s="50">
        <f t="shared" ca="1" si="166"/>
        <v>0</v>
      </c>
      <c r="AL234" s="50">
        <f t="shared" si="166"/>
        <v>0</v>
      </c>
      <c r="AM234" s="50">
        <f t="shared" si="166"/>
        <v>0</v>
      </c>
      <c r="AN234" s="50">
        <f t="shared" si="166"/>
        <v>0</v>
      </c>
      <c r="AO234" s="50">
        <f t="shared" si="166"/>
        <v>0</v>
      </c>
      <c r="AP234" s="50">
        <f t="shared" si="166"/>
        <v>0</v>
      </c>
      <c r="AQ234" s="50">
        <f t="shared" si="166"/>
        <v>0</v>
      </c>
      <c r="AR234" s="50">
        <f t="shared" si="166"/>
        <v>0</v>
      </c>
      <c r="AS234" s="50">
        <f t="shared" si="166"/>
        <v>0</v>
      </c>
      <c r="AT234" s="50">
        <f t="shared" si="166"/>
        <v>0</v>
      </c>
      <c r="AU234" s="50">
        <f t="shared" si="166"/>
        <v>0</v>
      </c>
    </row>
    <row r="235" spans="1:47">
      <c r="A235" s="38" t="str">
        <f t="shared" si="159"/>
        <v>1Y-</v>
      </c>
      <c r="B235" s="38" t="s">
        <v>273</v>
      </c>
      <c r="C235" s="38" t="str">
        <f>C233</f>
        <v>Dewatering</v>
      </c>
      <c r="D235" s="186">
        <f>LaborEsc</f>
        <v>0.02</v>
      </c>
      <c r="E235" s="325"/>
      <c r="G235" s="36" t="s">
        <v>291</v>
      </c>
      <c r="I235" s="39"/>
      <c r="K235" s="39"/>
      <c r="L235" s="43" t="str">
        <f>"["&amp;CostBaseYr&amp;" $]"</f>
        <v>[2013 $]</v>
      </c>
      <c r="N235" s="70">
        <f ca="1">SUMIFS(OFFSET(Assumptions!$I$90,0,MATCH($A235,Configurations,0)-1,COUNT(Assumptions!$A$90:$A$183),1),Assumptions!$D$90:$D$183,$B235&amp;$C235)</f>
        <v>0</v>
      </c>
      <c r="O235" s="313"/>
      <c r="P235" s="323"/>
      <c r="Q235" s="313"/>
      <c r="R235" s="50">
        <f t="shared" ref="R235:AU235" ca="1" si="167">IF(OR(R$99&lt;InServiceYr,R$99&gt;(InServiceYr+analysis_period-1)),0,IF($P235=0,$N235,$P235)*(1+$D235)^(R$99-CostBaseYr))*R$509</f>
        <v>0</v>
      </c>
      <c r="S235" s="50">
        <f t="shared" ca="1" si="167"/>
        <v>0</v>
      </c>
      <c r="T235" s="50">
        <f t="shared" ca="1" si="167"/>
        <v>0</v>
      </c>
      <c r="U235" s="50">
        <f t="shared" ca="1" si="167"/>
        <v>0</v>
      </c>
      <c r="V235" s="50">
        <f t="shared" ca="1" si="167"/>
        <v>0</v>
      </c>
      <c r="W235" s="50">
        <f t="shared" ca="1" si="167"/>
        <v>0</v>
      </c>
      <c r="X235" s="50">
        <f t="shared" ca="1" si="167"/>
        <v>0</v>
      </c>
      <c r="Y235" s="50">
        <f t="shared" ca="1" si="167"/>
        <v>0</v>
      </c>
      <c r="Z235" s="50">
        <f t="shared" ca="1" si="167"/>
        <v>0</v>
      </c>
      <c r="AA235" s="50">
        <f t="shared" ca="1" si="167"/>
        <v>0</v>
      </c>
      <c r="AB235" s="50">
        <f t="shared" ca="1" si="167"/>
        <v>0</v>
      </c>
      <c r="AC235" s="50">
        <f t="shared" ca="1" si="167"/>
        <v>0</v>
      </c>
      <c r="AD235" s="50">
        <f t="shared" ca="1" si="167"/>
        <v>0</v>
      </c>
      <c r="AE235" s="50">
        <f t="shared" ca="1" si="167"/>
        <v>0</v>
      </c>
      <c r="AF235" s="50">
        <f t="shared" ca="1" si="167"/>
        <v>0</v>
      </c>
      <c r="AG235" s="50">
        <f t="shared" ca="1" si="167"/>
        <v>0</v>
      </c>
      <c r="AH235" s="50">
        <f t="shared" ca="1" si="167"/>
        <v>0</v>
      </c>
      <c r="AI235" s="50">
        <f t="shared" ca="1" si="167"/>
        <v>0</v>
      </c>
      <c r="AJ235" s="50">
        <f t="shared" ca="1" si="167"/>
        <v>0</v>
      </c>
      <c r="AK235" s="50">
        <f t="shared" ca="1" si="167"/>
        <v>0</v>
      </c>
      <c r="AL235" s="50">
        <f t="shared" si="167"/>
        <v>0</v>
      </c>
      <c r="AM235" s="50">
        <f t="shared" si="167"/>
        <v>0</v>
      </c>
      <c r="AN235" s="50">
        <f t="shared" si="167"/>
        <v>0</v>
      </c>
      <c r="AO235" s="50">
        <f t="shared" si="167"/>
        <v>0</v>
      </c>
      <c r="AP235" s="50">
        <f t="shared" si="167"/>
        <v>0</v>
      </c>
      <c r="AQ235" s="50">
        <f t="shared" si="167"/>
        <v>0</v>
      </c>
      <c r="AR235" s="50">
        <f t="shared" si="167"/>
        <v>0</v>
      </c>
      <c r="AS235" s="50">
        <f t="shared" si="167"/>
        <v>0</v>
      </c>
      <c r="AT235" s="50">
        <f t="shared" si="167"/>
        <v>0</v>
      </c>
      <c r="AU235" s="50">
        <f t="shared" si="167"/>
        <v>0</v>
      </c>
    </row>
    <row r="236" spans="1:47">
      <c r="D236" s="186"/>
      <c r="E236" s="325"/>
      <c r="G236" s="39" t="s">
        <v>304</v>
      </c>
      <c r="I236" s="39"/>
      <c r="K236" s="39"/>
      <c r="L236" s="43"/>
      <c r="N236" s="70"/>
      <c r="O236" s="313"/>
      <c r="P236" s="70"/>
      <c r="Q236" s="313"/>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row>
    <row r="237" spans="1:47">
      <c r="A237" s="38" t="str">
        <f>$J$4&amp;"-"</f>
        <v>1Y-</v>
      </c>
      <c r="B237" s="38" t="s">
        <v>265</v>
      </c>
      <c r="C237" s="38" t="str">
        <f>C228</f>
        <v>Dewatering</v>
      </c>
      <c r="D237" s="186"/>
      <c r="E237" s="325"/>
      <c r="G237" s="36" t="s">
        <v>108</v>
      </c>
      <c r="I237" s="39"/>
      <c r="K237" s="39"/>
      <c r="L237" s="43" t="s">
        <v>293</v>
      </c>
      <c r="N237" s="70">
        <f ca="1">SUMIFS(OFFSET(Assumptions!$I$90,0,MATCH($A237,Configurations,0)-1,COUNT(Assumptions!$A$90:$A$183),1),Assumptions!$D$90:$D$183,$B237&amp;$C237)</f>
        <v>0</v>
      </c>
      <c r="O237" s="313"/>
      <c r="P237" s="323"/>
      <c r="Q237" s="313"/>
      <c r="R237" s="50">
        <f t="shared" ref="R237:AU237" ca="1" si="168">IF(OR(R$99&lt;InServiceYr,R$99&gt;(InServiceYr+analysis_period-1)),0,IF($P237=0,$N237,$P237)*R$501)</f>
        <v>0</v>
      </c>
      <c r="S237" s="50">
        <f t="shared" ca="1" si="168"/>
        <v>0</v>
      </c>
      <c r="T237" s="50">
        <f t="shared" ca="1" si="168"/>
        <v>0</v>
      </c>
      <c r="U237" s="50">
        <f t="shared" ca="1" si="168"/>
        <v>0</v>
      </c>
      <c r="V237" s="50">
        <f t="shared" ca="1" si="168"/>
        <v>0</v>
      </c>
      <c r="W237" s="50">
        <f t="shared" ca="1" si="168"/>
        <v>0</v>
      </c>
      <c r="X237" s="50">
        <f t="shared" ca="1" si="168"/>
        <v>0</v>
      </c>
      <c r="Y237" s="50">
        <f t="shared" ca="1" si="168"/>
        <v>0</v>
      </c>
      <c r="Z237" s="50">
        <f t="shared" ca="1" si="168"/>
        <v>0</v>
      </c>
      <c r="AA237" s="50">
        <f t="shared" ca="1" si="168"/>
        <v>0</v>
      </c>
      <c r="AB237" s="50">
        <f t="shared" ca="1" si="168"/>
        <v>0</v>
      </c>
      <c r="AC237" s="50">
        <f t="shared" ca="1" si="168"/>
        <v>0</v>
      </c>
      <c r="AD237" s="50">
        <f t="shared" ca="1" si="168"/>
        <v>0</v>
      </c>
      <c r="AE237" s="50">
        <f t="shared" ca="1" si="168"/>
        <v>0</v>
      </c>
      <c r="AF237" s="50">
        <f t="shared" ca="1" si="168"/>
        <v>0</v>
      </c>
      <c r="AG237" s="50">
        <f t="shared" ca="1" si="168"/>
        <v>0</v>
      </c>
      <c r="AH237" s="50">
        <f t="shared" ca="1" si="168"/>
        <v>0</v>
      </c>
      <c r="AI237" s="50">
        <f t="shared" ca="1" si="168"/>
        <v>0</v>
      </c>
      <c r="AJ237" s="50">
        <f t="shared" ca="1" si="168"/>
        <v>0</v>
      </c>
      <c r="AK237" s="50">
        <f t="shared" ca="1" si="168"/>
        <v>0</v>
      </c>
      <c r="AL237" s="50">
        <f t="shared" si="168"/>
        <v>0</v>
      </c>
      <c r="AM237" s="50">
        <f t="shared" si="168"/>
        <v>0</v>
      </c>
      <c r="AN237" s="50">
        <f t="shared" si="168"/>
        <v>0</v>
      </c>
      <c r="AO237" s="50">
        <f t="shared" si="168"/>
        <v>0</v>
      </c>
      <c r="AP237" s="50">
        <f t="shared" si="168"/>
        <v>0</v>
      </c>
      <c r="AQ237" s="50">
        <f t="shared" si="168"/>
        <v>0</v>
      </c>
      <c r="AR237" s="50">
        <f t="shared" si="168"/>
        <v>0</v>
      </c>
      <c r="AS237" s="50">
        <f t="shared" si="168"/>
        <v>0</v>
      </c>
      <c r="AT237" s="50">
        <f t="shared" si="168"/>
        <v>0</v>
      </c>
      <c r="AU237" s="50">
        <f t="shared" si="168"/>
        <v>0</v>
      </c>
    </row>
    <row r="238" spans="1:47">
      <c r="A238" s="38" t="str">
        <f>$J$4&amp;"-"</f>
        <v>1Y-</v>
      </c>
      <c r="B238" s="38" t="s">
        <v>289</v>
      </c>
      <c r="C238" s="38" t="str">
        <f>C228</f>
        <v>Dewatering</v>
      </c>
      <c r="D238" s="186">
        <f>LaborEsc</f>
        <v>0.02</v>
      </c>
      <c r="E238" s="325"/>
      <c r="G238" s="36" t="s">
        <v>292</v>
      </c>
      <c r="I238" s="39"/>
      <c r="K238" s="39"/>
      <c r="L238" s="43" t="str">
        <f>"["&amp;CostBaseYr&amp;" $]"</f>
        <v>[2013 $]</v>
      </c>
      <c r="N238" s="70">
        <f ca="1">SUMIFS(OFFSET(Assumptions!$I$90,0,MATCH($A238,Configurations,0)-1,COUNT(Assumptions!$A$90:$A$183),1),Assumptions!$D$90:$D$183,$B238&amp;$C238)</f>
        <v>0</v>
      </c>
      <c r="O238" s="313"/>
      <c r="P238" s="323"/>
      <c r="Q238" s="313"/>
      <c r="R238" s="50">
        <f t="shared" ref="R238:AU238" ca="1" si="169">IF(OR(R$99&lt;InServiceYr,R$99&gt;(InServiceYr+analysis_period-1)),0,IF($P238=0,$N238,$P238)*(1+$D238)^(R$99-CostBaseYr))</f>
        <v>0</v>
      </c>
      <c r="S238" s="50">
        <f t="shared" ca="1" si="169"/>
        <v>0</v>
      </c>
      <c r="T238" s="50">
        <f t="shared" ca="1" si="169"/>
        <v>0</v>
      </c>
      <c r="U238" s="50">
        <f t="shared" ca="1" si="169"/>
        <v>0</v>
      </c>
      <c r="V238" s="50">
        <f t="shared" ca="1" si="169"/>
        <v>0</v>
      </c>
      <c r="W238" s="50">
        <f t="shared" ca="1" si="169"/>
        <v>0</v>
      </c>
      <c r="X238" s="50">
        <f t="shared" ca="1" si="169"/>
        <v>0</v>
      </c>
      <c r="Y238" s="50">
        <f t="shared" ca="1" si="169"/>
        <v>0</v>
      </c>
      <c r="Z238" s="50">
        <f t="shared" ca="1" si="169"/>
        <v>0</v>
      </c>
      <c r="AA238" s="50">
        <f t="shared" ca="1" si="169"/>
        <v>0</v>
      </c>
      <c r="AB238" s="50">
        <f t="shared" ca="1" si="169"/>
        <v>0</v>
      </c>
      <c r="AC238" s="50">
        <f t="shared" ca="1" si="169"/>
        <v>0</v>
      </c>
      <c r="AD238" s="50">
        <f t="shared" ca="1" si="169"/>
        <v>0</v>
      </c>
      <c r="AE238" s="50">
        <f t="shared" ca="1" si="169"/>
        <v>0</v>
      </c>
      <c r="AF238" s="50">
        <f t="shared" ca="1" si="169"/>
        <v>0</v>
      </c>
      <c r="AG238" s="50">
        <f t="shared" ca="1" si="169"/>
        <v>0</v>
      </c>
      <c r="AH238" s="50">
        <f t="shared" ca="1" si="169"/>
        <v>0</v>
      </c>
      <c r="AI238" s="50">
        <f t="shared" ca="1" si="169"/>
        <v>0</v>
      </c>
      <c r="AJ238" s="50">
        <f t="shared" ca="1" si="169"/>
        <v>0</v>
      </c>
      <c r="AK238" s="50">
        <f t="shared" ca="1" si="169"/>
        <v>0</v>
      </c>
      <c r="AL238" s="50">
        <f t="shared" si="169"/>
        <v>0</v>
      </c>
      <c r="AM238" s="50">
        <f t="shared" si="169"/>
        <v>0</v>
      </c>
      <c r="AN238" s="50">
        <f t="shared" si="169"/>
        <v>0</v>
      </c>
      <c r="AO238" s="50">
        <f t="shared" si="169"/>
        <v>0</v>
      </c>
      <c r="AP238" s="50">
        <f t="shared" si="169"/>
        <v>0</v>
      </c>
      <c r="AQ238" s="50">
        <f t="shared" si="169"/>
        <v>0</v>
      </c>
      <c r="AR238" s="50">
        <f t="shared" si="169"/>
        <v>0</v>
      </c>
      <c r="AS238" s="50">
        <f t="shared" si="169"/>
        <v>0</v>
      </c>
      <c r="AT238" s="50">
        <f t="shared" si="169"/>
        <v>0</v>
      </c>
      <c r="AU238" s="50">
        <f t="shared" si="169"/>
        <v>0</v>
      </c>
    </row>
    <row r="239" spans="1:47" s="60" customFormat="1">
      <c r="D239" s="187"/>
      <c r="E239" s="325"/>
      <c r="G239" s="39" t="s">
        <v>305</v>
      </c>
      <c r="I239" s="39"/>
      <c r="K239" s="39"/>
      <c r="L239" s="174"/>
      <c r="N239" s="188"/>
      <c r="O239" s="314"/>
      <c r="P239" s="185"/>
      <c r="Q239" s="314"/>
      <c r="R239" s="185">
        <f ca="1">SUM(R228:R235)-SUM(R237:R238)</f>
        <v>0</v>
      </c>
      <c r="S239" s="185">
        <f t="shared" ref="S239:AU239" ca="1" si="170">SUM(S228:S235)-SUM(S237:S238)</f>
        <v>0</v>
      </c>
      <c r="T239" s="185">
        <f t="shared" ca="1" si="170"/>
        <v>0</v>
      </c>
      <c r="U239" s="185">
        <f t="shared" ca="1" si="170"/>
        <v>0</v>
      </c>
      <c r="V239" s="185">
        <f t="shared" ca="1" si="170"/>
        <v>0</v>
      </c>
      <c r="W239" s="185">
        <f t="shared" ca="1" si="170"/>
        <v>0</v>
      </c>
      <c r="X239" s="185">
        <f t="shared" ca="1" si="170"/>
        <v>0</v>
      </c>
      <c r="Y239" s="185">
        <f t="shared" ca="1" si="170"/>
        <v>0</v>
      </c>
      <c r="Z239" s="185">
        <f t="shared" ca="1" si="170"/>
        <v>0</v>
      </c>
      <c r="AA239" s="185">
        <f t="shared" ca="1" si="170"/>
        <v>0</v>
      </c>
      <c r="AB239" s="185">
        <f t="shared" ca="1" si="170"/>
        <v>0</v>
      </c>
      <c r="AC239" s="185">
        <f t="shared" ca="1" si="170"/>
        <v>0</v>
      </c>
      <c r="AD239" s="185">
        <f t="shared" ca="1" si="170"/>
        <v>0</v>
      </c>
      <c r="AE239" s="185">
        <f t="shared" ca="1" si="170"/>
        <v>0</v>
      </c>
      <c r="AF239" s="185">
        <f t="shared" ca="1" si="170"/>
        <v>0</v>
      </c>
      <c r="AG239" s="185">
        <f t="shared" ca="1" si="170"/>
        <v>0</v>
      </c>
      <c r="AH239" s="185">
        <f t="shared" ca="1" si="170"/>
        <v>0</v>
      </c>
      <c r="AI239" s="185">
        <f t="shared" ca="1" si="170"/>
        <v>0</v>
      </c>
      <c r="AJ239" s="185">
        <f t="shared" ca="1" si="170"/>
        <v>0</v>
      </c>
      <c r="AK239" s="185">
        <f t="shared" ca="1" si="170"/>
        <v>0</v>
      </c>
      <c r="AL239" s="185">
        <f t="shared" si="170"/>
        <v>0</v>
      </c>
      <c r="AM239" s="185">
        <f t="shared" si="170"/>
        <v>0</v>
      </c>
      <c r="AN239" s="185">
        <f t="shared" si="170"/>
        <v>0</v>
      </c>
      <c r="AO239" s="185">
        <f t="shared" si="170"/>
        <v>0</v>
      </c>
      <c r="AP239" s="185">
        <f t="shared" si="170"/>
        <v>0</v>
      </c>
      <c r="AQ239" s="185">
        <f t="shared" si="170"/>
        <v>0</v>
      </c>
      <c r="AR239" s="185">
        <f t="shared" si="170"/>
        <v>0</v>
      </c>
      <c r="AS239" s="185">
        <f t="shared" si="170"/>
        <v>0</v>
      </c>
      <c r="AT239" s="185">
        <f t="shared" si="170"/>
        <v>0</v>
      </c>
      <c r="AU239" s="185">
        <f t="shared" si="170"/>
        <v>0</v>
      </c>
    </row>
    <row r="240" spans="1:47">
      <c r="E240" s="36"/>
      <c r="G240" s="39"/>
      <c r="H240" s="39"/>
      <c r="I240" s="39"/>
      <c r="J240" s="39"/>
      <c r="K240" s="39"/>
    </row>
    <row r="241" spans="1:47">
      <c r="E241" s="327"/>
      <c r="F241" s="28"/>
      <c r="G241" s="324" t="str">
        <f>C243&amp;" Capital Costs"</f>
        <v>Drying/Gasification/Energy Recovery Capital Costs</v>
      </c>
      <c r="H241" s="324"/>
      <c r="I241" s="324"/>
      <c r="J241" s="324"/>
      <c r="K241" s="324"/>
      <c r="L241" s="405" t="s">
        <v>79</v>
      </c>
      <c r="M241" s="256"/>
      <c r="N241" s="325" t="s">
        <v>490</v>
      </c>
      <c r="O241" s="311"/>
      <c r="P241" s="325" t="s">
        <v>491</v>
      </c>
      <c r="Q241" s="310"/>
      <c r="R241" s="325">
        <f>R$8</f>
        <v>2014</v>
      </c>
      <c r="S241" s="325">
        <f t="shared" ref="S241:AU241" si="171">S$8</f>
        <v>2015</v>
      </c>
      <c r="T241" s="325">
        <f t="shared" si="171"/>
        <v>2016</v>
      </c>
      <c r="U241" s="325">
        <f t="shared" si="171"/>
        <v>2017</v>
      </c>
      <c r="V241" s="325">
        <f t="shared" si="171"/>
        <v>2018</v>
      </c>
      <c r="W241" s="325">
        <f t="shared" si="171"/>
        <v>2019</v>
      </c>
      <c r="X241" s="325">
        <f t="shared" si="171"/>
        <v>2020</v>
      </c>
      <c r="Y241" s="325">
        <f t="shared" si="171"/>
        <v>2021</v>
      </c>
      <c r="Z241" s="325">
        <f t="shared" si="171"/>
        <v>2022</v>
      </c>
      <c r="AA241" s="325">
        <f t="shared" si="171"/>
        <v>2023</v>
      </c>
      <c r="AB241" s="325">
        <f t="shared" si="171"/>
        <v>2024</v>
      </c>
      <c r="AC241" s="325">
        <f t="shared" si="171"/>
        <v>2025</v>
      </c>
      <c r="AD241" s="325">
        <f t="shared" si="171"/>
        <v>2026</v>
      </c>
      <c r="AE241" s="325">
        <f t="shared" si="171"/>
        <v>2027</v>
      </c>
      <c r="AF241" s="325">
        <f t="shared" si="171"/>
        <v>2028</v>
      </c>
      <c r="AG241" s="325">
        <f t="shared" si="171"/>
        <v>2029</v>
      </c>
      <c r="AH241" s="325">
        <f t="shared" si="171"/>
        <v>2030</v>
      </c>
      <c r="AI241" s="325">
        <f t="shared" si="171"/>
        <v>2031</v>
      </c>
      <c r="AJ241" s="325">
        <f t="shared" si="171"/>
        <v>2032</v>
      </c>
      <c r="AK241" s="325">
        <f t="shared" si="171"/>
        <v>2033</v>
      </c>
      <c r="AL241" s="325">
        <f t="shared" si="171"/>
        <v>2034</v>
      </c>
      <c r="AM241" s="325">
        <f t="shared" si="171"/>
        <v>2035</v>
      </c>
      <c r="AN241" s="325">
        <f t="shared" si="171"/>
        <v>2036</v>
      </c>
      <c r="AO241" s="325">
        <f t="shared" si="171"/>
        <v>2037</v>
      </c>
      <c r="AP241" s="325">
        <f t="shared" si="171"/>
        <v>2038</v>
      </c>
      <c r="AQ241" s="325">
        <f t="shared" si="171"/>
        <v>2039</v>
      </c>
      <c r="AR241" s="325">
        <f t="shared" si="171"/>
        <v>2040</v>
      </c>
      <c r="AS241" s="325">
        <f t="shared" si="171"/>
        <v>2041</v>
      </c>
      <c r="AT241" s="325">
        <f t="shared" si="171"/>
        <v>2042</v>
      </c>
      <c r="AU241" s="325">
        <f t="shared" si="171"/>
        <v>2043</v>
      </c>
    </row>
    <row r="242" spans="1:47">
      <c r="E242" s="325"/>
      <c r="G242" s="39"/>
      <c r="H242" s="39"/>
      <c r="I242" s="39"/>
      <c r="J242" s="39"/>
      <c r="K242" s="39"/>
    </row>
    <row r="243" spans="1:47">
      <c r="A243" s="38" t="str">
        <f>$J$4&amp;"-"</f>
        <v>1Y-</v>
      </c>
      <c r="B243" s="38" t="s">
        <v>306</v>
      </c>
      <c r="C243" s="38" t="s">
        <v>320</v>
      </c>
      <c r="D243" s="186">
        <f>CapExEsc</f>
        <v>0.03</v>
      </c>
      <c r="E243" s="325"/>
      <c r="G243" s="36" t="s">
        <v>8</v>
      </c>
      <c r="H243" s="39"/>
      <c r="I243" s="39"/>
      <c r="J243" s="70"/>
      <c r="K243" s="39"/>
      <c r="L243" s="43" t="str">
        <f>"["&amp;CostBaseYr&amp;" $]"</f>
        <v>[2013 $]</v>
      </c>
      <c r="N243" s="52">
        <f ca="1">SUMIFS(OFFSET(Assumptions!$I$65,0,MATCH($A243,Configurations,0)-1,COUNT(Assumptions!$A$65:$A$84),1),Assumptions!$E$65:$E$84,$C243)</f>
        <v>0</v>
      </c>
      <c r="O243" s="52"/>
      <c r="P243" s="322"/>
      <c r="Q243" s="52"/>
      <c r="R243" s="52">
        <f t="shared" ref="R243:AU243" ca="1" si="172">R244*IF($P243=0,$N243,$P243)*(1+$D243)^(R$8-CostBaseYr)</f>
        <v>0</v>
      </c>
      <c r="S243" s="52">
        <f t="shared" ca="1" si="172"/>
        <v>0</v>
      </c>
      <c r="T243" s="52">
        <f t="shared" ca="1" si="172"/>
        <v>0</v>
      </c>
      <c r="U243" s="52">
        <f t="shared" ca="1" si="172"/>
        <v>0</v>
      </c>
      <c r="V243" s="52">
        <f t="shared" ca="1" si="172"/>
        <v>0</v>
      </c>
      <c r="W243" s="52">
        <f t="shared" ca="1" si="172"/>
        <v>0</v>
      </c>
      <c r="X243" s="52">
        <f t="shared" ca="1" si="172"/>
        <v>0</v>
      </c>
      <c r="Y243" s="52">
        <f t="shared" ca="1" si="172"/>
        <v>0</v>
      </c>
      <c r="Z243" s="52">
        <f t="shared" ca="1" si="172"/>
        <v>0</v>
      </c>
      <c r="AA243" s="52">
        <f t="shared" ca="1" si="172"/>
        <v>0</v>
      </c>
      <c r="AB243" s="52">
        <f t="shared" ca="1" si="172"/>
        <v>0</v>
      </c>
      <c r="AC243" s="52">
        <f t="shared" ca="1" si="172"/>
        <v>0</v>
      </c>
      <c r="AD243" s="52">
        <f t="shared" ca="1" si="172"/>
        <v>0</v>
      </c>
      <c r="AE243" s="52">
        <f t="shared" ca="1" si="172"/>
        <v>0</v>
      </c>
      <c r="AF243" s="52">
        <f t="shared" ca="1" si="172"/>
        <v>0</v>
      </c>
      <c r="AG243" s="52">
        <f t="shared" ca="1" si="172"/>
        <v>0</v>
      </c>
      <c r="AH243" s="52">
        <f t="shared" ca="1" si="172"/>
        <v>0</v>
      </c>
      <c r="AI243" s="52">
        <f t="shared" ca="1" si="172"/>
        <v>0</v>
      </c>
      <c r="AJ243" s="52">
        <f t="shared" ca="1" si="172"/>
        <v>0</v>
      </c>
      <c r="AK243" s="52">
        <f t="shared" ca="1" si="172"/>
        <v>0</v>
      </c>
      <c r="AL243" s="52">
        <f t="shared" ca="1" si="172"/>
        <v>0</v>
      </c>
      <c r="AM243" s="52">
        <f t="shared" ca="1" si="172"/>
        <v>0</v>
      </c>
      <c r="AN243" s="52">
        <f t="shared" ca="1" si="172"/>
        <v>0</v>
      </c>
      <c r="AO243" s="52">
        <f t="shared" ca="1" si="172"/>
        <v>0</v>
      </c>
      <c r="AP243" s="52">
        <f t="shared" ca="1" si="172"/>
        <v>0</v>
      </c>
      <c r="AQ243" s="52">
        <f t="shared" ca="1" si="172"/>
        <v>0</v>
      </c>
      <c r="AR243" s="52">
        <f t="shared" ca="1" si="172"/>
        <v>0</v>
      </c>
      <c r="AS243" s="52">
        <f t="shared" ca="1" si="172"/>
        <v>0</v>
      </c>
      <c r="AT243" s="52">
        <f t="shared" ca="1" si="172"/>
        <v>0</v>
      </c>
      <c r="AU243" s="52">
        <f t="shared" ca="1" si="172"/>
        <v>0</v>
      </c>
    </row>
    <row r="244" spans="1:47">
      <c r="E244" s="325"/>
      <c r="G244" s="36" t="s">
        <v>10</v>
      </c>
      <c r="H244" s="39"/>
      <c r="I244" s="39"/>
      <c r="J244" s="39"/>
      <c r="K244" s="39"/>
      <c r="L244" s="43"/>
      <c r="R244" s="54">
        <f>Assumptions!M$60</f>
        <v>1</v>
      </c>
      <c r="S244" s="54">
        <f>Assumptions!N$60</f>
        <v>0</v>
      </c>
      <c r="T244" s="54">
        <f>Assumptions!O$60</f>
        <v>0</v>
      </c>
      <c r="U244" s="54">
        <f>Assumptions!P$60</f>
        <v>0</v>
      </c>
      <c r="V244" s="54">
        <f>Assumptions!Q$60</f>
        <v>0</v>
      </c>
      <c r="W244" s="54">
        <f>Assumptions!R$60</f>
        <v>0</v>
      </c>
      <c r="X244" s="54">
        <f>Assumptions!S$60</f>
        <v>0</v>
      </c>
      <c r="Y244" s="54">
        <f>Assumptions!T$60</f>
        <v>0</v>
      </c>
      <c r="Z244" s="54">
        <f>Assumptions!U$60</f>
        <v>0</v>
      </c>
      <c r="AA244" s="54">
        <f>Assumptions!V$60</f>
        <v>0</v>
      </c>
      <c r="AB244" s="54">
        <f>Assumptions!W$60</f>
        <v>0</v>
      </c>
      <c r="AC244" s="54">
        <f>Assumptions!X$60</f>
        <v>0</v>
      </c>
      <c r="AD244" s="54">
        <f>Assumptions!Y$60</f>
        <v>0</v>
      </c>
      <c r="AE244" s="54">
        <f>Assumptions!Z$60</f>
        <v>0</v>
      </c>
      <c r="AF244" s="54">
        <f>Assumptions!AA$60</f>
        <v>0</v>
      </c>
      <c r="AG244" s="54">
        <f>Assumptions!AB$60</f>
        <v>0</v>
      </c>
      <c r="AH244" s="54">
        <f>Assumptions!AC$60</f>
        <v>0</v>
      </c>
      <c r="AI244" s="54">
        <f>Assumptions!AD$60</f>
        <v>0</v>
      </c>
      <c r="AJ244" s="54">
        <f>Assumptions!AE$60</f>
        <v>0</v>
      </c>
      <c r="AK244" s="54">
        <f>Assumptions!AF$60</f>
        <v>0</v>
      </c>
      <c r="AL244" s="54">
        <f>Assumptions!AG$60</f>
        <v>0</v>
      </c>
      <c r="AM244" s="54">
        <f>Assumptions!AH$60</f>
        <v>0</v>
      </c>
      <c r="AN244" s="54">
        <f>Assumptions!AI$60</f>
        <v>0</v>
      </c>
      <c r="AO244" s="54">
        <f>Assumptions!AJ$60</f>
        <v>0</v>
      </c>
      <c r="AP244" s="54">
        <f>Assumptions!AK$60</f>
        <v>0</v>
      </c>
      <c r="AQ244" s="54">
        <f>Assumptions!AL$60</f>
        <v>0</v>
      </c>
      <c r="AR244" s="54">
        <f>Assumptions!AM$60</f>
        <v>0</v>
      </c>
      <c r="AS244" s="54">
        <f>Assumptions!AN$60</f>
        <v>0</v>
      </c>
      <c r="AT244" s="54">
        <f>Assumptions!AO$60</f>
        <v>0</v>
      </c>
      <c r="AU244" s="54">
        <f>Assumptions!AP$60</f>
        <v>0</v>
      </c>
    </row>
    <row r="245" spans="1:47">
      <c r="E245" s="326"/>
      <c r="G245" s="39"/>
      <c r="H245" s="39"/>
      <c r="I245" s="39"/>
      <c r="J245" s="39"/>
      <c r="K245" s="39"/>
    </row>
    <row r="246" spans="1:47">
      <c r="E246" s="327"/>
      <c r="F246" s="28"/>
      <c r="G246" s="324" t="str">
        <f>C243&amp;" O&amp;M"</f>
        <v>Drying/Gasification/Energy Recovery O&amp;M</v>
      </c>
      <c r="H246" s="324"/>
      <c r="I246" s="324"/>
      <c r="J246" s="324"/>
      <c r="K246" s="324"/>
      <c r="L246" s="405" t="s">
        <v>79</v>
      </c>
      <c r="M246" s="256"/>
      <c r="N246" s="325" t="s">
        <v>490</v>
      </c>
      <c r="O246" s="311"/>
      <c r="P246" s="325" t="s">
        <v>491</v>
      </c>
      <c r="Q246" s="310"/>
      <c r="R246" s="325">
        <f>R$8</f>
        <v>2014</v>
      </c>
      <c r="S246" s="325">
        <f t="shared" ref="S246:AU246" si="173">S$8</f>
        <v>2015</v>
      </c>
      <c r="T246" s="325">
        <f t="shared" si="173"/>
        <v>2016</v>
      </c>
      <c r="U246" s="325">
        <f t="shared" si="173"/>
        <v>2017</v>
      </c>
      <c r="V246" s="325">
        <f t="shared" si="173"/>
        <v>2018</v>
      </c>
      <c r="W246" s="325">
        <f t="shared" si="173"/>
        <v>2019</v>
      </c>
      <c r="X246" s="325">
        <f t="shared" si="173"/>
        <v>2020</v>
      </c>
      <c r="Y246" s="325">
        <f t="shared" si="173"/>
        <v>2021</v>
      </c>
      <c r="Z246" s="325">
        <f t="shared" si="173"/>
        <v>2022</v>
      </c>
      <c r="AA246" s="325">
        <f t="shared" si="173"/>
        <v>2023</v>
      </c>
      <c r="AB246" s="325">
        <f t="shared" si="173"/>
        <v>2024</v>
      </c>
      <c r="AC246" s="325">
        <f t="shared" si="173"/>
        <v>2025</v>
      </c>
      <c r="AD246" s="325">
        <f t="shared" si="173"/>
        <v>2026</v>
      </c>
      <c r="AE246" s="325">
        <f t="shared" si="173"/>
        <v>2027</v>
      </c>
      <c r="AF246" s="325">
        <f t="shared" si="173"/>
        <v>2028</v>
      </c>
      <c r="AG246" s="325">
        <f t="shared" si="173"/>
        <v>2029</v>
      </c>
      <c r="AH246" s="325">
        <f t="shared" si="173"/>
        <v>2030</v>
      </c>
      <c r="AI246" s="325">
        <f t="shared" si="173"/>
        <v>2031</v>
      </c>
      <c r="AJ246" s="325">
        <f t="shared" si="173"/>
        <v>2032</v>
      </c>
      <c r="AK246" s="325">
        <f t="shared" si="173"/>
        <v>2033</v>
      </c>
      <c r="AL246" s="325">
        <f t="shared" si="173"/>
        <v>2034</v>
      </c>
      <c r="AM246" s="325">
        <f t="shared" si="173"/>
        <v>2035</v>
      </c>
      <c r="AN246" s="325">
        <f t="shared" si="173"/>
        <v>2036</v>
      </c>
      <c r="AO246" s="325">
        <f t="shared" si="173"/>
        <v>2037</v>
      </c>
      <c r="AP246" s="325">
        <f t="shared" si="173"/>
        <v>2038</v>
      </c>
      <c r="AQ246" s="325">
        <f t="shared" si="173"/>
        <v>2039</v>
      </c>
      <c r="AR246" s="325">
        <f t="shared" si="173"/>
        <v>2040</v>
      </c>
      <c r="AS246" s="325">
        <f t="shared" si="173"/>
        <v>2041</v>
      </c>
      <c r="AT246" s="325">
        <f t="shared" si="173"/>
        <v>2042</v>
      </c>
      <c r="AU246" s="325">
        <f t="shared" si="173"/>
        <v>2043</v>
      </c>
    </row>
    <row r="247" spans="1:47">
      <c r="E247" s="325"/>
      <c r="G247" s="39"/>
      <c r="H247" s="39"/>
      <c r="I247" s="39"/>
      <c r="J247" s="39"/>
      <c r="K247" s="39"/>
    </row>
    <row r="248" spans="1:47">
      <c r="E248" s="325"/>
      <c r="G248" s="39" t="s">
        <v>23</v>
      </c>
      <c r="H248" s="39"/>
      <c r="I248" s="39"/>
      <c r="J248" s="39"/>
      <c r="K248" s="39"/>
    </row>
    <row r="249" spans="1:47">
      <c r="A249" s="38" t="str">
        <f t="shared" ref="A249:A256" si="174">$J$4&amp;"-"</f>
        <v>1Y-</v>
      </c>
      <c r="B249" s="38" t="s">
        <v>262</v>
      </c>
      <c r="C249" s="38" t="str">
        <f>C243</f>
        <v>Drying/Gasification/Energy Recovery</v>
      </c>
      <c r="D249" s="186">
        <f>LaborEsc</f>
        <v>0.02</v>
      </c>
      <c r="E249" s="325"/>
      <c r="G249" s="36" t="s">
        <v>125</v>
      </c>
      <c r="I249" s="39"/>
      <c r="K249" s="39"/>
      <c r="L249" s="43" t="s">
        <v>266</v>
      </c>
      <c r="N249" s="70">
        <f ca="1">SUMIFS(OFFSET(Assumptions!$I$90,0,MATCH($A249,Configurations,0)-1,COUNT(Assumptions!$A$90:$A$183),1),Assumptions!$D$90:$D$183,$B249&amp;$C249)</f>
        <v>0</v>
      </c>
      <c r="O249" s="313"/>
      <c r="P249" s="323"/>
      <c r="Q249" s="313"/>
      <c r="R249" s="50">
        <f t="shared" ref="R249:AU249" ca="1" si="175">IF(OR(R$99&lt;InServiceYr,R$99&gt;(InServiceYr+analysis_period-1)),0,IF($P249=0,$N249,$P249)*LaborCost*(1+$D249)^(R$99-CostBaseYr))</f>
        <v>0</v>
      </c>
      <c r="S249" s="50">
        <f t="shared" ca="1" si="175"/>
        <v>0</v>
      </c>
      <c r="T249" s="50">
        <f t="shared" ca="1" si="175"/>
        <v>0</v>
      </c>
      <c r="U249" s="50">
        <f t="shared" ca="1" si="175"/>
        <v>0</v>
      </c>
      <c r="V249" s="50">
        <f t="shared" ca="1" si="175"/>
        <v>0</v>
      </c>
      <c r="W249" s="50">
        <f t="shared" ca="1" si="175"/>
        <v>0</v>
      </c>
      <c r="X249" s="50">
        <f t="shared" ca="1" si="175"/>
        <v>0</v>
      </c>
      <c r="Y249" s="50">
        <f t="shared" ca="1" si="175"/>
        <v>0</v>
      </c>
      <c r="Z249" s="50">
        <f t="shared" ca="1" si="175"/>
        <v>0</v>
      </c>
      <c r="AA249" s="50">
        <f t="shared" ca="1" si="175"/>
        <v>0</v>
      </c>
      <c r="AB249" s="50">
        <f t="shared" ca="1" si="175"/>
        <v>0</v>
      </c>
      <c r="AC249" s="50">
        <f t="shared" ca="1" si="175"/>
        <v>0</v>
      </c>
      <c r="AD249" s="50">
        <f t="shared" ca="1" si="175"/>
        <v>0</v>
      </c>
      <c r="AE249" s="50">
        <f t="shared" ca="1" si="175"/>
        <v>0</v>
      </c>
      <c r="AF249" s="50">
        <f t="shared" ca="1" si="175"/>
        <v>0</v>
      </c>
      <c r="AG249" s="50">
        <f t="shared" ca="1" si="175"/>
        <v>0</v>
      </c>
      <c r="AH249" s="50">
        <f t="shared" ca="1" si="175"/>
        <v>0</v>
      </c>
      <c r="AI249" s="50">
        <f t="shared" ca="1" si="175"/>
        <v>0</v>
      </c>
      <c r="AJ249" s="50">
        <f t="shared" ca="1" si="175"/>
        <v>0</v>
      </c>
      <c r="AK249" s="50">
        <f t="shared" ca="1" si="175"/>
        <v>0</v>
      </c>
      <c r="AL249" s="50">
        <f t="shared" si="175"/>
        <v>0</v>
      </c>
      <c r="AM249" s="50">
        <f t="shared" si="175"/>
        <v>0</v>
      </c>
      <c r="AN249" s="50">
        <f t="shared" si="175"/>
        <v>0</v>
      </c>
      <c r="AO249" s="50">
        <f t="shared" si="175"/>
        <v>0</v>
      </c>
      <c r="AP249" s="50">
        <f t="shared" si="175"/>
        <v>0</v>
      </c>
      <c r="AQ249" s="50">
        <f t="shared" si="175"/>
        <v>0</v>
      </c>
      <c r="AR249" s="50">
        <f t="shared" si="175"/>
        <v>0</v>
      </c>
      <c r="AS249" s="50">
        <f t="shared" si="175"/>
        <v>0</v>
      </c>
      <c r="AT249" s="50">
        <f t="shared" si="175"/>
        <v>0</v>
      </c>
      <c r="AU249" s="50">
        <f t="shared" si="175"/>
        <v>0</v>
      </c>
    </row>
    <row r="250" spans="1:47">
      <c r="A250" s="38" t="str">
        <f t="shared" si="174"/>
        <v>1Y-</v>
      </c>
      <c r="B250" s="38" t="s">
        <v>270</v>
      </c>
      <c r="C250" s="38" t="str">
        <f>C249</f>
        <v>Drying/Gasification/Energy Recovery</v>
      </c>
      <c r="D250" s="186">
        <f>OMEsc</f>
        <v>0.02</v>
      </c>
      <c r="E250" s="325"/>
      <c r="G250" s="36" t="s">
        <v>126</v>
      </c>
      <c r="I250" s="39"/>
      <c r="K250" s="39"/>
      <c r="L250" s="43" t="str">
        <f>"["&amp;CostBaseYr&amp;" $]"</f>
        <v>[2013 $]</v>
      </c>
      <c r="N250" s="70">
        <f ca="1">SUMIFS(OFFSET(Assumptions!$I$90,0,MATCH($A250,Configurations,0)-1,COUNT(Assumptions!$A$90:$A$183),1),Assumptions!$D$90:$D$183,$B250&amp;$C250)</f>
        <v>0</v>
      </c>
      <c r="O250" s="313"/>
      <c r="P250" s="323"/>
      <c r="Q250" s="313"/>
      <c r="R250" s="50">
        <f t="shared" ref="R250:AG252" ca="1" si="176">IF(OR(R$99&lt;InServiceYr,R$99&gt;(InServiceYr+analysis_period-1)),0,IF($P250=0,$N250,$P250)*(1+$D250)^(R$99-CostBaseYr))</f>
        <v>0</v>
      </c>
      <c r="S250" s="50">
        <f t="shared" ca="1" si="176"/>
        <v>0</v>
      </c>
      <c r="T250" s="50">
        <f t="shared" ca="1" si="176"/>
        <v>0</v>
      </c>
      <c r="U250" s="50">
        <f t="shared" ca="1" si="176"/>
        <v>0</v>
      </c>
      <c r="V250" s="50">
        <f t="shared" ca="1" si="176"/>
        <v>0</v>
      </c>
      <c r="W250" s="50">
        <f t="shared" ca="1" si="176"/>
        <v>0</v>
      </c>
      <c r="X250" s="50">
        <f t="shared" ca="1" si="176"/>
        <v>0</v>
      </c>
      <c r="Y250" s="50">
        <f t="shared" ca="1" si="176"/>
        <v>0</v>
      </c>
      <c r="Z250" s="50">
        <f t="shared" ca="1" si="176"/>
        <v>0</v>
      </c>
      <c r="AA250" s="50">
        <f t="shared" ca="1" si="176"/>
        <v>0</v>
      </c>
      <c r="AB250" s="50">
        <f t="shared" ca="1" si="176"/>
        <v>0</v>
      </c>
      <c r="AC250" s="50">
        <f t="shared" ca="1" si="176"/>
        <v>0</v>
      </c>
      <c r="AD250" s="50">
        <f t="shared" ca="1" si="176"/>
        <v>0</v>
      </c>
      <c r="AE250" s="50">
        <f t="shared" ca="1" si="176"/>
        <v>0</v>
      </c>
      <c r="AF250" s="50">
        <f t="shared" ca="1" si="176"/>
        <v>0</v>
      </c>
      <c r="AG250" s="50">
        <f t="shared" ca="1" si="176"/>
        <v>0</v>
      </c>
      <c r="AH250" s="50">
        <f t="shared" ref="S250:AU252" ca="1" si="177">IF(OR(AH$99&lt;InServiceYr,AH$99&gt;(InServiceYr+analysis_period-1)),0,IF($P250=0,$N250,$P250)*(1+$D250)^(AH$99-CostBaseYr))</f>
        <v>0</v>
      </c>
      <c r="AI250" s="50">
        <f t="shared" ca="1" si="177"/>
        <v>0</v>
      </c>
      <c r="AJ250" s="50">
        <f t="shared" ca="1" si="177"/>
        <v>0</v>
      </c>
      <c r="AK250" s="50">
        <f t="shared" ca="1" si="177"/>
        <v>0</v>
      </c>
      <c r="AL250" s="50">
        <f t="shared" si="177"/>
        <v>0</v>
      </c>
      <c r="AM250" s="50">
        <f t="shared" si="177"/>
        <v>0</v>
      </c>
      <c r="AN250" s="50">
        <f t="shared" si="177"/>
        <v>0</v>
      </c>
      <c r="AO250" s="50">
        <f t="shared" si="177"/>
        <v>0</v>
      </c>
      <c r="AP250" s="50">
        <f t="shared" si="177"/>
        <v>0</v>
      </c>
      <c r="AQ250" s="50">
        <f t="shared" si="177"/>
        <v>0</v>
      </c>
      <c r="AR250" s="50">
        <f t="shared" si="177"/>
        <v>0</v>
      </c>
      <c r="AS250" s="50">
        <f t="shared" si="177"/>
        <v>0</v>
      </c>
      <c r="AT250" s="50">
        <f t="shared" si="177"/>
        <v>0</v>
      </c>
      <c r="AU250" s="50">
        <f t="shared" si="177"/>
        <v>0</v>
      </c>
    </row>
    <row r="251" spans="1:47">
      <c r="A251" s="38" t="str">
        <f t="shared" si="174"/>
        <v>1Y-</v>
      </c>
      <c r="B251" s="38" t="s">
        <v>263</v>
      </c>
      <c r="C251" s="38" t="str">
        <f t="shared" ref="C251:C255" si="178">C250</f>
        <v>Drying/Gasification/Energy Recovery</v>
      </c>
      <c r="D251" s="186">
        <f>OMEsc</f>
        <v>0.02</v>
      </c>
      <c r="E251" s="325"/>
      <c r="G251" s="36" t="s">
        <v>127</v>
      </c>
      <c r="I251" s="39"/>
      <c r="K251" s="39"/>
      <c r="L251" s="43" t="str">
        <f>"["&amp;CostBaseYr&amp;" $]"</f>
        <v>[2013 $]</v>
      </c>
      <c r="N251" s="70">
        <f ca="1">SUMIFS(OFFSET(Assumptions!$I$90,0,MATCH($A251,Configurations,0)-1,COUNT(Assumptions!$A$90:$A$183),1),Assumptions!$D$90:$D$183,$B251&amp;$C251)</f>
        <v>0</v>
      </c>
      <c r="O251" s="313"/>
      <c r="P251" s="323"/>
      <c r="Q251" s="313"/>
      <c r="R251" s="50">
        <f t="shared" ca="1" si="176"/>
        <v>0</v>
      </c>
      <c r="S251" s="50">
        <f t="shared" ca="1" si="177"/>
        <v>0</v>
      </c>
      <c r="T251" s="50">
        <f t="shared" ca="1" si="177"/>
        <v>0</v>
      </c>
      <c r="U251" s="50">
        <f t="shared" ca="1" si="177"/>
        <v>0</v>
      </c>
      <c r="V251" s="50">
        <f t="shared" ca="1" si="177"/>
        <v>0</v>
      </c>
      <c r="W251" s="50">
        <f t="shared" ca="1" si="177"/>
        <v>0</v>
      </c>
      <c r="X251" s="50">
        <f t="shared" ca="1" si="177"/>
        <v>0</v>
      </c>
      <c r="Y251" s="50">
        <f t="shared" ca="1" si="177"/>
        <v>0</v>
      </c>
      <c r="Z251" s="50">
        <f t="shared" ca="1" si="177"/>
        <v>0</v>
      </c>
      <c r="AA251" s="50">
        <f t="shared" ca="1" si="177"/>
        <v>0</v>
      </c>
      <c r="AB251" s="50">
        <f t="shared" ca="1" si="177"/>
        <v>0</v>
      </c>
      <c r="AC251" s="50">
        <f t="shared" ca="1" si="177"/>
        <v>0</v>
      </c>
      <c r="AD251" s="50">
        <f t="shared" ca="1" si="177"/>
        <v>0</v>
      </c>
      <c r="AE251" s="50">
        <f t="shared" ca="1" si="177"/>
        <v>0</v>
      </c>
      <c r="AF251" s="50">
        <f t="shared" ca="1" si="177"/>
        <v>0</v>
      </c>
      <c r="AG251" s="50">
        <f t="shared" ca="1" si="177"/>
        <v>0</v>
      </c>
      <c r="AH251" s="50">
        <f t="shared" ca="1" si="177"/>
        <v>0</v>
      </c>
      <c r="AI251" s="50">
        <f t="shared" ca="1" si="177"/>
        <v>0</v>
      </c>
      <c r="AJ251" s="50">
        <f t="shared" ca="1" si="177"/>
        <v>0</v>
      </c>
      <c r="AK251" s="50">
        <f t="shared" ca="1" si="177"/>
        <v>0</v>
      </c>
      <c r="AL251" s="50">
        <f t="shared" si="177"/>
        <v>0</v>
      </c>
      <c r="AM251" s="50">
        <f t="shared" si="177"/>
        <v>0</v>
      </c>
      <c r="AN251" s="50">
        <f t="shared" si="177"/>
        <v>0</v>
      </c>
      <c r="AO251" s="50">
        <f t="shared" si="177"/>
        <v>0</v>
      </c>
      <c r="AP251" s="50">
        <f t="shared" si="177"/>
        <v>0</v>
      </c>
      <c r="AQ251" s="50">
        <f t="shared" si="177"/>
        <v>0</v>
      </c>
      <c r="AR251" s="50">
        <f t="shared" si="177"/>
        <v>0</v>
      </c>
      <c r="AS251" s="50">
        <f t="shared" si="177"/>
        <v>0</v>
      </c>
      <c r="AT251" s="50">
        <f t="shared" si="177"/>
        <v>0</v>
      </c>
      <c r="AU251" s="50">
        <f t="shared" si="177"/>
        <v>0</v>
      </c>
    </row>
    <row r="252" spans="1:47">
      <c r="A252" s="38" t="str">
        <f t="shared" si="174"/>
        <v>1Y-</v>
      </c>
      <c r="B252" s="38" t="s">
        <v>277</v>
      </c>
      <c r="C252" s="38" t="str">
        <f t="shared" si="178"/>
        <v>Drying/Gasification/Energy Recovery</v>
      </c>
      <c r="D252" s="186">
        <f>OMEsc</f>
        <v>0.02</v>
      </c>
      <c r="E252" s="325"/>
      <c r="G252" s="36" t="s">
        <v>276</v>
      </c>
      <c r="I252" s="39"/>
      <c r="K252" s="39"/>
      <c r="L252" s="43" t="str">
        <f>"["&amp;CostBaseYr&amp;" $]"</f>
        <v>[2013 $]</v>
      </c>
      <c r="N252" s="70">
        <f ca="1">SUMIFS(OFFSET(Assumptions!$I$90,0,MATCH($A252,Configurations,0)-1,COUNT(Assumptions!$A$90:$A$183),1),Assumptions!$D$90:$D$183,$B252&amp;$C252)</f>
        <v>0</v>
      </c>
      <c r="O252" s="313"/>
      <c r="P252" s="323"/>
      <c r="Q252" s="313"/>
      <c r="R252" s="50">
        <f t="shared" ca="1" si="176"/>
        <v>0</v>
      </c>
      <c r="S252" s="50">
        <f t="shared" ca="1" si="177"/>
        <v>0</v>
      </c>
      <c r="T252" s="50">
        <f t="shared" ca="1" si="177"/>
        <v>0</v>
      </c>
      <c r="U252" s="50">
        <f t="shared" ca="1" si="177"/>
        <v>0</v>
      </c>
      <c r="V252" s="50">
        <f t="shared" ca="1" si="177"/>
        <v>0</v>
      </c>
      <c r="W252" s="50">
        <f t="shared" ca="1" si="177"/>
        <v>0</v>
      </c>
      <c r="X252" s="50">
        <f t="shared" ca="1" si="177"/>
        <v>0</v>
      </c>
      <c r="Y252" s="50">
        <f t="shared" ca="1" si="177"/>
        <v>0</v>
      </c>
      <c r="Z252" s="50">
        <f t="shared" ca="1" si="177"/>
        <v>0</v>
      </c>
      <c r="AA252" s="50">
        <f t="shared" ca="1" si="177"/>
        <v>0</v>
      </c>
      <c r="AB252" s="50">
        <f t="shared" ca="1" si="177"/>
        <v>0</v>
      </c>
      <c r="AC252" s="50">
        <f t="shared" ca="1" si="177"/>
        <v>0</v>
      </c>
      <c r="AD252" s="50">
        <f t="shared" ca="1" si="177"/>
        <v>0</v>
      </c>
      <c r="AE252" s="50">
        <f t="shared" ca="1" si="177"/>
        <v>0</v>
      </c>
      <c r="AF252" s="50">
        <f t="shared" ca="1" si="177"/>
        <v>0</v>
      </c>
      <c r="AG252" s="50">
        <f t="shared" ca="1" si="177"/>
        <v>0</v>
      </c>
      <c r="AH252" s="50">
        <f t="shared" ca="1" si="177"/>
        <v>0</v>
      </c>
      <c r="AI252" s="50">
        <f t="shared" ca="1" si="177"/>
        <v>0</v>
      </c>
      <c r="AJ252" s="50">
        <f t="shared" ca="1" si="177"/>
        <v>0</v>
      </c>
      <c r="AK252" s="50">
        <f t="shared" ca="1" si="177"/>
        <v>0</v>
      </c>
      <c r="AL252" s="50">
        <f t="shared" si="177"/>
        <v>0</v>
      </c>
      <c r="AM252" s="50">
        <f t="shared" si="177"/>
        <v>0</v>
      </c>
      <c r="AN252" s="50">
        <f t="shared" si="177"/>
        <v>0</v>
      </c>
      <c r="AO252" s="50">
        <f t="shared" si="177"/>
        <v>0</v>
      </c>
      <c r="AP252" s="50">
        <f t="shared" si="177"/>
        <v>0</v>
      </c>
      <c r="AQ252" s="50">
        <f t="shared" si="177"/>
        <v>0</v>
      </c>
      <c r="AR252" s="50">
        <f t="shared" si="177"/>
        <v>0</v>
      </c>
      <c r="AS252" s="50">
        <f t="shared" si="177"/>
        <v>0</v>
      </c>
      <c r="AT252" s="50">
        <f t="shared" si="177"/>
        <v>0</v>
      </c>
      <c r="AU252" s="50">
        <f t="shared" si="177"/>
        <v>0</v>
      </c>
    </row>
    <row r="253" spans="1:47">
      <c r="A253" s="38" t="str">
        <f t="shared" si="174"/>
        <v>1Y-</v>
      </c>
      <c r="B253" s="38" t="s">
        <v>274</v>
      </c>
      <c r="C253" s="38" t="str">
        <f t="shared" si="178"/>
        <v>Drying/Gasification/Energy Recovery</v>
      </c>
      <c r="D253" s="186"/>
      <c r="E253" s="325"/>
      <c r="G253" s="36" t="s">
        <v>16</v>
      </c>
      <c r="I253" s="39"/>
      <c r="K253" s="39"/>
      <c r="L253" s="43" t="s">
        <v>275</v>
      </c>
      <c r="N253" s="70">
        <f ca="1">SUMIFS(OFFSET(Assumptions!$I$90,0,MATCH($A253,Configurations,0)-1,COUNT(Assumptions!$A$90:$A$183),1),Assumptions!$D$90:$D$183,$B253&amp;$C253)</f>
        <v>0</v>
      </c>
      <c r="O253" s="313"/>
      <c r="P253" s="323"/>
      <c r="Q253" s="313"/>
      <c r="R253" s="50">
        <f t="shared" ref="R253:AU253" ca="1" si="179">IF(OR(R$99&lt;InServiceYr,R$99&gt;(InServiceYr+analysis_period-1)),0,IF($P253=0,$N253,$P253)*R$505)</f>
        <v>0</v>
      </c>
      <c r="S253" s="50">
        <f t="shared" ca="1" si="179"/>
        <v>0</v>
      </c>
      <c r="T253" s="50">
        <f t="shared" ca="1" si="179"/>
        <v>0</v>
      </c>
      <c r="U253" s="50">
        <f t="shared" ca="1" si="179"/>
        <v>0</v>
      </c>
      <c r="V253" s="50">
        <f t="shared" ca="1" si="179"/>
        <v>0</v>
      </c>
      <c r="W253" s="50">
        <f t="shared" ca="1" si="179"/>
        <v>0</v>
      </c>
      <c r="X253" s="50">
        <f t="shared" ca="1" si="179"/>
        <v>0</v>
      </c>
      <c r="Y253" s="50">
        <f t="shared" ca="1" si="179"/>
        <v>0</v>
      </c>
      <c r="Z253" s="50">
        <f t="shared" ca="1" si="179"/>
        <v>0</v>
      </c>
      <c r="AA253" s="50">
        <f t="shared" ca="1" si="179"/>
        <v>0</v>
      </c>
      <c r="AB253" s="50">
        <f t="shared" ca="1" si="179"/>
        <v>0</v>
      </c>
      <c r="AC253" s="50">
        <f t="shared" ca="1" si="179"/>
        <v>0</v>
      </c>
      <c r="AD253" s="50">
        <f t="shared" ca="1" si="179"/>
        <v>0</v>
      </c>
      <c r="AE253" s="50">
        <f t="shared" ca="1" si="179"/>
        <v>0</v>
      </c>
      <c r="AF253" s="50">
        <f t="shared" ca="1" si="179"/>
        <v>0</v>
      </c>
      <c r="AG253" s="50">
        <f t="shared" ca="1" si="179"/>
        <v>0</v>
      </c>
      <c r="AH253" s="50">
        <f t="shared" ca="1" si="179"/>
        <v>0</v>
      </c>
      <c r="AI253" s="50">
        <f t="shared" ca="1" si="179"/>
        <v>0</v>
      </c>
      <c r="AJ253" s="50">
        <f t="shared" ca="1" si="179"/>
        <v>0</v>
      </c>
      <c r="AK253" s="50">
        <f t="shared" ca="1" si="179"/>
        <v>0</v>
      </c>
      <c r="AL253" s="50">
        <f t="shared" si="179"/>
        <v>0</v>
      </c>
      <c r="AM253" s="50">
        <f t="shared" si="179"/>
        <v>0</v>
      </c>
      <c r="AN253" s="50">
        <f t="shared" si="179"/>
        <v>0</v>
      </c>
      <c r="AO253" s="50">
        <f t="shared" si="179"/>
        <v>0</v>
      </c>
      <c r="AP253" s="50">
        <f t="shared" si="179"/>
        <v>0</v>
      </c>
      <c r="AQ253" s="50">
        <f t="shared" si="179"/>
        <v>0</v>
      </c>
      <c r="AR253" s="50">
        <f t="shared" si="179"/>
        <v>0</v>
      </c>
      <c r="AS253" s="50">
        <f t="shared" si="179"/>
        <v>0</v>
      </c>
      <c r="AT253" s="50">
        <f t="shared" si="179"/>
        <v>0</v>
      </c>
      <c r="AU253" s="50">
        <f t="shared" si="179"/>
        <v>0</v>
      </c>
    </row>
    <row r="254" spans="1:47">
      <c r="A254" s="38" t="str">
        <f t="shared" si="174"/>
        <v>1Y-</v>
      </c>
      <c r="B254" s="38" t="s">
        <v>257</v>
      </c>
      <c r="C254" s="38" t="str">
        <f t="shared" si="178"/>
        <v>Drying/Gasification/Energy Recovery</v>
      </c>
      <c r="D254" s="186"/>
      <c r="E254" s="325"/>
      <c r="G254" s="36" t="s">
        <v>284</v>
      </c>
      <c r="I254" s="39"/>
      <c r="K254" s="39"/>
      <c r="L254" s="43" t="s">
        <v>293</v>
      </c>
      <c r="N254" s="70">
        <f ca="1">SUMIFS(OFFSET(Assumptions!$I$90,0,MATCH($A254,Configurations,0)-1,COUNT(Assumptions!$A$90:$A$183),1),Assumptions!$D$90:$D$183,$B254&amp;$C254)</f>
        <v>0</v>
      </c>
      <c r="O254" s="313"/>
      <c r="P254" s="323"/>
      <c r="Q254" s="313"/>
      <c r="R254" s="50">
        <f t="shared" ref="R254:AU254" ca="1" si="180">IF(OR(R$99&lt;InServiceYr,R$99&gt;(InServiceYr+analysis_period-1)),0,IF($P254=0,$N254,$P254)*R$501)</f>
        <v>0</v>
      </c>
      <c r="S254" s="50">
        <f t="shared" ca="1" si="180"/>
        <v>0</v>
      </c>
      <c r="T254" s="50">
        <f t="shared" ca="1" si="180"/>
        <v>0</v>
      </c>
      <c r="U254" s="50">
        <f t="shared" ca="1" si="180"/>
        <v>0</v>
      </c>
      <c r="V254" s="50">
        <f t="shared" ca="1" si="180"/>
        <v>0</v>
      </c>
      <c r="W254" s="50">
        <f t="shared" ca="1" si="180"/>
        <v>0</v>
      </c>
      <c r="X254" s="50">
        <f t="shared" ca="1" si="180"/>
        <v>0</v>
      </c>
      <c r="Y254" s="50">
        <f t="shared" ca="1" si="180"/>
        <v>0</v>
      </c>
      <c r="Z254" s="50">
        <f t="shared" ca="1" si="180"/>
        <v>0</v>
      </c>
      <c r="AA254" s="50">
        <f t="shared" ca="1" si="180"/>
        <v>0</v>
      </c>
      <c r="AB254" s="50">
        <f t="shared" ca="1" si="180"/>
        <v>0</v>
      </c>
      <c r="AC254" s="50">
        <f t="shared" ca="1" si="180"/>
        <v>0</v>
      </c>
      <c r="AD254" s="50">
        <f t="shared" ca="1" si="180"/>
        <v>0</v>
      </c>
      <c r="AE254" s="50">
        <f t="shared" ca="1" si="180"/>
        <v>0</v>
      </c>
      <c r="AF254" s="50">
        <f t="shared" ca="1" si="180"/>
        <v>0</v>
      </c>
      <c r="AG254" s="50">
        <f t="shared" ca="1" si="180"/>
        <v>0</v>
      </c>
      <c r="AH254" s="50">
        <f t="shared" ca="1" si="180"/>
        <v>0</v>
      </c>
      <c r="AI254" s="50">
        <f t="shared" ca="1" si="180"/>
        <v>0</v>
      </c>
      <c r="AJ254" s="50">
        <f t="shared" ca="1" si="180"/>
        <v>0</v>
      </c>
      <c r="AK254" s="50">
        <f t="shared" ca="1" si="180"/>
        <v>0</v>
      </c>
      <c r="AL254" s="50">
        <f t="shared" si="180"/>
        <v>0</v>
      </c>
      <c r="AM254" s="50">
        <f t="shared" si="180"/>
        <v>0</v>
      </c>
      <c r="AN254" s="50">
        <f t="shared" si="180"/>
        <v>0</v>
      </c>
      <c r="AO254" s="50">
        <f t="shared" si="180"/>
        <v>0</v>
      </c>
      <c r="AP254" s="50">
        <f t="shared" si="180"/>
        <v>0</v>
      </c>
      <c r="AQ254" s="50">
        <f t="shared" si="180"/>
        <v>0</v>
      </c>
      <c r="AR254" s="50">
        <f t="shared" si="180"/>
        <v>0</v>
      </c>
      <c r="AS254" s="50">
        <f t="shared" si="180"/>
        <v>0</v>
      </c>
      <c r="AT254" s="50">
        <f t="shared" si="180"/>
        <v>0</v>
      </c>
      <c r="AU254" s="50">
        <f t="shared" si="180"/>
        <v>0</v>
      </c>
    </row>
    <row r="255" spans="1:47">
      <c r="A255" s="38" t="str">
        <f t="shared" si="174"/>
        <v>1Y-</v>
      </c>
      <c r="B255" s="38" t="s">
        <v>864</v>
      </c>
      <c r="C255" s="38" t="str">
        <f t="shared" si="178"/>
        <v>Drying/Gasification/Energy Recovery</v>
      </c>
      <c r="D255" s="186">
        <f>GHGEsc</f>
        <v>0.02</v>
      </c>
      <c r="E255" s="325"/>
      <c r="G255" s="36" t="s">
        <v>865</v>
      </c>
      <c r="I255" s="39"/>
      <c r="K255" s="39"/>
      <c r="L255" s="43" t="s">
        <v>866</v>
      </c>
      <c r="N255" s="70">
        <f ca="1">SUMIFS(OFFSET(Assumptions!$I$90,0,MATCH($A255,Configurations,0)-1,COUNT(Assumptions!$A$90:$A$183),1),Assumptions!$D$90:$D$183,$B255&amp;$C255)</f>
        <v>0</v>
      </c>
      <c r="O255" s="313"/>
      <c r="P255" s="323"/>
      <c r="Q255" s="313"/>
      <c r="R255" s="50">
        <f t="shared" ref="R255:AU255" ca="1" si="181">IF(OR(R$99&lt;InServiceYr,R$99&gt;(InServiceYr+analysis_period-1)),0,IF($P255=0,$N255,$P255)*R$513)</f>
        <v>0</v>
      </c>
      <c r="S255" s="50">
        <f t="shared" ca="1" si="181"/>
        <v>0</v>
      </c>
      <c r="T255" s="50">
        <f t="shared" ca="1" si="181"/>
        <v>0</v>
      </c>
      <c r="U255" s="50">
        <f t="shared" ca="1" si="181"/>
        <v>0</v>
      </c>
      <c r="V255" s="50">
        <f t="shared" ca="1" si="181"/>
        <v>0</v>
      </c>
      <c r="W255" s="50">
        <f t="shared" ca="1" si="181"/>
        <v>0</v>
      </c>
      <c r="X255" s="50">
        <f t="shared" ca="1" si="181"/>
        <v>0</v>
      </c>
      <c r="Y255" s="50">
        <f t="shared" ca="1" si="181"/>
        <v>0</v>
      </c>
      <c r="Z255" s="50">
        <f t="shared" ca="1" si="181"/>
        <v>0</v>
      </c>
      <c r="AA255" s="50">
        <f t="shared" ca="1" si="181"/>
        <v>0</v>
      </c>
      <c r="AB255" s="50">
        <f t="shared" ca="1" si="181"/>
        <v>0</v>
      </c>
      <c r="AC255" s="50">
        <f t="shared" ca="1" si="181"/>
        <v>0</v>
      </c>
      <c r="AD255" s="50">
        <f t="shared" ca="1" si="181"/>
        <v>0</v>
      </c>
      <c r="AE255" s="50">
        <f t="shared" ca="1" si="181"/>
        <v>0</v>
      </c>
      <c r="AF255" s="50">
        <f t="shared" ca="1" si="181"/>
        <v>0</v>
      </c>
      <c r="AG255" s="50">
        <f t="shared" ca="1" si="181"/>
        <v>0</v>
      </c>
      <c r="AH255" s="50">
        <f t="shared" ca="1" si="181"/>
        <v>0</v>
      </c>
      <c r="AI255" s="50">
        <f t="shared" ca="1" si="181"/>
        <v>0</v>
      </c>
      <c r="AJ255" s="50">
        <f t="shared" ca="1" si="181"/>
        <v>0</v>
      </c>
      <c r="AK255" s="50">
        <f t="shared" ca="1" si="181"/>
        <v>0</v>
      </c>
      <c r="AL255" s="50">
        <f t="shared" si="181"/>
        <v>0</v>
      </c>
      <c r="AM255" s="50">
        <f t="shared" si="181"/>
        <v>0</v>
      </c>
      <c r="AN255" s="50">
        <f t="shared" si="181"/>
        <v>0</v>
      </c>
      <c r="AO255" s="50">
        <f t="shared" si="181"/>
        <v>0</v>
      </c>
      <c r="AP255" s="50">
        <f t="shared" si="181"/>
        <v>0</v>
      </c>
      <c r="AQ255" s="50">
        <f t="shared" si="181"/>
        <v>0</v>
      </c>
      <c r="AR255" s="50">
        <f t="shared" si="181"/>
        <v>0</v>
      </c>
      <c r="AS255" s="50">
        <f t="shared" si="181"/>
        <v>0</v>
      </c>
      <c r="AT255" s="50">
        <f t="shared" si="181"/>
        <v>0</v>
      </c>
      <c r="AU255" s="50">
        <f t="shared" si="181"/>
        <v>0</v>
      </c>
    </row>
    <row r="256" spans="1:47">
      <c r="A256" s="38" t="str">
        <f t="shared" si="174"/>
        <v>1Y-</v>
      </c>
      <c r="B256" s="38" t="s">
        <v>273</v>
      </c>
      <c r="C256" s="38" t="str">
        <f>C254</f>
        <v>Drying/Gasification/Energy Recovery</v>
      </c>
      <c r="D256" s="186">
        <f>LaborEsc</f>
        <v>0.02</v>
      </c>
      <c r="E256" s="325"/>
      <c r="G256" s="36" t="s">
        <v>291</v>
      </c>
      <c r="I256" s="39"/>
      <c r="K256" s="39"/>
      <c r="L256" s="43" t="str">
        <f>"["&amp;CostBaseYr&amp;" $]"</f>
        <v>[2013 $]</v>
      </c>
      <c r="N256" s="70">
        <f ca="1">SUMIFS(OFFSET(Assumptions!$I$90,0,MATCH($A256,Configurations,0)-1,COUNT(Assumptions!$A$90:$A$183),1),Assumptions!$D$90:$D$183,$B256&amp;$C256)</f>
        <v>0</v>
      </c>
      <c r="O256" s="313"/>
      <c r="P256" s="323"/>
      <c r="Q256" s="313"/>
      <c r="R256" s="50">
        <f t="shared" ref="R256:AU256" ca="1" si="182">IF(OR(R$99&lt;InServiceYr,R$99&gt;(InServiceYr+analysis_period-1)),0,IF($P256=0,$N256,$P256)*(1+$D256)^(R$99-CostBaseYr))*R$509</f>
        <v>0</v>
      </c>
      <c r="S256" s="50">
        <f t="shared" ca="1" si="182"/>
        <v>0</v>
      </c>
      <c r="T256" s="50">
        <f t="shared" ca="1" si="182"/>
        <v>0</v>
      </c>
      <c r="U256" s="50">
        <f t="shared" ca="1" si="182"/>
        <v>0</v>
      </c>
      <c r="V256" s="50">
        <f t="shared" ca="1" si="182"/>
        <v>0</v>
      </c>
      <c r="W256" s="50">
        <f t="shared" ca="1" si="182"/>
        <v>0</v>
      </c>
      <c r="X256" s="50">
        <f t="shared" ca="1" si="182"/>
        <v>0</v>
      </c>
      <c r="Y256" s="50">
        <f t="shared" ca="1" si="182"/>
        <v>0</v>
      </c>
      <c r="Z256" s="50">
        <f t="shared" ca="1" si="182"/>
        <v>0</v>
      </c>
      <c r="AA256" s="50">
        <f t="shared" ca="1" si="182"/>
        <v>0</v>
      </c>
      <c r="AB256" s="50">
        <f t="shared" ca="1" si="182"/>
        <v>0</v>
      </c>
      <c r="AC256" s="50">
        <f t="shared" ca="1" si="182"/>
        <v>0</v>
      </c>
      <c r="AD256" s="50">
        <f t="shared" ca="1" si="182"/>
        <v>0</v>
      </c>
      <c r="AE256" s="50">
        <f t="shared" ca="1" si="182"/>
        <v>0</v>
      </c>
      <c r="AF256" s="50">
        <f t="shared" ca="1" si="182"/>
        <v>0</v>
      </c>
      <c r="AG256" s="50">
        <f t="shared" ca="1" si="182"/>
        <v>0</v>
      </c>
      <c r="AH256" s="50">
        <f t="shared" ca="1" si="182"/>
        <v>0</v>
      </c>
      <c r="AI256" s="50">
        <f t="shared" ca="1" si="182"/>
        <v>0</v>
      </c>
      <c r="AJ256" s="50">
        <f t="shared" ca="1" si="182"/>
        <v>0</v>
      </c>
      <c r="AK256" s="50">
        <f t="shared" ca="1" si="182"/>
        <v>0</v>
      </c>
      <c r="AL256" s="50">
        <f t="shared" si="182"/>
        <v>0</v>
      </c>
      <c r="AM256" s="50">
        <f t="shared" si="182"/>
        <v>0</v>
      </c>
      <c r="AN256" s="50">
        <f t="shared" si="182"/>
        <v>0</v>
      </c>
      <c r="AO256" s="50">
        <f t="shared" si="182"/>
        <v>0</v>
      </c>
      <c r="AP256" s="50">
        <f t="shared" si="182"/>
        <v>0</v>
      </c>
      <c r="AQ256" s="50">
        <f t="shared" si="182"/>
        <v>0</v>
      </c>
      <c r="AR256" s="50">
        <f t="shared" si="182"/>
        <v>0</v>
      </c>
      <c r="AS256" s="50">
        <f t="shared" si="182"/>
        <v>0</v>
      </c>
      <c r="AT256" s="50">
        <f t="shared" si="182"/>
        <v>0</v>
      </c>
      <c r="AU256" s="50">
        <f t="shared" si="182"/>
        <v>0</v>
      </c>
    </row>
    <row r="257" spans="1:47">
      <c r="D257" s="186"/>
      <c r="E257" s="325"/>
      <c r="G257" s="39" t="s">
        <v>304</v>
      </c>
      <c r="I257" s="39"/>
      <c r="K257" s="39"/>
      <c r="L257" s="43"/>
      <c r="N257" s="70"/>
      <c r="O257" s="313"/>
      <c r="P257" s="70"/>
      <c r="Q257" s="313"/>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row>
    <row r="258" spans="1:47">
      <c r="A258" s="38" t="str">
        <f>$J$4&amp;"-"</f>
        <v>1Y-</v>
      </c>
      <c r="B258" s="38" t="s">
        <v>265</v>
      </c>
      <c r="C258" s="38" t="str">
        <f>C249</f>
        <v>Drying/Gasification/Energy Recovery</v>
      </c>
      <c r="D258" s="186"/>
      <c r="E258" s="325"/>
      <c r="G258" s="36" t="s">
        <v>108</v>
      </c>
      <c r="I258" s="39"/>
      <c r="K258" s="39"/>
      <c r="L258" s="43" t="s">
        <v>293</v>
      </c>
      <c r="N258" s="70">
        <f ca="1">SUMIFS(OFFSET(Assumptions!$I$90,0,MATCH($A258,Configurations,0)-1,COUNT(Assumptions!$A$90:$A$183),1),Assumptions!$D$90:$D$183,$B258&amp;$C258)</f>
        <v>0</v>
      </c>
      <c r="O258" s="313"/>
      <c r="P258" s="323"/>
      <c r="Q258" s="313"/>
      <c r="R258" s="50">
        <f t="shared" ref="R258:AU258" ca="1" si="183">IF(OR(R$99&lt;InServiceYr,R$99&gt;(InServiceYr+analysis_period-1)),0,IF($P258=0,$N258,$P258)*R$501)</f>
        <v>0</v>
      </c>
      <c r="S258" s="50">
        <f t="shared" ca="1" si="183"/>
        <v>0</v>
      </c>
      <c r="T258" s="50">
        <f t="shared" ca="1" si="183"/>
        <v>0</v>
      </c>
      <c r="U258" s="50">
        <f t="shared" ca="1" si="183"/>
        <v>0</v>
      </c>
      <c r="V258" s="50">
        <f t="shared" ca="1" si="183"/>
        <v>0</v>
      </c>
      <c r="W258" s="50">
        <f t="shared" ca="1" si="183"/>
        <v>0</v>
      </c>
      <c r="X258" s="50">
        <f t="shared" ca="1" si="183"/>
        <v>0</v>
      </c>
      <c r="Y258" s="50">
        <f t="shared" ca="1" si="183"/>
        <v>0</v>
      </c>
      <c r="Z258" s="50">
        <f t="shared" ca="1" si="183"/>
        <v>0</v>
      </c>
      <c r="AA258" s="50">
        <f t="shared" ca="1" si="183"/>
        <v>0</v>
      </c>
      <c r="AB258" s="50">
        <f t="shared" ca="1" si="183"/>
        <v>0</v>
      </c>
      <c r="AC258" s="50">
        <f t="shared" ca="1" si="183"/>
        <v>0</v>
      </c>
      <c r="AD258" s="50">
        <f t="shared" ca="1" si="183"/>
        <v>0</v>
      </c>
      <c r="AE258" s="50">
        <f t="shared" ca="1" si="183"/>
        <v>0</v>
      </c>
      <c r="AF258" s="50">
        <f t="shared" ca="1" si="183"/>
        <v>0</v>
      </c>
      <c r="AG258" s="50">
        <f t="shared" ca="1" si="183"/>
        <v>0</v>
      </c>
      <c r="AH258" s="50">
        <f t="shared" ca="1" si="183"/>
        <v>0</v>
      </c>
      <c r="AI258" s="50">
        <f t="shared" ca="1" si="183"/>
        <v>0</v>
      </c>
      <c r="AJ258" s="50">
        <f t="shared" ca="1" si="183"/>
        <v>0</v>
      </c>
      <c r="AK258" s="50">
        <f t="shared" ca="1" si="183"/>
        <v>0</v>
      </c>
      <c r="AL258" s="50">
        <f t="shared" si="183"/>
        <v>0</v>
      </c>
      <c r="AM258" s="50">
        <f t="shared" si="183"/>
        <v>0</v>
      </c>
      <c r="AN258" s="50">
        <f t="shared" si="183"/>
        <v>0</v>
      </c>
      <c r="AO258" s="50">
        <f t="shared" si="183"/>
        <v>0</v>
      </c>
      <c r="AP258" s="50">
        <f t="shared" si="183"/>
        <v>0</v>
      </c>
      <c r="AQ258" s="50">
        <f t="shared" si="183"/>
        <v>0</v>
      </c>
      <c r="AR258" s="50">
        <f t="shared" si="183"/>
        <v>0</v>
      </c>
      <c r="AS258" s="50">
        <f t="shared" si="183"/>
        <v>0</v>
      </c>
      <c r="AT258" s="50">
        <f t="shared" si="183"/>
        <v>0</v>
      </c>
      <c r="AU258" s="50">
        <f t="shared" si="183"/>
        <v>0</v>
      </c>
    </row>
    <row r="259" spans="1:47">
      <c r="A259" s="38" t="str">
        <f>$J$4&amp;"-"</f>
        <v>1Y-</v>
      </c>
      <c r="B259" s="38" t="s">
        <v>289</v>
      </c>
      <c r="C259" s="38" t="str">
        <f>C249</f>
        <v>Drying/Gasification/Energy Recovery</v>
      </c>
      <c r="D259" s="186">
        <f>LaborEsc</f>
        <v>0.02</v>
      </c>
      <c r="E259" s="325"/>
      <c r="G259" s="36" t="s">
        <v>292</v>
      </c>
      <c r="I259" s="39"/>
      <c r="K259" s="39"/>
      <c r="L259" s="43" t="str">
        <f>"["&amp;CostBaseYr&amp;" $]"</f>
        <v>[2013 $]</v>
      </c>
      <c r="N259" s="70">
        <f ca="1">SUMIFS(OFFSET(Assumptions!$I$90,0,MATCH($A259,Configurations,0)-1,COUNT(Assumptions!$A$90:$A$183),1),Assumptions!$D$90:$D$183,$B259&amp;$C259)</f>
        <v>0</v>
      </c>
      <c r="O259" s="313"/>
      <c r="P259" s="323"/>
      <c r="Q259" s="313"/>
      <c r="R259" s="50">
        <f t="shared" ref="R259:AU259" ca="1" si="184">IF(OR(R$99&lt;InServiceYr,R$99&gt;(InServiceYr+analysis_period-1)),0,IF($P259=0,$N259,$P259)*(1+$D259)^(R$99-CostBaseYr))</f>
        <v>0</v>
      </c>
      <c r="S259" s="50">
        <f t="shared" ca="1" si="184"/>
        <v>0</v>
      </c>
      <c r="T259" s="50">
        <f t="shared" ca="1" si="184"/>
        <v>0</v>
      </c>
      <c r="U259" s="50">
        <f t="shared" ca="1" si="184"/>
        <v>0</v>
      </c>
      <c r="V259" s="50">
        <f t="shared" ca="1" si="184"/>
        <v>0</v>
      </c>
      <c r="W259" s="50">
        <f t="shared" ca="1" si="184"/>
        <v>0</v>
      </c>
      <c r="X259" s="50">
        <f t="shared" ca="1" si="184"/>
        <v>0</v>
      </c>
      <c r="Y259" s="50">
        <f t="shared" ca="1" si="184"/>
        <v>0</v>
      </c>
      <c r="Z259" s="50">
        <f t="shared" ca="1" si="184"/>
        <v>0</v>
      </c>
      <c r="AA259" s="50">
        <f t="shared" ca="1" si="184"/>
        <v>0</v>
      </c>
      <c r="AB259" s="50">
        <f t="shared" ca="1" si="184"/>
        <v>0</v>
      </c>
      <c r="AC259" s="50">
        <f t="shared" ca="1" si="184"/>
        <v>0</v>
      </c>
      <c r="AD259" s="50">
        <f t="shared" ca="1" si="184"/>
        <v>0</v>
      </c>
      <c r="AE259" s="50">
        <f t="shared" ca="1" si="184"/>
        <v>0</v>
      </c>
      <c r="AF259" s="50">
        <f t="shared" ca="1" si="184"/>
        <v>0</v>
      </c>
      <c r="AG259" s="50">
        <f t="shared" ca="1" si="184"/>
        <v>0</v>
      </c>
      <c r="AH259" s="50">
        <f t="shared" ca="1" si="184"/>
        <v>0</v>
      </c>
      <c r="AI259" s="50">
        <f t="shared" ca="1" si="184"/>
        <v>0</v>
      </c>
      <c r="AJ259" s="50">
        <f t="shared" ca="1" si="184"/>
        <v>0</v>
      </c>
      <c r="AK259" s="50">
        <f t="shared" ca="1" si="184"/>
        <v>0</v>
      </c>
      <c r="AL259" s="50">
        <f t="shared" si="184"/>
        <v>0</v>
      </c>
      <c r="AM259" s="50">
        <f t="shared" si="184"/>
        <v>0</v>
      </c>
      <c r="AN259" s="50">
        <f t="shared" si="184"/>
        <v>0</v>
      </c>
      <c r="AO259" s="50">
        <f t="shared" si="184"/>
        <v>0</v>
      </c>
      <c r="AP259" s="50">
        <f t="shared" si="184"/>
        <v>0</v>
      </c>
      <c r="AQ259" s="50">
        <f t="shared" si="184"/>
        <v>0</v>
      </c>
      <c r="AR259" s="50">
        <f t="shared" si="184"/>
        <v>0</v>
      </c>
      <c r="AS259" s="50">
        <f t="shared" si="184"/>
        <v>0</v>
      </c>
      <c r="AT259" s="50">
        <f t="shared" si="184"/>
        <v>0</v>
      </c>
      <c r="AU259" s="50">
        <f t="shared" si="184"/>
        <v>0</v>
      </c>
    </row>
    <row r="260" spans="1:47" s="60" customFormat="1">
      <c r="D260" s="187"/>
      <c r="E260" s="325"/>
      <c r="G260" s="39" t="s">
        <v>305</v>
      </c>
      <c r="I260" s="39"/>
      <c r="K260" s="39"/>
      <c r="L260" s="174"/>
      <c r="N260" s="188"/>
      <c r="O260" s="314"/>
      <c r="P260" s="185"/>
      <c r="Q260" s="314"/>
      <c r="R260" s="185">
        <f ca="1">SUM(R249:R256)-SUM(R258:R259)</f>
        <v>0</v>
      </c>
      <c r="S260" s="185">
        <f t="shared" ref="S260:AU260" ca="1" si="185">SUM(S249:S256)-SUM(S258:S259)</f>
        <v>0</v>
      </c>
      <c r="T260" s="185">
        <f t="shared" ca="1" si="185"/>
        <v>0</v>
      </c>
      <c r="U260" s="185">
        <f t="shared" ca="1" si="185"/>
        <v>0</v>
      </c>
      <c r="V260" s="185">
        <f t="shared" ca="1" si="185"/>
        <v>0</v>
      </c>
      <c r="W260" s="185">
        <f t="shared" ca="1" si="185"/>
        <v>0</v>
      </c>
      <c r="X260" s="185">
        <f t="shared" ca="1" si="185"/>
        <v>0</v>
      </c>
      <c r="Y260" s="185">
        <f t="shared" ca="1" si="185"/>
        <v>0</v>
      </c>
      <c r="Z260" s="185">
        <f t="shared" ca="1" si="185"/>
        <v>0</v>
      </c>
      <c r="AA260" s="185">
        <f t="shared" ca="1" si="185"/>
        <v>0</v>
      </c>
      <c r="AB260" s="185">
        <f t="shared" ca="1" si="185"/>
        <v>0</v>
      </c>
      <c r="AC260" s="185">
        <f t="shared" ca="1" si="185"/>
        <v>0</v>
      </c>
      <c r="AD260" s="185">
        <f t="shared" ca="1" si="185"/>
        <v>0</v>
      </c>
      <c r="AE260" s="185">
        <f t="shared" ca="1" si="185"/>
        <v>0</v>
      </c>
      <c r="AF260" s="185">
        <f t="shared" ca="1" si="185"/>
        <v>0</v>
      </c>
      <c r="AG260" s="185">
        <f t="shared" ca="1" si="185"/>
        <v>0</v>
      </c>
      <c r="AH260" s="185">
        <f t="shared" ca="1" si="185"/>
        <v>0</v>
      </c>
      <c r="AI260" s="185">
        <f t="shared" ca="1" si="185"/>
        <v>0</v>
      </c>
      <c r="AJ260" s="185">
        <f t="shared" ca="1" si="185"/>
        <v>0</v>
      </c>
      <c r="AK260" s="185">
        <f t="shared" ca="1" si="185"/>
        <v>0</v>
      </c>
      <c r="AL260" s="185">
        <f t="shared" si="185"/>
        <v>0</v>
      </c>
      <c r="AM260" s="185">
        <f t="shared" si="185"/>
        <v>0</v>
      </c>
      <c r="AN260" s="185">
        <f t="shared" si="185"/>
        <v>0</v>
      </c>
      <c r="AO260" s="185">
        <f t="shared" si="185"/>
        <v>0</v>
      </c>
      <c r="AP260" s="185">
        <f t="shared" si="185"/>
        <v>0</v>
      </c>
      <c r="AQ260" s="185">
        <f t="shared" si="185"/>
        <v>0</v>
      </c>
      <c r="AR260" s="185">
        <f t="shared" si="185"/>
        <v>0</v>
      </c>
      <c r="AS260" s="185">
        <f t="shared" si="185"/>
        <v>0</v>
      </c>
      <c r="AT260" s="185">
        <f t="shared" si="185"/>
        <v>0</v>
      </c>
      <c r="AU260" s="185">
        <f t="shared" si="185"/>
        <v>0</v>
      </c>
    </row>
    <row r="261" spans="1:47">
      <c r="E261" s="36"/>
      <c r="G261" s="39"/>
      <c r="H261" s="39"/>
      <c r="I261" s="39"/>
      <c r="J261" s="39"/>
      <c r="K261" s="39"/>
    </row>
    <row r="262" spans="1:47">
      <c r="E262" s="327"/>
      <c r="F262" s="28"/>
      <c r="G262" s="324" t="str">
        <f>C264&amp;" Capital Costs"</f>
        <v>Energy Recovery Capital Costs</v>
      </c>
      <c r="H262" s="324"/>
      <c r="I262" s="324"/>
      <c r="J262" s="324"/>
      <c r="K262" s="324"/>
      <c r="L262" s="405" t="s">
        <v>79</v>
      </c>
      <c r="M262" s="256"/>
      <c r="N262" s="325" t="s">
        <v>490</v>
      </c>
      <c r="O262" s="311"/>
      <c r="P262" s="325" t="s">
        <v>491</v>
      </c>
      <c r="Q262" s="310"/>
      <c r="R262" s="325">
        <f>R$8</f>
        <v>2014</v>
      </c>
      <c r="S262" s="325">
        <f t="shared" ref="S262:AU262" si="186">S$8</f>
        <v>2015</v>
      </c>
      <c r="T262" s="325">
        <f t="shared" si="186"/>
        <v>2016</v>
      </c>
      <c r="U262" s="325">
        <f t="shared" si="186"/>
        <v>2017</v>
      </c>
      <c r="V262" s="325">
        <f t="shared" si="186"/>
        <v>2018</v>
      </c>
      <c r="W262" s="325">
        <f t="shared" si="186"/>
        <v>2019</v>
      </c>
      <c r="X262" s="325">
        <f t="shared" si="186"/>
        <v>2020</v>
      </c>
      <c r="Y262" s="325">
        <f t="shared" si="186"/>
        <v>2021</v>
      </c>
      <c r="Z262" s="325">
        <f t="shared" si="186"/>
        <v>2022</v>
      </c>
      <c r="AA262" s="325">
        <f t="shared" si="186"/>
        <v>2023</v>
      </c>
      <c r="AB262" s="325">
        <f t="shared" si="186"/>
        <v>2024</v>
      </c>
      <c r="AC262" s="325">
        <f t="shared" si="186"/>
        <v>2025</v>
      </c>
      <c r="AD262" s="325">
        <f t="shared" si="186"/>
        <v>2026</v>
      </c>
      <c r="AE262" s="325">
        <f t="shared" si="186"/>
        <v>2027</v>
      </c>
      <c r="AF262" s="325">
        <f t="shared" si="186"/>
        <v>2028</v>
      </c>
      <c r="AG262" s="325">
        <f t="shared" si="186"/>
        <v>2029</v>
      </c>
      <c r="AH262" s="325">
        <f t="shared" si="186"/>
        <v>2030</v>
      </c>
      <c r="AI262" s="325">
        <f t="shared" si="186"/>
        <v>2031</v>
      </c>
      <c r="AJ262" s="325">
        <f t="shared" si="186"/>
        <v>2032</v>
      </c>
      <c r="AK262" s="325">
        <f t="shared" si="186"/>
        <v>2033</v>
      </c>
      <c r="AL262" s="325">
        <f t="shared" si="186"/>
        <v>2034</v>
      </c>
      <c r="AM262" s="325">
        <f t="shared" si="186"/>
        <v>2035</v>
      </c>
      <c r="AN262" s="325">
        <f t="shared" si="186"/>
        <v>2036</v>
      </c>
      <c r="AO262" s="325">
        <f t="shared" si="186"/>
        <v>2037</v>
      </c>
      <c r="AP262" s="325">
        <f t="shared" si="186"/>
        <v>2038</v>
      </c>
      <c r="AQ262" s="325">
        <f t="shared" si="186"/>
        <v>2039</v>
      </c>
      <c r="AR262" s="325">
        <f t="shared" si="186"/>
        <v>2040</v>
      </c>
      <c r="AS262" s="325">
        <f t="shared" si="186"/>
        <v>2041</v>
      </c>
      <c r="AT262" s="325">
        <f t="shared" si="186"/>
        <v>2042</v>
      </c>
      <c r="AU262" s="325">
        <f t="shared" si="186"/>
        <v>2043</v>
      </c>
    </row>
    <row r="263" spans="1:47">
      <c r="E263" s="325"/>
      <c r="G263" s="39"/>
      <c r="H263" s="39"/>
      <c r="I263" s="39"/>
      <c r="J263" s="39"/>
      <c r="K263" s="39"/>
    </row>
    <row r="264" spans="1:47">
      <c r="A264" s="38" t="str">
        <f>$J$4&amp;"-"</f>
        <v>1Y-</v>
      </c>
      <c r="B264" s="38" t="s">
        <v>306</v>
      </c>
      <c r="C264" s="38" t="s">
        <v>321</v>
      </c>
      <c r="D264" s="186">
        <f>CapExEsc</f>
        <v>0.03</v>
      </c>
      <c r="E264" s="325"/>
      <c r="G264" s="36" t="s">
        <v>8</v>
      </c>
      <c r="H264" s="39"/>
      <c r="I264" s="39"/>
      <c r="J264" s="70"/>
      <c r="K264" s="39"/>
      <c r="L264" s="43" t="str">
        <f>"["&amp;CostBaseYr&amp;" $]"</f>
        <v>[2013 $]</v>
      </c>
      <c r="N264" s="52">
        <f ca="1">SUMIFS(OFFSET(Assumptions!$I$65,0,MATCH($A264,Configurations,0)-1,COUNT(Assumptions!$A$65:$A$84),1),Assumptions!$E$65:$E$84,$C264)</f>
        <v>0</v>
      </c>
      <c r="O264" s="52"/>
      <c r="P264" s="322"/>
      <c r="Q264" s="52"/>
      <c r="R264" s="52">
        <f t="shared" ref="R264:AU264" ca="1" si="187">R265*IF($P264=0,$N264,$P264)*(1+$D264)^(R$8-CostBaseYr)</f>
        <v>0</v>
      </c>
      <c r="S264" s="52">
        <f t="shared" ca="1" si="187"/>
        <v>0</v>
      </c>
      <c r="T264" s="52">
        <f t="shared" ca="1" si="187"/>
        <v>0</v>
      </c>
      <c r="U264" s="52">
        <f t="shared" ca="1" si="187"/>
        <v>0</v>
      </c>
      <c r="V264" s="52">
        <f t="shared" ca="1" si="187"/>
        <v>0</v>
      </c>
      <c r="W264" s="52">
        <f t="shared" ca="1" si="187"/>
        <v>0</v>
      </c>
      <c r="X264" s="52">
        <f t="shared" ca="1" si="187"/>
        <v>0</v>
      </c>
      <c r="Y264" s="52">
        <f t="shared" ca="1" si="187"/>
        <v>0</v>
      </c>
      <c r="Z264" s="52">
        <f t="shared" ca="1" si="187"/>
        <v>0</v>
      </c>
      <c r="AA264" s="52">
        <f t="shared" ca="1" si="187"/>
        <v>0</v>
      </c>
      <c r="AB264" s="52">
        <f t="shared" ca="1" si="187"/>
        <v>0</v>
      </c>
      <c r="AC264" s="52">
        <f t="shared" ca="1" si="187"/>
        <v>0</v>
      </c>
      <c r="AD264" s="52">
        <f t="shared" ca="1" si="187"/>
        <v>0</v>
      </c>
      <c r="AE264" s="52">
        <f t="shared" ca="1" si="187"/>
        <v>0</v>
      </c>
      <c r="AF264" s="52">
        <f t="shared" ca="1" si="187"/>
        <v>0</v>
      </c>
      <c r="AG264" s="52">
        <f t="shared" ca="1" si="187"/>
        <v>0</v>
      </c>
      <c r="AH264" s="52">
        <f t="shared" ca="1" si="187"/>
        <v>0</v>
      </c>
      <c r="AI264" s="52">
        <f t="shared" ca="1" si="187"/>
        <v>0</v>
      </c>
      <c r="AJ264" s="52">
        <f t="shared" ca="1" si="187"/>
        <v>0</v>
      </c>
      <c r="AK264" s="52">
        <f t="shared" ca="1" si="187"/>
        <v>0</v>
      </c>
      <c r="AL264" s="52">
        <f t="shared" ca="1" si="187"/>
        <v>0</v>
      </c>
      <c r="AM264" s="52">
        <f t="shared" ca="1" si="187"/>
        <v>0</v>
      </c>
      <c r="AN264" s="52">
        <f t="shared" ca="1" si="187"/>
        <v>0</v>
      </c>
      <c r="AO264" s="52">
        <f t="shared" ca="1" si="187"/>
        <v>0</v>
      </c>
      <c r="AP264" s="52">
        <f t="shared" ca="1" si="187"/>
        <v>0</v>
      </c>
      <c r="AQ264" s="52">
        <f t="shared" ca="1" si="187"/>
        <v>0</v>
      </c>
      <c r="AR264" s="52">
        <f t="shared" ca="1" si="187"/>
        <v>0</v>
      </c>
      <c r="AS264" s="52">
        <f t="shared" ca="1" si="187"/>
        <v>0</v>
      </c>
      <c r="AT264" s="52">
        <f t="shared" ca="1" si="187"/>
        <v>0</v>
      </c>
      <c r="AU264" s="52">
        <f t="shared" ca="1" si="187"/>
        <v>0</v>
      </c>
    </row>
    <row r="265" spans="1:47">
      <c r="E265" s="325"/>
      <c r="G265" s="36" t="s">
        <v>10</v>
      </c>
      <c r="H265" s="39"/>
      <c r="I265" s="39"/>
      <c r="J265" s="39"/>
      <c r="K265" s="39"/>
      <c r="L265" s="43"/>
      <c r="R265" s="54">
        <f>Assumptions!M$60</f>
        <v>1</v>
      </c>
      <c r="S265" s="54">
        <f>Assumptions!N$60</f>
        <v>0</v>
      </c>
      <c r="T265" s="54">
        <f>Assumptions!O$60</f>
        <v>0</v>
      </c>
      <c r="U265" s="54">
        <f>Assumptions!P$60</f>
        <v>0</v>
      </c>
      <c r="V265" s="54">
        <f>Assumptions!Q$60</f>
        <v>0</v>
      </c>
      <c r="W265" s="54">
        <f>Assumptions!R$60</f>
        <v>0</v>
      </c>
      <c r="X265" s="54">
        <f>Assumptions!S$60</f>
        <v>0</v>
      </c>
      <c r="Y265" s="54">
        <f>Assumptions!T$60</f>
        <v>0</v>
      </c>
      <c r="Z265" s="54">
        <f>Assumptions!U$60</f>
        <v>0</v>
      </c>
      <c r="AA265" s="54">
        <f>Assumptions!V$60</f>
        <v>0</v>
      </c>
      <c r="AB265" s="54">
        <f>Assumptions!W$60</f>
        <v>0</v>
      </c>
      <c r="AC265" s="54">
        <f>Assumptions!X$60</f>
        <v>0</v>
      </c>
      <c r="AD265" s="54">
        <f>Assumptions!Y$60</f>
        <v>0</v>
      </c>
      <c r="AE265" s="54">
        <f>Assumptions!Z$60</f>
        <v>0</v>
      </c>
      <c r="AF265" s="54">
        <f>Assumptions!AA$60</f>
        <v>0</v>
      </c>
      <c r="AG265" s="54">
        <f>Assumptions!AB$60</f>
        <v>0</v>
      </c>
      <c r="AH265" s="54">
        <f>Assumptions!AC$60</f>
        <v>0</v>
      </c>
      <c r="AI265" s="54">
        <f>Assumptions!AD$60</f>
        <v>0</v>
      </c>
      <c r="AJ265" s="54">
        <f>Assumptions!AE$60</f>
        <v>0</v>
      </c>
      <c r="AK265" s="54">
        <f>Assumptions!AF$60</f>
        <v>0</v>
      </c>
      <c r="AL265" s="54">
        <f>Assumptions!AG$60</f>
        <v>0</v>
      </c>
      <c r="AM265" s="54">
        <f>Assumptions!AH$60</f>
        <v>0</v>
      </c>
      <c r="AN265" s="54">
        <f>Assumptions!AI$60</f>
        <v>0</v>
      </c>
      <c r="AO265" s="54">
        <f>Assumptions!AJ$60</f>
        <v>0</v>
      </c>
      <c r="AP265" s="54">
        <f>Assumptions!AK$60</f>
        <v>0</v>
      </c>
      <c r="AQ265" s="54">
        <f>Assumptions!AL$60</f>
        <v>0</v>
      </c>
      <c r="AR265" s="54">
        <f>Assumptions!AM$60</f>
        <v>0</v>
      </c>
      <c r="AS265" s="54">
        <f>Assumptions!AN$60</f>
        <v>0</v>
      </c>
      <c r="AT265" s="54">
        <f>Assumptions!AO$60</f>
        <v>0</v>
      </c>
      <c r="AU265" s="54">
        <f>Assumptions!AP$60</f>
        <v>0</v>
      </c>
    </row>
    <row r="266" spans="1:47">
      <c r="E266" s="326"/>
      <c r="G266" s="39"/>
      <c r="H266" s="39"/>
      <c r="I266" s="39"/>
      <c r="J266" s="39"/>
      <c r="K266" s="39"/>
    </row>
    <row r="267" spans="1:47">
      <c r="E267" s="327"/>
      <c r="F267" s="28"/>
      <c r="G267" s="324" t="str">
        <f>C264&amp;" O&amp;M"</f>
        <v>Energy Recovery O&amp;M</v>
      </c>
      <c r="H267" s="324"/>
      <c r="I267" s="324"/>
      <c r="J267" s="324"/>
      <c r="K267" s="324"/>
      <c r="L267" s="405" t="s">
        <v>79</v>
      </c>
      <c r="M267" s="256"/>
      <c r="N267" s="325" t="s">
        <v>490</v>
      </c>
      <c r="O267" s="311"/>
      <c r="P267" s="325" t="s">
        <v>491</v>
      </c>
      <c r="Q267" s="310"/>
      <c r="R267" s="325">
        <f>R$8</f>
        <v>2014</v>
      </c>
      <c r="S267" s="325">
        <f t="shared" ref="S267:AU267" si="188">S$8</f>
        <v>2015</v>
      </c>
      <c r="T267" s="325">
        <f t="shared" si="188"/>
        <v>2016</v>
      </c>
      <c r="U267" s="325">
        <f t="shared" si="188"/>
        <v>2017</v>
      </c>
      <c r="V267" s="325">
        <f t="shared" si="188"/>
        <v>2018</v>
      </c>
      <c r="W267" s="325">
        <f t="shared" si="188"/>
        <v>2019</v>
      </c>
      <c r="X267" s="325">
        <f t="shared" si="188"/>
        <v>2020</v>
      </c>
      <c r="Y267" s="325">
        <f t="shared" si="188"/>
        <v>2021</v>
      </c>
      <c r="Z267" s="325">
        <f t="shared" si="188"/>
        <v>2022</v>
      </c>
      <c r="AA267" s="325">
        <f t="shared" si="188"/>
        <v>2023</v>
      </c>
      <c r="AB267" s="325">
        <f t="shared" si="188"/>
        <v>2024</v>
      </c>
      <c r="AC267" s="325">
        <f t="shared" si="188"/>
        <v>2025</v>
      </c>
      <c r="AD267" s="325">
        <f t="shared" si="188"/>
        <v>2026</v>
      </c>
      <c r="AE267" s="325">
        <f t="shared" si="188"/>
        <v>2027</v>
      </c>
      <c r="AF267" s="325">
        <f t="shared" si="188"/>
        <v>2028</v>
      </c>
      <c r="AG267" s="325">
        <f t="shared" si="188"/>
        <v>2029</v>
      </c>
      <c r="AH267" s="325">
        <f t="shared" si="188"/>
        <v>2030</v>
      </c>
      <c r="AI267" s="325">
        <f t="shared" si="188"/>
        <v>2031</v>
      </c>
      <c r="AJ267" s="325">
        <f t="shared" si="188"/>
        <v>2032</v>
      </c>
      <c r="AK267" s="325">
        <f t="shared" si="188"/>
        <v>2033</v>
      </c>
      <c r="AL267" s="325">
        <f t="shared" si="188"/>
        <v>2034</v>
      </c>
      <c r="AM267" s="325">
        <f t="shared" si="188"/>
        <v>2035</v>
      </c>
      <c r="AN267" s="325">
        <f t="shared" si="188"/>
        <v>2036</v>
      </c>
      <c r="AO267" s="325">
        <f t="shared" si="188"/>
        <v>2037</v>
      </c>
      <c r="AP267" s="325">
        <f t="shared" si="188"/>
        <v>2038</v>
      </c>
      <c r="AQ267" s="325">
        <f t="shared" si="188"/>
        <v>2039</v>
      </c>
      <c r="AR267" s="325">
        <f t="shared" si="188"/>
        <v>2040</v>
      </c>
      <c r="AS267" s="325">
        <f t="shared" si="188"/>
        <v>2041</v>
      </c>
      <c r="AT267" s="325">
        <f t="shared" si="188"/>
        <v>2042</v>
      </c>
      <c r="AU267" s="325">
        <f t="shared" si="188"/>
        <v>2043</v>
      </c>
    </row>
    <row r="268" spans="1:47">
      <c r="E268" s="325"/>
      <c r="G268" s="39"/>
      <c r="H268" s="39"/>
      <c r="I268" s="39"/>
      <c r="J268" s="39"/>
      <c r="K268" s="39"/>
    </row>
    <row r="269" spans="1:47">
      <c r="E269" s="325"/>
      <c r="G269" s="39" t="s">
        <v>23</v>
      </c>
      <c r="H269" s="39"/>
      <c r="I269" s="39"/>
      <c r="J269" s="39"/>
      <c r="K269" s="39"/>
    </row>
    <row r="270" spans="1:47">
      <c r="A270" s="38" t="str">
        <f t="shared" ref="A270:A277" si="189">$J$4&amp;"-"</f>
        <v>1Y-</v>
      </c>
      <c r="B270" s="38" t="s">
        <v>262</v>
      </c>
      <c r="C270" s="38" t="str">
        <f>C264</f>
        <v>Energy Recovery</v>
      </c>
      <c r="D270" s="186">
        <f>LaborEsc</f>
        <v>0.02</v>
      </c>
      <c r="E270" s="325"/>
      <c r="G270" s="36" t="s">
        <v>125</v>
      </c>
      <c r="I270" s="39"/>
      <c r="K270" s="39"/>
      <c r="L270" s="43" t="s">
        <v>266</v>
      </c>
      <c r="N270" s="70">
        <f ca="1">SUMIFS(OFFSET(Assumptions!$I$90,0,MATCH($A270,Configurations,0)-1,COUNT(Assumptions!$A$90:$A$183),1),Assumptions!$D$90:$D$183,$B270&amp;$C270)</f>
        <v>0</v>
      </c>
      <c r="O270" s="313"/>
      <c r="P270" s="323"/>
      <c r="Q270" s="313"/>
      <c r="R270" s="50">
        <f t="shared" ref="R270:AU270" ca="1" si="190">IF(OR(R$99&lt;InServiceYr,R$99&gt;(InServiceYr+analysis_period-1)),0,IF($P270=0,$N270,$P270)*LaborCost*(1+$D270)^(R$99-CostBaseYr))</f>
        <v>0</v>
      </c>
      <c r="S270" s="50">
        <f t="shared" ca="1" si="190"/>
        <v>0</v>
      </c>
      <c r="T270" s="50">
        <f t="shared" ca="1" si="190"/>
        <v>0</v>
      </c>
      <c r="U270" s="50">
        <f t="shared" ca="1" si="190"/>
        <v>0</v>
      </c>
      <c r="V270" s="50">
        <f t="shared" ca="1" si="190"/>
        <v>0</v>
      </c>
      <c r="W270" s="50">
        <f t="shared" ca="1" si="190"/>
        <v>0</v>
      </c>
      <c r="X270" s="50">
        <f t="shared" ca="1" si="190"/>
        <v>0</v>
      </c>
      <c r="Y270" s="50">
        <f t="shared" ca="1" si="190"/>
        <v>0</v>
      </c>
      <c r="Z270" s="50">
        <f t="shared" ca="1" si="190"/>
        <v>0</v>
      </c>
      <c r="AA270" s="50">
        <f t="shared" ca="1" si="190"/>
        <v>0</v>
      </c>
      <c r="AB270" s="50">
        <f t="shared" ca="1" si="190"/>
        <v>0</v>
      </c>
      <c r="AC270" s="50">
        <f t="shared" ca="1" si="190"/>
        <v>0</v>
      </c>
      <c r="AD270" s="50">
        <f t="shared" ca="1" si="190"/>
        <v>0</v>
      </c>
      <c r="AE270" s="50">
        <f t="shared" ca="1" si="190"/>
        <v>0</v>
      </c>
      <c r="AF270" s="50">
        <f t="shared" ca="1" si="190"/>
        <v>0</v>
      </c>
      <c r="AG270" s="50">
        <f t="shared" ca="1" si="190"/>
        <v>0</v>
      </c>
      <c r="AH270" s="50">
        <f t="shared" ca="1" si="190"/>
        <v>0</v>
      </c>
      <c r="AI270" s="50">
        <f t="shared" ca="1" si="190"/>
        <v>0</v>
      </c>
      <c r="AJ270" s="50">
        <f t="shared" ca="1" si="190"/>
        <v>0</v>
      </c>
      <c r="AK270" s="50">
        <f t="shared" ca="1" si="190"/>
        <v>0</v>
      </c>
      <c r="AL270" s="50">
        <f t="shared" si="190"/>
        <v>0</v>
      </c>
      <c r="AM270" s="50">
        <f t="shared" si="190"/>
        <v>0</v>
      </c>
      <c r="AN270" s="50">
        <f t="shared" si="190"/>
        <v>0</v>
      </c>
      <c r="AO270" s="50">
        <f t="shared" si="190"/>
        <v>0</v>
      </c>
      <c r="AP270" s="50">
        <f t="shared" si="190"/>
        <v>0</v>
      </c>
      <c r="AQ270" s="50">
        <f t="shared" si="190"/>
        <v>0</v>
      </c>
      <c r="AR270" s="50">
        <f t="shared" si="190"/>
        <v>0</v>
      </c>
      <c r="AS270" s="50">
        <f t="shared" si="190"/>
        <v>0</v>
      </c>
      <c r="AT270" s="50">
        <f t="shared" si="190"/>
        <v>0</v>
      </c>
      <c r="AU270" s="50">
        <f t="shared" si="190"/>
        <v>0</v>
      </c>
    </row>
    <row r="271" spans="1:47">
      <c r="A271" s="38" t="str">
        <f t="shared" si="189"/>
        <v>1Y-</v>
      </c>
      <c r="B271" s="38" t="s">
        <v>270</v>
      </c>
      <c r="C271" s="38" t="str">
        <f>C270</f>
        <v>Energy Recovery</v>
      </c>
      <c r="D271" s="186">
        <f>OMEsc</f>
        <v>0.02</v>
      </c>
      <c r="E271" s="325"/>
      <c r="G271" s="36" t="s">
        <v>126</v>
      </c>
      <c r="I271" s="39"/>
      <c r="K271" s="39"/>
      <c r="L271" s="43" t="str">
        <f>"["&amp;CostBaseYr&amp;" $]"</f>
        <v>[2013 $]</v>
      </c>
      <c r="N271" s="70">
        <f ca="1">SUMIFS(OFFSET(Assumptions!$I$90,0,MATCH($A271,Configurations,0)-1,COUNT(Assumptions!$A$90:$A$183),1),Assumptions!$D$90:$D$183,$B271&amp;$C271)</f>
        <v>0</v>
      </c>
      <c r="O271" s="313"/>
      <c r="P271" s="323"/>
      <c r="Q271" s="313"/>
      <c r="R271" s="50">
        <f t="shared" ref="R271:AG273" ca="1" si="191">IF(OR(R$99&lt;InServiceYr,R$99&gt;(InServiceYr+analysis_period-1)),0,IF($P271=0,$N271,$P271)*(1+$D271)^(R$99-CostBaseYr))</f>
        <v>0</v>
      </c>
      <c r="S271" s="50">
        <f t="shared" ca="1" si="191"/>
        <v>0</v>
      </c>
      <c r="T271" s="50">
        <f t="shared" ca="1" si="191"/>
        <v>0</v>
      </c>
      <c r="U271" s="50">
        <f t="shared" ca="1" si="191"/>
        <v>0</v>
      </c>
      <c r="V271" s="50">
        <f t="shared" ca="1" si="191"/>
        <v>0</v>
      </c>
      <c r="W271" s="50">
        <f t="shared" ca="1" si="191"/>
        <v>0</v>
      </c>
      <c r="X271" s="50">
        <f t="shared" ca="1" si="191"/>
        <v>0</v>
      </c>
      <c r="Y271" s="50">
        <f t="shared" ca="1" si="191"/>
        <v>0</v>
      </c>
      <c r="Z271" s="50">
        <f t="shared" ca="1" si="191"/>
        <v>0</v>
      </c>
      <c r="AA271" s="50">
        <f t="shared" ca="1" si="191"/>
        <v>0</v>
      </c>
      <c r="AB271" s="50">
        <f t="shared" ca="1" si="191"/>
        <v>0</v>
      </c>
      <c r="AC271" s="50">
        <f t="shared" ca="1" si="191"/>
        <v>0</v>
      </c>
      <c r="AD271" s="50">
        <f t="shared" ca="1" si="191"/>
        <v>0</v>
      </c>
      <c r="AE271" s="50">
        <f t="shared" ca="1" si="191"/>
        <v>0</v>
      </c>
      <c r="AF271" s="50">
        <f t="shared" ca="1" si="191"/>
        <v>0</v>
      </c>
      <c r="AG271" s="50">
        <f t="shared" ca="1" si="191"/>
        <v>0</v>
      </c>
      <c r="AH271" s="50">
        <f t="shared" ref="S271:AU273" ca="1" si="192">IF(OR(AH$99&lt;InServiceYr,AH$99&gt;(InServiceYr+analysis_period-1)),0,IF($P271=0,$N271,$P271)*(1+$D271)^(AH$99-CostBaseYr))</f>
        <v>0</v>
      </c>
      <c r="AI271" s="50">
        <f t="shared" ca="1" si="192"/>
        <v>0</v>
      </c>
      <c r="AJ271" s="50">
        <f t="shared" ca="1" si="192"/>
        <v>0</v>
      </c>
      <c r="AK271" s="50">
        <f t="shared" ca="1" si="192"/>
        <v>0</v>
      </c>
      <c r="AL271" s="50">
        <f t="shared" si="192"/>
        <v>0</v>
      </c>
      <c r="AM271" s="50">
        <f t="shared" si="192"/>
        <v>0</v>
      </c>
      <c r="AN271" s="50">
        <f t="shared" si="192"/>
        <v>0</v>
      </c>
      <c r="AO271" s="50">
        <f t="shared" si="192"/>
        <v>0</v>
      </c>
      <c r="AP271" s="50">
        <f t="shared" si="192"/>
        <v>0</v>
      </c>
      <c r="AQ271" s="50">
        <f t="shared" si="192"/>
        <v>0</v>
      </c>
      <c r="AR271" s="50">
        <f t="shared" si="192"/>
        <v>0</v>
      </c>
      <c r="AS271" s="50">
        <f t="shared" si="192"/>
        <v>0</v>
      </c>
      <c r="AT271" s="50">
        <f t="shared" si="192"/>
        <v>0</v>
      </c>
      <c r="AU271" s="50">
        <f t="shared" si="192"/>
        <v>0</v>
      </c>
    </row>
    <row r="272" spans="1:47">
      <c r="A272" s="38" t="str">
        <f t="shared" si="189"/>
        <v>1Y-</v>
      </c>
      <c r="B272" s="38" t="s">
        <v>263</v>
      </c>
      <c r="C272" s="38" t="str">
        <f t="shared" ref="C272:C276" si="193">C271</f>
        <v>Energy Recovery</v>
      </c>
      <c r="D272" s="186">
        <f>OMEsc</f>
        <v>0.02</v>
      </c>
      <c r="E272" s="325"/>
      <c r="G272" s="36" t="s">
        <v>127</v>
      </c>
      <c r="I272" s="39"/>
      <c r="K272" s="39"/>
      <c r="L272" s="43" t="str">
        <f>"["&amp;CostBaseYr&amp;" $]"</f>
        <v>[2013 $]</v>
      </c>
      <c r="N272" s="70">
        <f ca="1">SUMIFS(OFFSET(Assumptions!$I$90,0,MATCH($A272,Configurations,0)-1,COUNT(Assumptions!$A$90:$A$183),1),Assumptions!$D$90:$D$183,$B272&amp;$C272)</f>
        <v>0</v>
      </c>
      <c r="O272" s="313"/>
      <c r="P272" s="323"/>
      <c r="Q272" s="313"/>
      <c r="R272" s="50">
        <f t="shared" ca="1" si="191"/>
        <v>0</v>
      </c>
      <c r="S272" s="50">
        <f t="shared" ca="1" si="192"/>
        <v>0</v>
      </c>
      <c r="T272" s="50">
        <f t="shared" ca="1" si="192"/>
        <v>0</v>
      </c>
      <c r="U272" s="50">
        <f t="shared" ca="1" si="192"/>
        <v>0</v>
      </c>
      <c r="V272" s="50">
        <f t="shared" ca="1" si="192"/>
        <v>0</v>
      </c>
      <c r="W272" s="50">
        <f t="shared" ca="1" si="192"/>
        <v>0</v>
      </c>
      <c r="X272" s="50">
        <f t="shared" ca="1" si="192"/>
        <v>0</v>
      </c>
      <c r="Y272" s="50">
        <f t="shared" ca="1" si="192"/>
        <v>0</v>
      </c>
      <c r="Z272" s="50">
        <f t="shared" ca="1" si="192"/>
        <v>0</v>
      </c>
      <c r="AA272" s="50">
        <f t="shared" ca="1" si="192"/>
        <v>0</v>
      </c>
      <c r="AB272" s="50">
        <f t="shared" ca="1" si="192"/>
        <v>0</v>
      </c>
      <c r="AC272" s="50">
        <f t="shared" ca="1" si="192"/>
        <v>0</v>
      </c>
      <c r="AD272" s="50">
        <f t="shared" ca="1" si="192"/>
        <v>0</v>
      </c>
      <c r="AE272" s="50">
        <f t="shared" ca="1" si="192"/>
        <v>0</v>
      </c>
      <c r="AF272" s="50">
        <f t="shared" ca="1" si="192"/>
        <v>0</v>
      </c>
      <c r="AG272" s="50">
        <f t="shared" ca="1" si="192"/>
        <v>0</v>
      </c>
      <c r="AH272" s="50">
        <f t="shared" ca="1" si="192"/>
        <v>0</v>
      </c>
      <c r="AI272" s="50">
        <f t="shared" ca="1" si="192"/>
        <v>0</v>
      </c>
      <c r="AJ272" s="50">
        <f t="shared" ca="1" si="192"/>
        <v>0</v>
      </c>
      <c r="AK272" s="50">
        <f t="shared" ca="1" si="192"/>
        <v>0</v>
      </c>
      <c r="AL272" s="50">
        <f t="shared" si="192"/>
        <v>0</v>
      </c>
      <c r="AM272" s="50">
        <f t="shared" si="192"/>
        <v>0</v>
      </c>
      <c r="AN272" s="50">
        <f t="shared" si="192"/>
        <v>0</v>
      </c>
      <c r="AO272" s="50">
        <f t="shared" si="192"/>
        <v>0</v>
      </c>
      <c r="AP272" s="50">
        <f t="shared" si="192"/>
        <v>0</v>
      </c>
      <c r="AQ272" s="50">
        <f t="shared" si="192"/>
        <v>0</v>
      </c>
      <c r="AR272" s="50">
        <f t="shared" si="192"/>
        <v>0</v>
      </c>
      <c r="AS272" s="50">
        <f t="shared" si="192"/>
        <v>0</v>
      </c>
      <c r="AT272" s="50">
        <f t="shared" si="192"/>
        <v>0</v>
      </c>
      <c r="AU272" s="50">
        <f t="shared" si="192"/>
        <v>0</v>
      </c>
    </row>
    <row r="273" spans="1:47">
      <c r="A273" s="38" t="str">
        <f t="shared" si="189"/>
        <v>1Y-</v>
      </c>
      <c r="B273" s="38" t="s">
        <v>277</v>
      </c>
      <c r="C273" s="38" t="str">
        <f t="shared" si="193"/>
        <v>Energy Recovery</v>
      </c>
      <c r="D273" s="186">
        <f>OMEsc</f>
        <v>0.02</v>
      </c>
      <c r="E273" s="325"/>
      <c r="G273" s="36" t="s">
        <v>276</v>
      </c>
      <c r="I273" s="39"/>
      <c r="K273" s="39"/>
      <c r="L273" s="43" t="str">
        <f>"["&amp;CostBaseYr&amp;" $]"</f>
        <v>[2013 $]</v>
      </c>
      <c r="N273" s="70">
        <f ca="1">SUMIFS(OFFSET(Assumptions!$I$90,0,MATCH($A273,Configurations,0)-1,COUNT(Assumptions!$A$90:$A$183),1),Assumptions!$D$90:$D$183,$B273&amp;$C273)</f>
        <v>0</v>
      </c>
      <c r="O273" s="313"/>
      <c r="P273" s="323"/>
      <c r="Q273" s="313"/>
      <c r="R273" s="50">
        <f t="shared" ca="1" si="191"/>
        <v>0</v>
      </c>
      <c r="S273" s="50">
        <f t="shared" ca="1" si="192"/>
        <v>0</v>
      </c>
      <c r="T273" s="50">
        <f t="shared" ca="1" si="192"/>
        <v>0</v>
      </c>
      <c r="U273" s="50">
        <f t="shared" ca="1" si="192"/>
        <v>0</v>
      </c>
      <c r="V273" s="50">
        <f t="shared" ca="1" si="192"/>
        <v>0</v>
      </c>
      <c r="W273" s="50">
        <f t="shared" ca="1" si="192"/>
        <v>0</v>
      </c>
      <c r="X273" s="50">
        <f t="shared" ca="1" si="192"/>
        <v>0</v>
      </c>
      <c r="Y273" s="50">
        <f t="shared" ca="1" si="192"/>
        <v>0</v>
      </c>
      <c r="Z273" s="50">
        <f t="shared" ca="1" si="192"/>
        <v>0</v>
      </c>
      <c r="AA273" s="50">
        <f t="shared" ca="1" si="192"/>
        <v>0</v>
      </c>
      <c r="AB273" s="50">
        <f t="shared" ca="1" si="192"/>
        <v>0</v>
      </c>
      <c r="AC273" s="50">
        <f t="shared" ca="1" si="192"/>
        <v>0</v>
      </c>
      <c r="AD273" s="50">
        <f t="shared" ca="1" si="192"/>
        <v>0</v>
      </c>
      <c r="AE273" s="50">
        <f t="shared" ca="1" si="192"/>
        <v>0</v>
      </c>
      <c r="AF273" s="50">
        <f t="shared" ca="1" si="192"/>
        <v>0</v>
      </c>
      <c r="AG273" s="50">
        <f t="shared" ca="1" si="192"/>
        <v>0</v>
      </c>
      <c r="AH273" s="50">
        <f t="shared" ca="1" si="192"/>
        <v>0</v>
      </c>
      <c r="AI273" s="50">
        <f t="shared" ca="1" si="192"/>
        <v>0</v>
      </c>
      <c r="AJ273" s="50">
        <f t="shared" ca="1" si="192"/>
        <v>0</v>
      </c>
      <c r="AK273" s="50">
        <f t="shared" ca="1" si="192"/>
        <v>0</v>
      </c>
      <c r="AL273" s="50">
        <f t="shared" si="192"/>
        <v>0</v>
      </c>
      <c r="AM273" s="50">
        <f t="shared" si="192"/>
        <v>0</v>
      </c>
      <c r="AN273" s="50">
        <f t="shared" si="192"/>
        <v>0</v>
      </c>
      <c r="AO273" s="50">
        <f t="shared" si="192"/>
        <v>0</v>
      </c>
      <c r="AP273" s="50">
        <f t="shared" si="192"/>
        <v>0</v>
      </c>
      <c r="AQ273" s="50">
        <f t="shared" si="192"/>
        <v>0</v>
      </c>
      <c r="AR273" s="50">
        <f t="shared" si="192"/>
        <v>0</v>
      </c>
      <c r="AS273" s="50">
        <f t="shared" si="192"/>
        <v>0</v>
      </c>
      <c r="AT273" s="50">
        <f t="shared" si="192"/>
        <v>0</v>
      </c>
      <c r="AU273" s="50">
        <f t="shared" si="192"/>
        <v>0</v>
      </c>
    </row>
    <row r="274" spans="1:47">
      <c r="A274" s="38" t="str">
        <f t="shared" si="189"/>
        <v>1Y-</v>
      </c>
      <c r="B274" s="38" t="s">
        <v>274</v>
      </c>
      <c r="C274" s="38" t="str">
        <f t="shared" si="193"/>
        <v>Energy Recovery</v>
      </c>
      <c r="D274" s="186"/>
      <c r="E274" s="325"/>
      <c r="G274" s="36" t="s">
        <v>16</v>
      </c>
      <c r="I274" s="39"/>
      <c r="K274" s="39"/>
      <c r="L274" s="43" t="s">
        <v>275</v>
      </c>
      <c r="N274" s="70">
        <f ca="1">SUMIFS(OFFSET(Assumptions!$I$90,0,MATCH($A274,Configurations,0)-1,COUNT(Assumptions!$A$90:$A$183),1),Assumptions!$D$90:$D$183,$B274&amp;$C274)</f>
        <v>0</v>
      </c>
      <c r="O274" s="313"/>
      <c r="P274" s="323"/>
      <c r="Q274" s="313"/>
      <c r="R274" s="50">
        <f t="shared" ref="R274:AU274" ca="1" si="194">IF(OR(R$99&lt;InServiceYr,R$99&gt;(InServiceYr+analysis_period-1)),0,IF($P274=0,$N274,$P274)*R$505)</f>
        <v>0</v>
      </c>
      <c r="S274" s="50">
        <f t="shared" ca="1" si="194"/>
        <v>0</v>
      </c>
      <c r="T274" s="50">
        <f t="shared" ca="1" si="194"/>
        <v>0</v>
      </c>
      <c r="U274" s="50">
        <f t="shared" ca="1" si="194"/>
        <v>0</v>
      </c>
      <c r="V274" s="50">
        <f t="shared" ca="1" si="194"/>
        <v>0</v>
      </c>
      <c r="W274" s="50">
        <f t="shared" ca="1" si="194"/>
        <v>0</v>
      </c>
      <c r="X274" s="50">
        <f t="shared" ca="1" si="194"/>
        <v>0</v>
      </c>
      <c r="Y274" s="50">
        <f t="shared" ca="1" si="194"/>
        <v>0</v>
      </c>
      <c r="Z274" s="50">
        <f t="shared" ca="1" si="194"/>
        <v>0</v>
      </c>
      <c r="AA274" s="50">
        <f t="shared" ca="1" si="194"/>
        <v>0</v>
      </c>
      <c r="AB274" s="50">
        <f t="shared" ca="1" si="194"/>
        <v>0</v>
      </c>
      <c r="AC274" s="50">
        <f t="shared" ca="1" si="194"/>
        <v>0</v>
      </c>
      <c r="AD274" s="50">
        <f t="shared" ca="1" si="194"/>
        <v>0</v>
      </c>
      <c r="AE274" s="50">
        <f t="shared" ca="1" si="194"/>
        <v>0</v>
      </c>
      <c r="AF274" s="50">
        <f t="shared" ca="1" si="194"/>
        <v>0</v>
      </c>
      <c r="AG274" s="50">
        <f t="shared" ca="1" si="194"/>
        <v>0</v>
      </c>
      <c r="AH274" s="50">
        <f t="shared" ca="1" si="194"/>
        <v>0</v>
      </c>
      <c r="AI274" s="50">
        <f t="shared" ca="1" si="194"/>
        <v>0</v>
      </c>
      <c r="AJ274" s="50">
        <f t="shared" ca="1" si="194"/>
        <v>0</v>
      </c>
      <c r="AK274" s="50">
        <f t="shared" ca="1" si="194"/>
        <v>0</v>
      </c>
      <c r="AL274" s="50">
        <f t="shared" si="194"/>
        <v>0</v>
      </c>
      <c r="AM274" s="50">
        <f t="shared" si="194"/>
        <v>0</v>
      </c>
      <c r="AN274" s="50">
        <f t="shared" si="194"/>
        <v>0</v>
      </c>
      <c r="AO274" s="50">
        <f t="shared" si="194"/>
        <v>0</v>
      </c>
      <c r="AP274" s="50">
        <f t="shared" si="194"/>
        <v>0</v>
      </c>
      <c r="AQ274" s="50">
        <f t="shared" si="194"/>
        <v>0</v>
      </c>
      <c r="AR274" s="50">
        <f t="shared" si="194"/>
        <v>0</v>
      </c>
      <c r="AS274" s="50">
        <f t="shared" si="194"/>
        <v>0</v>
      </c>
      <c r="AT274" s="50">
        <f t="shared" si="194"/>
        <v>0</v>
      </c>
      <c r="AU274" s="50">
        <f t="shared" si="194"/>
        <v>0</v>
      </c>
    </row>
    <row r="275" spans="1:47">
      <c r="A275" s="38" t="str">
        <f t="shared" si="189"/>
        <v>1Y-</v>
      </c>
      <c r="B275" s="38" t="s">
        <v>257</v>
      </c>
      <c r="C275" s="38" t="str">
        <f t="shared" si="193"/>
        <v>Energy Recovery</v>
      </c>
      <c r="D275" s="186"/>
      <c r="E275" s="325"/>
      <c r="G275" s="36" t="s">
        <v>284</v>
      </c>
      <c r="I275" s="39"/>
      <c r="K275" s="39"/>
      <c r="L275" s="43" t="s">
        <v>293</v>
      </c>
      <c r="N275" s="70">
        <f ca="1">SUMIFS(OFFSET(Assumptions!$I$90,0,MATCH($A275,Configurations,0)-1,COUNT(Assumptions!$A$90:$A$183),1),Assumptions!$D$90:$D$183,$B275&amp;$C275)</f>
        <v>0</v>
      </c>
      <c r="O275" s="313"/>
      <c r="P275" s="323"/>
      <c r="Q275" s="313"/>
      <c r="R275" s="50">
        <f t="shared" ref="R275:AU275" ca="1" si="195">IF(OR(R$99&lt;InServiceYr,R$99&gt;(InServiceYr+analysis_period-1)),0,IF($P275=0,$N275,$P275)*R$501)</f>
        <v>0</v>
      </c>
      <c r="S275" s="50">
        <f t="shared" ca="1" si="195"/>
        <v>0</v>
      </c>
      <c r="T275" s="50">
        <f t="shared" ca="1" si="195"/>
        <v>0</v>
      </c>
      <c r="U275" s="50">
        <f t="shared" ca="1" si="195"/>
        <v>0</v>
      </c>
      <c r="V275" s="50">
        <f t="shared" ca="1" si="195"/>
        <v>0</v>
      </c>
      <c r="W275" s="50">
        <f t="shared" ca="1" si="195"/>
        <v>0</v>
      </c>
      <c r="X275" s="50">
        <f t="shared" ca="1" si="195"/>
        <v>0</v>
      </c>
      <c r="Y275" s="50">
        <f t="shared" ca="1" si="195"/>
        <v>0</v>
      </c>
      <c r="Z275" s="50">
        <f t="shared" ca="1" si="195"/>
        <v>0</v>
      </c>
      <c r="AA275" s="50">
        <f t="shared" ca="1" si="195"/>
        <v>0</v>
      </c>
      <c r="AB275" s="50">
        <f t="shared" ca="1" si="195"/>
        <v>0</v>
      </c>
      <c r="AC275" s="50">
        <f t="shared" ca="1" si="195"/>
        <v>0</v>
      </c>
      <c r="AD275" s="50">
        <f t="shared" ca="1" si="195"/>
        <v>0</v>
      </c>
      <c r="AE275" s="50">
        <f t="shared" ca="1" si="195"/>
        <v>0</v>
      </c>
      <c r="AF275" s="50">
        <f t="shared" ca="1" si="195"/>
        <v>0</v>
      </c>
      <c r="AG275" s="50">
        <f t="shared" ca="1" si="195"/>
        <v>0</v>
      </c>
      <c r="AH275" s="50">
        <f t="shared" ca="1" si="195"/>
        <v>0</v>
      </c>
      <c r="AI275" s="50">
        <f t="shared" ca="1" si="195"/>
        <v>0</v>
      </c>
      <c r="AJ275" s="50">
        <f t="shared" ca="1" si="195"/>
        <v>0</v>
      </c>
      <c r="AK275" s="50">
        <f t="shared" ca="1" si="195"/>
        <v>0</v>
      </c>
      <c r="AL275" s="50">
        <f t="shared" si="195"/>
        <v>0</v>
      </c>
      <c r="AM275" s="50">
        <f t="shared" si="195"/>
        <v>0</v>
      </c>
      <c r="AN275" s="50">
        <f t="shared" si="195"/>
        <v>0</v>
      </c>
      <c r="AO275" s="50">
        <f t="shared" si="195"/>
        <v>0</v>
      </c>
      <c r="AP275" s="50">
        <f t="shared" si="195"/>
        <v>0</v>
      </c>
      <c r="AQ275" s="50">
        <f t="shared" si="195"/>
        <v>0</v>
      </c>
      <c r="AR275" s="50">
        <f t="shared" si="195"/>
        <v>0</v>
      </c>
      <c r="AS275" s="50">
        <f t="shared" si="195"/>
        <v>0</v>
      </c>
      <c r="AT275" s="50">
        <f t="shared" si="195"/>
        <v>0</v>
      </c>
      <c r="AU275" s="50">
        <f t="shared" si="195"/>
        <v>0</v>
      </c>
    </row>
    <row r="276" spans="1:47">
      <c r="A276" s="38" t="str">
        <f t="shared" si="189"/>
        <v>1Y-</v>
      </c>
      <c r="B276" s="38" t="s">
        <v>864</v>
      </c>
      <c r="C276" s="38" t="str">
        <f t="shared" si="193"/>
        <v>Energy Recovery</v>
      </c>
      <c r="D276" s="186">
        <f>GHGEsc</f>
        <v>0.02</v>
      </c>
      <c r="E276" s="325"/>
      <c r="G276" s="36" t="s">
        <v>865</v>
      </c>
      <c r="I276" s="39"/>
      <c r="K276" s="39"/>
      <c r="L276" s="43" t="s">
        <v>866</v>
      </c>
      <c r="N276" s="70">
        <f ca="1">SUMIFS(OFFSET(Assumptions!$I$90,0,MATCH($A276,Configurations,0)-1,COUNT(Assumptions!$A$90:$A$183),1),Assumptions!$D$90:$D$183,$B276&amp;$C276)</f>
        <v>0</v>
      </c>
      <c r="O276" s="313"/>
      <c r="P276" s="323"/>
      <c r="Q276" s="313"/>
      <c r="R276" s="50">
        <f t="shared" ref="R276:AU276" ca="1" si="196">IF(OR(R$99&lt;InServiceYr,R$99&gt;(InServiceYr+analysis_period-1)),0,IF($P276=0,$N276,$P276)*R$513)</f>
        <v>0</v>
      </c>
      <c r="S276" s="50">
        <f t="shared" ca="1" si="196"/>
        <v>0</v>
      </c>
      <c r="T276" s="50">
        <f t="shared" ca="1" si="196"/>
        <v>0</v>
      </c>
      <c r="U276" s="50">
        <f t="shared" ca="1" si="196"/>
        <v>0</v>
      </c>
      <c r="V276" s="50">
        <f t="shared" ca="1" si="196"/>
        <v>0</v>
      </c>
      <c r="W276" s="50">
        <f t="shared" ca="1" si="196"/>
        <v>0</v>
      </c>
      <c r="X276" s="50">
        <f t="shared" ca="1" si="196"/>
        <v>0</v>
      </c>
      <c r="Y276" s="50">
        <f t="shared" ca="1" si="196"/>
        <v>0</v>
      </c>
      <c r="Z276" s="50">
        <f t="shared" ca="1" si="196"/>
        <v>0</v>
      </c>
      <c r="AA276" s="50">
        <f t="shared" ca="1" si="196"/>
        <v>0</v>
      </c>
      <c r="AB276" s="50">
        <f t="shared" ca="1" si="196"/>
        <v>0</v>
      </c>
      <c r="AC276" s="50">
        <f t="shared" ca="1" si="196"/>
        <v>0</v>
      </c>
      <c r="AD276" s="50">
        <f t="shared" ca="1" si="196"/>
        <v>0</v>
      </c>
      <c r="AE276" s="50">
        <f t="shared" ca="1" si="196"/>
        <v>0</v>
      </c>
      <c r="AF276" s="50">
        <f t="shared" ca="1" si="196"/>
        <v>0</v>
      </c>
      <c r="AG276" s="50">
        <f t="shared" ca="1" si="196"/>
        <v>0</v>
      </c>
      <c r="AH276" s="50">
        <f t="shared" ca="1" si="196"/>
        <v>0</v>
      </c>
      <c r="AI276" s="50">
        <f t="shared" ca="1" si="196"/>
        <v>0</v>
      </c>
      <c r="AJ276" s="50">
        <f t="shared" ca="1" si="196"/>
        <v>0</v>
      </c>
      <c r="AK276" s="50">
        <f t="shared" ca="1" si="196"/>
        <v>0</v>
      </c>
      <c r="AL276" s="50">
        <f t="shared" si="196"/>
        <v>0</v>
      </c>
      <c r="AM276" s="50">
        <f t="shared" si="196"/>
        <v>0</v>
      </c>
      <c r="AN276" s="50">
        <f t="shared" si="196"/>
        <v>0</v>
      </c>
      <c r="AO276" s="50">
        <f t="shared" si="196"/>
        <v>0</v>
      </c>
      <c r="AP276" s="50">
        <f t="shared" si="196"/>
        <v>0</v>
      </c>
      <c r="AQ276" s="50">
        <f t="shared" si="196"/>
        <v>0</v>
      </c>
      <c r="AR276" s="50">
        <f t="shared" si="196"/>
        <v>0</v>
      </c>
      <c r="AS276" s="50">
        <f t="shared" si="196"/>
        <v>0</v>
      </c>
      <c r="AT276" s="50">
        <f t="shared" si="196"/>
        <v>0</v>
      </c>
      <c r="AU276" s="50">
        <f t="shared" si="196"/>
        <v>0</v>
      </c>
    </row>
    <row r="277" spans="1:47">
      <c r="A277" s="38" t="str">
        <f t="shared" si="189"/>
        <v>1Y-</v>
      </c>
      <c r="B277" s="38" t="s">
        <v>273</v>
      </c>
      <c r="C277" s="38" t="str">
        <f>C275</f>
        <v>Energy Recovery</v>
      </c>
      <c r="D277" s="186">
        <f>LaborEsc</f>
        <v>0.02</v>
      </c>
      <c r="E277" s="325"/>
      <c r="G277" s="36" t="s">
        <v>291</v>
      </c>
      <c r="I277" s="39"/>
      <c r="K277" s="39"/>
      <c r="L277" s="43" t="str">
        <f>"["&amp;CostBaseYr&amp;" $]"</f>
        <v>[2013 $]</v>
      </c>
      <c r="N277" s="70">
        <f ca="1">SUMIFS(OFFSET(Assumptions!$I$90,0,MATCH($A277,Configurations,0)-1,COUNT(Assumptions!$A$90:$A$183),1),Assumptions!$D$90:$D$183,$B277&amp;$C277)</f>
        <v>0</v>
      </c>
      <c r="O277" s="313"/>
      <c r="P277" s="323"/>
      <c r="Q277" s="313"/>
      <c r="R277" s="50">
        <f t="shared" ref="R277:AU277" ca="1" si="197">IF(OR(R$99&lt;InServiceYr,R$99&gt;(InServiceYr+analysis_period-1)),0,IF($P277=0,$N277,$P277)*(1+$D277)^(R$99-CostBaseYr))*R$509</f>
        <v>0</v>
      </c>
      <c r="S277" s="50">
        <f t="shared" ca="1" si="197"/>
        <v>0</v>
      </c>
      <c r="T277" s="50">
        <f t="shared" ca="1" si="197"/>
        <v>0</v>
      </c>
      <c r="U277" s="50">
        <f t="shared" ca="1" si="197"/>
        <v>0</v>
      </c>
      <c r="V277" s="50">
        <f t="shared" ca="1" si="197"/>
        <v>0</v>
      </c>
      <c r="W277" s="50">
        <f t="shared" ca="1" si="197"/>
        <v>0</v>
      </c>
      <c r="X277" s="50">
        <f t="shared" ca="1" si="197"/>
        <v>0</v>
      </c>
      <c r="Y277" s="50">
        <f t="shared" ca="1" si="197"/>
        <v>0</v>
      </c>
      <c r="Z277" s="50">
        <f t="shared" ca="1" si="197"/>
        <v>0</v>
      </c>
      <c r="AA277" s="50">
        <f t="shared" ca="1" si="197"/>
        <v>0</v>
      </c>
      <c r="AB277" s="50">
        <f t="shared" ca="1" si="197"/>
        <v>0</v>
      </c>
      <c r="AC277" s="50">
        <f t="shared" ca="1" si="197"/>
        <v>0</v>
      </c>
      <c r="AD277" s="50">
        <f t="shared" ca="1" si="197"/>
        <v>0</v>
      </c>
      <c r="AE277" s="50">
        <f t="shared" ca="1" si="197"/>
        <v>0</v>
      </c>
      <c r="AF277" s="50">
        <f t="shared" ca="1" si="197"/>
        <v>0</v>
      </c>
      <c r="AG277" s="50">
        <f t="shared" ca="1" si="197"/>
        <v>0</v>
      </c>
      <c r="AH277" s="50">
        <f t="shared" ca="1" si="197"/>
        <v>0</v>
      </c>
      <c r="AI277" s="50">
        <f t="shared" ca="1" si="197"/>
        <v>0</v>
      </c>
      <c r="AJ277" s="50">
        <f t="shared" ca="1" si="197"/>
        <v>0</v>
      </c>
      <c r="AK277" s="50">
        <f t="shared" ca="1" si="197"/>
        <v>0</v>
      </c>
      <c r="AL277" s="50">
        <f t="shared" si="197"/>
        <v>0</v>
      </c>
      <c r="AM277" s="50">
        <f t="shared" si="197"/>
        <v>0</v>
      </c>
      <c r="AN277" s="50">
        <f t="shared" si="197"/>
        <v>0</v>
      </c>
      <c r="AO277" s="50">
        <f t="shared" si="197"/>
        <v>0</v>
      </c>
      <c r="AP277" s="50">
        <f t="shared" si="197"/>
        <v>0</v>
      </c>
      <c r="AQ277" s="50">
        <f t="shared" si="197"/>
        <v>0</v>
      </c>
      <c r="AR277" s="50">
        <f t="shared" si="197"/>
        <v>0</v>
      </c>
      <c r="AS277" s="50">
        <f t="shared" si="197"/>
        <v>0</v>
      </c>
      <c r="AT277" s="50">
        <f t="shared" si="197"/>
        <v>0</v>
      </c>
      <c r="AU277" s="50">
        <f t="shared" si="197"/>
        <v>0</v>
      </c>
    </row>
    <row r="278" spans="1:47">
      <c r="D278" s="186"/>
      <c r="E278" s="325"/>
      <c r="G278" s="39" t="s">
        <v>304</v>
      </c>
      <c r="I278" s="39"/>
      <c r="K278" s="39"/>
      <c r="L278" s="43"/>
      <c r="N278" s="70"/>
      <c r="O278" s="313"/>
      <c r="P278" s="70"/>
      <c r="Q278" s="313"/>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row>
    <row r="279" spans="1:47">
      <c r="A279" s="38" t="str">
        <f>$J$4&amp;"-"</f>
        <v>1Y-</v>
      </c>
      <c r="B279" s="38" t="s">
        <v>265</v>
      </c>
      <c r="C279" s="38" t="str">
        <f>C270</f>
        <v>Energy Recovery</v>
      </c>
      <c r="D279" s="186"/>
      <c r="E279" s="325"/>
      <c r="G279" s="36" t="s">
        <v>108</v>
      </c>
      <c r="I279" s="39"/>
      <c r="K279" s="39"/>
      <c r="L279" s="43" t="s">
        <v>293</v>
      </c>
      <c r="N279" s="70">
        <f ca="1">SUMIFS(OFFSET(Assumptions!$I$90,0,MATCH($A279,Configurations,0)-1,COUNT(Assumptions!$A$90:$A$183),1),Assumptions!$D$90:$D$183,$B279&amp;$C279)</f>
        <v>0</v>
      </c>
      <c r="O279" s="313"/>
      <c r="P279" s="323"/>
      <c r="Q279" s="313"/>
      <c r="R279" s="50">
        <f t="shared" ref="R279:AU279" ca="1" si="198">IF(OR(R$99&lt;InServiceYr,R$99&gt;(InServiceYr+analysis_period-1)),0,IF($P279=0,$N279,$P279)*R$501)</f>
        <v>0</v>
      </c>
      <c r="S279" s="50">
        <f t="shared" ca="1" si="198"/>
        <v>0</v>
      </c>
      <c r="T279" s="50">
        <f t="shared" ca="1" si="198"/>
        <v>0</v>
      </c>
      <c r="U279" s="50">
        <f t="shared" ca="1" si="198"/>
        <v>0</v>
      </c>
      <c r="V279" s="50">
        <f t="shared" ca="1" si="198"/>
        <v>0</v>
      </c>
      <c r="W279" s="50">
        <f t="shared" ca="1" si="198"/>
        <v>0</v>
      </c>
      <c r="X279" s="50">
        <f t="shared" ca="1" si="198"/>
        <v>0</v>
      </c>
      <c r="Y279" s="50">
        <f t="shared" ca="1" si="198"/>
        <v>0</v>
      </c>
      <c r="Z279" s="50">
        <f t="shared" ca="1" si="198"/>
        <v>0</v>
      </c>
      <c r="AA279" s="50">
        <f t="shared" ca="1" si="198"/>
        <v>0</v>
      </c>
      <c r="AB279" s="50">
        <f t="shared" ca="1" si="198"/>
        <v>0</v>
      </c>
      <c r="AC279" s="50">
        <f t="shared" ca="1" si="198"/>
        <v>0</v>
      </c>
      <c r="AD279" s="50">
        <f t="shared" ca="1" si="198"/>
        <v>0</v>
      </c>
      <c r="AE279" s="50">
        <f t="shared" ca="1" si="198"/>
        <v>0</v>
      </c>
      <c r="AF279" s="50">
        <f t="shared" ca="1" si="198"/>
        <v>0</v>
      </c>
      <c r="AG279" s="50">
        <f t="shared" ca="1" si="198"/>
        <v>0</v>
      </c>
      <c r="AH279" s="50">
        <f t="shared" ca="1" si="198"/>
        <v>0</v>
      </c>
      <c r="AI279" s="50">
        <f t="shared" ca="1" si="198"/>
        <v>0</v>
      </c>
      <c r="AJ279" s="50">
        <f t="shared" ca="1" si="198"/>
        <v>0</v>
      </c>
      <c r="AK279" s="50">
        <f t="shared" ca="1" si="198"/>
        <v>0</v>
      </c>
      <c r="AL279" s="50">
        <f t="shared" si="198"/>
        <v>0</v>
      </c>
      <c r="AM279" s="50">
        <f t="shared" si="198"/>
        <v>0</v>
      </c>
      <c r="AN279" s="50">
        <f t="shared" si="198"/>
        <v>0</v>
      </c>
      <c r="AO279" s="50">
        <f t="shared" si="198"/>
        <v>0</v>
      </c>
      <c r="AP279" s="50">
        <f t="shared" si="198"/>
        <v>0</v>
      </c>
      <c r="AQ279" s="50">
        <f t="shared" si="198"/>
        <v>0</v>
      </c>
      <c r="AR279" s="50">
        <f t="shared" si="198"/>
        <v>0</v>
      </c>
      <c r="AS279" s="50">
        <f t="shared" si="198"/>
        <v>0</v>
      </c>
      <c r="AT279" s="50">
        <f t="shared" si="198"/>
        <v>0</v>
      </c>
      <c r="AU279" s="50">
        <f t="shared" si="198"/>
        <v>0</v>
      </c>
    </row>
    <row r="280" spans="1:47">
      <c r="A280" s="38" t="str">
        <f>$J$4&amp;"-"</f>
        <v>1Y-</v>
      </c>
      <c r="B280" s="38" t="s">
        <v>289</v>
      </c>
      <c r="C280" s="38" t="str">
        <f>C270</f>
        <v>Energy Recovery</v>
      </c>
      <c r="D280" s="186">
        <f>LaborEsc</f>
        <v>0.02</v>
      </c>
      <c r="E280" s="325"/>
      <c r="G280" s="36" t="s">
        <v>292</v>
      </c>
      <c r="I280" s="39"/>
      <c r="K280" s="39"/>
      <c r="L280" s="43" t="str">
        <f>"["&amp;CostBaseYr&amp;" $]"</f>
        <v>[2013 $]</v>
      </c>
      <c r="N280" s="70">
        <f ca="1">SUMIFS(OFFSET(Assumptions!$I$90,0,MATCH($A280,Configurations,0)-1,COUNT(Assumptions!$A$90:$A$183),1),Assumptions!$D$90:$D$183,$B280&amp;$C280)</f>
        <v>0</v>
      </c>
      <c r="O280" s="313"/>
      <c r="P280" s="323"/>
      <c r="Q280" s="313"/>
      <c r="R280" s="50">
        <f t="shared" ref="R280:AU280" ca="1" si="199">IF(OR(R$99&lt;InServiceYr,R$99&gt;(InServiceYr+analysis_period-1)),0,IF($P280=0,$N280,$P280)*(1+$D280)^(R$99-CostBaseYr))</f>
        <v>0</v>
      </c>
      <c r="S280" s="50">
        <f t="shared" ca="1" si="199"/>
        <v>0</v>
      </c>
      <c r="T280" s="50">
        <f t="shared" ca="1" si="199"/>
        <v>0</v>
      </c>
      <c r="U280" s="50">
        <f t="shared" ca="1" si="199"/>
        <v>0</v>
      </c>
      <c r="V280" s="50">
        <f t="shared" ca="1" si="199"/>
        <v>0</v>
      </c>
      <c r="W280" s="50">
        <f t="shared" ca="1" si="199"/>
        <v>0</v>
      </c>
      <c r="X280" s="50">
        <f t="shared" ca="1" si="199"/>
        <v>0</v>
      </c>
      <c r="Y280" s="50">
        <f t="shared" ca="1" si="199"/>
        <v>0</v>
      </c>
      <c r="Z280" s="50">
        <f t="shared" ca="1" si="199"/>
        <v>0</v>
      </c>
      <c r="AA280" s="50">
        <f t="shared" ca="1" si="199"/>
        <v>0</v>
      </c>
      <c r="AB280" s="50">
        <f t="shared" ca="1" si="199"/>
        <v>0</v>
      </c>
      <c r="AC280" s="50">
        <f t="shared" ca="1" si="199"/>
        <v>0</v>
      </c>
      <c r="AD280" s="50">
        <f t="shared" ca="1" si="199"/>
        <v>0</v>
      </c>
      <c r="AE280" s="50">
        <f t="shared" ca="1" si="199"/>
        <v>0</v>
      </c>
      <c r="AF280" s="50">
        <f t="shared" ca="1" si="199"/>
        <v>0</v>
      </c>
      <c r="AG280" s="50">
        <f t="shared" ca="1" si="199"/>
        <v>0</v>
      </c>
      <c r="AH280" s="50">
        <f t="shared" ca="1" si="199"/>
        <v>0</v>
      </c>
      <c r="AI280" s="50">
        <f t="shared" ca="1" si="199"/>
        <v>0</v>
      </c>
      <c r="AJ280" s="50">
        <f t="shared" ca="1" si="199"/>
        <v>0</v>
      </c>
      <c r="AK280" s="50">
        <f t="shared" ca="1" si="199"/>
        <v>0</v>
      </c>
      <c r="AL280" s="50">
        <f t="shared" si="199"/>
        <v>0</v>
      </c>
      <c r="AM280" s="50">
        <f t="shared" si="199"/>
        <v>0</v>
      </c>
      <c r="AN280" s="50">
        <f t="shared" si="199"/>
        <v>0</v>
      </c>
      <c r="AO280" s="50">
        <f t="shared" si="199"/>
        <v>0</v>
      </c>
      <c r="AP280" s="50">
        <f t="shared" si="199"/>
        <v>0</v>
      </c>
      <c r="AQ280" s="50">
        <f t="shared" si="199"/>
        <v>0</v>
      </c>
      <c r="AR280" s="50">
        <f t="shared" si="199"/>
        <v>0</v>
      </c>
      <c r="AS280" s="50">
        <f t="shared" si="199"/>
        <v>0</v>
      </c>
      <c r="AT280" s="50">
        <f t="shared" si="199"/>
        <v>0</v>
      </c>
      <c r="AU280" s="50">
        <f t="shared" si="199"/>
        <v>0</v>
      </c>
    </row>
    <row r="281" spans="1:47" s="60" customFormat="1">
      <c r="D281" s="187"/>
      <c r="E281" s="325"/>
      <c r="G281" s="39" t="s">
        <v>305</v>
      </c>
      <c r="I281" s="39"/>
      <c r="K281" s="39"/>
      <c r="L281" s="174"/>
      <c r="N281" s="188"/>
      <c r="O281" s="314"/>
      <c r="P281" s="185"/>
      <c r="Q281" s="314"/>
      <c r="R281" s="185">
        <f ca="1">SUM(R270:R277)-SUM(R279:R280)</f>
        <v>0</v>
      </c>
      <c r="S281" s="185">
        <f t="shared" ref="S281:AU281" ca="1" si="200">SUM(S270:S277)-SUM(S279:S280)</f>
        <v>0</v>
      </c>
      <c r="T281" s="185">
        <f t="shared" ca="1" si="200"/>
        <v>0</v>
      </c>
      <c r="U281" s="185">
        <f t="shared" ca="1" si="200"/>
        <v>0</v>
      </c>
      <c r="V281" s="185">
        <f t="shared" ca="1" si="200"/>
        <v>0</v>
      </c>
      <c r="W281" s="185">
        <f t="shared" ca="1" si="200"/>
        <v>0</v>
      </c>
      <c r="X281" s="185">
        <f t="shared" ca="1" si="200"/>
        <v>0</v>
      </c>
      <c r="Y281" s="185">
        <f t="shared" ca="1" si="200"/>
        <v>0</v>
      </c>
      <c r="Z281" s="185">
        <f t="shared" ca="1" si="200"/>
        <v>0</v>
      </c>
      <c r="AA281" s="185">
        <f t="shared" ca="1" si="200"/>
        <v>0</v>
      </c>
      <c r="AB281" s="185">
        <f t="shared" ca="1" si="200"/>
        <v>0</v>
      </c>
      <c r="AC281" s="185">
        <f t="shared" ca="1" si="200"/>
        <v>0</v>
      </c>
      <c r="AD281" s="185">
        <f t="shared" ca="1" si="200"/>
        <v>0</v>
      </c>
      <c r="AE281" s="185">
        <f t="shared" ca="1" si="200"/>
        <v>0</v>
      </c>
      <c r="AF281" s="185">
        <f t="shared" ca="1" si="200"/>
        <v>0</v>
      </c>
      <c r="AG281" s="185">
        <f t="shared" ca="1" si="200"/>
        <v>0</v>
      </c>
      <c r="AH281" s="185">
        <f t="shared" ca="1" si="200"/>
        <v>0</v>
      </c>
      <c r="AI281" s="185">
        <f t="shared" ca="1" si="200"/>
        <v>0</v>
      </c>
      <c r="AJ281" s="185">
        <f t="shared" ca="1" si="200"/>
        <v>0</v>
      </c>
      <c r="AK281" s="185">
        <f t="shared" ca="1" si="200"/>
        <v>0</v>
      </c>
      <c r="AL281" s="185">
        <f t="shared" si="200"/>
        <v>0</v>
      </c>
      <c r="AM281" s="185">
        <f t="shared" si="200"/>
        <v>0</v>
      </c>
      <c r="AN281" s="185">
        <f t="shared" si="200"/>
        <v>0</v>
      </c>
      <c r="AO281" s="185">
        <f t="shared" si="200"/>
        <v>0</v>
      </c>
      <c r="AP281" s="185">
        <f t="shared" si="200"/>
        <v>0</v>
      </c>
      <c r="AQ281" s="185">
        <f t="shared" si="200"/>
        <v>0</v>
      </c>
      <c r="AR281" s="185">
        <f t="shared" si="200"/>
        <v>0</v>
      </c>
      <c r="AS281" s="185">
        <f t="shared" si="200"/>
        <v>0</v>
      </c>
      <c r="AT281" s="185">
        <f t="shared" si="200"/>
        <v>0</v>
      </c>
      <c r="AU281" s="185">
        <f t="shared" si="200"/>
        <v>0</v>
      </c>
    </row>
    <row r="282" spans="1:47">
      <c r="E282" s="36"/>
      <c r="G282" s="39"/>
      <c r="H282" s="39"/>
      <c r="I282" s="39"/>
      <c r="J282" s="39"/>
      <c r="K282" s="39"/>
    </row>
    <row r="283" spans="1:47">
      <c r="E283" s="327"/>
      <c r="F283" s="28"/>
      <c r="G283" s="324" t="str">
        <f>C285&amp;" Capital Costs"</f>
        <v>Fluid Bed Incineration Capital Costs</v>
      </c>
      <c r="H283" s="324"/>
      <c r="I283" s="324"/>
      <c r="J283" s="324"/>
      <c r="K283" s="324"/>
      <c r="L283" s="405" t="s">
        <v>79</v>
      </c>
      <c r="M283" s="256"/>
      <c r="N283" s="325" t="s">
        <v>490</v>
      </c>
      <c r="O283" s="311"/>
      <c r="P283" s="325" t="s">
        <v>491</v>
      </c>
      <c r="Q283" s="310"/>
      <c r="R283" s="325">
        <f>R$8</f>
        <v>2014</v>
      </c>
      <c r="S283" s="325">
        <f t="shared" ref="S283:AU283" si="201">S$8</f>
        <v>2015</v>
      </c>
      <c r="T283" s="325">
        <f t="shared" si="201"/>
        <v>2016</v>
      </c>
      <c r="U283" s="325">
        <f t="shared" si="201"/>
        <v>2017</v>
      </c>
      <c r="V283" s="325">
        <f t="shared" si="201"/>
        <v>2018</v>
      </c>
      <c r="W283" s="325">
        <f t="shared" si="201"/>
        <v>2019</v>
      </c>
      <c r="X283" s="325">
        <f t="shared" si="201"/>
        <v>2020</v>
      </c>
      <c r="Y283" s="325">
        <f t="shared" si="201"/>
        <v>2021</v>
      </c>
      <c r="Z283" s="325">
        <f t="shared" si="201"/>
        <v>2022</v>
      </c>
      <c r="AA283" s="325">
        <f t="shared" si="201"/>
        <v>2023</v>
      </c>
      <c r="AB283" s="325">
        <f t="shared" si="201"/>
        <v>2024</v>
      </c>
      <c r="AC283" s="325">
        <f t="shared" si="201"/>
        <v>2025</v>
      </c>
      <c r="AD283" s="325">
        <f t="shared" si="201"/>
        <v>2026</v>
      </c>
      <c r="AE283" s="325">
        <f t="shared" si="201"/>
        <v>2027</v>
      </c>
      <c r="AF283" s="325">
        <f t="shared" si="201"/>
        <v>2028</v>
      </c>
      <c r="AG283" s="325">
        <f t="shared" si="201"/>
        <v>2029</v>
      </c>
      <c r="AH283" s="325">
        <f t="shared" si="201"/>
        <v>2030</v>
      </c>
      <c r="AI283" s="325">
        <f t="shared" si="201"/>
        <v>2031</v>
      </c>
      <c r="AJ283" s="325">
        <f t="shared" si="201"/>
        <v>2032</v>
      </c>
      <c r="AK283" s="325">
        <f t="shared" si="201"/>
        <v>2033</v>
      </c>
      <c r="AL283" s="325">
        <f t="shared" si="201"/>
        <v>2034</v>
      </c>
      <c r="AM283" s="325">
        <f t="shared" si="201"/>
        <v>2035</v>
      </c>
      <c r="AN283" s="325">
        <f t="shared" si="201"/>
        <v>2036</v>
      </c>
      <c r="AO283" s="325">
        <f t="shared" si="201"/>
        <v>2037</v>
      </c>
      <c r="AP283" s="325">
        <f t="shared" si="201"/>
        <v>2038</v>
      </c>
      <c r="AQ283" s="325">
        <f t="shared" si="201"/>
        <v>2039</v>
      </c>
      <c r="AR283" s="325">
        <f t="shared" si="201"/>
        <v>2040</v>
      </c>
      <c r="AS283" s="325">
        <f t="shared" si="201"/>
        <v>2041</v>
      </c>
      <c r="AT283" s="325">
        <f t="shared" si="201"/>
        <v>2042</v>
      </c>
      <c r="AU283" s="325">
        <f t="shared" si="201"/>
        <v>2043</v>
      </c>
    </row>
    <row r="284" spans="1:47">
      <c r="E284" s="325"/>
      <c r="G284" s="39"/>
      <c r="H284" s="39"/>
      <c r="I284" s="39"/>
      <c r="J284" s="39"/>
      <c r="K284" s="39"/>
    </row>
    <row r="285" spans="1:47">
      <c r="A285" s="38" t="str">
        <f>$J$4&amp;"-"</f>
        <v>1Y-</v>
      </c>
      <c r="B285" s="38" t="s">
        <v>306</v>
      </c>
      <c r="C285" s="38" t="s">
        <v>160</v>
      </c>
      <c r="D285" s="186">
        <f>CapExEsc</f>
        <v>0.03</v>
      </c>
      <c r="E285" s="325"/>
      <c r="G285" s="36" t="s">
        <v>8</v>
      </c>
      <c r="H285" s="39"/>
      <c r="I285" s="39"/>
      <c r="J285" s="70"/>
      <c r="K285" s="39"/>
      <c r="L285" s="43" t="str">
        <f>"["&amp;CostBaseYr&amp;" $]"</f>
        <v>[2013 $]</v>
      </c>
      <c r="N285" s="52">
        <f ca="1">SUMIFS(OFFSET(Assumptions!$I$65,0,MATCH($A285,Configurations,0)-1,COUNT(Assumptions!$A$65:$A$84),1),Assumptions!$E$65:$E$84,$C285)</f>
        <v>0</v>
      </c>
      <c r="O285" s="52"/>
      <c r="P285" s="322"/>
      <c r="Q285" s="52"/>
      <c r="R285" s="52">
        <f t="shared" ref="R285:AU285" ca="1" si="202">R286*IF($P285=0,$N285,$P285)*(1+$D285)^(R$8-CostBaseYr)</f>
        <v>0</v>
      </c>
      <c r="S285" s="52">
        <f t="shared" ca="1" si="202"/>
        <v>0</v>
      </c>
      <c r="T285" s="52">
        <f t="shared" ca="1" si="202"/>
        <v>0</v>
      </c>
      <c r="U285" s="52">
        <f t="shared" ca="1" si="202"/>
        <v>0</v>
      </c>
      <c r="V285" s="52">
        <f t="shared" ca="1" si="202"/>
        <v>0</v>
      </c>
      <c r="W285" s="52">
        <f t="shared" ca="1" si="202"/>
        <v>0</v>
      </c>
      <c r="X285" s="52">
        <f t="shared" ca="1" si="202"/>
        <v>0</v>
      </c>
      <c r="Y285" s="52">
        <f t="shared" ca="1" si="202"/>
        <v>0</v>
      </c>
      <c r="Z285" s="52">
        <f t="shared" ca="1" si="202"/>
        <v>0</v>
      </c>
      <c r="AA285" s="52">
        <f t="shared" ca="1" si="202"/>
        <v>0</v>
      </c>
      <c r="AB285" s="52">
        <f t="shared" ca="1" si="202"/>
        <v>0</v>
      </c>
      <c r="AC285" s="52">
        <f t="shared" ca="1" si="202"/>
        <v>0</v>
      </c>
      <c r="AD285" s="52">
        <f t="shared" ca="1" si="202"/>
        <v>0</v>
      </c>
      <c r="AE285" s="52">
        <f t="shared" ca="1" si="202"/>
        <v>0</v>
      </c>
      <c r="AF285" s="52">
        <f t="shared" ca="1" si="202"/>
        <v>0</v>
      </c>
      <c r="AG285" s="52">
        <f t="shared" ca="1" si="202"/>
        <v>0</v>
      </c>
      <c r="AH285" s="52">
        <f t="shared" ca="1" si="202"/>
        <v>0</v>
      </c>
      <c r="AI285" s="52">
        <f t="shared" ca="1" si="202"/>
        <v>0</v>
      </c>
      <c r="AJ285" s="52">
        <f t="shared" ca="1" si="202"/>
        <v>0</v>
      </c>
      <c r="AK285" s="52">
        <f t="shared" ca="1" si="202"/>
        <v>0</v>
      </c>
      <c r="AL285" s="52">
        <f t="shared" ca="1" si="202"/>
        <v>0</v>
      </c>
      <c r="AM285" s="52">
        <f t="shared" ca="1" si="202"/>
        <v>0</v>
      </c>
      <c r="AN285" s="52">
        <f t="shared" ca="1" si="202"/>
        <v>0</v>
      </c>
      <c r="AO285" s="52">
        <f t="shared" ca="1" si="202"/>
        <v>0</v>
      </c>
      <c r="AP285" s="52">
        <f t="shared" ca="1" si="202"/>
        <v>0</v>
      </c>
      <c r="AQ285" s="52">
        <f t="shared" ca="1" si="202"/>
        <v>0</v>
      </c>
      <c r="AR285" s="52">
        <f t="shared" ca="1" si="202"/>
        <v>0</v>
      </c>
      <c r="AS285" s="52">
        <f t="shared" ca="1" si="202"/>
        <v>0</v>
      </c>
      <c r="AT285" s="52">
        <f t="shared" ca="1" si="202"/>
        <v>0</v>
      </c>
      <c r="AU285" s="52">
        <f t="shared" ca="1" si="202"/>
        <v>0</v>
      </c>
    </row>
    <row r="286" spans="1:47">
      <c r="E286" s="325"/>
      <c r="G286" s="36" t="s">
        <v>10</v>
      </c>
      <c r="H286" s="39"/>
      <c r="I286" s="39"/>
      <c r="J286" s="39"/>
      <c r="K286" s="39"/>
      <c r="L286" s="43"/>
      <c r="R286" s="54">
        <f>Assumptions!M$60</f>
        <v>1</v>
      </c>
      <c r="S286" s="54">
        <f>Assumptions!N$60</f>
        <v>0</v>
      </c>
      <c r="T286" s="54">
        <f>Assumptions!O$60</f>
        <v>0</v>
      </c>
      <c r="U286" s="54">
        <f>Assumptions!P$60</f>
        <v>0</v>
      </c>
      <c r="V286" s="54">
        <f>Assumptions!Q$60</f>
        <v>0</v>
      </c>
      <c r="W286" s="54">
        <f>Assumptions!R$60</f>
        <v>0</v>
      </c>
      <c r="X286" s="54">
        <f>Assumptions!S$60</f>
        <v>0</v>
      </c>
      <c r="Y286" s="54">
        <f>Assumptions!T$60</f>
        <v>0</v>
      </c>
      <c r="Z286" s="54">
        <f>Assumptions!U$60</f>
        <v>0</v>
      </c>
      <c r="AA286" s="54">
        <f>Assumptions!V$60</f>
        <v>0</v>
      </c>
      <c r="AB286" s="54">
        <f>Assumptions!W$60</f>
        <v>0</v>
      </c>
      <c r="AC286" s="54">
        <f>Assumptions!X$60</f>
        <v>0</v>
      </c>
      <c r="AD286" s="54">
        <f>Assumptions!Y$60</f>
        <v>0</v>
      </c>
      <c r="AE286" s="54">
        <f>Assumptions!Z$60</f>
        <v>0</v>
      </c>
      <c r="AF286" s="54">
        <f>Assumptions!AA$60</f>
        <v>0</v>
      </c>
      <c r="AG286" s="54">
        <f>Assumptions!AB$60</f>
        <v>0</v>
      </c>
      <c r="AH286" s="54">
        <f>Assumptions!AC$60</f>
        <v>0</v>
      </c>
      <c r="AI286" s="54">
        <f>Assumptions!AD$60</f>
        <v>0</v>
      </c>
      <c r="AJ286" s="54">
        <f>Assumptions!AE$60</f>
        <v>0</v>
      </c>
      <c r="AK286" s="54">
        <f>Assumptions!AF$60</f>
        <v>0</v>
      </c>
      <c r="AL286" s="54">
        <f>Assumptions!AG$60</f>
        <v>0</v>
      </c>
      <c r="AM286" s="54">
        <f>Assumptions!AH$60</f>
        <v>0</v>
      </c>
      <c r="AN286" s="54">
        <f>Assumptions!AI$60</f>
        <v>0</v>
      </c>
      <c r="AO286" s="54">
        <f>Assumptions!AJ$60</f>
        <v>0</v>
      </c>
      <c r="AP286" s="54">
        <f>Assumptions!AK$60</f>
        <v>0</v>
      </c>
      <c r="AQ286" s="54">
        <f>Assumptions!AL$60</f>
        <v>0</v>
      </c>
      <c r="AR286" s="54">
        <f>Assumptions!AM$60</f>
        <v>0</v>
      </c>
      <c r="AS286" s="54">
        <f>Assumptions!AN$60</f>
        <v>0</v>
      </c>
      <c r="AT286" s="54">
        <f>Assumptions!AO$60</f>
        <v>0</v>
      </c>
      <c r="AU286" s="54">
        <f>Assumptions!AP$60</f>
        <v>0</v>
      </c>
    </row>
    <row r="287" spans="1:47">
      <c r="E287" s="326"/>
      <c r="G287" s="39"/>
      <c r="H287" s="39"/>
      <c r="I287" s="39"/>
      <c r="J287" s="39"/>
      <c r="K287" s="39"/>
    </row>
    <row r="288" spans="1:47">
      <c r="E288" s="327"/>
      <c r="F288" s="28"/>
      <c r="G288" s="324" t="str">
        <f>C285&amp;" O&amp;M"</f>
        <v>Fluid Bed Incineration O&amp;M</v>
      </c>
      <c r="H288" s="324"/>
      <c r="I288" s="324"/>
      <c r="J288" s="324"/>
      <c r="K288" s="324"/>
      <c r="L288" s="405" t="s">
        <v>79</v>
      </c>
      <c r="M288" s="256"/>
      <c r="N288" s="325" t="s">
        <v>490</v>
      </c>
      <c r="O288" s="311"/>
      <c r="P288" s="325" t="s">
        <v>491</v>
      </c>
      <c r="Q288" s="310"/>
      <c r="R288" s="325">
        <f>R$8</f>
        <v>2014</v>
      </c>
      <c r="S288" s="325">
        <f t="shared" ref="S288:AU288" si="203">S$8</f>
        <v>2015</v>
      </c>
      <c r="T288" s="325">
        <f t="shared" si="203"/>
        <v>2016</v>
      </c>
      <c r="U288" s="325">
        <f t="shared" si="203"/>
        <v>2017</v>
      </c>
      <c r="V288" s="325">
        <f t="shared" si="203"/>
        <v>2018</v>
      </c>
      <c r="W288" s="325">
        <f t="shared" si="203"/>
        <v>2019</v>
      </c>
      <c r="X288" s="325">
        <f t="shared" si="203"/>
        <v>2020</v>
      </c>
      <c r="Y288" s="325">
        <f t="shared" si="203"/>
        <v>2021</v>
      </c>
      <c r="Z288" s="325">
        <f t="shared" si="203"/>
        <v>2022</v>
      </c>
      <c r="AA288" s="325">
        <f t="shared" si="203"/>
        <v>2023</v>
      </c>
      <c r="AB288" s="325">
        <f t="shared" si="203"/>
        <v>2024</v>
      </c>
      <c r="AC288" s="325">
        <f t="shared" si="203"/>
        <v>2025</v>
      </c>
      <c r="AD288" s="325">
        <f t="shared" si="203"/>
        <v>2026</v>
      </c>
      <c r="AE288" s="325">
        <f t="shared" si="203"/>
        <v>2027</v>
      </c>
      <c r="AF288" s="325">
        <f t="shared" si="203"/>
        <v>2028</v>
      </c>
      <c r="AG288" s="325">
        <f t="shared" si="203"/>
        <v>2029</v>
      </c>
      <c r="AH288" s="325">
        <f t="shared" si="203"/>
        <v>2030</v>
      </c>
      <c r="AI288" s="325">
        <f t="shared" si="203"/>
        <v>2031</v>
      </c>
      <c r="AJ288" s="325">
        <f t="shared" si="203"/>
        <v>2032</v>
      </c>
      <c r="AK288" s="325">
        <f t="shared" si="203"/>
        <v>2033</v>
      </c>
      <c r="AL288" s="325">
        <f t="shared" si="203"/>
        <v>2034</v>
      </c>
      <c r="AM288" s="325">
        <f t="shared" si="203"/>
        <v>2035</v>
      </c>
      <c r="AN288" s="325">
        <f t="shared" si="203"/>
        <v>2036</v>
      </c>
      <c r="AO288" s="325">
        <f t="shared" si="203"/>
        <v>2037</v>
      </c>
      <c r="AP288" s="325">
        <f t="shared" si="203"/>
        <v>2038</v>
      </c>
      <c r="AQ288" s="325">
        <f t="shared" si="203"/>
        <v>2039</v>
      </c>
      <c r="AR288" s="325">
        <f t="shared" si="203"/>
        <v>2040</v>
      </c>
      <c r="AS288" s="325">
        <f t="shared" si="203"/>
        <v>2041</v>
      </c>
      <c r="AT288" s="325">
        <f t="shared" si="203"/>
        <v>2042</v>
      </c>
      <c r="AU288" s="325">
        <f t="shared" si="203"/>
        <v>2043</v>
      </c>
    </row>
    <row r="289" spans="1:47">
      <c r="E289" s="325"/>
      <c r="G289" s="39"/>
      <c r="H289" s="39"/>
      <c r="I289" s="39"/>
      <c r="J289" s="39"/>
      <c r="K289" s="39"/>
    </row>
    <row r="290" spans="1:47">
      <c r="E290" s="325"/>
      <c r="G290" s="39" t="s">
        <v>23</v>
      </c>
      <c r="H290" s="39"/>
      <c r="I290" s="39"/>
      <c r="J290" s="39"/>
      <c r="K290" s="39"/>
    </row>
    <row r="291" spans="1:47">
      <c r="A291" s="38" t="str">
        <f t="shared" ref="A291:A298" si="204">$J$4&amp;"-"</f>
        <v>1Y-</v>
      </c>
      <c r="B291" s="38" t="s">
        <v>262</v>
      </c>
      <c r="C291" s="38" t="str">
        <f>C285</f>
        <v>Fluid Bed Incineration</v>
      </c>
      <c r="D291" s="186">
        <f>LaborEsc</f>
        <v>0.02</v>
      </c>
      <c r="E291" s="325"/>
      <c r="G291" s="36" t="s">
        <v>125</v>
      </c>
      <c r="I291" s="39"/>
      <c r="K291" s="39"/>
      <c r="L291" s="43" t="s">
        <v>266</v>
      </c>
      <c r="N291" s="70">
        <f ca="1">SUMIFS(OFFSET(Assumptions!$I$90,0,MATCH($A291,Configurations,0)-1,COUNT(Assumptions!$A$90:$A$183),1),Assumptions!$D$90:$D$183,$B291&amp;$C291)</f>
        <v>0</v>
      </c>
      <c r="O291" s="313"/>
      <c r="P291" s="323"/>
      <c r="Q291" s="313"/>
      <c r="R291" s="50">
        <f t="shared" ref="R291:AU291" ca="1" si="205">IF(OR(R$99&lt;InServiceYr,R$99&gt;(InServiceYr+analysis_period-1)),0,IF($P291=0,$N291,$P291)*LaborCost*(1+$D291)^(R$99-CostBaseYr))</f>
        <v>0</v>
      </c>
      <c r="S291" s="50">
        <f t="shared" ca="1" si="205"/>
        <v>0</v>
      </c>
      <c r="T291" s="50">
        <f t="shared" ca="1" si="205"/>
        <v>0</v>
      </c>
      <c r="U291" s="50">
        <f t="shared" ca="1" si="205"/>
        <v>0</v>
      </c>
      <c r="V291" s="50">
        <f t="shared" ca="1" si="205"/>
        <v>0</v>
      </c>
      <c r="W291" s="50">
        <f t="shared" ca="1" si="205"/>
        <v>0</v>
      </c>
      <c r="X291" s="50">
        <f t="shared" ca="1" si="205"/>
        <v>0</v>
      </c>
      <c r="Y291" s="50">
        <f t="shared" ca="1" si="205"/>
        <v>0</v>
      </c>
      <c r="Z291" s="50">
        <f t="shared" ca="1" si="205"/>
        <v>0</v>
      </c>
      <c r="AA291" s="50">
        <f t="shared" ca="1" si="205"/>
        <v>0</v>
      </c>
      <c r="AB291" s="50">
        <f t="shared" ca="1" si="205"/>
        <v>0</v>
      </c>
      <c r="AC291" s="50">
        <f t="shared" ca="1" si="205"/>
        <v>0</v>
      </c>
      <c r="AD291" s="50">
        <f t="shared" ca="1" si="205"/>
        <v>0</v>
      </c>
      <c r="AE291" s="50">
        <f t="shared" ca="1" si="205"/>
        <v>0</v>
      </c>
      <c r="AF291" s="50">
        <f t="shared" ca="1" si="205"/>
        <v>0</v>
      </c>
      <c r="AG291" s="50">
        <f t="shared" ca="1" si="205"/>
        <v>0</v>
      </c>
      <c r="AH291" s="50">
        <f t="shared" ca="1" si="205"/>
        <v>0</v>
      </c>
      <c r="AI291" s="50">
        <f t="shared" ca="1" si="205"/>
        <v>0</v>
      </c>
      <c r="AJ291" s="50">
        <f t="shared" ca="1" si="205"/>
        <v>0</v>
      </c>
      <c r="AK291" s="50">
        <f t="shared" ca="1" si="205"/>
        <v>0</v>
      </c>
      <c r="AL291" s="50">
        <f t="shared" si="205"/>
        <v>0</v>
      </c>
      <c r="AM291" s="50">
        <f t="shared" si="205"/>
        <v>0</v>
      </c>
      <c r="AN291" s="50">
        <f t="shared" si="205"/>
        <v>0</v>
      </c>
      <c r="AO291" s="50">
        <f t="shared" si="205"/>
        <v>0</v>
      </c>
      <c r="AP291" s="50">
        <f t="shared" si="205"/>
        <v>0</v>
      </c>
      <c r="AQ291" s="50">
        <f t="shared" si="205"/>
        <v>0</v>
      </c>
      <c r="AR291" s="50">
        <f t="shared" si="205"/>
        <v>0</v>
      </c>
      <c r="AS291" s="50">
        <f t="shared" si="205"/>
        <v>0</v>
      </c>
      <c r="AT291" s="50">
        <f t="shared" si="205"/>
        <v>0</v>
      </c>
      <c r="AU291" s="50">
        <f t="shared" si="205"/>
        <v>0</v>
      </c>
    </row>
    <row r="292" spans="1:47">
      <c r="A292" s="38" t="str">
        <f t="shared" si="204"/>
        <v>1Y-</v>
      </c>
      <c r="B292" s="38" t="s">
        <v>270</v>
      </c>
      <c r="C292" s="38" t="str">
        <f>C291</f>
        <v>Fluid Bed Incineration</v>
      </c>
      <c r="D292" s="186">
        <f>OMEsc</f>
        <v>0.02</v>
      </c>
      <c r="E292" s="325"/>
      <c r="G292" s="36" t="s">
        <v>126</v>
      </c>
      <c r="I292" s="39"/>
      <c r="K292" s="39"/>
      <c r="L292" s="43" t="str">
        <f>"["&amp;CostBaseYr&amp;" $]"</f>
        <v>[2013 $]</v>
      </c>
      <c r="N292" s="70">
        <f ca="1">SUMIFS(OFFSET(Assumptions!$I$90,0,MATCH($A292,Configurations,0)-1,COUNT(Assumptions!$A$90:$A$183),1),Assumptions!$D$90:$D$183,$B292&amp;$C292)</f>
        <v>0</v>
      </c>
      <c r="O292" s="313"/>
      <c r="P292" s="323"/>
      <c r="Q292" s="313"/>
      <c r="R292" s="50">
        <f t="shared" ref="R292:AG294" ca="1" si="206">IF(OR(R$99&lt;InServiceYr,R$99&gt;(InServiceYr+analysis_period-1)),0,IF($P292=0,$N292,$P292)*(1+$D292)^(R$99-CostBaseYr))</f>
        <v>0</v>
      </c>
      <c r="S292" s="50">
        <f t="shared" ca="1" si="206"/>
        <v>0</v>
      </c>
      <c r="T292" s="50">
        <f t="shared" ca="1" si="206"/>
        <v>0</v>
      </c>
      <c r="U292" s="50">
        <f t="shared" ca="1" si="206"/>
        <v>0</v>
      </c>
      <c r="V292" s="50">
        <f t="shared" ca="1" si="206"/>
        <v>0</v>
      </c>
      <c r="W292" s="50">
        <f t="shared" ca="1" si="206"/>
        <v>0</v>
      </c>
      <c r="X292" s="50">
        <f t="shared" ca="1" si="206"/>
        <v>0</v>
      </c>
      <c r="Y292" s="50">
        <f t="shared" ca="1" si="206"/>
        <v>0</v>
      </c>
      <c r="Z292" s="50">
        <f t="shared" ca="1" si="206"/>
        <v>0</v>
      </c>
      <c r="AA292" s="50">
        <f t="shared" ca="1" si="206"/>
        <v>0</v>
      </c>
      <c r="AB292" s="50">
        <f t="shared" ca="1" si="206"/>
        <v>0</v>
      </c>
      <c r="AC292" s="50">
        <f t="shared" ca="1" si="206"/>
        <v>0</v>
      </c>
      <c r="AD292" s="50">
        <f t="shared" ca="1" si="206"/>
        <v>0</v>
      </c>
      <c r="AE292" s="50">
        <f t="shared" ca="1" si="206"/>
        <v>0</v>
      </c>
      <c r="AF292" s="50">
        <f t="shared" ca="1" si="206"/>
        <v>0</v>
      </c>
      <c r="AG292" s="50">
        <f t="shared" ca="1" si="206"/>
        <v>0</v>
      </c>
      <c r="AH292" s="50">
        <f t="shared" ref="S292:AU294" ca="1" si="207">IF(OR(AH$99&lt;InServiceYr,AH$99&gt;(InServiceYr+analysis_period-1)),0,IF($P292=0,$N292,$P292)*(1+$D292)^(AH$99-CostBaseYr))</f>
        <v>0</v>
      </c>
      <c r="AI292" s="50">
        <f t="shared" ca="1" si="207"/>
        <v>0</v>
      </c>
      <c r="AJ292" s="50">
        <f t="shared" ca="1" si="207"/>
        <v>0</v>
      </c>
      <c r="AK292" s="50">
        <f t="shared" ca="1" si="207"/>
        <v>0</v>
      </c>
      <c r="AL292" s="50">
        <f t="shared" si="207"/>
        <v>0</v>
      </c>
      <c r="AM292" s="50">
        <f t="shared" si="207"/>
        <v>0</v>
      </c>
      <c r="AN292" s="50">
        <f t="shared" si="207"/>
        <v>0</v>
      </c>
      <c r="AO292" s="50">
        <f t="shared" si="207"/>
        <v>0</v>
      </c>
      <c r="AP292" s="50">
        <f t="shared" si="207"/>
        <v>0</v>
      </c>
      <c r="AQ292" s="50">
        <f t="shared" si="207"/>
        <v>0</v>
      </c>
      <c r="AR292" s="50">
        <f t="shared" si="207"/>
        <v>0</v>
      </c>
      <c r="AS292" s="50">
        <f t="shared" si="207"/>
        <v>0</v>
      </c>
      <c r="AT292" s="50">
        <f t="shared" si="207"/>
        <v>0</v>
      </c>
      <c r="AU292" s="50">
        <f t="shared" si="207"/>
        <v>0</v>
      </c>
    </row>
    <row r="293" spans="1:47">
      <c r="A293" s="38" t="str">
        <f t="shared" si="204"/>
        <v>1Y-</v>
      </c>
      <c r="B293" s="38" t="s">
        <v>263</v>
      </c>
      <c r="C293" s="38" t="str">
        <f t="shared" ref="C293:C297" si="208">C292</f>
        <v>Fluid Bed Incineration</v>
      </c>
      <c r="D293" s="186">
        <f>OMEsc</f>
        <v>0.02</v>
      </c>
      <c r="E293" s="325"/>
      <c r="G293" s="36" t="s">
        <v>127</v>
      </c>
      <c r="I293" s="39"/>
      <c r="K293" s="39"/>
      <c r="L293" s="43" t="str">
        <f>"["&amp;CostBaseYr&amp;" $]"</f>
        <v>[2013 $]</v>
      </c>
      <c r="N293" s="70">
        <f ca="1">SUMIFS(OFFSET(Assumptions!$I$90,0,MATCH($A293,Configurations,0)-1,COUNT(Assumptions!$A$90:$A$183),1),Assumptions!$D$90:$D$183,$B293&amp;$C293)</f>
        <v>0</v>
      </c>
      <c r="O293" s="313"/>
      <c r="P293" s="323"/>
      <c r="Q293" s="313"/>
      <c r="R293" s="50">
        <f t="shared" ca="1" si="206"/>
        <v>0</v>
      </c>
      <c r="S293" s="50">
        <f t="shared" ca="1" si="207"/>
        <v>0</v>
      </c>
      <c r="T293" s="50">
        <f t="shared" ca="1" si="207"/>
        <v>0</v>
      </c>
      <c r="U293" s="50">
        <f t="shared" ca="1" si="207"/>
        <v>0</v>
      </c>
      <c r="V293" s="50">
        <f t="shared" ca="1" si="207"/>
        <v>0</v>
      </c>
      <c r="W293" s="50">
        <f t="shared" ca="1" si="207"/>
        <v>0</v>
      </c>
      <c r="X293" s="50">
        <f t="shared" ca="1" si="207"/>
        <v>0</v>
      </c>
      <c r="Y293" s="50">
        <f t="shared" ca="1" si="207"/>
        <v>0</v>
      </c>
      <c r="Z293" s="50">
        <f t="shared" ca="1" si="207"/>
        <v>0</v>
      </c>
      <c r="AA293" s="50">
        <f t="shared" ca="1" si="207"/>
        <v>0</v>
      </c>
      <c r="AB293" s="50">
        <f t="shared" ca="1" si="207"/>
        <v>0</v>
      </c>
      <c r="AC293" s="50">
        <f t="shared" ca="1" si="207"/>
        <v>0</v>
      </c>
      <c r="AD293" s="50">
        <f t="shared" ca="1" si="207"/>
        <v>0</v>
      </c>
      <c r="AE293" s="50">
        <f t="shared" ca="1" si="207"/>
        <v>0</v>
      </c>
      <c r="AF293" s="50">
        <f t="shared" ca="1" si="207"/>
        <v>0</v>
      </c>
      <c r="AG293" s="50">
        <f t="shared" ca="1" si="207"/>
        <v>0</v>
      </c>
      <c r="AH293" s="50">
        <f t="shared" ca="1" si="207"/>
        <v>0</v>
      </c>
      <c r="AI293" s="50">
        <f t="shared" ca="1" si="207"/>
        <v>0</v>
      </c>
      <c r="AJ293" s="50">
        <f t="shared" ca="1" si="207"/>
        <v>0</v>
      </c>
      <c r="AK293" s="50">
        <f t="shared" ca="1" si="207"/>
        <v>0</v>
      </c>
      <c r="AL293" s="50">
        <f t="shared" si="207"/>
        <v>0</v>
      </c>
      <c r="AM293" s="50">
        <f t="shared" si="207"/>
        <v>0</v>
      </c>
      <c r="AN293" s="50">
        <f t="shared" si="207"/>
        <v>0</v>
      </c>
      <c r="AO293" s="50">
        <f t="shared" si="207"/>
        <v>0</v>
      </c>
      <c r="AP293" s="50">
        <f t="shared" si="207"/>
        <v>0</v>
      </c>
      <c r="AQ293" s="50">
        <f t="shared" si="207"/>
        <v>0</v>
      </c>
      <c r="AR293" s="50">
        <f t="shared" si="207"/>
        <v>0</v>
      </c>
      <c r="AS293" s="50">
        <f t="shared" si="207"/>
        <v>0</v>
      </c>
      <c r="AT293" s="50">
        <f t="shared" si="207"/>
        <v>0</v>
      </c>
      <c r="AU293" s="50">
        <f t="shared" si="207"/>
        <v>0</v>
      </c>
    </row>
    <row r="294" spans="1:47">
      <c r="A294" s="38" t="str">
        <f t="shared" si="204"/>
        <v>1Y-</v>
      </c>
      <c r="B294" s="38" t="s">
        <v>277</v>
      </c>
      <c r="C294" s="38" t="str">
        <f t="shared" si="208"/>
        <v>Fluid Bed Incineration</v>
      </c>
      <c r="D294" s="186">
        <f>OMEsc</f>
        <v>0.02</v>
      </c>
      <c r="E294" s="325"/>
      <c r="G294" s="36" t="s">
        <v>276</v>
      </c>
      <c r="I294" s="39"/>
      <c r="K294" s="39"/>
      <c r="L294" s="43" t="str">
        <f>"["&amp;CostBaseYr&amp;" $]"</f>
        <v>[2013 $]</v>
      </c>
      <c r="N294" s="70">
        <f ca="1">SUMIFS(OFFSET(Assumptions!$I$90,0,MATCH($A294,Configurations,0)-1,COUNT(Assumptions!$A$90:$A$183),1),Assumptions!$D$90:$D$183,$B294&amp;$C294)</f>
        <v>0</v>
      </c>
      <c r="O294" s="313"/>
      <c r="P294" s="323"/>
      <c r="Q294" s="313"/>
      <c r="R294" s="50">
        <f t="shared" ca="1" si="206"/>
        <v>0</v>
      </c>
      <c r="S294" s="50">
        <f t="shared" ca="1" si="207"/>
        <v>0</v>
      </c>
      <c r="T294" s="50">
        <f t="shared" ca="1" si="207"/>
        <v>0</v>
      </c>
      <c r="U294" s="50">
        <f t="shared" ca="1" si="207"/>
        <v>0</v>
      </c>
      <c r="V294" s="50">
        <f t="shared" ca="1" si="207"/>
        <v>0</v>
      </c>
      <c r="W294" s="50">
        <f t="shared" ca="1" si="207"/>
        <v>0</v>
      </c>
      <c r="X294" s="50">
        <f t="shared" ca="1" si="207"/>
        <v>0</v>
      </c>
      <c r="Y294" s="50">
        <f t="shared" ca="1" si="207"/>
        <v>0</v>
      </c>
      <c r="Z294" s="50">
        <f t="shared" ca="1" si="207"/>
        <v>0</v>
      </c>
      <c r="AA294" s="50">
        <f t="shared" ca="1" si="207"/>
        <v>0</v>
      </c>
      <c r="AB294" s="50">
        <f t="shared" ca="1" si="207"/>
        <v>0</v>
      </c>
      <c r="AC294" s="50">
        <f t="shared" ca="1" si="207"/>
        <v>0</v>
      </c>
      <c r="AD294" s="50">
        <f t="shared" ca="1" si="207"/>
        <v>0</v>
      </c>
      <c r="AE294" s="50">
        <f t="shared" ca="1" si="207"/>
        <v>0</v>
      </c>
      <c r="AF294" s="50">
        <f t="shared" ca="1" si="207"/>
        <v>0</v>
      </c>
      <c r="AG294" s="50">
        <f t="shared" ca="1" si="207"/>
        <v>0</v>
      </c>
      <c r="AH294" s="50">
        <f t="shared" ca="1" si="207"/>
        <v>0</v>
      </c>
      <c r="AI294" s="50">
        <f t="shared" ca="1" si="207"/>
        <v>0</v>
      </c>
      <c r="AJ294" s="50">
        <f t="shared" ca="1" si="207"/>
        <v>0</v>
      </c>
      <c r="AK294" s="50">
        <f t="shared" ca="1" si="207"/>
        <v>0</v>
      </c>
      <c r="AL294" s="50">
        <f t="shared" si="207"/>
        <v>0</v>
      </c>
      <c r="AM294" s="50">
        <f t="shared" si="207"/>
        <v>0</v>
      </c>
      <c r="AN294" s="50">
        <f t="shared" si="207"/>
        <v>0</v>
      </c>
      <c r="AO294" s="50">
        <f t="shared" si="207"/>
        <v>0</v>
      </c>
      <c r="AP294" s="50">
        <f t="shared" si="207"/>
        <v>0</v>
      </c>
      <c r="AQ294" s="50">
        <f t="shared" si="207"/>
        <v>0</v>
      </c>
      <c r="AR294" s="50">
        <f t="shared" si="207"/>
        <v>0</v>
      </c>
      <c r="AS294" s="50">
        <f t="shared" si="207"/>
        <v>0</v>
      </c>
      <c r="AT294" s="50">
        <f t="shared" si="207"/>
        <v>0</v>
      </c>
      <c r="AU294" s="50">
        <f t="shared" si="207"/>
        <v>0</v>
      </c>
    </row>
    <row r="295" spans="1:47">
      <c r="A295" s="38" t="str">
        <f t="shared" si="204"/>
        <v>1Y-</v>
      </c>
      <c r="B295" s="38" t="s">
        <v>274</v>
      </c>
      <c r="C295" s="38" t="str">
        <f t="shared" si="208"/>
        <v>Fluid Bed Incineration</v>
      </c>
      <c r="D295" s="186"/>
      <c r="E295" s="325"/>
      <c r="G295" s="36" t="s">
        <v>16</v>
      </c>
      <c r="I295" s="39"/>
      <c r="K295" s="39"/>
      <c r="L295" s="43" t="s">
        <v>275</v>
      </c>
      <c r="N295" s="70">
        <f ca="1">SUMIFS(OFFSET(Assumptions!$I$90,0,MATCH($A295,Configurations,0)-1,COUNT(Assumptions!$A$90:$A$183),1),Assumptions!$D$90:$D$183,$B295&amp;$C295)</f>
        <v>0</v>
      </c>
      <c r="O295" s="313"/>
      <c r="P295" s="323"/>
      <c r="Q295" s="313"/>
      <c r="R295" s="50">
        <f t="shared" ref="R295:AU295" ca="1" si="209">IF(OR(R$99&lt;InServiceYr,R$99&gt;(InServiceYr+analysis_period-1)),0,IF($P295=0,$N295,$P295)*R$505)</f>
        <v>0</v>
      </c>
      <c r="S295" s="50">
        <f t="shared" ca="1" si="209"/>
        <v>0</v>
      </c>
      <c r="T295" s="50">
        <f t="shared" ca="1" si="209"/>
        <v>0</v>
      </c>
      <c r="U295" s="50">
        <f t="shared" ca="1" si="209"/>
        <v>0</v>
      </c>
      <c r="V295" s="50">
        <f t="shared" ca="1" si="209"/>
        <v>0</v>
      </c>
      <c r="W295" s="50">
        <f t="shared" ca="1" si="209"/>
        <v>0</v>
      </c>
      <c r="X295" s="50">
        <f t="shared" ca="1" si="209"/>
        <v>0</v>
      </c>
      <c r="Y295" s="50">
        <f t="shared" ca="1" si="209"/>
        <v>0</v>
      </c>
      <c r="Z295" s="50">
        <f t="shared" ca="1" si="209"/>
        <v>0</v>
      </c>
      <c r="AA295" s="50">
        <f t="shared" ca="1" si="209"/>
        <v>0</v>
      </c>
      <c r="AB295" s="50">
        <f t="shared" ca="1" si="209"/>
        <v>0</v>
      </c>
      <c r="AC295" s="50">
        <f t="shared" ca="1" si="209"/>
        <v>0</v>
      </c>
      <c r="AD295" s="50">
        <f t="shared" ca="1" si="209"/>
        <v>0</v>
      </c>
      <c r="AE295" s="50">
        <f t="shared" ca="1" si="209"/>
        <v>0</v>
      </c>
      <c r="AF295" s="50">
        <f t="shared" ca="1" si="209"/>
        <v>0</v>
      </c>
      <c r="AG295" s="50">
        <f t="shared" ca="1" si="209"/>
        <v>0</v>
      </c>
      <c r="AH295" s="50">
        <f t="shared" ca="1" si="209"/>
        <v>0</v>
      </c>
      <c r="AI295" s="50">
        <f t="shared" ca="1" si="209"/>
        <v>0</v>
      </c>
      <c r="AJ295" s="50">
        <f t="shared" ca="1" si="209"/>
        <v>0</v>
      </c>
      <c r="AK295" s="50">
        <f t="shared" ca="1" si="209"/>
        <v>0</v>
      </c>
      <c r="AL295" s="50">
        <f t="shared" si="209"/>
        <v>0</v>
      </c>
      <c r="AM295" s="50">
        <f t="shared" si="209"/>
        <v>0</v>
      </c>
      <c r="AN295" s="50">
        <f t="shared" si="209"/>
        <v>0</v>
      </c>
      <c r="AO295" s="50">
        <f t="shared" si="209"/>
        <v>0</v>
      </c>
      <c r="AP295" s="50">
        <f t="shared" si="209"/>
        <v>0</v>
      </c>
      <c r="AQ295" s="50">
        <f t="shared" si="209"/>
        <v>0</v>
      </c>
      <c r="AR295" s="50">
        <f t="shared" si="209"/>
        <v>0</v>
      </c>
      <c r="AS295" s="50">
        <f t="shared" si="209"/>
        <v>0</v>
      </c>
      <c r="AT295" s="50">
        <f t="shared" si="209"/>
        <v>0</v>
      </c>
      <c r="AU295" s="50">
        <f t="shared" si="209"/>
        <v>0</v>
      </c>
    </row>
    <row r="296" spans="1:47">
      <c r="A296" s="38" t="str">
        <f t="shared" si="204"/>
        <v>1Y-</v>
      </c>
      <c r="B296" s="38" t="s">
        <v>257</v>
      </c>
      <c r="C296" s="38" t="str">
        <f t="shared" si="208"/>
        <v>Fluid Bed Incineration</v>
      </c>
      <c r="D296" s="186"/>
      <c r="E296" s="325"/>
      <c r="G296" s="36" t="s">
        <v>284</v>
      </c>
      <c r="I296" s="39"/>
      <c r="K296" s="39"/>
      <c r="L296" s="43" t="s">
        <v>293</v>
      </c>
      <c r="N296" s="70">
        <f ca="1">SUMIFS(OFFSET(Assumptions!$I$90,0,MATCH($A296,Configurations,0)-1,COUNT(Assumptions!$A$90:$A$183),1),Assumptions!$D$90:$D$183,$B296&amp;$C296)</f>
        <v>0</v>
      </c>
      <c r="O296" s="313"/>
      <c r="P296" s="323"/>
      <c r="Q296" s="313"/>
      <c r="R296" s="50">
        <f t="shared" ref="R296:AU296" ca="1" si="210">IF(OR(R$99&lt;InServiceYr,R$99&gt;(InServiceYr+analysis_period-1)),0,IF($P296=0,$N296,$P296)*R$501)</f>
        <v>0</v>
      </c>
      <c r="S296" s="50">
        <f t="shared" ca="1" si="210"/>
        <v>0</v>
      </c>
      <c r="T296" s="50">
        <f t="shared" ca="1" si="210"/>
        <v>0</v>
      </c>
      <c r="U296" s="50">
        <f t="shared" ca="1" si="210"/>
        <v>0</v>
      </c>
      <c r="V296" s="50">
        <f t="shared" ca="1" si="210"/>
        <v>0</v>
      </c>
      <c r="W296" s="50">
        <f t="shared" ca="1" si="210"/>
        <v>0</v>
      </c>
      <c r="X296" s="50">
        <f t="shared" ca="1" si="210"/>
        <v>0</v>
      </c>
      <c r="Y296" s="50">
        <f t="shared" ca="1" si="210"/>
        <v>0</v>
      </c>
      <c r="Z296" s="50">
        <f t="shared" ca="1" si="210"/>
        <v>0</v>
      </c>
      <c r="AA296" s="50">
        <f t="shared" ca="1" si="210"/>
        <v>0</v>
      </c>
      <c r="AB296" s="50">
        <f t="shared" ca="1" si="210"/>
        <v>0</v>
      </c>
      <c r="AC296" s="50">
        <f t="shared" ca="1" si="210"/>
        <v>0</v>
      </c>
      <c r="AD296" s="50">
        <f t="shared" ca="1" si="210"/>
        <v>0</v>
      </c>
      <c r="AE296" s="50">
        <f t="shared" ca="1" si="210"/>
        <v>0</v>
      </c>
      <c r="AF296" s="50">
        <f t="shared" ca="1" si="210"/>
        <v>0</v>
      </c>
      <c r="AG296" s="50">
        <f t="shared" ca="1" si="210"/>
        <v>0</v>
      </c>
      <c r="AH296" s="50">
        <f t="shared" ca="1" si="210"/>
        <v>0</v>
      </c>
      <c r="AI296" s="50">
        <f t="shared" ca="1" si="210"/>
        <v>0</v>
      </c>
      <c r="AJ296" s="50">
        <f t="shared" ca="1" si="210"/>
        <v>0</v>
      </c>
      <c r="AK296" s="50">
        <f t="shared" ca="1" si="210"/>
        <v>0</v>
      </c>
      <c r="AL296" s="50">
        <f t="shared" si="210"/>
        <v>0</v>
      </c>
      <c r="AM296" s="50">
        <f t="shared" si="210"/>
        <v>0</v>
      </c>
      <c r="AN296" s="50">
        <f t="shared" si="210"/>
        <v>0</v>
      </c>
      <c r="AO296" s="50">
        <f t="shared" si="210"/>
        <v>0</v>
      </c>
      <c r="AP296" s="50">
        <f t="shared" si="210"/>
        <v>0</v>
      </c>
      <c r="AQ296" s="50">
        <f t="shared" si="210"/>
        <v>0</v>
      </c>
      <c r="AR296" s="50">
        <f t="shared" si="210"/>
        <v>0</v>
      </c>
      <c r="AS296" s="50">
        <f t="shared" si="210"/>
        <v>0</v>
      </c>
      <c r="AT296" s="50">
        <f t="shared" si="210"/>
        <v>0</v>
      </c>
      <c r="AU296" s="50">
        <f t="shared" si="210"/>
        <v>0</v>
      </c>
    </row>
    <row r="297" spans="1:47">
      <c r="A297" s="38" t="str">
        <f t="shared" si="204"/>
        <v>1Y-</v>
      </c>
      <c r="B297" s="38" t="s">
        <v>864</v>
      </c>
      <c r="C297" s="38" t="str">
        <f t="shared" si="208"/>
        <v>Fluid Bed Incineration</v>
      </c>
      <c r="D297" s="186">
        <f>GHGEsc</f>
        <v>0.02</v>
      </c>
      <c r="E297" s="325"/>
      <c r="G297" s="36" t="s">
        <v>865</v>
      </c>
      <c r="I297" s="39"/>
      <c r="K297" s="39"/>
      <c r="L297" s="43" t="s">
        <v>866</v>
      </c>
      <c r="N297" s="70">
        <f ca="1">SUMIFS(OFFSET(Assumptions!$I$90,0,MATCH($A297,Configurations,0)-1,COUNT(Assumptions!$A$90:$A$183),1),Assumptions!$D$90:$D$183,$B297&amp;$C297)</f>
        <v>0</v>
      </c>
      <c r="O297" s="313"/>
      <c r="P297" s="323"/>
      <c r="Q297" s="313"/>
      <c r="R297" s="50">
        <f t="shared" ref="R297:AU297" ca="1" si="211">IF(OR(R$99&lt;InServiceYr,R$99&gt;(InServiceYr+analysis_period-1)),0,IF($P297=0,$N297,$P297)*R$513)</f>
        <v>0</v>
      </c>
      <c r="S297" s="50">
        <f t="shared" ca="1" si="211"/>
        <v>0</v>
      </c>
      <c r="T297" s="50">
        <f t="shared" ca="1" si="211"/>
        <v>0</v>
      </c>
      <c r="U297" s="50">
        <f t="shared" ca="1" si="211"/>
        <v>0</v>
      </c>
      <c r="V297" s="50">
        <f t="shared" ca="1" si="211"/>
        <v>0</v>
      </c>
      <c r="W297" s="50">
        <f t="shared" ca="1" si="211"/>
        <v>0</v>
      </c>
      <c r="X297" s="50">
        <f t="shared" ca="1" si="211"/>
        <v>0</v>
      </c>
      <c r="Y297" s="50">
        <f t="shared" ca="1" si="211"/>
        <v>0</v>
      </c>
      <c r="Z297" s="50">
        <f t="shared" ca="1" si="211"/>
        <v>0</v>
      </c>
      <c r="AA297" s="50">
        <f t="shared" ca="1" si="211"/>
        <v>0</v>
      </c>
      <c r="AB297" s="50">
        <f t="shared" ca="1" si="211"/>
        <v>0</v>
      </c>
      <c r="AC297" s="50">
        <f t="shared" ca="1" si="211"/>
        <v>0</v>
      </c>
      <c r="AD297" s="50">
        <f t="shared" ca="1" si="211"/>
        <v>0</v>
      </c>
      <c r="AE297" s="50">
        <f t="shared" ca="1" si="211"/>
        <v>0</v>
      </c>
      <c r="AF297" s="50">
        <f t="shared" ca="1" si="211"/>
        <v>0</v>
      </c>
      <c r="AG297" s="50">
        <f t="shared" ca="1" si="211"/>
        <v>0</v>
      </c>
      <c r="AH297" s="50">
        <f t="shared" ca="1" si="211"/>
        <v>0</v>
      </c>
      <c r="AI297" s="50">
        <f t="shared" ca="1" si="211"/>
        <v>0</v>
      </c>
      <c r="AJ297" s="50">
        <f t="shared" ca="1" si="211"/>
        <v>0</v>
      </c>
      <c r="AK297" s="50">
        <f t="shared" ca="1" si="211"/>
        <v>0</v>
      </c>
      <c r="AL297" s="50">
        <f t="shared" si="211"/>
        <v>0</v>
      </c>
      <c r="AM297" s="50">
        <f t="shared" si="211"/>
        <v>0</v>
      </c>
      <c r="AN297" s="50">
        <f t="shared" si="211"/>
        <v>0</v>
      </c>
      <c r="AO297" s="50">
        <f t="shared" si="211"/>
        <v>0</v>
      </c>
      <c r="AP297" s="50">
        <f t="shared" si="211"/>
        <v>0</v>
      </c>
      <c r="AQ297" s="50">
        <f t="shared" si="211"/>
        <v>0</v>
      </c>
      <c r="AR297" s="50">
        <f t="shared" si="211"/>
        <v>0</v>
      </c>
      <c r="AS297" s="50">
        <f t="shared" si="211"/>
        <v>0</v>
      </c>
      <c r="AT297" s="50">
        <f t="shared" si="211"/>
        <v>0</v>
      </c>
      <c r="AU297" s="50">
        <f t="shared" si="211"/>
        <v>0</v>
      </c>
    </row>
    <row r="298" spans="1:47">
      <c r="A298" s="38" t="str">
        <f t="shared" si="204"/>
        <v>1Y-</v>
      </c>
      <c r="B298" s="38" t="s">
        <v>273</v>
      </c>
      <c r="C298" s="38" t="str">
        <f>C296</f>
        <v>Fluid Bed Incineration</v>
      </c>
      <c r="D298" s="186">
        <f>LaborEsc</f>
        <v>0.02</v>
      </c>
      <c r="E298" s="325"/>
      <c r="G298" s="36" t="s">
        <v>291</v>
      </c>
      <c r="I298" s="39"/>
      <c r="K298" s="39"/>
      <c r="L298" s="43" t="str">
        <f>"["&amp;CostBaseYr&amp;" $]"</f>
        <v>[2013 $]</v>
      </c>
      <c r="N298" s="70">
        <f ca="1">SUMIFS(OFFSET(Assumptions!$I$90,0,MATCH($A298,Configurations,0)-1,COUNT(Assumptions!$A$90:$A$183),1),Assumptions!$D$90:$D$183,$B298&amp;$C298)</f>
        <v>0</v>
      </c>
      <c r="O298" s="313"/>
      <c r="P298" s="323"/>
      <c r="Q298" s="313"/>
      <c r="R298" s="50">
        <f t="shared" ref="R298:AU298" ca="1" si="212">IF(OR(R$99&lt;InServiceYr,R$99&gt;(InServiceYr+analysis_period-1)),0,IF($P298=0,$N298,$P298)*(1+$D298)^(R$99-CostBaseYr))*R$509</f>
        <v>0</v>
      </c>
      <c r="S298" s="50">
        <f t="shared" ca="1" si="212"/>
        <v>0</v>
      </c>
      <c r="T298" s="50">
        <f t="shared" ca="1" si="212"/>
        <v>0</v>
      </c>
      <c r="U298" s="50">
        <f t="shared" ca="1" si="212"/>
        <v>0</v>
      </c>
      <c r="V298" s="50">
        <f t="shared" ca="1" si="212"/>
        <v>0</v>
      </c>
      <c r="W298" s="50">
        <f t="shared" ca="1" si="212"/>
        <v>0</v>
      </c>
      <c r="X298" s="50">
        <f t="shared" ca="1" si="212"/>
        <v>0</v>
      </c>
      <c r="Y298" s="50">
        <f t="shared" ca="1" si="212"/>
        <v>0</v>
      </c>
      <c r="Z298" s="50">
        <f t="shared" ca="1" si="212"/>
        <v>0</v>
      </c>
      <c r="AA298" s="50">
        <f t="shared" ca="1" si="212"/>
        <v>0</v>
      </c>
      <c r="AB298" s="50">
        <f t="shared" ca="1" si="212"/>
        <v>0</v>
      </c>
      <c r="AC298" s="50">
        <f t="shared" ca="1" si="212"/>
        <v>0</v>
      </c>
      <c r="AD298" s="50">
        <f t="shared" ca="1" si="212"/>
        <v>0</v>
      </c>
      <c r="AE298" s="50">
        <f t="shared" ca="1" si="212"/>
        <v>0</v>
      </c>
      <c r="AF298" s="50">
        <f t="shared" ca="1" si="212"/>
        <v>0</v>
      </c>
      <c r="AG298" s="50">
        <f t="shared" ca="1" si="212"/>
        <v>0</v>
      </c>
      <c r="AH298" s="50">
        <f t="shared" ca="1" si="212"/>
        <v>0</v>
      </c>
      <c r="AI298" s="50">
        <f t="shared" ca="1" si="212"/>
        <v>0</v>
      </c>
      <c r="AJ298" s="50">
        <f t="shared" ca="1" si="212"/>
        <v>0</v>
      </c>
      <c r="AK298" s="50">
        <f t="shared" ca="1" si="212"/>
        <v>0</v>
      </c>
      <c r="AL298" s="50">
        <f t="shared" si="212"/>
        <v>0</v>
      </c>
      <c r="AM298" s="50">
        <f t="shared" si="212"/>
        <v>0</v>
      </c>
      <c r="AN298" s="50">
        <f t="shared" si="212"/>
        <v>0</v>
      </c>
      <c r="AO298" s="50">
        <f t="shared" si="212"/>
        <v>0</v>
      </c>
      <c r="AP298" s="50">
        <f t="shared" si="212"/>
        <v>0</v>
      </c>
      <c r="AQ298" s="50">
        <f t="shared" si="212"/>
        <v>0</v>
      </c>
      <c r="AR298" s="50">
        <f t="shared" si="212"/>
        <v>0</v>
      </c>
      <c r="AS298" s="50">
        <f t="shared" si="212"/>
        <v>0</v>
      </c>
      <c r="AT298" s="50">
        <f t="shared" si="212"/>
        <v>0</v>
      </c>
      <c r="AU298" s="50">
        <f t="shared" si="212"/>
        <v>0</v>
      </c>
    </row>
    <row r="299" spans="1:47">
      <c r="D299" s="186"/>
      <c r="E299" s="325"/>
      <c r="G299" s="39" t="s">
        <v>304</v>
      </c>
      <c r="I299" s="39"/>
      <c r="K299" s="39"/>
      <c r="L299" s="43"/>
      <c r="N299" s="70"/>
      <c r="O299" s="313"/>
      <c r="P299" s="70"/>
      <c r="Q299" s="313"/>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row>
    <row r="300" spans="1:47">
      <c r="A300" s="38" t="str">
        <f>$J$4&amp;"-"</f>
        <v>1Y-</v>
      </c>
      <c r="B300" s="38" t="s">
        <v>265</v>
      </c>
      <c r="C300" s="38" t="str">
        <f>C291</f>
        <v>Fluid Bed Incineration</v>
      </c>
      <c r="D300" s="186"/>
      <c r="E300" s="325"/>
      <c r="G300" s="36" t="s">
        <v>108</v>
      </c>
      <c r="I300" s="39"/>
      <c r="K300" s="39"/>
      <c r="L300" s="43" t="s">
        <v>293</v>
      </c>
      <c r="N300" s="70">
        <f ca="1">SUMIFS(OFFSET(Assumptions!$I$90,0,MATCH($A300,Configurations,0)-1,COUNT(Assumptions!$A$90:$A$183),1),Assumptions!$D$90:$D$183,$B300&amp;$C300)</f>
        <v>0</v>
      </c>
      <c r="O300" s="313"/>
      <c r="P300" s="323"/>
      <c r="Q300" s="313"/>
      <c r="R300" s="50">
        <f t="shared" ref="R300:AU300" ca="1" si="213">IF(OR(R$99&lt;InServiceYr,R$99&gt;(InServiceYr+analysis_period-1)),0,IF($P300=0,$N300,$P300)*R$501)</f>
        <v>0</v>
      </c>
      <c r="S300" s="50">
        <f t="shared" ca="1" si="213"/>
        <v>0</v>
      </c>
      <c r="T300" s="50">
        <f t="shared" ca="1" si="213"/>
        <v>0</v>
      </c>
      <c r="U300" s="50">
        <f t="shared" ca="1" si="213"/>
        <v>0</v>
      </c>
      <c r="V300" s="50">
        <f t="shared" ca="1" si="213"/>
        <v>0</v>
      </c>
      <c r="W300" s="50">
        <f t="shared" ca="1" si="213"/>
        <v>0</v>
      </c>
      <c r="X300" s="50">
        <f t="shared" ca="1" si="213"/>
        <v>0</v>
      </c>
      <c r="Y300" s="50">
        <f t="shared" ca="1" si="213"/>
        <v>0</v>
      </c>
      <c r="Z300" s="50">
        <f t="shared" ca="1" si="213"/>
        <v>0</v>
      </c>
      <c r="AA300" s="50">
        <f t="shared" ca="1" si="213"/>
        <v>0</v>
      </c>
      <c r="AB300" s="50">
        <f t="shared" ca="1" si="213"/>
        <v>0</v>
      </c>
      <c r="AC300" s="50">
        <f t="shared" ca="1" si="213"/>
        <v>0</v>
      </c>
      <c r="AD300" s="50">
        <f t="shared" ca="1" si="213"/>
        <v>0</v>
      </c>
      <c r="AE300" s="50">
        <f t="shared" ca="1" si="213"/>
        <v>0</v>
      </c>
      <c r="AF300" s="50">
        <f t="shared" ca="1" si="213"/>
        <v>0</v>
      </c>
      <c r="AG300" s="50">
        <f t="shared" ca="1" si="213"/>
        <v>0</v>
      </c>
      <c r="AH300" s="50">
        <f t="shared" ca="1" si="213"/>
        <v>0</v>
      </c>
      <c r="AI300" s="50">
        <f t="shared" ca="1" si="213"/>
        <v>0</v>
      </c>
      <c r="AJ300" s="50">
        <f t="shared" ca="1" si="213"/>
        <v>0</v>
      </c>
      <c r="AK300" s="50">
        <f t="shared" ca="1" si="213"/>
        <v>0</v>
      </c>
      <c r="AL300" s="50">
        <f t="shared" si="213"/>
        <v>0</v>
      </c>
      <c r="AM300" s="50">
        <f t="shared" si="213"/>
        <v>0</v>
      </c>
      <c r="AN300" s="50">
        <f t="shared" si="213"/>
        <v>0</v>
      </c>
      <c r="AO300" s="50">
        <f t="shared" si="213"/>
        <v>0</v>
      </c>
      <c r="AP300" s="50">
        <f t="shared" si="213"/>
        <v>0</v>
      </c>
      <c r="AQ300" s="50">
        <f t="shared" si="213"/>
        <v>0</v>
      </c>
      <c r="AR300" s="50">
        <f t="shared" si="213"/>
        <v>0</v>
      </c>
      <c r="AS300" s="50">
        <f t="shared" si="213"/>
        <v>0</v>
      </c>
      <c r="AT300" s="50">
        <f t="shared" si="213"/>
        <v>0</v>
      </c>
      <c r="AU300" s="50">
        <f t="shared" si="213"/>
        <v>0</v>
      </c>
    </row>
    <row r="301" spans="1:47">
      <c r="A301" s="38" t="str">
        <f>$J$4&amp;"-"</f>
        <v>1Y-</v>
      </c>
      <c r="B301" s="38" t="s">
        <v>289</v>
      </c>
      <c r="C301" s="38" t="str">
        <f>C291</f>
        <v>Fluid Bed Incineration</v>
      </c>
      <c r="D301" s="186">
        <f>LaborEsc</f>
        <v>0.02</v>
      </c>
      <c r="E301" s="325"/>
      <c r="G301" s="36" t="s">
        <v>292</v>
      </c>
      <c r="I301" s="39"/>
      <c r="K301" s="39"/>
      <c r="L301" s="43" t="str">
        <f>"["&amp;CostBaseYr&amp;" $]"</f>
        <v>[2013 $]</v>
      </c>
      <c r="N301" s="70">
        <f ca="1">SUMIFS(OFFSET(Assumptions!$I$90,0,MATCH($A301,Configurations,0)-1,COUNT(Assumptions!$A$90:$A$183),1),Assumptions!$D$90:$D$183,$B301&amp;$C301)</f>
        <v>0</v>
      </c>
      <c r="O301" s="313"/>
      <c r="P301" s="323"/>
      <c r="Q301" s="313"/>
      <c r="R301" s="50">
        <f t="shared" ref="R301:AU301" ca="1" si="214">IF(OR(R$99&lt;InServiceYr,R$99&gt;(InServiceYr+analysis_period-1)),0,IF($P301=0,$N301,$P301)*(1+$D301)^(R$99-CostBaseYr))</f>
        <v>0</v>
      </c>
      <c r="S301" s="50">
        <f t="shared" ca="1" si="214"/>
        <v>0</v>
      </c>
      <c r="T301" s="50">
        <f t="shared" ca="1" si="214"/>
        <v>0</v>
      </c>
      <c r="U301" s="50">
        <f t="shared" ca="1" si="214"/>
        <v>0</v>
      </c>
      <c r="V301" s="50">
        <f t="shared" ca="1" si="214"/>
        <v>0</v>
      </c>
      <c r="W301" s="50">
        <f t="shared" ca="1" si="214"/>
        <v>0</v>
      </c>
      <c r="X301" s="50">
        <f t="shared" ca="1" si="214"/>
        <v>0</v>
      </c>
      <c r="Y301" s="50">
        <f t="shared" ca="1" si="214"/>
        <v>0</v>
      </c>
      <c r="Z301" s="50">
        <f t="shared" ca="1" si="214"/>
        <v>0</v>
      </c>
      <c r="AA301" s="50">
        <f t="shared" ca="1" si="214"/>
        <v>0</v>
      </c>
      <c r="AB301" s="50">
        <f t="shared" ca="1" si="214"/>
        <v>0</v>
      </c>
      <c r="AC301" s="50">
        <f t="shared" ca="1" si="214"/>
        <v>0</v>
      </c>
      <c r="AD301" s="50">
        <f t="shared" ca="1" si="214"/>
        <v>0</v>
      </c>
      <c r="AE301" s="50">
        <f t="shared" ca="1" si="214"/>
        <v>0</v>
      </c>
      <c r="AF301" s="50">
        <f t="shared" ca="1" si="214"/>
        <v>0</v>
      </c>
      <c r="AG301" s="50">
        <f t="shared" ca="1" si="214"/>
        <v>0</v>
      </c>
      <c r="AH301" s="50">
        <f t="shared" ca="1" si="214"/>
        <v>0</v>
      </c>
      <c r="AI301" s="50">
        <f t="shared" ca="1" si="214"/>
        <v>0</v>
      </c>
      <c r="AJ301" s="50">
        <f t="shared" ca="1" si="214"/>
        <v>0</v>
      </c>
      <c r="AK301" s="50">
        <f t="shared" ca="1" si="214"/>
        <v>0</v>
      </c>
      <c r="AL301" s="50">
        <f t="shared" si="214"/>
        <v>0</v>
      </c>
      <c r="AM301" s="50">
        <f t="shared" si="214"/>
        <v>0</v>
      </c>
      <c r="AN301" s="50">
        <f t="shared" si="214"/>
        <v>0</v>
      </c>
      <c r="AO301" s="50">
        <f t="shared" si="214"/>
        <v>0</v>
      </c>
      <c r="AP301" s="50">
        <f t="shared" si="214"/>
        <v>0</v>
      </c>
      <c r="AQ301" s="50">
        <f t="shared" si="214"/>
        <v>0</v>
      </c>
      <c r="AR301" s="50">
        <f t="shared" si="214"/>
        <v>0</v>
      </c>
      <c r="AS301" s="50">
        <f t="shared" si="214"/>
        <v>0</v>
      </c>
      <c r="AT301" s="50">
        <f t="shared" si="214"/>
        <v>0</v>
      </c>
      <c r="AU301" s="50">
        <f t="shared" si="214"/>
        <v>0</v>
      </c>
    </row>
    <row r="302" spans="1:47" s="60" customFormat="1">
      <c r="D302" s="187"/>
      <c r="E302" s="325"/>
      <c r="G302" s="39" t="s">
        <v>305</v>
      </c>
      <c r="I302" s="39"/>
      <c r="K302" s="39"/>
      <c r="L302" s="174"/>
      <c r="N302" s="188"/>
      <c r="O302" s="314"/>
      <c r="P302" s="185"/>
      <c r="Q302" s="314"/>
      <c r="R302" s="185">
        <f ca="1">SUM(R291:R298)-SUM(R300:R301)</f>
        <v>0</v>
      </c>
      <c r="S302" s="185">
        <f t="shared" ref="S302:AU302" ca="1" si="215">SUM(S291:S298)-SUM(S300:S301)</f>
        <v>0</v>
      </c>
      <c r="T302" s="185">
        <f t="shared" ca="1" si="215"/>
        <v>0</v>
      </c>
      <c r="U302" s="185">
        <f t="shared" ca="1" si="215"/>
        <v>0</v>
      </c>
      <c r="V302" s="185">
        <f t="shared" ca="1" si="215"/>
        <v>0</v>
      </c>
      <c r="W302" s="185">
        <f t="shared" ca="1" si="215"/>
        <v>0</v>
      </c>
      <c r="X302" s="185">
        <f t="shared" ca="1" si="215"/>
        <v>0</v>
      </c>
      <c r="Y302" s="185">
        <f t="shared" ca="1" si="215"/>
        <v>0</v>
      </c>
      <c r="Z302" s="185">
        <f t="shared" ca="1" si="215"/>
        <v>0</v>
      </c>
      <c r="AA302" s="185">
        <f t="shared" ca="1" si="215"/>
        <v>0</v>
      </c>
      <c r="AB302" s="185">
        <f t="shared" ca="1" si="215"/>
        <v>0</v>
      </c>
      <c r="AC302" s="185">
        <f t="shared" ca="1" si="215"/>
        <v>0</v>
      </c>
      <c r="AD302" s="185">
        <f t="shared" ca="1" si="215"/>
        <v>0</v>
      </c>
      <c r="AE302" s="185">
        <f t="shared" ca="1" si="215"/>
        <v>0</v>
      </c>
      <c r="AF302" s="185">
        <f t="shared" ca="1" si="215"/>
        <v>0</v>
      </c>
      <c r="AG302" s="185">
        <f t="shared" ca="1" si="215"/>
        <v>0</v>
      </c>
      <c r="AH302" s="185">
        <f t="shared" ca="1" si="215"/>
        <v>0</v>
      </c>
      <c r="AI302" s="185">
        <f t="shared" ca="1" si="215"/>
        <v>0</v>
      </c>
      <c r="AJ302" s="185">
        <f t="shared" ca="1" si="215"/>
        <v>0</v>
      </c>
      <c r="AK302" s="185">
        <f t="shared" ca="1" si="215"/>
        <v>0</v>
      </c>
      <c r="AL302" s="185">
        <f t="shared" si="215"/>
        <v>0</v>
      </c>
      <c r="AM302" s="185">
        <f t="shared" si="215"/>
        <v>0</v>
      </c>
      <c r="AN302" s="185">
        <f t="shared" si="215"/>
        <v>0</v>
      </c>
      <c r="AO302" s="185">
        <f t="shared" si="215"/>
        <v>0</v>
      </c>
      <c r="AP302" s="185">
        <f t="shared" si="215"/>
        <v>0</v>
      </c>
      <c r="AQ302" s="185">
        <f t="shared" si="215"/>
        <v>0</v>
      </c>
      <c r="AR302" s="185">
        <f t="shared" si="215"/>
        <v>0</v>
      </c>
      <c r="AS302" s="185">
        <f t="shared" si="215"/>
        <v>0</v>
      </c>
      <c r="AT302" s="185">
        <f t="shared" si="215"/>
        <v>0</v>
      </c>
      <c r="AU302" s="185">
        <f t="shared" si="215"/>
        <v>0</v>
      </c>
    </row>
    <row r="303" spans="1:47">
      <c r="E303" s="36"/>
      <c r="G303" s="39"/>
      <c r="H303" s="39"/>
      <c r="I303" s="39"/>
      <c r="J303" s="39"/>
      <c r="K303" s="39"/>
    </row>
    <row r="304" spans="1:47">
      <c r="E304" s="327"/>
      <c r="F304" s="28"/>
      <c r="G304" s="324" t="str">
        <f>C306&amp;" Capital Costs"</f>
        <v>FOG Receiving Capital Costs</v>
      </c>
      <c r="H304" s="324"/>
      <c r="I304" s="324"/>
      <c r="J304" s="324"/>
      <c r="K304" s="324"/>
      <c r="L304" s="405" t="s">
        <v>79</v>
      </c>
      <c r="M304" s="256"/>
      <c r="N304" s="325" t="s">
        <v>490</v>
      </c>
      <c r="O304" s="311"/>
      <c r="P304" s="325" t="s">
        <v>491</v>
      </c>
      <c r="Q304" s="310"/>
      <c r="R304" s="325">
        <f>R$8</f>
        <v>2014</v>
      </c>
      <c r="S304" s="325">
        <f t="shared" ref="S304:AU304" si="216">S$8</f>
        <v>2015</v>
      </c>
      <c r="T304" s="325">
        <f t="shared" si="216"/>
        <v>2016</v>
      </c>
      <c r="U304" s="325">
        <f t="shared" si="216"/>
        <v>2017</v>
      </c>
      <c r="V304" s="325">
        <f t="shared" si="216"/>
        <v>2018</v>
      </c>
      <c r="W304" s="325">
        <f t="shared" si="216"/>
        <v>2019</v>
      </c>
      <c r="X304" s="325">
        <f t="shared" si="216"/>
        <v>2020</v>
      </c>
      <c r="Y304" s="325">
        <f t="shared" si="216"/>
        <v>2021</v>
      </c>
      <c r="Z304" s="325">
        <f t="shared" si="216"/>
        <v>2022</v>
      </c>
      <c r="AA304" s="325">
        <f t="shared" si="216"/>
        <v>2023</v>
      </c>
      <c r="AB304" s="325">
        <f t="shared" si="216"/>
        <v>2024</v>
      </c>
      <c r="AC304" s="325">
        <f t="shared" si="216"/>
        <v>2025</v>
      </c>
      <c r="AD304" s="325">
        <f t="shared" si="216"/>
        <v>2026</v>
      </c>
      <c r="AE304" s="325">
        <f t="shared" si="216"/>
        <v>2027</v>
      </c>
      <c r="AF304" s="325">
        <f t="shared" si="216"/>
        <v>2028</v>
      </c>
      <c r="AG304" s="325">
        <f t="shared" si="216"/>
        <v>2029</v>
      </c>
      <c r="AH304" s="325">
        <f t="shared" si="216"/>
        <v>2030</v>
      </c>
      <c r="AI304" s="325">
        <f t="shared" si="216"/>
        <v>2031</v>
      </c>
      <c r="AJ304" s="325">
        <f t="shared" si="216"/>
        <v>2032</v>
      </c>
      <c r="AK304" s="325">
        <f t="shared" si="216"/>
        <v>2033</v>
      </c>
      <c r="AL304" s="325">
        <f t="shared" si="216"/>
        <v>2034</v>
      </c>
      <c r="AM304" s="325">
        <f t="shared" si="216"/>
        <v>2035</v>
      </c>
      <c r="AN304" s="325">
        <f t="shared" si="216"/>
        <v>2036</v>
      </c>
      <c r="AO304" s="325">
        <f t="shared" si="216"/>
        <v>2037</v>
      </c>
      <c r="AP304" s="325">
        <f t="shared" si="216"/>
        <v>2038</v>
      </c>
      <c r="AQ304" s="325">
        <f t="shared" si="216"/>
        <v>2039</v>
      </c>
      <c r="AR304" s="325">
        <f t="shared" si="216"/>
        <v>2040</v>
      </c>
      <c r="AS304" s="325">
        <f t="shared" si="216"/>
        <v>2041</v>
      </c>
      <c r="AT304" s="325">
        <f t="shared" si="216"/>
        <v>2042</v>
      </c>
      <c r="AU304" s="325">
        <f t="shared" si="216"/>
        <v>2043</v>
      </c>
    </row>
    <row r="305" spans="1:47">
      <c r="E305" s="325"/>
      <c r="G305" s="39"/>
      <c r="H305" s="39"/>
      <c r="I305" s="39"/>
      <c r="J305" s="39"/>
      <c r="K305" s="39"/>
    </row>
    <row r="306" spans="1:47">
      <c r="A306" s="38" t="str">
        <f>$J$4&amp;"-"</f>
        <v>1Y-</v>
      </c>
      <c r="B306" s="38" t="s">
        <v>306</v>
      </c>
      <c r="C306" s="38" t="s">
        <v>161</v>
      </c>
      <c r="D306" s="186">
        <f>CapExEsc</f>
        <v>0.03</v>
      </c>
      <c r="E306" s="325"/>
      <c r="G306" s="36" t="s">
        <v>8</v>
      </c>
      <c r="H306" s="39"/>
      <c r="I306" s="39"/>
      <c r="J306" s="70"/>
      <c r="K306" s="39"/>
      <c r="L306" s="43" t="str">
        <f>"["&amp;CostBaseYr&amp;" $]"</f>
        <v>[2013 $]</v>
      </c>
      <c r="N306" s="52">
        <f ca="1">SUMIFS(OFFSET(Assumptions!$I$65,0,MATCH($A306,Configurations,0)-1,COUNT(Assumptions!$A$65:$A$84),1),Assumptions!$E$65:$E$84,$C306)</f>
        <v>0</v>
      </c>
      <c r="O306" s="52"/>
      <c r="P306" s="322"/>
      <c r="Q306" s="52"/>
      <c r="R306" s="52">
        <f t="shared" ref="R306:AU306" ca="1" si="217">R307*IF($P306=0,$N306,$P306)*(1+$D306)^(R$8-CostBaseYr)</f>
        <v>0</v>
      </c>
      <c r="S306" s="52">
        <f t="shared" ca="1" si="217"/>
        <v>0</v>
      </c>
      <c r="T306" s="52">
        <f t="shared" ca="1" si="217"/>
        <v>0</v>
      </c>
      <c r="U306" s="52">
        <f t="shared" ca="1" si="217"/>
        <v>0</v>
      </c>
      <c r="V306" s="52">
        <f t="shared" ca="1" si="217"/>
        <v>0</v>
      </c>
      <c r="W306" s="52">
        <f t="shared" ca="1" si="217"/>
        <v>0</v>
      </c>
      <c r="X306" s="52">
        <f t="shared" ca="1" si="217"/>
        <v>0</v>
      </c>
      <c r="Y306" s="52">
        <f t="shared" ca="1" si="217"/>
        <v>0</v>
      </c>
      <c r="Z306" s="52">
        <f t="shared" ca="1" si="217"/>
        <v>0</v>
      </c>
      <c r="AA306" s="52">
        <f t="shared" ca="1" si="217"/>
        <v>0</v>
      </c>
      <c r="AB306" s="52">
        <f t="shared" ca="1" si="217"/>
        <v>0</v>
      </c>
      <c r="AC306" s="52">
        <f t="shared" ca="1" si="217"/>
        <v>0</v>
      </c>
      <c r="AD306" s="52">
        <f t="shared" ca="1" si="217"/>
        <v>0</v>
      </c>
      <c r="AE306" s="52">
        <f t="shared" ca="1" si="217"/>
        <v>0</v>
      </c>
      <c r="AF306" s="52">
        <f t="shared" ca="1" si="217"/>
        <v>0</v>
      </c>
      <c r="AG306" s="52">
        <f t="shared" ca="1" si="217"/>
        <v>0</v>
      </c>
      <c r="AH306" s="52">
        <f t="shared" ca="1" si="217"/>
        <v>0</v>
      </c>
      <c r="AI306" s="52">
        <f t="shared" ca="1" si="217"/>
        <v>0</v>
      </c>
      <c r="AJ306" s="52">
        <f t="shared" ca="1" si="217"/>
        <v>0</v>
      </c>
      <c r="AK306" s="52">
        <f t="shared" ca="1" si="217"/>
        <v>0</v>
      </c>
      <c r="AL306" s="52">
        <f t="shared" ca="1" si="217"/>
        <v>0</v>
      </c>
      <c r="AM306" s="52">
        <f t="shared" ca="1" si="217"/>
        <v>0</v>
      </c>
      <c r="AN306" s="52">
        <f t="shared" ca="1" si="217"/>
        <v>0</v>
      </c>
      <c r="AO306" s="52">
        <f t="shared" ca="1" si="217"/>
        <v>0</v>
      </c>
      <c r="AP306" s="52">
        <f t="shared" ca="1" si="217"/>
        <v>0</v>
      </c>
      <c r="AQ306" s="52">
        <f t="shared" ca="1" si="217"/>
        <v>0</v>
      </c>
      <c r="AR306" s="52">
        <f t="shared" ca="1" si="217"/>
        <v>0</v>
      </c>
      <c r="AS306" s="52">
        <f t="shared" ca="1" si="217"/>
        <v>0</v>
      </c>
      <c r="AT306" s="52">
        <f t="shared" ca="1" si="217"/>
        <v>0</v>
      </c>
      <c r="AU306" s="52">
        <f t="shared" ca="1" si="217"/>
        <v>0</v>
      </c>
    </row>
    <row r="307" spans="1:47">
      <c r="E307" s="325"/>
      <c r="G307" s="36" t="s">
        <v>10</v>
      </c>
      <c r="H307" s="39"/>
      <c r="I307" s="39"/>
      <c r="J307" s="39"/>
      <c r="K307" s="39"/>
      <c r="L307" s="43"/>
      <c r="R307" s="54">
        <f>Assumptions!M$60</f>
        <v>1</v>
      </c>
      <c r="S307" s="54">
        <f>Assumptions!N$60</f>
        <v>0</v>
      </c>
      <c r="T307" s="54">
        <f>Assumptions!O$60</f>
        <v>0</v>
      </c>
      <c r="U307" s="54">
        <f>Assumptions!P$60</f>
        <v>0</v>
      </c>
      <c r="V307" s="54">
        <f>Assumptions!Q$60</f>
        <v>0</v>
      </c>
      <c r="W307" s="54">
        <f>Assumptions!R$60</f>
        <v>0</v>
      </c>
      <c r="X307" s="54">
        <f>Assumptions!S$60</f>
        <v>0</v>
      </c>
      <c r="Y307" s="54">
        <f>Assumptions!T$60</f>
        <v>0</v>
      </c>
      <c r="Z307" s="54">
        <f>Assumptions!U$60</f>
        <v>0</v>
      </c>
      <c r="AA307" s="54">
        <f>Assumptions!V$60</f>
        <v>0</v>
      </c>
      <c r="AB307" s="54">
        <f>Assumptions!W$60</f>
        <v>0</v>
      </c>
      <c r="AC307" s="54">
        <f>Assumptions!X$60</f>
        <v>0</v>
      </c>
      <c r="AD307" s="54">
        <f>Assumptions!Y$60</f>
        <v>0</v>
      </c>
      <c r="AE307" s="54">
        <f>Assumptions!Z$60</f>
        <v>0</v>
      </c>
      <c r="AF307" s="54">
        <f>Assumptions!AA$60</f>
        <v>0</v>
      </c>
      <c r="AG307" s="54">
        <f>Assumptions!AB$60</f>
        <v>0</v>
      </c>
      <c r="AH307" s="54">
        <f>Assumptions!AC$60</f>
        <v>0</v>
      </c>
      <c r="AI307" s="54">
        <f>Assumptions!AD$60</f>
        <v>0</v>
      </c>
      <c r="AJ307" s="54">
        <f>Assumptions!AE$60</f>
        <v>0</v>
      </c>
      <c r="AK307" s="54">
        <f>Assumptions!AF$60</f>
        <v>0</v>
      </c>
      <c r="AL307" s="54">
        <f>Assumptions!AG$60</f>
        <v>0</v>
      </c>
      <c r="AM307" s="54">
        <f>Assumptions!AH$60</f>
        <v>0</v>
      </c>
      <c r="AN307" s="54">
        <f>Assumptions!AI$60</f>
        <v>0</v>
      </c>
      <c r="AO307" s="54">
        <f>Assumptions!AJ$60</f>
        <v>0</v>
      </c>
      <c r="AP307" s="54">
        <f>Assumptions!AK$60</f>
        <v>0</v>
      </c>
      <c r="AQ307" s="54">
        <f>Assumptions!AL$60</f>
        <v>0</v>
      </c>
      <c r="AR307" s="54">
        <f>Assumptions!AM$60</f>
        <v>0</v>
      </c>
      <c r="AS307" s="54">
        <f>Assumptions!AN$60</f>
        <v>0</v>
      </c>
      <c r="AT307" s="54">
        <f>Assumptions!AO$60</f>
        <v>0</v>
      </c>
      <c r="AU307" s="54">
        <f>Assumptions!AP$60</f>
        <v>0</v>
      </c>
    </row>
    <row r="308" spans="1:47">
      <c r="E308" s="326"/>
      <c r="G308" s="39"/>
      <c r="H308" s="39"/>
      <c r="I308" s="39"/>
      <c r="J308" s="39"/>
      <c r="K308" s="39"/>
    </row>
    <row r="309" spans="1:47">
      <c r="E309" s="327"/>
      <c r="F309" s="28"/>
      <c r="G309" s="324" t="str">
        <f>C306&amp;" O&amp;M"</f>
        <v>FOG Receiving O&amp;M</v>
      </c>
      <c r="H309" s="324"/>
      <c r="I309" s="324"/>
      <c r="J309" s="324"/>
      <c r="K309" s="324"/>
      <c r="L309" s="405" t="s">
        <v>79</v>
      </c>
      <c r="M309" s="256"/>
      <c r="N309" s="325" t="s">
        <v>490</v>
      </c>
      <c r="O309" s="311"/>
      <c r="P309" s="325" t="s">
        <v>491</v>
      </c>
      <c r="Q309" s="310"/>
      <c r="R309" s="325">
        <f>R$8</f>
        <v>2014</v>
      </c>
      <c r="S309" s="325">
        <f t="shared" ref="S309:AU309" si="218">S$8</f>
        <v>2015</v>
      </c>
      <c r="T309" s="325">
        <f t="shared" si="218"/>
        <v>2016</v>
      </c>
      <c r="U309" s="325">
        <f t="shared" si="218"/>
        <v>2017</v>
      </c>
      <c r="V309" s="325">
        <f t="shared" si="218"/>
        <v>2018</v>
      </c>
      <c r="W309" s="325">
        <f t="shared" si="218"/>
        <v>2019</v>
      </c>
      <c r="X309" s="325">
        <f t="shared" si="218"/>
        <v>2020</v>
      </c>
      <c r="Y309" s="325">
        <f t="shared" si="218"/>
        <v>2021</v>
      </c>
      <c r="Z309" s="325">
        <f t="shared" si="218"/>
        <v>2022</v>
      </c>
      <c r="AA309" s="325">
        <f t="shared" si="218"/>
        <v>2023</v>
      </c>
      <c r="AB309" s="325">
        <f t="shared" si="218"/>
        <v>2024</v>
      </c>
      <c r="AC309" s="325">
        <f t="shared" si="218"/>
        <v>2025</v>
      </c>
      <c r="AD309" s="325">
        <f t="shared" si="218"/>
        <v>2026</v>
      </c>
      <c r="AE309" s="325">
        <f t="shared" si="218"/>
        <v>2027</v>
      </c>
      <c r="AF309" s="325">
        <f t="shared" si="218"/>
        <v>2028</v>
      </c>
      <c r="AG309" s="325">
        <f t="shared" si="218"/>
        <v>2029</v>
      </c>
      <c r="AH309" s="325">
        <f t="shared" si="218"/>
        <v>2030</v>
      </c>
      <c r="AI309" s="325">
        <f t="shared" si="218"/>
        <v>2031</v>
      </c>
      <c r="AJ309" s="325">
        <f t="shared" si="218"/>
        <v>2032</v>
      </c>
      <c r="AK309" s="325">
        <f t="shared" si="218"/>
        <v>2033</v>
      </c>
      <c r="AL309" s="325">
        <f t="shared" si="218"/>
        <v>2034</v>
      </c>
      <c r="AM309" s="325">
        <f t="shared" si="218"/>
        <v>2035</v>
      </c>
      <c r="AN309" s="325">
        <f t="shared" si="218"/>
        <v>2036</v>
      </c>
      <c r="AO309" s="325">
        <f t="shared" si="218"/>
        <v>2037</v>
      </c>
      <c r="AP309" s="325">
        <f t="shared" si="218"/>
        <v>2038</v>
      </c>
      <c r="AQ309" s="325">
        <f t="shared" si="218"/>
        <v>2039</v>
      </c>
      <c r="AR309" s="325">
        <f t="shared" si="218"/>
        <v>2040</v>
      </c>
      <c r="AS309" s="325">
        <f t="shared" si="218"/>
        <v>2041</v>
      </c>
      <c r="AT309" s="325">
        <f t="shared" si="218"/>
        <v>2042</v>
      </c>
      <c r="AU309" s="325">
        <f t="shared" si="218"/>
        <v>2043</v>
      </c>
    </row>
    <row r="310" spans="1:47">
      <c r="E310" s="325"/>
      <c r="G310" s="39"/>
      <c r="H310" s="39"/>
      <c r="I310" s="39"/>
      <c r="J310" s="39"/>
      <c r="K310" s="39"/>
    </row>
    <row r="311" spans="1:47">
      <c r="E311" s="325"/>
      <c r="G311" s="39" t="s">
        <v>23</v>
      </c>
      <c r="H311" s="39"/>
      <c r="I311" s="39"/>
      <c r="J311" s="39"/>
      <c r="K311" s="39"/>
    </row>
    <row r="312" spans="1:47">
      <c r="A312" s="38" t="str">
        <f t="shared" ref="A312:A319" si="219">$J$4&amp;"-"</f>
        <v>1Y-</v>
      </c>
      <c r="B312" s="38" t="s">
        <v>262</v>
      </c>
      <c r="C312" s="38" t="str">
        <f>C306</f>
        <v>FOG Receiving</v>
      </c>
      <c r="D312" s="186">
        <f>LaborEsc</f>
        <v>0.02</v>
      </c>
      <c r="E312" s="325"/>
      <c r="G312" s="36" t="s">
        <v>125</v>
      </c>
      <c r="I312" s="39"/>
      <c r="K312" s="39"/>
      <c r="L312" s="43" t="s">
        <v>266</v>
      </c>
      <c r="N312" s="70">
        <f ca="1">SUMIFS(OFFSET(Assumptions!$I$90,0,MATCH($A312,Configurations,0)-1,COUNT(Assumptions!$A$90:$A$183),1),Assumptions!$D$90:$D$183,$B312&amp;$C312)</f>
        <v>0</v>
      </c>
      <c r="O312" s="313"/>
      <c r="P312" s="323"/>
      <c r="Q312" s="313"/>
      <c r="R312" s="50">
        <f t="shared" ref="R312:AU312" ca="1" si="220">IF(OR(R$99&lt;InServiceYr,R$99&gt;(InServiceYr+analysis_period-1)),0,IF($P312=0,$N312,$P312)*LaborCost*(1+$D312)^(R$99-CostBaseYr))</f>
        <v>0</v>
      </c>
      <c r="S312" s="50">
        <f t="shared" ca="1" si="220"/>
        <v>0</v>
      </c>
      <c r="T312" s="50">
        <f t="shared" ca="1" si="220"/>
        <v>0</v>
      </c>
      <c r="U312" s="50">
        <f t="shared" ca="1" si="220"/>
        <v>0</v>
      </c>
      <c r="V312" s="50">
        <f t="shared" ca="1" si="220"/>
        <v>0</v>
      </c>
      <c r="W312" s="50">
        <f t="shared" ca="1" si="220"/>
        <v>0</v>
      </c>
      <c r="X312" s="50">
        <f t="shared" ca="1" si="220"/>
        <v>0</v>
      </c>
      <c r="Y312" s="50">
        <f t="shared" ca="1" si="220"/>
        <v>0</v>
      </c>
      <c r="Z312" s="50">
        <f t="shared" ca="1" si="220"/>
        <v>0</v>
      </c>
      <c r="AA312" s="50">
        <f t="shared" ca="1" si="220"/>
        <v>0</v>
      </c>
      <c r="AB312" s="50">
        <f t="shared" ca="1" si="220"/>
        <v>0</v>
      </c>
      <c r="AC312" s="50">
        <f t="shared" ca="1" si="220"/>
        <v>0</v>
      </c>
      <c r="AD312" s="50">
        <f t="shared" ca="1" si="220"/>
        <v>0</v>
      </c>
      <c r="AE312" s="50">
        <f t="shared" ca="1" si="220"/>
        <v>0</v>
      </c>
      <c r="AF312" s="50">
        <f t="shared" ca="1" si="220"/>
        <v>0</v>
      </c>
      <c r="AG312" s="50">
        <f t="shared" ca="1" si="220"/>
        <v>0</v>
      </c>
      <c r="AH312" s="50">
        <f t="shared" ca="1" si="220"/>
        <v>0</v>
      </c>
      <c r="AI312" s="50">
        <f t="shared" ca="1" si="220"/>
        <v>0</v>
      </c>
      <c r="AJ312" s="50">
        <f t="shared" ca="1" si="220"/>
        <v>0</v>
      </c>
      <c r="AK312" s="50">
        <f t="shared" ca="1" si="220"/>
        <v>0</v>
      </c>
      <c r="AL312" s="50">
        <f t="shared" si="220"/>
        <v>0</v>
      </c>
      <c r="AM312" s="50">
        <f t="shared" si="220"/>
        <v>0</v>
      </c>
      <c r="AN312" s="50">
        <f t="shared" si="220"/>
        <v>0</v>
      </c>
      <c r="AO312" s="50">
        <f t="shared" si="220"/>
        <v>0</v>
      </c>
      <c r="AP312" s="50">
        <f t="shared" si="220"/>
        <v>0</v>
      </c>
      <c r="AQ312" s="50">
        <f t="shared" si="220"/>
        <v>0</v>
      </c>
      <c r="AR312" s="50">
        <f t="shared" si="220"/>
        <v>0</v>
      </c>
      <c r="AS312" s="50">
        <f t="shared" si="220"/>
        <v>0</v>
      </c>
      <c r="AT312" s="50">
        <f t="shared" si="220"/>
        <v>0</v>
      </c>
      <c r="AU312" s="50">
        <f t="shared" si="220"/>
        <v>0</v>
      </c>
    </row>
    <row r="313" spans="1:47">
      <c r="A313" s="38" t="str">
        <f t="shared" si="219"/>
        <v>1Y-</v>
      </c>
      <c r="B313" s="38" t="s">
        <v>270</v>
      </c>
      <c r="C313" s="38" t="str">
        <f>C312</f>
        <v>FOG Receiving</v>
      </c>
      <c r="D313" s="186">
        <f>OMEsc</f>
        <v>0.02</v>
      </c>
      <c r="E313" s="325"/>
      <c r="G313" s="36" t="s">
        <v>126</v>
      </c>
      <c r="I313" s="39"/>
      <c r="K313" s="39"/>
      <c r="L313" s="43" t="str">
        <f>"["&amp;CostBaseYr&amp;" $]"</f>
        <v>[2013 $]</v>
      </c>
      <c r="N313" s="70">
        <f ca="1">SUMIFS(OFFSET(Assumptions!$I$90,0,MATCH($A313,Configurations,0)-1,COUNT(Assumptions!$A$90:$A$183),1),Assumptions!$D$90:$D$183,$B313&amp;$C313)</f>
        <v>0</v>
      </c>
      <c r="O313" s="313"/>
      <c r="P313" s="323"/>
      <c r="Q313" s="313"/>
      <c r="R313" s="50">
        <f t="shared" ref="R313:AG315" ca="1" si="221">IF(OR(R$99&lt;InServiceYr,R$99&gt;(InServiceYr+analysis_period-1)),0,IF($P313=0,$N313,$P313)*(1+$D313)^(R$99-CostBaseYr))</f>
        <v>0</v>
      </c>
      <c r="S313" s="50">
        <f t="shared" ca="1" si="221"/>
        <v>0</v>
      </c>
      <c r="T313" s="50">
        <f t="shared" ca="1" si="221"/>
        <v>0</v>
      </c>
      <c r="U313" s="50">
        <f t="shared" ca="1" si="221"/>
        <v>0</v>
      </c>
      <c r="V313" s="50">
        <f t="shared" ca="1" si="221"/>
        <v>0</v>
      </c>
      <c r="W313" s="50">
        <f t="shared" ca="1" si="221"/>
        <v>0</v>
      </c>
      <c r="X313" s="50">
        <f t="shared" ca="1" si="221"/>
        <v>0</v>
      </c>
      <c r="Y313" s="50">
        <f t="shared" ca="1" si="221"/>
        <v>0</v>
      </c>
      <c r="Z313" s="50">
        <f t="shared" ca="1" si="221"/>
        <v>0</v>
      </c>
      <c r="AA313" s="50">
        <f t="shared" ca="1" si="221"/>
        <v>0</v>
      </c>
      <c r="AB313" s="50">
        <f t="shared" ca="1" si="221"/>
        <v>0</v>
      </c>
      <c r="AC313" s="50">
        <f t="shared" ca="1" si="221"/>
        <v>0</v>
      </c>
      <c r="AD313" s="50">
        <f t="shared" ca="1" si="221"/>
        <v>0</v>
      </c>
      <c r="AE313" s="50">
        <f t="shared" ca="1" si="221"/>
        <v>0</v>
      </c>
      <c r="AF313" s="50">
        <f t="shared" ca="1" si="221"/>
        <v>0</v>
      </c>
      <c r="AG313" s="50">
        <f t="shared" ca="1" si="221"/>
        <v>0</v>
      </c>
      <c r="AH313" s="50">
        <f t="shared" ref="S313:AU315" ca="1" si="222">IF(OR(AH$99&lt;InServiceYr,AH$99&gt;(InServiceYr+analysis_period-1)),0,IF($P313=0,$N313,$P313)*(1+$D313)^(AH$99-CostBaseYr))</f>
        <v>0</v>
      </c>
      <c r="AI313" s="50">
        <f t="shared" ca="1" si="222"/>
        <v>0</v>
      </c>
      <c r="AJ313" s="50">
        <f t="shared" ca="1" si="222"/>
        <v>0</v>
      </c>
      <c r="AK313" s="50">
        <f t="shared" ca="1" si="222"/>
        <v>0</v>
      </c>
      <c r="AL313" s="50">
        <f t="shared" si="222"/>
        <v>0</v>
      </c>
      <c r="AM313" s="50">
        <f t="shared" si="222"/>
        <v>0</v>
      </c>
      <c r="AN313" s="50">
        <f t="shared" si="222"/>
        <v>0</v>
      </c>
      <c r="AO313" s="50">
        <f t="shared" si="222"/>
        <v>0</v>
      </c>
      <c r="AP313" s="50">
        <f t="shared" si="222"/>
        <v>0</v>
      </c>
      <c r="AQ313" s="50">
        <f t="shared" si="222"/>
        <v>0</v>
      </c>
      <c r="AR313" s="50">
        <f t="shared" si="222"/>
        <v>0</v>
      </c>
      <c r="AS313" s="50">
        <f t="shared" si="222"/>
        <v>0</v>
      </c>
      <c r="AT313" s="50">
        <f t="shared" si="222"/>
        <v>0</v>
      </c>
      <c r="AU313" s="50">
        <f t="shared" si="222"/>
        <v>0</v>
      </c>
    </row>
    <row r="314" spans="1:47">
      <c r="A314" s="38" t="str">
        <f t="shared" si="219"/>
        <v>1Y-</v>
      </c>
      <c r="B314" s="38" t="s">
        <v>263</v>
      </c>
      <c r="C314" s="38" t="str">
        <f t="shared" ref="C314:C318" si="223">C313</f>
        <v>FOG Receiving</v>
      </c>
      <c r="D314" s="186">
        <f>OMEsc</f>
        <v>0.02</v>
      </c>
      <c r="E314" s="325"/>
      <c r="G314" s="36" t="s">
        <v>127</v>
      </c>
      <c r="I314" s="39"/>
      <c r="K314" s="39"/>
      <c r="L314" s="43" t="str">
        <f>"["&amp;CostBaseYr&amp;" $]"</f>
        <v>[2013 $]</v>
      </c>
      <c r="N314" s="70">
        <f ca="1">SUMIFS(OFFSET(Assumptions!$I$90,0,MATCH($A314,Configurations,0)-1,COUNT(Assumptions!$A$90:$A$183),1),Assumptions!$D$90:$D$183,$B314&amp;$C314)</f>
        <v>0</v>
      </c>
      <c r="O314" s="313"/>
      <c r="P314" s="323"/>
      <c r="Q314" s="313"/>
      <c r="R314" s="50">
        <f t="shared" ca="1" si="221"/>
        <v>0</v>
      </c>
      <c r="S314" s="50">
        <f t="shared" ca="1" si="222"/>
        <v>0</v>
      </c>
      <c r="T314" s="50">
        <f t="shared" ca="1" si="222"/>
        <v>0</v>
      </c>
      <c r="U314" s="50">
        <f t="shared" ca="1" si="222"/>
        <v>0</v>
      </c>
      <c r="V314" s="50">
        <f t="shared" ca="1" si="222"/>
        <v>0</v>
      </c>
      <c r="W314" s="50">
        <f t="shared" ca="1" si="222"/>
        <v>0</v>
      </c>
      <c r="X314" s="50">
        <f t="shared" ca="1" si="222"/>
        <v>0</v>
      </c>
      <c r="Y314" s="50">
        <f t="shared" ca="1" si="222"/>
        <v>0</v>
      </c>
      <c r="Z314" s="50">
        <f t="shared" ca="1" si="222"/>
        <v>0</v>
      </c>
      <c r="AA314" s="50">
        <f t="shared" ca="1" si="222"/>
        <v>0</v>
      </c>
      <c r="AB314" s="50">
        <f t="shared" ca="1" si="222"/>
        <v>0</v>
      </c>
      <c r="AC314" s="50">
        <f t="shared" ca="1" si="222"/>
        <v>0</v>
      </c>
      <c r="AD314" s="50">
        <f t="shared" ca="1" si="222"/>
        <v>0</v>
      </c>
      <c r="AE314" s="50">
        <f t="shared" ca="1" si="222"/>
        <v>0</v>
      </c>
      <c r="AF314" s="50">
        <f t="shared" ca="1" si="222"/>
        <v>0</v>
      </c>
      <c r="AG314" s="50">
        <f t="shared" ca="1" si="222"/>
        <v>0</v>
      </c>
      <c r="AH314" s="50">
        <f t="shared" ca="1" si="222"/>
        <v>0</v>
      </c>
      <c r="AI314" s="50">
        <f t="shared" ca="1" si="222"/>
        <v>0</v>
      </c>
      <c r="AJ314" s="50">
        <f t="shared" ca="1" si="222"/>
        <v>0</v>
      </c>
      <c r="AK314" s="50">
        <f t="shared" ca="1" si="222"/>
        <v>0</v>
      </c>
      <c r="AL314" s="50">
        <f t="shared" si="222"/>
        <v>0</v>
      </c>
      <c r="AM314" s="50">
        <f t="shared" si="222"/>
        <v>0</v>
      </c>
      <c r="AN314" s="50">
        <f t="shared" si="222"/>
        <v>0</v>
      </c>
      <c r="AO314" s="50">
        <f t="shared" si="222"/>
        <v>0</v>
      </c>
      <c r="AP314" s="50">
        <f t="shared" si="222"/>
        <v>0</v>
      </c>
      <c r="AQ314" s="50">
        <f t="shared" si="222"/>
        <v>0</v>
      </c>
      <c r="AR314" s="50">
        <f t="shared" si="222"/>
        <v>0</v>
      </c>
      <c r="AS314" s="50">
        <f t="shared" si="222"/>
        <v>0</v>
      </c>
      <c r="AT314" s="50">
        <f t="shared" si="222"/>
        <v>0</v>
      </c>
      <c r="AU314" s="50">
        <f t="shared" si="222"/>
        <v>0</v>
      </c>
    </row>
    <row r="315" spans="1:47">
      <c r="A315" s="38" t="str">
        <f t="shared" si="219"/>
        <v>1Y-</v>
      </c>
      <c r="B315" s="38" t="s">
        <v>277</v>
      </c>
      <c r="C315" s="38" t="str">
        <f t="shared" si="223"/>
        <v>FOG Receiving</v>
      </c>
      <c r="D315" s="186">
        <f>OMEsc</f>
        <v>0.02</v>
      </c>
      <c r="E315" s="325"/>
      <c r="G315" s="36" t="s">
        <v>276</v>
      </c>
      <c r="I315" s="39"/>
      <c r="K315" s="39"/>
      <c r="L315" s="43" t="str">
        <f>"["&amp;CostBaseYr&amp;" $]"</f>
        <v>[2013 $]</v>
      </c>
      <c r="N315" s="70">
        <f ca="1">SUMIFS(OFFSET(Assumptions!$I$90,0,MATCH($A315,Configurations,0)-1,COUNT(Assumptions!$A$90:$A$183),1),Assumptions!$D$90:$D$183,$B315&amp;$C315)</f>
        <v>0</v>
      </c>
      <c r="O315" s="313"/>
      <c r="P315" s="323"/>
      <c r="Q315" s="313"/>
      <c r="R315" s="50">
        <f t="shared" ca="1" si="221"/>
        <v>0</v>
      </c>
      <c r="S315" s="50">
        <f t="shared" ca="1" si="222"/>
        <v>0</v>
      </c>
      <c r="T315" s="50">
        <f t="shared" ca="1" si="222"/>
        <v>0</v>
      </c>
      <c r="U315" s="50">
        <f t="shared" ca="1" si="222"/>
        <v>0</v>
      </c>
      <c r="V315" s="50">
        <f t="shared" ca="1" si="222"/>
        <v>0</v>
      </c>
      <c r="W315" s="50">
        <f t="shared" ca="1" si="222"/>
        <v>0</v>
      </c>
      <c r="X315" s="50">
        <f t="shared" ca="1" si="222"/>
        <v>0</v>
      </c>
      <c r="Y315" s="50">
        <f t="shared" ca="1" si="222"/>
        <v>0</v>
      </c>
      <c r="Z315" s="50">
        <f t="shared" ca="1" si="222"/>
        <v>0</v>
      </c>
      <c r="AA315" s="50">
        <f t="shared" ca="1" si="222"/>
        <v>0</v>
      </c>
      <c r="AB315" s="50">
        <f t="shared" ca="1" si="222"/>
        <v>0</v>
      </c>
      <c r="AC315" s="50">
        <f t="shared" ca="1" si="222"/>
        <v>0</v>
      </c>
      <c r="AD315" s="50">
        <f t="shared" ca="1" si="222"/>
        <v>0</v>
      </c>
      <c r="AE315" s="50">
        <f t="shared" ca="1" si="222"/>
        <v>0</v>
      </c>
      <c r="AF315" s="50">
        <f t="shared" ca="1" si="222"/>
        <v>0</v>
      </c>
      <c r="AG315" s="50">
        <f t="shared" ca="1" si="222"/>
        <v>0</v>
      </c>
      <c r="AH315" s="50">
        <f t="shared" ca="1" si="222"/>
        <v>0</v>
      </c>
      <c r="AI315" s="50">
        <f t="shared" ca="1" si="222"/>
        <v>0</v>
      </c>
      <c r="AJ315" s="50">
        <f t="shared" ca="1" si="222"/>
        <v>0</v>
      </c>
      <c r="AK315" s="50">
        <f t="shared" ca="1" si="222"/>
        <v>0</v>
      </c>
      <c r="AL315" s="50">
        <f t="shared" si="222"/>
        <v>0</v>
      </c>
      <c r="AM315" s="50">
        <f t="shared" si="222"/>
        <v>0</v>
      </c>
      <c r="AN315" s="50">
        <f t="shared" si="222"/>
        <v>0</v>
      </c>
      <c r="AO315" s="50">
        <f t="shared" si="222"/>
        <v>0</v>
      </c>
      <c r="AP315" s="50">
        <f t="shared" si="222"/>
        <v>0</v>
      </c>
      <c r="AQ315" s="50">
        <f t="shared" si="222"/>
        <v>0</v>
      </c>
      <c r="AR315" s="50">
        <f t="shared" si="222"/>
        <v>0</v>
      </c>
      <c r="AS315" s="50">
        <f t="shared" si="222"/>
        <v>0</v>
      </c>
      <c r="AT315" s="50">
        <f t="shared" si="222"/>
        <v>0</v>
      </c>
      <c r="AU315" s="50">
        <f t="shared" si="222"/>
        <v>0</v>
      </c>
    </row>
    <row r="316" spans="1:47">
      <c r="A316" s="38" t="str">
        <f t="shared" si="219"/>
        <v>1Y-</v>
      </c>
      <c r="B316" s="38" t="s">
        <v>274</v>
      </c>
      <c r="C316" s="38" t="str">
        <f t="shared" si="223"/>
        <v>FOG Receiving</v>
      </c>
      <c r="D316" s="186"/>
      <c r="E316" s="325"/>
      <c r="G316" s="36" t="s">
        <v>16</v>
      </c>
      <c r="I316" s="39"/>
      <c r="K316" s="39"/>
      <c r="L316" s="43" t="s">
        <v>275</v>
      </c>
      <c r="N316" s="70">
        <f ca="1">SUMIFS(OFFSET(Assumptions!$I$90,0,MATCH($A316,Configurations,0)-1,COUNT(Assumptions!$A$90:$A$183),1),Assumptions!$D$90:$D$183,$B316&amp;$C316)</f>
        <v>0</v>
      </c>
      <c r="O316" s="313"/>
      <c r="P316" s="323"/>
      <c r="Q316" s="313"/>
      <c r="R316" s="50">
        <f t="shared" ref="R316:AU316" ca="1" si="224">IF(OR(R$99&lt;InServiceYr,R$99&gt;(InServiceYr+analysis_period-1)),0,IF($P316=0,$N316,$P316)*R$505)</f>
        <v>0</v>
      </c>
      <c r="S316" s="50">
        <f t="shared" ca="1" si="224"/>
        <v>0</v>
      </c>
      <c r="T316" s="50">
        <f t="shared" ca="1" si="224"/>
        <v>0</v>
      </c>
      <c r="U316" s="50">
        <f t="shared" ca="1" si="224"/>
        <v>0</v>
      </c>
      <c r="V316" s="50">
        <f t="shared" ca="1" si="224"/>
        <v>0</v>
      </c>
      <c r="W316" s="50">
        <f t="shared" ca="1" si="224"/>
        <v>0</v>
      </c>
      <c r="X316" s="50">
        <f t="shared" ca="1" si="224"/>
        <v>0</v>
      </c>
      <c r="Y316" s="50">
        <f t="shared" ca="1" si="224"/>
        <v>0</v>
      </c>
      <c r="Z316" s="50">
        <f t="shared" ca="1" si="224"/>
        <v>0</v>
      </c>
      <c r="AA316" s="50">
        <f t="shared" ca="1" si="224"/>
        <v>0</v>
      </c>
      <c r="AB316" s="50">
        <f t="shared" ca="1" si="224"/>
        <v>0</v>
      </c>
      <c r="AC316" s="50">
        <f t="shared" ca="1" si="224"/>
        <v>0</v>
      </c>
      <c r="AD316" s="50">
        <f t="shared" ca="1" si="224"/>
        <v>0</v>
      </c>
      <c r="AE316" s="50">
        <f t="shared" ca="1" si="224"/>
        <v>0</v>
      </c>
      <c r="AF316" s="50">
        <f t="shared" ca="1" si="224"/>
        <v>0</v>
      </c>
      <c r="AG316" s="50">
        <f t="shared" ca="1" si="224"/>
        <v>0</v>
      </c>
      <c r="AH316" s="50">
        <f t="shared" ca="1" si="224"/>
        <v>0</v>
      </c>
      <c r="AI316" s="50">
        <f t="shared" ca="1" si="224"/>
        <v>0</v>
      </c>
      <c r="AJ316" s="50">
        <f t="shared" ca="1" si="224"/>
        <v>0</v>
      </c>
      <c r="AK316" s="50">
        <f t="shared" ca="1" si="224"/>
        <v>0</v>
      </c>
      <c r="AL316" s="50">
        <f t="shared" si="224"/>
        <v>0</v>
      </c>
      <c r="AM316" s="50">
        <f t="shared" si="224"/>
        <v>0</v>
      </c>
      <c r="AN316" s="50">
        <f t="shared" si="224"/>
        <v>0</v>
      </c>
      <c r="AO316" s="50">
        <f t="shared" si="224"/>
        <v>0</v>
      </c>
      <c r="AP316" s="50">
        <f t="shared" si="224"/>
        <v>0</v>
      </c>
      <c r="AQ316" s="50">
        <f t="shared" si="224"/>
        <v>0</v>
      </c>
      <c r="AR316" s="50">
        <f t="shared" si="224"/>
        <v>0</v>
      </c>
      <c r="AS316" s="50">
        <f t="shared" si="224"/>
        <v>0</v>
      </c>
      <c r="AT316" s="50">
        <f t="shared" si="224"/>
        <v>0</v>
      </c>
      <c r="AU316" s="50">
        <f t="shared" si="224"/>
        <v>0</v>
      </c>
    </row>
    <row r="317" spans="1:47">
      <c r="A317" s="38" t="str">
        <f t="shared" si="219"/>
        <v>1Y-</v>
      </c>
      <c r="B317" s="38" t="s">
        <v>257</v>
      </c>
      <c r="C317" s="38" t="str">
        <f t="shared" si="223"/>
        <v>FOG Receiving</v>
      </c>
      <c r="D317" s="186"/>
      <c r="E317" s="325"/>
      <c r="G317" s="36" t="s">
        <v>284</v>
      </c>
      <c r="I317" s="39"/>
      <c r="K317" s="39"/>
      <c r="L317" s="43" t="s">
        <v>293</v>
      </c>
      <c r="N317" s="70">
        <f ca="1">SUMIFS(OFFSET(Assumptions!$I$90,0,MATCH($A317,Configurations,0)-1,COUNT(Assumptions!$A$90:$A$183),1),Assumptions!$D$90:$D$183,$B317&amp;$C317)</f>
        <v>0</v>
      </c>
      <c r="O317" s="313"/>
      <c r="P317" s="323"/>
      <c r="Q317" s="313"/>
      <c r="R317" s="50">
        <f t="shared" ref="R317:AU317" ca="1" si="225">IF(OR(R$99&lt;InServiceYr,R$99&gt;(InServiceYr+analysis_period-1)),0,IF($P317=0,$N317,$P317)*R$501)</f>
        <v>0</v>
      </c>
      <c r="S317" s="50">
        <f t="shared" ca="1" si="225"/>
        <v>0</v>
      </c>
      <c r="T317" s="50">
        <f t="shared" ca="1" si="225"/>
        <v>0</v>
      </c>
      <c r="U317" s="50">
        <f t="shared" ca="1" si="225"/>
        <v>0</v>
      </c>
      <c r="V317" s="50">
        <f t="shared" ca="1" si="225"/>
        <v>0</v>
      </c>
      <c r="W317" s="50">
        <f t="shared" ca="1" si="225"/>
        <v>0</v>
      </c>
      <c r="X317" s="50">
        <f t="shared" ca="1" si="225"/>
        <v>0</v>
      </c>
      <c r="Y317" s="50">
        <f t="shared" ca="1" si="225"/>
        <v>0</v>
      </c>
      <c r="Z317" s="50">
        <f t="shared" ca="1" si="225"/>
        <v>0</v>
      </c>
      <c r="AA317" s="50">
        <f t="shared" ca="1" si="225"/>
        <v>0</v>
      </c>
      <c r="AB317" s="50">
        <f t="shared" ca="1" si="225"/>
        <v>0</v>
      </c>
      <c r="AC317" s="50">
        <f t="shared" ca="1" si="225"/>
        <v>0</v>
      </c>
      <c r="AD317" s="50">
        <f t="shared" ca="1" si="225"/>
        <v>0</v>
      </c>
      <c r="AE317" s="50">
        <f t="shared" ca="1" si="225"/>
        <v>0</v>
      </c>
      <c r="AF317" s="50">
        <f t="shared" ca="1" si="225"/>
        <v>0</v>
      </c>
      <c r="AG317" s="50">
        <f t="shared" ca="1" si="225"/>
        <v>0</v>
      </c>
      <c r="AH317" s="50">
        <f t="shared" ca="1" si="225"/>
        <v>0</v>
      </c>
      <c r="AI317" s="50">
        <f t="shared" ca="1" si="225"/>
        <v>0</v>
      </c>
      <c r="AJ317" s="50">
        <f t="shared" ca="1" si="225"/>
        <v>0</v>
      </c>
      <c r="AK317" s="50">
        <f t="shared" ca="1" si="225"/>
        <v>0</v>
      </c>
      <c r="AL317" s="50">
        <f t="shared" si="225"/>
        <v>0</v>
      </c>
      <c r="AM317" s="50">
        <f t="shared" si="225"/>
        <v>0</v>
      </c>
      <c r="AN317" s="50">
        <f t="shared" si="225"/>
        <v>0</v>
      </c>
      <c r="AO317" s="50">
        <f t="shared" si="225"/>
        <v>0</v>
      </c>
      <c r="AP317" s="50">
        <f t="shared" si="225"/>
        <v>0</v>
      </c>
      <c r="AQ317" s="50">
        <f t="shared" si="225"/>
        <v>0</v>
      </c>
      <c r="AR317" s="50">
        <f t="shared" si="225"/>
        <v>0</v>
      </c>
      <c r="AS317" s="50">
        <f t="shared" si="225"/>
        <v>0</v>
      </c>
      <c r="AT317" s="50">
        <f t="shared" si="225"/>
        <v>0</v>
      </c>
      <c r="AU317" s="50">
        <f t="shared" si="225"/>
        <v>0</v>
      </c>
    </row>
    <row r="318" spans="1:47">
      <c r="A318" s="38" t="str">
        <f t="shared" si="219"/>
        <v>1Y-</v>
      </c>
      <c r="B318" s="38" t="s">
        <v>864</v>
      </c>
      <c r="C318" s="38" t="str">
        <f t="shared" si="223"/>
        <v>FOG Receiving</v>
      </c>
      <c r="D318" s="186">
        <f>GHGEsc</f>
        <v>0.02</v>
      </c>
      <c r="E318" s="325"/>
      <c r="G318" s="36" t="s">
        <v>865</v>
      </c>
      <c r="I318" s="39"/>
      <c r="K318" s="39"/>
      <c r="L318" s="43" t="s">
        <v>866</v>
      </c>
      <c r="N318" s="70">
        <f ca="1">SUMIFS(OFFSET(Assumptions!$I$90,0,MATCH($A318,Configurations,0)-1,COUNT(Assumptions!$A$90:$A$183),1),Assumptions!$D$90:$D$183,$B318&amp;$C318)</f>
        <v>0</v>
      </c>
      <c r="O318" s="313"/>
      <c r="P318" s="323"/>
      <c r="Q318" s="313"/>
      <c r="R318" s="50">
        <f t="shared" ref="R318:AU318" ca="1" si="226">IF(OR(R$99&lt;InServiceYr,R$99&gt;(InServiceYr+analysis_period-1)),0,IF($P318=0,$N318,$P318)*R$513)</f>
        <v>0</v>
      </c>
      <c r="S318" s="50">
        <f t="shared" ca="1" si="226"/>
        <v>0</v>
      </c>
      <c r="T318" s="50">
        <f t="shared" ca="1" si="226"/>
        <v>0</v>
      </c>
      <c r="U318" s="50">
        <f t="shared" ca="1" si="226"/>
        <v>0</v>
      </c>
      <c r="V318" s="50">
        <f t="shared" ca="1" si="226"/>
        <v>0</v>
      </c>
      <c r="W318" s="50">
        <f t="shared" ca="1" si="226"/>
        <v>0</v>
      </c>
      <c r="X318" s="50">
        <f t="shared" ca="1" si="226"/>
        <v>0</v>
      </c>
      <c r="Y318" s="50">
        <f t="shared" ca="1" si="226"/>
        <v>0</v>
      </c>
      <c r="Z318" s="50">
        <f t="shared" ca="1" si="226"/>
        <v>0</v>
      </c>
      <c r="AA318" s="50">
        <f t="shared" ca="1" si="226"/>
        <v>0</v>
      </c>
      <c r="AB318" s="50">
        <f t="shared" ca="1" si="226"/>
        <v>0</v>
      </c>
      <c r="AC318" s="50">
        <f t="shared" ca="1" si="226"/>
        <v>0</v>
      </c>
      <c r="AD318" s="50">
        <f t="shared" ca="1" si="226"/>
        <v>0</v>
      </c>
      <c r="AE318" s="50">
        <f t="shared" ca="1" si="226"/>
        <v>0</v>
      </c>
      <c r="AF318" s="50">
        <f t="shared" ca="1" si="226"/>
        <v>0</v>
      </c>
      <c r="AG318" s="50">
        <f t="shared" ca="1" si="226"/>
        <v>0</v>
      </c>
      <c r="AH318" s="50">
        <f t="shared" ca="1" si="226"/>
        <v>0</v>
      </c>
      <c r="AI318" s="50">
        <f t="shared" ca="1" si="226"/>
        <v>0</v>
      </c>
      <c r="AJ318" s="50">
        <f t="shared" ca="1" si="226"/>
        <v>0</v>
      </c>
      <c r="AK318" s="50">
        <f t="shared" ca="1" si="226"/>
        <v>0</v>
      </c>
      <c r="AL318" s="50">
        <f t="shared" si="226"/>
        <v>0</v>
      </c>
      <c r="AM318" s="50">
        <f t="shared" si="226"/>
        <v>0</v>
      </c>
      <c r="AN318" s="50">
        <f t="shared" si="226"/>
        <v>0</v>
      </c>
      <c r="AO318" s="50">
        <f t="shared" si="226"/>
        <v>0</v>
      </c>
      <c r="AP318" s="50">
        <f t="shared" si="226"/>
        <v>0</v>
      </c>
      <c r="AQ318" s="50">
        <f t="shared" si="226"/>
        <v>0</v>
      </c>
      <c r="AR318" s="50">
        <f t="shared" si="226"/>
        <v>0</v>
      </c>
      <c r="AS318" s="50">
        <f t="shared" si="226"/>
        <v>0</v>
      </c>
      <c r="AT318" s="50">
        <f t="shared" si="226"/>
        <v>0</v>
      </c>
      <c r="AU318" s="50">
        <f t="shared" si="226"/>
        <v>0</v>
      </c>
    </row>
    <row r="319" spans="1:47">
      <c r="A319" s="38" t="str">
        <f t="shared" si="219"/>
        <v>1Y-</v>
      </c>
      <c r="B319" s="38" t="s">
        <v>273</v>
      </c>
      <c r="C319" s="38" t="str">
        <f>C317</f>
        <v>FOG Receiving</v>
      </c>
      <c r="D319" s="186">
        <f>LaborEsc</f>
        <v>0.02</v>
      </c>
      <c r="E319" s="325"/>
      <c r="G319" s="36" t="s">
        <v>291</v>
      </c>
      <c r="I319" s="39"/>
      <c r="K319" s="39"/>
      <c r="L319" s="43" t="str">
        <f>"["&amp;CostBaseYr&amp;" $]"</f>
        <v>[2013 $]</v>
      </c>
      <c r="N319" s="70">
        <f ca="1">SUMIFS(OFFSET(Assumptions!$I$90,0,MATCH($A319,Configurations,0)-1,COUNT(Assumptions!$A$90:$A$183),1),Assumptions!$D$90:$D$183,$B319&amp;$C319)</f>
        <v>0</v>
      </c>
      <c r="O319" s="313"/>
      <c r="P319" s="323"/>
      <c r="Q319" s="313"/>
      <c r="R319" s="50">
        <f t="shared" ref="R319:AU319" ca="1" si="227">IF(OR(R$99&lt;InServiceYr,R$99&gt;(InServiceYr+analysis_period-1)),0,IF($P319=0,$N319,$P319)*(1+$D319)^(R$99-CostBaseYr))*R$509</f>
        <v>0</v>
      </c>
      <c r="S319" s="50">
        <f t="shared" ca="1" si="227"/>
        <v>0</v>
      </c>
      <c r="T319" s="50">
        <f t="shared" ca="1" si="227"/>
        <v>0</v>
      </c>
      <c r="U319" s="50">
        <f t="shared" ca="1" si="227"/>
        <v>0</v>
      </c>
      <c r="V319" s="50">
        <f t="shared" ca="1" si="227"/>
        <v>0</v>
      </c>
      <c r="W319" s="50">
        <f t="shared" ca="1" si="227"/>
        <v>0</v>
      </c>
      <c r="X319" s="50">
        <f t="shared" ca="1" si="227"/>
        <v>0</v>
      </c>
      <c r="Y319" s="50">
        <f t="shared" ca="1" si="227"/>
        <v>0</v>
      </c>
      <c r="Z319" s="50">
        <f t="shared" ca="1" si="227"/>
        <v>0</v>
      </c>
      <c r="AA319" s="50">
        <f t="shared" ca="1" si="227"/>
        <v>0</v>
      </c>
      <c r="AB319" s="50">
        <f t="shared" ca="1" si="227"/>
        <v>0</v>
      </c>
      <c r="AC319" s="50">
        <f t="shared" ca="1" si="227"/>
        <v>0</v>
      </c>
      <c r="AD319" s="50">
        <f t="shared" ca="1" si="227"/>
        <v>0</v>
      </c>
      <c r="AE319" s="50">
        <f t="shared" ca="1" si="227"/>
        <v>0</v>
      </c>
      <c r="AF319" s="50">
        <f t="shared" ca="1" si="227"/>
        <v>0</v>
      </c>
      <c r="AG319" s="50">
        <f t="shared" ca="1" si="227"/>
        <v>0</v>
      </c>
      <c r="AH319" s="50">
        <f t="shared" ca="1" si="227"/>
        <v>0</v>
      </c>
      <c r="AI319" s="50">
        <f t="shared" ca="1" si="227"/>
        <v>0</v>
      </c>
      <c r="AJ319" s="50">
        <f t="shared" ca="1" si="227"/>
        <v>0</v>
      </c>
      <c r="AK319" s="50">
        <f t="shared" ca="1" si="227"/>
        <v>0</v>
      </c>
      <c r="AL319" s="50">
        <f t="shared" si="227"/>
        <v>0</v>
      </c>
      <c r="AM319" s="50">
        <f t="shared" si="227"/>
        <v>0</v>
      </c>
      <c r="AN319" s="50">
        <f t="shared" si="227"/>
        <v>0</v>
      </c>
      <c r="AO319" s="50">
        <f t="shared" si="227"/>
        <v>0</v>
      </c>
      <c r="AP319" s="50">
        <f t="shared" si="227"/>
        <v>0</v>
      </c>
      <c r="AQ319" s="50">
        <f t="shared" si="227"/>
        <v>0</v>
      </c>
      <c r="AR319" s="50">
        <f t="shared" si="227"/>
        <v>0</v>
      </c>
      <c r="AS319" s="50">
        <f t="shared" si="227"/>
        <v>0</v>
      </c>
      <c r="AT319" s="50">
        <f t="shared" si="227"/>
        <v>0</v>
      </c>
      <c r="AU319" s="50">
        <f t="shared" si="227"/>
        <v>0</v>
      </c>
    </row>
    <row r="320" spans="1:47">
      <c r="D320" s="186"/>
      <c r="E320" s="325"/>
      <c r="G320" s="39" t="s">
        <v>304</v>
      </c>
      <c r="I320" s="39"/>
      <c r="K320" s="39"/>
      <c r="L320" s="43"/>
      <c r="N320" s="70"/>
      <c r="O320" s="313"/>
      <c r="P320" s="70"/>
      <c r="Q320" s="313"/>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row>
    <row r="321" spans="1:47">
      <c r="A321" s="38" t="str">
        <f>$J$4&amp;"-"</f>
        <v>1Y-</v>
      </c>
      <c r="B321" s="38" t="s">
        <v>265</v>
      </c>
      <c r="C321" s="38" t="str">
        <f>C312</f>
        <v>FOG Receiving</v>
      </c>
      <c r="D321" s="186"/>
      <c r="E321" s="325"/>
      <c r="G321" s="36" t="s">
        <v>108</v>
      </c>
      <c r="I321" s="39"/>
      <c r="K321" s="39"/>
      <c r="L321" s="43" t="s">
        <v>293</v>
      </c>
      <c r="N321" s="70">
        <f ca="1">SUMIFS(OFFSET(Assumptions!$I$90,0,MATCH($A321,Configurations,0)-1,COUNT(Assumptions!$A$90:$A$183),1),Assumptions!$D$90:$D$183,$B321&amp;$C321)</f>
        <v>0</v>
      </c>
      <c r="O321" s="313"/>
      <c r="P321" s="323"/>
      <c r="Q321" s="313"/>
      <c r="R321" s="50">
        <f t="shared" ref="R321:AU321" ca="1" si="228">IF(OR(R$99&lt;InServiceYr,R$99&gt;(InServiceYr+analysis_period-1)),0,IF($P321=0,$N321,$P321)*R$501)</f>
        <v>0</v>
      </c>
      <c r="S321" s="50">
        <f t="shared" ca="1" si="228"/>
        <v>0</v>
      </c>
      <c r="T321" s="50">
        <f t="shared" ca="1" si="228"/>
        <v>0</v>
      </c>
      <c r="U321" s="50">
        <f t="shared" ca="1" si="228"/>
        <v>0</v>
      </c>
      <c r="V321" s="50">
        <f t="shared" ca="1" si="228"/>
        <v>0</v>
      </c>
      <c r="W321" s="50">
        <f t="shared" ca="1" si="228"/>
        <v>0</v>
      </c>
      <c r="X321" s="50">
        <f t="shared" ca="1" si="228"/>
        <v>0</v>
      </c>
      <c r="Y321" s="50">
        <f t="shared" ca="1" si="228"/>
        <v>0</v>
      </c>
      <c r="Z321" s="50">
        <f t="shared" ca="1" si="228"/>
        <v>0</v>
      </c>
      <c r="AA321" s="50">
        <f t="shared" ca="1" si="228"/>
        <v>0</v>
      </c>
      <c r="AB321" s="50">
        <f t="shared" ca="1" si="228"/>
        <v>0</v>
      </c>
      <c r="AC321" s="50">
        <f t="shared" ca="1" si="228"/>
        <v>0</v>
      </c>
      <c r="AD321" s="50">
        <f t="shared" ca="1" si="228"/>
        <v>0</v>
      </c>
      <c r="AE321" s="50">
        <f t="shared" ca="1" si="228"/>
        <v>0</v>
      </c>
      <c r="AF321" s="50">
        <f t="shared" ca="1" si="228"/>
        <v>0</v>
      </c>
      <c r="AG321" s="50">
        <f t="shared" ca="1" si="228"/>
        <v>0</v>
      </c>
      <c r="AH321" s="50">
        <f t="shared" ca="1" si="228"/>
        <v>0</v>
      </c>
      <c r="AI321" s="50">
        <f t="shared" ca="1" si="228"/>
        <v>0</v>
      </c>
      <c r="AJ321" s="50">
        <f t="shared" ca="1" si="228"/>
        <v>0</v>
      </c>
      <c r="AK321" s="50">
        <f t="shared" ca="1" si="228"/>
        <v>0</v>
      </c>
      <c r="AL321" s="50">
        <f t="shared" si="228"/>
        <v>0</v>
      </c>
      <c r="AM321" s="50">
        <f t="shared" si="228"/>
        <v>0</v>
      </c>
      <c r="AN321" s="50">
        <f t="shared" si="228"/>
        <v>0</v>
      </c>
      <c r="AO321" s="50">
        <f t="shared" si="228"/>
        <v>0</v>
      </c>
      <c r="AP321" s="50">
        <f t="shared" si="228"/>
        <v>0</v>
      </c>
      <c r="AQ321" s="50">
        <f t="shared" si="228"/>
        <v>0</v>
      </c>
      <c r="AR321" s="50">
        <f t="shared" si="228"/>
        <v>0</v>
      </c>
      <c r="AS321" s="50">
        <f t="shared" si="228"/>
        <v>0</v>
      </c>
      <c r="AT321" s="50">
        <f t="shared" si="228"/>
        <v>0</v>
      </c>
      <c r="AU321" s="50">
        <f t="shared" si="228"/>
        <v>0</v>
      </c>
    </row>
    <row r="322" spans="1:47">
      <c r="A322" s="38" t="str">
        <f>$J$4&amp;"-"</f>
        <v>1Y-</v>
      </c>
      <c r="B322" s="38" t="s">
        <v>289</v>
      </c>
      <c r="C322" s="38" t="str">
        <f>C312</f>
        <v>FOG Receiving</v>
      </c>
      <c r="D322" s="186">
        <f>LaborEsc</f>
        <v>0.02</v>
      </c>
      <c r="E322" s="325"/>
      <c r="G322" s="36" t="s">
        <v>292</v>
      </c>
      <c r="I322" s="39"/>
      <c r="K322" s="39"/>
      <c r="L322" s="43" t="str">
        <f>"["&amp;CostBaseYr&amp;" $]"</f>
        <v>[2013 $]</v>
      </c>
      <c r="N322" s="70">
        <f ca="1">SUMIFS(OFFSET(Assumptions!$I$90,0,MATCH($A322,Configurations,0)-1,COUNT(Assumptions!$A$90:$A$183),1),Assumptions!$D$90:$D$183,$B322&amp;$C322)</f>
        <v>0</v>
      </c>
      <c r="O322" s="313"/>
      <c r="P322" s="323"/>
      <c r="Q322" s="313"/>
      <c r="R322" s="50">
        <f t="shared" ref="R322:AU322" ca="1" si="229">IF(OR(R$99&lt;InServiceYr,R$99&gt;(InServiceYr+analysis_period-1)),0,IF($P322=0,$N322,$P322)*(1+$D322)^(R$99-CostBaseYr))</f>
        <v>0</v>
      </c>
      <c r="S322" s="50">
        <f t="shared" ca="1" si="229"/>
        <v>0</v>
      </c>
      <c r="T322" s="50">
        <f t="shared" ca="1" si="229"/>
        <v>0</v>
      </c>
      <c r="U322" s="50">
        <f t="shared" ca="1" si="229"/>
        <v>0</v>
      </c>
      <c r="V322" s="50">
        <f t="shared" ca="1" si="229"/>
        <v>0</v>
      </c>
      <c r="W322" s="50">
        <f t="shared" ca="1" si="229"/>
        <v>0</v>
      </c>
      <c r="X322" s="50">
        <f t="shared" ca="1" si="229"/>
        <v>0</v>
      </c>
      <c r="Y322" s="50">
        <f t="shared" ca="1" si="229"/>
        <v>0</v>
      </c>
      <c r="Z322" s="50">
        <f t="shared" ca="1" si="229"/>
        <v>0</v>
      </c>
      <c r="AA322" s="50">
        <f t="shared" ca="1" si="229"/>
        <v>0</v>
      </c>
      <c r="AB322" s="50">
        <f t="shared" ca="1" si="229"/>
        <v>0</v>
      </c>
      <c r="AC322" s="50">
        <f t="shared" ca="1" si="229"/>
        <v>0</v>
      </c>
      <c r="AD322" s="50">
        <f t="shared" ca="1" si="229"/>
        <v>0</v>
      </c>
      <c r="AE322" s="50">
        <f t="shared" ca="1" si="229"/>
        <v>0</v>
      </c>
      <c r="AF322" s="50">
        <f t="shared" ca="1" si="229"/>
        <v>0</v>
      </c>
      <c r="AG322" s="50">
        <f t="shared" ca="1" si="229"/>
        <v>0</v>
      </c>
      <c r="AH322" s="50">
        <f t="shared" ca="1" si="229"/>
        <v>0</v>
      </c>
      <c r="AI322" s="50">
        <f t="shared" ca="1" si="229"/>
        <v>0</v>
      </c>
      <c r="AJ322" s="50">
        <f t="shared" ca="1" si="229"/>
        <v>0</v>
      </c>
      <c r="AK322" s="50">
        <f t="shared" ca="1" si="229"/>
        <v>0</v>
      </c>
      <c r="AL322" s="50">
        <f t="shared" si="229"/>
        <v>0</v>
      </c>
      <c r="AM322" s="50">
        <f t="shared" si="229"/>
        <v>0</v>
      </c>
      <c r="AN322" s="50">
        <f t="shared" si="229"/>
        <v>0</v>
      </c>
      <c r="AO322" s="50">
        <f t="shared" si="229"/>
        <v>0</v>
      </c>
      <c r="AP322" s="50">
        <f t="shared" si="229"/>
        <v>0</v>
      </c>
      <c r="AQ322" s="50">
        <f t="shared" si="229"/>
        <v>0</v>
      </c>
      <c r="AR322" s="50">
        <f t="shared" si="229"/>
        <v>0</v>
      </c>
      <c r="AS322" s="50">
        <f t="shared" si="229"/>
        <v>0</v>
      </c>
      <c r="AT322" s="50">
        <f t="shared" si="229"/>
        <v>0</v>
      </c>
      <c r="AU322" s="50">
        <f t="shared" si="229"/>
        <v>0</v>
      </c>
    </row>
    <row r="323" spans="1:47" s="60" customFormat="1">
      <c r="D323" s="187"/>
      <c r="E323" s="325"/>
      <c r="G323" s="39" t="s">
        <v>305</v>
      </c>
      <c r="I323" s="39"/>
      <c r="K323" s="39"/>
      <c r="L323" s="174"/>
      <c r="N323" s="188"/>
      <c r="O323" s="314"/>
      <c r="P323" s="185"/>
      <c r="Q323" s="314"/>
      <c r="R323" s="185">
        <f ca="1">SUM(R312:R319)-SUM(R321:R322)</f>
        <v>0</v>
      </c>
      <c r="S323" s="185">
        <f t="shared" ref="S323:AU323" ca="1" si="230">SUM(S312:S319)-SUM(S321:S322)</f>
        <v>0</v>
      </c>
      <c r="T323" s="185">
        <f t="shared" ca="1" si="230"/>
        <v>0</v>
      </c>
      <c r="U323" s="185">
        <f t="shared" ca="1" si="230"/>
        <v>0</v>
      </c>
      <c r="V323" s="185">
        <f t="shared" ca="1" si="230"/>
        <v>0</v>
      </c>
      <c r="W323" s="185">
        <f t="shared" ca="1" si="230"/>
        <v>0</v>
      </c>
      <c r="X323" s="185">
        <f t="shared" ca="1" si="230"/>
        <v>0</v>
      </c>
      <c r="Y323" s="185">
        <f t="shared" ca="1" si="230"/>
        <v>0</v>
      </c>
      <c r="Z323" s="185">
        <f t="shared" ca="1" si="230"/>
        <v>0</v>
      </c>
      <c r="AA323" s="185">
        <f t="shared" ca="1" si="230"/>
        <v>0</v>
      </c>
      <c r="AB323" s="185">
        <f t="shared" ca="1" si="230"/>
        <v>0</v>
      </c>
      <c r="AC323" s="185">
        <f t="shared" ca="1" si="230"/>
        <v>0</v>
      </c>
      <c r="AD323" s="185">
        <f t="shared" ca="1" si="230"/>
        <v>0</v>
      </c>
      <c r="AE323" s="185">
        <f t="shared" ca="1" si="230"/>
        <v>0</v>
      </c>
      <c r="AF323" s="185">
        <f t="shared" ca="1" si="230"/>
        <v>0</v>
      </c>
      <c r="AG323" s="185">
        <f t="shared" ca="1" si="230"/>
        <v>0</v>
      </c>
      <c r="AH323" s="185">
        <f t="shared" ca="1" si="230"/>
        <v>0</v>
      </c>
      <c r="AI323" s="185">
        <f t="shared" ca="1" si="230"/>
        <v>0</v>
      </c>
      <c r="AJ323" s="185">
        <f t="shared" ca="1" si="230"/>
        <v>0</v>
      </c>
      <c r="AK323" s="185">
        <f t="shared" ca="1" si="230"/>
        <v>0</v>
      </c>
      <c r="AL323" s="185">
        <f t="shared" si="230"/>
        <v>0</v>
      </c>
      <c r="AM323" s="185">
        <f t="shared" si="230"/>
        <v>0</v>
      </c>
      <c r="AN323" s="185">
        <f t="shared" si="230"/>
        <v>0</v>
      </c>
      <c r="AO323" s="185">
        <f t="shared" si="230"/>
        <v>0</v>
      </c>
      <c r="AP323" s="185">
        <f t="shared" si="230"/>
        <v>0</v>
      </c>
      <c r="AQ323" s="185">
        <f t="shared" si="230"/>
        <v>0</v>
      </c>
      <c r="AR323" s="185">
        <f t="shared" si="230"/>
        <v>0</v>
      </c>
      <c r="AS323" s="185">
        <f t="shared" si="230"/>
        <v>0</v>
      </c>
      <c r="AT323" s="185">
        <f t="shared" si="230"/>
        <v>0</v>
      </c>
      <c r="AU323" s="185">
        <f t="shared" si="230"/>
        <v>0</v>
      </c>
    </row>
    <row r="324" spans="1:47">
      <c r="E324" s="36"/>
      <c r="G324" s="39"/>
      <c r="H324" s="39"/>
      <c r="I324" s="39"/>
      <c r="J324" s="39"/>
      <c r="K324" s="39"/>
    </row>
    <row r="325" spans="1:47">
      <c r="E325" s="327"/>
      <c r="F325" s="28"/>
      <c r="G325" s="324" t="str">
        <f>C327&amp;" Capital Costs"</f>
        <v>Gas Cleaning Capital Costs</v>
      </c>
      <c r="H325" s="324"/>
      <c r="I325" s="324"/>
      <c r="J325" s="324"/>
      <c r="K325" s="324"/>
      <c r="L325" s="405" t="s">
        <v>79</v>
      </c>
      <c r="M325" s="256"/>
      <c r="N325" s="325" t="s">
        <v>490</v>
      </c>
      <c r="O325" s="311"/>
      <c r="P325" s="325" t="s">
        <v>491</v>
      </c>
      <c r="Q325" s="310"/>
      <c r="R325" s="325">
        <f>R$8</f>
        <v>2014</v>
      </c>
      <c r="S325" s="325">
        <f t="shared" ref="S325:AU325" si="231">S$8</f>
        <v>2015</v>
      </c>
      <c r="T325" s="325">
        <f t="shared" si="231"/>
        <v>2016</v>
      </c>
      <c r="U325" s="325">
        <f t="shared" si="231"/>
        <v>2017</v>
      </c>
      <c r="V325" s="325">
        <f t="shared" si="231"/>
        <v>2018</v>
      </c>
      <c r="W325" s="325">
        <f t="shared" si="231"/>
        <v>2019</v>
      </c>
      <c r="X325" s="325">
        <f t="shared" si="231"/>
        <v>2020</v>
      </c>
      <c r="Y325" s="325">
        <f t="shared" si="231"/>
        <v>2021</v>
      </c>
      <c r="Z325" s="325">
        <f t="shared" si="231"/>
        <v>2022</v>
      </c>
      <c r="AA325" s="325">
        <f t="shared" si="231"/>
        <v>2023</v>
      </c>
      <c r="AB325" s="325">
        <f t="shared" si="231"/>
        <v>2024</v>
      </c>
      <c r="AC325" s="325">
        <f t="shared" si="231"/>
        <v>2025</v>
      </c>
      <c r="AD325" s="325">
        <f t="shared" si="231"/>
        <v>2026</v>
      </c>
      <c r="AE325" s="325">
        <f t="shared" si="231"/>
        <v>2027</v>
      </c>
      <c r="AF325" s="325">
        <f t="shared" si="231"/>
        <v>2028</v>
      </c>
      <c r="AG325" s="325">
        <f t="shared" si="231"/>
        <v>2029</v>
      </c>
      <c r="AH325" s="325">
        <f t="shared" si="231"/>
        <v>2030</v>
      </c>
      <c r="AI325" s="325">
        <f t="shared" si="231"/>
        <v>2031</v>
      </c>
      <c r="AJ325" s="325">
        <f t="shared" si="231"/>
        <v>2032</v>
      </c>
      <c r="AK325" s="325">
        <f t="shared" si="231"/>
        <v>2033</v>
      </c>
      <c r="AL325" s="325">
        <f t="shared" si="231"/>
        <v>2034</v>
      </c>
      <c r="AM325" s="325">
        <f t="shared" si="231"/>
        <v>2035</v>
      </c>
      <c r="AN325" s="325">
        <f t="shared" si="231"/>
        <v>2036</v>
      </c>
      <c r="AO325" s="325">
        <f t="shared" si="231"/>
        <v>2037</v>
      </c>
      <c r="AP325" s="325">
        <f t="shared" si="231"/>
        <v>2038</v>
      </c>
      <c r="AQ325" s="325">
        <f t="shared" si="231"/>
        <v>2039</v>
      </c>
      <c r="AR325" s="325">
        <f t="shared" si="231"/>
        <v>2040</v>
      </c>
      <c r="AS325" s="325">
        <f t="shared" si="231"/>
        <v>2041</v>
      </c>
      <c r="AT325" s="325">
        <f t="shared" si="231"/>
        <v>2042</v>
      </c>
      <c r="AU325" s="325">
        <f t="shared" si="231"/>
        <v>2043</v>
      </c>
    </row>
    <row r="326" spans="1:47">
      <c r="E326" s="325"/>
      <c r="G326" s="39"/>
      <c r="H326" s="39"/>
      <c r="I326" s="39"/>
      <c r="J326" s="39"/>
      <c r="K326" s="39"/>
    </row>
    <row r="327" spans="1:47">
      <c r="A327" s="38" t="str">
        <f>$J$4&amp;"-"</f>
        <v>1Y-</v>
      </c>
      <c r="B327" s="38" t="s">
        <v>306</v>
      </c>
      <c r="C327" s="38" t="s">
        <v>162</v>
      </c>
      <c r="D327" s="186">
        <f>CapExEsc</f>
        <v>0.03</v>
      </c>
      <c r="E327" s="325"/>
      <c r="G327" s="36" t="s">
        <v>8</v>
      </c>
      <c r="H327" s="39"/>
      <c r="I327" s="39"/>
      <c r="J327" s="70"/>
      <c r="K327" s="39"/>
      <c r="L327" s="43" t="str">
        <f>"["&amp;CostBaseYr&amp;" $]"</f>
        <v>[2013 $]</v>
      </c>
      <c r="N327" s="52">
        <f ca="1">SUMIFS(OFFSET(Assumptions!$I$65,0,MATCH($A327,Configurations,0)-1,COUNT(Assumptions!$A$65:$A$84),1),Assumptions!$E$65:$E$84,$C327)</f>
        <v>696000</v>
      </c>
      <c r="O327" s="52"/>
      <c r="P327" s="322"/>
      <c r="Q327" s="52"/>
      <c r="R327" s="52">
        <f t="shared" ref="R327:AU327" ca="1" si="232">R328*IF($P327=0,$N327,$P327)*(1+$D327)^(R$8-CostBaseYr)</f>
        <v>716880</v>
      </c>
      <c r="S327" s="52">
        <f t="shared" ca="1" si="232"/>
        <v>0</v>
      </c>
      <c r="T327" s="52">
        <f t="shared" ca="1" si="232"/>
        <v>0</v>
      </c>
      <c r="U327" s="52">
        <f t="shared" ca="1" si="232"/>
        <v>0</v>
      </c>
      <c r="V327" s="52">
        <f t="shared" ca="1" si="232"/>
        <v>0</v>
      </c>
      <c r="W327" s="52">
        <f t="shared" ca="1" si="232"/>
        <v>0</v>
      </c>
      <c r="X327" s="52">
        <f t="shared" ca="1" si="232"/>
        <v>0</v>
      </c>
      <c r="Y327" s="52">
        <f t="shared" ca="1" si="232"/>
        <v>0</v>
      </c>
      <c r="Z327" s="52">
        <f t="shared" ca="1" si="232"/>
        <v>0</v>
      </c>
      <c r="AA327" s="52">
        <f t="shared" ca="1" si="232"/>
        <v>0</v>
      </c>
      <c r="AB327" s="52">
        <f t="shared" ca="1" si="232"/>
        <v>0</v>
      </c>
      <c r="AC327" s="52">
        <f t="shared" ca="1" si="232"/>
        <v>0</v>
      </c>
      <c r="AD327" s="52">
        <f t="shared" ca="1" si="232"/>
        <v>0</v>
      </c>
      <c r="AE327" s="52">
        <f t="shared" ca="1" si="232"/>
        <v>0</v>
      </c>
      <c r="AF327" s="52">
        <f t="shared" ca="1" si="232"/>
        <v>0</v>
      </c>
      <c r="AG327" s="52">
        <f t="shared" ca="1" si="232"/>
        <v>0</v>
      </c>
      <c r="AH327" s="52">
        <f t="shared" ca="1" si="232"/>
        <v>0</v>
      </c>
      <c r="AI327" s="52">
        <f t="shared" ca="1" si="232"/>
        <v>0</v>
      </c>
      <c r="AJ327" s="52">
        <f t="shared" ca="1" si="232"/>
        <v>0</v>
      </c>
      <c r="AK327" s="52">
        <f t="shared" ca="1" si="232"/>
        <v>0</v>
      </c>
      <c r="AL327" s="52">
        <f t="shared" ca="1" si="232"/>
        <v>0</v>
      </c>
      <c r="AM327" s="52">
        <f t="shared" ca="1" si="232"/>
        <v>0</v>
      </c>
      <c r="AN327" s="52">
        <f t="shared" ca="1" si="232"/>
        <v>0</v>
      </c>
      <c r="AO327" s="52">
        <f t="shared" ca="1" si="232"/>
        <v>0</v>
      </c>
      <c r="AP327" s="52">
        <f t="shared" ca="1" si="232"/>
        <v>0</v>
      </c>
      <c r="AQ327" s="52">
        <f t="shared" ca="1" si="232"/>
        <v>0</v>
      </c>
      <c r="AR327" s="52">
        <f t="shared" ca="1" si="232"/>
        <v>0</v>
      </c>
      <c r="AS327" s="52">
        <f t="shared" ca="1" si="232"/>
        <v>0</v>
      </c>
      <c r="AT327" s="52">
        <f t="shared" ca="1" si="232"/>
        <v>0</v>
      </c>
      <c r="AU327" s="52">
        <f t="shared" ca="1" si="232"/>
        <v>0</v>
      </c>
    </row>
    <row r="328" spans="1:47">
      <c r="E328" s="325"/>
      <c r="G328" s="36" t="s">
        <v>10</v>
      </c>
      <c r="H328" s="39"/>
      <c r="I328" s="39"/>
      <c r="J328" s="39"/>
      <c r="K328" s="39"/>
      <c r="L328" s="43"/>
      <c r="R328" s="54">
        <f>Assumptions!M$60</f>
        <v>1</v>
      </c>
      <c r="S328" s="54">
        <f>Assumptions!N$60</f>
        <v>0</v>
      </c>
      <c r="T328" s="54">
        <f>Assumptions!O$60</f>
        <v>0</v>
      </c>
      <c r="U328" s="54">
        <f>Assumptions!P$60</f>
        <v>0</v>
      </c>
      <c r="V328" s="54">
        <f>Assumptions!Q$60</f>
        <v>0</v>
      </c>
      <c r="W328" s="54">
        <f>Assumptions!R$60</f>
        <v>0</v>
      </c>
      <c r="X328" s="54">
        <f>Assumptions!S$60</f>
        <v>0</v>
      </c>
      <c r="Y328" s="54">
        <f>Assumptions!T$60</f>
        <v>0</v>
      </c>
      <c r="Z328" s="54">
        <f>Assumptions!U$60</f>
        <v>0</v>
      </c>
      <c r="AA328" s="54">
        <f>Assumptions!V$60</f>
        <v>0</v>
      </c>
      <c r="AB328" s="54">
        <f>Assumptions!W$60</f>
        <v>0</v>
      </c>
      <c r="AC328" s="54">
        <f>Assumptions!X$60</f>
        <v>0</v>
      </c>
      <c r="AD328" s="54">
        <f>Assumptions!Y$60</f>
        <v>0</v>
      </c>
      <c r="AE328" s="54">
        <f>Assumptions!Z$60</f>
        <v>0</v>
      </c>
      <c r="AF328" s="54">
        <f>Assumptions!AA$60</f>
        <v>0</v>
      </c>
      <c r="AG328" s="54">
        <f>Assumptions!AB$60</f>
        <v>0</v>
      </c>
      <c r="AH328" s="54">
        <f>Assumptions!AC$60</f>
        <v>0</v>
      </c>
      <c r="AI328" s="54">
        <f>Assumptions!AD$60</f>
        <v>0</v>
      </c>
      <c r="AJ328" s="54">
        <f>Assumptions!AE$60</f>
        <v>0</v>
      </c>
      <c r="AK328" s="54">
        <f>Assumptions!AF$60</f>
        <v>0</v>
      </c>
      <c r="AL328" s="54">
        <f>Assumptions!AG$60</f>
        <v>0</v>
      </c>
      <c r="AM328" s="54">
        <f>Assumptions!AH$60</f>
        <v>0</v>
      </c>
      <c r="AN328" s="54">
        <f>Assumptions!AI$60</f>
        <v>0</v>
      </c>
      <c r="AO328" s="54">
        <f>Assumptions!AJ$60</f>
        <v>0</v>
      </c>
      <c r="AP328" s="54">
        <f>Assumptions!AK$60</f>
        <v>0</v>
      </c>
      <c r="AQ328" s="54">
        <f>Assumptions!AL$60</f>
        <v>0</v>
      </c>
      <c r="AR328" s="54">
        <f>Assumptions!AM$60</f>
        <v>0</v>
      </c>
      <c r="AS328" s="54">
        <f>Assumptions!AN$60</f>
        <v>0</v>
      </c>
      <c r="AT328" s="54">
        <f>Assumptions!AO$60</f>
        <v>0</v>
      </c>
      <c r="AU328" s="54">
        <f>Assumptions!AP$60</f>
        <v>0</v>
      </c>
    </row>
    <row r="329" spans="1:47">
      <c r="E329" s="326"/>
      <c r="G329" s="39"/>
      <c r="H329" s="39"/>
      <c r="I329" s="39"/>
      <c r="J329" s="39"/>
      <c r="K329" s="39"/>
    </row>
    <row r="330" spans="1:47">
      <c r="E330" s="327"/>
      <c r="F330" s="28"/>
      <c r="G330" s="324" t="str">
        <f>C327&amp;" O&amp;M"</f>
        <v>Gas Cleaning O&amp;M</v>
      </c>
      <c r="H330" s="324"/>
      <c r="I330" s="324"/>
      <c r="J330" s="324"/>
      <c r="K330" s="324"/>
      <c r="L330" s="405" t="s">
        <v>79</v>
      </c>
      <c r="M330" s="256"/>
      <c r="N330" s="325" t="s">
        <v>490</v>
      </c>
      <c r="O330" s="311"/>
      <c r="P330" s="325" t="s">
        <v>491</v>
      </c>
      <c r="Q330" s="310"/>
      <c r="R330" s="325">
        <f>R$8</f>
        <v>2014</v>
      </c>
      <c r="S330" s="325">
        <f t="shared" ref="S330:AU330" si="233">S$8</f>
        <v>2015</v>
      </c>
      <c r="T330" s="325">
        <f t="shared" si="233"/>
        <v>2016</v>
      </c>
      <c r="U330" s="325">
        <f t="shared" si="233"/>
        <v>2017</v>
      </c>
      <c r="V330" s="325">
        <f t="shared" si="233"/>
        <v>2018</v>
      </c>
      <c r="W330" s="325">
        <f t="shared" si="233"/>
        <v>2019</v>
      </c>
      <c r="X330" s="325">
        <f t="shared" si="233"/>
        <v>2020</v>
      </c>
      <c r="Y330" s="325">
        <f t="shared" si="233"/>
        <v>2021</v>
      </c>
      <c r="Z330" s="325">
        <f t="shared" si="233"/>
        <v>2022</v>
      </c>
      <c r="AA330" s="325">
        <f t="shared" si="233"/>
        <v>2023</v>
      </c>
      <c r="AB330" s="325">
        <f t="shared" si="233"/>
        <v>2024</v>
      </c>
      <c r="AC330" s="325">
        <f t="shared" si="233"/>
        <v>2025</v>
      </c>
      <c r="AD330" s="325">
        <f t="shared" si="233"/>
        <v>2026</v>
      </c>
      <c r="AE330" s="325">
        <f t="shared" si="233"/>
        <v>2027</v>
      </c>
      <c r="AF330" s="325">
        <f t="shared" si="233"/>
        <v>2028</v>
      </c>
      <c r="AG330" s="325">
        <f t="shared" si="233"/>
        <v>2029</v>
      </c>
      <c r="AH330" s="325">
        <f t="shared" si="233"/>
        <v>2030</v>
      </c>
      <c r="AI330" s="325">
        <f t="shared" si="233"/>
        <v>2031</v>
      </c>
      <c r="AJ330" s="325">
        <f t="shared" si="233"/>
        <v>2032</v>
      </c>
      <c r="AK330" s="325">
        <f t="shared" si="233"/>
        <v>2033</v>
      </c>
      <c r="AL330" s="325">
        <f t="shared" si="233"/>
        <v>2034</v>
      </c>
      <c r="AM330" s="325">
        <f t="shared" si="233"/>
        <v>2035</v>
      </c>
      <c r="AN330" s="325">
        <f t="shared" si="233"/>
        <v>2036</v>
      </c>
      <c r="AO330" s="325">
        <f t="shared" si="233"/>
        <v>2037</v>
      </c>
      <c r="AP330" s="325">
        <f t="shared" si="233"/>
        <v>2038</v>
      </c>
      <c r="AQ330" s="325">
        <f t="shared" si="233"/>
        <v>2039</v>
      </c>
      <c r="AR330" s="325">
        <f t="shared" si="233"/>
        <v>2040</v>
      </c>
      <c r="AS330" s="325">
        <f t="shared" si="233"/>
        <v>2041</v>
      </c>
      <c r="AT330" s="325">
        <f t="shared" si="233"/>
        <v>2042</v>
      </c>
      <c r="AU330" s="325">
        <f t="shared" si="233"/>
        <v>2043</v>
      </c>
    </row>
    <row r="331" spans="1:47">
      <c r="E331" s="325"/>
      <c r="G331" s="39"/>
      <c r="H331" s="39"/>
      <c r="I331" s="39"/>
      <c r="J331" s="39"/>
      <c r="K331" s="39"/>
    </row>
    <row r="332" spans="1:47">
      <c r="E332" s="325"/>
      <c r="G332" s="39" t="s">
        <v>23</v>
      </c>
      <c r="H332" s="39"/>
      <c r="I332" s="39"/>
      <c r="J332" s="39"/>
      <c r="K332" s="39"/>
    </row>
    <row r="333" spans="1:47">
      <c r="A333" s="38" t="str">
        <f t="shared" ref="A333:A340" si="234">$J$4&amp;"-"</f>
        <v>1Y-</v>
      </c>
      <c r="B333" s="38" t="s">
        <v>262</v>
      </c>
      <c r="C333" s="38" t="str">
        <f>C327</f>
        <v>Gas Cleaning</v>
      </c>
      <c r="D333" s="186">
        <f>LaborEsc</f>
        <v>0.02</v>
      </c>
      <c r="E333" s="325"/>
      <c r="G333" s="36" t="s">
        <v>125</v>
      </c>
      <c r="I333" s="39"/>
      <c r="K333" s="39"/>
      <c r="L333" s="43" t="s">
        <v>266</v>
      </c>
      <c r="N333" s="70">
        <f ca="1">SUMIFS(OFFSET(Assumptions!$I$90,0,MATCH($A333,Configurations,0)-1,COUNT(Assumptions!$A$90:$A$183),1),Assumptions!$D$90:$D$183,$B333&amp;$C333)</f>
        <v>1460</v>
      </c>
      <c r="O333" s="313"/>
      <c r="P333" s="323"/>
      <c r="Q333" s="313"/>
      <c r="R333" s="50">
        <f t="shared" ref="R333:AU333" ca="1" si="235">IF(OR(R$99&lt;InServiceYr,R$99&gt;(InServiceYr+analysis_period-1)),0,IF($P333=0,$N333,$P333)*LaborCost*(1+$D333)^(R$99-CostBaseYr))</f>
        <v>52122</v>
      </c>
      <c r="S333" s="50">
        <f t="shared" ca="1" si="235"/>
        <v>53164.44</v>
      </c>
      <c r="T333" s="50">
        <f t="shared" ca="1" si="235"/>
        <v>54227.728799999997</v>
      </c>
      <c r="U333" s="50">
        <f t="shared" ca="1" si="235"/>
        <v>55312.283375999999</v>
      </c>
      <c r="V333" s="50">
        <f t="shared" ca="1" si="235"/>
        <v>56418.52904352</v>
      </c>
      <c r="W333" s="50">
        <f t="shared" ca="1" si="235"/>
        <v>57546.899624390404</v>
      </c>
      <c r="X333" s="50">
        <f t="shared" ca="1" si="235"/>
        <v>58697.837616878198</v>
      </c>
      <c r="Y333" s="50">
        <f t="shared" ca="1" si="235"/>
        <v>59871.794369215771</v>
      </c>
      <c r="Z333" s="50">
        <f t="shared" ca="1" si="235"/>
        <v>61069.230256600087</v>
      </c>
      <c r="AA333" s="50">
        <f t="shared" ca="1" si="235"/>
        <v>62290.614861732087</v>
      </c>
      <c r="AB333" s="50">
        <f t="shared" ca="1" si="235"/>
        <v>63536.427158966719</v>
      </c>
      <c r="AC333" s="50">
        <f t="shared" ca="1" si="235"/>
        <v>64807.155702146061</v>
      </c>
      <c r="AD333" s="50">
        <f t="shared" ca="1" si="235"/>
        <v>66103.298816188981</v>
      </c>
      <c r="AE333" s="50">
        <f t="shared" ca="1" si="235"/>
        <v>67425.364792512773</v>
      </c>
      <c r="AF333" s="50">
        <f t="shared" ca="1" si="235"/>
        <v>68773.872088363001</v>
      </c>
      <c r="AG333" s="50">
        <f t="shared" ca="1" si="235"/>
        <v>70149.349530130276</v>
      </c>
      <c r="AH333" s="50">
        <f t="shared" ca="1" si="235"/>
        <v>71552.33652073289</v>
      </c>
      <c r="AI333" s="50">
        <f t="shared" ca="1" si="235"/>
        <v>72983.383251147534</v>
      </c>
      <c r="AJ333" s="50">
        <f t="shared" ca="1" si="235"/>
        <v>74443.050916170483</v>
      </c>
      <c r="AK333" s="50">
        <f t="shared" ca="1" si="235"/>
        <v>75931.911934493895</v>
      </c>
      <c r="AL333" s="50">
        <f t="shared" si="235"/>
        <v>0</v>
      </c>
      <c r="AM333" s="50">
        <f t="shared" si="235"/>
        <v>0</v>
      </c>
      <c r="AN333" s="50">
        <f t="shared" si="235"/>
        <v>0</v>
      </c>
      <c r="AO333" s="50">
        <f t="shared" si="235"/>
        <v>0</v>
      </c>
      <c r="AP333" s="50">
        <f t="shared" si="235"/>
        <v>0</v>
      </c>
      <c r="AQ333" s="50">
        <f t="shared" si="235"/>
        <v>0</v>
      </c>
      <c r="AR333" s="50">
        <f t="shared" si="235"/>
        <v>0</v>
      </c>
      <c r="AS333" s="50">
        <f t="shared" si="235"/>
        <v>0</v>
      </c>
      <c r="AT333" s="50">
        <f t="shared" si="235"/>
        <v>0</v>
      </c>
      <c r="AU333" s="50">
        <f t="shared" si="235"/>
        <v>0</v>
      </c>
    </row>
    <row r="334" spans="1:47">
      <c r="A334" s="38" t="str">
        <f t="shared" si="234"/>
        <v>1Y-</v>
      </c>
      <c r="B334" s="38" t="s">
        <v>270</v>
      </c>
      <c r="C334" s="38" t="str">
        <f>C333</f>
        <v>Gas Cleaning</v>
      </c>
      <c r="D334" s="186">
        <f>OMEsc</f>
        <v>0.02</v>
      </c>
      <c r="E334" s="325"/>
      <c r="G334" s="36" t="s">
        <v>126</v>
      </c>
      <c r="I334" s="39"/>
      <c r="K334" s="39"/>
      <c r="L334" s="43" t="str">
        <f>"["&amp;CostBaseYr&amp;" $]"</f>
        <v>[2013 $]</v>
      </c>
      <c r="N334" s="70">
        <f ca="1">SUMIFS(OFFSET(Assumptions!$I$90,0,MATCH($A334,Configurations,0)-1,COUNT(Assumptions!$A$90:$A$183),1),Assumptions!$D$90:$D$183,$B334&amp;$C334)</f>
        <v>13000</v>
      </c>
      <c r="O334" s="313"/>
      <c r="P334" s="323"/>
      <c r="Q334" s="313"/>
      <c r="R334" s="50">
        <f t="shared" ref="R334:AG336" ca="1" si="236">IF(OR(R$99&lt;InServiceYr,R$99&gt;(InServiceYr+analysis_period-1)),0,IF($P334=0,$N334,$P334)*(1+$D334)^(R$99-CostBaseYr))</f>
        <v>13260</v>
      </c>
      <c r="S334" s="50">
        <f t="shared" ca="1" si="236"/>
        <v>13525.2</v>
      </c>
      <c r="T334" s="50">
        <f t="shared" ca="1" si="236"/>
        <v>13795.704</v>
      </c>
      <c r="U334" s="50">
        <f t="shared" ca="1" si="236"/>
        <v>14071.61808</v>
      </c>
      <c r="V334" s="50">
        <f t="shared" ca="1" si="236"/>
        <v>14353.0504416</v>
      </c>
      <c r="W334" s="50">
        <f t="shared" ca="1" si="236"/>
        <v>14640.111450432001</v>
      </c>
      <c r="X334" s="50">
        <f t="shared" ca="1" si="236"/>
        <v>14932.913679440637</v>
      </c>
      <c r="Y334" s="50">
        <f t="shared" ca="1" si="236"/>
        <v>15231.571953029452</v>
      </c>
      <c r="Z334" s="50">
        <f t="shared" ca="1" si="236"/>
        <v>15536.203392090041</v>
      </c>
      <c r="AA334" s="50">
        <f t="shared" ca="1" si="236"/>
        <v>15846.927459931843</v>
      </c>
      <c r="AB334" s="50">
        <f t="shared" ca="1" si="236"/>
        <v>16163.866009130476</v>
      </c>
      <c r="AC334" s="50">
        <f t="shared" ca="1" si="236"/>
        <v>16487.143329313087</v>
      </c>
      <c r="AD334" s="50">
        <f t="shared" ca="1" si="236"/>
        <v>16816.886195899348</v>
      </c>
      <c r="AE334" s="50">
        <f t="shared" ca="1" si="236"/>
        <v>17153.223919817337</v>
      </c>
      <c r="AF334" s="50">
        <f t="shared" ca="1" si="236"/>
        <v>17496.288398213681</v>
      </c>
      <c r="AG334" s="50">
        <f t="shared" ca="1" si="236"/>
        <v>17846.214166177957</v>
      </c>
      <c r="AH334" s="50">
        <f t="shared" ref="S334:AU336" ca="1" si="237">IF(OR(AH$99&lt;InServiceYr,AH$99&gt;(InServiceYr+analysis_period-1)),0,IF($P334=0,$N334,$P334)*(1+$D334)^(AH$99-CostBaseYr))</f>
        <v>18203.138449501515</v>
      </c>
      <c r="AI334" s="50">
        <f t="shared" ca="1" si="237"/>
        <v>18567.201218491544</v>
      </c>
      <c r="AJ334" s="50">
        <f t="shared" ca="1" si="237"/>
        <v>18938.545242861375</v>
      </c>
      <c r="AK334" s="50">
        <f t="shared" ca="1" si="237"/>
        <v>19317.316147718604</v>
      </c>
      <c r="AL334" s="50">
        <f t="shared" si="237"/>
        <v>0</v>
      </c>
      <c r="AM334" s="50">
        <f t="shared" si="237"/>
        <v>0</v>
      </c>
      <c r="AN334" s="50">
        <f t="shared" si="237"/>
        <v>0</v>
      </c>
      <c r="AO334" s="50">
        <f t="shared" si="237"/>
        <v>0</v>
      </c>
      <c r="AP334" s="50">
        <f t="shared" si="237"/>
        <v>0</v>
      </c>
      <c r="AQ334" s="50">
        <f t="shared" si="237"/>
        <v>0</v>
      </c>
      <c r="AR334" s="50">
        <f t="shared" si="237"/>
        <v>0</v>
      </c>
      <c r="AS334" s="50">
        <f t="shared" si="237"/>
        <v>0</v>
      </c>
      <c r="AT334" s="50">
        <f t="shared" si="237"/>
        <v>0</v>
      </c>
      <c r="AU334" s="50">
        <f t="shared" si="237"/>
        <v>0</v>
      </c>
    </row>
    <row r="335" spans="1:47">
      <c r="A335" s="38" t="str">
        <f t="shared" si="234"/>
        <v>1Y-</v>
      </c>
      <c r="B335" s="38" t="s">
        <v>263</v>
      </c>
      <c r="C335" s="38" t="str">
        <f t="shared" ref="C335:C339" si="238">C334</f>
        <v>Gas Cleaning</v>
      </c>
      <c r="D335" s="186">
        <f>OMEsc</f>
        <v>0.02</v>
      </c>
      <c r="E335" s="325"/>
      <c r="G335" s="36" t="s">
        <v>127</v>
      </c>
      <c r="I335" s="39"/>
      <c r="K335" s="39"/>
      <c r="L335" s="43" t="str">
        <f>"["&amp;CostBaseYr&amp;" $]"</f>
        <v>[2013 $]</v>
      </c>
      <c r="N335" s="70">
        <f ca="1">SUMIFS(OFFSET(Assumptions!$I$90,0,MATCH($A335,Configurations,0)-1,COUNT(Assumptions!$A$90:$A$183),1),Assumptions!$D$90:$D$183,$B335&amp;$C335)</f>
        <v>0</v>
      </c>
      <c r="O335" s="313"/>
      <c r="P335" s="323"/>
      <c r="Q335" s="313"/>
      <c r="R335" s="50">
        <f t="shared" ca="1" si="236"/>
        <v>0</v>
      </c>
      <c r="S335" s="50">
        <f t="shared" ca="1" si="237"/>
        <v>0</v>
      </c>
      <c r="T335" s="50">
        <f t="shared" ca="1" si="237"/>
        <v>0</v>
      </c>
      <c r="U335" s="50">
        <f t="shared" ca="1" si="237"/>
        <v>0</v>
      </c>
      <c r="V335" s="50">
        <f t="shared" ca="1" si="237"/>
        <v>0</v>
      </c>
      <c r="W335" s="50">
        <f t="shared" ca="1" si="237"/>
        <v>0</v>
      </c>
      <c r="X335" s="50">
        <f t="shared" ca="1" si="237"/>
        <v>0</v>
      </c>
      <c r="Y335" s="50">
        <f t="shared" ca="1" si="237"/>
        <v>0</v>
      </c>
      <c r="Z335" s="50">
        <f t="shared" ca="1" si="237"/>
        <v>0</v>
      </c>
      <c r="AA335" s="50">
        <f t="shared" ca="1" si="237"/>
        <v>0</v>
      </c>
      <c r="AB335" s="50">
        <f t="shared" ca="1" si="237"/>
        <v>0</v>
      </c>
      <c r="AC335" s="50">
        <f t="shared" ca="1" si="237"/>
        <v>0</v>
      </c>
      <c r="AD335" s="50">
        <f t="shared" ca="1" si="237"/>
        <v>0</v>
      </c>
      <c r="AE335" s="50">
        <f t="shared" ca="1" si="237"/>
        <v>0</v>
      </c>
      <c r="AF335" s="50">
        <f t="shared" ca="1" si="237"/>
        <v>0</v>
      </c>
      <c r="AG335" s="50">
        <f t="shared" ca="1" si="237"/>
        <v>0</v>
      </c>
      <c r="AH335" s="50">
        <f t="shared" ca="1" si="237"/>
        <v>0</v>
      </c>
      <c r="AI335" s="50">
        <f t="shared" ca="1" si="237"/>
        <v>0</v>
      </c>
      <c r="AJ335" s="50">
        <f t="shared" ca="1" si="237"/>
        <v>0</v>
      </c>
      <c r="AK335" s="50">
        <f t="shared" ca="1" si="237"/>
        <v>0</v>
      </c>
      <c r="AL335" s="50">
        <f t="shared" si="237"/>
        <v>0</v>
      </c>
      <c r="AM335" s="50">
        <f t="shared" si="237"/>
        <v>0</v>
      </c>
      <c r="AN335" s="50">
        <f t="shared" si="237"/>
        <v>0</v>
      </c>
      <c r="AO335" s="50">
        <f t="shared" si="237"/>
        <v>0</v>
      </c>
      <c r="AP335" s="50">
        <f t="shared" si="237"/>
        <v>0</v>
      </c>
      <c r="AQ335" s="50">
        <f t="shared" si="237"/>
        <v>0</v>
      </c>
      <c r="AR335" s="50">
        <f t="shared" si="237"/>
        <v>0</v>
      </c>
      <c r="AS335" s="50">
        <f t="shared" si="237"/>
        <v>0</v>
      </c>
      <c r="AT335" s="50">
        <f t="shared" si="237"/>
        <v>0</v>
      </c>
      <c r="AU335" s="50">
        <f t="shared" si="237"/>
        <v>0</v>
      </c>
    </row>
    <row r="336" spans="1:47">
      <c r="A336" s="38" t="str">
        <f t="shared" si="234"/>
        <v>1Y-</v>
      </c>
      <c r="B336" s="38" t="s">
        <v>277</v>
      </c>
      <c r="C336" s="38" t="str">
        <f t="shared" si="238"/>
        <v>Gas Cleaning</v>
      </c>
      <c r="D336" s="186">
        <f>OMEsc</f>
        <v>0.02</v>
      </c>
      <c r="E336" s="325"/>
      <c r="G336" s="36" t="s">
        <v>276</v>
      </c>
      <c r="I336" s="39"/>
      <c r="K336" s="39"/>
      <c r="L336" s="43" t="str">
        <f>"["&amp;CostBaseYr&amp;" $]"</f>
        <v>[2013 $]</v>
      </c>
      <c r="N336" s="70">
        <f ca="1">SUMIFS(OFFSET(Assumptions!$I$90,0,MATCH($A336,Configurations,0)-1,COUNT(Assumptions!$A$90:$A$183),1),Assumptions!$D$90:$D$183,$B336&amp;$C336)</f>
        <v>30000</v>
      </c>
      <c r="O336" s="313"/>
      <c r="P336" s="323"/>
      <c r="Q336" s="313"/>
      <c r="R336" s="50">
        <f t="shared" ca="1" si="236"/>
        <v>30600</v>
      </c>
      <c r="S336" s="50">
        <f t="shared" ca="1" si="237"/>
        <v>31212</v>
      </c>
      <c r="T336" s="50">
        <f t="shared" ca="1" si="237"/>
        <v>31836.239999999998</v>
      </c>
      <c r="U336" s="50">
        <f t="shared" ca="1" si="237"/>
        <v>32472.964799999998</v>
      </c>
      <c r="V336" s="50">
        <f t="shared" ca="1" si="237"/>
        <v>33122.424096000002</v>
      </c>
      <c r="W336" s="50">
        <f t="shared" ca="1" si="237"/>
        <v>33784.872577920003</v>
      </c>
      <c r="X336" s="50">
        <f t="shared" ca="1" si="237"/>
        <v>34460.570029478396</v>
      </c>
      <c r="Y336" s="50">
        <f t="shared" ca="1" si="237"/>
        <v>35149.781430067967</v>
      </c>
      <c r="Z336" s="50">
        <f t="shared" ca="1" si="237"/>
        <v>35852.777058669322</v>
      </c>
      <c r="AA336" s="50">
        <f t="shared" ca="1" si="237"/>
        <v>36569.83259984271</v>
      </c>
      <c r="AB336" s="50">
        <f t="shared" ca="1" si="237"/>
        <v>37301.229251839562</v>
      </c>
      <c r="AC336" s="50">
        <f t="shared" ca="1" si="237"/>
        <v>38047.253836876356</v>
      </c>
      <c r="AD336" s="50">
        <f t="shared" ca="1" si="237"/>
        <v>38808.19891361388</v>
      </c>
      <c r="AE336" s="50">
        <f t="shared" ca="1" si="237"/>
        <v>39584.362891886165</v>
      </c>
      <c r="AF336" s="50">
        <f t="shared" ca="1" si="237"/>
        <v>40376.05014972388</v>
      </c>
      <c r="AG336" s="50">
        <f t="shared" ca="1" si="237"/>
        <v>41183.571152718359</v>
      </c>
      <c r="AH336" s="50">
        <f t="shared" ca="1" si="237"/>
        <v>42007.242575772732</v>
      </c>
      <c r="AI336" s="50">
        <f t="shared" ca="1" si="237"/>
        <v>42847.38742728818</v>
      </c>
      <c r="AJ336" s="50">
        <f t="shared" ca="1" si="237"/>
        <v>43704.335175833941</v>
      </c>
      <c r="AK336" s="50">
        <f t="shared" ca="1" si="237"/>
        <v>44578.42187935063</v>
      </c>
      <c r="AL336" s="50">
        <f t="shared" si="237"/>
        <v>0</v>
      </c>
      <c r="AM336" s="50">
        <f t="shared" si="237"/>
        <v>0</v>
      </c>
      <c r="AN336" s="50">
        <f t="shared" si="237"/>
        <v>0</v>
      </c>
      <c r="AO336" s="50">
        <f t="shared" si="237"/>
        <v>0</v>
      </c>
      <c r="AP336" s="50">
        <f t="shared" si="237"/>
        <v>0</v>
      </c>
      <c r="AQ336" s="50">
        <f t="shared" si="237"/>
        <v>0</v>
      </c>
      <c r="AR336" s="50">
        <f t="shared" si="237"/>
        <v>0</v>
      </c>
      <c r="AS336" s="50">
        <f t="shared" si="237"/>
        <v>0</v>
      </c>
      <c r="AT336" s="50">
        <f t="shared" si="237"/>
        <v>0</v>
      </c>
      <c r="AU336" s="50">
        <f t="shared" si="237"/>
        <v>0</v>
      </c>
    </row>
    <row r="337" spans="1:47">
      <c r="A337" s="38" t="str">
        <f t="shared" si="234"/>
        <v>1Y-</v>
      </c>
      <c r="B337" s="38" t="s">
        <v>274</v>
      </c>
      <c r="C337" s="38" t="str">
        <f t="shared" si="238"/>
        <v>Gas Cleaning</v>
      </c>
      <c r="D337" s="186"/>
      <c r="E337" s="325"/>
      <c r="G337" s="36" t="s">
        <v>16</v>
      </c>
      <c r="I337" s="39"/>
      <c r="K337" s="39"/>
      <c r="L337" s="43" t="s">
        <v>275</v>
      </c>
      <c r="N337" s="70">
        <f ca="1">SUMIFS(OFFSET(Assumptions!$I$90,0,MATCH($A337,Configurations,0)-1,COUNT(Assumptions!$A$90:$A$183),1),Assumptions!$D$90:$D$183,$B337&amp;$C337)</f>
        <v>0</v>
      </c>
      <c r="O337" s="313"/>
      <c r="P337" s="323"/>
      <c r="Q337" s="313"/>
      <c r="R337" s="50">
        <f t="shared" ref="R337:AU337" ca="1" si="239">IF(OR(R$99&lt;InServiceYr,R$99&gt;(InServiceYr+analysis_period-1)),0,IF($P337=0,$N337,$P337)*R$505)</f>
        <v>0</v>
      </c>
      <c r="S337" s="50">
        <f t="shared" ca="1" si="239"/>
        <v>0</v>
      </c>
      <c r="T337" s="50">
        <f t="shared" ca="1" si="239"/>
        <v>0</v>
      </c>
      <c r="U337" s="50">
        <f t="shared" ca="1" si="239"/>
        <v>0</v>
      </c>
      <c r="V337" s="50">
        <f t="shared" ca="1" si="239"/>
        <v>0</v>
      </c>
      <c r="W337" s="50">
        <f t="shared" ca="1" si="239"/>
        <v>0</v>
      </c>
      <c r="X337" s="50">
        <f t="shared" ca="1" si="239"/>
        <v>0</v>
      </c>
      <c r="Y337" s="50">
        <f t="shared" ca="1" si="239"/>
        <v>0</v>
      </c>
      <c r="Z337" s="50">
        <f t="shared" ca="1" si="239"/>
        <v>0</v>
      </c>
      <c r="AA337" s="50">
        <f t="shared" ca="1" si="239"/>
        <v>0</v>
      </c>
      <c r="AB337" s="50">
        <f t="shared" ca="1" si="239"/>
        <v>0</v>
      </c>
      <c r="AC337" s="50">
        <f t="shared" ca="1" si="239"/>
        <v>0</v>
      </c>
      <c r="AD337" s="50">
        <f t="shared" ca="1" si="239"/>
        <v>0</v>
      </c>
      <c r="AE337" s="50">
        <f t="shared" ca="1" si="239"/>
        <v>0</v>
      </c>
      <c r="AF337" s="50">
        <f t="shared" ca="1" si="239"/>
        <v>0</v>
      </c>
      <c r="AG337" s="50">
        <f t="shared" ca="1" si="239"/>
        <v>0</v>
      </c>
      <c r="AH337" s="50">
        <f t="shared" ca="1" si="239"/>
        <v>0</v>
      </c>
      <c r="AI337" s="50">
        <f t="shared" ca="1" si="239"/>
        <v>0</v>
      </c>
      <c r="AJ337" s="50">
        <f t="shared" ca="1" si="239"/>
        <v>0</v>
      </c>
      <c r="AK337" s="50">
        <f t="shared" ca="1" si="239"/>
        <v>0</v>
      </c>
      <c r="AL337" s="50">
        <f t="shared" si="239"/>
        <v>0</v>
      </c>
      <c r="AM337" s="50">
        <f t="shared" si="239"/>
        <v>0</v>
      </c>
      <c r="AN337" s="50">
        <f t="shared" si="239"/>
        <v>0</v>
      </c>
      <c r="AO337" s="50">
        <f t="shared" si="239"/>
        <v>0</v>
      </c>
      <c r="AP337" s="50">
        <f t="shared" si="239"/>
        <v>0</v>
      </c>
      <c r="AQ337" s="50">
        <f t="shared" si="239"/>
        <v>0</v>
      </c>
      <c r="AR337" s="50">
        <f t="shared" si="239"/>
        <v>0</v>
      </c>
      <c r="AS337" s="50">
        <f t="shared" si="239"/>
        <v>0</v>
      </c>
      <c r="AT337" s="50">
        <f t="shared" si="239"/>
        <v>0</v>
      </c>
      <c r="AU337" s="50">
        <f t="shared" si="239"/>
        <v>0</v>
      </c>
    </row>
    <row r="338" spans="1:47">
      <c r="A338" s="38" t="str">
        <f t="shared" si="234"/>
        <v>1Y-</v>
      </c>
      <c r="B338" s="38" t="s">
        <v>257</v>
      </c>
      <c r="C338" s="38" t="str">
        <f t="shared" si="238"/>
        <v>Gas Cleaning</v>
      </c>
      <c r="D338" s="186"/>
      <c r="E338" s="325"/>
      <c r="G338" s="36" t="s">
        <v>284</v>
      </c>
      <c r="I338" s="39"/>
      <c r="K338" s="39"/>
      <c r="L338" s="43" t="s">
        <v>293</v>
      </c>
      <c r="N338" s="70">
        <f ca="1">SUMIFS(OFFSET(Assumptions!$I$90,0,MATCH($A338,Configurations,0)-1,COUNT(Assumptions!$A$90:$A$183),1),Assumptions!$D$90:$D$183,$B338&amp;$C338)</f>
        <v>196010</v>
      </c>
      <c r="O338" s="313"/>
      <c r="P338" s="323"/>
      <c r="Q338" s="313"/>
      <c r="R338" s="50">
        <f t="shared" ref="R338:AU338" ca="1" si="240">IF(OR(R$99&lt;InServiceYr,R$99&gt;(InServiceYr+analysis_period-1)),0,IF($P338=0,$N338,$P338)*R$501)</f>
        <v>12658.630803864207</v>
      </c>
      <c r="S338" s="50">
        <f t="shared" ca="1" si="240"/>
        <v>12737.538774947772</v>
      </c>
      <c r="T338" s="50">
        <f t="shared" ca="1" si="240"/>
        <v>13286.653326356565</v>
      </c>
      <c r="U338" s="50">
        <f t="shared" ca="1" si="240"/>
        <v>13685.219678312775</v>
      </c>
      <c r="V338" s="50">
        <f t="shared" ca="1" si="240"/>
        <v>14015.45922427961</v>
      </c>
      <c r="W338" s="50">
        <f t="shared" ca="1" si="240"/>
        <v>14194.762957849085</v>
      </c>
      <c r="X338" s="50">
        <f t="shared" ca="1" si="240"/>
        <v>14425.746858026192</v>
      </c>
      <c r="Y338" s="50">
        <f t="shared" ca="1" si="240"/>
        <v>14781.167879439816</v>
      </c>
      <c r="Z338" s="50">
        <f t="shared" ca="1" si="240"/>
        <v>15135.039117372518</v>
      </c>
      <c r="AA338" s="50">
        <f t="shared" ca="1" si="240"/>
        <v>15513.45226939313</v>
      </c>
      <c r="AB338" s="50">
        <f t="shared" ca="1" si="240"/>
        <v>15849.470589728022</v>
      </c>
      <c r="AC338" s="50">
        <f t="shared" ca="1" si="240"/>
        <v>16154.67368095327</v>
      </c>
      <c r="AD338" s="50">
        <f t="shared" ca="1" si="240"/>
        <v>16527.843365448523</v>
      </c>
      <c r="AE338" s="50">
        <f t="shared" ca="1" si="240"/>
        <v>16904.54032774123</v>
      </c>
      <c r="AF338" s="50">
        <f t="shared" ca="1" si="240"/>
        <v>17306.472897633364</v>
      </c>
      <c r="AG338" s="50">
        <f t="shared" ca="1" si="240"/>
        <v>17756.732113862636</v>
      </c>
      <c r="AH338" s="50">
        <f t="shared" ca="1" si="240"/>
        <v>18191.9044986638</v>
      </c>
      <c r="AI338" s="50">
        <f t="shared" ca="1" si="240"/>
        <v>18663.831278506015</v>
      </c>
      <c r="AJ338" s="50">
        <f t="shared" ca="1" si="240"/>
        <v>19163.434290903384</v>
      </c>
      <c r="AK338" s="50">
        <f t="shared" ca="1" si="240"/>
        <v>19684.742291611805</v>
      </c>
      <c r="AL338" s="50">
        <f t="shared" si="240"/>
        <v>0</v>
      </c>
      <c r="AM338" s="50">
        <f t="shared" si="240"/>
        <v>0</v>
      </c>
      <c r="AN338" s="50">
        <f t="shared" si="240"/>
        <v>0</v>
      </c>
      <c r="AO338" s="50">
        <f t="shared" si="240"/>
        <v>0</v>
      </c>
      <c r="AP338" s="50">
        <f t="shared" si="240"/>
        <v>0</v>
      </c>
      <c r="AQ338" s="50">
        <f t="shared" si="240"/>
        <v>0</v>
      </c>
      <c r="AR338" s="50">
        <f t="shared" si="240"/>
        <v>0</v>
      </c>
      <c r="AS338" s="50">
        <f t="shared" si="240"/>
        <v>0</v>
      </c>
      <c r="AT338" s="50">
        <f t="shared" si="240"/>
        <v>0</v>
      </c>
      <c r="AU338" s="50">
        <f t="shared" si="240"/>
        <v>0</v>
      </c>
    </row>
    <row r="339" spans="1:47">
      <c r="A339" s="38" t="str">
        <f t="shared" si="234"/>
        <v>1Y-</v>
      </c>
      <c r="B339" s="38" t="s">
        <v>864</v>
      </c>
      <c r="C339" s="38" t="str">
        <f t="shared" si="238"/>
        <v>Gas Cleaning</v>
      </c>
      <c r="D339" s="186">
        <f>GHGEsc</f>
        <v>0.02</v>
      </c>
      <c r="E339" s="325"/>
      <c r="G339" s="36" t="s">
        <v>865</v>
      </c>
      <c r="I339" s="39"/>
      <c r="K339" s="39"/>
      <c r="L339" s="43" t="s">
        <v>866</v>
      </c>
      <c r="N339" s="70">
        <f ca="1">SUMIFS(OFFSET(Assumptions!$I$90,0,MATCH($A339,Configurations,0)-1,COUNT(Assumptions!$A$90:$A$183),1),Assumptions!$D$90:$D$183,$B339&amp;$C339)</f>
        <v>0</v>
      </c>
      <c r="O339" s="313"/>
      <c r="P339" s="323"/>
      <c r="Q339" s="313"/>
      <c r="R339" s="50">
        <f t="shared" ref="R339:AU339" ca="1" si="241">IF(OR(R$99&lt;InServiceYr,R$99&gt;(InServiceYr+analysis_period-1)),0,IF($P339=0,$N339,$P339)*R$513)</f>
        <v>0</v>
      </c>
      <c r="S339" s="50">
        <f t="shared" ca="1" si="241"/>
        <v>0</v>
      </c>
      <c r="T339" s="50">
        <f t="shared" ca="1" si="241"/>
        <v>0</v>
      </c>
      <c r="U339" s="50">
        <f t="shared" ca="1" si="241"/>
        <v>0</v>
      </c>
      <c r="V339" s="50">
        <f t="shared" ca="1" si="241"/>
        <v>0</v>
      </c>
      <c r="W339" s="50">
        <f t="shared" ca="1" si="241"/>
        <v>0</v>
      </c>
      <c r="X339" s="50">
        <f t="shared" ca="1" si="241"/>
        <v>0</v>
      </c>
      <c r="Y339" s="50">
        <f t="shared" ca="1" si="241"/>
        <v>0</v>
      </c>
      <c r="Z339" s="50">
        <f t="shared" ca="1" si="241"/>
        <v>0</v>
      </c>
      <c r="AA339" s="50">
        <f t="shared" ca="1" si="241"/>
        <v>0</v>
      </c>
      <c r="AB339" s="50">
        <f t="shared" ca="1" si="241"/>
        <v>0</v>
      </c>
      <c r="AC339" s="50">
        <f t="shared" ca="1" si="241"/>
        <v>0</v>
      </c>
      <c r="AD339" s="50">
        <f t="shared" ca="1" si="241"/>
        <v>0</v>
      </c>
      <c r="AE339" s="50">
        <f t="shared" ca="1" si="241"/>
        <v>0</v>
      </c>
      <c r="AF339" s="50">
        <f t="shared" ca="1" si="241"/>
        <v>0</v>
      </c>
      <c r="AG339" s="50">
        <f t="shared" ca="1" si="241"/>
        <v>0</v>
      </c>
      <c r="AH339" s="50">
        <f t="shared" ca="1" si="241"/>
        <v>0</v>
      </c>
      <c r="AI339" s="50">
        <f t="shared" ca="1" si="241"/>
        <v>0</v>
      </c>
      <c r="AJ339" s="50">
        <f t="shared" ca="1" si="241"/>
        <v>0</v>
      </c>
      <c r="AK339" s="50">
        <f t="shared" ca="1" si="241"/>
        <v>0</v>
      </c>
      <c r="AL339" s="50">
        <f t="shared" si="241"/>
        <v>0</v>
      </c>
      <c r="AM339" s="50">
        <f t="shared" si="241"/>
        <v>0</v>
      </c>
      <c r="AN339" s="50">
        <f t="shared" si="241"/>
        <v>0</v>
      </c>
      <c r="AO339" s="50">
        <f t="shared" si="241"/>
        <v>0</v>
      </c>
      <c r="AP339" s="50">
        <f t="shared" si="241"/>
        <v>0</v>
      </c>
      <c r="AQ339" s="50">
        <f t="shared" si="241"/>
        <v>0</v>
      </c>
      <c r="AR339" s="50">
        <f t="shared" si="241"/>
        <v>0</v>
      </c>
      <c r="AS339" s="50">
        <f t="shared" si="241"/>
        <v>0</v>
      </c>
      <c r="AT339" s="50">
        <f t="shared" si="241"/>
        <v>0</v>
      </c>
      <c r="AU339" s="50">
        <f t="shared" si="241"/>
        <v>0</v>
      </c>
    </row>
    <row r="340" spans="1:47">
      <c r="A340" s="38" t="str">
        <f t="shared" si="234"/>
        <v>1Y-</v>
      </c>
      <c r="B340" s="38" t="s">
        <v>273</v>
      </c>
      <c r="C340" s="38" t="str">
        <f>C338</f>
        <v>Gas Cleaning</v>
      </c>
      <c r="D340" s="186">
        <f>LaborEsc</f>
        <v>0.02</v>
      </c>
      <c r="E340" s="325"/>
      <c r="G340" s="36" t="s">
        <v>291</v>
      </c>
      <c r="I340" s="39"/>
      <c r="K340" s="39"/>
      <c r="L340" s="43" t="str">
        <f>"["&amp;CostBaseYr&amp;" $]"</f>
        <v>[2013 $]</v>
      </c>
      <c r="N340" s="70">
        <f ca="1">SUMIFS(OFFSET(Assumptions!$I$90,0,MATCH($A340,Configurations,0)-1,COUNT(Assumptions!$A$90:$A$183),1),Assumptions!$D$90:$D$183,$B340&amp;$C340)</f>
        <v>0</v>
      </c>
      <c r="O340" s="313"/>
      <c r="P340" s="323"/>
      <c r="Q340" s="313"/>
      <c r="R340" s="50">
        <f t="shared" ref="R340:AU340" ca="1" si="242">IF(OR(R$99&lt;InServiceYr,R$99&gt;(InServiceYr+analysis_period-1)),0,IF($P340=0,$N340,$P340)*(1+$D340)^(R$99-CostBaseYr))*R$509</f>
        <v>0</v>
      </c>
      <c r="S340" s="50">
        <f t="shared" ca="1" si="242"/>
        <v>0</v>
      </c>
      <c r="T340" s="50">
        <f t="shared" ca="1" si="242"/>
        <v>0</v>
      </c>
      <c r="U340" s="50">
        <f t="shared" ca="1" si="242"/>
        <v>0</v>
      </c>
      <c r="V340" s="50">
        <f t="shared" ca="1" si="242"/>
        <v>0</v>
      </c>
      <c r="W340" s="50">
        <f t="shared" ca="1" si="242"/>
        <v>0</v>
      </c>
      <c r="X340" s="50">
        <f t="shared" ca="1" si="242"/>
        <v>0</v>
      </c>
      <c r="Y340" s="50">
        <f t="shared" ca="1" si="242"/>
        <v>0</v>
      </c>
      <c r="Z340" s="50">
        <f t="shared" ca="1" si="242"/>
        <v>0</v>
      </c>
      <c r="AA340" s="50">
        <f t="shared" ca="1" si="242"/>
        <v>0</v>
      </c>
      <c r="AB340" s="50">
        <f t="shared" ca="1" si="242"/>
        <v>0</v>
      </c>
      <c r="AC340" s="50">
        <f t="shared" ca="1" si="242"/>
        <v>0</v>
      </c>
      <c r="AD340" s="50">
        <f t="shared" ca="1" si="242"/>
        <v>0</v>
      </c>
      <c r="AE340" s="50">
        <f t="shared" ca="1" si="242"/>
        <v>0</v>
      </c>
      <c r="AF340" s="50">
        <f t="shared" ca="1" si="242"/>
        <v>0</v>
      </c>
      <c r="AG340" s="50">
        <f t="shared" ca="1" si="242"/>
        <v>0</v>
      </c>
      <c r="AH340" s="50">
        <f t="shared" ca="1" si="242"/>
        <v>0</v>
      </c>
      <c r="AI340" s="50">
        <f t="shared" ca="1" si="242"/>
        <v>0</v>
      </c>
      <c r="AJ340" s="50">
        <f t="shared" ca="1" si="242"/>
        <v>0</v>
      </c>
      <c r="AK340" s="50">
        <f t="shared" ca="1" si="242"/>
        <v>0</v>
      </c>
      <c r="AL340" s="50">
        <f t="shared" si="242"/>
        <v>0</v>
      </c>
      <c r="AM340" s="50">
        <f t="shared" si="242"/>
        <v>0</v>
      </c>
      <c r="AN340" s="50">
        <f t="shared" si="242"/>
        <v>0</v>
      </c>
      <c r="AO340" s="50">
        <f t="shared" si="242"/>
        <v>0</v>
      </c>
      <c r="AP340" s="50">
        <f t="shared" si="242"/>
        <v>0</v>
      </c>
      <c r="AQ340" s="50">
        <f t="shared" si="242"/>
        <v>0</v>
      </c>
      <c r="AR340" s="50">
        <f t="shared" si="242"/>
        <v>0</v>
      </c>
      <c r="AS340" s="50">
        <f t="shared" si="242"/>
        <v>0</v>
      </c>
      <c r="AT340" s="50">
        <f t="shared" si="242"/>
        <v>0</v>
      </c>
      <c r="AU340" s="50">
        <f t="shared" si="242"/>
        <v>0</v>
      </c>
    </row>
    <row r="341" spans="1:47">
      <c r="D341" s="186"/>
      <c r="E341" s="325"/>
      <c r="G341" s="39" t="s">
        <v>304</v>
      </c>
      <c r="I341" s="39"/>
      <c r="K341" s="39"/>
      <c r="L341" s="43"/>
      <c r="N341" s="70"/>
      <c r="O341" s="313"/>
      <c r="P341" s="70"/>
      <c r="Q341" s="313"/>
      <c r="R341" s="50"/>
      <c r="S341" s="50"/>
      <c r="T341" s="50"/>
      <c r="U341" s="50"/>
      <c r="V341" s="50"/>
      <c r="W341" s="50"/>
      <c r="X341" s="50"/>
      <c r="Y341" s="50"/>
      <c r="Z341" s="50"/>
      <c r="AA341" s="50"/>
      <c r="AB341" s="50"/>
      <c r="AC341" s="50"/>
      <c r="AD341" s="50"/>
      <c r="AE341" s="50"/>
      <c r="AF341" s="50"/>
      <c r="AG341" s="50"/>
      <c r="AH341" s="50"/>
      <c r="AI341" s="50"/>
      <c r="AJ341" s="50"/>
      <c r="AK341" s="50"/>
      <c r="AL341" s="50"/>
      <c r="AM341" s="50"/>
      <c r="AN341" s="50"/>
      <c r="AO341" s="50"/>
      <c r="AP341" s="50"/>
      <c r="AQ341" s="50"/>
      <c r="AR341" s="50"/>
      <c r="AS341" s="50"/>
      <c r="AT341" s="50"/>
      <c r="AU341" s="50"/>
    </row>
    <row r="342" spans="1:47">
      <c r="A342" s="38" t="str">
        <f>$J$4&amp;"-"</f>
        <v>1Y-</v>
      </c>
      <c r="B342" s="38" t="s">
        <v>265</v>
      </c>
      <c r="C342" s="38" t="str">
        <f>C333</f>
        <v>Gas Cleaning</v>
      </c>
      <c r="D342" s="186"/>
      <c r="E342" s="325"/>
      <c r="G342" s="36" t="s">
        <v>108</v>
      </c>
      <c r="I342" s="39"/>
      <c r="K342" s="39"/>
      <c r="L342" s="43" t="s">
        <v>293</v>
      </c>
      <c r="N342" s="70">
        <f ca="1">SUMIFS(OFFSET(Assumptions!$I$90,0,MATCH($A342,Configurations,0)-1,COUNT(Assumptions!$A$90:$A$183),1),Assumptions!$D$90:$D$183,$B342&amp;$C342)</f>
        <v>0</v>
      </c>
      <c r="O342" s="313"/>
      <c r="P342" s="323"/>
      <c r="Q342" s="313"/>
      <c r="R342" s="50">
        <f t="shared" ref="R342:AU342" ca="1" si="243">IF(OR(R$99&lt;InServiceYr,R$99&gt;(InServiceYr+analysis_period-1)),0,IF($P342=0,$N342,$P342)*R$501)</f>
        <v>0</v>
      </c>
      <c r="S342" s="50">
        <f t="shared" ca="1" si="243"/>
        <v>0</v>
      </c>
      <c r="T342" s="50">
        <f t="shared" ca="1" si="243"/>
        <v>0</v>
      </c>
      <c r="U342" s="50">
        <f t="shared" ca="1" si="243"/>
        <v>0</v>
      </c>
      <c r="V342" s="50">
        <f t="shared" ca="1" si="243"/>
        <v>0</v>
      </c>
      <c r="W342" s="50">
        <f t="shared" ca="1" si="243"/>
        <v>0</v>
      </c>
      <c r="X342" s="50">
        <f t="shared" ca="1" si="243"/>
        <v>0</v>
      </c>
      <c r="Y342" s="50">
        <f t="shared" ca="1" si="243"/>
        <v>0</v>
      </c>
      <c r="Z342" s="50">
        <f t="shared" ca="1" si="243"/>
        <v>0</v>
      </c>
      <c r="AA342" s="50">
        <f t="shared" ca="1" si="243"/>
        <v>0</v>
      </c>
      <c r="AB342" s="50">
        <f t="shared" ca="1" si="243"/>
        <v>0</v>
      </c>
      <c r="AC342" s="50">
        <f t="shared" ca="1" si="243"/>
        <v>0</v>
      </c>
      <c r="AD342" s="50">
        <f t="shared" ca="1" si="243"/>
        <v>0</v>
      </c>
      <c r="AE342" s="50">
        <f t="shared" ca="1" si="243"/>
        <v>0</v>
      </c>
      <c r="AF342" s="50">
        <f t="shared" ca="1" si="243"/>
        <v>0</v>
      </c>
      <c r="AG342" s="50">
        <f t="shared" ca="1" si="243"/>
        <v>0</v>
      </c>
      <c r="AH342" s="50">
        <f t="shared" ca="1" si="243"/>
        <v>0</v>
      </c>
      <c r="AI342" s="50">
        <f t="shared" ca="1" si="243"/>
        <v>0</v>
      </c>
      <c r="AJ342" s="50">
        <f t="shared" ca="1" si="243"/>
        <v>0</v>
      </c>
      <c r="AK342" s="50">
        <f t="shared" ca="1" si="243"/>
        <v>0</v>
      </c>
      <c r="AL342" s="50">
        <f t="shared" si="243"/>
        <v>0</v>
      </c>
      <c r="AM342" s="50">
        <f t="shared" si="243"/>
        <v>0</v>
      </c>
      <c r="AN342" s="50">
        <f t="shared" si="243"/>
        <v>0</v>
      </c>
      <c r="AO342" s="50">
        <f t="shared" si="243"/>
        <v>0</v>
      </c>
      <c r="AP342" s="50">
        <f t="shared" si="243"/>
        <v>0</v>
      </c>
      <c r="AQ342" s="50">
        <f t="shared" si="243"/>
        <v>0</v>
      </c>
      <c r="AR342" s="50">
        <f t="shared" si="243"/>
        <v>0</v>
      </c>
      <c r="AS342" s="50">
        <f t="shared" si="243"/>
        <v>0</v>
      </c>
      <c r="AT342" s="50">
        <f t="shared" si="243"/>
        <v>0</v>
      </c>
      <c r="AU342" s="50">
        <f t="shared" si="243"/>
        <v>0</v>
      </c>
    </row>
    <row r="343" spans="1:47">
      <c r="A343" s="38" t="str">
        <f>$J$4&amp;"-"</f>
        <v>1Y-</v>
      </c>
      <c r="B343" s="38" t="s">
        <v>289</v>
      </c>
      <c r="C343" s="38" t="str">
        <f>C333</f>
        <v>Gas Cleaning</v>
      </c>
      <c r="D343" s="186">
        <f>LaborEsc</f>
        <v>0.02</v>
      </c>
      <c r="E343" s="325"/>
      <c r="G343" s="36" t="s">
        <v>292</v>
      </c>
      <c r="I343" s="39"/>
      <c r="K343" s="39"/>
      <c r="L343" s="43" t="str">
        <f>"["&amp;CostBaseYr&amp;" $]"</f>
        <v>[2013 $]</v>
      </c>
      <c r="N343" s="70">
        <f ca="1">SUMIFS(OFFSET(Assumptions!$I$90,0,MATCH($A343,Configurations,0)-1,COUNT(Assumptions!$A$90:$A$183),1),Assumptions!$D$90:$D$183,$B343&amp;$C343)</f>
        <v>0</v>
      </c>
      <c r="O343" s="313"/>
      <c r="P343" s="323"/>
      <c r="Q343" s="313"/>
      <c r="R343" s="50">
        <f t="shared" ref="R343:AU343" ca="1" si="244">IF(OR(R$99&lt;InServiceYr,R$99&gt;(InServiceYr+analysis_period-1)),0,IF($P343=0,$N343,$P343)*(1+$D343)^(R$99-CostBaseYr))</f>
        <v>0</v>
      </c>
      <c r="S343" s="50">
        <f t="shared" ca="1" si="244"/>
        <v>0</v>
      </c>
      <c r="T343" s="50">
        <f t="shared" ca="1" si="244"/>
        <v>0</v>
      </c>
      <c r="U343" s="50">
        <f t="shared" ca="1" si="244"/>
        <v>0</v>
      </c>
      <c r="V343" s="50">
        <f t="shared" ca="1" si="244"/>
        <v>0</v>
      </c>
      <c r="W343" s="50">
        <f t="shared" ca="1" si="244"/>
        <v>0</v>
      </c>
      <c r="X343" s="50">
        <f t="shared" ca="1" si="244"/>
        <v>0</v>
      </c>
      <c r="Y343" s="50">
        <f t="shared" ca="1" si="244"/>
        <v>0</v>
      </c>
      <c r="Z343" s="50">
        <f t="shared" ca="1" si="244"/>
        <v>0</v>
      </c>
      <c r="AA343" s="50">
        <f t="shared" ca="1" si="244"/>
        <v>0</v>
      </c>
      <c r="AB343" s="50">
        <f t="shared" ca="1" si="244"/>
        <v>0</v>
      </c>
      <c r="AC343" s="50">
        <f t="shared" ca="1" si="244"/>
        <v>0</v>
      </c>
      <c r="AD343" s="50">
        <f t="shared" ca="1" si="244"/>
        <v>0</v>
      </c>
      <c r="AE343" s="50">
        <f t="shared" ca="1" si="244"/>
        <v>0</v>
      </c>
      <c r="AF343" s="50">
        <f t="shared" ca="1" si="244"/>
        <v>0</v>
      </c>
      <c r="AG343" s="50">
        <f t="shared" ca="1" si="244"/>
        <v>0</v>
      </c>
      <c r="AH343" s="50">
        <f t="shared" ca="1" si="244"/>
        <v>0</v>
      </c>
      <c r="AI343" s="50">
        <f t="shared" ca="1" si="244"/>
        <v>0</v>
      </c>
      <c r="AJ343" s="50">
        <f t="shared" ca="1" si="244"/>
        <v>0</v>
      </c>
      <c r="AK343" s="50">
        <f t="shared" ca="1" si="244"/>
        <v>0</v>
      </c>
      <c r="AL343" s="50">
        <f t="shared" si="244"/>
        <v>0</v>
      </c>
      <c r="AM343" s="50">
        <f t="shared" si="244"/>
        <v>0</v>
      </c>
      <c r="AN343" s="50">
        <f t="shared" si="244"/>
        <v>0</v>
      </c>
      <c r="AO343" s="50">
        <f t="shared" si="244"/>
        <v>0</v>
      </c>
      <c r="AP343" s="50">
        <f t="shared" si="244"/>
        <v>0</v>
      </c>
      <c r="AQ343" s="50">
        <f t="shared" si="244"/>
        <v>0</v>
      </c>
      <c r="AR343" s="50">
        <f t="shared" si="244"/>
        <v>0</v>
      </c>
      <c r="AS343" s="50">
        <f t="shared" si="244"/>
        <v>0</v>
      </c>
      <c r="AT343" s="50">
        <f t="shared" si="244"/>
        <v>0</v>
      </c>
      <c r="AU343" s="50">
        <f t="shared" si="244"/>
        <v>0</v>
      </c>
    </row>
    <row r="344" spans="1:47" s="60" customFormat="1">
      <c r="D344" s="187"/>
      <c r="E344" s="325"/>
      <c r="G344" s="39" t="s">
        <v>305</v>
      </c>
      <c r="I344" s="39"/>
      <c r="K344" s="39"/>
      <c r="L344" s="174"/>
      <c r="N344" s="188"/>
      <c r="O344" s="314"/>
      <c r="P344" s="185"/>
      <c r="Q344" s="314"/>
      <c r="R344" s="185">
        <f ca="1">SUM(R333:R340)-SUM(R342:R343)</f>
        <v>108640.6308038642</v>
      </c>
      <c r="S344" s="185">
        <f t="shared" ref="S344:AU344" ca="1" si="245">SUM(S333:S340)-SUM(S342:S343)</f>
        <v>110639.17877494777</v>
      </c>
      <c r="T344" s="185">
        <f t="shared" ca="1" si="245"/>
        <v>113146.32612635657</v>
      </c>
      <c r="U344" s="185">
        <f t="shared" ca="1" si="245"/>
        <v>115542.08593431277</v>
      </c>
      <c r="V344" s="185">
        <f t="shared" ca="1" si="245"/>
        <v>117909.46280539961</v>
      </c>
      <c r="W344" s="185">
        <f t="shared" ca="1" si="245"/>
        <v>120166.6466105915</v>
      </c>
      <c r="X344" s="185">
        <f t="shared" ca="1" si="245"/>
        <v>122517.06818382343</v>
      </c>
      <c r="Y344" s="185">
        <f t="shared" ca="1" si="245"/>
        <v>125034.31563175299</v>
      </c>
      <c r="Z344" s="185">
        <f t="shared" ca="1" si="245"/>
        <v>127593.24982473197</v>
      </c>
      <c r="AA344" s="185">
        <f t="shared" ca="1" si="245"/>
        <v>130220.82719089978</v>
      </c>
      <c r="AB344" s="185">
        <f t="shared" ca="1" si="245"/>
        <v>132850.99300966476</v>
      </c>
      <c r="AC344" s="185">
        <f t="shared" ca="1" si="245"/>
        <v>135496.22654928878</v>
      </c>
      <c r="AD344" s="185">
        <f t="shared" ca="1" si="245"/>
        <v>138256.22729115075</v>
      </c>
      <c r="AE344" s="185">
        <f t="shared" ca="1" si="245"/>
        <v>141067.49193195751</v>
      </c>
      <c r="AF344" s="185">
        <f t="shared" ca="1" si="245"/>
        <v>143952.68353393392</v>
      </c>
      <c r="AG344" s="185">
        <f t="shared" ca="1" si="245"/>
        <v>146935.86696288924</v>
      </c>
      <c r="AH344" s="185">
        <f t="shared" ca="1" si="245"/>
        <v>149954.62204467092</v>
      </c>
      <c r="AI344" s="185">
        <f t="shared" ca="1" si="245"/>
        <v>153061.80317543331</v>
      </c>
      <c r="AJ344" s="185">
        <f t="shared" ca="1" si="245"/>
        <v>156249.36562576919</v>
      </c>
      <c r="AK344" s="185">
        <f t="shared" ca="1" si="245"/>
        <v>159512.39225317491</v>
      </c>
      <c r="AL344" s="185">
        <f t="shared" si="245"/>
        <v>0</v>
      </c>
      <c r="AM344" s="185">
        <f t="shared" si="245"/>
        <v>0</v>
      </c>
      <c r="AN344" s="185">
        <f t="shared" si="245"/>
        <v>0</v>
      </c>
      <c r="AO344" s="185">
        <f t="shared" si="245"/>
        <v>0</v>
      </c>
      <c r="AP344" s="185">
        <f t="shared" si="245"/>
        <v>0</v>
      </c>
      <c r="AQ344" s="185">
        <f t="shared" si="245"/>
        <v>0</v>
      </c>
      <c r="AR344" s="185">
        <f t="shared" si="245"/>
        <v>0</v>
      </c>
      <c r="AS344" s="185">
        <f t="shared" si="245"/>
        <v>0</v>
      </c>
      <c r="AT344" s="185">
        <f t="shared" si="245"/>
        <v>0</v>
      </c>
      <c r="AU344" s="185">
        <f t="shared" si="245"/>
        <v>0</v>
      </c>
    </row>
    <row r="345" spans="1:47">
      <c r="E345" s="36"/>
      <c r="G345" s="39"/>
      <c r="H345" s="39"/>
      <c r="I345" s="39"/>
      <c r="J345" s="39"/>
      <c r="K345" s="39"/>
    </row>
    <row r="346" spans="1:47">
      <c r="E346" s="327"/>
      <c r="F346" s="28"/>
      <c r="G346" s="324" t="str">
        <f>C348&amp;" Capital Costs"</f>
        <v>Gravity Belt Thickener Capital Costs</v>
      </c>
      <c r="H346" s="324"/>
      <c r="I346" s="324"/>
      <c r="J346" s="324"/>
      <c r="K346" s="324"/>
      <c r="L346" s="405" t="s">
        <v>79</v>
      </c>
      <c r="M346" s="256"/>
      <c r="N346" s="325" t="s">
        <v>490</v>
      </c>
      <c r="O346" s="311"/>
      <c r="P346" s="325" t="s">
        <v>491</v>
      </c>
      <c r="Q346" s="310"/>
      <c r="R346" s="325">
        <f>R$8</f>
        <v>2014</v>
      </c>
      <c r="S346" s="325">
        <f t="shared" ref="S346:AU346" si="246">S$8</f>
        <v>2015</v>
      </c>
      <c r="T346" s="325">
        <f t="shared" si="246"/>
        <v>2016</v>
      </c>
      <c r="U346" s="325">
        <f t="shared" si="246"/>
        <v>2017</v>
      </c>
      <c r="V346" s="325">
        <f t="shared" si="246"/>
        <v>2018</v>
      </c>
      <c r="W346" s="325">
        <f t="shared" si="246"/>
        <v>2019</v>
      </c>
      <c r="X346" s="325">
        <f t="shared" si="246"/>
        <v>2020</v>
      </c>
      <c r="Y346" s="325">
        <f t="shared" si="246"/>
        <v>2021</v>
      </c>
      <c r="Z346" s="325">
        <f t="shared" si="246"/>
        <v>2022</v>
      </c>
      <c r="AA346" s="325">
        <f t="shared" si="246"/>
        <v>2023</v>
      </c>
      <c r="AB346" s="325">
        <f t="shared" si="246"/>
        <v>2024</v>
      </c>
      <c r="AC346" s="325">
        <f t="shared" si="246"/>
        <v>2025</v>
      </c>
      <c r="AD346" s="325">
        <f t="shared" si="246"/>
        <v>2026</v>
      </c>
      <c r="AE346" s="325">
        <f t="shared" si="246"/>
        <v>2027</v>
      </c>
      <c r="AF346" s="325">
        <f t="shared" si="246"/>
        <v>2028</v>
      </c>
      <c r="AG346" s="325">
        <f t="shared" si="246"/>
        <v>2029</v>
      </c>
      <c r="AH346" s="325">
        <f t="shared" si="246"/>
        <v>2030</v>
      </c>
      <c r="AI346" s="325">
        <f t="shared" si="246"/>
        <v>2031</v>
      </c>
      <c r="AJ346" s="325">
        <f t="shared" si="246"/>
        <v>2032</v>
      </c>
      <c r="AK346" s="325">
        <f t="shared" si="246"/>
        <v>2033</v>
      </c>
      <c r="AL346" s="325">
        <f t="shared" si="246"/>
        <v>2034</v>
      </c>
      <c r="AM346" s="325">
        <f t="shared" si="246"/>
        <v>2035</v>
      </c>
      <c r="AN346" s="325">
        <f t="shared" si="246"/>
        <v>2036</v>
      </c>
      <c r="AO346" s="325">
        <f t="shared" si="246"/>
        <v>2037</v>
      </c>
      <c r="AP346" s="325">
        <f t="shared" si="246"/>
        <v>2038</v>
      </c>
      <c r="AQ346" s="325">
        <f t="shared" si="246"/>
        <v>2039</v>
      </c>
      <c r="AR346" s="325">
        <f t="shared" si="246"/>
        <v>2040</v>
      </c>
      <c r="AS346" s="325">
        <f t="shared" si="246"/>
        <v>2041</v>
      </c>
      <c r="AT346" s="325">
        <f t="shared" si="246"/>
        <v>2042</v>
      </c>
      <c r="AU346" s="325">
        <f t="shared" si="246"/>
        <v>2043</v>
      </c>
    </row>
    <row r="347" spans="1:47">
      <c r="E347" s="325"/>
      <c r="G347" s="39"/>
      <c r="H347" s="39"/>
      <c r="I347" s="39"/>
      <c r="J347" s="39"/>
      <c r="K347" s="39"/>
    </row>
    <row r="348" spans="1:47">
      <c r="A348" s="38" t="str">
        <f>$J$4&amp;"-"</f>
        <v>1Y-</v>
      </c>
      <c r="B348" s="38" t="s">
        <v>306</v>
      </c>
      <c r="C348" s="38" t="s">
        <v>135</v>
      </c>
      <c r="D348" s="186">
        <f>CapExEsc</f>
        <v>0.03</v>
      </c>
      <c r="E348" s="325"/>
      <c r="G348" s="36" t="s">
        <v>8</v>
      </c>
      <c r="H348" s="39"/>
      <c r="I348" s="39"/>
      <c r="J348" s="70"/>
      <c r="K348" s="39"/>
      <c r="L348" s="43" t="str">
        <f>"["&amp;CostBaseYr&amp;" $]"</f>
        <v>[2013 $]</v>
      </c>
      <c r="N348" s="52">
        <f ca="1">SUMIFS(OFFSET(Assumptions!$I$65,0,MATCH($A348,Configurations,0)-1,COUNT(Assumptions!$A$65:$A$84),1),Assumptions!$E$65:$E$84,$C348)</f>
        <v>2050000</v>
      </c>
      <c r="O348" s="52"/>
      <c r="P348" s="322"/>
      <c r="Q348" s="52"/>
      <c r="R348" s="52">
        <f t="shared" ref="R348:AU348" ca="1" si="247">R349*IF($P348=0,$N348,$P348)*(1+$D348)^(R$8-CostBaseYr)</f>
        <v>2111500</v>
      </c>
      <c r="S348" s="52">
        <f t="shared" ca="1" si="247"/>
        <v>0</v>
      </c>
      <c r="T348" s="52">
        <f t="shared" ca="1" si="247"/>
        <v>0</v>
      </c>
      <c r="U348" s="52">
        <f t="shared" ca="1" si="247"/>
        <v>0</v>
      </c>
      <c r="V348" s="52">
        <f t="shared" ca="1" si="247"/>
        <v>0</v>
      </c>
      <c r="W348" s="52">
        <f t="shared" ca="1" si="247"/>
        <v>0</v>
      </c>
      <c r="X348" s="52">
        <f t="shared" ca="1" si="247"/>
        <v>0</v>
      </c>
      <c r="Y348" s="52">
        <f t="shared" ca="1" si="247"/>
        <v>0</v>
      </c>
      <c r="Z348" s="52">
        <f t="shared" ca="1" si="247"/>
        <v>0</v>
      </c>
      <c r="AA348" s="52">
        <f t="shared" ca="1" si="247"/>
        <v>0</v>
      </c>
      <c r="AB348" s="52">
        <f t="shared" ca="1" si="247"/>
        <v>0</v>
      </c>
      <c r="AC348" s="52">
        <f t="shared" ca="1" si="247"/>
        <v>0</v>
      </c>
      <c r="AD348" s="52">
        <f t="shared" ca="1" si="247"/>
        <v>0</v>
      </c>
      <c r="AE348" s="52">
        <f t="shared" ca="1" si="247"/>
        <v>0</v>
      </c>
      <c r="AF348" s="52">
        <f t="shared" ca="1" si="247"/>
        <v>0</v>
      </c>
      <c r="AG348" s="52">
        <f t="shared" ca="1" si="247"/>
        <v>0</v>
      </c>
      <c r="AH348" s="52">
        <f t="shared" ca="1" si="247"/>
        <v>0</v>
      </c>
      <c r="AI348" s="52">
        <f t="shared" ca="1" si="247"/>
        <v>0</v>
      </c>
      <c r="AJ348" s="52">
        <f t="shared" ca="1" si="247"/>
        <v>0</v>
      </c>
      <c r="AK348" s="52">
        <f t="shared" ca="1" si="247"/>
        <v>0</v>
      </c>
      <c r="AL348" s="52">
        <f t="shared" ca="1" si="247"/>
        <v>0</v>
      </c>
      <c r="AM348" s="52">
        <f t="shared" ca="1" si="247"/>
        <v>0</v>
      </c>
      <c r="AN348" s="52">
        <f t="shared" ca="1" si="247"/>
        <v>0</v>
      </c>
      <c r="AO348" s="52">
        <f t="shared" ca="1" si="247"/>
        <v>0</v>
      </c>
      <c r="AP348" s="52">
        <f t="shared" ca="1" si="247"/>
        <v>0</v>
      </c>
      <c r="AQ348" s="52">
        <f t="shared" ca="1" si="247"/>
        <v>0</v>
      </c>
      <c r="AR348" s="52">
        <f t="shared" ca="1" si="247"/>
        <v>0</v>
      </c>
      <c r="AS348" s="52">
        <f t="shared" ca="1" si="247"/>
        <v>0</v>
      </c>
      <c r="AT348" s="52">
        <f t="shared" ca="1" si="247"/>
        <v>0</v>
      </c>
      <c r="AU348" s="52">
        <f t="shared" ca="1" si="247"/>
        <v>0</v>
      </c>
    </row>
    <row r="349" spans="1:47">
      <c r="E349" s="325"/>
      <c r="G349" s="36" t="s">
        <v>10</v>
      </c>
      <c r="H349" s="39"/>
      <c r="I349" s="39"/>
      <c r="J349" s="39"/>
      <c r="K349" s="39"/>
      <c r="L349" s="43"/>
      <c r="R349" s="54">
        <f>Assumptions!M$60</f>
        <v>1</v>
      </c>
      <c r="S349" s="54">
        <f>Assumptions!N$60</f>
        <v>0</v>
      </c>
      <c r="T349" s="54">
        <f>Assumptions!O$60</f>
        <v>0</v>
      </c>
      <c r="U349" s="54">
        <f>Assumptions!P$60</f>
        <v>0</v>
      </c>
      <c r="V349" s="54">
        <f>Assumptions!Q$60</f>
        <v>0</v>
      </c>
      <c r="W349" s="54">
        <f>Assumptions!R$60</f>
        <v>0</v>
      </c>
      <c r="X349" s="54">
        <f>Assumptions!S$60</f>
        <v>0</v>
      </c>
      <c r="Y349" s="54">
        <f>Assumptions!T$60</f>
        <v>0</v>
      </c>
      <c r="Z349" s="54">
        <f>Assumptions!U$60</f>
        <v>0</v>
      </c>
      <c r="AA349" s="54">
        <f>Assumptions!V$60</f>
        <v>0</v>
      </c>
      <c r="AB349" s="54">
        <f>Assumptions!W$60</f>
        <v>0</v>
      </c>
      <c r="AC349" s="54">
        <f>Assumptions!X$60</f>
        <v>0</v>
      </c>
      <c r="AD349" s="54">
        <f>Assumptions!Y$60</f>
        <v>0</v>
      </c>
      <c r="AE349" s="54">
        <f>Assumptions!Z$60</f>
        <v>0</v>
      </c>
      <c r="AF349" s="54">
        <f>Assumptions!AA$60</f>
        <v>0</v>
      </c>
      <c r="AG349" s="54">
        <f>Assumptions!AB$60</f>
        <v>0</v>
      </c>
      <c r="AH349" s="54">
        <f>Assumptions!AC$60</f>
        <v>0</v>
      </c>
      <c r="AI349" s="54">
        <f>Assumptions!AD$60</f>
        <v>0</v>
      </c>
      <c r="AJ349" s="54">
        <f>Assumptions!AE$60</f>
        <v>0</v>
      </c>
      <c r="AK349" s="54">
        <f>Assumptions!AF$60</f>
        <v>0</v>
      </c>
      <c r="AL349" s="54">
        <f>Assumptions!AG$60</f>
        <v>0</v>
      </c>
      <c r="AM349" s="54">
        <f>Assumptions!AH$60</f>
        <v>0</v>
      </c>
      <c r="AN349" s="54">
        <f>Assumptions!AI$60</f>
        <v>0</v>
      </c>
      <c r="AO349" s="54">
        <f>Assumptions!AJ$60</f>
        <v>0</v>
      </c>
      <c r="AP349" s="54">
        <f>Assumptions!AK$60</f>
        <v>0</v>
      </c>
      <c r="AQ349" s="54">
        <f>Assumptions!AL$60</f>
        <v>0</v>
      </c>
      <c r="AR349" s="54">
        <f>Assumptions!AM$60</f>
        <v>0</v>
      </c>
      <c r="AS349" s="54">
        <f>Assumptions!AN$60</f>
        <v>0</v>
      </c>
      <c r="AT349" s="54">
        <f>Assumptions!AO$60</f>
        <v>0</v>
      </c>
      <c r="AU349" s="54">
        <f>Assumptions!AP$60</f>
        <v>0</v>
      </c>
    </row>
    <row r="350" spans="1:47">
      <c r="E350" s="326"/>
      <c r="G350" s="39"/>
      <c r="H350" s="39"/>
      <c r="I350" s="39"/>
      <c r="J350" s="39"/>
      <c r="K350" s="39"/>
    </row>
    <row r="351" spans="1:47">
      <c r="E351" s="327"/>
      <c r="F351" s="28"/>
      <c r="G351" s="324" t="str">
        <f>C348&amp;" O&amp;M"</f>
        <v>Gravity Belt Thickener O&amp;M</v>
      </c>
      <c r="H351" s="324"/>
      <c r="I351" s="324"/>
      <c r="J351" s="324"/>
      <c r="K351" s="324"/>
      <c r="L351" s="405" t="s">
        <v>79</v>
      </c>
      <c r="M351" s="256"/>
      <c r="N351" s="325" t="s">
        <v>490</v>
      </c>
      <c r="O351" s="311"/>
      <c r="P351" s="325" t="s">
        <v>491</v>
      </c>
      <c r="Q351" s="310"/>
      <c r="R351" s="325">
        <f>R$8</f>
        <v>2014</v>
      </c>
      <c r="S351" s="325">
        <f t="shared" ref="S351:AU351" si="248">S$8</f>
        <v>2015</v>
      </c>
      <c r="T351" s="325">
        <f t="shared" si="248"/>
        <v>2016</v>
      </c>
      <c r="U351" s="325">
        <f t="shared" si="248"/>
        <v>2017</v>
      </c>
      <c r="V351" s="325">
        <f t="shared" si="248"/>
        <v>2018</v>
      </c>
      <c r="W351" s="325">
        <f t="shared" si="248"/>
        <v>2019</v>
      </c>
      <c r="X351" s="325">
        <f t="shared" si="248"/>
        <v>2020</v>
      </c>
      <c r="Y351" s="325">
        <f t="shared" si="248"/>
        <v>2021</v>
      </c>
      <c r="Z351" s="325">
        <f t="shared" si="248"/>
        <v>2022</v>
      </c>
      <c r="AA351" s="325">
        <f t="shared" si="248"/>
        <v>2023</v>
      </c>
      <c r="AB351" s="325">
        <f t="shared" si="248"/>
        <v>2024</v>
      </c>
      <c r="AC351" s="325">
        <f t="shared" si="248"/>
        <v>2025</v>
      </c>
      <c r="AD351" s="325">
        <f t="shared" si="248"/>
        <v>2026</v>
      </c>
      <c r="AE351" s="325">
        <f t="shared" si="248"/>
        <v>2027</v>
      </c>
      <c r="AF351" s="325">
        <f t="shared" si="248"/>
        <v>2028</v>
      </c>
      <c r="AG351" s="325">
        <f t="shared" si="248"/>
        <v>2029</v>
      </c>
      <c r="AH351" s="325">
        <f t="shared" si="248"/>
        <v>2030</v>
      </c>
      <c r="AI351" s="325">
        <f t="shared" si="248"/>
        <v>2031</v>
      </c>
      <c r="AJ351" s="325">
        <f t="shared" si="248"/>
        <v>2032</v>
      </c>
      <c r="AK351" s="325">
        <f t="shared" si="248"/>
        <v>2033</v>
      </c>
      <c r="AL351" s="325">
        <f t="shared" si="248"/>
        <v>2034</v>
      </c>
      <c r="AM351" s="325">
        <f t="shared" si="248"/>
        <v>2035</v>
      </c>
      <c r="AN351" s="325">
        <f t="shared" si="248"/>
        <v>2036</v>
      </c>
      <c r="AO351" s="325">
        <f t="shared" si="248"/>
        <v>2037</v>
      </c>
      <c r="AP351" s="325">
        <f t="shared" si="248"/>
        <v>2038</v>
      </c>
      <c r="AQ351" s="325">
        <f t="shared" si="248"/>
        <v>2039</v>
      </c>
      <c r="AR351" s="325">
        <f t="shared" si="248"/>
        <v>2040</v>
      </c>
      <c r="AS351" s="325">
        <f t="shared" si="248"/>
        <v>2041</v>
      </c>
      <c r="AT351" s="325">
        <f t="shared" si="248"/>
        <v>2042</v>
      </c>
      <c r="AU351" s="325">
        <f t="shared" si="248"/>
        <v>2043</v>
      </c>
    </row>
    <row r="352" spans="1:47">
      <c r="E352" s="325"/>
      <c r="G352" s="39"/>
      <c r="H352" s="39"/>
      <c r="I352" s="39"/>
      <c r="J352" s="39"/>
      <c r="K352" s="39"/>
    </row>
    <row r="353" spans="1:47">
      <c r="E353" s="325"/>
      <c r="G353" s="39" t="s">
        <v>23</v>
      </c>
      <c r="H353" s="39"/>
      <c r="I353" s="39"/>
      <c r="J353" s="39"/>
      <c r="K353" s="39"/>
    </row>
    <row r="354" spans="1:47">
      <c r="A354" s="38" t="str">
        <f t="shared" ref="A354:A361" si="249">$J$4&amp;"-"</f>
        <v>1Y-</v>
      </c>
      <c r="B354" s="38" t="s">
        <v>262</v>
      </c>
      <c r="C354" s="38" t="str">
        <f>C348</f>
        <v>Gravity Belt Thickener</v>
      </c>
      <c r="D354" s="186">
        <f>LaborEsc</f>
        <v>0.02</v>
      </c>
      <c r="E354" s="325"/>
      <c r="G354" s="36" t="s">
        <v>125</v>
      </c>
      <c r="I354" s="39"/>
      <c r="K354" s="39"/>
      <c r="L354" s="43" t="s">
        <v>266</v>
      </c>
      <c r="N354" s="70">
        <f ca="1">SUMIFS(OFFSET(Assumptions!$I$90,0,MATCH($A354,Configurations,0)-1,COUNT(Assumptions!$A$90:$A$183),1),Assumptions!$D$90:$D$183,$B354&amp;$C354)</f>
        <v>5110</v>
      </c>
      <c r="O354" s="313"/>
      <c r="P354" s="323"/>
      <c r="Q354" s="313"/>
      <c r="R354" s="50">
        <f t="shared" ref="R354:AU354" ca="1" si="250">IF(OR(R$99&lt;InServiceYr,R$99&gt;(InServiceYr+analysis_period-1)),0,IF($P354=0,$N354,$P354)*LaborCost*(1+$D354)^(R$99-CostBaseYr))</f>
        <v>182427</v>
      </c>
      <c r="S354" s="50">
        <f t="shared" ca="1" si="250"/>
        <v>186075.54</v>
      </c>
      <c r="T354" s="50">
        <f t="shared" ca="1" si="250"/>
        <v>189797.0508</v>
      </c>
      <c r="U354" s="50">
        <f t="shared" ca="1" si="250"/>
        <v>193592.99181599999</v>
      </c>
      <c r="V354" s="50">
        <f t="shared" ca="1" si="250"/>
        <v>197464.85165232001</v>
      </c>
      <c r="W354" s="50">
        <f t="shared" ca="1" si="250"/>
        <v>201414.14868536641</v>
      </c>
      <c r="X354" s="50">
        <f t="shared" ca="1" si="250"/>
        <v>205442.43165907369</v>
      </c>
      <c r="Y354" s="50">
        <f t="shared" ca="1" si="250"/>
        <v>209551.28029225519</v>
      </c>
      <c r="Z354" s="50">
        <f t="shared" ca="1" si="250"/>
        <v>213742.30589810028</v>
      </c>
      <c r="AA354" s="50">
        <f t="shared" ca="1" si="250"/>
        <v>218017.15201606232</v>
      </c>
      <c r="AB354" s="50">
        <f t="shared" ca="1" si="250"/>
        <v>222377.49505638352</v>
      </c>
      <c r="AC354" s="50">
        <f t="shared" ca="1" si="250"/>
        <v>226825.04495751121</v>
      </c>
      <c r="AD354" s="50">
        <f t="shared" ca="1" si="250"/>
        <v>231361.54585666143</v>
      </c>
      <c r="AE354" s="50">
        <f t="shared" ca="1" si="250"/>
        <v>235988.77677379467</v>
      </c>
      <c r="AF354" s="50">
        <f t="shared" ca="1" si="250"/>
        <v>240708.55230927051</v>
      </c>
      <c r="AG354" s="50">
        <f t="shared" ca="1" si="250"/>
        <v>245522.72335545596</v>
      </c>
      <c r="AH354" s="50">
        <f t="shared" ca="1" si="250"/>
        <v>250433.17782256511</v>
      </c>
      <c r="AI354" s="50">
        <f t="shared" ca="1" si="250"/>
        <v>255441.84137901638</v>
      </c>
      <c r="AJ354" s="50">
        <f t="shared" ca="1" si="250"/>
        <v>260550.6782065967</v>
      </c>
      <c r="AK354" s="50">
        <f t="shared" ca="1" si="250"/>
        <v>265761.69177072868</v>
      </c>
      <c r="AL354" s="50">
        <f t="shared" si="250"/>
        <v>0</v>
      </c>
      <c r="AM354" s="50">
        <f t="shared" si="250"/>
        <v>0</v>
      </c>
      <c r="AN354" s="50">
        <f t="shared" si="250"/>
        <v>0</v>
      </c>
      <c r="AO354" s="50">
        <f t="shared" si="250"/>
        <v>0</v>
      </c>
      <c r="AP354" s="50">
        <f t="shared" si="250"/>
        <v>0</v>
      </c>
      <c r="AQ354" s="50">
        <f t="shared" si="250"/>
        <v>0</v>
      </c>
      <c r="AR354" s="50">
        <f t="shared" si="250"/>
        <v>0</v>
      </c>
      <c r="AS354" s="50">
        <f t="shared" si="250"/>
        <v>0</v>
      </c>
      <c r="AT354" s="50">
        <f t="shared" si="250"/>
        <v>0</v>
      </c>
      <c r="AU354" s="50">
        <f t="shared" si="250"/>
        <v>0</v>
      </c>
    </row>
    <row r="355" spans="1:47">
      <c r="A355" s="38" t="str">
        <f t="shared" si="249"/>
        <v>1Y-</v>
      </c>
      <c r="B355" s="38" t="s">
        <v>270</v>
      </c>
      <c r="C355" s="38" t="str">
        <f>C354</f>
        <v>Gravity Belt Thickener</v>
      </c>
      <c r="D355" s="186">
        <f>OMEsc</f>
        <v>0.02</v>
      </c>
      <c r="E355" s="325"/>
      <c r="G355" s="36" t="s">
        <v>126</v>
      </c>
      <c r="I355" s="39"/>
      <c r="K355" s="39"/>
      <c r="L355" s="43" t="str">
        <f>"["&amp;CostBaseYr&amp;" $]"</f>
        <v>[2013 $]</v>
      </c>
      <c r="N355" s="70">
        <f ca="1">SUMIFS(OFFSET(Assumptions!$I$90,0,MATCH($A355,Configurations,0)-1,COUNT(Assumptions!$A$90:$A$183),1),Assumptions!$D$90:$D$183,$B355&amp;$C355)</f>
        <v>25000</v>
      </c>
      <c r="O355" s="313"/>
      <c r="P355" s="323"/>
      <c r="Q355" s="313"/>
      <c r="R355" s="50">
        <f t="shared" ref="R355:AG357" ca="1" si="251">IF(OR(R$99&lt;InServiceYr,R$99&gt;(InServiceYr+analysis_period-1)),0,IF($P355=0,$N355,$P355)*(1+$D355)^(R$99-CostBaseYr))</f>
        <v>25500</v>
      </c>
      <c r="S355" s="50">
        <f t="shared" ca="1" si="251"/>
        <v>26010</v>
      </c>
      <c r="T355" s="50">
        <f t="shared" ca="1" si="251"/>
        <v>26530.199999999997</v>
      </c>
      <c r="U355" s="50">
        <f t="shared" ca="1" si="251"/>
        <v>27060.804</v>
      </c>
      <c r="V355" s="50">
        <f t="shared" ca="1" si="251"/>
        <v>27602.020080000002</v>
      </c>
      <c r="W355" s="50">
        <f t="shared" ca="1" si="251"/>
        <v>28154.060481600001</v>
      </c>
      <c r="X355" s="50">
        <f t="shared" ca="1" si="251"/>
        <v>28717.141691231995</v>
      </c>
      <c r="Y355" s="50">
        <f t="shared" ca="1" si="251"/>
        <v>29291.48452505664</v>
      </c>
      <c r="Z355" s="50">
        <f t="shared" ca="1" si="251"/>
        <v>29877.31421555777</v>
      </c>
      <c r="AA355" s="50">
        <f t="shared" ca="1" si="251"/>
        <v>30474.860499868926</v>
      </c>
      <c r="AB355" s="50">
        <f t="shared" ca="1" si="251"/>
        <v>31084.357709866301</v>
      </c>
      <c r="AC355" s="50">
        <f t="shared" ca="1" si="251"/>
        <v>31706.044864063631</v>
      </c>
      <c r="AD355" s="50">
        <f t="shared" ca="1" si="251"/>
        <v>32340.165761344902</v>
      </c>
      <c r="AE355" s="50">
        <f t="shared" ca="1" si="251"/>
        <v>32986.969076571804</v>
      </c>
      <c r="AF355" s="50">
        <f t="shared" ca="1" si="251"/>
        <v>33646.708458103232</v>
      </c>
      <c r="AG355" s="50">
        <f t="shared" ca="1" si="251"/>
        <v>34319.642627265304</v>
      </c>
      <c r="AH355" s="50">
        <f t="shared" ref="S355:AU357" ca="1" si="252">IF(OR(AH$99&lt;InServiceYr,AH$99&gt;(InServiceYr+analysis_period-1)),0,IF($P355=0,$N355,$P355)*(1+$D355)^(AH$99-CostBaseYr))</f>
        <v>35006.035479810613</v>
      </c>
      <c r="AI355" s="50">
        <f t="shared" ca="1" si="252"/>
        <v>35706.156189406815</v>
      </c>
      <c r="AJ355" s="50">
        <f t="shared" ca="1" si="252"/>
        <v>36420.279313194951</v>
      </c>
      <c r="AK355" s="50">
        <f t="shared" ca="1" si="252"/>
        <v>37148.684899458858</v>
      </c>
      <c r="AL355" s="50">
        <f t="shared" si="252"/>
        <v>0</v>
      </c>
      <c r="AM355" s="50">
        <f t="shared" si="252"/>
        <v>0</v>
      </c>
      <c r="AN355" s="50">
        <f t="shared" si="252"/>
        <v>0</v>
      </c>
      <c r="AO355" s="50">
        <f t="shared" si="252"/>
        <v>0</v>
      </c>
      <c r="AP355" s="50">
        <f t="shared" si="252"/>
        <v>0</v>
      </c>
      <c r="AQ355" s="50">
        <f t="shared" si="252"/>
        <v>0</v>
      </c>
      <c r="AR355" s="50">
        <f t="shared" si="252"/>
        <v>0</v>
      </c>
      <c r="AS355" s="50">
        <f t="shared" si="252"/>
        <v>0</v>
      </c>
      <c r="AT355" s="50">
        <f t="shared" si="252"/>
        <v>0</v>
      </c>
      <c r="AU355" s="50">
        <f t="shared" si="252"/>
        <v>0</v>
      </c>
    </row>
    <row r="356" spans="1:47">
      <c r="A356" s="38" t="str">
        <f t="shared" si="249"/>
        <v>1Y-</v>
      </c>
      <c r="B356" s="38" t="s">
        <v>263</v>
      </c>
      <c r="C356" s="38" t="str">
        <f t="shared" ref="C356:C360" si="253">C355</f>
        <v>Gravity Belt Thickener</v>
      </c>
      <c r="D356" s="186">
        <f>OMEsc</f>
        <v>0.02</v>
      </c>
      <c r="E356" s="325"/>
      <c r="G356" s="36" t="s">
        <v>127</v>
      </c>
      <c r="I356" s="39"/>
      <c r="K356" s="39"/>
      <c r="L356" s="43" t="str">
        <f>"["&amp;CostBaseYr&amp;" $]"</f>
        <v>[2013 $]</v>
      </c>
      <c r="N356" s="70">
        <f ca="1">SUMIFS(OFFSET(Assumptions!$I$90,0,MATCH($A356,Configurations,0)-1,COUNT(Assumptions!$A$90:$A$183),1),Assumptions!$D$90:$D$183,$B356&amp;$C356)</f>
        <v>28000</v>
      </c>
      <c r="O356" s="313"/>
      <c r="P356" s="323"/>
      <c r="Q356" s="313"/>
      <c r="R356" s="50">
        <f t="shared" ca="1" si="251"/>
        <v>28560</v>
      </c>
      <c r="S356" s="50">
        <f t="shared" ca="1" si="252"/>
        <v>29131.200000000001</v>
      </c>
      <c r="T356" s="50">
        <f t="shared" ca="1" si="252"/>
        <v>29713.823999999997</v>
      </c>
      <c r="U356" s="50">
        <f t="shared" ca="1" si="252"/>
        <v>30308.100480000001</v>
      </c>
      <c r="V356" s="50">
        <f t="shared" ca="1" si="252"/>
        <v>30914.262489600002</v>
      </c>
      <c r="W356" s="50">
        <f t="shared" ca="1" si="252"/>
        <v>31532.547739392001</v>
      </c>
      <c r="X356" s="50">
        <f t="shared" ca="1" si="252"/>
        <v>32163.198694179835</v>
      </c>
      <c r="Y356" s="50">
        <f t="shared" ca="1" si="252"/>
        <v>32806.462668063432</v>
      </c>
      <c r="Z356" s="50">
        <f t="shared" ca="1" si="252"/>
        <v>33462.591921424704</v>
      </c>
      <c r="AA356" s="50">
        <f t="shared" ca="1" si="252"/>
        <v>34131.843759853196</v>
      </c>
      <c r="AB356" s="50">
        <f t="shared" ca="1" si="252"/>
        <v>34814.480635050255</v>
      </c>
      <c r="AC356" s="50">
        <f t="shared" ca="1" si="252"/>
        <v>35510.770247751265</v>
      </c>
      <c r="AD356" s="50">
        <f t="shared" ca="1" si="252"/>
        <v>36220.985652706288</v>
      </c>
      <c r="AE356" s="50">
        <f t="shared" ca="1" si="252"/>
        <v>36945.405365760424</v>
      </c>
      <c r="AF356" s="50">
        <f t="shared" ca="1" si="252"/>
        <v>37684.313473075621</v>
      </c>
      <c r="AG356" s="50">
        <f t="shared" ca="1" si="252"/>
        <v>38437.99974253714</v>
      </c>
      <c r="AH356" s="50">
        <f t="shared" ca="1" si="252"/>
        <v>39206.759737387882</v>
      </c>
      <c r="AI356" s="50">
        <f t="shared" ca="1" si="252"/>
        <v>39990.894932135634</v>
      </c>
      <c r="AJ356" s="50">
        <f t="shared" ca="1" si="252"/>
        <v>40790.71283077835</v>
      </c>
      <c r="AK356" s="50">
        <f t="shared" ca="1" si="252"/>
        <v>41606.527087393915</v>
      </c>
      <c r="AL356" s="50">
        <f t="shared" si="252"/>
        <v>0</v>
      </c>
      <c r="AM356" s="50">
        <f t="shared" si="252"/>
        <v>0</v>
      </c>
      <c r="AN356" s="50">
        <f t="shared" si="252"/>
        <v>0</v>
      </c>
      <c r="AO356" s="50">
        <f t="shared" si="252"/>
        <v>0</v>
      </c>
      <c r="AP356" s="50">
        <f t="shared" si="252"/>
        <v>0</v>
      </c>
      <c r="AQ356" s="50">
        <f t="shared" si="252"/>
        <v>0</v>
      </c>
      <c r="AR356" s="50">
        <f t="shared" si="252"/>
        <v>0</v>
      </c>
      <c r="AS356" s="50">
        <f t="shared" si="252"/>
        <v>0</v>
      </c>
      <c r="AT356" s="50">
        <f t="shared" si="252"/>
        <v>0</v>
      </c>
      <c r="AU356" s="50">
        <f t="shared" si="252"/>
        <v>0</v>
      </c>
    </row>
    <row r="357" spans="1:47">
      <c r="A357" s="38" t="str">
        <f t="shared" si="249"/>
        <v>1Y-</v>
      </c>
      <c r="B357" s="38" t="s">
        <v>277</v>
      </c>
      <c r="C357" s="38" t="str">
        <f t="shared" si="253"/>
        <v>Gravity Belt Thickener</v>
      </c>
      <c r="D357" s="186">
        <f>OMEsc</f>
        <v>0.02</v>
      </c>
      <c r="E357" s="325"/>
      <c r="G357" s="36" t="s">
        <v>276</v>
      </c>
      <c r="I357" s="39"/>
      <c r="K357" s="39"/>
      <c r="L357" s="43" t="str">
        <f>"["&amp;CostBaseYr&amp;" $]"</f>
        <v>[2013 $]</v>
      </c>
      <c r="N357" s="70">
        <f ca="1">SUMIFS(OFFSET(Assumptions!$I$90,0,MATCH($A357,Configurations,0)-1,COUNT(Assumptions!$A$90:$A$183),1),Assumptions!$D$90:$D$183,$B357&amp;$C357)</f>
        <v>0</v>
      </c>
      <c r="O357" s="313"/>
      <c r="P357" s="323"/>
      <c r="Q357" s="313"/>
      <c r="R357" s="50">
        <f t="shared" ca="1" si="251"/>
        <v>0</v>
      </c>
      <c r="S357" s="50">
        <f t="shared" ca="1" si="252"/>
        <v>0</v>
      </c>
      <c r="T357" s="50">
        <f t="shared" ca="1" si="252"/>
        <v>0</v>
      </c>
      <c r="U357" s="50">
        <f t="shared" ca="1" si="252"/>
        <v>0</v>
      </c>
      <c r="V357" s="50">
        <f t="shared" ca="1" si="252"/>
        <v>0</v>
      </c>
      <c r="W357" s="50">
        <f t="shared" ca="1" si="252"/>
        <v>0</v>
      </c>
      <c r="X357" s="50">
        <f t="shared" ca="1" si="252"/>
        <v>0</v>
      </c>
      <c r="Y357" s="50">
        <f t="shared" ca="1" si="252"/>
        <v>0</v>
      </c>
      <c r="Z357" s="50">
        <f t="shared" ca="1" si="252"/>
        <v>0</v>
      </c>
      <c r="AA357" s="50">
        <f t="shared" ca="1" si="252"/>
        <v>0</v>
      </c>
      <c r="AB357" s="50">
        <f t="shared" ca="1" si="252"/>
        <v>0</v>
      </c>
      <c r="AC357" s="50">
        <f t="shared" ca="1" si="252"/>
        <v>0</v>
      </c>
      <c r="AD357" s="50">
        <f t="shared" ca="1" si="252"/>
        <v>0</v>
      </c>
      <c r="AE357" s="50">
        <f t="shared" ca="1" si="252"/>
        <v>0</v>
      </c>
      <c r="AF357" s="50">
        <f t="shared" ca="1" si="252"/>
        <v>0</v>
      </c>
      <c r="AG357" s="50">
        <f t="shared" ca="1" si="252"/>
        <v>0</v>
      </c>
      <c r="AH357" s="50">
        <f t="shared" ca="1" si="252"/>
        <v>0</v>
      </c>
      <c r="AI357" s="50">
        <f t="shared" ca="1" si="252"/>
        <v>0</v>
      </c>
      <c r="AJ357" s="50">
        <f t="shared" ca="1" si="252"/>
        <v>0</v>
      </c>
      <c r="AK357" s="50">
        <f t="shared" ca="1" si="252"/>
        <v>0</v>
      </c>
      <c r="AL357" s="50">
        <f t="shared" si="252"/>
        <v>0</v>
      </c>
      <c r="AM357" s="50">
        <f t="shared" si="252"/>
        <v>0</v>
      </c>
      <c r="AN357" s="50">
        <f t="shared" si="252"/>
        <v>0</v>
      </c>
      <c r="AO357" s="50">
        <f t="shared" si="252"/>
        <v>0</v>
      </c>
      <c r="AP357" s="50">
        <f t="shared" si="252"/>
        <v>0</v>
      </c>
      <c r="AQ357" s="50">
        <f t="shared" si="252"/>
        <v>0</v>
      </c>
      <c r="AR357" s="50">
        <f t="shared" si="252"/>
        <v>0</v>
      </c>
      <c r="AS357" s="50">
        <f t="shared" si="252"/>
        <v>0</v>
      </c>
      <c r="AT357" s="50">
        <f t="shared" si="252"/>
        <v>0</v>
      </c>
      <c r="AU357" s="50">
        <f t="shared" si="252"/>
        <v>0</v>
      </c>
    </row>
    <row r="358" spans="1:47">
      <c r="A358" s="38" t="str">
        <f t="shared" si="249"/>
        <v>1Y-</v>
      </c>
      <c r="B358" s="38" t="s">
        <v>274</v>
      </c>
      <c r="C358" s="38" t="str">
        <f t="shared" si="253"/>
        <v>Gravity Belt Thickener</v>
      </c>
      <c r="D358" s="186"/>
      <c r="E358" s="325"/>
      <c r="G358" s="36" t="s">
        <v>16</v>
      </c>
      <c r="I358" s="39"/>
      <c r="K358" s="39"/>
      <c r="L358" s="43" t="s">
        <v>275</v>
      </c>
      <c r="N358" s="70">
        <f ca="1">SUMIFS(OFFSET(Assumptions!$I$90,0,MATCH($A358,Configurations,0)-1,COUNT(Assumptions!$A$90:$A$183),1),Assumptions!$D$90:$D$183,$B358&amp;$C358)</f>
        <v>0</v>
      </c>
      <c r="O358" s="313"/>
      <c r="P358" s="323"/>
      <c r="Q358" s="313"/>
      <c r="R358" s="50">
        <f t="shared" ref="R358:AU358" ca="1" si="254">IF(OR(R$99&lt;InServiceYr,R$99&gt;(InServiceYr+analysis_period-1)),0,IF($P358=0,$N358,$P358)*R$505)</f>
        <v>0</v>
      </c>
      <c r="S358" s="50">
        <f t="shared" ca="1" si="254"/>
        <v>0</v>
      </c>
      <c r="T358" s="50">
        <f t="shared" ca="1" si="254"/>
        <v>0</v>
      </c>
      <c r="U358" s="50">
        <f t="shared" ca="1" si="254"/>
        <v>0</v>
      </c>
      <c r="V358" s="50">
        <f t="shared" ca="1" si="254"/>
        <v>0</v>
      </c>
      <c r="W358" s="50">
        <f t="shared" ca="1" si="254"/>
        <v>0</v>
      </c>
      <c r="X358" s="50">
        <f t="shared" ca="1" si="254"/>
        <v>0</v>
      </c>
      <c r="Y358" s="50">
        <f t="shared" ca="1" si="254"/>
        <v>0</v>
      </c>
      <c r="Z358" s="50">
        <f t="shared" ca="1" si="254"/>
        <v>0</v>
      </c>
      <c r="AA358" s="50">
        <f t="shared" ca="1" si="254"/>
        <v>0</v>
      </c>
      <c r="AB358" s="50">
        <f t="shared" ca="1" si="254"/>
        <v>0</v>
      </c>
      <c r="AC358" s="50">
        <f t="shared" ca="1" si="254"/>
        <v>0</v>
      </c>
      <c r="AD358" s="50">
        <f t="shared" ca="1" si="254"/>
        <v>0</v>
      </c>
      <c r="AE358" s="50">
        <f t="shared" ca="1" si="254"/>
        <v>0</v>
      </c>
      <c r="AF358" s="50">
        <f t="shared" ca="1" si="254"/>
        <v>0</v>
      </c>
      <c r="AG358" s="50">
        <f t="shared" ca="1" si="254"/>
        <v>0</v>
      </c>
      <c r="AH358" s="50">
        <f t="shared" ca="1" si="254"/>
        <v>0</v>
      </c>
      <c r="AI358" s="50">
        <f t="shared" ca="1" si="254"/>
        <v>0</v>
      </c>
      <c r="AJ358" s="50">
        <f t="shared" ca="1" si="254"/>
        <v>0</v>
      </c>
      <c r="AK358" s="50">
        <f t="shared" ca="1" si="254"/>
        <v>0</v>
      </c>
      <c r="AL358" s="50">
        <f t="shared" si="254"/>
        <v>0</v>
      </c>
      <c r="AM358" s="50">
        <f t="shared" si="254"/>
        <v>0</v>
      </c>
      <c r="AN358" s="50">
        <f t="shared" si="254"/>
        <v>0</v>
      </c>
      <c r="AO358" s="50">
        <f t="shared" si="254"/>
        <v>0</v>
      </c>
      <c r="AP358" s="50">
        <f t="shared" si="254"/>
        <v>0</v>
      </c>
      <c r="AQ358" s="50">
        <f t="shared" si="254"/>
        <v>0</v>
      </c>
      <c r="AR358" s="50">
        <f t="shared" si="254"/>
        <v>0</v>
      </c>
      <c r="AS358" s="50">
        <f t="shared" si="254"/>
        <v>0</v>
      </c>
      <c r="AT358" s="50">
        <f t="shared" si="254"/>
        <v>0</v>
      </c>
      <c r="AU358" s="50">
        <f t="shared" si="254"/>
        <v>0</v>
      </c>
    </row>
    <row r="359" spans="1:47">
      <c r="A359" s="38" t="str">
        <f t="shared" si="249"/>
        <v>1Y-</v>
      </c>
      <c r="B359" s="38" t="s">
        <v>257</v>
      </c>
      <c r="C359" s="38" t="str">
        <f t="shared" si="253"/>
        <v>Gravity Belt Thickener</v>
      </c>
      <c r="D359" s="186"/>
      <c r="E359" s="325"/>
      <c r="G359" s="36" t="s">
        <v>284</v>
      </c>
      <c r="I359" s="39"/>
      <c r="K359" s="39"/>
      <c r="L359" s="43" t="s">
        <v>293</v>
      </c>
      <c r="N359" s="70">
        <f ca="1">SUMIFS(OFFSET(Assumptions!$I$90,0,MATCH($A359,Configurations,0)-1,COUNT(Assumptions!$A$90:$A$183),1),Assumptions!$D$90:$D$183,$B359&amp;$C359)</f>
        <v>57670</v>
      </c>
      <c r="O359" s="313"/>
      <c r="P359" s="323"/>
      <c r="Q359" s="313"/>
      <c r="R359" s="50">
        <f t="shared" ref="R359:AU359" ca="1" si="255">IF(OR(R$99&lt;InServiceYr,R$99&gt;(InServiceYr+analysis_period-1)),0,IF($P359=0,$N359,$P359)*R$501)</f>
        <v>3724.4183381401403</v>
      </c>
      <c r="S359" s="50">
        <f t="shared" ca="1" si="255"/>
        <v>3747.6346163524208</v>
      </c>
      <c r="T359" s="50">
        <f t="shared" ca="1" si="255"/>
        <v>3909.1949254169845</v>
      </c>
      <c r="U359" s="50">
        <f t="shared" ca="1" si="255"/>
        <v>4026.4609910121817</v>
      </c>
      <c r="V359" s="50">
        <f t="shared" ca="1" si="255"/>
        <v>4123.6239654313813</v>
      </c>
      <c r="W359" s="50">
        <f t="shared" ca="1" si="255"/>
        <v>4176.3786530236048</v>
      </c>
      <c r="X359" s="50">
        <f t="shared" ca="1" si="255"/>
        <v>4244.3386628354192</v>
      </c>
      <c r="Y359" s="50">
        <f t="shared" ca="1" si="255"/>
        <v>4348.910522969717</v>
      </c>
      <c r="Z359" s="50">
        <f t="shared" ca="1" si="255"/>
        <v>4453.0264063000513</v>
      </c>
      <c r="AA359" s="50">
        <f t="shared" ca="1" si="255"/>
        <v>4564.363003805428</v>
      </c>
      <c r="AB359" s="50">
        <f t="shared" ca="1" si="255"/>
        <v>4663.2262073854145</v>
      </c>
      <c r="AC359" s="50">
        <f t="shared" ca="1" si="255"/>
        <v>4753.0229640353818</v>
      </c>
      <c r="AD359" s="50">
        <f t="shared" ca="1" si="255"/>
        <v>4862.8168301893602</v>
      </c>
      <c r="AE359" s="50">
        <f t="shared" ca="1" si="255"/>
        <v>4973.6484908975908</v>
      </c>
      <c r="AF359" s="50">
        <f t="shared" ca="1" si="255"/>
        <v>5091.9049640656904</v>
      </c>
      <c r="AG359" s="50">
        <f t="shared" ca="1" si="255"/>
        <v>5224.3800877835738</v>
      </c>
      <c r="AH359" s="50">
        <f t="shared" ca="1" si="255"/>
        <v>5352.4163687461933</v>
      </c>
      <c r="AI359" s="50">
        <f t="shared" ca="1" si="255"/>
        <v>5491.2665161544919</v>
      </c>
      <c r="AJ359" s="50">
        <f t="shared" ca="1" si="255"/>
        <v>5638.2595559226475</v>
      </c>
      <c r="AK359" s="50">
        <f t="shared" ca="1" si="255"/>
        <v>5791.6386304640209</v>
      </c>
      <c r="AL359" s="50">
        <f t="shared" si="255"/>
        <v>0</v>
      </c>
      <c r="AM359" s="50">
        <f t="shared" si="255"/>
        <v>0</v>
      </c>
      <c r="AN359" s="50">
        <f t="shared" si="255"/>
        <v>0</v>
      </c>
      <c r="AO359" s="50">
        <f t="shared" si="255"/>
        <v>0</v>
      </c>
      <c r="AP359" s="50">
        <f t="shared" si="255"/>
        <v>0</v>
      </c>
      <c r="AQ359" s="50">
        <f t="shared" si="255"/>
        <v>0</v>
      </c>
      <c r="AR359" s="50">
        <f t="shared" si="255"/>
        <v>0</v>
      </c>
      <c r="AS359" s="50">
        <f t="shared" si="255"/>
        <v>0</v>
      </c>
      <c r="AT359" s="50">
        <f t="shared" si="255"/>
        <v>0</v>
      </c>
      <c r="AU359" s="50">
        <f t="shared" si="255"/>
        <v>0</v>
      </c>
    </row>
    <row r="360" spans="1:47">
      <c r="A360" s="38" t="str">
        <f t="shared" si="249"/>
        <v>1Y-</v>
      </c>
      <c r="B360" s="38" t="s">
        <v>864</v>
      </c>
      <c r="C360" s="38" t="str">
        <f t="shared" si="253"/>
        <v>Gravity Belt Thickener</v>
      </c>
      <c r="D360" s="186">
        <f>GHGEsc</f>
        <v>0.02</v>
      </c>
      <c r="E360" s="325"/>
      <c r="G360" s="36" t="s">
        <v>865</v>
      </c>
      <c r="I360" s="39"/>
      <c r="K360" s="39"/>
      <c r="L360" s="43" t="s">
        <v>866</v>
      </c>
      <c r="N360" s="70">
        <f ca="1">SUMIFS(OFFSET(Assumptions!$I$90,0,MATCH($A360,Configurations,0)-1,COUNT(Assumptions!$A$90:$A$183),1),Assumptions!$D$90:$D$183,$B360&amp;$C360)</f>
        <v>0</v>
      </c>
      <c r="O360" s="313"/>
      <c r="P360" s="323"/>
      <c r="Q360" s="313"/>
      <c r="R360" s="50">
        <f t="shared" ref="R360:AU360" ca="1" si="256">IF(OR(R$99&lt;InServiceYr,R$99&gt;(InServiceYr+analysis_period-1)),0,IF($P360=0,$N360,$P360)*R$513)</f>
        <v>0</v>
      </c>
      <c r="S360" s="50">
        <f t="shared" ca="1" si="256"/>
        <v>0</v>
      </c>
      <c r="T360" s="50">
        <f t="shared" ca="1" si="256"/>
        <v>0</v>
      </c>
      <c r="U360" s="50">
        <f t="shared" ca="1" si="256"/>
        <v>0</v>
      </c>
      <c r="V360" s="50">
        <f t="shared" ca="1" si="256"/>
        <v>0</v>
      </c>
      <c r="W360" s="50">
        <f t="shared" ca="1" si="256"/>
        <v>0</v>
      </c>
      <c r="X360" s="50">
        <f t="shared" ca="1" si="256"/>
        <v>0</v>
      </c>
      <c r="Y360" s="50">
        <f t="shared" ca="1" si="256"/>
        <v>0</v>
      </c>
      <c r="Z360" s="50">
        <f t="shared" ca="1" si="256"/>
        <v>0</v>
      </c>
      <c r="AA360" s="50">
        <f t="shared" ca="1" si="256"/>
        <v>0</v>
      </c>
      <c r="AB360" s="50">
        <f t="shared" ca="1" si="256"/>
        <v>0</v>
      </c>
      <c r="AC360" s="50">
        <f t="shared" ca="1" si="256"/>
        <v>0</v>
      </c>
      <c r="AD360" s="50">
        <f t="shared" ca="1" si="256"/>
        <v>0</v>
      </c>
      <c r="AE360" s="50">
        <f t="shared" ca="1" si="256"/>
        <v>0</v>
      </c>
      <c r="AF360" s="50">
        <f t="shared" ca="1" si="256"/>
        <v>0</v>
      </c>
      <c r="AG360" s="50">
        <f t="shared" ca="1" si="256"/>
        <v>0</v>
      </c>
      <c r="AH360" s="50">
        <f t="shared" ca="1" si="256"/>
        <v>0</v>
      </c>
      <c r="AI360" s="50">
        <f t="shared" ca="1" si="256"/>
        <v>0</v>
      </c>
      <c r="AJ360" s="50">
        <f t="shared" ca="1" si="256"/>
        <v>0</v>
      </c>
      <c r="AK360" s="50">
        <f t="shared" ca="1" si="256"/>
        <v>0</v>
      </c>
      <c r="AL360" s="50">
        <f t="shared" si="256"/>
        <v>0</v>
      </c>
      <c r="AM360" s="50">
        <f t="shared" si="256"/>
        <v>0</v>
      </c>
      <c r="AN360" s="50">
        <f t="shared" si="256"/>
        <v>0</v>
      </c>
      <c r="AO360" s="50">
        <f t="shared" si="256"/>
        <v>0</v>
      </c>
      <c r="AP360" s="50">
        <f t="shared" si="256"/>
        <v>0</v>
      </c>
      <c r="AQ360" s="50">
        <f t="shared" si="256"/>
        <v>0</v>
      </c>
      <c r="AR360" s="50">
        <f t="shared" si="256"/>
        <v>0</v>
      </c>
      <c r="AS360" s="50">
        <f t="shared" si="256"/>
        <v>0</v>
      </c>
      <c r="AT360" s="50">
        <f t="shared" si="256"/>
        <v>0</v>
      </c>
      <c r="AU360" s="50">
        <f t="shared" si="256"/>
        <v>0</v>
      </c>
    </row>
    <row r="361" spans="1:47">
      <c r="A361" s="38" t="str">
        <f t="shared" si="249"/>
        <v>1Y-</v>
      </c>
      <c r="B361" s="38" t="s">
        <v>273</v>
      </c>
      <c r="C361" s="38" t="str">
        <f>C359</f>
        <v>Gravity Belt Thickener</v>
      </c>
      <c r="D361" s="186">
        <f>LaborEsc</f>
        <v>0.02</v>
      </c>
      <c r="E361" s="325"/>
      <c r="G361" s="36" t="s">
        <v>291</v>
      </c>
      <c r="I361" s="39"/>
      <c r="K361" s="39"/>
      <c r="L361" s="43" t="str">
        <f>"["&amp;CostBaseYr&amp;" $]"</f>
        <v>[2013 $]</v>
      </c>
      <c r="N361" s="70">
        <f ca="1">SUMIFS(OFFSET(Assumptions!$I$90,0,MATCH($A361,Configurations,0)-1,COUNT(Assumptions!$A$90:$A$183),1),Assumptions!$D$90:$D$183,$B361&amp;$C361)</f>
        <v>0</v>
      </c>
      <c r="O361" s="313"/>
      <c r="P361" s="323"/>
      <c r="Q361" s="313"/>
      <c r="R361" s="50">
        <f t="shared" ref="R361:AU361" ca="1" si="257">IF(OR(R$99&lt;InServiceYr,R$99&gt;(InServiceYr+analysis_period-1)),0,IF($P361=0,$N361,$P361)*(1+$D361)^(R$99-CostBaseYr))*R$509</f>
        <v>0</v>
      </c>
      <c r="S361" s="50">
        <f t="shared" ca="1" si="257"/>
        <v>0</v>
      </c>
      <c r="T361" s="50">
        <f t="shared" ca="1" si="257"/>
        <v>0</v>
      </c>
      <c r="U361" s="50">
        <f t="shared" ca="1" si="257"/>
        <v>0</v>
      </c>
      <c r="V361" s="50">
        <f t="shared" ca="1" si="257"/>
        <v>0</v>
      </c>
      <c r="W361" s="50">
        <f t="shared" ca="1" si="257"/>
        <v>0</v>
      </c>
      <c r="X361" s="50">
        <f t="shared" ca="1" si="257"/>
        <v>0</v>
      </c>
      <c r="Y361" s="50">
        <f t="shared" ca="1" si="257"/>
        <v>0</v>
      </c>
      <c r="Z361" s="50">
        <f t="shared" ca="1" si="257"/>
        <v>0</v>
      </c>
      <c r="AA361" s="50">
        <f t="shared" ca="1" si="257"/>
        <v>0</v>
      </c>
      <c r="AB361" s="50">
        <f t="shared" ca="1" si="257"/>
        <v>0</v>
      </c>
      <c r="AC361" s="50">
        <f t="shared" ca="1" si="257"/>
        <v>0</v>
      </c>
      <c r="AD361" s="50">
        <f t="shared" ca="1" si="257"/>
        <v>0</v>
      </c>
      <c r="AE361" s="50">
        <f t="shared" ca="1" si="257"/>
        <v>0</v>
      </c>
      <c r="AF361" s="50">
        <f t="shared" ca="1" si="257"/>
        <v>0</v>
      </c>
      <c r="AG361" s="50">
        <f t="shared" ca="1" si="257"/>
        <v>0</v>
      </c>
      <c r="AH361" s="50">
        <f t="shared" ca="1" si="257"/>
        <v>0</v>
      </c>
      <c r="AI361" s="50">
        <f t="shared" ca="1" si="257"/>
        <v>0</v>
      </c>
      <c r="AJ361" s="50">
        <f t="shared" ca="1" si="257"/>
        <v>0</v>
      </c>
      <c r="AK361" s="50">
        <f t="shared" ca="1" si="257"/>
        <v>0</v>
      </c>
      <c r="AL361" s="50">
        <f t="shared" si="257"/>
        <v>0</v>
      </c>
      <c r="AM361" s="50">
        <f t="shared" si="257"/>
        <v>0</v>
      </c>
      <c r="AN361" s="50">
        <f t="shared" si="257"/>
        <v>0</v>
      </c>
      <c r="AO361" s="50">
        <f t="shared" si="257"/>
        <v>0</v>
      </c>
      <c r="AP361" s="50">
        <f t="shared" si="257"/>
        <v>0</v>
      </c>
      <c r="AQ361" s="50">
        <f t="shared" si="257"/>
        <v>0</v>
      </c>
      <c r="AR361" s="50">
        <f t="shared" si="257"/>
        <v>0</v>
      </c>
      <c r="AS361" s="50">
        <f t="shared" si="257"/>
        <v>0</v>
      </c>
      <c r="AT361" s="50">
        <f t="shared" si="257"/>
        <v>0</v>
      </c>
      <c r="AU361" s="50">
        <f t="shared" si="257"/>
        <v>0</v>
      </c>
    </row>
    <row r="362" spans="1:47">
      <c r="D362" s="186"/>
      <c r="E362" s="325"/>
      <c r="G362" s="39" t="s">
        <v>304</v>
      </c>
      <c r="I362" s="39"/>
      <c r="K362" s="39"/>
      <c r="L362" s="43"/>
      <c r="N362" s="70"/>
      <c r="O362" s="313"/>
      <c r="P362" s="70"/>
      <c r="Q362" s="313"/>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row>
    <row r="363" spans="1:47">
      <c r="A363" s="38" t="str">
        <f>$J$4&amp;"-"</f>
        <v>1Y-</v>
      </c>
      <c r="B363" s="38" t="s">
        <v>265</v>
      </c>
      <c r="C363" s="38" t="str">
        <f>C354</f>
        <v>Gravity Belt Thickener</v>
      </c>
      <c r="D363" s="186"/>
      <c r="E363" s="325"/>
      <c r="G363" s="36" t="s">
        <v>108</v>
      </c>
      <c r="I363" s="39"/>
      <c r="K363" s="39"/>
      <c r="L363" s="43" t="s">
        <v>293</v>
      </c>
      <c r="N363" s="70">
        <f ca="1">SUMIFS(OFFSET(Assumptions!$I$90,0,MATCH($A363,Configurations,0)-1,COUNT(Assumptions!$A$90:$A$183),1),Assumptions!$D$90:$D$183,$B363&amp;$C363)</f>
        <v>0</v>
      </c>
      <c r="O363" s="313"/>
      <c r="P363" s="323"/>
      <c r="Q363" s="313"/>
      <c r="R363" s="50">
        <f t="shared" ref="R363:AU363" ca="1" si="258">IF(OR(R$99&lt;InServiceYr,R$99&gt;(InServiceYr+analysis_period-1)),0,IF($P363=0,$N363,$P363)*R$501)</f>
        <v>0</v>
      </c>
      <c r="S363" s="50">
        <f t="shared" ca="1" si="258"/>
        <v>0</v>
      </c>
      <c r="T363" s="50">
        <f t="shared" ca="1" si="258"/>
        <v>0</v>
      </c>
      <c r="U363" s="50">
        <f t="shared" ca="1" si="258"/>
        <v>0</v>
      </c>
      <c r="V363" s="50">
        <f t="shared" ca="1" si="258"/>
        <v>0</v>
      </c>
      <c r="W363" s="50">
        <f t="shared" ca="1" si="258"/>
        <v>0</v>
      </c>
      <c r="X363" s="50">
        <f t="shared" ca="1" si="258"/>
        <v>0</v>
      </c>
      <c r="Y363" s="50">
        <f t="shared" ca="1" si="258"/>
        <v>0</v>
      </c>
      <c r="Z363" s="50">
        <f t="shared" ca="1" si="258"/>
        <v>0</v>
      </c>
      <c r="AA363" s="50">
        <f t="shared" ca="1" si="258"/>
        <v>0</v>
      </c>
      <c r="AB363" s="50">
        <f t="shared" ca="1" si="258"/>
        <v>0</v>
      </c>
      <c r="AC363" s="50">
        <f t="shared" ca="1" si="258"/>
        <v>0</v>
      </c>
      <c r="AD363" s="50">
        <f t="shared" ca="1" si="258"/>
        <v>0</v>
      </c>
      <c r="AE363" s="50">
        <f t="shared" ca="1" si="258"/>
        <v>0</v>
      </c>
      <c r="AF363" s="50">
        <f t="shared" ca="1" si="258"/>
        <v>0</v>
      </c>
      <c r="AG363" s="50">
        <f t="shared" ca="1" si="258"/>
        <v>0</v>
      </c>
      <c r="AH363" s="50">
        <f t="shared" ca="1" si="258"/>
        <v>0</v>
      </c>
      <c r="AI363" s="50">
        <f t="shared" ca="1" si="258"/>
        <v>0</v>
      </c>
      <c r="AJ363" s="50">
        <f t="shared" ca="1" si="258"/>
        <v>0</v>
      </c>
      <c r="AK363" s="50">
        <f t="shared" ca="1" si="258"/>
        <v>0</v>
      </c>
      <c r="AL363" s="50">
        <f t="shared" si="258"/>
        <v>0</v>
      </c>
      <c r="AM363" s="50">
        <f t="shared" si="258"/>
        <v>0</v>
      </c>
      <c r="AN363" s="50">
        <f t="shared" si="258"/>
        <v>0</v>
      </c>
      <c r="AO363" s="50">
        <f t="shared" si="258"/>
        <v>0</v>
      </c>
      <c r="AP363" s="50">
        <f t="shared" si="258"/>
        <v>0</v>
      </c>
      <c r="AQ363" s="50">
        <f t="shared" si="258"/>
        <v>0</v>
      </c>
      <c r="AR363" s="50">
        <f t="shared" si="258"/>
        <v>0</v>
      </c>
      <c r="AS363" s="50">
        <f t="shared" si="258"/>
        <v>0</v>
      </c>
      <c r="AT363" s="50">
        <f t="shared" si="258"/>
        <v>0</v>
      </c>
      <c r="AU363" s="50">
        <f t="shared" si="258"/>
        <v>0</v>
      </c>
    </row>
    <row r="364" spans="1:47">
      <c r="A364" s="38" t="str">
        <f>$J$4&amp;"-"</f>
        <v>1Y-</v>
      </c>
      <c r="B364" s="38" t="s">
        <v>289</v>
      </c>
      <c r="C364" s="38" t="str">
        <f>C354</f>
        <v>Gravity Belt Thickener</v>
      </c>
      <c r="D364" s="186">
        <f>LaborEsc</f>
        <v>0.02</v>
      </c>
      <c r="E364" s="325"/>
      <c r="G364" s="36" t="s">
        <v>292</v>
      </c>
      <c r="I364" s="39"/>
      <c r="K364" s="39"/>
      <c r="L364" s="43" t="str">
        <f>"["&amp;CostBaseYr&amp;" $]"</f>
        <v>[2013 $]</v>
      </c>
      <c r="N364" s="70">
        <f ca="1">SUMIFS(OFFSET(Assumptions!$I$90,0,MATCH($A364,Configurations,0)-1,COUNT(Assumptions!$A$90:$A$183),1),Assumptions!$D$90:$D$183,$B364&amp;$C364)</f>
        <v>0</v>
      </c>
      <c r="O364" s="313"/>
      <c r="P364" s="323"/>
      <c r="Q364" s="313"/>
      <c r="R364" s="50">
        <f t="shared" ref="R364:AU364" ca="1" si="259">IF(OR(R$99&lt;InServiceYr,R$99&gt;(InServiceYr+analysis_period-1)),0,IF($P364=0,$N364,$P364)*(1+$D364)^(R$99-CostBaseYr))</f>
        <v>0</v>
      </c>
      <c r="S364" s="50">
        <f t="shared" ca="1" si="259"/>
        <v>0</v>
      </c>
      <c r="T364" s="50">
        <f t="shared" ca="1" si="259"/>
        <v>0</v>
      </c>
      <c r="U364" s="50">
        <f t="shared" ca="1" si="259"/>
        <v>0</v>
      </c>
      <c r="V364" s="50">
        <f t="shared" ca="1" si="259"/>
        <v>0</v>
      </c>
      <c r="W364" s="50">
        <f t="shared" ca="1" si="259"/>
        <v>0</v>
      </c>
      <c r="X364" s="50">
        <f t="shared" ca="1" si="259"/>
        <v>0</v>
      </c>
      <c r="Y364" s="50">
        <f t="shared" ca="1" si="259"/>
        <v>0</v>
      </c>
      <c r="Z364" s="50">
        <f t="shared" ca="1" si="259"/>
        <v>0</v>
      </c>
      <c r="AA364" s="50">
        <f t="shared" ca="1" si="259"/>
        <v>0</v>
      </c>
      <c r="AB364" s="50">
        <f t="shared" ca="1" si="259"/>
        <v>0</v>
      </c>
      <c r="AC364" s="50">
        <f t="shared" ca="1" si="259"/>
        <v>0</v>
      </c>
      <c r="AD364" s="50">
        <f t="shared" ca="1" si="259"/>
        <v>0</v>
      </c>
      <c r="AE364" s="50">
        <f t="shared" ca="1" si="259"/>
        <v>0</v>
      </c>
      <c r="AF364" s="50">
        <f t="shared" ca="1" si="259"/>
        <v>0</v>
      </c>
      <c r="AG364" s="50">
        <f t="shared" ca="1" si="259"/>
        <v>0</v>
      </c>
      <c r="AH364" s="50">
        <f t="shared" ca="1" si="259"/>
        <v>0</v>
      </c>
      <c r="AI364" s="50">
        <f t="shared" ca="1" si="259"/>
        <v>0</v>
      </c>
      <c r="AJ364" s="50">
        <f t="shared" ca="1" si="259"/>
        <v>0</v>
      </c>
      <c r="AK364" s="50">
        <f t="shared" ca="1" si="259"/>
        <v>0</v>
      </c>
      <c r="AL364" s="50">
        <f t="shared" si="259"/>
        <v>0</v>
      </c>
      <c r="AM364" s="50">
        <f t="shared" si="259"/>
        <v>0</v>
      </c>
      <c r="AN364" s="50">
        <f t="shared" si="259"/>
        <v>0</v>
      </c>
      <c r="AO364" s="50">
        <f t="shared" si="259"/>
        <v>0</v>
      </c>
      <c r="AP364" s="50">
        <f t="shared" si="259"/>
        <v>0</v>
      </c>
      <c r="AQ364" s="50">
        <f t="shared" si="259"/>
        <v>0</v>
      </c>
      <c r="AR364" s="50">
        <f t="shared" si="259"/>
        <v>0</v>
      </c>
      <c r="AS364" s="50">
        <f t="shared" si="259"/>
        <v>0</v>
      </c>
      <c r="AT364" s="50">
        <f t="shared" si="259"/>
        <v>0</v>
      </c>
      <c r="AU364" s="50">
        <f t="shared" si="259"/>
        <v>0</v>
      </c>
    </row>
    <row r="365" spans="1:47" s="60" customFormat="1">
      <c r="D365" s="187"/>
      <c r="E365" s="325"/>
      <c r="G365" s="39" t="s">
        <v>305</v>
      </c>
      <c r="I365" s="39"/>
      <c r="K365" s="39"/>
      <c r="L365" s="174"/>
      <c r="N365" s="188"/>
      <c r="O365" s="314"/>
      <c r="P365" s="185"/>
      <c r="Q365" s="314"/>
      <c r="R365" s="185">
        <f ca="1">SUM(R354:R361)-SUM(R363:R364)</f>
        <v>240211.41833814015</v>
      </c>
      <c r="S365" s="185">
        <f t="shared" ref="S365:AU365" ca="1" si="260">SUM(S354:S361)-SUM(S363:S364)</f>
        <v>244964.37461635243</v>
      </c>
      <c r="T365" s="185">
        <f t="shared" ca="1" si="260"/>
        <v>249950.26972541696</v>
      </c>
      <c r="U365" s="185">
        <f t="shared" ca="1" si="260"/>
        <v>254988.35728701219</v>
      </c>
      <c r="V365" s="185">
        <f t="shared" ca="1" si="260"/>
        <v>260104.75818735137</v>
      </c>
      <c r="W365" s="185">
        <f t="shared" ca="1" si="260"/>
        <v>265277.13555938203</v>
      </c>
      <c r="X365" s="185">
        <f t="shared" ca="1" si="260"/>
        <v>270567.11070732091</v>
      </c>
      <c r="Y365" s="185">
        <f t="shared" ca="1" si="260"/>
        <v>275998.13800834498</v>
      </c>
      <c r="Z365" s="185">
        <f t="shared" ca="1" si="260"/>
        <v>281535.23844138283</v>
      </c>
      <c r="AA365" s="185">
        <f t="shared" ca="1" si="260"/>
        <v>287188.21927958989</v>
      </c>
      <c r="AB365" s="185">
        <f t="shared" ca="1" si="260"/>
        <v>292939.55960868549</v>
      </c>
      <c r="AC365" s="185">
        <f t="shared" ca="1" si="260"/>
        <v>298794.88303336152</v>
      </c>
      <c r="AD365" s="185">
        <f t="shared" ca="1" si="260"/>
        <v>304785.51410090202</v>
      </c>
      <c r="AE365" s="185">
        <f t="shared" ca="1" si="260"/>
        <v>310894.79970702453</v>
      </c>
      <c r="AF365" s="185">
        <f t="shared" ca="1" si="260"/>
        <v>317131.47920451505</v>
      </c>
      <c r="AG365" s="185">
        <f t="shared" ca="1" si="260"/>
        <v>323504.74581304198</v>
      </c>
      <c r="AH365" s="185">
        <f t="shared" ca="1" si="260"/>
        <v>329998.38940850983</v>
      </c>
      <c r="AI365" s="185">
        <f t="shared" ca="1" si="260"/>
        <v>336630.15901671333</v>
      </c>
      <c r="AJ365" s="185">
        <f t="shared" ca="1" si="260"/>
        <v>343399.92990649265</v>
      </c>
      <c r="AK365" s="185">
        <f t="shared" ca="1" si="260"/>
        <v>350308.54238804546</v>
      </c>
      <c r="AL365" s="185">
        <f t="shared" si="260"/>
        <v>0</v>
      </c>
      <c r="AM365" s="185">
        <f t="shared" si="260"/>
        <v>0</v>
      </c>
      <c r="AN365" s="185">
        <f t="shared" si="260"/>
        <v>0</v>
      </c>
      <c r="AO365" s="185">
        <f t="shared" si="260"/>
        <v>0</v>
      </c>
      <c r="AP365" s="185">
        <f t="shared" si="260"/>
        <v>0</v>
      </c>
      <c r="AQ365" s="185">
        <f t="shared" si="260"/>
        <v>0</v>
      </c>
      <c r="AR365" s="185">
        <f t="shared" si="260"/>
        <v>0</v>
      </c>
      <c r="AS365" s="185">
        <f t="shared" si="260"/>
        <v>0</v>
      </c>
      <c r="AT365" s="185">
        <f t="shared" si="260"/>
        <v>0</v>
      </c>
      <c r="AU365" s="185">
        <f t="shared" si="260"/>
        <v>0</v>
      </c>
    </row>
    <row r="366" spans="1:47">
      <c r="E366" s="36"/>
      <c r="G366" s="39"/>
      <c r="H366" s="39"/>
      <c r="I366" s="39"/>
      <c r="J366" s="39"/>
      <c r="K366" s="39"/>
    </row>
    <row r="367" spans="1:47">
      <c r="E367" s="327"/>
      <c r="F367" s="28"/>
      <c r="G367" s="324" t="str">
        <f>C369&amp;" Capital Costs"</f>
        <v>Gravity Thickener Capital Costs</v>
      </c>
      <c r="H367" s="324"/>
      <c r="I367" s="324"/>
      <c r="J367" s="324"/>
      <c r="K367" s="324"/>
      <c r="L367" s="405" t="s">
        <v>79</v>
      </c>
      <c r="M367" s="256"/>
      <c r="N367" s="325" t="s">
        <v>490</v>
      </c>
      <c r="O367" s="311"/>
      <c r="P367" s="325" t="s">
        <v>491</v>
      </c>
      <c r="Q367" s="310"/>
      <c r="R367" s="325">
        <f>R$8</f>
        <v>2014</v>
      </c>
      <c r="S367" s="325">
        <f t="shared" ref="S367:AU367" si="261">S$8</f>
        <v>2015</v>
      </c>
      <c r="T367" s="325">
        <f t="shared" si="261"/>
        <v>2016</v>
      </c>
      <c r="U367" s="325">
        <f t="shared" si="261"/>
        <v>2017</v>
      </c>
      <c r="V367" s="325">
        <f t="shared" si="261"/>
        <v>2018</v>
      </c>
      <c r="W367" s="325">
        <f t="shared" si="261"/>
        <v>2019</v>
      </c>
      <c r="X367" s="325">
        <f t="shared" si="261"/>
        <v>2020</v>
      </c>
      <c r="Y367" s="325">
        <f t="shared" si="261"/>
        <v>2021</v>
      </c>
      <c r="Z367" s="325">
        <f t="shared" si="261"/>
        <v>2022</v>
      </c>
      <c r="AA367" s="325">
        <f t="shared" si="261"/>
        <v>2023</v>
      </c>
      <c r="AB367" s="325">
        <f t="shared" si="261"/>
        <v>2024</v>
      </c>
      <c r="AC367" s="325">
        <f t="shared" si="261"/>
        <v>2025</v>
      </c>
      <c r="AD367" s="325">
        <f t="shared" si="261"/>
        <v>2026</v>
      </c>
      <c r="AE367" s="325">
        <f t="shared" si="261"/>
        <v>2027</v>
      </c>
      <c r="AF367" s="325">
        <f t="shared" si="261"/>
        <v>2028</v>
      </c>
      <c r="AG367" s="325">
        <f t="shared" si="261"/>
        <v>2029</v>
      </c>
      <c r="AH367" s="325">
        <f t="shared" si="261"/>
        <v>2030</v>
      </c>
      <c r="AI367" s="325">
        <f t="shared" si="261"/>
        <v>2031</v>
      </c>
      <c r="AJ367" s="325">
        <f t="shared" si="261"/>
        <v>2032</v>
      </c>
      <c r="AK367" s="325">
        <f t="shared" si="261"/>
        <v>2033</v>
      </c>
      <c r="AL367" s="325">
        <f t="shared" si="261"/>
        <v>2034</v>
      </c>
      <c r="AM367" s="325">
        <f t="shared" si="261"/>
        <v>2035</v>
      </c>
      <c r="AN367" s="325">
        <f t="shared" si="261"/>
        <v>2036</v>
      </c>
      <c r="AO367" s="325">
        <f t="shared" si="261"/>
        <v>2037</v>
      </c>
      <c r="AP367" s="325">
        <f t="shared" si="261"/>
        <v>2038</v>
      </c>
      <c r="AQ367" s="325">
        <f t="shared" si="261"/>
        <v>2039</v>
      </c>
      <c r="AR367" s="325">
        <f t="shared" si="261"/>
        <v>2040</v>
      </c>
      <c r="AS367" s="325">
        <f t="shared" si="261"/>
        <v>2041</v>
      </c>
      <c r="AT367" s="325">
        <f t="shared" si="261"/>
        <v>2042</v>
      </c>
      <c r="AU367" s="325">
        <f t="shared" si="261"/>
        <v>2043</v>
      </c>
    </row>
    <row r="368" spans="1:47">
      <c r="E368" s="325"/>
      <c r="G368" s="39"/>
      <c r="H368" s="39"/>
      <c r="I368" s="39"/>
      <c r="J368" s="39"/>
      <c r="K368" s="39"/>
    </row>
    <row r="369" spans="1:47">
      <c r="A369" s="38" t="str">
        <f>$J$4&amp;"-"</f>
        <v>1Y-</v>
      </c>
      <c r="B369" s="38" t="s">
        <v>306</v>
      </c>
      <c r="C369" s="38" t="s">
        <v>29</v>
      </c>
      <c r="D369" s="186">
        <f>CapExEsc</f>
        <v>0.03</v>
      </c>
      <c r="E369" s="325"/>
      <c r="G369" s="36" t="s">
        <v>8</v>
      </c>
      <c r="H369" s="39"/>
      <c r="I369" s="39"/>
      <c r="J369" s="70"/>
      <c r="K369" s="39"/>
      <c r="L369" s="43" t="str">
        <f>"["&amp;CostBaseYr&amp;" $]"</f>
        <v>[2013 $]</v>
      </c>
      <c r="N369" s="52">
        <f ca="1">SUMIFS(OFFSET(Assumptions!$I$65,0,MATCH($A369,Configurations,0)-1,COUNT(Assumptions!$A$65:$A$84),1),Assumptions!$E$65:$E$84,$C369)</f>
        <v>1029000</v>
      </c>
      <c r="O369" s="52"/>
      <c r="P369" s="322"/>
      <c r="Q369" s="52"/>
      <c r="R369" s="52">
        <f t="shared" ref="R369:AU369" ca="1" si="262">R370*IF($P369=0,$N369,$P369)*(1+$D369)^(R$8-CostBaseYr)</f>
        <v>1059870</v>
      </c>
      <c r="S369" s="52">
        <f t="shared" ca="1" si="262"/>
        <v>0</v>
      </c>
      <c r="T369" s="52">
        <f t="shared" ca="1" si="262"/>
        <v>0</v>
      </c>
      <c r="U369" s="52">
        <f t="shared" ca="1" si="262"/>
        <v>0</v>
      </c>
      <c r="V369" s="52">
        <f t="shared" ca="1" si="262"/>
        <v>0</v>
      </c>
      <c r="W369" s="52">
        <f t="shared" ca="1" si="262"/>
        <v>0</v>
      </c>
      <c r="X369" s="52">
        <f t="shared" ca="1" si="262"/>
        <v>0</v>
      </c>
      <c r="Y369" s="52">
        <f t="shared" ca="1" si="262"/>
        <v>0</v>
      </c>
      <c r="Z369" s="52">
        <f t="shared" ca="1" si="262"/>
        <v>0</v>
      </c>
      <c r="AA369" s="52">
        <f t="shared" ca="1" si="262"/>
        <v>0</v>
      </c>
      <c r="AB369" s="52">
        <f t="shared" ca="1" si="262"/>
        <v>0</v>
      </c>
      <c r="AC369" s="52">
        <f t="shared" ca="1" si="262"/>
        <v>0</v>
      </c>
      <c r="AD369" s="52">
        <f t="shared" ca="1" si="262"/>
        <v>0</v>
      </c>
      <c r="AE369" s="52">
        <f t="shared" ca="1" si="262"/>
        <v>0</v>
      </c>
      <c r="AF369" s="52">
        <f t="shared" ca="1" si="262"/>
        <v>0</v>
      </c>
      <c r="AG369" s="52">
        <f t="shared" ca="1" si="262"/>
        <v>0</v>
      </c>
      <c r="AH369" s="52">
        <f t="shared" ca="1" si="262"/>
        <v>0</v>
      </c>
      <c r="AI369" s="52">
        <f t="shared" ca="1" si="262"/>
        <v>0</v>
      </c>
      <c r="AJ369" s="52">
        <f t="shared" ca="1" si="262"/>
        <v>0</v>
      </c>
      <c r="AK369" s="52">
        <f t="shared" ca="1" si="262"/>
        <v>0</v>
      </c>
      <c r="AL369" s="52">
        <f t="shared" ca="1" si="262"/>
        <v>0</v>
      </c>
      <c r="AM369" s="52">
        <f t="shared" ca="1" si="262"/>
        <v>0</v>
      </c>
      <c r="AN369" s="52">
        <f t="shared" ca="1" si="262"/>
        <v>0</v>
      </c>
      <c r="AO369" s="52">
        <f t="shared" ca="1" si="262"/>
        <v>0</v>
      </c>
      <c r="AP369" s="52">
        <f t="shared" ca="1" si="262"/>
        <v>0</v>
      </c>
      <c r="AQ369" s="52">
        <f t="shared" ca="1" si="262"/>
        <v>0</v>
      </c>
      <c r="AR369" s="52">
        <f t="shared" ca="1" si="262"/>
        <v>0</v>
      </c>
      <c r="AS369" s="52">
        <f t="shared" ca="1" si="262"/>
        <v>0</v>
      </c>
      <c r="AT369" s="52">
        <f t="shared" ca="1" si="262"/>
        <v>0</v>
      </c>
      <c r="AU369" s="52">
        <f t="shared" ca="1" si="262"/>
        <v>0</v>
      </c>
    </row>
    <row r="370" spans="1:47">
      <c r="E370" s="325"/>
      <c r="G370" s="36" t="s">
        <v>10</v>
      </c>
      <c r="H370" s="39"/>
      <c r="I370" s="39"/>
      <c r="J370" s="39"/>
      <c r="K370" s="39"/>
      <c r="L370" s="43"/>
      <c r="R370" s="54">
        <f>Assumptions!M$60</f>
        <v>1</v>
      </c>
      <c r="S370" s="54">
        <f>Assumptions!N$60</f>
        <v>0</v>
      </c>
      <c r="T370" s="54">
        <f>Assumptions!O$60</f>
        <v>0</v>
      </c>
      <c r="U370" s="54">
        <f>Assumptions!P$60</f>
        <v>0</v>
      </c>
      <c r="V370" s="54">
        <f>Assumptions!Q$60</f>
        <v>0</v>
      </c>
      <c r="W370" s="54">
        <f>Assumptions!R$60</f>
        <v>0</v>
      </c>
      <c r="X370" s="54">
        <f>Assumptions!S$60</f>
        <v>0</v>
      </c>
      <c r="Y370" s="54">
        <f>Assumptions!T$60</f>
        <v>0</v>
      </c>
      <c r="Z370" s="54">
        <f>Assumptions!U$60</f>
        <v>0</v>
      </c>
      <c r="AA370" s="54">
        <f>Assumptions!V$60</f>
        <v>0</v>
      </c>
      <c r="AB370" s="54">
        <f>Assumptions!W$60</f>
        <v>0</v>
      </c>
      <c r="AC370" s="54">
        <f>Assumptions!X$60</f>
        <v>0</v>
      </c>
      <c r="AD370" s="54">
        <f>Assumptions!Y$60</f>
        <v>0</v>
      </c>
      <c r="AE370" s="54">
        <f>Assumptions!Z$60</f>
        <v>0</v>
      </c>
      <c r="AF370" s="54">
        <f>Assumptions!AA$60</f>
        <v>0</v>
      </c>
      <c r="AG370" s="54">
        <f>Assumptions!AB$60</f>
        <v>0</v>
      </c>
      <c r="AH370" s="54">
        <f>Assumptions!AC$60</f>
        <v>0</v>
      </c>
      <c r="AI370" s="54">
        <f>Assumptions!AD$60</f>
        <v>0</v>
      </c>
      <c r="AJ370" s="54">
        <f>Assumptions!AE$60</f>
        <v>0</v>
      </c>
      <c r="AK370" s="54">
        <f>Assumptions!AF$60</f>
        <v>0</v>
      </c>
      <c r="AL370" s="54">
        <f>Assumptions!AG$60</f>
        <v>0</v>
      </c>
      <c r="AM370" s="54">
        <f>Assumptions!AH$60</f>
        <v>0</v>
      </c>
      <c r="AN370" s="54">
        <f>Assumptions!AI$60</f>
        <v>0</v>
      </c>
      <c r="AO370" s="54">
        <f>Assumptions!AJ$60</f>
        <v>0</v>
      </c>
      <c r="AP370" s="54">
        <f>Assumptions!AK$60</f>
        <v>0</v>
      </c>
      <c r="AQ370" s="54">
        <f>Assumptions!AL$60</f>
        <v>0</v>
      </c>
      <c r="AR370" s="54">
        <f>Assumptions!AM$60</f>
        <v>0</v>
      </c>
      <c r="AS370" s="54">
        <f>Assumptions!AN$60</f>
        <v>0</v>
      </c>
      <c r="AT370" s="54">
        <f>Assumptions!AO$60</f>
        <v>0</v>
      </c>
      <c r="AU370" s="54">
        <f>Assumptions!AP$60</f>
        <v>0</v>
      </c>
    </row>
    <row r="371" spans="1:47">
      <c r="E371" s="326"/>
      <c r="G371" s="39"/>
      <c r="H371" s="39"/>
      <c r="I371" s="39"/>
      <c r="J371" s="39"/>
      <c r="K371" s="39"/>
    </row>
    <row r="372" spans="1:47">
      <c r="E372" s="327"/>
      <c r="F372" s="28"/>
      <c r="G372" s="324" t="str">
        <f>C369&amp;" O&amp;M"</f>
        <v>Gravity Thickener O&amp;M</v>
      </c>
      <c r="H372" s="324"/>
      <c r="I372" s="324"/>
      <c r="J372" s="324"/>
      <c r="K372" s="324"/>
      <c r="L372" s="405" t="s">
        <v>79</v>
      </c>
      <c r="M372" s="256"/>
      <c r="N372" s="325" t="s">
        <v>490</v>
      </c>
      <c r="O372" s="311"/>
      <c r="P372" s="325" t="s">
        <v>491</v>
      </c>
      <c r="Q372" s="310"/>
      <c r="R372" s="325">
        <f>R$8</f>
        <v>2014</v>
      </c>
      <c r="S372" s="325">
        <f t="shared" ref="S372:AU372" si="263">S$8</f>
        <v>2015</v>
      </c>
      <c r="T372" s="325">
        <f t="shared" si="263"/>
        <v>2016</v>
      </c>
      <c r="U372" s="325">
        <f t="shared" si="263"/>
        <v>2017</v>
      </c>
      <c r="V372" s="325">
        <f t="shared" si="263"/>
        <v>2018</v>
      </c>
      <c r="W372" s="325">
        <f t="shared" si="263"/>
        <v>2019</v>
      </c>
      <c r="X372" s="325">
        <f t="shared" si="263"/>
        <v>2020</v>
      </c>
      <c r="Y372" s="325">
        <f t="shared" si="263"/>
        <v>2021</v>
      </c>
      <c r="Z372" s="325">
        <f t="shared" si="263"/>
        <v>2022</v>
      </c>
      <c r="AA372" s="325">
        <f t="shared" si="263"/>
        <v>2023</v>
      </c>
      <c r="AB372" s="325">
        <f t="shared" si="263"/>
        <v>2024</v>
      </c>
      <c r="AC372" s="325">
        <f t="shared" si="263"/>
        <v>2025</v>
      </c>
      <c r="AD372" s="325">
        <f t="shared" si="263"/>
        <v>2026</v>
      </c>
      <c r="AE372" s="325">
        <f t="shared" si="263"/>
        <v>2027</v>
      </c>
      <c r="AF372" s="325">
        <f t="shared" si="263"/>
        <v>2028</v>
      </c>
      <c r="AG372" s="325">
        <f t="shared" si="263"/>
        <v>2029</v>
      </c>
      <c r="AH372" s="325">
        <f t="shared" si="263"/>
        <v>2030</v>
      </c>
      <c r="AI372" s="325">
        <f t="shared" si="263"/>
        <v>2031</v>
      </c>
      <c r="AJ372" s="325">
        <f t="shared" si="263"/>
        <v>2032</v>
      </c>
      <c r="AK372" s="325">
        <f t="shared" si="263"/>
        <v>2033</v>
      </c>
      <c r="AL372" s="325">
        <f t="shared" si="263"/>
        <v>2034</v>
      </c>
      <c r="AM372" s="325">
        <f t="shared" si="263"/>
        <v>2035</v>
      </c>
      <c r="AN372" s="325">
        <f t="shared" si="263"/>
        <v>2036</v>
      </c>
      <c r="AO372" s="325">
        <f t="shared" si="263"/>
        <v>2037</v>
      </c>
      <c r="AP372" s="325">
        <f t="shared" si="263"/>
        <v>2038</v>
      </c>
      <c r="AQ372" s="325">
        <f t="shared" si="263"/>
        <v>2039</v>
      </c>
      <c r="AR372" s="325">
        <f t="shared" si="263"/>
        <v>2040</v>
      </c>
      <c r="AS372" s="325">
        <f t="shared" si="263"/>
        <v>2041</v>
      </c>
      <c r="AT372" s="325">
        <f t="shared" si="263"/>
        <v>2042</v>
      </c>
      <c r="AU372" s="325">
        <f t="shared" si="263"/>
        <v>2043</v>
      </c>
    </row>
    <row r="373" spans="1:47">
      <c r="E373" s="325"/>
      <c r="G373" s="39"/>
      <c r="H373" s="39"/>
      <c r="I373" s="39"/>
      <c r="J373" s="39"/>
      <c r="K373" s="39"/>
    </row>
    <row r="374" spans="1:47">
      <c r="E374" s="325"/>
      <c r="G374" s="39" t="s">
        <v>23</v>
      </c>
      <c r="H374" s="39"/>
      <c r="I374" s="39"/>
      <c r="J374" s="39"/>
      <c r="K374" s="39"/>
    </row>
    <row r="375" spans="1:47">
      <c r="A375" s="38" t="str">
        <f t="shared" ref="A375:A382" si="264">$J$4&amp;"-"</f>
        <v>1Y-</v>
      </c>
      <c r="B375" s="38" t="s">
        <v>262</v>
      </c>
      <c r="C375" s="38" t="str">
        <f>C369</f>
        <v>Gravity Thickener</v>
      </c>
      <c r="D375" s="186">
        <f>LaborEsc</f>
        <v>0.02</v>
      </c>
      <c r="E375" s="325"/>
      <c r="G375" s="36" t="s">
        <v>125</v>
      </c>
      <c r="I375" s="39"/>
      <c r="K375" s="39"/>
      <c r="L375" s="43" t="s">
        <v>266</v>
      </c>
      <c r="N375" s="70">
        <f ca="1">SUMIFS(OFFSET(Assumptions!$I$90,0,MATCH($A375,Configurations,0)-1,COUNT(Assumptions!$A$90:$A$183),1),Assumptions!$D$90:$D$183,$B375&amp;$C375)</f>
        <v>1460</v>
      </c>
      <c r="O375" s="313"/>
      <c r="P375" s="323"/>
      <c r="Q375" s="313"/>
      <c r="R375" s="50">
        <f t="shared" ref="R375:AU375" ca="1" si="265">IF(OR(R$99&lt;InServiceYr,R$99&gt;(InServiceYr+analysis_period-1)),0,IF($P375=0,$N375,$P375)*LaborCost*(1+$D375)^(R$99-CostBaseYr))</f>
        <v>52122</v>
      </c>
      <c r="S375" s="50">
        <f t="shared" ca="1" si="265"/>
        <v>53164.44</v>
      </c>
      <c r="T375" s="50">
        <f t="shared" ca="1" si="265"/>
        <v>54227.728799999997</v>
      </c>
      <c r="U375" s="50">
        <f t="shared" ca="1" si="265"/>
        <v>55312.283375999999</v>
      </c>
      <c r="V375" s="50">
        <f t="shared" ca="1" si="265"/>
        <v>56418.52904352</v>
      </c>
      <c r="W375" s="50">
        <f t="shared" ca="1" si="265"/>
        <v>57546.899624390404</v>
      </c>
      <c r="X375" s="50">
        <f t="shared" ca="1" si="265"/>
        <v>58697.837616878198</v>
      </c>
      <c r="Y375" s="50">
        <f t="shared" ca="1" si="265"/>
        <v>59871.794369215771</v>
      </c>
      <c r="Z375" s="50">
        <f t="shared" ca="1" si="265"/>
        <v>61069.230256600087</v>
      </c>
      <c r="AA375" s="50">
        <f t="shared" ca="1" si="265"/>
        <v>62290.614861732087</v>
      </c>
      <c r="AB375" s="50">
        <f t="shared" ca="1" si="265"/>
        <v>63536.427158966719</v>
      </c>
      <c r="AC375" s="50">
        <f t="shared" ca="1" si="265"/>
        <v>64807.155702146061</v>
      </c>
      <c r="AD375" s="50">
        <f t="shared" ca="1" si="265"/>
        <v>66103.298816188981</v>
      </c>
      <c r="AE375" s="50">
        <f t="shared" ca="1" si="265"/>
        <v>67425.364792512773</v>
      </c>
      <c r="AF375" s="50">
        <f t="shared" ca="1" si="265"/>
        <v>68773.872088363001</v>
      </c>
      <c r="AG375" s="50">
        <f t="shared" ca="1" si="265"/>
        <v>70149.349530130276</v>
      </c>
      <c r="AH375" s="50">
        <f t="shared" ca="1" si="265"/>
        <v>71552.33652073289</v>
      </c>
      <c r="AI375" s="50">
        <f t="shared" ca="1" si="265"/>
        <v>72983.383251147534</v>
      </c>
      <c r="AJ375" s="50">
        <f t="shared" ca="1" si="265"/>
        <v>74443.050916170483</v>
      </c>
      <c r="AK375" s="50">
        <f t="shared" ca="1" si="265"/>
        <v>75931.911934493895</v>
      </c>
      <c r="AL375" s="50">
        <f t="shared" si="265"/>
        <v>0</v>
      </c>
      <c r="AM375" s="50">
        <f t="shared" si="265"/>
        <v>0</v>
      </c>
      <c r="AN375" s="50">
        <f t="shared" si="265"/>
        <v>0</v>
      </c>
      <c r="AO375" s="50">
        <f t="shared" si="265"/>
        <v>0</v>
      </c>
      <c r="AP375" s="50">
        <f t="shared" si="265"/>
        <v>0</v>
      </c>
      <c r="AQ375" s="50">
        <f t="shared" si="265"/>
        <v>0</v>
      </c>
      <c r="AR375" s="50">
        <f t="shared" si="265"/>
        <v>0</v>
      </c>
      <c r="AS375" s="50">
        <f t="shared" si="265"/>
        <v>0</v>
      </c>
      <c r="AT375" s="50">
        <f t="shared" si="265"/>
        <v>0</v>
      </c>
      <c r="AU375" s="50">
        <f t="shared" si="265"/>
        <v>0</v>
      </c>
    </row>
    <row r="376" spans="1:47">
      <c r="A376" s="38" t="str">
        <f t="shared" si="264"/>
        <v>1Y-</v>
      </c>
      <c r="B376" s="38" t="s">
        <v>270</v>
      </c>
      <c r="C376" s="38" t="str">
        <f>C375</f>
        <v>Gravity Thickener</v>
      </c>
      <c r="D376" s="186">
        <f>OMEsc</f>
        <v>0.02</v>
      </c>
      <c r="E376" s="325"/>
      <c r="G376" s="36" t="s">
        <v>126</v>
      </c>
      <c r="I376" s="39"/>
      <c r="K376" s="39"/>
      <c r="L376" s="43" t="str">
        <f>"["&amp;CostBaseYr&amp;" $]"</f>
        <v>[2013 $]</v>
      </c>
      <c r="N376" s="70">
        <f ca="1">SUMIFS(OFFSET(Assumptions!$I$90,0,MATCH($A376,Configurations,0)-1,COUNT(Assumptions!$A$90:$A$183),1),Assumptions!$D$90:$D$183,$B376&amp;$C376)</f>
        <v>10000</v>
      </c>
      <c r="O376" s="313"/>
      <c r="P376" s="323"/>
      <c r="Q376" s="313"/>
      <c r="R376" s="50">
        <f t="shared" ref="R376:AG378" ca="1" si="266">IF(OR(R$99&lt;InServiceYr,R$99&gt;(InServiceYr+analysis_period-1)),0,IF($P376=0,$N376,$P376)*(1+$D376)^(R$99-CostBaseYr))</f>
        <v>10200</v>
      </c>
      <c r="S376" s="50">
        <f t="shared" ca="1" si="266"/>
        <v>10404</v>
      </c>
      <c r="T376" s="50">
        <f t="shared" ca="1" si="266"/>
        <v>10612.08</v>
      </c>
      <c r="U376" s="50">
        <f t="shared" ca="1" si="266"/>
        <v>10824.321599999999</v>
      </c>
      <c r="V376" s="50">
        <f t="shared" ca="1" si="266"/>
        <v>11040.808032000001</v>
      </c>
      <c r="W376" s="50">
        <f t="shared" ca="1" si="266"/>
        <v>11261.62419264</v>
      </c>
      <c r="X376" s="50">
        <f t="shared" ca="1" si="266"/>
        <v>11486.856676492798</v>
      </c>
      <c r="Y376" s="50">
        <f t="shared" ca="1" si="266"/>
        <v>11716.593810022656</v>
      </c>
      <c r="Z376" s="50">
        <f t="shared" ca="1" si="266"/>
        <v>11950.925686223109</v>
      </c>
      <c r="AA376" s="50">
        <f t="shared" ca="1" si="266"/>
        <v>12189.944199947571</v>
      </c>
      <c r="AB376" s="50">
        <f t="shared" ca="1" si="266"/>
        <v>12433.74308394652</v>
      </c>
      <c r="AC376" s="50">
        <f t="shared" ca="1" si="266"/>
        <v>12682.417945625453</v>
      </c>
      <c r="AD376" s="50">
        <f t="shared" ca="1" si="266"/>
        <v>12936.066304537961</v>
      </c>
      <c r="AE376" s="50">
        <f t="shared" ca="1" si="266"/>
        <v>13194.787630628722</v>
      </c>
      <c r="AF376" s="50">
        <f t="shared" ca="1" si="266"/>
        <v>13458.683383241292</v>
      </c>
      <c r="AG376" s="50">
        <f t="shared" ca="1" si="266"/>
        <v>13727.857050906121</v>
      </c>
      <c r="AH376" s="50">
        <f t="shared" ref="S376:AU378" ca="1" si="267">IF(OR(AH$99&lt;InServiceYr,AH$99&gt;(InServiceYr+analysis_period-1)),0,IF($P376=0,$N376,$P376)*(1+$D376)^(AH$99-CostBaseYr))</f>
        <v>14002.414191924245</v>
      </c>
      <c r="AI376" s="50">
        <f t="shared" ca="1" si="267"/>
        <v>14282.462475762728</v>
      </c>
      <c r="AJ376" s="50">
        <f t="shared" ca="1" si="267"/>
        <v>14568.11172527798</v>
      </c>
      <c r="AK376" s="50">
        <f t="shared" ca="1" si="267"/>
        <v>14859.473959783543</v>
      </c>
      <c r="AL376" s="50">
        <f t="shared" si="267"/>
        <v>0</v>
      </c>
      <c r="AM376" s="50">
        <f t="shared" si="267"/>
        <v>0</v>
      </c>
      <c r="AN376" s="50">
        <f t="shared" si="267"/>
        <v>0</v>
      </c>
      <c r="AO376" s="50">
        <f t="shared" si="267"/>
        <v>0</v>
      </c>
      <c r="AP376" s="50">
        <f t="shared" si="267"/>
        <v>0</v>
      </c>
      <c r="AQ376" s="50">
        <f t="shared" si="267"/>
        <v>0</v>
      </c>
      <c r="AR376" s="50">
        <f t="shared" si="267"/>
        <v>0</v>
      </c>
      <c r="AS376" s="50">
        <f t="shared" si="267"/>
        <v>0</v>
      </c>
      <c r="AT376" s="50">
        <f t="shared" si="267"/>
        <v>0</v>
      </c>
      <c r="AU376" s="50">
        <f t="shared" si="267"/>
        <v>0</v>
      </c>
    </row>
    <row r="377" spans="1:47">
      <c r="A377" s="38" t="str">
        <f t="shared" si="264"/>
        <v>1Y-</v>
      </c>
      <c r="B377" s="38" t="s">
        <v>263</v>
      </c>
      <c r="C377" s="38" t="str">
        <f t="shared" ref="C377:C381" si="268">C376</f>
        <v>Gravity Thickener</v>
      </c>
      <c r="D377" s="186">
        <f>OMEsc</f>
        <v>0.02</v>
      </c>
      <c r="E377" s="325"/>
      <c r="G377" s="36" t="s">
        <v>127</v>
      </c>
      <c r="I377" s="39"/>
      <c r="K377" s="39"/>
      <c r="L377" s="43" t="str">
        <f>"["&amp;CostBaseYr&amp;" $]"</f>
        <v>[2013 $]</v>
      </c>
      <c r="N377" s="70">
        <f ca="1">SUMIFS(OFFSET(Assumptions!$I$90,0,MATCH($A377,Configurations,0)-1,COUNT(Assumptions!$A$90:$A$183),1),Assumptions!$D$90:$D$183,$B377&amp;$C377)</f>
        <v>0</v>
      </c>
      <c r="O377" s="313"/>
      <c r="P377" s="323"/>
      <c r="Q377" s="313"/>
      <c r="R377" s="50">
        <f t="shared" ca="1" si="266"/>
        <v>0</v>
      </c>
      <c r="S377" s="50">
        <f t="shared" ca="1" si="267"/>
        <v>0</v>
      </c>
      <c r="T377" s="50">
        <f t="shared" ca="1" si="267"/>
        <v>0</v>
      </c>
      <c r="U377" s="50">
        <f t="shared" ca="1" si="267"/>
        <v>0</v>
      </c>
      <c r="V377" s="50">
        <f t="shared" ca="1" si="267"/>
        <v>0</v>
      </c>
      <c r="W377" s="50">
        <f t="shared" ca="1" si="267"/>
        <v>0</v>
      </c>
      <c r="X377" s="50">
        <f t="shared" ca="1" si="267"/>
        <v>0</v>
      </c>
      <c r="Y377" s="50">
        <f t="shared" ca="1" si="267"/>
        <v>0</v>
      </c>
      <c r="Z377" s="50">
        <f t="shared" ca="1" si="267"/>
        <v>0</v>
      </c>
      <c r="AA377" s="50">
        <f t="shared" ca="1" si="267"/>
        <v>0</v>
      </c>
      <c r="AB377" s="50">
        <f t="shared" ca="1" si="267"/>
        <v>0</v>
      </c>
      <c r="AC377" s="50">
        <f t="shared" ca="1" si="267"/>
        <v>0</v>
      </c>
      <c r="AD377" s="50">
        <f t="shared" ca="1" si="267"/>
        <v>0</v>
      </c>
      <c r="AE377" s="50">
        <f t="shared" ca="1" si="267"/>
        <v>0</v>
      </c>
      <c r="AF377" s="50">
        <f t="shared" ca="1" si="267"/>
        <v>0</v>
      </c>
      <c r="AG377" s="50">
        <f t="shared" ca="1" si="267"/>
        <v>0</v>
      </c>
      <c r="AH377" s="50">
        <f t="shared" ca="1" si="267"/>
        <v>0</v>
      </c>
      <c r="AI377" s="50">
        <f t="shared" ca="1" si="267"/>
        <v>0</v>
      </c>
      <c r="AJ377" s="50">
        <f t="shared" ca="1" si="267"/>
        <v>0</v>
      </c>
      <c r="AK377" s="50">
        <f t="shared" ca="1" si="267"/>
        <v>0</v>
      </c>
      <c r="AL377" s="50">
        <f t="shared" si="267"/>
        <v>0</v>
      </c>
      <c r="AM377" s="50">
        <f t="shared" si="267"/>
        <v>0</v>
      </c>
      <c r="AN377" s="50">
        <f t="shared" si="267"/>
        <v>0</v>
      </c>
      <c r="AO377" s="50">
        <f t="shared" si="267"/>
        <v>0</v>
      </c>
      <c r="AP377" s="50">
        <f t="shared" si="267"/>
        <v>0</v>
      </c>
      <c r="AQ377" s="50">
        <f t="shared" si="267"/>
        <v>0</v>
      </c>
      <c r="AR377" s="50">
        <f t="shared" si="267"/>
        <v>0</v>
      </c>
      <c r="AS377" s="50">
        <f t="shared" si="267"/>
        <v>0</v>
      </c>
      <c r="AT377" s="50">
        <f t="shared" si="267"/>
        <v>0</v>
      </c>
      <c r="AU377" s="50">
        <f t="shared" si="267"/>
        <v>0</v>
      </c>
    </row>
    <row r="378" spans="1:47">
      <c r="A378" s="38" t="str">
        <f t="shared" si="264"/>
        <v>1Y-</v>
      </c>
      <c r="B378" s="38" t="s">
        <v>277</v>
      </c>
      <c r="C378" s="38" t="str">
        <f t="shared" si="268"/>
        <v>Gravity Thickener</v>
      </c>
      <c r="D378" s="186">
        <f>OMEsc</f>
        <v>0.02</v>
      </c>
      <c r="E378" s="325"/>
      <c r="G378" s="36" t="s">
        <v>276</v>
      </c>
      <c r="I378" s="39"/>
      <c r="K378" s="39"/>
      <c r="L378" s="43" t="str">
        <f>"["&amp;CostBaseYr&amp;" $]"</f>
        <v>[2013 $]</v>
      </c>
      <c r="N378" s="70">
        <f ca="1">SUMIFS(OFFSET(Assumptions!$I$90,0,MATCH($A378,Configurations,0)-1,COUNT(Assumptions!$A$90:$A$183),1),Assumptions!$D$90:$D$183,$B378&amp;$C378)</f>
        <v>0</v>
      </c>
      <c r="O378" s="313"/>
      <c r="P378" s="323"/>
      <c r="Q378" s="313"/>
      <c r="R378" s="50">
        <f t="shared" ca="1" si="266"/>
        <v>0</v>
      </c>
      <c r="S378" s="50">
        <f t="shared" ca="1" si="267"/>
        <v>0</v>
      </c>
      <c r="T378" s="50">
        <f t="shared" ca="1" si="267"/>
        <v>0</v>
      </c>
      <c r="U378" s="50">
        <f t="shared" ca="1" si="267"/>
        <v>0</v>
      </c>
      <c r="V378" s="50">
        <f t="shared" ca="1" si="267"/>
        <v>0</v>
      </c>
      <c r="W378" s="50">
        <f t="shared" ca="1" si="267"/>
        <v>0</v>
      </c>
      <c r="X378" s="50">
        <f t="shared" ca="1" si="267"/>
        <v>0</v>
      </c>
      <c r="Y378" s="50">
        <f t="shared" ca="1" si="267"/>
        <v>0</v>
      </c>
      <c r="Z378" s="50">
        <f t="shared" ca="1" si="267"/>
        <v>0</v>
      </c>
      <c r="AA378" s="50">
        <f t="shared" ca="1" si="267"/>
        <v>0</v>
      </c>
      <c r="AB378" s="50">
        <f t="shared" ca="1" si="267"/>
        <v>0</v>
      </c>
      <c r="AC378" s="50">
        <f t="shared" ca="1" si="267"/>
        <v>0</v>
      </c>
      <c r="AD378" s="50">
        <f t="shared" ca="1" si="267"/>
        <v>0</v>
      </c>
      <c r="AE378" s="50">
        <f t="shared" ca="1" si="267"/>
        <v>0</v>
      </c>
      <c r="AF378" s="50">
        <f t="shared" ca="1" si="267"/>
        <v>0</v>
      </c>
      <c r="AG378" s="50">
        <f t="shared" ca="1" si="267"/>
        <v>0</v>
      </c>
      <c r="AH378" s="50">
        <f t="shared" ca="1" si="267"/>
        <v>0</v>
      </c>
      <c r="AI378" s="50">
        <f t="shared" ca="1" si="267"/>
        <v>0</v>
      </c>
      <c r="AJ378" s="50">
        <f t="shared" ca="1" si="267"/>
        <v>0</v>
      </c>
      <c r="AK378" s="50">
        <f t="shared" ca="1" si="267"/>
        <v>0</v>
      </c>
      <c r="AL378" s="50">
        <f t="shared" si="267"/>
        <v>0</v>
      </c>
      <c r="AM378" s="50">
        <f t="shared" si="267"/>
        <v>0</v>
      </c>
      <c r="AN378" s="50">
        <f t="shared" si="267"/>
        <v>0</v>
      </c>
      <c r="AO378" s="50">
        <f t="shared" si="267"/>
        <v>0</v>
      </c>
      <c r="AP378" s="50">
        <f t="shared" si="267"/>
        <v>0</v>
      </c>
      <c r="AQ378" s="50">
        <f t="shared" si="267"/>
        <v>0</v>
      </c>
      <c r="AR378" s="50">
        <f t="shared" si="267"/>
        <v>0</v>
      </c>
      <c r="AS378" s="50">
        <f t="shared" si="267"/>
        <v>0</v>
      </c>
      <c r="AT378" s="50">
        <f t="shared" si="267"/>
        <v>0</v>
      </c>
      <c r="AU378" s="50">
        <f t="shared" si="267"/>
        <v>0</v>
      </c>
    </row>
    <row r="379" spans="1:47">
      <c r="A379" s="38" t="str">
        <f t="shared" si="264"/>
        <v>1Y-</v>
      </c>
      <c r="B379" s="38" t="s">
        <v>274</v>
      </c>
      <c r="C379" s="38" t="str">
        <f t="shared" si="268"/>
        <v>Gravity Thickener</v>
      </c>
      <c r="D379" s="186"/>
      <c r="E379" s="325"/>
      <c r="G379" s="36" t="s">
        <v>16</v>
      </c>
      <c r="I379" s="39"/>
      <c r="K379" s="39"/>
      <c r="L379" s="43" t="s">
        <v>275</v>
      </c>
      <c r="N379" s="70">
        <f ca="1">SUMIFS(OFFSET(Assumptions!$I$90,0,MATCH($A379,Configurations,0)-1,COUNT(Assumptions!$A$90:$A$183),1),Assumptions!$D$90:$D$183,$B379&amp;$C379)</f>
        <v>0</v>
      </c>
      <c r="O379" s="313"/>
      <c r="P379" s="323"/>
      <c r="Q379" s="313"/>
      <c r="R379" s="50">
        <f t="shared" ref="R379:AU379" ca="1" si="269">IF(OR(R$99&lt;InServiceYr,R$99&gt;(InServiceYr+analysis_period-1)),0,IF($P379=0,$N379,$P379)*R$505)</f>
        <v>0</v>
      </c>
      <c r="S379" s="50">
        <f t="shared" ca="1" si="269"/>
        <v>0</v>
      </c>
      <c r="T379" s="50">
        <f t="shared" ca="1" si="269"/>
        <v>0</v>
      </c>
      <c r="U379" s="50">
        <f t="shared" ca="1" si="269"/>
        <v>0</v>
      </c>
      <c r="V379" s="50">
        <f t="shared" ca="1" si="269"/>
        <v>0</v>
      </c>
      <c r="W379" s="50">
        <f t="shared" ca="1" si="269"/>
        <v>0</v>
      </c>
      <c r="X379" s="50">
        <f t="shared" ca="1" si="269"/>
        <v>0</v>
      </c>
      <c r="Y379" s="50">
        <f t="shared" ca="1" si="269"/>
        <v>0</v>
      </c>
      <c r="Z379" s="50">
        <f t="shared" ca="1" si="269"/>
        <v>0</v>
      </c>
      <c r="AA379" s="50">
        <f t="shared" ca="1" si="269"/>
        <v>0</v>
      </c>
      <c r="AB379" s="50">
        <f t="shared" ca="1" si="269"/>
        <v>0</v>
      </c>
      <c r="AC379" s="50">
        <f t="shared" ca="1" si="269"/>
        <v>0</v>
      </c>
      <c r="AD379" s="50">
        <f t="shared" ca="1" si="269"/>
        <v>0</v>
      </c>
      <c r="AE379" s="50">
        <f t="shared" ca="1" si="269"/>
        <v>0</v>
      </c>
      <c r="AF379" s="50">
        <f t="shared" ca="1" si="269"/>
        <v>0</v>
      </c>
      <c r="AG379" s="50">
        <f t="shared" ca="1" si="269"/>
        <v>0</v>
      </c>
      <c r="AH379" s="50">
        <f t="shared" ca="1" si="269"/>
        <v>0</v>
      </c>
      <c r="AI379" s="50">
        <f t="shared" ca="1" si="269"/>
        <v>0</v>
      </c>
      <c r="AJ379" s="50">
        <f t="shared" ca="1" si="269"/>
        <v>0</v>
      </c>
      <c r="AK379" s="50">
        <f t="shared" ca="1" si="269"/>
        <v>0</v>
      </c>
      <c r="AL379" s="50">
        <f t="shared" si="269"/>
        <v>0</v>
      </c>
      <c r="AM379" s="50">
        <f t="shared" si="269"/>
        <v>0</v>
      </c>
      <c r="AN379" s="50">
        <f t="shared" si="269"/>
        <v>0</v>
      </c>
      <c r="AO379" s="50">
        <f t="shared" si="269"/>
        <v>0</v>
      </c>
      <c r="AP379" s="50">
        <f t="shared" si="269"/>
        <v>0</v>
      </c>
      <c r="AQ379" s="50">
        <f t="shared" si="269"/>
        <v>0</v>
      </c>
      <c r="AR379" s="50">
        <f t="shared" si="269"/>
        <v>0</v>
      </c>
      <c r="AS379" s="50">
        <f t="shared" si="269"/>
        <v>0</v>
      </c>
      <c r="AT379" s="50">
        <f t="shared" si="269"/>
        <v>0</v>
      </c>
      <c r="AU379" s="50">
        <f t="shared" si="269"/>
        <v>0</v>
      </c>
    </row>
    <row r="380" spans="1:47">
      <c r="A380" s="38" t="str">
        <f t="shared" si="264"/>
        <v>1Y-</v>
      </c>
      <c r="B380" s="38" t="s">
        <v>257</v>
      </c>
      <c r="C380" s="38" t="str">
        <f t="shared" si="268"/>
        <v>Gravity Thickener</v>
      </c>
      <c r="D380" s="186"/>
      <c r="E380" s="325"/>
      <c r="G380" s="36" t="s">
        <v>284</v>
      </c>
      <c r="I380" s="39"/>
      <c r="K380" s="39"/>
      <c r="L380" s="43" t="s">
        <v>293</v>
      </c>
      <c r="N380" s="70">
        <f ca="1">SUMIFS(OFFSET(Assumptions!$I$90,0,MATCH($A380,Configurations,0)-1,COUNT(Assumptions!$A$90:$A$183),1),Assumptions!$D$90:$D$183,$B380&amp;$C380)</f>
        <v>8400</v>
      </c>
      <c r="O380" s="313"/>
      <c r="P380" s="323"/>
      <c r="Q380" s="313"/>
      <c r="R380" s="50">
        <f t="shared" ref="R380:AU380" ca="1" si="270">IF(OR(R$99&lt;InServiceYr,R$99&gt;(InServiceYr+analysis_period-1)),0,IF($P380=0,$N380,$P380)*R$501)</f>
        <v>542.48507092729631</v>
      </c>
      <c r="S380" s="50">
        <f t="shared" ca="1" si="270"/>
        <v>545.86666858609908</v>
      </c>
      <c r="T380" s="50">
        <f t="shared" ca="1" si="270"/>
        <v>569.3989487342235</v>
      </c>
      <c r="U380" s="50">
        <f t="shared" ca="1" si="270"/>
        <v>586.4794923617535</v>
      </c>
      <c r="V380" s="50">
        <f t="shared" ca="1" si="270"/>
        <v>600.63189369903944</v>
      </c>
      <c r="W380" s="50">
        <f t="shared" ca="1" si="270"/>
        <v>608.31594737989042</v>
      </c>
      <c r="X380" s="50">
        <f t="shared" ca="1" si="270"/>
        <v>618.21475234641093</v>
      </c>
      <c r="Y380" s="50">
        <f t="shared" ca="1" si="270"/>
        <v>633.4463047155474</v>
      </c>
      <c r="Z380" s="50">
        <f t="shared" ca="1" si="270"/>
        <v>648.61144118121092</v>
      </c>
      <c r="AA380" s="50">
        <f t="shared" ca="1" si="270"/>
        <v>664.82832030458803</v>
      </c>
      <c r="AB380" s="50">
        <f t="shared" ca="1" si="270"/>
        <v>679.22837076534552</v>
      </c>
      <c r="AC380" s="50">
        <f t="shared" ca="1" si="270"/>
        <v>692.30783592677653</v>
      </c>
      <c r="AD380" s="50">
        <f t="shared" ca="1" si="270"/>
        <v>708.3000064780756</v>
      </c>
      <c r="AE380" s="50">
        <f t="shared" ca="1" si="270"/>
        <v>724.44333836552391</v>
      </c>
      <c r="AF380" s="50">
        <f t="shared" ca="1" si="270"/>
        <v>741.66814111586268</v>
      </c>
      <c r="AG380" s="50">
        <f t="shared" ca="1" si="270"/>
        <v>760.96398018696061</v>
      </c>
      <c r="AH380" s="50">
        <f t="shared" ca="1" si="270"/>
        <v>779.61327375529777</v>
      </c>
      <c r="AI380" s="50">
        <f t="shared" ca="1" si="270"/>
        <v>799.8376753198844</v>
      </c>
      <c r="AJ380" s="50">
        <f t="shared" ca="1" si="270"/>
        <v>821.2481406233785</v>
      </c>
      <c r="AK380" s="50">
        <f t="shared" ca="1" si="270"/>
        <v>843.58877225416643</v>
      </c>
      <c r="AL380" s="50">
        <f t="shared" si="270"/>
        <v>0</v>
      </c>
      <c r="AM380" s="50">
        <f t="shared" si="270"/>
        <v>0</v>
      </c>
      <c r="AN380" s="50">
        <f t="shared" si="270"/>
        <v>0</v>
      </c>
      <c r="AO380" s="50">
        <f t="shared" si="270"/>
        <v>0</v>
      </c>
      <c r="AP380" s="50">
        <f t="shared" si="270"/>
        <v>0</v>
      </c>
      <c r="AQ380" s="50">
        <f t="shared" si="270"/>
        <v>0</v>
      </c>
      <c r="AR380" s="50">
        <f t="shared" si="270"/>
        <v>0</v>
      </c>
      <c r="AS380" s="50">
        <f t="shared" si="270"/>
        <v>0</v>
      </c>
      <c r="AT380" s="50">
        <f t="shared" si="270"/>
        <v>0</v>
      </c>
      <c r="AU380" s="50">
        <f t="shared" si="270"/>
        <v>0</v>
      </c>
    </row>
    <row r="381" spans="1:47">
      <c r="A381" s="38" t="str">
        <f t="shared" si="264"/>
        <v>1Y-</v>
      </c>
      <c r="B381" s="38" t="s">
        <v>864</v>
      </c>
      <c r="C381" s="38" t="str">
        <f t="shared" si="268"/>
        <v>Gravity Thickener</v>
      </c>
      <c r="D381" s="186">
        <f>GHGEsc</f>
        <v>0.02</v>
      </c>
      <c r="E381" s="325"/>
      <c r="G381" s="36" t="s">
        <v>865</v>
      </c>
      <c r="I381" s="39"/>
      <c r="K381" s="39"/>
      <c r="L381" s="43" t="s">
        <v>866</v>
      </c>
      <c r="N381" s="70">
        <f ca="1">SUMIFS(OFFSET(Assumptions!$I$90,0,MATCH($A381,Configurations,0)-1,COUNT(Assumptions!$A$90:$A$183),1),Assumptions!$D$90:$D$183,$B381&amp;$C381)</f>
        <v>0</v>
      </c>
      <c r="O381" s="313"/>
      <c r="P381" s="323"/>
      <c r="Q381" s="313"/>
      <c r="R381" s="50">
        <f t="shared" ref="R381:AU381" ca="1" si="271">IF(OR(R$99&lt;InServiceYr,R$99&gt;(InServiceYr+analysis_period-1)),0,IF($P381=0,$N381,$P381)*R$513)</f>
        <v>0</v>
      </c>
      <c r="S381" s="50">
        <f t="shared" ca="1" si="271"/>
        <v>0</v>
      </c>
      <c r="T381" s="50">
        <f t="shared" ca="1" si="271"/>
        <v>0</v>
      </c>
      <c r="U381" s="50">
        <f t="shared" ca="1" si="271"/>
        <v>0</v>
      </c>
      <c r="V381" s="50">
        <f t="shared" ca="1" si="271"/>
        <v>0</v>
      </c>
      <c r="W381" s="50">
        <f t="shared" ca="1" si="271"/>
        <v>0</v>
      </c>
      <c r="X381" s="50">
        <f t="shared" ca="1" si="271"/>
        <v>0</v>
      </c>
      <c r="Y381" s="50">
        <f t="shared" ca="1" si="271"/>
        <v>0</v>
      </c>
      <c r="Z381" s="50">
        <f t="shared" ca="1" si="271"/>
        <v>0</v>
      </c>
      <c r="AA381" s="50">
        <f t="shared" ca="1" si="271"/>
        <v>0</v>
      </c>
      <c r="AB381" s="50">
        <f t="shared" ca="1" si="271"/>
        <v>0</v>
      </c>
      <c r="AC381" s="50">
        <f t="shared" ca="1" si="271"/>
        <v>0</v>
      </c>
      <c r="AD381" s="50">
        <f t="shared" ca="1" si="271"/>
        <v>0</v>
      </c>
      <c r="AE381" s="50">
        <f t="shared" ca="1" si="271"/>
        <v>0</v>
      </c>
      <c r="AF381" s="50">
        <f t="shared" ca="1" si="271"/>
        <v>0</v>
      </c>
      <c r="AG381" s="50">
        <f t="shared" ca="1" si="271"/>
        <v>0</v>
      </c>
      <c r="AH381" s="50">
        <f t="shared" ca="1" si="271"/>
        <v>0</v>
      </c>
      <c r="AI381" s="50">
        <f t="shared" ca="1" si="271"/>
        <v>0</v>
      </c>
      <c r="AJ381" s="50">
        <f t="shared" ca="1" si="271"/>
        <v>0</v>
      </c>
      <c r="AK381" s="50">
        <f t="shared" ca="1" si="271"/>
        <v>0</v>
      </c>
      <c r="AL381" s="50">
        <f t="shared" si="271"/>
        <v>0</v>
      </c>
      <c r="AM381" s="50">
        <f t="shared" si="271"/>
        <v>0</v>
      </c>
      <c r="AN381" s="50">
        <f t="shared" si="271"/>
        <v>0</v>
      </c>
      <c r="AO381" s="50">
        <f t="shared" si="271"/>
        <v>0</v>
      </c>
      <c r="AP381" s="50">
        <f t="shared" si="271"/>
        <v>0</v>
      </c>
      <c r="AQ381" s="50">
        <f t="shared" si="271"/>
        <v>0</v>
      </c>
      <c r="AR381" s="50">
        <f t="shared" si="271"/>
        <v>0</v>
      </c>
      <c r="AS381" s="50">
        <f t="shared" si="271"/>
        <v>0</v>
      </c>
      <c r="AT381" s="50">
        <f t="shared" si="271"/>
        <v>0</v>
      </c>
      <c r="AU381" s="50">
        <f t="shared" si="271"/>
        <v>0</v>
      </c>
    </row>
    <row r="382" spans="1:47">
      <c r="A382" s="38" t="str">
        <f t="shared" si="264"/>
        <v>1Y-</v>
      </c>
      <c r="B382" s="38" t="s">
        <v>273</v>
      </c>
      <c r="C382" s="38" t="str">
        <f>C380</f>
        <v>Gravity Thickener</v>
      </c>
      <c r="D382" s="186">
        <f>LaborEsc</f>
        <v>0.02</v>
      </c>
      <c r="E382" s="325"/>
      <c r="G382" s="36" t="s">
        <v>291</v>
      </c>
      <c r="I382" s="39"/>
      <c r="K382" s="39"/>
      <c r="L382" s="43" t="str">
        <f>"["&amp;CostBaseYr&amp;" $]"</f>
        <v>[2013 $]</v>
      </c>
      <c r="N382" s="70">
        <f ca="1">SUMIFS(OFFSET(Assumptions!$I$90,0,MATCH($A382,Configurations,0)-1,COUNT(Assumptions!$A$90:$A$183),1),Assumptions!$D$90:$D$183,$B382&amp;$C382)</f>
        <v>0</v>
      </c>
      <c r="O382" s="313"/>
      <c r="P382" s="323"/>
      <c r="Q382" s="313"/>
      <c r="R382" s="50">
        <f t="shared" ref="R382:AU382" ca="1" si="272">IF(OR(R$99&lt;InServiceYr,R$99&gt;(InServiceYr+analysis_period-1)),0,IF($P382=0,$N382,$P382)*(1+$D382)^(R$99-CostBaseYr))*R$509</f>
        <v>0</v>
      </c>
      <c r="S382" s="50">
        <f t="shared" ca="1" si="272"/>
        <v>0</v>
      </c>
      <c r="T382" s="50">
        <f t="shared" ca="1" si="272"/>
        <v>0</v>
      </c>
      <c r="U382" s="50">
        <f t="shared" ca="1" si="272"/>
        <v>0</v>
      </c>
      <c r="V382" s="50">
        <f t="shared" ca="1" si="272"/>
        <v>0</v>
      </c>
      <c r="W382" s="50">
        <f t="shared" ca="1" si="272"/>
        <v>0</v>
      </c>
      <c r="X382" s="50">
        <f t="shared" ca="1" si="272"/>
        <v>0</v>
      </c>
      <c r="Y382" s="50">
        <f t="shared" ca="1" si="272"/>
        <v>0</v>
      </c>
      <c r="Z382" s="50">
        <f t="shared" ca="1" si="272"/>
        <v>0</v>
      </c>
      <c r="AA382" s="50">
        <f t="shared" ca="1" si="272"/>
        <v>0</v>
      </c>
      <c r="AB382" s="50">
        <f t="shared" ca="1" si="272"/>
        <v>0</v>
      </c>
      <c r="AC382" s="50">
        <f t="shared" ca="1" si="272"/>
        <v>0</v>
      </c>
      <c r="AD382" s="50">
        <f t="shared" ca="1" si="272"/>
        <v>0</v>
      </c>
      <c r="AE382" s="50">
        <f t="shared" ca="1" si="272"/>
        <v>0</v>
      </c>
      <c r="AF382" s="50">
        <f t="shared" ca="1" si="272"/>
        <v>0</v>
      </c>
      <c r="AG382" s="50">
        <f t="shared" ca="1" si="272"/>
        <v>0</v>
      </c>
      <c r="AH382" s="50">
        <f t="shared" ca="1" si="272"/>
        <v>0</v>
      </c>
      <c r="AI382" s="50">
        <f t="shared" ca="1" si="272"/>
        <v>0</v>
      </c>
      <c r="AJ382" s="50">
        <f t="shared" ca="1" si="272"/>
        <v>0</v>
      </c>
      <c r="AK382" s="50">
        <f t="shared" ca="1" si="272"/>
        <v>0</v>
      </c>
      <c r="AL382" s="50">
        <f t="shared" si="272"/>
        <v>0</v>
      </c>
      <c r="AM382" s="50">
        <f t="shared" si="272"/>
        <v>0</v>
      </c>
      <c r="AN382" s="50">
        <f t="shared" si="272"/>
        <v>0</v>
      </c>
      <c r="AO382" s="50">
        <f t="shared" si="272"/>
        <v>0</v>
      </c>
      <c r="AP382" s="50">
        <f t="shared" si="272"/>
        <v>0</v>
      </c>
      <c r="AQ382" s="50">
        <f t="shared" si="272"/>
        <v>0</v>
      </c>
      <c r="AR382" s="50">
        <f t="shared" si="272"/>
        <v>0</v>
      </c>
      <c r="AS382" s="50">
        <f t="shared" si="272"/>
        <v>0</v>
      </c>
      <c r="AT382" s="50">
        <f t="shared" si="272"/>
        <v>0</v>
      </c>
      <c r="AU382" s="50">
        <f t="shared" si="272"/>
        <v>0</v>
      </c>
    </row>
    <row r="383" spans="1:47">
      <c r="D383" s="186"/>
      <c r="E383" s="325"/>
      <c r="G383" s="39" t="s">
        <v>304</v>
      </c>
      <c r="I383" s="39"/>
      <c r="K383" s="39"/>
      <c r="L383" s="43"/>
      <c r="N383" s="70"/>
      <c r="O383" s="313"/>
      <c r="P383" s="70"/>
      <c r="Q383" s="313"/>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row>
    <row r="384" spans="1:47">
      <c r="A384" s="38" t="str">
        <f>$J$4&amp;"-"</f>
        <v>1Y-</v>
      </c>
      <c r="B384" s="38" t="s">
        <v>265</v>
      </c>
      <c r="C384" s="38" t="str">
        <f>C375</f>
        <v>Gravity Thickener</v>
      </c>
      <c r="D384" s="186"/>
      <c r="E384" s="325"/>
      <c r="G384" s="36" t="s">
        <v>108</v>
      </c>
      <c r="I384" s="39"/>
      <c r="K384" s="39"/>
      <c r="L384" s="43" t="s">
        <v>293</v>
      </c>
      <c r="N384" s="70">
        <f ca="1">SUMIFS(OFFSET(Assumptions!$I$90,0,MATCH($A384,Configurations,0)-1,COUNT(Assumptions!$A$90:$A$183),1),Assumptions!$D$90:$D$183,$B384&amp;$C384)</f>
        <v>0</v>
      </c>
      <c r="O384" s="313"/>
      <c r="P384" s="323"/>
      <c r="Q384" s="313"/>
      <c r="R384" s="50">
        <f t="shared" ref="R384:AU384" ca="1" si="273">IF(OR(R$99&lt;InServiceYr,R$99&gt;(InServiceYr+analysis_period-1)),0,IF($P384=0,$N384,$P384)*R$501)</f>
        <v>0</v>
      </c>
      <c r="S384" s="50">
        <f t="shared" ca="1" si="273"/>
        <v>0</v>
      </c>
      <c r="T384" s="50">
        <f t="shared" ca="1" si="273"/>
        <v>0</v>
      </c>
      <c r="U384" s="50">
        <f t="shared" ca="1" si="273"/>
        <v>0</v>
      </c>
      <c r="V384" s="50">
        <f t="shared" ca="1" si="273"/>
        <v>0</v>
      </c>
      <c r="W384" s="50">
        <f t="shared" ca="1" si="273"/>
        <v>0</v>
      </c>
      <c r="X384" s="50">
        <f t="shared" ca="1" si="273"/>
        <v>0</v>
      </c>
      <c r="Y384" s="50">
        <f t="shared" ca="1" si="273"/>
        <v>0</v>
      </c>
      <c r="Z384" s="50">
        <f t="shared" ca="1" si="273"/>
        <v>0</v>
      </c>
      <c r="AA384" s="50">
        <f t="shared" ca="1" si="273"/>
        <v>0</v>
      </c>
      <c r="AB384" s="50">
        <f t="shared" ca="1" si="273"/>
        <v>0</v>
      </c>
      <c r="AC384" s="50">
        <f t="shared" ca="1" si="273"/>
        <v>0</v>
      </c>
      <c r="AD384" s="50">
        <f t="shared" ca="1" si="273"/>
        <v>0</v>
      </c>
      <c r="AE384" s="50">
        <f t="shared" ca="1" si="273"/>
        <v>0</v>
      </c>
      <c r="AF384" s="50">
        <f t="shared" ca="1" si="273"/>
        <v>0</v>
      </c>
      <c r="AG384" s="50">
        <f t="shared" ca="1" si="273"/>
        <v>0</v>
      </c>
      <c r="AH384" s="50">
        <f t="shared" ca="1" si="273"/>
        <v>0</v>
      </c>
      <c r="AI384" s="50">
        <f t="shared" ca="1" si="273"/>
        <v>0</v>
      </c>
      <c r="AJ384" s="50">
        <f t="shared" ca="1" si="273"/>
        <v>0</v>
      </c>
      <c r="AK384" s="50">
        <f t="shared" ca="1" si="273"/>
        <v>0</v>
      </c>
      <c r="AL384" s="50">
        <f t="shared" si="273"/>
        <v>0</v>
      </c>
      <c r="AM384" s="50">
        <f t="shared" si="273"/>
        <v>0</v>
      </c>
      <c r="AN384" s="50">
        <f t="shared" si="273"/>
        <v>0</v>
      </c>
      <c r="AO384" s="50">
        <f t="shared" si="273"/>
        <v>0</v>
      </c>
      <c r="AP384" s="50">
        <f t="shared" si="273"/>
        <v>0</v>
      </c>
      <c r="AQ384" s="50">
        <f t="shared" si="273"/>
        <v>0</v>
      </c>
      <c r="AR384" s="50">
        <f t="shared" si="273"/>
        <v>0</v>
      </c>
      <c r="AS384" s="50">
        <f t="shared" si="273"/>
        <v>0</v>
      </c>
      <c r="AT384" s="50">
        <f t="shared" si="273"/>
        <v>0</v>
      </c>
      <c r="AU384" s="50">
        <f t="shared" si="273"/>
        <v>0</v>
      </c>
    </row>
    <row r="385" spans="1:47">
      <c r="A385" s="38" t="str">
        <f>$J$4&amp;"-"</f>
        <v>1Y-</v>
      </c>
      <c r="B385" s="38" t="s">
        <v>289</v>
      </c>
      <c r="C385" s="38" t="str">
        <f>C375</f>
        <v>Gravity Thickener</v>
      </c>
      <c r="D385" s="186">
        <f>LaborEsc</f>
        <v>0.02</v>
      </c>
      <c r="E385" s="325"/>
      <c r="G385" s="36" t="s">
        <v>292</v>
      </c>
      <c r="I385" s="39"/>
      <c r="K385" s="39"/>
      <c r="L385" s="43" t="str">
        <f>"["&amp;CostBaseYr&amp;" $]"</f>
        <v>[2013 $]</v>
      </c>
      <c r="N385" s="70">
        <f ca="1">SUMIFS(OFFSET(Assumptions!$I$90,0,MATCH($A385,Configurations,0)-1,COUNT(Assumptions!$A$90:$A$183),1),Assumptions!$D$90:$D$183,$B385&amp;$C385)</f>
        <v>0</v>
      </c>
      <c r="O385" s="313"/>
      <c r="P385" s="323"/>
      <c r="Q385" s="313"/>
      <c r="R385" s="50">
        <f t="shared" ref="R385:AU385" ca="1" si="274">IF(OR(R$99&lt;InServiceYr,R$99&gt;(InServiceYr+analysis_period-1)),0,IF($P385=0,$N385,$P385)*(1+$D385)^(R$99-CostBaseYr))</f>
        <v>0</v>
      </c>
      <c r="S385" s="50">
        <f t="shared" ca="1" si="274"/>
        <v>0</v>
      </c>
      <c r="T385" s="50">
        <f t="shared" ca="1" si="274"/>
        <v>0</v>
      </c>
      <c r="U385" s="50">
        <f t="shared" ca="1" si="274"/>
        <v>0</v>
      </c>
      <c r="V385" s="50">
        <f t="shared" ca="1" si="274"/>
        <v>0</v>
      </c>
      <c r="W385" s="50">
        <f t="shared" ca="1" si="274"/>
        <v>0</v>
      </c>
      <c r="X385" s="50">
        <f t="shared" ca="1" si="274"/>
        <v>0</v>
      </c>
      <c r="Y385" s="50">
        <f t="shared" ca="1" si="274"/>
        <v>0</v>
      </c>
      <c r="Z385" s="50">
        <f t="shared" ca="1" si="274"/>
        <v>0</v>
      </c>
      <c r="AA385" s="50">
        <f t="shared" ca="1" si="274"/>
        <v>0</v>
      </c>
      <c r="AB385" s="50">
        <f t="shared" ca="1" si="274"/>
        <v>0</v>
      </c>
      <c r="AC385" s="50">
        <f t="shared" ca="1" si="274"/>
        <v>0</v>
      </c>
      <c r="AD385" s="50">
        <f t="shared" ca="1" si="274"/>
        <v>0</v>
      </c>
      <c r="AE385" s="50">
        <f t="shared" ca="1" si="274"/>
        <v>0</v>
      </c>
      <c r="AF385" s="50">
        <f t="shared" ca="1" si="274"/>
        <v>0</v>
      </c>
      <c r="AG385" s="50">
        <f t="shared" ca="1" si="274"/>
        <v>0</v>
      </c>
      <c r="AH385" s="50">
        <f t="shared" ca="1" si="274"/>
        <v>0</v>
      </c>
      <c r="AI385" s="50">
        <f t="shared" ca="1" si="274"/>
        <v>0</v>
      </c>
      <c r="AJ385" s="50">
        <f t="shared" ca="1" si="274"/>
        <v>0</v>
      </c>
      <c r="AK385" s="50">
        <f t="shared" ca="1" si="274"/>
        <v>0</v>
      </c>
      <c r="AL385" s="50">
        <f t="shared" si="274"/>
        <v>0</v>
      </c>
      <c r="AM385" s="50">
        <f t="shared" si="274"/>
        <v>0</v>
      </c>
      <c r="AN385" s="50">
        <f t="shared" si="274"/>
        <v>0</v>
      </c>
      <c r="AO385" s="50">
        <f t="shared" si="274"/>
        <v>0</v>
      </c>
      <c r="AP385" s="50">
        <f t="shared" si="274"/>
        <v>0</v>
      </c>
      <c r="AQ385" s="50">
        <f t="shared" si="274"/>
        <v>0</v>
      </c>
      <c r="AR385" s="50">
        <f t="shared" si="274"/>
        <v>0</v>
      </c>
      <c r="AS385" s="50">
        <f t="shared" si="274"/>
        <v>0</v>
      </c>
      <c r="AT385" s="50">
        <f t="shared" si="274"/>
        <v>0</v>
      </c>
      <c r="AU385" s="50">
        <f t="shared" si="274"/>
        <v>0</v>
      </c>
    </row>
    <row r="386" spans="1:47" s="60" customFormat="1">
      <c r="D386" s="187"/>
      <c r="E386" s="325"/>
      <c r="G386" s="39" t="s">
        <v>305</v>
      </c>
      <c r="I386" s="39"/>
      <c r="K386" s="39"/>
      <c r="L386" s="174"/>
      <c r="N386" s="188"/>
      <c r="O386" s="314"/>
      <c r="P386" s="185"/>
      <c r="Q386" s="314"/>
      <c r="R386" s="185">
        <f ca="1">SUM(R375:R382)-SUM(R384:R385)</f>
        <v>62864.485070927294</v>
      </c>
      <c r="S386" s="185">
        <f t="shared" ref="S386:AU386" ca="1" si="275">SUM(S375:S382)-SUM(S384:S385)</f>
        <v>64114.306668586105</v>
      </c>
      <c r="T386" s="185">
        <f t="shared" ca="1" si="275"/>
        <v>65409.207748734225</v>
      </c>
      <c r="U386" s="185">
        <f t="shared" ca="1" si="275"/>
        <v>66723.084468361762</v>
      </c>
      <c r="V386" s="185">
        <f t="shared" ca="1" si="275"/>
        <v>68059.968969219044</v>
      </c>
      <c r="W386" s="185">
        <f t="shared" ca="1" si="275"/>
        <v>69416.839764410295</v>
      </c>
      <c r="X386" s="185">
        <f t="shared" ca="1" si="275"/>
        <v>70802.909045717402</v>
      </c>
      <c r="Y386" s="185">
        <f t="shared" ca="1" si="275"/>
        <v>72221.834483953964</v>
      </c>
      <c r="Z386" s="185">
        <f t="shared" ca="1" si="275"/>
        <v>73668.767384004415</v>
      </c>
      <c r="AA386" s="185">
        <f t="shared" ca="1" si="275"/>
        <v>75145.387381984241</v>
      </c>
      <c r="AB386" s="185">
        <f t="shared" ca="1" si="275"/>
        <v>76649.398613678582</v>
      </c>
      <c r="AC386" s="185">
        <f t="shared" ca="1" si="275"/>
        <v>78181.881483698293</v>
      </c>
      <c r="AD386" s="185">
        <f t="shared" ca="1" si="275"/>
        <v>79747.665127205022</v>
      </c>
      <c r="AE386" s="185">
        <f t="shared" ca="1" si="275"/>
        <v>81344.595761507022</v>
      </c>
      <c r="AF386" s="185">
        <f t="shared" ca="1" si="275"/>
        <v>82974.223612720161</v>
      </c>
      <c r="AG386" s="185">
        <f t="shared" ca="1" si="275"/>
        <v>84638.170561223364</v>
      </c>
      <c r="AH386" s="185">
        <f t="shared" ca="1" si="275"/>
        <v>86334.363986412427</v>
      </c>
      <c r="AI386" s="185">
        <f t="shared" ca="1" si="275"/>
        <v>88065.683402230148</v>
      </c>
      <c r="AJ386" s="185">
        <f t="shared" ca="1" si="275"/>
        <v>89832.410782071849</v>
      </c>
      <c r="AK386" s="185">
        <f t="shared" ca="1" si="275"/>
        <v>91634.974666531605</v>
      </c>
      <c r="AL386" s="185">
        <f t="shared" si="275"/>
        <v>0</v>
      </c>
      <c r="AM386" s="185">
        <f t="shared" si="275"/>
        <v>0</v>
      </c>
      <c r="AN386" s="185">
        <f t="shared" si="275"/>
        <v>0</v>
      </c>
      <c r="AO386" s="185">
        <f t="shared" si="275"/>
        <v>0</v>
      </c>
      <c r="AP386" s="185">
        <f t="shared" si="275"/>
        <v>0</v>
      </c>
      <c r="AQ386" s="185">
        <f t="shared" si="275"/>
        <v>0</v>
      </c>
      <c r="AR386" s="185">
        <f t="shared" si="275"/>
        <v>0</v>
      </c>
      <c r="AS386" s="185">
        <f t="shared" si="275"/>
        <v>0</v>
      </c>
      <c r="AT386" s="185">
        <f t="shared" si="275"/>
        <v>0</v>
      </c>
      <c r="AU386" s="185">
        <f t="shared" si="275"/>
        <v>0</v>
      </c>
    </row>
    <row r="387" spans="1:47">
      <c r="E387" s="36"/>
      <c r="G387" s="39"/>
      <c r="H387" s="39"/>
      <c r="I387" s="39"/>
      <c r="J387" s="39"/>
      <c r="K387" s="39"/>
    </row>
    <row r="388" spans="1:47">
      <c r="E388" s="327"/>
      <c r="F388" s="28"/>
      <c r="G388" s="324" t="str">
        <f>C390&amp;" Capital Costs"</f>
        <v>Pre-Dewatering  Capital Costs</v>
      </c>
      <c r="H388" s="324"/>
      <c r="I388" s="324"/>
      <c r="J388" s="324"/>
      <c r="K388" s="324"/>
      <c r="L388" s="405" t="s">
        <v>79</v>
      </c>
      <c r="M388" s="256"/>
      <c r="N388" s="325" t="s">
        <v>490</v>
      </c>
      <c r="O388" s="311"/>
      <c r="P388" s="325" t="s">
        <v>491</v>
      </c>
      <c r="Q388" s="310"/>
      <c r="R388" s="325">
        <f>R$8</f>
        <v>2014</v>
      </c>
      <c r="S388" s="325">
        <f t="shared" ref="S388:AU388" si="276">S$8</f>
        <v>2015</v>
      </c>
      <c r="T388" s="325">
        <f t="shared" si="276"/>
        <v>2016</v>
      </c>
      <c r="U388" s="325">
        <f t="shared" si="276"/>
        <v>2017</v>
      </c>
      <c r="V388" s="325">
        <f t="shared" si="276"/>
        <v>2018</v>
      </c>
      <c r="W388" s="325">
        <f t="shared" si="276"/>
        <v>2019</v>
      </c>
      <c r="X388" s="325">
        <f t="shared" si="276"/>
        <v>2020</v>
      </c>
      <c r="Y388" s="325">
        <f t="shared" si="276"/>
        <v>2021</v>
      </c>
      <c r="Z388" s="325">
        <f t="shared" si="276"/>
        <v>2022</v>
      </c>
      <c r="AA388" s="325">
        <f t="shared" si="276"/>
        <v>2023</v>
      </c>
      <c r="AB388" s="325">
        <f t="shared" si="276"/>
        <v>2024</v>
      </c>
      <c r="AC388" s="325">
        <f t="shared" si="276"/>
        <v>2025</v>
      </c>
      <c r="AD388" s="325">
        <f t="shared" si="276"/>
        <v>2026</v>
      </c>
      <c r="AE388" s="325">
        <f t="shared" si="276"/>
        <v>2027</v>
      </c>
      <c r="AF388" s="325">
        <f t="shared" si="276"/>
        <v>2028</v>
      </c>
      <c r="AG388" s="325">
        <f t="shared" si="276"/>
        <v>2029</v>
      </c>
      <c r="AH388" s="325">
        <f t="shared" si="276"/>
        <v>2030</v>
      </c>
      <c r="AI388" s="325">
        <f t="shared" si="276"/>
        <v>2031</v>
      </c>
      <c r="AJ388" s="325">
        <f t="shared" si="276"/>
        <v>2032</v>
      </c>
      <c r="AK388" s="325">
        <f t="shared" si="276"/>
        <v>2033</v>
      </c>
      <c r="AL388" s="325">
        <f t="shared" si="276"/>
        <v>2034</v>
      </c>
      <c r="AM388" s="325">
        <f t="shared" si="276"/>
        <v>2035</v>
      </c>
      <c r="AN388" s="325">
        <f t="shared" si="276"/>
        <v>2036</v>
      </c>
      <c r="AO388" s="325">
        <f t="shared" si="276"/>
        <v>2037</v>
      </c>
      <c r="AP388" s="325">
        <f t="shared" si="276"/>
        <v>2038</v>
      </c>
      <c r="AQ388" s="325">
        <f t="shared" si="276"/>
        <v>2039</v>
      </c>
      <c r="AR388" s="325">
        <f t="shared" si="276"/>
        <v>2040</v>
      </c>
      <c r="AS388" s="325">
        <f t="shared" si="276"/>
        <v>2041</v>
      </c>
      <c r="AT388" s="325">
        <f t="shared" si="276"/>
        <v>2042</v>
      </c>
      <c r="AU388" s="325">
        <f t="shared" si="276"/>
        <v>2043</v>
      </c>
    </row>
    <row r="389" spans="1:47">
      <c r="E389" s="325"/>
      <c r="G389" s="39"/>
      <c r="H389" s="39"/>
      <c r="I389" s="39"/>
      <c r="J389" s="39"/>
      <c r="K389" s="39"/>
    </row>
    <row r="390" spans="1:47">
      <c r="A390" s="38" t="str">
        <f>$J$4&amp;"-"</f>
        <v>1Y-</v>
      </c>
      <c r="B390" s="38" t="s">
        <v>306</v>
      </c>
      <c r="C390" s="38" t="s">
        <v>163</v>
      </c>
      <c r="D390" s="186">
        <f>CapExEsc</f>
        <v>0.03</v>
      </c>
      <c r="E390" s="325"/>
      <c r="G390" s="36" t="s">
        <v>8</v>
      </c>
      <c r="H390" s="39"/>
      <c r="I390" s="39"/>
      <c r="J390" s="70"/>
      <c r="K390" s="39"/>
      <c r="L390" s="43" t="str">
        <f>"["&amp;CostBaseYr&amp;" $]"</f>
        <v>[2013 $]</v>
      </c>
      <c r="N390" s="52">
        <f ca="1">SUMIFS(OFFSET(Assumptions!$I$65,0,MATCH($A390,Configurations,0)-1,COUNT(Assumptions!$A$65:$A$84),1),Assumptions!$E$65:$E$84,$C390)</f>
        <v>4064000</v>
      </c>
      <c r="O390" s="52"/>
      <c r="P390" s="322"/>
      <c r="Q390" s="52"/>
      <c r="R390" s="52">
        <f t="shared" ref="R390:AU390" ca="1" si="277">R391*IF($P390=0,$N390,$P390)*(1+$D390)^(R$8-CostBaseYr)</f>
        <v>4185920</v>
      </c>
      <c r="S390" s="52">
        <f t="shared" ca="1" si="277"/>
        <v>0</v>
      </c>
      <c r="T390" s="52">
        <f t="shared" ca="1" si="277"/>
        <v>0</v>
      </c>
      <c r="U390" s="52">
        <f t="shared" ca="1" si="277"/>
        <v>0</v>
      </c>
      <c r="V390" s="52">
        <f t="shared" ca="1" si="277"/>
        <v>0</v>
      </c>
      <c r="W390" s="52">
        <f t="shared" ca="1" si="277"/>
        <v>0</v>
      </c>
      <c r="X390" s="52">
        <f t="shared" ca="1" si="277"/>
        <v>0</v>
      </c>
      <c r="Y390" s="52">
        <f t="shared" ca="1" si="277"/>
        <v>0</v>
      </c>
      <c r="Z390" s="52">
        <f t="shared" ca="1" si="277"/>
        <v>0</v>
      </c>
      <c r="AA390" s="52">
        <f t="shared" ca="1" si="277"/>
        <v>0</v>
      </c>
      <c r="AB390" s="52">
        <f t="shared" ca="1" si="277"/>
        <v>0</v>
      </c>
      <c r="AC390" s="52">
        <f t="shared" ca="1" si="277"/>
        <v>0</v>
      </c>
      <c r="AD390" s="52">
        <f t="shared" ca="1" si="277"/>
        <v>0</v>
      </c>
      <c r="AE390" s="52">
        <f t="shared" ca="1" si="277"/>
        <v>0</v>
      </c>
      <c r="AF390" s="52">
        <f t="shared" ca="1" si="277"/>
        <v>0</v>
      </c>
      <c r="AG390" s="52">
        <f t="shared" ca="1" si="277"/>
        <v>0</v>
      </c>
      <c r="AH390" s="52">
        <f t="shared" ca="1" si="277"/>
        <v>0</v>
      </c>
      <c r="AI390" s="52">
        <f t="shared" ca="1" si="277"/>
        <v>0</v>
      </c>
      <c r="AJ390" s="52">
        <f t="shared" ca="1" si="277"/>
        <v>0</v>
      </c>
      <c r="AK390" s="52">
        <f t="shared" ca="1" si="277"/>
        <v>0</v>
      </c>
      <c r="AL390" s="52">
        <f t="shared" ca="1" si="277"/>
        <v>0</v>
      </c>
      <c r="AM390" s="52">
        <f t="shared" ca="1" si="277"/>
        <v>0</v>
      </c>
      <c r="AN390" s="52">
        <f t="shared" ca="1" si="277"/>
        <v>0</v>
      </c>
      <c r="AO390" s="52">
        <f t="shared" ca="1" si="277"/>
        <v>0</v>
      </c>
      <c r="AP390" s="52">
        <f t="shared" ca="1" si="277"/>
        <v>0</v>
      </c>
      <c r="AQ390" s="52">
        <f t="shared" ca="1" si="277"/>
        <v>0</v>
      </c>
      <c r="AR390" s="52">
        <f t="shared" ca="1" si="277"/>
        <v>0</v>
      </c>
      <c r="AS390" s="52">
        <f t="shared" ca="1" si="277"/>
        <v>0</v>
      </c>
      <c r="AT390" s="52">
        <f t="shared" ca="1" si="277"/>
        <v>0</v>
      </c>
      <c r="AU390" s="52">
        <f t="shared" ca="1" si="277"/>
        <v>0</v>
      </c>
    </row>
    <row r="391" spans="1:47">
      <c r="E391" s="325"/>
      <c r="G391" s="36" t="s">
        <v>10</v>
      </c>
      <c r="H391" s="39"/>
      <c r="I391" s="39"/>
      <c r="J391" s="39"/>
      <c r="K391" s="39"/>
      <c r="L391" s="43"/>
      <c r="R391" s="54">
        <f>Assumptions!M$60</f>
        <v>1</v>
      </c>
      <c r="S391" s="54">
        <f>Assumptions!N$60</f>
        <v>0</v>
      </c>
      <c r="T391" s="54">
        <f>Assumptions!O$60</f>
        <v>0</v>
      </c>
      <c r="U391" s="54">
        <f>Assumptions!P$60</f>
        <v>0</v>
      </c>
      <c r="V391" s="54">
        <f>Assumptions!Q$60</f>
        <v>0</v>
      </c>
      <c r="W391" s="54">
        <f>Assumptions!R$60</f>
        <v>0</v>
      </c>
      <c r="X391" s="54">
        <f>Assumptions!S$60</f>
        <v>0</v>
      </c>
      <c r="Y391" s="54">
        <f>Assumptions!T$60</f>
        <v>0</v>
      </c>
      <c r="Z391" s="54">
        <f>Assumptions!U$60</f>
        <v>0</v>
      </c>
      <c r="AA391" s="54">
        <f>Assumptions!V$60</f>
        <v>0</v>
      </c>
      <c r="AB391" s="54">
        <f>Assumptions!W$60</f>
        <v>0</v>
      </c>
      <c r="AC391" s="54">
        <f>Assumptions!X$60</f>
        <v>0</v>
      </c>
      <c r="AD391" s="54">
        <f>Assumptions!Y$60</f>
        <v>0</v>
      </c>
      <c r="AE391" s="54">
        <f>Assumptions!Z$60</f>
        <v>0</v>
      </c>
      <c r="AF391" s="54">
        <f>Assumptions!AA$60</f>
        <v>0</v>
      </c>
      <c r="AG391" s="54">
        <f>Assumptions!AB$60</f>
        <v>0</v>
      </c>
      <c r="AH391" s="54">
        <f>Assumptions!AC$60</f>
        <v>0</v>
      </c>
      <c r="AI391" s="54">
        <f>Assumptions!AD$60</f>
        <v>0</v>
      </c>
      <c r="AJ391" s="54">
        <f>Assumptions!AE$60</f>
        <v>0</v>
      </c>
      <c r="AK391" s="54">
        <f>Assumptions!AF$60</f>
        <v>0</v>
      </c>
      <c r="AL391" s="54">
        <f>Assumptions!AG$60</f>
        <v>0</v>
      </c>
      <c r="AM391" s="54">
        <f>Assumptions!AH$60</f>
        <v>0</v>
      </c>
      <c r="AN391" s="54">
        <f>Assumptions!AI$60</f>
        <v>0</v>
      </c>
      <c r="AO391" s="54">
        <f>Assumptions!AJ$60</f>
        <v>0</v>
      </c>
      <c r="AP391" s="54">
        <f>Assumptions!AK$60</f>
        <v>0</v>
      </c>
      <c r="AQ391" s="54">
        <f>Assumptions!AL$60</f>
        <v>0</v>
      </c>
      <c r="AR391" s="54">
        <f>Assumptions!AM$60</f>
        <v>0</v>
      </c>
      <c r="AS391" s="54">
        <f>Assumptions!AN$60</f>
        <v>0</v>
      </c>
      <c r="AT391" s="54">
        <f>Assumptions!AO$60</f>
        <v>0</v>
      </c>
      <c r="AU391" s="54">
        <f>Assumptions!AP$60</f>
        <v>0</v>
      </c>
    </row>
    <row r="392" spans="1:47">
      <c r="E392" s="326"/>
      <c r="G392" s="39"/>
      <c r="H392" s="39"/>
      <c r="I392" s="39"/>
      <c r="J392" s="39"/>
      <c r="K392" s="39"/>
    </row>
    <row r="393" spans="1:47">
      <c r="E393" s="327"/>
      <c r="F393" s="28"/>
      <c r="G393" s="324" t="str">
        <f>C390&amp;" O&amp;M"</f>
        <v>Pre-Dewatering  O&amp;M</v>
      </c>
      <c r="H393" s="324"/>
      <c r="I393" s="324"/>
      <c r="J393" s="324"/>
      <c r="K393" s="324"/>
      <c r="L393" s="405" t="s">
        <v>79</v>
      </c>
      <c r="M393" s="256"/>
      <c r="N393" s="325" t="s">
        <v>490</v>
      </c>
      <c r="O393" s="311"/>
      <c r="P393" s="325" t="s">
        <v>491</v>
      </c>
      <c r="Q393" s="310"/>
      <c r="R393" s="325">
        <f>R$8</f>
        <v>2014</v>
      </c>
      <c r="S393" s="325">
        <f t="shared" ref="S393:AU393" si="278">S$8</f>
        <v>2015</v>
      </c>
      <c r="T393" s="325">
        <f t="shared" si="278"/>
        <v>2016</v>
      </c>
      <c r="U393" s="325">
        <f t="shared" si="278"/>
        <v>2017</v>
      </c>
      <c r="V393" s="325">
        <f t="shared" si="278"/>
        <v>2018</v>
      </c>
      <c r="W393" s="325">
        <f t="shared" si="278"/>
        <v>2019</v>
      </c>
      <c r="X393" s="325">
        <f t="shared" si="278"/>
        <v>2020</v>
      </c>
      <c r="Y393" s="325">
        <f t="shared" si="278"/>
        <v>2021</v>
      </c>
      <c r="Z393" s="325">
        <f t="shared" si="278"/>
        <v>2022</v>
      </c>
      <c r="AA393" s="325">
        <f t="shared" si="278"/>
        <v>2023</v>
      </c>
      <c r="AB393" s="325">
        <f t="shared" si="278"/>
        <v>2024</v>
      </c>
      <c r="AC393" s="325">
        <f t="shared" si="278"/>
        <v>2025</v>
      </c>
      <c r="AD393" s="325">
        <f t="shared" si="278"/>
        <v>2026</v>
      </c>
      <c r="AE393" s="325">
        <f t="shared" si="278"/>
        <v>2027</v>
      </c>
      <c r="AF393" s="325">
        <f t="shared" si="278"/>
        <v>2028</v>
      </c>
      <c r="AG393" s="325">
        <f t="shared" si="278"/>
        <v>2029</v>
      </c>
      <c r="AH393" s="325">
        <f t="shared" si="278"/>
        <v>2030</v>
      </c>
      <c r="AI393" s="325">
        <f t="shared" si="278"/>
        <v>2031</v>
      </c>
      <c r="AJ393" s="325">
        <f t="shared" si="278"/>
        <v>2032</v>
      </c>
      <c r="AK393" s="325">
        <f t="shared" si="278"/>
        <v>2033</v>
      </c>
      <c r="AL393" s="325">
        <f t="shared" si="278"/>
        <v>2034</v>
      </c>
      <c r="AM393" s="325">
        <f t="shared" si="278"/>
        <v>2035</v>
      </c>
      <c r="AN393" s="325">
        <f t="shared" si="278"/>
        <v>2036</v>
      </c>
      <c r="AO393" s="325">
        <f t="shared" si="278"/>
        <v>2037</v>
      </c>
      <c r="AP393" s="325">
        <f t="shared" si="278"/>
        <v>2038</v>
      </c>
      <c r="AQ393" s="325">
        <f t="shared" si="278"/>
        <v>2039</v>
      </c>
      <c r="AR393" s="325">
        <f t="shared" si="278"/>
        <v>2040</v>
      </c>
      <c r="AS393" s="325">
        <f t="shared" si="278"/>
        <v>2041</v>
      </c>
      <c r="AT393" s="325">
        <f t="shared" si="278"/>
        <v>2042</v>
      </c>
      <c r="AU393" s="325">
        <f t="shared" si="278"/>
        <v>2043</v>
      </c>
    </row>
    <row r="394" spans="1:47">
      <c r="E394" s="325"/>
      <c r="G394" s="39"/>
      <c r="H394" s="39"/>
      <c r="I394" s="39"/>
      <c r="J394" s="39"/>
      <c r="K394" s="39"/>
    </row>
    <row r="395" spans="1:47">
      <c r="E395" s="325"/>
      <c r="G395" s="39" t="s">
        <v>23</v>
      </c>
      <c r="H395" s="39"/>
      <c r="I395" s="39"/>
      <c r="J395" s="39"/>
      <c r="K395" s="39"/>
    </row>
    <row r="396" spans="1:47">
      <c r="A396" s="38" t="str">
        <f t="shared" ref="A396:A403" si="279">$J$4&amp;"-"</f>
        <v>1Y-</v>
      </c>
      <c r="B396" s="38" t="s">
        <v>262</v>
      </c>
      <c r="C396" s="38" t="str">
        <f>C390</f>
        <v xml:space="preserve">Pre-Dewatering </v>
      </c>
      <c r="D396" s="186">
        <f>LaborEsc</f>
        <v>0.02</v>
      </c>
      <c r="E396" s="325"/>
      <c r="G396" s="36" t="s">
        <v>125</v>
      </c>
      <c r="I396" s="39"/>
      <c r="K396" s="39"/>
      <c r="L396" s="43" t="s">
        <v>266</v>
      </c>
      <c r="N396" s="70">
        <f ca="1">SUMIFS(OFFSET(Assumptions!$I$90,0,MATCH($A396,Configurations,0)-1,COUNT(Assumptions!$A$90:$A$183),1),Assumptions!$D$90:$D$183,$B396&amp;$C396)</f>
        <v>5110</v>
      </c>
      <c r="O396" s="313"/>
      <c r="P396" s="323"/>
      <c r="Q396" s="313"/>
      <c r="R396" s="50">
        <f t="shared" ref="R396:AU396" ca="1" si="280">IF(OR(R$99&lt;InServiceYr,R$99&gt;(InServiceYr+analysis_period-1)),0,IF($P396=0,$N396,$P396)*LaborCost*(1+$D396)^(R$99-CostBaseYr))</f>
        <v>182427</v>
      </c>
      <c r="S396" s="50">
        <f t="shared" ca="1" si="280"/>
        <v>186075.54</v>
      </c>
      <c r="T396" s="50">
        <f t="shared" ca="1" si="280"/>
        <v>189797.0508</v>
      </c>
      <c r="U396" s="50">
        <f t="shared" ca="1" si="280"/>
        <v>193592.99181599999</v>
      </c>
      <c r="V396" s="50">
        <f t="shared" ca="1" si="280"/>
        <v>197464.85165232001</v>
      </c>
      <c r="W396" s="50">
        <f t="shared" ca="1" si="280"/>
        <v>201414.14868536641</v>
      </c>
      <c r="X396" s="50">
        <f t="shared" ca="1" si="280"/>
        <v>205442.43165907369</v>
      </c>
      <c r="Y396" s="50">
        <f t="shared" ca="1" si="280"/>
        <v>209551.28029225519</v>
      </c>
      <c r="Z396" s="50">
        <f t="shared" ca="1" si="280"/>
        <v>213742.30589810028</v>
      </c>
      <c r="AA396" s="50">
        <f t="shared" ca="1" si="280"/>
        <v>218017.15201606232</v>
      </c>
      <c r="AB396" s="50">
        <f t="shared" ca="1" si="280"/>
        <v>222377.49505638352</v>
      </c>
      <c r="AC396" s="50">
        <f t="shared" ca="1" si="280"/>
        <v>226825.04495751121</v>
      </c>
      <c r="AD396" s="50">
        <f t="shared" ca="1" si="280"/>
        <v>231361.54585666143</v>
      </c>
      <c r="AE396" s="50">
        <f t="shared" ca="1" si="280"/>
        <v>235988.77677379467</v>
      </c>
      <c r="AF396" s="50">
        <f t="shared" ca="1" si="280"/>
        <v>240708.55230927051</v>
      </c>
      <c r="AG396" s="50">
        <f t="shared" ca="1" si="280"/>
        <v>245522.72335545596</v>
      </c>
      <c r="AH396" s="50">
        <f t="shared" ca="1" si="280"/>
        <v>250433.17782256511</v>
      </c>
      <c r="AI396" s="50">
        <f t="shared" ca="1" si="280"/>
        <v>255441.84137901638</v>
      </c>
      <c r="AJ396" s="50">
        <f t="shared" ca="1" si="280"/>
        <v>260550.6782065967</v>
      </c>
      <c r="AK396" s="50">
        <f t="shared" ca="1" si="280"/>
        <v>265761.69177072868</v>
      </c>
      <c r="AL396" s="50">
        <f t="shared" si="280"/>
        <v>0</v>
      </c>
      <c r="AM396" s="50">
        <f t="shared" si="280"/>
        <v>0</v>
      </c>
      <c r="AN396" s="50">
        <f t="shared" si="280"/>
        <v>0</v>
      </c>
      <c r="AO396" s="50">
        <f t="shared" si="280"/>
        <v>0</v>
      </c>
      <c r="AP396" s="50">
        <f t="shared" si="280"/>
        <v>0</v>
      </c>
      <c r="AQ396" s="50">
        <f t="shared" si="280"/>
        <v>0</v>
      </c>
      <c r="AR396" s="50">
        <f t="shared" si="280"/>
        <v>0</v>
      </c>
      <c r="AS396" s="50">
        <f t="shared" si="280"/>
        <v>0</v>
      </c>
      <c r="AT396" s="50">
        <f t="shared" si="280"/>
        <v>0</v>
      </c>
      <c r="AU396" s="50">
        <f t="shared" si="280"/>
        <v>0</v>
      </c>
    </row>
    <row r="397" spans="1:47">
      <c r="A397" s="38" t="str">
        <f t="shared" si="279"/>
        <v>1Y-</v>
      </c>
      <c r="B397" s="38" t="s">
        <v>270</v>
      </c>
      <c r="C397" s="38" t="str">
        <f>C396</f>
        <v xml:space="preserve">Pre-Dewatering </v>
      </c>
      <c r="D397" s="186">
        <f>OMEsc</f>
        <v>0.02</v>
      </c>
      <c r="E397" s="325"/>
      <c r="G397" s="36" t="s">
        <v>126</v>
      </c>
      <c r="I397" s="39"/>
      <c r="K397" s="39"/>
      <c r="L397" s="43" t="str">
        <f>"["&amp;CostBaseYr&amp;" $]"</f>
        <v>[2013 $]</v>
      </c>
      <c r="N397" s="70">
        <f ca="1">SUMIFS(OFFSET(Assumptions!$I$90,0,MATCH($A397,Configurations,0)-1,COUNT(Assumptions!$A$90:$A$183),1),Assumptions!$D$90:$D$183,$B397&amp;$C397)</f>
        <v>59000</v>
      </c>
      <c r="O397" s="313"/>
      <c r="P397" s="323"/>
      <c r="Q397" s="313"/>
      <c r="R397" s="50">
        <f t="shared" ref="R397:AG399" ca="1" si="281">IF(OR(R$99&lt;InServiceYr,R$99&gt;(InServiceYr+analysis_period-1)),0,IF($P397=0,$N397,$P397)*(1+$D397)^(R$99-CostBaseYr))</f>
        <v>60180</v>
      </c>
      <c r="S397" s="50">
        <f t="shared" ca="1" si="281"/>
        <v>61383.6</v>
      </c>
      <c r="T397" s="50">
        <f t="shared" ca="1" si="281"/>
        <v>62611.271999999997</v>
      </c>
      <c r="U397" s="50">
        <f t="shared" ca="1" si="281"/>
        <v>63863.497439999999</v>
      </c>
      <c r="V397" s="50">
        <f t="shared" ca="1" si="281"/>
        <v>65140.767388799999</v>
      </c>
      <c r="W397" s="50">
        <f t="shared" ca="1" si="281"/>
        <v>66443.582736576005</v>
      </c>
      <c r="X397" s="50">
        <f t="shared" ca="1" si="281"/>
        <v>67772.454391307503</v>
      </c>
      <c r="Y397" s="50">
        <f t="shared" ca="1" si="281"/>
        <v>69127.90347913366</v>
      </c>
      <c r="Z397" s="50">
        <f t="shared" ca="1" si="281"/>
        <v>70510.461548716339</v>
      </c>
      <c r="AA397" s="50">
        <f t="shared" ca="1" si="281"/>
        <v>71920.67077969067</v>
      </c>
      <c r="AB397" s="50">
        <f t="shared" ca="1" si="281"/>
        <v>73359.084195284464</v>
      </c>
      <c r="AC397" s="50">
        <f t="shared" ca="1" si="281"/>
        <v>74826.265879190178</v>
      </c>
      <c r="AD397" s="50">
        <f t="shared" ca="1" si="281"/>
        <v>76322.791196773964</v>
      </c>
      <c r="AE397" s="50">
        <f t="shared" ca="1" si="281"/>
        <v>77849.247020709459</v>
      </c>
      <c r="AF397" s="50">
        <f t="shared" ca="1" si="281"/>
        <v>79406.231961123631</v>
      </c>
      <c r="AG397" s="50">
        <f t="shared" ca="1" si="281"/>
        <v>80994.356600346116</v>
      </c>
      <c r="AH397" s="50">
        <f t="shared" ref="S397:AU399" ca="1" si="282">IF(OR(AH$99&lt;InServiceYr,AH$99&gt;(InServiceYr+analysis_period-1)),0,IF($P397=0,$N397,$P397)*(1+$D397)^(AH$99-CostBaseYr))</f>
        <v>82614.243732353047</v>
      </c>
      <c r="AI397" s="50">
        <f t="shared" ca="1" si="282"/>
        <v>84266.528607000088</v>
      </c>
      <c r="AJ397" s="50">
        <f t="shared" ca="1" si="282"/>
        <v>85951.859179140083</v>
      </c>
      <c r="AK397" s="50">
        <f t="shared" ca="1" si="282"/>
        <v>87670.896362722895</v>
      </c>
      <c r="AL397" s="50">
        <f t="shared" si="282"/>
        <v>0</v>
      </c>
      <c r="AM397" s="50">
        <f t="shared" si="282"/>
        <v>0</v>
      </c>
      <c r="AN397" s="50">
        <f t="shared" si="282"/>
        <v>0</v>
      </c>
      <c r="AO397" s="50">
        <f t="shared" si="282"/>
        <v>0</v>
      </c>
      <c r="AP397" s="50">
        <f t="shared" si="282"/>
        <v>0</v>
      </c>
      <c r="AQ397" s="50">
        <f t="shared" si="282"/>
        <v>0</v>
      </c>
      <c r="AR397" s="50">
        <f t="shared" si="282"/>
        <v>0</v>
      </c>
      <c r="AS397" s="50">
        <f t="shared" si="282"/>
        <v>0</v>
      </c>
      <c r="AT397" s="50">
        <f t="shared" si="282"/>
        <v>0</v>
      </c>
      <c r="AU397" s="50">
        <f t="shared" si="282"/>
        <v>0</v>
      </c>
    </row>
    <row r="398" spans="1:47">
      <c r="A398" s="38" t="str">
        <f t="shared" si="279"/>
        <v>1Y-</v>
      </c>
      <c r="B398" s="38" t="s">
        <v>263</v>
      </c>
      <c r="C398" s="38" t="str">
        <f t="shared" ref="C398:C402" si="283">C397</f>
        <v xml:space="preserve">Pre-Dewatering </v>
      </c>
      <c r="D398" s="186">
        <f>OMEsc</f>
        <v>0.02</v>
      </c>
      <c r="E398" s="325"/>
      <c r="G398" s="36" t="s">
        <v>127</v>
      </c>
      <c r="I398" s="39"/>
      <c r="K398" s="39"/>
      <c r="L398" s="43" t="str">
        <f>"["&amp;CostBaseYr&amp;" $]"</f>
        <v>[2013 $]</v>
      </c>
      <c r="N398" s="70">
        <f ca="1">SUMIFS(OFFSET(Assumptions!$I$90,0,MATCH($A398,Configurations,0)-1,COUNT(Assumptions!$A$90:$A$183),1),Assumptions!$D$90:$D$183,$B398&amp;$C398)</f>
        <v>108000</v>
      </c>
      <c r="O398" s="313"/>
      <c r="P398" s="323"/>
      <c r="Q398" s="313"/>
      <c r="R398" s="50">
        <f t="shared" ca="1" si="281"/>
        <v>110160</v>
      </c>
      <c r="S398" s="50">
        <f t="shared" ca="1" si="282"/>
        <v>112363.2</v>
      </c>
      <c r="T398" s="50">
        <f t="shared" ca="1" si="282"/>
        <v>114610.46399999999</v>
      </c>
      <c r="U398" s="50">
        <f t="shared" ca="1" si="282"/>
        <v>116902.67328</v>
      </c>
      <c r="V398" s="50">
        <f t="shared" ca="1" si="282"/>
        <v>119240.7267456</v>
      </c>
      <c r="W398" s="50">
        <f t="shared" ca="1" si="282"/>
        <v>121625.54128051201</v>
      </c>
      <c r="X398" s="50">
        <f t="shared" ca="1" si="282"/>
        <v>124058.05210612222</v>
      </c>
      <c r="Y398" s="50">
        <f t="shared" ca="1" si="282"/>
        <v>126539.21314824467</v>
      </c>
      <c r="Z398" s="50">
        <f t="shared" ca="1" si="282"/>
        <v>129069.99741120957</v>
      </c>
      <c r="AA398" s="50">
        <f t="shared" ca="1" si="282"/>
        <v>131651.39735943376</v>
      </c>
      <c r="AB398" s="50">
        <f t="shared" ca="1" si="282"/>
        <v>134284.4253066224</v>
      </c>
      <c r="AC398" s="50">
        <f t="shared" ca="1" si="282"/>
        <v>136970.11381275489</v>
      </c>
      <c r="AD398" s="50">
        <f t="shared" ca="1" si="282"/>
        <v>139709.51608900997</v>
      </c>
      <c r="AE398" s="50">
        <f t="shared" ca="1" si="282"/>
        <v>142503.70641079018</v>
      </c>
      <c r="AF398" s="50">
        <f t="shared" ca="1" si="282"/>
        <v>145353.78053900597</v>
      </c>
      <c r="AG398" s="50">
        <f t="shared" ca="1" si="282"/>
        <v>148260.85614978609</v>
      </c>
      <c r="AH398" s="50">
        <f t="shared" ca="1" si="282"/>
        <v>151226.07327278182</v>
      </c>
      <c r="AI398" s="50">
        <f t="shared" ca="1" si="282"/>
        <v>154250.59473823744</v>
      </c>
      <c r="AJ398" s="50">
        <f t="shared" ca="1" si="282"/>
        <v>157335.6066330022</v>
      </c>
      <c r="AK398" s="50">
        <f t="shared" ca="1" si="282"/>
        <v>160482.31876566226</v>
      </c>
      <c r="AL398" s="50">
        <f t="shared" si="282"/>
        <v>0</v>
      </c>
      <c r="AM398" s="50">
        <f t="shared" si="282"/>
        <v>0</v>
      </c>
      <c r="AN398" s="50">
        <f t="shared" si="282"/>
        <v>0</v>
      </c>
      <c r="AO398" s="50">
        <f t="shared" si="282"/>
        <v>0</v>
      </c>
      <c r="AP398" s="50">
        <f t="shared" si="282"/>
        <v>0</v>
      </c>
      <c r="AQ398" s="50">
        <f t="shared" si="282"/>
        <v>0</v>
      </c>
      <c r="AR398" s="50">
        <f t="shared" si="282"/>
        <v>0</v>
      </c>
      <c r="AS398" s="50">
        <f t="shared" si="282"/>
        <v>0</v>
      </c>
      <c r="AT398" s="50">
        <f t="shared" si="282"/>
        <v>0</v>
      </c>
      <c r="AU398" s="50">
        <f t="shared" si="282"/>
        <v>0</v>
      </c>
    </row>
    <row r="399" spans="1:47">
      <c r="A399" s="38" t="str">
        <f t="shared" si="279"/>
        <v>1Y-</v>
      </c>
      <c r="B399" s="38" t="s">
        <v>277</v>
      </c>
      <c r="C399" s="38" t="str">
        <f t="shared" si="283"/>
        <v xml:space="preserve">Pre-Dewatering </v>
      </c>
      <c r="D399" s="186">
        <f>OMEsc</f>
        <v>0.02</v>
      </c>
      <c r="E399" s="325"/>
      <c r="G399" s="36" t="s">
        <v>276</v>
      </c>
      <c r="I399" s="39"/>
      <c r="K399" s="39"/>
      <c r="L399" s="43" t="str">
        <f>"["&amp;CostBaseYr&amp;" $]"</f>
        <v>[2013 $]</v>
      </c>
      <c r="N399" s="70">
        <f ca="1">SUMIFS(OFFSET(Assumptions!$I$90,0,MATCH($A399,Configurations,0)-1,COUNT(Assumptions!$A$90:$A$183),1),Assumptions!$D$90:$D$183,$B399&amp;$C399)</f>
        <v>0</v>
      </c>
      <c r="O399" s="313"/>
      <c r="P399" s="323"/>
      <c r="Q399" s="313"/>
      <c r="R399" s="50">
        <f t="shared" ca="1" si="281"/>
        <v>0</v>
      </c>
      <c r="S399" s="50">
        <f t="shared" ca="1" si="282"/>
        <v>0</v>
      </c>
      <c r="T399" s="50">
        <f t="shared" ca="1" si="282"/>
        <v>0</v>
      </c>
      <c r="U399" s="50">
        <f t="shared" ca="1" si="282"/>
        <v>0</v>
      </c>
      <c r="V399" s="50">
        <f t="shared" ca="1" si="282"/>
        <v>0</v>
      </c>
      <c r="W399" s="50">
        <f t="shared" ca="1" si="282"/>
        <v>0</v>
      </c>
      <c r="X399" s="50">
        <f t="shared" ca="1" si="282"/>
        <v>0</v>
      </c>
      <c r="Y399" s="50">
        <f t="shared" ca="1" si="282"/>
        <v>0</v>
      </c>
      <c r="Z399" s="50">
        <f t="shared" ca="1" si="282"/>
        <v>0</v>
      </c>
      <c r="AA399" s="50">
        <f t="shared" ca="1" si="282"/>
        <v>0</v>
      </c>
      <c r="AB399" s="50">
        <f t="shared" ca="1" si="282"/>
        <v>0</v>
      </c>
      <c r="AC399" s="50">
        <f t="shared" ca="1" si="282"/>
        <v>0</v>
      </c>
      <c r="AD399" s="50">
        <f t="shared" ca="1" si="282"/>
        <v>0</v>
      </c>
      <c r="AE399" s="50">
        <f t="shared" ca="1" si="282"/>
        <v>0</v>
      </c>
      <c r="AF399" s="50">
        <f t="shared" ca="1" si="282"/>
        <v>0</v>
      </c>
      <c r="AG399" s="50">
        <f t="shared" ca="1" si="282"/>
        <v>0</v>
      </c>
      <c r="AH399" s="50">
        <f t="shared" ca="1" si="282"/>
        <v>0</v>
      </c>
      <c r="AI399" s="50">
        <f t="shared" ca="1" si="282"/>
        <v>0</v>
      </c>
      <c r="AJ399" s="50">
        <f t="shared" ca="1" si="282"/>
        <v>0</v>
      </c>
      <c r="AK399" s="50">
        <f t="shared" ca="1" si="282"/>
        <v>0</v>
      </c>
      <c r="AL399" s="50">
        <f t="shared" si="282"/>
        <v>0</v>
      </c>
      <c r="AM399" s="50">
        <f t="shared" si="282"/>
        <v>0</v>
      </c>
      <c r="AN399" s="50">
        <f t="shared" si="282"/>
        <v>0</v>
      </c>
      <c r="AO399" s="50">
        <f t="shared" si="282"/>
        <v>0</v>
      </c>
      <c r="AP399" s="50">
        <f t="shared" si="282"/>
        <v>0</v>
      </c>
      <c r="AQ399" s="50">
        <f t="shared" si="282"/>
        <v>0</v>
      </c>
      <c r="AR399" s="50">
        <f t="shared" si="282"/>
        <v>0</v>
      </c>
      <c r="AS399" s="50">
        <f t="shared" si="282"/>
        <v>0</v>
      </c>
      <c r="AT399" s="50">
        <f t="shared" si="282"/>
        <v>0</v>
      </c>
      <c r="AU399" s="50">
        <f t="shared" si="282"/>
        <v>0</v>
      </c>
    </row>
    <row r="400" spans="1:47">
      <c r="A400" s="38" t="str">
        <f t="shared" si="279"/>
        <v>1Y-</v>
      </c>
      <c r="B400" s="38" t="s">
        <v>274</v>
      </c>
      <c r="C400" s="38" t="str">
        <f t="shared" si="283"/>
        <v xml:space="preserve">Pre-Dewatering </v>
      </c>
      <c r="D400" s="186"/>
      <c r="E400" s="325"/>
      <c r="G400" s="36" t="s">
        <v>16</v>
      </c>
      <c r="I400" s="39"/>
      <c r="K400" s="39"/>
      <c r="L400" s="43" t="s">
        <v>275</v>
      </c>
      <c r="N400" s="70">
        <f ca="1">SUMIFS(OFFSET(Assumptions!$I$90,0,MATCH($A400,Configurations,0)-1,COUNT(Assumptions!$A$90:$A$183),1),Assumptions!$D$90:$D$183,$B400&amp;$C400)</f>
        <v>0</v>
      </c>
      <c r="O400" s="313"/>
      <c r="P400" s="323"/>
      <c r="Q400" s="313"/>
      <c r="R400" s="50">
        <f t="shared" ref="R400:AU400" ca="1" si="284">IF(OR(R$99&lt;InServiceYr,R$99&gt;(InServiceYr+analysis_period-1)),0,IF($P400=0,$N400,$P400)*R$505)</f>
        <v>0</v>
      </c>
      <c r="S400" s="50">
        <f t="shared" ca="1" si="284"/>
        <v>0</v>
      </c>
      <c r="T400" s="50">
        <f t="shared" ca="1" si="284"/>
        <v>0</v>
      </c>
      <c r="U400" s="50">
        <f t="shared" ca="1" si="284"/>
        <v>0</v>
      </c>
      <c r="V400" s="50">
        <f t="shared" ca="1" si="284"/>
        <v>0</v>
      </c>
      <c r="W400" s="50">
        <f t="shared" ca="1" si="284"/>
        <v>0</v>
      </c>
      <c r="X400" s="50">
        <f t="shared" ca="1" si="284"/>
        <v>0</v>
      </c>
      <c r="Y400" s="50">
        <f t="shared" ca="1" si="284"/>
        <v>0</v>
      </c>
      <c r="Z400" s="50">
        <f t="shared" ca="1" si="284"/>
        <v>0</v>
      </c>
      <c r="AA400" s="50">
        <f t="shared" ca="1" si="284"/>
        <v>0</v>
      </c>
      <c r="AB400" s="50">
        <f t="shared" ca="1" si="284"/>
        <v>0</v>
      </c>
      <c r="AC400" s="50">
        <f t="shared" ca="1" si="284"/>
        <v>0</v>
      </c>
      <c r="AD400" s="50">
        <f t="shared" ca="1" si="284"/>
        <v>0</v>
      </c>
      <c r="AE400" s="50">
        <f t="shared" ca="1" si="284"/>
        <v>0</v>
      </c>
      <c r="AF400" s="50">
        <f t="shared" ca="1" si="284"/>
        <v>0</v>
      </c>
      <c r="AG400" s="50">
        <f t="shared" ca="1" si="284"/>
        <v>0</v>
      </c>
      <c r="AH400" s="50">
        <f t="shared" ca="1" si="284"/>
        <v>0</v>
      </c>
      <c r="AI400" s="50">
        <f t="shared" ca="1" si="284"/>
        <v>0</v>
      </c>
      <c r="AJ400" s="50">
        <f t="shared" ca="1" si="284"/>
        <v>0</v>
      </c>
      <c r="AK400" s="50">
        <f t="shared" ca="1" si="284"/>
        <v>0</v>
      </c>
      <c r="AL400" s="50">
        <f t="shared" si="284"/>
        <v>0</v>
      </c>
      <c r="AM400" s="50">
        <f t="shared" si="284"/>
        <v>0</v>
      </c>
      <c r="AN400" s="50">
        <f t="shared" si="284"/>
        <v>0</v>
      </c>
      <c r="AO400" s="50">
        <f t="shared" si="284"/>
        <v>0</v>
      </c>
      <c r="AP400" s="50">
        <f t="shared" si="284"/>
        <v>0</v>
      </c>
      <c r="AQ400" s="50">
        <f t="shared" si="284"/>
        <v>0</v>
      </c>
      <c r="AR400" s="50">
        <f t="shared" si="284"/>
        <v>0</v>
      </c>
      <c r="AS400" s="50">
        <f t="shared" si="284"/>
        <v>0</v>
      </c>
      <c r="AT400" s="50">
        <f t="shared" si="284"/>
        <v>0</v>
      </c>
      <c r="AU400" s="50">
        <f t="shared" si="284"/>
        <v>0</v>
      </c>
    </row>
    <row r="401" spans="1:47">
      <c r="A401" s="38" t="str">
        <f t="shared" si="279"/>
        <v>1Y-</v>
      </c>
      <c r="B401" s="38" t="s">
        <v>257</v>
      </c>
      <c r="C401" s="38" t="str">
        <f t="shared" si="283"/>
        <v xml:space="preserve">Pre-Dewatering </v>
      </c>
      <c r="D401" s="186"/>
      <c r="E401" s="325"/>
      <c r="G401" s="36" t="s">
        <v>284</v>
      </c>
      <c r="I401" s="39"/>
      <c r="K401" s="39"/>
      <c r="L401" s="43" t="s">
        <v>293</v>
      </c>
      <c r="N401" s="70">
        <f ca="1">SUMIFS(OFFSET(Assumptions!$I$90,0,MATCH($A401,Configurations,0)-1,COUNT(Assumptions!$A$90:$A$183),1),Assumptions!$D$90:$D$183,$B401&amp;$C401)</f>
        <v>98920</v>
      </c>
      <c r="O401" s="313"/>
      <c r="P401" s="323"/>
      <c r="Q401" s="313"/>
      <c r="R401" s="50">
        <f t="shared" ref="R401:AU401" ca="1" si="285">IF(OR(R$99&lt;InServiceYr,R$99&gt;(InServiceYr+analysis_period-1)),0,IF($P401=0,$N401,$P401)*R$501)</f>
        <v>6388.4075257295417</v>
      </c>
      <c r="S401" s="50">
        <f t="shared" ca="1" si="285"/>
        <v>6428.2298638734437</v>
      </c>
      <c r="T401" s="50">
        <f t="shared" ca="1" si="285"/>
        <v>6705.3504772368324</v>
      </c>
      <c r="U401" s="50">
        <f t="shared" ca="1" si="285"/>
        <v>6906.4942124315075</v>
      </c>
      <c r="V401" s="50">
        <f t="shared" ca="1" si="285"/>
        <v>7073.1555862748792</v>
      </c>
      <c r="W401" s="50">
        <f t="shared" ca="1" si="285"/>
        <v>7163.6444660498528</v>
      </c>
      <c r="X401" s="50">
        <f t="shared" ca="1" si="285"/>
        <v>7280.214678822259</v>
      </c>
      <c r="Y401" s="50">
        <f t="shared" ca="1" si="285"/>
        <v>7459.5843407692801</v>
      </c>
      <c r="Z401" s="50">
        <f t="shared" ca="1" si="285"/>
        <v>7638.1718763863555</v>
      </c>
      <c r="AA401" s="50">
        <f t="shared" ca="1" si="285"/>
        <v>7829.1449338726006</v>
      </c>
      <c r="AB401" s="50">
        <f t="shared" ca="1" si="285"/>
        <v>7998.7226709652359</v>
      </c>
      <c r="AC401" s="50">
        <f t="shared" ca="1" si="285"/>
        <v>8152.7489440329455</v>
      </c>
      <c r="AD401" s="50">
        <f t="shared" ca="1" si="285"/>
        <v>8341.0757905727678</v>
      </c>
      <c r="AE401" s="50">
        <f t="shared" ca="1" si="285"/>
        <v>8531.1827417997174</v>
      </c>
      <c r="AF401" s="50">
        <f t="shared" ca="1" si="285"/>
        <v>8734.0252999025161</v>
      </c>
      <c r="AG401" s="50">
        <f t="shared" ca="1" si="285"/>
        <v>8961.2567762016843</v>
      </c>
      <c r="AH401" s="50">
        <f t="shared" ca="1" si="285"/>
        <v>9180.8744095088168</v>
      </c>
      <c r="AI401" s="50">
        <f t="shared" ca="1" si="285"/>
        <v>9419.0408146003538</v>
      </c>
      <c r="AJ401" s="50">
        <f t="shared" ca="1" si="285"/>
        <v>9671.1745321981671</v>
      </c>
      <c r="AK401" s="50">
        <f t="shared" ca="1" si="285"/>
        <v>9934.2620656407307</v>
      </c>
      <c r="AL401" s="50">
        <f t="shared" si="285"/>
        <v>0</v>
      </c>
      <c r="AM401" s="50">
        <f t="shared" si="285"/>
        <v>0</v>
      </c>
      <c r="AN401" s="50">
        <f t="shared" si="285"/>
        <v>0</v>
      </c>
      <c r="AO401" s="50">
        <f t="shared" si="285"/>
        <v>0</v>
      </c>
      <c r="AP401" s="50">
        <f t="shared" si="285"/>
        <v>0</v>
      </c>
      <c r="AQ401" s="50">
        <f t="shared" si="285"/>
        <v>0</v>
      </c>
      <c r="AR401" s="50">
        <f t="shared" si="285"/>
        <v>0</v>
      </c>
      <c r="AS401" s="50">
        <f t="shared" si="285"/>
        <v>0</v>
      </c>
      <c r="AT401" s="50">
        <f t="shared" si="285"/>
        <v>0</v>
      </c>
      <c r="AU401" s="50">
        <f t="shared" si="285"/>
        <v>0</v>
      </c>
    </row>
    <row r="402" spans="1:47">
      <c r="A402" s="38" t="str">
        <f t="shared" si="279"/>
        <v>1Y-</v>
      </c>
      <c r="B402" s="38" t="s">
        <v>864</v>
      </c>
      <c r="C402" s="38" t="str">
        <f t="shared" si="283"/>
        <v xml:space="preserve">Pre-Dewatering </v>
      </c>
      <c r="D402" s="186">
        <f>GHGEsc</f>
        <v>0.02</v>
      </c>
      <c r="E402" s="325"/>
      <c r="G402" s="36" t="s">
        <v>865</v>
      </c>
      <c r="I402" s="39"/>
      <c r="K402" s="39"/>
      <c r="L402" s="43" t="s">
        <v>866</v>
      </c>
      <c r="N402" s="70">
        <f ca="1">SUMIFS(OFFSET(Assumptions!$I$90,0,MATCH($A402,Configurations,0)-1,COUNT(Assumptions!$A$90:$A$183),1),Assumptions!$D$90:$D$183,$B402&amp;$C402)</f>
        <v>0</v>
      </c>
      <c r="O402" s="313"/>
      <c r="P402" s="323"/>
      <c r="Q402" s="313"/>
      <c r="R402" s="50">
        <f t="shared" ref="R402:AU402" ca="1" si="286">IF(OR(R$99&lt;InServiceYr,R$99&gt;(InServiceYr+analysis_period-1)),0,IF($P402=0,$N402,$P402)*R$513)</f>
        <v>0</v>
      </c>
      <c r="S402" s="50">
        <f t="shared" ca="1" si="286"/>
        <v>0</v>
      </c>
      <c r="T402" s="50">
        <f t="shared" ca="1" si="286"/>
        <v>0</v>
      </c>
      <c r="U402" s="50">
        <f t="shared" ca="1" si="286"/>
        <v>0</v>
      </c>
      <c r="V402" s="50">
        <f t="shared" ca="1" si="286"/>
        <v>0</v>
      </c>
      <c r="W402" s="50">
        <f t="shared" ca="1" si="286"/>
        <v>0</v>
      </c>
      <c r="X402" s="50">
        <f t="shared" ca="1" si="286"/>
        <v>0</v>
      </c>
      <c r="Y402" s="50">
        <f t="shared" ca="1" si="286"/>
        <v>0</v>
      </c>
      <c r="Z402" s="50">
        <f t="shared" ca="1" si="286"/>
        <v>0</v>
      </c>
      <c r="AA402" s="50">
        <f t="shared" ca="1" si="286"/>
        <v>0</v>
      </c>
      <c r="AB402" s="50">
        <f t="shared" ca="1" si="286"/>
        <v>0</v>
      </c>
      <c r="AC402" s="50">
        <f t="shared" ca="1" si="286"/>
        <v>0</v>
      </c>
      <c r="AD402" s="50">
        <f t="shared" ca="1" si="286"/>
        <v>0</v>
      </c>
      <c r="AE402" s="50">
        <f t="shared" ca="1" si="286"/>
        <v>0</v>
      </c>
      <c r="AF402" s="50">
        <f t="shared" ca="1" si="286"/>
        <v>0</v>
      </c>
      <c r="AG402" s="50">
        <f t="shared" ca="1" si="286"/>
        <v>0</v>
      </c>
      <c r="AH402" s="50">
        <f t="shared" ca="1" si="286"/>
        <v>0</v>
      </c>
      <c r="AI402" s="50">
        <f t="shared" ca="1" si="286"/>
        <v>0</v>
      </c>
      <c r="AJ402" s="50">
        <f t="shared" ca="1" si="286"/>
        <v>0</v>
      </c>
      <c r="AK402" s="50">
        <f t="shared" ca="1" si="286"/>
        <v>0</v>
      </c>
      <c r="AL402" s="50">
        <f t="shared" si="286"/>
        <v>0</v>
      </c>
      <c r="AM402" s="50">
        <f t="shared" si="286"/>
        <v>0</v>
      </c>
      <c r="AN402" s="50">
        <f t="shared" si="286"/>
        <v>0</v>
      </c>
      <c r="AO402" s="50">
        <f t="shared" si="286"/>
        <v>0</v>
      </c>
      <c r="AP402" s="50">
        <f t="shared" si="286"/>
        <v>0</v>
      </c>
      <c r="AQ402" s="50">
        <f t="shared" si="286"/>
        <v>0</v>
      </c>
      <c r="AR402" s="50">
        <f t="shared" si="286"/>
        <v>0</v>
      </c>
      <c r="AS402" s="50">
        <f t="shared" si="286"/>
        <v>0</v>
      </c>
      <c r="AT402" s="50">
        <f t="shared" si="286"/>
        <v>0</v>
      </c>
      <c r="AU402" s="50">
        <f t="shared" si="286"/>
        <v>0</v>
      </c>
    </row>
    <row r="403" spans="1:47">
      <c r="A403" s="38" t="str">
        <f t="shared" si="279"/>
        <v>1Y-</v>
      </c>
      <c r="B403" s="38" t="s">
        <v>273</v>
      </c>
      <c r="C403" s="38" t="str">
        <f>C401</f>
        <v xml:space="preserve">Pre-Dewatering </v>
      </c>
      <c r="D403" s="186">
        <f>LaborEsc</f>
        <v>0.02</v>
      </c>
      <c r="E403" s="325"/>
      <c r="G403" s="36" t="s">
        <v>291</v>
      </c>
      <c r="I403" s="39"/>
      <c r="K403" s="39"/>
      <c r="L403" s="43" t="str">
        <f>"["&amp;CostBaseYr&amp;" $]"</f>
        <v>[2013 $]</v>
      </c>
      <c r="N403" s="70">
        <f ca="1">SUMIFS(OFFSET(Assumptions!$I$90,0,MATCH($A403,Configurations,0)-1,COUNT(Assumptions!$A$90:$A$183),1),Assumptions!$D$90:$D$183,$B403&amp;$C403)</f>
        <v>0</v>
      </c>
      <c r="O403" s="313"/>
      <c r="P403" s="323"/>
      <c r="Q403" s="313"/>
      <c r="R403" s="50">
        <f t="shared" ref="R403:AU403" ca="1" si="287">IF(OR(R$99&lt;InServiceYr,R$99&gt;(InServiceYr+analysis_period-1)),0,IF($P403=0,$N403,$P403)*(1+$D403)^(R$99-CostBaseYr))*R$509</f>
        <v>0</v>
      </c>
      <c r="S403" s="50">
        <f t="shared" ca="1" si="287"/>
        <v>0</v>
      </c>
      <c r="T403" s="50">
        <f t="shared" ca="1" si="287"/>
        <v>0</v>
      </c>
      <c r="U403" s="50">
        <f t="shared" ca="1" si="287"/>
        <v>0</v>
      </c>
      <c r="V403" s="50">
        <f t="shared" ca="1" si="287"/>
        <v>0</v>
      </c>
      <c r="W403" s="50">
        <f t="shared" ca="1" si="287"/>
        <v>0</v>
      </c>
      <c r="X403" s="50">
        <f t="shared" ca="1" si="287"/>
        <v>0</v>
      </c>
      <c r="Y403" s="50">
        <f t="shared" ca="1" si="287"/>
        <v>0</v>
      </c>
      <c r="Z403" s="50">
        <f t="shared" ca="1" si="287"/>
        <v>0</v>
      </c>
      <c r="AA403" s="50">
        <f t="shared" ca="1" si="287"/>
        <v>0</v>
      </c>
      <c r="AB403" s="50">
        <f t="shared" ca="1" si="287"/>
        <v>0</v>
      </c>
      <c r="AC403" s="50">
        <f t="shared" ca="1" si="287"/>
        <v>0</v>
      </c>
      <c r="AD403" s="50">
        <f t="shared" ca="1" si="287"/>
        <v>0</v>
      </c>
      <c r="AE403" s="50">
        <f t="shared" ca="1" si="287"/>
        <v>0</v>
      </c>
      <c r="AF403" s="50">
        <f t="shared" ca="1" si="287"/>
        <v>0</v>
      </c>
      <c r="AG403" s="50">
        <f t="shared" ca="1" si="287"/>
        <v>0</v>
      </c>
      <c r="AH403" s="50">
        <f t="shared" ca="1" si="287"/>
        <v>0</v>
      </c>
      <c r="AI403" s="50">
        <f t="shared" ca="1" si="287"/>
        <v>0</v>
      </c>
      <c r="AJ403" s="50">
        <f t="shared" ca="1" si="287"/>
        <v>0</v>
      </c>
      <c r="AK403" s="50">
        <f t="shared" ca="1" si="287"/>
        <v>0</v>
      </c>
      <c r="AL403" s="50">
        <f t="shared" si="287"/>
        <v>0</v>
      </c>
      <c r="AM403" s="50">
        <f t="shared" si="287"/>
        <v>0</v>
      </c>
      <c r="AN403" s="50">
        <f t="shared" si="287"/>
        <v>0</v>
      </c>
      <c r="AO403" s="50">
        <f t="shared" si="287"/>
        <v>0</v>
      </c>
      <c r="AP403" s="50">
        <f t="shared" si="287"/>
        <v>0</v>
      </c>
      <c r="AQ403" s="50">
        <f t="shared" si="287"/>
        <v>0</v>
      </c>
      <c r="AR403" s="50">
        <f t="shared" si="287"/>
        <v>0</v>
      </c>
      <c r="AS403" s="50">
        <f t="shared" si="287"/>
        <v>0</v>
      </c>
      <c r="AT403" s="50">
        <f t="shared" si="287"/>
        <v>0</v>
      </c>
      <c r="AU403" s="50">
        <f t="shared" si="287"/>
        <v>0</v>
      </c>
    </row>
    <row r="404" spans="1:47">
      <c r="D404" s="186"/>
      <c r="E404" s="325"/>
      <c r="G404" s="39" t="s">
        <v>304</v>
      </c>
      <c r="I404" s="39"/>
      <c r="K404" s="39"/>
      <c r="L404" s="43"/>
      <c r="N404" s="70"/>
      <c r="O404" s="313"/>
      <c r="P404" s="70"/>
      <c r="Q404" s="313"/>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row>
    <row r="405" spans="1:47">
      <c r="A405" s="38" t="str">
        <f>$J$4&amp;"-"</f>
        <v>1Y-</v>
      </c>
      <c r="B405" s="38" t="s">
        <v>265</v>
      </c>
      <c r="C405" s="38" t="str">
        <f>C396</f>
        <v xml:space="preserve">Pre-Dewatering </v>
      </c>
      <c r="D405" s="186"/>
      <c r="E405" s="325"/>
      <c r="G405" s="36" t="s">
        <v>108</v>
      </c>
      <c r="I405" s="39"/>
      <c r="K405" s="39"/>
      <c r="L405" s="43" t="s">
        <v>293</v>
      </c>
      <c r="N405" s="70">
        <f ca="1">SUMIFS(OFFSET(Assumptions!$I$90,0,MATCH($A405,Configurations,0)-1,COUNT(Assumptions!$A$90:$A$183),1),Assumptions!$D$90:$D$183,$B405&amp;$C405)</f>
        <v>0</v>
      </c>
      <c r="O405" s="313"/>
      <c r="P405" s="323"/>
      <c r="Q405" s="313"/>
      <c r="R405" s="50">
        <f t="shared" ref="R405:AU405" ca="1" si="288">IF(OR(R$99&lt;InServiceYr,R$99&gt;(InServiceYr+analysis_period-1)),0,IF($P405=0,$N405,$P405)*R$501)</f>
        <v>0</v>
      </c>
      <c r="S405" s="50">
        <f t="shared" ca="1" si="288"/>
        <v>0</v>
      </c>
      <c r="T405" s="50">
        <f t="shared" ca="1" si="288"/>
        <v>0</v>
      </c>
      <c r="U405" s="50">
        <f t="shared" ca="1" si="288"/>
        <v>0</v>
      </c>
      <c r="V405" s="50">
        <f t="shared" ca="1" si="288"/>
        <v>0</v>
      </c>
      <c r="W405" s="50">
        <f t="shared" ca="1" si="288"/>
        <v>0</v>
      </c>
      <c r="X405" s="50">
        <f t="shared" ca="1" si="288"/>
        <v>0</v>
      </c>
      <c r="Y405" s="50">
        <f t="shared" ca="1" si="288"/>
        <v>0</v>
      </c>
      <c r="Z405" s="50">
        <f t="shared" ca="1" si="288"/>
        <v>0</v>
      </c>
      <c r="AA405" s="50">
        <f t="shared" ca="1" si="288"/>
        <v>0</v>
      </c>
      <c r="AB405" s="50">
        <f t="shared" ca="1" si="288"/>
        <v>0</v>
      </c>
      <c r="AC405" s="50">
        <f t="shared" ca="1" si="288"/>
        <v>0</v>
      </c>
      <c r="AD405" s="50">
        <f t="shared" ca="1" si="288"/>
        <v>0</v>
      </c>
      <c r="AE405" s="50">
        <f t="shared" ca="1" si="288"/>
        <v>0</v>
      </c>
      <c r="AF405" s="50">
        <f t="shared" ca="1" si="288"/>
        <v>0</v>
      </c>
      <c r="AG405" s="50">
        <f t="shared" ca="1" si="288"/>
        <v>0</v>
      </c>
      <c r="AH405" s="50">
        <f t="shared" ca="1" si="288"/>
        <v>0</v>
      </c>
      <c r="AI405" s="50">
        <f t="shared" ca="1" si="288"/>
        <v>0</v>
      </c>
      <c r="AJ405" s="50">
        <f t="shared" ca="1" si="288"/>
        <v>0</v>
      </c>
      <c r="AK405" s="50">
        <f t="shared" ca="1" si="288"/>
        <v>0</v>
      </c>
      <c r="AL405" s="50">
        <f t="shared" si="288"/>
        <v>0</v>
      </c>
      <c r="AM405" s="50">
        <f t="shared" si="288"/>
        <v>0</v>
      </c>
      <c r="AN405" s="50">
        <f t="shared" si="288"/>
        <v>0</v>
      </c>
      <c r="AO405" s="50">
        <f t="shared" si="288"/>
        <v>0</v>
      </c>
      <c r="AP405" s="50">
        <f t="shared" si="288"/>
        <v>0</v>
      </c>
      <c r="AQ405" s="50">
        <f t="shared" si="288"/>
        <v>0</v>
      </c>
      <c r="AR405" s="50">
        <f t="shared" si="288"/>
        <v>0</v>
      </c>
      <c r="AS405" s="50">
        <f t="shared" si="288"/>
        <v>0</v>
      </c>
      <c r="AT405" s="50">
        <f t="shared" si="288"/>
        <v>0</v>
      </c>
      <c r="AU405" s="50">
        <f t="shared" si="288"/>
        <v>0</v>
      </c>
    </row>
    <row r="406" spans="1:47">
      <c r="A406" s="38" t="str">
        <f>$J$4&amp;"-"</f>
        <v>1Y-</v>
      </c>
      <c r="B406" s="38" t="s">
        <v>289</v>
      </c>
      <c r="C406" s="38" t="str">
        <f>C396</f>
        <v xml:space="preserve">Pre-Dewatering </v>
      </c>
      <c r="D406" s="186">
        <f>LaborEsc</f>
        <v>0.02</v>
      </c>
      <c r="E406" s="325"/>
      <c r="G406" s="36" t="s">
        <v>292</v>
      </c>
      <c r="I406" s="39"/>
      <c r="K406" s="39"/>
      <c r="L406" s="43" t="str">
        <f>"["&amp;CostBaseYr&amp;" $]"</f>
        <v>[2013 $]</v>
      </c>
      <c r="N406" s="70">
        <f ca="1">SUMIFS(OFFSET(Assumptions!$I$90,0,MATCH($A406,Configurations,0)-1,COUNT(Assumptions!$A$90:$A$183),1),Assumptions!$D$90:$D$183,$B406&amp;$C406)</f>
        <v>0</v>
      </c>
      <c r="O406" s="313"/>
      <c r="P406" s="323"/>
      <c r="Q406" s="313"/>
      <c r="R406" s="50">
        <f t="shared" ref="R406:AU406" ca="1" si="289">IF(OR(R$99&lt;InServiceYr,R$99&gt;(InServiceYr+analysis_period-1)),0,IF($P406=0,$N406,$P406)*(1+$D406)^(R$99-CostBaseYr))</f>
        <v>0</v>
      </c>
      <c r="S406" s="50">
        <f t="shared" ca="1" si="289"/>
        <v>0</v>
      </c>
      <c r="T406" s="50">
        <f t="shared" ca="1" si="289"/>
        <v>0</v>
      </c>
      <c r="U406" s="50">
        <f t="shared" ca="1" si="289"/>
        <v>0</v>
      </c>
      <c r="V406" s="50">
        <f t="shared" ca="1" si="289"/>
        <v>0</v>
      </c>
      <c r="W406" s="50">
        <f t="shared" ca="1" si="289"/>
        <v>0</v>
      </c>
      <c r="X406" s="50">
        <f t="shared" ca="1" si="289"/>
        <v>0</v>
      </c>
      <c r="Y406" s="50">
        <f t="shared" ca="1" si="289"/>
        <v>0</v>
      </c>
      <c r="Z406" s="50">
        <f t="shared" ca="1" si="289"/>
        <v>0</v>
      </c>
      <c r="AA406" s="50">
        <f t="shared" ca="1" si="289"/>
        <v>0</v>
      </c>
      <c r="AB406" s="50">
        <f t="shared" ca="1" si="289"/>
        <v>0</v>
      </c>
      <c r="AC406" s="50">
        <f t="shared" ca="1" si="289"/>
        <v>0</v>
      </c>
      <c r="AD406" s="50">
        <f t="shared" ca="1" si="289"/>
        <v>0</v>
      </c>
      <c r="AE406" s="50">
        <f t="shared" ca="1" si="289"/>
        <v>0</v>
      </c>
      <c r="AF406" s="50">
        <f t="shared" ca="1" si="289"/>
        <v>0</v>
      </c>
      <c r="AG406" s="50">
        <f t="shared" ca="1" si="289"/>
        <v>0</v>
      </c>
      <c r="AH406" s="50">
        <f t="shared" ca="1" si="289"/>
        <v>0</v>
      </c>
      <c r="AI406" s="50">
        <f t="shared" ca="1" si="289"/>
        <v>0</v>
      </c>
      <c r="AJ406" s="50">
        <f t="shared" ca="1" si="289"/>
        <v>0</v>
      </c>
      <c r="AK406" s="50">
        <f t="shared" ca="1" si="289"/>
        <v>0</v>
      </c>
      <c r="AL406" s="50">
        <f t="shared" si="289"/>
        <v>0</v>
      </c>
      <c r="AM406" s="50">
        <f t="shared" si="289"/>
        <v>0</v>
      </c>
      <c r="AN406" s="50">
        <f t="shared" si="289"/>
        <v>0</v>
      </c>
      <c r="AO406" s="50">
        <f t="shared" si="289"/>
        <v>0</v>
      </c>
      <c r="AP406" s="50">
        <f t="shared" si="289"/>
        <v>0</v>
      </c>
      <c r="AQ406" s="50">
        <f t="shared" si="289"/>
        <v>0</v>
      </c>
      <c r="AR406" s="50">
        <f t="shared" si="289"/>
        <v>0</v>
      </c>
      <c r="AS406" s="50">
        <f t="shared" si="289"/>
        <v>0</v>
      </c>
      <c r="AT406" s="50">
        <f t="shared" si="289"/>
        <v>0</v>
      </c>
      <c r="AU406" s="50">
        <f t="shared" si="289"/>
        <v>0</v>
      </c>
    </row>
    <row r="407" spans="1:47" s="60" customFormat="1">
      <c r="D407" s="187"/>
      <c r="E407" s="325"/>
      <c r="G407" s="39" t="s">
        <v>305</v>
      </c>
      <c r="I407" s="39"/>
      <c r="K407" s="39"/>
      <c r="L407" s="174"/>
      <c r="N407" s="188"/>
      <c r="O407" s="314"/>
      <c r="P407" s="185"/>
      <c r="Q407" s="314"/>
      <c r="R407" s="185">
        <f ca="1">SUM(R396:R403)-SUM(R405:R406)</f>
        <v>359155.40752572956</v>
      </c>
      <c r="S407" s="185">
        <f t="shared" ref="S407:AU407" ca="1" si="290">SUM(S396:S403)-SUM(S405:S406)</f>
        <v>366250.56986387348</v>
      </c>
      <c r="T407" s="185">
        <f t="shared" ca="1" si="290"/>
        <v>373724.13727723685</v>
      </c>
      <c r="U407" s="185">
        <f t="shared" ca="1" si="290"/>
        <v>381265.6567484315</v>
      </c>
      <c r="V407" s="185">
        <f t="shared" ca="1" si="290"/>
        <v>388919.50137299486</v>
      </c>
      <c r="W407" s="185">
        <f t="shared" ca="1" si="290"/>
        <v>396646.91716850427</v>
      </c>
      <c r="X407" s="185">
        <f t="shared" ca="1" si="290"/>
        <v>404553.15283532563</v>
      </c>
      <c r="Y407" s="185">
        <f t="shared" ca="1" si="290"/>
        <v>412677.98126040277</v>
      </c>
      <c r="Z407" s="185">
        <f t="shared" ca="1" si="290"/>
        <v>420960.93673441251</v>
      </c>
      <c r="AA407" s="185">
        <f t="shared" ca="1" si="290"/>
        <v>429418.3650890594</v>
      </c>
      <c r="AB407" s="185">
        <f t="shared" ca="1" si="290"/>
        <v>438019.7272292556</v>
      </c>
      <c r="AC407" s="185">
        <f t="shared" ca="1" si="290"/>
        <v>446774.17359348922</v>
      </c>
      <c r="AD407" s="185">
        <f t="shared" ca="1" si="290"/>
        <v>455734.92893301812</v>
      </c>
      <c r="AE407" s="185">
        <f t="shared" ca="1" si="290"/>
        <v>464872.91294709407</v>
      </c>
      <c r="AF407" s="185">
        <f t="shared" ca="1" si="290"/>
        <v>474202.59010930266</v>
      </c>
      <c r="AG407" s="185">
        <f t="shared" ca="1" si="290"/>
        <v>483739.19288178987</v>
      </c>
      <c r="AH407" s="185">
        <f t="shared" ca="1" si="290"/>
        <v>493454.3692372088</v>
      </c>
      <c r="AI407" s="185">
        <f t="shared" ca="1" si="290"/>
        <v>503378.00553885428</v>
      </c>
      <c r="AJ407" s="185">
        <f t="shared" ca="1" si="290"/>
        <v>513509.31855093717</v>
      </c>
      <c r="AK407" s="185">
        <f t="shared" ca="1" si="290"/>
        <v>523849.16896475456</v>
      </c>
      <c r="AL407" s="185">
        <f t="shared" si="290"/>
        <v>0</v>
      </c>
      <c r="AM407" s="185">
        <f t="shared" si="290"/>
        <v>0</v>
      </c>
      <c r="AN407" s="185">
        <f t="shared" si="290"/>
        <v>0</v>
      </c>
      <c r="AO407" s="185">
        <f t="shared" si="290"/>
        <v>0</v>
      </c>
      <c r="AP407" s="185">
        <f t="shared" si="290"/>
        <v>0</v>
      </c>
      <c r="AQ407" s="185">
        <f t="shared" si="290"/>
        <v>0</v>
      </c>
      <c r="AR407" s="185">
        <f t="shared" si="290"/>
        <v>0</v>
      </c>
      <c r="AS407" s="185">
        <f t="shared" si="290"/>
        <v>0</v>
      </c>
      <c r="AT407" s="185">
        <f t="shared" si="290"/>
        <v>0</v>
      </c>
      <c r="AU407" s="185">
        <f t="shared" si="290"/>
        <v>0</v>
      </c>
    </row>
    <row r="408" spans="1:47">
      <c r="E408" s="36"/>
      <c r="G408" s="39"/>
      <c r="H408" s="39"/>
      <c r="I408" s="39"/>
      <c r="J408" s="39"/>
      <c r="K408" s="39"/>
    </row>
    <row r="409" spans="1:47">
      <c r="E409" s="327"/>
      <c r="F409" s="28"/>
      <c r="G409" s="324" t="str">
        <f>C411&amp;" Capital Costs"</f>
        <v>Pre-Treatment (CAMBI) Capital Costs</v>
      </c>
      <c r="H409" s="324"/>
      <c r="I409" s="324"/>
      <c r="J409" s="324"/>
      <c r="K409" s="324"/>
      <c r="L409" s="405" t="s">
        <v>79</v>
      </c>
      <c r="M409" s="256"/>
      <c r="N409" s="325" t="s">
        <v>490</v>
      </c>
      <c r="O409" s="311"/>
      <c r="P409" s="325" t="s">
        <v>491</v>
      </c>
      <c r="Q409" s="310"/>
      <c r="R409" s="325">
        <f>R$8</f>
        <v>2014</v>
      </c>
      <c r="S409" s="325">
        <f t="shared" ref="S409:AU409" si="291">S$8</f>
        <v>2015</v>
      </c>
      <c r="T409" s="325">
        <f t="shared" si="291"/>
        <v>2016</v>
      </c>
      <c r="U409" s="325">
        <f t="shared" si="291"/>
        <v>2017</v>
      </c>
      <c r="V409" s="325">
        <f t="shared" si="291"/>
        <v>2018</v>
      </c>
      <c r="W409" s="325">
        <f t="shared" si="291"/>
        <v>2019</v>
      </c>
      <c r="X409" s="325">
        <f t="shared" si="291"/>
        <v>2020</v>
      </c>
      <c r="Y409" s="325">
        <f t="shared" si="291"/>
        <v>2021</v>
      </c>
      <c r="Z409" s="325">
        <f t="shared" si="291"/>
        <v>2022</v>
      </c>
      <c r="AA409" s="325">
        <f t="shared" si="291"/>
        <v>2023</v>
      </c>
      <c r="AB409" s="325">
        <f t="shared" si="291"/>
        <v>2024</v>
      </c>
      <c r="AC409" s="325">
        <f t="shared" si="291"/>
        <v>2025</v>
      </c>
      <c r="AD409" s="325">
        <f t="shared" si="291"/>
        <v>2026</v>
      </c>
      <c r="AE409" s="325">
        <f t="shared" si="291"/>
        <v>2027</v>
      </c>
      <c r="AF409" s="325">
        <f t="shared" si="291"/>
        <v>2028</v>
      </c>
      <c r="AG409" s="325">
        <f t="shared" si="291"/>
        <v>2029</v>
      </c>
      <c r="AH409" s="325">
        <f t="shared" si="291"/>
        <v>2030</v>
      </c>
      <c r="AI409" s="325">
        <f t="shared" si="291"/>
        <v>2031</v>
      </c>
      <c r="AJ409" s="325">
        <f t="shared" si="291"/>
        <v>2032</v>
      </c>
      <c r="AK409" s="325">
        <f t="shared" si="291"/>
        <v>2033</v>
      </c>
      <c r="AL409" s="325">
        <f t="shared" si="291"/>
        <v>2034</v>
      </c>
      <c r="AM409" s="325">
        <f t="shared" si="291"/>
        <v>2035</v>
      </c>
      <c r="AN409" s="325">
        <f t="shared" si="291"/>
        <v>2036</v>
      </c>
      <c r="AO409" s="325">
        <f t="shared" si="291"/>
        <v>2037</v>
      </c>
      <c r="AP409" s="325">
        <f t="shared" si="291"/>
        <v>2038</v>
      </c>
      <c r="AQ409" s="325">
        <f t="shared" si="291"/>
        <v>2039</v>
      </c>
      <c r="AR409" s="325">
        <f t="shared" si="291"/>
        <v>2040</v>
      </c>
      <c r="AS409" s="325">
        <f t="shared" si="291"/>
        <v>2041</v>
      </c>
      <c r="AT409" s="325">
        <f t="shared" si="291"/>
        <v>2042</v>
      </c>
      <c r="AU409" s="325">
        <f t="shared" si="291"/>
        <v>2043</v>
      </c>
    </row>
    <row r="410" spans="1:47">
      <c r="E410" s="325"/>
      <c r="G410" s="39"/>
      <c r="H410" s="39"/>
      <c r="I410" s="39"/>
      <c r="J410" s="39"/>
      <c r="K410" s="39"/>
    </row>
    <row r="411" spans="1:47">
      <c r="A411" s="38" t="str">
        <f>$J$4&amp;"-"</f>
        <v>1Y-</v>
      </c>
      <c r="B411" s="38" t="s">
        <v>306</v>
      </c>
      <c r="C411" s="38" t="s">
        <v>138</v>
      </c>
      <c r="D411" s="186">
        <f>CapExEsc</f>
        <v>0.03</v>
      </c>
      <c r="E411" s="325"/>
      <c r="G411" s="36" t="s">
        <v>8</v>
      </c>
      <c r="H411" s="39"/>
      <c r="I411" s="39"/>
      <c r="J411" s="70"/>
      <c r="K411" s="39"/>
      <c r="L411" s="43" t="str">
        <f>"["&amp;CostBaseYr&amp;" $]"</f>
        <v>[2013 $]</v>
      </c>
      <c r="N411" s="52">
        <f ca="1">SUMIFS(OFFSET(Assumptions!$I$65,0,MATCH($A411,Configurations,0)-1,COUNT(Assumptions!$A$65:$A$84),1),Assumptions!$E$65:$E$84,$C411)</f>
        <v>5130000</v>
      </c>
      <c r="O411" s="52"/>
      <c r="P411" s="322"/>
      <c r="Q411" s="52"/>
      <c r="R411" s="52">
        <f t="shared" ref="R411:AU411" ca="1" si="292">R412*IF($P411=0,$N411,$P411)*(1+$D411)^(R$8-CostBaseYr)</f>
        <v>5283900</v>
      </c>
      <c r="S411" s="52">
        <f t="shared" ca="1" si="292"/>
        <v>0</v>
      </c>
      <c r="T411" s="52">
        <f t="shared" ca="1" si="292"/>
        <v>0</v>
      </c>
      <c r="U411" s="52">
        <f t="shared" ca="1" si="292"/>
        <v>0</v>
      </c>
      <c r="V411" s="52">
        <f t="shared" ca="1" si="292"/>
        <v>0</v>
      </c>
      <c r="W411" s="52">
        <f t="shared" ca="1" si="292"/>
        <v>0</v>
      </c>
      <c r="X411" s="52">
        <f t="shared" ca="1" si="292"/>
        <v>0</v>
      </c>
      <c r="Y411" s="52">
        <f t="shared" ca="1" si="292"/>
        <v>0</v>
      </c>
      <c r="Z411" s="52">
        <f t="shared" ca="1" si="292"/>
        <v>0</v>
      </c>
      <c r="AA411" s="52">
        <f t="shared" ca="1" si="292"/>
        <v>0</v>
      </c>
      <c r="AB411" s="52">
        <f t="shared" ca="1" si="292"/>
        <v>0</v>
      </c>
      <c r="AC411" s="52">
        <f t="shared" ca="1" si="292"/>
        <v>0</v>
      </c>
      <c r="AD411" s="52">
        <f t="shared" ca="1" si="292"/>
        <v>0</v>
      </c>
      <c r="AE411" s="52">
        <f t="shared" ca="1" si="292"/>
        <v>0</v>
      </c>
      <c r="AF411" s="52">
        <f t="shared" ca="1" si="292"/>
        <v>0</v>
      </c>
      <c r="AG411" s="52">
        <f t="shared" ca="1" si="292"/>
        <v>0</v>
      </c>
      <c r="AH411" s="52">
        <f t="shared" ca="1" si="292"/>
        <v>0</v>
      </c>
      <c r="AI411" s="52">
        <f t="shared" ca="1" si="292"/>
        <v>0</v>
      </c>
      <c r="AJ411" s="52">
        <f t="shared" ca="1" si="292"/>
        <v>0</v>
      </c>
      <c r="AK411" s="52">
        <f t="shared" ca="1" si="292"/>
        <v>0</v>
      </c>
      <c r="AL411" s="52">
        <f t="shared" ca="1" si="292"/>
        <v>0</v>
      </c>
      <c r="AM411" s="52">
        <f t="shared" ca="1" si="292"/>
        <v>0</v>
      </c>
      <c r="AN411" s="52">
        <f t="shared" ca="1" si="292"/>
        <v>0</v>
      </c>
      <c r="AO411" s="52">
        <f t="shared" ca="1" si="292"/>
        <v>0</v>
      </c>
      <c r="AP411" s="52">
        <f t="shared" ca="1" si="292"/>
        <v>0</v>
      </c>
      <c r="AQ411" s="52">
        <f t="shared" ca="1" si="292"/>
        <v>0</v>
      </c>
      <c r="AR411" s="52">
        <f t="shared" ca="1" si="292"/>
        <v>0</v>
      </c>
      <c r="AS411" s="52">
        <f t="shared" ca="1" si="292"/>
        <v>0</v>
      </c>
      <c r="AT411" s="52">
        <f t="shared" ca="1" si="292"/>
        <v>0</v>
      </c>
      <c r="AU411" s="52">
        <f t="shared" ca="1" si="292"/>
        <v>0</v>
      </c>
    </row>
    <row r="412" spans="1:47">
      <c r="E412" s="325"/>
      <c r="G412" s="36" t="s">
        <v>10</v>
      </c>
      <c r="H412" s="39"/>
      <c r="I412" s="39"/>
      <c r="J412" s="39"/>
      <c r="K412" s="39"/>
      <c r="L412" s="43"/>
      <c r="R412" s="54">
        <f>Assumptions!M$60</f>
        <v>1</v>
      </c>
      <c r="S412" s="54">
        <f>Assumptions!N$60</f>
        <v>0</v>
      </c>
      <c r="T412" s="54">
        <f>Assumptions!O$60</f>
        <v>0</v>
      </c>
      <c r="U412" s="54">
        <f>Assumptions!P$60</f>
        <v>0</v>
      </c>
      <c r="V412" s="54">
        <f>Assumptions!Q$60</f>
        <v>0</v>
      </c>
      <c r="W412" s="54">
        <f>Assumptions!R$60</f>
        <v>0</v>
      </c>
      <c r="X412" s="54">
        <f>Assumptions!S$60</f>
        <v>0</v>
      </c>
      <c r="Y412" s="54">
        <f>Assumptions!T$60</f>
        <v>0</v>
      </c>
      <c r="Z412" s="54">
        <f>Assumptions!U$60</f>
        <v>0</v>
      </c>
      <c r="AA412" s="54">
        <f>Assumptions!V$60</f>
        <v>0</v>
      </c>
      <c r="AB412" s="54">
        <f>Assumptions!W$60</f>
        <v>0</v>
      </c>
      <c r="AC412" s="54">
        <f>Assumptions!X$60</f>
        <v>0</v>
      </c>
      <c r="AD412" s="54">
        <f>Assumptions!Y$60</f>
        <v>0</v>
      </c>
      <c r="AE412" s="54">
        <f>Assumptions!Z$60</f>
        <v>0</v>
      </c>
      <c r="AF412" s="54">
        <f>Assumptions!AA$60</f>
        <v>0</v>
      </c>
      <c r="AG412" s="54">
        <f>Assumptions!AB$60</f>
        <v>0</v>
      </c>
      <c r="AH412" s="54">
        <f>Assumptions!AC$60</f>
        <v>0</v>
      </c>
      <c r="AI412" s="54">
        <f>Assumptions!AD$60</f>
        <v>0</v>
      </c>
      <c r="AJ412" s="54">
        <f>Assumptions!AE$60</f>
        <v>0</v>
      </c>
      <c r="AK412" s="54">
        <f>Assumptions!AF$60</f>
        <v>0</v>
      </c>
      <c r="AL412" s="54">
        <f>Assumptions!AG$60</f>
        <v>0</v>
      </c>
      <c r="AM412" s="54">
        <f>Assumptions!AH$60</f>
        <v>0</v>
      </c>
      <c r="AN412" s="54">
        <f>Assumptions!AI$60</f>
        <v>0</v>
      </c>
      <c r="AO412" s="54">
        <f>Assumptions!AJ$60</f>
        <v>0</v>
      </c>
      <c r="AP412" s="54">
        <f>Assumptions!AK$60</f>
        <v>0</v>
      </c>
      <c r="AQ412" s="54">
        <f>Assumptions!AL$60</f>
        <v>0</v>
      </c>
      <c r="AR412" s="54">
        <f>Assumptions!AM$60</f>
        <v>0</v>
      </c>
      <c r="AS412" s="54">
        <f>Assumptions!AN$60</f>
        <v>0</v>
      </c>
      <c r="AT412" s="54">
        <f>Assumptions!AO$60</f>
        <v>0</v>
      </c>
      <c r="AU412" s="54">
        <f>Assumptions!AP$60</f>
        <v>0</v>
      </c>
    </row>
    <row r="413" spans="1:47">
      <c r="E413" s="326"/>
      <c r="G413" s="39"/>
      <c r="H413" s="39"/>
      <c r="I413" s="39"/>
      <c r="J413" s="39"/>
      <c r="K413" s="39"/>
    </row>
    <row r="414" spans="1:47">
      <c r="E414" s="327"/>
      <c r="F414" s="28"/>
      <c r="G414" s="324" t="str">
        <f>C411&amp;" O&amp;M"</f>
        <v>Pre-Treatment (CAMBI) O&amp;M</v>
      </c>
      <c r="H414" s="324"/>
      <c r="I414" s="324"/>
      <c r="J414" s="324"/>
      <c r="K414" s="324"/>
      <c r="L414" s="405" t="s">
        <v>79</v>
      </c>
      <c r="M414" s="256"/>
      <c r="N414" s="325" t="s">
        <v>490</v>
      </c>
      <c r="O414" s="311"/>
      <c r="P414" s="325" t="s">
        <v>491</v>
      </c>
      <c r="Q414" s="310"/>
      <c r="R414" s="325">
        <f>R$8</f>
        <v>2014</v>
      </c>
      <c r="S414" s="325">
        <f t="shared" ref="S414:AU414" si="293">S$8</f>
        <v>2015</v>
      </c>
      <c r="T414" s="325">
        <f t="shared" si="293"/>
        <v>2016</v>
      </c>
      <c r="U414" s="325">
        <f t="shared" si="293"/>
        <v>2017</v>
      </c>
      <c r="V414" s="325">
        <f t="shared" si="293"/>
        <v>2018</v>
      </c>
      <c r="W414" s="325">
        <f t="shared" si="293"/>
        <v>2019</v>
      </c>
      <c r="X414" s="325">
        <f t="shared" si="293"/>
        <v>2020</v>
      </c>
      <c r="Y414" s="325">
        <f t="shared" si="293"/>
        <v>2021</v>
      </c>
      <c r="Z414" s="325">
        <f t="shared" si="293"/>
        <v>2022</v>
      </c>
      <c r="AA414" s="325">
        <f t="shared" si="293"/>
        <v>2023</v>
      </c>
      <c r="AB414" s="325">
        <f t="shared" si="293"/>
        <v>2024</v>
      </c>
      <c r="AC414" s="325">
        <f t="shared" si="293"/>
        <v>2025</v>
      </c>
      <c r="AD414" s="325">
        <f t="shared" si="293"/>
        <v>2026</v>
      </c>
      <c r="AE414" s="325">
        <f t="shared" si="293"/>
        <v>2027</v>
      </c>
      <c r="AF414" s="325">
        <f t="shared" si="293"/>
        <v>2028</v>
      </c>
      <c r="AG414" s="325">
        <f t="shared" si="293"/>
        <v>2029</v>
      </c>
      <c r="AH414" s="325">
        <f t="shared" si="293"/>
        <v>2030</v>
      </c>
      <c r="AI414" s="325">
        <f t="shared" si="293"/>
        <v>2031</v>
      </c>
      <c r="AJ414" s="325">
        <f t="shared" si="293"/>
        <v>2032</v>
      </c>
      <c r="AK414" s="325">
        <f t="shared" si="293"/>
        <v>2033</v>
      </c>
      <c r="AL414" s="325">
        <f t="shared" si="293"/>
        <v>2034</v>
      </c>
      <c r="AM414" s="325">
        <f t="shared" si="293"/>
        <v>2035</v>
      </c>
      <c r="AN414" s="325">
        <f t="shared" si="293"/>
        <v>2036</v>
      </c>
      <c r="AO414" s="325">
        <f t="shared" si="293"/>
        <v>2037</v>
      </c>
      <c r="AP414" s="325">
        <f t="shared" si="293"/>
        <v>2038</v>
      </c>
      <c r="AQ414" s="325">
        <f t="shared" si="293"/>
        <v>2039</v>
      </c>
      <c r="AR414" s="325">
        <f t="shared" si="293"/>
        <v>2040</v>
      </c>
      <c r="AS414" s="325">
        <f t="shared" si="293"/>
        <v>2041</v>
      </c>
      <c r="AT414" s="325">
        <f t="shared" si="293"/>
        <v>2042</v>
      </c>
      <c r="AU414" s="325">
        <f t="shared" si="293"/>
        <v>2043</v>
      </c>
    </row>
    <row r="415" spans="1:47">
      <c r="E415" s="325"/>
      <c r="G415" s="39"/>
      <c r="H415" s="39"/>
      <c r="I415" s="39"/>
      <c r="J415" s="39"/>
      <c r="K415" s="39"/>
    </row>
    <row r="416" spans="1:47">
      <c r="E416" s="325"/>
      <c r="G416" s="39" t="s">
        <v>23</v>
      </c>
      <c r="H416" s="39"/>
      <c r="I416" s="39"/>
      <c r="J416" s="39"/>
      <c r="K416" s="39"/>
    </row>
    <row r="417" spans="1:47">
      <c r="A417" s="38" t="str">
        <f t="shared" ref="A417:A424" si="294">$J$4&amp;"-"</f>
        <v>1Y-</v>
      </c>
      <c r="B417" s="38" t="s">
        <v>262</v>
      </c>
      <c r="C417" s="38" t="str">
        <f>C411</f>
        <v>Pre-Treatment (CAMBI)</v>
      </c>
      <c r="D417" s="186">
        <f>LaborEsc</f>
        <v>0.02</v>
      </c>
      <c r="E417" s="325"/>
      <c r="G417" s="36" t="s">
        <v>125</v>
      </c>
      <c r="I417" s="39"/>
      <c r="K417" s="39"/>
      <c r="L417" s="43" t="s">
        <v>266</v>
      </c>
      <c r="N417" s="70">
        <f ca="1">SUMIFS(OFFSET(Assumptions!$I$90,0,MATCH($A417,Configurations,0)-1,COUNT(Assumptions!$A$90:$A$183),1),Assumptions!$D$90:$D$183,$B417&amp;$C417)</f>
        <v>10220</v>
      </c>
      <c r="O417" s="313"/>
      <c r="P417" s="323"/>
      <c r="Q417" s="313"/>
      <c r="R417" s="50">
        <f t="shared" ref="R417:AU417" ca="1" si="295">IF(OR(R$99&lt;InServiceYr,R$99&gt;(InServiceYr+analysis_period-1)),0,IF($P417=0,$N417,$P417)*LaborCost*(1+$D417)^(R$99-CostBaseYr))</f>
        <v>364854</v>
      </c>
      <c r="S417" s="50">
        <f t="shared" ca="1" si="295"/>
        <v>372151.08</v>
      </c>
      <c r="T417" s="50">
        <f t="shared" ca="1" si="295"/>
        <v>379594.10159999999</v>
      </c>
      <c r="U417" s="50">
        <f t="shared" ca="1" si="295"/>
        <v>387185.98363199999</v>
      </c>
      <c r="V417" s="50">
        <f t="shared" ca="1" si="295"/>
        <v>394929.70330464002</v>
      </c>
      <c r="W417" s="50">
        <f t="shared" ca="1" si="295"/>
        <v>402828.29737073282</v>
      </c>
      <c r="X417" s="50">
        <f t="shared" ca="1" si="295"/>
        <v>410884.86331814737</v>
      </c>
      <c r="Y417" s="50">
        <f t="shared" ca="1" si="295"/>
        <v>419102.56058451039</v>
      </c>
      <c r="Z417" s="50">
        <f t="shared" ca="1" si="295"/>
        <v>427484.61179620057</v>
      </c>
      <c r="AA417" s="50">
        <f t="shared" ca="1" si="295"/>
        <v>436034.30403212464</v>
      </c>
      <c r="AB417" s="50">
        <f t="shared" ca="1" si="295"/>
        <v>444754.99011276703</v>
      </c>
      <c r="AC417" s="50">
        <f t="shared" ca="1" si="295"/>
        <v>453650.08991502243</v>
      </c>
      <c r="AD417" s="50">
        <f t="shared" ca="1" si="295"/>
        <v>462723.09171332285</v>
      </c>
      <c r="AE417" s="50">
        <f t="shared" ca="1" si="295"/>
        <v>471977.55354758934</v>
      </c>
      <c r="AF417" s="50">
        <f t="shared" ca="1" si="295"/>
        <v>481417.10461854102</v>
      </c>
      <c r="AG417" s="50">
        <f t="shared" ca="1" si="295"/>
        <v>491045.44671091193</v>
      </c>
      <c r="AH417" s="50">
        <f t="shared" ca="1" si="295"/>
        <v>500866.35564513021</v>
      </c>
      <c r="AI417" s="50">
        <f t="shared" ca="1" si="295"/>
        <v>510883.68275803275</v>
      </c>
      <c r="AJ417" s="50">
        <f t="shared" ca="1" si="295"/>
        <v>521101.3564131934</v>
      </c>
      <c r="AK417" s="50">
        <f t="shared" ca="1" si="295"/>
        <v>531523.38354145736</v>
      </c>
      <c r="AL417" s="50">
        <f t="shared" si="295"/>
        <v>0</v>
      </c>
      <c r="AM417" s="50">
        <f t="shared" si="295"/>
        <v>0</v>
      </c>
      <c r="AN417" s="50">
        <f t="shared" si="295"/>
        <v>0</v>
      </c>
      <c r="AO417" s="50">
        <f t="shared" si="295"/>
        <v>0</v>
      </c>
      <c r="AP417" s="50">
        <f t="shared" si="295"/>
        <v>0</v>
      </c>
      <c r="AQ417" s="50">
        <f t="shared" si="295"/>
        <v>0</v>
      </c>
      <c r="AR417" s="50">
        <f t="shared" si="295"/>
        <v>0</v>
      </c>
      <c r="AS417" s="50">
        <f t="shared" si="295"/>
        <v>0</v>
      </c>
      <c r="AT417" s="50">
        <f t="shared" si="295"/>
        <v>0</v>
      </c>
      <c r="AU417" s="50">
        <f t="shared" si="295"/>
        <v>0</v>
      </c>
    </row>
    <row r="418" spans="1:47">
      <c r="A418" s="38" t="str">
        <f t="shared" si="294"/>
        <v>1Y-</v>
      </c>
      <c r="B418" s="38" t="s">
        <v>270</v>
      </c>
      <c r="C418" s="38" t="str">
        <f>C417</f>
        <v>Pre-Treatment (CAMBI)</v>
      </c>
      <c r="D418" s="186">
        <f>OMEsc</f>
        <v>0.02</v>
      </c>
      <c r="E418" s="325"/>
      <c r="G418" s="36" t="s">
        <v>126</v>
      </c>
      <c r="I418" s="39"/>
      <c r="K418" s="39"/>
      <c r="L418" s="43" t="str">
        <f>"["&amp;CostBaseYr&amp;" $]"</f>
        <v>[2013 $]</v>
      </c>
      <c r="N418" s="70">
        <f ca="1">SUMIFS(OFFSET(Assumptions!$I$90,0,MATCH($A418,Configurations,0)-1,COUNT(Assumptions!$A$90:$A$183),1),Assumptions!$D$90:$D$183,$B418&amp;$C418)</f>
        <v>91000</v>
      </c>
      <c r="O418" s="313"/>
      <c r="P418" s="323"/>
      <c r="Q418" s="313"/>
      <c r="R418" s="50">
        <f t="shared" ref="R418:AG420" ca="1" si="296">IF(OR(R$99&lt;InServiceYr,R$99&gt;(InServiceYr+analysis_period-1)),0,IF($P418=0,$N418,$P418)*(1+$D418)^(R$99-CostBaseYr))</f>
        <v>92820</v>
      </c>
      <c r="S418" s="50">
        <f t="shared" ca="1" si="296"/>
        <v>94676.4</v>
      </c>
      <c r="T418" s="50">
        <f t="shared" ca="1" si="296"/>
        <v>96569.928</v>
      </c>
      <c r="U418" s="50">
        <f t="shared" ca="1" si="296"/>
        <v>98501.326560000001</v>
      </c>
      <c r="V418" s="50">
        <f t="shared" ca="1" si="296"/>
        <v>100471.3530912</v>
      </c>
      <c r="W418" s="50">
        <f t="shared" ca="1" si="296"/>
        <v>102480.78015302401</v>
      </c>
      <c r="X418" s="50">
        <f t="shared" ca="1" si="296"/>
        <v>104530.39575608446</v>
      </c>
      <c r="Y418" s="50">
        <f t="shared" ca="1" si="296"/>
        <v>106621.00367120616</v>
      </c>
      <c r="Z418" s="50">
        <f t="shared" ca="1" si="296"/>
        <v>108753.42374463029</v>
      </c>
      <c r="AA418" s="50">
        <f t="shared" ca="1" si="296"/>
        <v>110928.4922195229</v>
      </c>
      <c r="AB418" s="50">
        <f t="shared" ca="1" si="296"/>
        <v>113147.06206391333</v>
      </c>
      <c r="AC418" s="50">
        <f t="shared" ca="1" si="296"/>
        <v>115410.00330519163</v>
      </c>
      <c r="AD418" s="50">
        <f t="shared" ca="1" si="296"/>
        <v>117718.20337129544</v>
      </c>
      <c r="AE418" s="50">
        <f t="shared" ca="1" si="296"/>
        <v>120072.56743872137</v>
      </c>
      <c r="AF418" s="50">
        <f t="shared" ca="1" si="296"/>
        <v>122474.01878749576</v>
      </c>
      <c r="AG418" s="50">
        <f t="shared" ca="1" si="296"/>
        <v>124923.49916324569</v>
      </c>
      <c r="AH418" s="50">
        <f t="shared" ref="S418:AU420" ca="1" si="297">IF(OR(AH$99&lt;InServiceYr,AH$99&gt;(InServiceYr+analysis_period-1)),0,IF($P418=0,$N418,$P418)*(1+$D418)^(AH$99-CostBaseYr))</f>
        <v>127421.96914651062</v>
      </c>
      <c r="AI418" s="50">
        <f t="shared" ca="1" si="297"/>
        <v>129970.40852944081</v>
      </c>
      <c r="AJ418" s="50">
        <f t="shared" ca="1" si="297"/>
        <v>132569.81670002962</v>
      </c>
      <c r="AK418" s="50">
        <f t="shared" ca="1" si="297"/>
        <v>135221.21303403022</v>
      </c>
      <c r="AL418" s="50">
        <f t="shared" si="297"/>
        <v>0</v>
      </c>
      <c r="AM418" s="50">
        <f t="shared" si="297"/>
        <v>0</v>
      </c>
      <c r="AN418" s="50">
        <f t="shared" si="297"/>
        <v>0</v>
      </c>
      <c r="AO418" s="50">
        <f t="shared" si="297"/>
        <v>0</v>
      </c>
      <c r="AP418" s="50">
        <f t="shared" si="297"/>
        <v>0</v>
      </c>
      <c r="AQ418" s="50">
        <f t="shared" si="297"/>
        <v>0</v>
      </c>
      <c r="AR418" s="50">
        <f t="shared" si="297"/>
        <v>0</v>
      </c>
      <c r="AS418" s="50">
        <f t="shared" si="297"/>
        <v>0</v>
      </c>
      <c r="AT418" s="50">
        <f t="shared" si="297"/>
        <v>0</v>
      </c>
      <c r="AU418" s="50">
        <f t="shared" si="297"/>
        <v>0</v>
      </c>
    </row>
    <row r="419" spans="1:47">
      <c r="A419" s="38" t="str">
        <f t="shared" si="294"/>
        <v>1Y-</v>
      </c>
      <c r="B419" s="38" t="s">
        <v>263</v>
      </c>
      <c r="C419" s="38" t="str">
        <f t="shared" ref="C419:C423" si="298">C418</f>
        <v>Pre-Treatment (CAMBI)</v>
      </c>
      <c r="D419" s="186">
        <f>OMEsc</f>
        <v>0.02</v>
      </c>
      <c r="E419" s="325"/>
      <c r="G419" s="36" t="s">
        <v>127</v>
      </c>
      <c r="I419" s="39"/>
      <c r="K419" s="39"/>
      <c r="L419" s="43" t="str">
        <f>"["&amp;CostBaseYr&amp;" $]"</f>
        <v>[2013 $]</v>
      </c>
      <c r="N419" s="70">
        <f ca="1">SUMIFS(OFFSET(Assumptions!$I$90,0,MATCH($A419,Configurations,0)-1,COUNT(Assumptions!$A$90:$A$183),1),Assumptions!$D$90:$D$183,$B419&amp;$C419)</f>
        <v>12000</v>
      </c>
      <c r="O419" s="313"/>
      <c r="P419" s="323"/>
      <c r="Q419" s="313"/>
      <c r="R419" s="50">
        <f t="shared" ca="1" si="296"/>
        <v>12240</v>
      </c>
      <c r="S419" s="50">
        <f t="shared" ca="1" si="297"/>
        <v>12484.8</v>
      </c>
      <c r="T419" s="50">
        <f t="shared" ca="1" si="297"/>
        <v>12734.495999999999</v>
      </c>
      <c r="U419" s="50">
        <f t="shared" ca="1" si="297"/>
        <v>12989.18592</v>
      </c>
      <c r="V419" s="50">
        <f t="shared" ca="1" si="297"/>
        <v>13248.9696384</v>
      </c>
      <c r="W419" s="50">
        <f t="shared" ca="1" si="297"/>
        <v>13513.949031168</v>
      </c>
      <c r="X419" s="50">
        <f t="shared" ca="1" si="297"/>
        <v>13784.228011791358</v>
      </c>
      <c r="Y419" s="50">
        <f t="shared" ca="1" si="297"/>
        <v>14059.912572027186</v>
      </c>
      <c r="Z419" s="50">
        <f t="shared" ca="1" si="297"/>
        <v>14341.11082346773</v>
      </c>
      <c r="AA419" s="50">
        <f t="shared" ca="1" si="297"/>
        <v>14627.933039937085</v>
      </c>
      <c r="AB419" s="50">
        <f t="shared" ca="1" si="297"/>
        <v>14920.491700735824</v>
      </c>
      <c r="AC419" s="50">
        <f t="shared" ca="1" si="297"/>
        <v>15218.901534750543</v>
      </c>
      <c r="AD419" s="50">
        <f t="shared" ca="1" si="297"/>
        <v>15523.279565445553</v>
      </c>
      <c r="AE419" s="50">
        <f t="shared" ca="1" si="297"/>
        <v>15833.745156754465</v>
      </c>
      <c r="AF419" s="50">
        <f t="shared" ca="1" si="297"/>
        <v>16150.420059889551</v>
      </c>
      <c r="AG419" s="50">
        <f t="shared" ca="1" si="297"/>
        <v>16473.428461087344</v>
      </c>
      <c r="AH419" s="50">
        <f t="shared" ca="1" si="297"/>
        <v>16802.897030309094</v>
      </c>
      <c r="AI419" s="50">
        <f t="shared" ca="1" si="297"/>
        <v>17138.954970915274</v>
      </c>
      <c r="AJ419" s="50">
        <f t="shared" ca="1" si="297"/>
        <v>17481.734070333576</v>
      </c>
      <c r="AK419" s="50">
        <f t="shared" ca="1" si="297"/>
        <v>17831.36875174025</v>
      </c>
      <c r="AL419" s="50">
        <f t="shared" si="297"/>
        <v>0</v>
      </c>
      <c r="AM419" s="50">
        <f t="shared" si="297"/>
        <v>0</v>
      </c>
      <c r="AN419" s="50">
        <f t="shared" si="297"/>
        <v>0</v>
      </c>
      <c r="AO419" s="50">
        <f t="shared" si="297"/>
        <v>0</v>
      </c>
      <c r="AP419" s="50">
        <f t="shared" si="297"/>
        <v>0</v>
      </c>
      <c r="AQ419" s="50">
        <f t="shared" si="297"/>
        <v>0</v>
      </c>
      <c r="AR419" s="50">
        <f t="shared" si="297"/>
        <v>0</v>
      </c>
      <c r="AS419" s="50">
        <f t="shared" si="297"/>
        <v>0</v>
      </c>
      <c r="AT419" s="50">
        <f t="shared" si="297"/>
        <v>0</v>
      </c>
      <c r="AU419" s="50">
        <f t="shared" si="297"/>
        <v>0</v>
      </c>
    </row>
    <row r="420" spans="1:47">
      <c r="A420" s="38" t="str">
        <f t="shared" si="294"/>
        <v>1Y-</v>
      </c>
      <c r="B420" s="38" t="s">
        <v>277</v>
      </c>
      <c r="C420" s="38" t="str">
        <f t="shared" si="298"/>
        <v>Pre-Treatment (CAMBI)</v>
      </c>
      <c r="D420" s="186">
        <f>OMEsc</f>
        <v>0.02</v>
      </c>
      <c r="E420" s="325"/>
      <c r="G420" s="36" t="s">
        <v>276</v>
      </c>
      <c r="I420" s="39"/>
      <c r="K420" s="39"/>
      <c r="L420" s="43" t="str">
        <f>"["&amp;CostBaseYr&amp;" $]"</f>
        <v>[2013 $]</v>
      </c>
      <c r="N420" s="70">
        <f ca="1">SUMIFS(OFFSET(Assumptions!$I$90,0,MATCH($A420,Configurations,0)-1,COUNT(Assumptions!$A$90:$A$183),1),Assumptions!$D$90:$D$183,$B420&amp;$C420)</f>
        <v>0</v>
      </c>
      <c r="O420" s="313"/>
      <c r="P420" s="323"/>
      <c r="Q420" s="313"/>
      <c r="R420" s="50">
        <f t="shared" ca="1" si="296"/>
        <v>0</v>
      </c>
      <c r="S420" s="50">
        <f t="shared" ca="1" si="297"/>
        <v>0</v>
      </c>
      <c r="T420" s="50">
        <f t="shared" ca="1" si="297"/>
        <v>0</v>
      </c>
      <c r="U420" s="50">
        <f t="shared" ca="1" si="297"/>
        <v>0</v>
      </c>
      <c r="V420" s="50">
        <f t="shared" ca="1" si="297"/>
        <v>0</v>
      </c>
      <c r="W420" s="50">
        <f t="shared" ca="1" si="297"/>
        <v>0</v>
      </c>
      <c r="X420" s="50">
        <f t="shared" ca="1" si="297"/>
        <v>0</v>
      </c>
      <c r="Y420" s="50">
        <f t="shared" ca="1" si="297"/>
        <v>0</v>
      </c>
      <c r="Z420" s="50">
        <f t="shared" ca="1" si="297"/>
        <v>0</v>
      </c>
      <c r="AA420" s="50">
        <f t="shared" ca="1" si="297"/>
        <v>0</v>
      </c>
      <c r="AB420" s="50">
        <f t="shared" ca="1" si="297"/>
        <v>0</v>
      </c>
      <c r="AC420" s="50">
        <f t="shared" ca="1" si="297"/>
        <v>0</v>
      </c>
      <c r="AD420" s="50">
        <f t="shared" ca="1" si="297"/>
        <v>0</v>
      </c>
      <c r="AE420" s="50">
        <f t="shared" ca="1" si="297"/>
        <v>0</v>
      </c>
      <c r="AF420" s="50">
        <f t="shared" ca="1" si="297"/>
        <v>0</v>
      </c>
      <c r="AG420" s="50">
        <f t="shared" ca="1" si="297"/>
        <v>0</v>
      </c>
      <c r="AH420" s="50">
        <f t="shared" ca="1" si="297"/>
        <v>0</v>
      </c>
      <c r="AI420" s="50">
        <f t="shared" ca="1" si="297"/>
        <v>0</v>
      </c>
      <c r="AJ420" s="50">
        <f t="shared" ca="1" si="297"/>
        <v>0</v>
      </c>
      <c r="AK420" s="50">
        <f t="shared" ca="1" si="297"/>
        <v>0</v>
      </c>
      <c r="AL420" s="50">
        <f t="shared" si="297"/>
        <v>0</v>
      </c>
      <c r="AM420" s="50">
        <f t="shared" si="297"/>
        <v>0</v>
      </c>
      <c r="AN420" s="50">
        <f t="shared" si="297"/>
        <v>0</v>
      </c>
      <c r="AO420" s="50">
        <f t="shared" si="297"/>
        <v>0</v>
      </c>
      <c r="AP420" s="50">
        <f t="shared" si="297"/>
        <v>0</v>
      </c>
      <c r="AQ420" s="50">
        <f t="shared" si="297"/>
        <v>0</v>
      </c>
      <c r="AR420" s="50">
        <f t="shared" si="297"/>
        <v>0</v>
      </c>
      <c r="AS420" s="50">
        <f t="shared" si="297"/>
        <v>0</v>
      </c>
      <c r="AT420" s="50">
        <f t="shared" si="297"/>
        <v>0</v>
      </c>
      <c r="AU420" s="50">
        <f t="shared" si="297"/>
        <v>0</v>
      </c>
    </row>
    <row r="421" spans="1:47">
      <c r="A421" s="38" t="str">
        <f t="shared" si="294"/>
        <v>1Y-</v>
      </c>
      <c r="B421" s="38" t="s">
        <v>274</v>
      </c>
      <c r="C421" s="38" t="str">
        <f t="shared" si="298"/>
        <v>Pre-Treatment (CAMBI)</v>
      </c>
      <c r="D421" s="186"/>
      <c r="E421" s="325"/>
      <c r="G421" s="36" t="s">
        <v>16</v>
      </c>
      <c r="I421" s="39"/>
      <c r="K421" s="39"/>
      <c r="L421" s="43" t="s">
        <v>275</v>
      </c>
      <c r="N421" s="70">
        <f ca="1">SUMIFS(OFFSET(Assumptions!$I$90,0,MATCH($A421,Configurations,0)-1,COUNT(Assumptions!$A$90:$A$183),1),Assumptions!$D$90:$D$183,$B421&amp;$C421)</f>
        <v>0</v>
      </c>
      <c r="O421" s="313"/>
      <c r="P421" s="323"/>
      <c r="Q421" s="313"/>
      <c r="R421" s="50">
        <f t="shared" ref="R421:AU421" ca="1" si="299">IF(OR(R$99&lt;InServiceYr,R$99&gt;(InServiceYr+analysis_period-1)),0,IF($P421=0,$N421,$P421)*R$505)</f>
        <v>0</v>
      </c>
      <c r="S421" s="50">
        <f t="shared" ca="1" si="299"/>
        <v>0</v>
      </c>
      <c r="T421" s="50">
        <f t="shared" ca="1" si="299"/>
        <v>0</v>
      </c>
      <c r="U421" s="50">
        <f t="shared" ca="1" si="299"/>
        <v>0</v>
      </c>
      <c r="V421" s="50">
        <f t="shared" ca="1" si="299"/>
        <v>0</v>
      </c>
      <c r="W421" s="50">
        <f t="shared" ca="1" si="299"/>
        <v>0</v>
      </c>
      <c r="X421" s="50">
        <f t="shared" ca="1" si="299"/>
        <v>0</v>
      </c>
      <c r="Y421" s="50">
        <f t="shared" ca="1" si="299"/>
        <v>0</v>
      </c>
      <c r="Z421" s="50">
        <f t="shared" ca="1" si="299"/>
        <v>0</v>
      </c>
      <c r="AA421" s="50">
        <f t="shared" ca="1" si="299"/>
        <v>0</v>
      </c>
      <c r="AB421" s="50">
        <f t="shared" ca="1" si="299"/>
        <v>0</v>
      </c>
      <c r="AC421" s="50">
        <f t="shared" ca="1" si="299"/>
        <v>0</v>
      </c>
      <c r="AD421" s="50">
        <f t="shared" ca="1" si="299"/>
        <v>0</v>
      </c>
      <c r="AE421" s="50">
        <f t="shared" ca="1" si="299"/>
        <v>0</v>
      </c>
      <c r="AF421" s="50">
        <f t="shared" ca="1" si="299"/>
        <v>0</v>
      </c>
      <c r="AG421" s="50">
        <f t="shared" ca="1" si="299"/>
        <v>0</v>
      </c>
      <c r="AH421" s="50">
        <f t="shared" ca="1" si="299"/>
        <v>0</v>
      </c>
      <c r="AI421" s="50">
        <f t="shared" ca="1" si="299"/>
        <v>0</v>
      </c>
      <c r="AJ421" s="50">
        <f t="shared" ca="1" si="299"/>
        <v>0</v>
      </c>
      <c r="AK421" s="50">
        <f t="shared" ca="1" si="299"/>
        <v>0</v>
      </c>
      <c r="AL421" s="50">
        <f t="shared" si="299"/>
        <v>0</v>
      </c>
      <c r="AM421" s="50">
        <f t="shared" si="299"/>
        <v>0</v>
      </c>
      <c r="AN421" s="50">
        <f t="shared" si="299"/>
        <v>0</v>
      </c>
      <c r="AO421" s="50">
        <f t="shared" si="299"/>
        <v>0</v>
      </c>
      <c r="AP421" s="50">
        <f t="shared" si="299"/>
        <v>0</v>
      </c>
      <c r="AQ421" s="50">
        <f t="shared" si="299"/>
        <v>0</v>
      </c>
      <c r="AR421" s="50">
        <f t="shared" si="299"/>
        <v>0</v>
      </c>
      <c r="AS421" s="50">
        <f t="shared" si="299"/>
        <v>0</v>
      </c>
      <c r="AT421" s="50">
        <f t="shared" si="299"/>
        <v>0</v>
      </c>
      <c r="AU421" s="50">
        <f t="shared" si="299"/>
        <v>0</v>
      </c>
    </row>
    <row r="422" spans="1:47">
      <c r="A422" s="38" t="str">
        <f t="shared" si="294"/>
        <v>1Y-</v>
      </c>
      <c r="B422" s="38" t="s">
        <v>257</v>
      </c>
      <c r="C422" s="38" t="str">
        <f t="shared" si="298"/>
        <v>Pre-Treatment (CAMBI)</v>
      </c>
      <c r="D422" s="186"/>
      <c r="E422" s="325"/>
      <c r="G422" s="36" t="s">
        <v>284</v>
      </c>
      <c r="I422" s="39"/>
      <c r="K422" s="39"/>
      <c r="L422" s="43" t="s">
        <v>293</v>
      </c>
      <c r="N422" s="70">
        <f ca="1">SUMIFS(OFFSET(Assumptions!$I$90,0,MATCH($A422,Configurations,0)-1,COUNT(Assumptions!$A$90:$A$183),1),Assumptions!$D$90:$D$183,$B422&amp;$C422)</f>
        <v>32850</v>
      </c>
      <c r="O422" s="313"/>
      <c r="P422" s="323"/>
      <c r="Q422" s="313"/>
      <c r="R422" s="50">
        <f t="shared" ref="R422:AU422" ca="1" si="300">IF(OR(R$99&lt;InServiceYr,R$99&gt;(InServiceYr+analysis_period-1)),0,IF($P422=0,$N422,$P422)*R$501)</f>
        <v>2121.5041166621049</v>
      </c>
      <c r="S422" s="50">
        <f t="shared" ca="1" si="300"/>
        <v>2134.7285789349235</v>
      </c>
      <c r="T422" s="50">
        <f t="shared" ca="1" si="300"/>
        <v>2226.7566030856242</v>
      </c>
      <c r="U422" s="50">
        <f t="shared" ca="1" si="300"/>
        <v>2293.5537290575717</v>
      </c>
      <c r="V422" s="50">
        <f t="shared" ca="1" si="300"/>
        <v>2348.8997271444578</v>
      </c>
      <c r="W422" s="50">
        <f t="shared" ca="1" si="300"/>
        <v>2378.949865646357</v>
      </c>
      <c r="X422" s="50">
        <f t="shared" ca="1" si="300"/>
        <v>2417.6612636404284</v>
      </c>
      <c r="Y422" s="50">
        <f t="shared" ca="1" si="300"/>
        <v>2477.2275130840158</v>
      </c>
      <c r="Z422" s="50">
        <f t="shared" ca="1" si="300"/>
        <v>2536.5340289050928</v>
      </c>
      <c r="AA422" s="50">
        <f t="shared" ca="1" si="300"/>
        <v>2599.9536097625855</v>
      </c>
      <c r="AB422" s="50">
        <f t="shared" ca="1" si="300"/>
        <v>2656.2680928144764</v>
      </c>
      <c r="AC422" s="50">
        <f t="shared" ca="1" si="300"/>
        <v>2707.4181440707871</v>
      </c>
      <c r="AD422" s="50">
        <f t="shared" ca="1" si="300"/>
        <v>2769.9589539053318</v>
      </c>
      <c r="AE422" s="50">
        <f t="shared" ca="1" si="300"/>
        <v>2833.0909125366024</v>
      </c>
      <c r="AF422" s="50">
        <f t="shared" ca="1" si="300"/>
        <v>2900.4521947209632</v>
      </c>
      <c r="AG422" s="50">
        <f t="shared" ca="1" si="300"/>
        <v>2975.9127082311493</v>
      </c>
      <c r="AH422" s="50">
        <f t="shared" ca="1" si="300"/>
        <v>3048.8447670073251</v>
      </c>
      <c r="AI422" s="50">
        <f t="shared" ca="1" si="300"/>
        <v>3127.9366231259764</v>
      </c>
      <c r="AJ422" s="50">
        <f t="shared" ca="1" si="300"/>
        <v>3211.6668356521409</v>
      </c>
      <c r="AK422" s="50">
        <f t="shared" ca="1" si="300"/>
        <v>3299.0346629225437</v>
      </c>
      <c r="AL422" s="50">
        <f t="shared" si="300"/>
        <v>0</v>
      </c>
      <c r="AM422" s="50">
        <f t="shared" si="300"/>
        <v>0</v>
      </c>
      <c r="AN422" s="50">
        <f t="shared" si="300"/>
        <v>0</v>
      </c>
      <c r="AO422" s="50">
        <f t="shared" si="300"/>
        <v>0</v>
      </c>
      <c r="AP422" s="50">
        <f t="shared" si="300"/>
        <v>0</v>
      </c>
      <c r="AQ422" s="50">
        <f t="shared" si="300"/>
        <v>0</v>
      </c>
      <c r="AR422" s="50">
        <f t="shared" si="300"/>
        <v>0</v>
      </c>
      <c r="AS422" s="50">
        <f t="shared" si="300"/>
        <v>0</v>
      </c>
      <c r="AT422" s="50">
        <f t="shared" si="300"/>
        <v>0</v>
      </c>
      <c r="AU422" s="50">
        <f t="shared" si="300"/>
        <v>0</v>
      </c>
    </row>
    <row r="423" spans="1:47">
      <c r="A423" s="38" t="str">
        <f t="shared" si="294"/>
        <v>1Y-</v>
      </c>
      <c r="B423" s="38" t="s">
        <v>864</v>
      </c>
      <c r="C423" s="38" t="str">
        <f t="shared" si="298"/>
        <v>Pre-Treatment (CAMBI)</v>
      </c>
      <c r="D423" s="186">
        <f>GHGEsc</f>
        <v>0.02</v>
      </c>
      <c r="E423" s="325"/>
      <c r="G423" s="36" t="s">
        <v>865</v>
      </c>
      <c r="I423" s="39"/>
      <c r="K423" s="39"/>
      <c r="L423" s="43" t="s">
        <v>866</v>
      </c>
      <c r="N423" s="70">
        <f ca="1">SUMIFS(OFFSET(Assumptions!$I$90,0,MATCH($A423,Configurations,0)-1,COUNT(Assumptions!$A$90:$A$183),1),Assumptions!$D$90:$D$183,$B423&amp;$C423)</f>
        <v>0</v>
      </c>
      <c r="O423" s="313"/>
      <c r="P423" s="323"/>
      <c r="Q423" s="313"/>
      <c r="R423" s="50">
        <f t="shared" ref="R423:AU423" ca="1" si="301">IF(OR(R$99&lt;InServiceYr,R$99&gt;(InServiceYr+analysis_period-1)),0,IF($P423=0,$N423,$P423)*R$513)</f>
        <v>0</v>
      </c>
      <c r="S423" s="50">
        <f t="shared" ca="1" si="301"/>
        <v>0</v>
      </c>
      <c r="T423" s="50">
        <f t="shared" ca="1" si="301"/>
        <v>0</v>
      </c>
      <c r="U423" s="50">
        <f t="shared" ca="1" si="301"/>
        <v>0</v>
      </c>
      <c r="V423" s="50">
        <f t="shared" ca="1" si="301"/>
        <v>0</v>
      </c>
      <c r="W423" s="50">
        <f t="shared" ca="1" si="301"/>
        <v>0</v>
      </c>
      <c r="X423" s="50">
        <f t="shared" ca="1" si="301"/>
        <v>0</v>
      </c>
      <c r="Y423" s="50">
        <f t="shared" ca="1" si="301"/>
        <v>0</v>
      </c>
      <c r="Z423" s="50">
        <f t="shared" ca="1" si="301"/>
        <v>0</v>
      </c>
      <c r="AA423" s="50">
        <f t="shared" ca="1" si="301"/>
        <v>0</v>
      </c>
      <c r="AB423" s="50">
        <f t="shared" ca="1" si="301"/>
        <v>0</v>
      </c>
      <c r="AC423" s="50">
        <f t="shared" ca="1" si="301"/>
        <v>0</v>
      </c>
      <c r="AD423" s="50">
        <f t="shared" ca="1" si="301"/>
        <v>0</v>
      </c>
      <c r="AE423" s="50">
        <f t="shared" ca="1" si="301"/>
        <v>0</v>
      </c>
      <c r="AF423" s="50">
        <f t="shared" ca="1" si="301"/>
        <v>0</v>
      </c>
      <c r="AG423" s="50">
        <f t="shared" ca="1" si="301"/>
        <v>0</v>
      </c>
      <c r="AH423" s="50">
        <f t="shared" ca="1" si="301"/>
        <v>0</v>
      </c>
      <c r="AI423" s="50">
        <f t="shared" ca="1" si="301"/>
        <v>0</v>
      </c>
      <c r="AJ423" s="50">
        <f t="shared" ca="1" si="301"/>
        <v>0</v>
      </c>
      <c r="AK423" s="50">
        <f t="shared" ca="1" si="301"/>
        <v>0</v>
      </c>
      <c r="AL423" s="50">
        <f t="shared" si="301"/>
        <v>0</v>
      </c>
      <c r="AM423" s="50">
        <f t="shared" si="301"/>
        <v>0</v>
      </c>
      <c r="AN423" s="50">
        <f t="shared" si="301"/>
        <v>0</v>
      </c>
      <c r="AO423" s="50">
        <f t="shared" si="301"/>
        <v>0</v>
      </c>
      <c r="AP423" s="50">
        <f t="shared" si="301"/>
        <v>0</v>
      </c>
      <c r="AQ423" s="50">
        <f t="shared" si="301"/>
        <v>0</v>
      </c>
      <c r="AR423" s="50">
        <f t="shared" si="301"/>
        <v>0</v>
      </c>
      <c r="AS423" s="50">
        <f t="shared" si="301"/>
        <v>0</v>
      </c>
      <c r="AT423" s="50">
        <f t="shared" si="301"/>
        <v>0</v>
      </c>
      <c r="AU423" s="50">
        <f t="shared" si="301"/>
        <v>0</v>
      </c>
    </row>
    <row r="424" spans="1:47">
      <c r="A424" s="38" t="str">
        <f t="shared" si="294"/>
        <v>1Y-</v>
      </c>
      <c r="B424" s="38" t="s">
        <v>273</v>
      </c>
      <c r="C424" s="38" t="str">
        <f>C422</f>
        <v>Pre-Treatment (CAMBI)</v>
      </c>
      <c r="D424" s="186">
        <f>LaborEsc</f>
        <v>0.02</v>
      </c>
      <c r="E424" s="325"/>
      <c r="G424" s="36" t="s">
        <v>291</v>
      </c>
      <c r="I424" s="39"/>
      <c r="K424" s="39"/>
      <c r="L424" s="43" t="str">
        <f>"["&amp;CostBaseYr&amp;" $]"</f>
        <v>[2013 $]</v>
      </c>
      <c r="N424" s="70">
        <f ca="1">SUMIFS(OFFSET(Assumptions!$I$90,0,MATCH($A424,Configurations,0)-1,COUNT(Assumptions!$A$90:$A$183),1),Assumptions!$D$90:$D$183,$B424&amp;$C424)</f>
        <v>0</v>
      </c>
      <c r="O424" s="313"/>
      <c r="P424" s="323"/>
      <c r="Q424" s="313"/>
      <c r="R424" s="50">
        <f t="shared" ref="R424:AU424" ca="1" si="302">IF(OR(R$99&lt;InServiceYr,R$99&gt;(InServiceYr+analysis_period-1)),0,IF($P424=0,$N424,$P424)*(1+$D424)^(R$99-CostBaseYr))*R$509</f>
        <v>0</v>
      </c>
      <c r="S424" s="50">
        <f t="shared" ca="1" si="302"/>
        <v>0</v>
      </c>
      <c r="T424" s="50">
        <f t="shared" ca="1" si="302"/>
        <v>0</v>
      </c>
      <c r="U424" s="50">
        <f t="shared" ca="1" si="302"/>
        <v>0</v>
      </c>
      <c r="V424" s="50">
        <f t="shared" ca="1" si="302"/>
        <v>0</v>
      </c>
      <c r="W424" s="50">
        <f t="shared" ca="1" si="302"/>
        <v>0</v>
      </c>
      <c r="X424" s="50">
        <f t="shared" ca="1" si="302"/>
        <v>0</v>
      </c>
      <c r="Y424" s="50">
        <f t="shared" ca="1" si="302"/>
        <v>0</v>
      </c>
      <c r="Z424" s="50">
        <f t="shared" ca="1" si="302"/>
        <v>0</v>
      </c>
      <c r="AA424" s="50">
        <f t="shared" ca="1" si="302"/>
        <v>0</v>
      </c>
      <c r="AB424" s="50">
        <f t="shared" ca="1" si="302"/>
        <v>0</v>
      </c>
      <c r="AC424" s="50">
        <f t="shared" ca="1" si="302"/>
        <v>0</v>
      </c>
      <c r="AD424" s="50">
        <f t="shared" ca="1" si="302"/>
        <v>0</v>
      </c>
      <c r="AE424" s="50">
        <f t="shared" ca="1" si="302"/>
        <v>0</v>
      </c>
      <c r="AF424" s="50">
        <f t="shared" ca="1" si="302"/>
        <v>0</v>
      </c>
      <c r="AG424" s="50">
        <f t="shared" ca="1" si="302"/>
        <v>0</v>
      </c>
      <c r="AH424" s="50">
        <f t="shared" ca="1" si="302"/>
        <v>0</v>
      </c>
      <c r="AI424" s="50">
        <f t="shared" ca="1" si="302"/>
        <v>0</v>
      </c>
      <c r="AJ424" s="50">
        <f t="shared" ca="1" si="302"/>
        <v>0</v>
      </c>
      <c r="AK424" s="50">
        <f t="shared" ca="1" si="302"/>
        <v>0</v>
      </c>
      <c r="AL424" s="50">
        <f t="shared" si="302"/>
        <v>0</v>
      </c>
      <c r="AM424" s="50">
        <f t="shared" si="302"/>
        <v>0</v>
      </c>
      <c r="AN424" s="50">
        <f t="shared" si="302"/>
        <v>0</v>
      </c>
      <c r="AO424" s="50">
        <f t="shared" si="302"/>
        <v>0</v>
      </c>
      <c r="AP424" s="50">
        <f t="shared" si="302"/>
        <v>0</v>
      </c>
      <c r="AQ424" s="50">
        <f t="shared" si="302"/>
        <v>0</v>
      </c>
      <c r="AR424" s="50">
        <f t="shared" si="302"/>
        <v>0</v>
      </c>
      <c r="AS424" s="50">
        <f t="shared" si="302"/>
        <v>0</v>
      </c>
      <c r="AT424" s="50">
        <f t="shared" si="302"/>
        <v>0</v>
      </c>
      <c r="AU424" s="50">
        <f t="shared" si="302"/>
        <v>0</v>
      </c>
    </row>
    <row r="425" spans="1:47">
      <c r="D425" s="186"/>
      <c r="E425" s="325"/>
      <c r="G425" s="39" t="s">
        <v>304</v>
      </c>
      <c r="I425" s="39"/>
      <c r="K425" s="39"/>
      <c r="L425" s="43"/>
      <c r="N425" s="70"/>
      <c r="O425" s="313"/>
      <c r="P425" s="70"/>
      <c r="Q425" s="313"/>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row>
    <row r="426" spans="1:47">
      <c r="A426" s="38" t="str">
        <f>$J$4&amp;"-"</f>
        <v>1Y-</v>
      </c>
      <c r="B426" s="38" t="s">
        <v>265</v>
      </c>
      <c r="C426" s="38" t="str">
        <f>C417</f>
        <v>Pre-Treatment (CAMBI)</v>
      </c>
      <c r="D426" s="186"/>
      <c r="E426" s="325"/>
      <c r="G426" s="36" t="s">
        <v>108</v>
      </c>
      <c r="I426" s="39"/>
      <c r="K426" s="39"/>
      <c r="L426" s="43" t="s">
        <v>293</v>
      </c>
      <c r="N426" s="70">
        <f ca="1">SUMIFS(OFFSET(Assumptions!$I$90,0,MATCH($A426,Configurations,0)-1,COUNT(Assumptions!$A$90:$A$183),1),Assumptions!$D$90:$D$183,$B426&amp;$C426)</f>
        <v>0</v>
      </c>
      <c r="O426" s="313"/>
      <c r="P426" s="323"/>
      <c r="Q426" s="313"/>
      <c r="R426" s="50">
        <f t="shared" ref="R426:AU426" ca="1" si="303">IF(OR(R$99&lt;InServiceYr,R$99&gt;(InServiceYr+analysis_period-1)),0,IF($P426=0,$N426,$P426)*R$501)</f>
        <v>0</v>
      </c>
      <c r="S426" s="50">
        <f t="shared" ca="1" si="303"/>
        <v>0</v>
      </c>
      <c r="T426" s="50">
        <f t="shared" ca="1" si="303"/>
        <v>0</v>
      </c>
      <c r="U426" s="50">
        <f t="shared" ca="1" si="303"/>
        <v>0</v>
      </c>
      <c r="V426" s="50">
        <f t="shared" ca="1" si="303"/>
        <v>0</v>
      </c>
      <c r="W426" s="50">
        <f t="shared" ca="1" si="303"/>
        <v>0</v>
      </c>
      <c r="X426" s="50">
        <f t="shared" ca="1" si="303"/>
        <v>0</v>
      </c>
      <c r="Y426" s="50">
        <f t="shared" ca="1" si="303"/>
        <v>0</v>
      </c>
      <c r="Z426" s="50">
        <f t="shared" ca="1" si="303"/>
        <v>0</v>
      </c>
      <c r="AA426" s="50">
        <f t="shared" ca="1" si="303"/>
        <v>0</v>
      </c>
      <c r="AB426" s="50">
        <f t="shared" ca="1" si="303"/>
        <v>0</v>
      </c>
      <c r="AC426" s="50">
        <f t="shared" ca="1" si="303"/>
        <v>0</v>
      </c>
      <c r="AD426" s="50">
        <f t="shared" ca="1" si="303"/>
        <v>0</v>
      </c>
      <c r="AE426" s="50">
        <f t="shared" ca="1" si="303"/>
        <v>0</v>
      </c>
      <c r="AF426" s="50">
        <f t="shared" ca="1" si="303"/>
        <v>0</v>
      </c>
      <c r="AG426" s="50">
        <f t="shared" ca="1" si="303"/>
        <v>0</v>
      </c>
      <c r="AH426" s="50">
        <f t="shared" ca="1" si="303"/>
        <v>0</v>
      </c>
      <c r="AI426" s="50">
        <f t="shared" ca="1" si="303"/>
        <v>0</v>
      </c>
      <c r="AJ426" s="50">
        <f t="shared" ca="1" si="303"/>
        <v>0</v>
      </c>
      <c r="AK426" s="50">
        <f t="shared" ca="1" si="303"/>
        <v>0</v>
      </c>
      <c r="AL426" s="50">
        <f t="shared" si="303"/>
        <v>0</v>
      </c>
      <c r="AM426" s="50">
        <f t="shared" si="303"/>
        <v>0</v>
      </c>
      <c r="AN426" s="50">
        <f t="shared" si="303"/>
        <v>0</v>
      </c>
      <c r="AO426" s="50">
        <f t="shared" si="303"/>
        <v>0</v>
      </c>
      <c r="AP426" s="50">
        <f t="shared" si="303"/>
        <v>0</v>
      </c>
      <c r="AQ426" s="50">
        <f t="shared" si="303"/>
        <v>0</v>
      </c>
      <c r="AR426" s="50">
        <f t="shared" si="303"/>
        <v>0</v>
      </c>
      <c r="AS426" s="50">
        <f t="shared" si="303"/>
        <v>0</v>
      </c>
      <c r="AT426" s="50">
        <f t="shared" si="303"/>
        <v>0</v>
      </c>
      <c r="AU426" s="50">
        <f t="shared" si="303"/>
        <v>0</v>
      </c>
    </row>
    <row r="427" spans="1:47">
      <c r="A427" s="38" t="str">
        <f>$J$4&amp;"-"</f>
        <v>1Y-</v>
      </c>
      <c r="B427" s="38" t="s">
        <v>289</v>
      </c>
      <c r="C427" s="38" t="str">
        <f>C417</f>
        <v>Pre-Treatment (CAMBI)</v>
      </c>
      <c r="D427" s="186">
        <f>LaborEsc</f>
        <v>0.02</v>
      </c>
      <c r="E427" s="325"/>
      <c r="G427" s="36" t="s">
        <v>292</v>
      </c>
      <c r="I427" s="39"/>
      <c r="K427" s="39"/>
      <c r="L427" s="43" t="str">
        <f>"["&amp;CostBaseYr&amp;" $]"</f>
        <v>[2013 $]</v>
      </c>
      <c r="N427" s="70">
        <f ca="1">SUMIFS(OFFSET(Assumptions!$I$90,0,MATCH($A427,Configurations,0)-1,COUNT(Assumptions!$A$90:$A$183),1),Assumptions!$D$90:$D$183,$B427&amp;$C427)</f>
        <v>0</v>
      </c>
      <c r="O427" s="313"/>
      <c r="P427" s="323"/>
      <c r="Q427" s="313"/>
      <c r="R427" s="50">
        <f t="shared" ref="R427:AU427" ca="1" si="304">IF(OR(R$99&lt;InServiceYr,R$99&gt;(InServiceYr+analysis_period-1)),0,IF($P427=0,$N427,$P427)*(1+$D427)^(R$99-CostBaseYr))</f>
        <v>0</v>
      </c>
      <c r="S427" s="50">
        <f t="shared" ca="1" si="304"/>
        <v>0</v>
      </c>
      <c r="T427" s="50">
        <f t="shared" ca="1" si="304"/>
        <v>0</v>
      </c>
      <c r="U427" s="50">
        <f t="shared" ca="1" si="304"/>
        <v>0</v>
      </c>
      <c r="V427" s="50">
        <f t="shared" ca="1" si="304"/>
        <v>0</v>
      </c>
      <c r="W427" s="50">
        <f t="shared" ca="1" si="304"/>
        <v>0</v>
      </c>
      <c r="X427" s="50">
        <f t="shared" ca="1" si="304"/>
        <v>0</v>
      </c>
      <c r="Y427" s="50">
        <f t="shared" ca="1" si="304"/>
        <v>0</v>
      </c>
      <c r="Z427" s="50">
        <f t="shared" ca="1" si="304"/>
        <v>0</v>
      </c>
      <c r="AA427" s="50">
        <f t="shared" ca="1" si="304"/>
        <v>0</v>
      </c>
      <c r="AB427" s="50">
        <f t="shared" ca="1" si="304"/>
        <v>0</v>
      </c>
      <c r="AC427" s="50">
        <f t="shared" ca="1" si="304"/>
        <v>0</v>
      </c>
      <c r="AD427" s="50">
        <f t="shared" ca="1" si="304"/>
        <v>0</v>
      </c>
      <c r="AE427" s="50">
        <f t="shared" ca="1" si="304"/>
        <v>0</v>
      </c>
      <c r="AF427" s="50">
        <f t="shared" ca="1" si="304"/>
        <v>0</v>
      </c>
      <c r="AG427" s="50">
        <f t="shared" ca="1" si="304"/>
        <v>0</v>
      </c>
      <c r="AH427" s="50">
        <f t="shared" ca="1" si="304"/>
        <v>0</v>
      </c>
      <c r="AI427" s="50">
        <f t="shared" ca="1" si="304"/>
        <v>0</v>
      </c>
      <c r="AJ427" s="50">
        <f t="shared" ca="1" si="304"/>
        <v>0</v>
      </c>
      <c r="AK427" s="50">
        <f t="shared" ca="1" si="304"/>
        <v>0</v>
      </c>
      <c r="AL427" s="50">
        <f t="shared" si="304"/>
        <v>0</v>
      </c>
      <c r="AM427" s="50">
        <f t="shared" si="304"/>
        <v>0</v>
      </c>
      <c r="AN427" s="50">
        <f t="shared" si="304"/>
        <v>0</v>
      </c>
      <c r="AO427" s="50">
        <f t="shared" si="304"/>
        <v>0</v>
      </c>
      <c r="AP427" s="50">
        <f t="shared" si="304"/>
        <v>0</v>
      </c>
      <c r="AQ427" s="50">
        <f t="shared" si="304"/>
        <v>0</v>
      </c>
      <c r="AR427" s="50">
        <f t="shared" si="304"/>
        <v>0</v>
      </c>
      <c r="AS427" s="50">
        <f t="shared" si="304"/>
        <v>0</v>
      </c>
      <c r="AT427" s="50">
        <f t="shared" si="304"/>
        <v>0</v>
      </c>
      <c r="AU427" s="50">
        <f t="shared" si="304"/>
        <v>0</v>
      </c>
    </row>
    <row r="428" spans="1:47" s="60" customFormat="1">
      <c r="D428" s="187"/>
      <c r="E428" s="325"/>
      <c r="G428" s="39" t="s">
        <v>305</v>
      </c>
      <c r="I428" s="39"/>
      <c r="K428" s="39"/>
      <c r="L428" s="174"/>
      <c r="N428" s="188"/>
      <c r="O428" s="314"/>
      <c r="P428" s="185"/>
      <c r="Q428" s="314"/>
      <c r="R428" s="185">
        <f ca="1">SUM(R417:R424)-SUM(R426:R427)</f>
        <v>472035.50411666208</v>
      </c>
      <c r="S428" s="185">
        <f t="shared" ref="S428:AU428" ca="1" si="305">SUM(S417:S424)-SUM(S426:S427)</f>
        <v>481447.00857893488</v>
      </c>
      <c r="T428" s="185">
        <f t="shared" ca="1" si="305"/>
        <v>491125.2822030856</v>
      </c>
      <c r="U428" s="185">
        <f t="shared" ca="1" si="305"/>
        <v>500970.04984105757</v>
      </c>
      <c r="V428" s="185">
        <f t="shared" ca="1" si="305"/>
        <v>510998.92576138448</v>
      </c>
      <c r="W428" s="185">
        <f t="shared" ca="1" si="305"/>
        <v>521201.97642057121</v>
      </c>
      <c r="X428" s="185">
        <f t="shared" ca="1" si="305"/>
        <v>531617.14834966359</v>
      </c>
      <c r="Y428" s="185">
        <f t="shared" ca="1" si="305"/>
        <v>542260.70434082777</v>
      </c>
      <c r="Z428" s="185">
        <f t="shared" ca="1" si="305"/>
        <v>553115.68039320363</v>
      </c>
      <c r="AA428" s="185">
        <f t="shared" ca="1" si="305"/>
        <v>564190.68290134717</v>
      </c>
      <c r="AB428" s="185">
        <f t="shared" ca="1" si="305"/>
        <v>575478.81197023077</v>
      </c>
      <c r="AC428" s="185">
        <f t="shared" ca="1" si="305"/>
        <v>586986.41289903538</v>
      </c>
      <c r="AD428" s="185">
        <f t="shared" ca="1" si="305"/>
        <v>598734.53360396915</v>
      </c>
      <c r="AE428" s="185">
        <f t="shared" ca="1" si="305"/>
        <v>610716.95705560187</v>
      </c>
      <c r="AF428" s="185">
        <f t="shared" ca="1" si="305"/>
        <v>622941.99566064728</v>
      </c>
      <c r="AG428" s="185">
        <f t="shared" ca="1" si="305"/>
        <v>635418.28704347613</v>
      </c>
      <c r="AH428" s="185">
        <f t="shared" ca="1" si="305"/>
        <v>648140.06658895721</v>
      </c>
      <c r="AI428" s="185">
        <f t="shared" ca="1" si="305"/>
        <v>661120.9828815147</v>
      </c>
      <c r="AJ428" s="185">
        <f t="shared" ca="1" si="305"/>
        <v>674364.57401920878</v>
      </c>
      <c r="AK428" s="185">
        <f t="shared" ca="1" si="305"/>
        <v>687874.99999015033</v>
      </c>
      <c r="AL428" s="185">
        <f t="shared" si="305"/>
        <v>0</v>
      </c>
      <c r="AM428" s="185">
        <f t="shared" si="305"/>
        <v>0</v>
      </c>
      <c r="AN428" s="185">
        <f t="shared" si="305"/>
        <v>0</v>
      </c>
      <c r="AO428" s="185">
        <f t="shared" si="305"/>
        <v>0</v>
      </c>
      <c r="AP428" s="185">
        <f t="shared" si="305"/>
        <v>0</v>
      </c>
      <c r="AQ428" s="185">
        <f t="shared" si="305"/>
        <v>0</v>
      </c>
      <c r="AR428" s="185">
        <f t="shared" si="305"/>
        <v>0</v>
      </c>
      <c r="AS428" s="185">
        <f t="shared" si="305"/>
        <v>0</v>
      </c>
      <c r="AT428" s="185">
        <f t="shared" si="305"/>
        <v>0</v>
      </c>
      <c r="AU428" s="185">
        <f t="shared" si="305"/>
        <v>0</v>
      </c>
    </row>
    <row r="429" spans="1:47">
      <c r="E429" s="36"/>
      <c r="G429" s="39"/>
      <c r="H429" s="39"/>
      <c r="I429" s="39"/>
      <c r="J429" s="39"/>
      <c r="K429" s="39"/>
    </row>
    <row r="430" spans="1:47">
      <c r="E430" s="327"/>
      <c r="F430" s="28"/>
      <c r="G430" s="324" t="str">
        <f>C432&amp;" Capital Costs"</f>
        <v>Sitework Capital Costs</v>
      </c>
      <c r="H430" s="324"/>
      <c r="I430" s="324"/>
      <c r="J430" s="324"/>
      <c r="K430" s="324"/>
      <c r="L430" s="405" t="s">
        <v>79</v>
      </c>
      <c r="M430" s="256"/>
      <c r="N430" s="325" t="s">
        <v>490</v>
      </c>
      <c r="O430" s="311"/>
      <c r="P430" s="325" t="s">
        <v>491</v>
      </c>
      <c r="Q430" s="310"/>
      <c r="R430" s="325">
        <f>R$8</f>
        <v>2014</v>
      </c>
      <c r="S430" s="325">
        <f t="shared" ref="S430:AU430" si="306">S$8</f>
        <v>2015</v>
      </c>
      <c r="T430" s="325">
        <f t="shared" si="306"/>
        <v>2016</v>
      </c>
      <c r="U430" s="325">
        <f t="shared" si="306"/>
        <v>2017</v>
      </c>
      <c r="V430" s="325">
        <f t="shared" si="306"/>
        <v>2018</v>
      </c>
      <c r="W430" s="325">
        <f t="shared" si="306"/>
        <v>2019</v>
      </c>
      <c r="X430" s="325">
        <f t="shared" si="306"/>
        <v>2020</v>
      </c>
      <c r="Y430" s="325">
        <f t="shared" si="306"/>
        <v>2021</v>
      </c>
      <c r="Z430" s="325">
        <f t="shared" si="306"/>
        <v>2022</v>
      </c>
      <c r="AA430" s="325">
        <f t="shared" si="306"/>
        <v>2023</v>
      </c>
      <c r="AB430" s="325">
        <f t="shared" si="306"/>
        <v>2024</v>
      </c>
      <c r="AC430" s="325">
        <f t="shared" si="306"/>
        <v>2025</v>
      </c>
      <c r="AD430" s="325">
        <f t="shared" si="306"/>
        <v>2026</v>
      </c>
      <c r="AE430" s="325">
        <f t="shared" si="306"/>
        <v>2027</v>
      </c>
      <c r="AF430" s="325">
        <f t="shared" si="306"/>
        <v>2028</v>
      </c>
      <c r="AG430" s="325">
        <f t="shared" si="306"/>
        <v>2029</v>
      </c>
      <c r="AH430" s="325">
        <f t="shared" si="306"/>
        <v>2030</v>
      </c>
      <c r="AI430" s="325">
        <f t="shared" si="306"/>
        <v>2031</v>
      </c>
      <c r="AJ430" s="325">
        <f t="shared" si="306"/>
        <v>2032</v>
      </c>
      <c r="AK430" s="325">
        <f t="shared" si="306"/>
        <v>2033</v>
      </c>
      <c r="AL430" s="325">
        <f t="shared" si="306"/>
        <v>2034</v>
      </c>
      <c r="AM430" s="325">
        <f t="shared" si="306"/>
        <v>2035</v>
      </c>
      <c r="AN430" s="325">
        <f t="shared" si="306"/>
        <v>2036</v>
      </c>
      <c r="AO430" s="325">
        <f t="shared" si="306"/>
        <v>2037</v>
      </c>
      <c r="AP430" s="325">
        <f t="shared" si="306"/>
        <v>2038</v>
      </c>
      <c r="AQ430" s="325">
        <f t="shared" si="306"/>
        <v>2039</v>
      </c>
      <c r="AR430" s="325">
        <f t="shared" si="306"/>
        <v>2040</v>
      </c>
      <c r="AS430" s="325">
        <f t="shared" si="306"/>
        <v>2041</v>
      </c>
      <c r="AT430" s="325">
        <f t="shared" si="306"/>
        <v>2042</v>
      </c>
      <c r="AU430" s="325">
        <f t="shared" si="306"/>
        <v>2043</v>
      </c>
    </row>
    <row r="431" spans="1:47">
      <c r="E431" s="325"/>
      <c r="G431" s="39"/>
      <c r="H431" s="39"/>
      <c r="I431" s="39"/>
      <c r="J431" s="39"/>
      <c r="K431" s="39"/>
    </row>
    <row r="432" spans="1:47">
      <c r="A432" s="38" t="str">
        <f>$J$4&amp;"-"</f>
        <v>1Y-</v>
      </c>
      <c r="B432" s="38" t="s">
        <v>306</v>
      </c>
      <c r="C432" s="38" t="s">
        <v>113</v>
      </c>
      <c r="D432" s="186">
        <f>CapExEsc</f>
        <v>0.03</v>
      </c>
      <c r="E432" s="325"/>
      <c r="G432" s="36" t="s">
        <v>8</v>
      </c>
      <c r="H432" s="39"/>
      <c r="I432" s="39"/>
      <c r="J432" s="70"/>
      <c r="K432" s="39"/>
      <c r="L432" s="43" t="str">
        <f>"["&amp;CostBaseYr&amp;" $]"</f>
        <v>[2013 $]</v>
      </c>
      <c r="N432" s="52">
        <f ca="1">SUMIFS(OFFSET(Assumptions!$I$65,0,MATCH($A432,Configurations,0)-1,COUNT(Assumptions!$A$65:$A$84),1),Assumptions!$E$65:$E$84,$C432)</f>
        <v>1094000</v>
      </c>
      <c r="O432" s="52"/>
      <c r="P432" s="322"/>
      <c r="Q432" s="52"/>
      <c r="R432" s="52">
        <f t="shared" ref="R432:AU432" ca="1" si="307">R433*IF($P432=0,$N432,$P432)*(1+$D432)^(R$8-CostBaseYr)</f>
        <v>1126820</v>
      </c>
      <c r="S432" s="52">
        <f t="shared" ca="1" si="307"/>
        <v>0</v>
      </c>
      <c r="T432" s="52">
        <f t="shared" ca="1" si="307"/>
        <v>0</v>
      </c>
      <c r="U432" s="52">
        <f t="shared" ca="1" si="307"/>
        <v>0</v>
      </c>
      <c r="V432" s="52">
        <f t="shared" ca="1" si="307"/>
        <v>0</v>
      </c>
      <c r="W432" s="52">
        <f t="shared" ca="1" si="307"/>
        <v>0</v>
      </c>
      <c r="X432" s="52">
        <f t="shared" ca="1" si="307"/>
        <v>0</v>
      </c>
      <c r="Y432" s="52">
        <f t="shared" ca="1" si="307"/>
        <v>0</v>
      </c>
      <c r="Z432" s="52">
        <f t="shared" ca="1" si="307"/>
        <v>0</v>
      </c>
      <c r="AA432" s="52">
        <f t="shared" ca="1" si="307"/>
        <v>0</v>
      </c>
      <c r="AB432" s="52">
        <f t="shared" ca="1" si="307"/>
        <v>0</v>
      </c>
      <c r="AC432" s="52">
        <f t="shared" ca="1" si="307"/>
        <v>0</v>
      </c>
      <c r="AD432" s="52">
        <f t="shared" ca="1" si="307"/>
        <v>0</v>
      </c>
      <c r="AE432" s="52">
        <f t="shared" ca="1" si="307"/>
        <v>0</v>
      </c>
      <c r="AF432" s="52">
        <f t="shared" ca="1" si="307"/>
        <v>0</v>
      </c>
      <c r="AG432" s="52">
        <f t="shared" ca="1" si="307"/>
        <v>0</v>
      </c>
      <c r="AH432" s="52">
        <f t="shared" ca="1" si="307"/>
        <v>0</v>
      </c>
      <c r="AI432" s="52">
        <f t="shared" ca="1" si="307"/>
        <v>0</v>
      </c>
      <c r="AJ432" s="52">
        <f t="shared" ca="1" si="307"/>
        <v>0</v>
      </c>
      <c r="AK432" s="52">
        <f t="shared" ca="1" si="307"/>
        <v>0</v>
      </c>
      <c r="AL432" s="52">
        <f t="shared" ca="1" si="307"/>
        <v>0</v>
      </c>
      <c r="AM432" s="52">
        <f t="shared" ca="1" si="307"/>
        <v>0</v>
      </c>
      <c r="AN432" s="52">
        <f t="shared" ca="1" si="307"/>
        <v>0</v>
      </c>
      <c r="AO432" s="52">
        <f t="shared" ca="1" si="307"/>
        <v>0</v>
      </c>
      <c r="AP432" s="52">
        <f t="shared" ca="1" si="307"/>
        <v>0</v>
      </c>
      <c r="AQ432" s="52">
        <f t="shared" ca="1" si="307"/>
        <v>0</v>
      </c>
      <c r="AR432" s="52">
        <f t="shared" ca="1" si="307"/>
        <v>0</v>
      </c>
      <c r="AS432" s="52">
        <f t="shared" ca="1" si="307"/>
        <v>0</v>
      </c>
      <c r="AT432" s="52">
        <f t="shared" ca="1" si="307"/>
        <v>0</v>
      </c>
      <c r="AU432" s="52">
        <f t="shared" ca="1" si="307"/>
        <v>0</v>
      </c>
    </row>
    <row r="433" spans="1:47">
      <c r="E433" s="325"/>
      <c r="G433" s="36" t="s">
        <v>10</v>
      </c>
      <c r="H433" s="39"/>
      <c r="I433" s="39"/>
      <c r="J433" s="39"/>
      <c r="K433" s="39"/>
      <c r="L433" s="43"/>
      <c r="R433" s="54">
        <f>Assumptions!M$60</f>
        <v>1</v>
      </c>
      <c r="S433" s="54">
        <f>Assumptions!N$60</f>
        <v>0</v>
      </c>
      <c r="T433" s="54">
        <f>Assumptions!O$60</f>
        <v>0</v>
      </c>
      <c r="U433" s="54">
        <f>Assumptions!P$60</f>
        <v>0</v>
      </c>
      <c r="V433" s="54">
        <f>Assumptions!Q$60</f>
        <v>0</v>
      </c>
      <c r="W433" s="54">
        <f>Assumptions!R$60</f>
        <v>0</v>
      </c>
      <c r="X433" s="54">
        <f>Assumptions!S$60</f>
        <v>0</v>
      </c>
      <c r="Y433" s="54">
        <f>Assumptions!T$60</f>
        <v>0</v>
      </c>
      <c r="Z433" s="54">
        <f>Assumptions!U$60</f>
        <v>0</v>
      </c>
      <c r="AA433" s="54">
        <f>Assumptions!V$60</f>
        <v>0</v>
      </c>
      <c r="AB433" s="54">
        <f>Assumptions!W$60</f>
        <v>0</v>
      </c>
      <c r="AC433" s="54">
        <f>Assumptions!X$60</f>
        <v>0</v>
      </c>
      <c r="AD433" s="54">
        <f>Assumptions!Y$60</f>
        <v>0</v>
      </c>
      <c r="AE433" s="54">
        <f>Assumptions!Z$60</f>
        <v>0</v>
      </c>
      <c r="AF433" s="54">
        <f>Assumptions!AA$60</f>
        <v>0</v>
      </c>
      <c r="AG433" s="54">
        <f>Assumptions!AB$60</f>
        <v>0</v>
      </c>
      <c r="AH433" s="54">
        <f>Assumptions!AC$60</f>
        <v>0</v>
      </c>
      <c r="AI433" s="54">
        <f>Assumptions!AD$60</f>
        <v>0</v>
      </c>
      <c r="AJ433" s="54">
        <f>Assumptions!AE$60</f>
        <v>0</v>
      </c>
      <c r="AK433" s="54">
        <f>Assumptions!AF$60</f>
        <v>0</v>
      </c>
      <c r="AL433" s="54">
        <f>Assumptions!AG$60</f>
        <v>0</v>
      </c>
      <c r="AM433" s="54">
        <f>Assumptions!AH$60</f>
        <v>0</v>
      </c>
      <c r="AN433" s="54">
        <f>Assumptions!AI$60</f>
        <v>0</v>
      </c>
      <c r="AO433" s="54">
        <f>Assumptions!AJ$60</f>
        <v>0</v>
      </c>
      <c r="AP433" s="54">
        <f>Assumptions!AK$60</f>
        <v>0</v>
      </c>
      <c r="AQ433" s="54">
        <f>Assumptions!AL$60</f>
        <v>0</v>
      </c>
      <c r="AR433" s="54">
        <f>Assumptions!AM$60</f>
        <v>0</v>
      </c>
      <c r="AS433" s="54">
        <f>Assumptions!AN$60</f>
        <v>0</v>
      </c>
      <c r="AT433" s="54">
        <f>Assumptions!AO$60</f>
        <v>0</v>
      </c>
      <c r="AU433" s="54">
        <f>Assumptions!AP$60</f>
        <v>0</v>
      </c>
    </row>
    <row r="434" spans="1:47">
      <c r="E434" s="36"/>
      <c r="G434" s="39"/>
      <c r="H434" s="39"/>
      <c r="I434" s="39"/>
      <c r="J434" s="39"/>
      <c r="K434" s="39"/>
    </row>
    <row r="435" spans="1:47">
      <c r="E435" s="327"/>
      <c r="F435" s="28"/>
      <c r="G435" s="324" t="str">
        <f>C437&amp;" Capital Costs"</f>
        <v>General Requirements Capital Costs</v>
      </c>
      <c r="H435" s="324"/>
      <c r="I435" s="324"/>
      <c r="J435" s="324"/>
      <c r="K435" s="324"/>
      <c r="L435" s="405" t="s">
        <v>79</v>
      </c>
      <c r="M435" s="256"/>
      <c r="N435" s="325" t="s">
        <v>490</v>
      </c>
      <c r="O435" s="311"/>
      <c r="P435" s="325" t="s">
        <v>491</v>
      </c>
      <c r="Q435" s="310"/>
      <c r="R435" s="325">
        <f>R$8</f>
        <v>2014</v>
      </c>
      <c r="S435" s="325">
        <f t="shared" ref="S435:AU435" si="308">S$8</f>
        <v>2015</v>
      </c>
      <c r="T435" s="325">
        <f t="shared" si="308"/>
        <v>2016</v>
      </c>
      <c r="U435" s="325">
        <f t="shared" si="308"/>
        <v>2017</v>
      </c>
      <c r="V435" s="325">
        <f t="shared" si="308"/>
        <v>2018</v>
      </c>
      <c r="W435" s="325">
        <f t="shared" si="308"/>
        <v>2019</v>
      </c>
      <c r="X435" s="325">
        <f t="shared" si="308"/>
        <v>2020</v>
      </c>
      <c r="Y435" s="325">
        <f t="shared" si="308"/>
        <v>2021</v>
      </c>
      <c r="Z435" s="325">
        <f t="shared" si="308"/>
        <v>2022</v>
      </c>
      <c r="AA435" s="325">
        <f t="shared" si="308"/>
        <v>2023</v>
      </c>
      <c r="AB435" s="325">
        <f t="shared" si="308"/>
        <v>2024</v>
      </c>
      <c r="AC435" s="325">
        <f t="shared" si="308"/>
        <v>2025</v>
      </c>
      <c r="AD435" s="325">
        <f t="shared" si="308"/>
        <v>2026</v>
      </c>
      <c r="AE435" s="325">
        <f t="shared" si="308"/>
        <v>2027</v>
      </c>
      <c r="AF435" s="325">
        <f t="shared" si="308"/>
        <v>2028</v>
      </c>
      <c r="AG435" s="325">
        <f t="shared" si="308"/>
        <v>2029</v>
      </c>
      <c r="AH435" s="325">
        <f t="shared" si="308"/>
        <v>2030</v>
      </c>
      <c r="AI435" s="325">
        <f t="shared" si="308"/>
        <v>2031</v>
      </c>
      <c r="AJ435" s="325">
        <f t="shared" si="308"/>
        <v>2032</v>
      </c>
      <c r="AK435" s="325">
        <f t="shared" si="308"/>
        <v>2033</v>
      </c>
      <c r="AL435" s="325">
        <f t="shared" si="308"/>
        <v>2034</v>
      </c>
      <c r="AM435" s="325">
        <f t="shared" si="308"/>
        <v>2035</v>
      </c>
      <c r="AN435" s="325">
        <f t="shared" si="308"/>
        <v>2036</v>
      </c>
      <c r="AO435" s="325">
        <f t="shared" si="308"/>
        <v>2037</v>
      </c>
      <c r="AP435" s="325">
        <f t="shared" si="308"/>
        <v>2038</v>
      </c>
      <c r="AQ435" s="325">
        <f t="shared" si="308"/>
        <v>2039</v>
      </c>
      <c r="AR435" s="325">
        <f t="shared" si="308"/>
        <v>2040</v>
      </c>
      <c r="AS435" s="325">
        <f t="shared" si="308"/>
        <v>2041</v>
      </c>
      <c r="AT435" s="325">
        <f t="shared" si="308"/>
        <v>2042</v>
      </c>
      <c r="AU435" s="325">
        <f t="shared" si="308"/>
        <v>2043</v>
      </c>
    </row>
    <row r="436" spans="1:47">
      <c r="E436" s="325"/>
      <c r="G436" s="39"/>
      <c r="H436" s="39"/>
      <c r="I436" s="39"/>
      <c r="J436" s="39"/>
      <c r="K436" s="39"/>
    </row>
    <row r="437" spans="1:47">
      <c r="A437" s="38" t="str">
        <f>$J$4&amp;"-"</f>
        <v>1Y-</v>
      </c>
      <c r="B437" s="38" t="s">
        <v>306</v>
      </c>
      <c r="C437" s="38" t="s">
        <v>115</v>
      </c>
      <c r="D437" s="186">
        <f>CapExEsc</f>
        <v>0.03</v>
      </c>
      <c r="E437" s="325"/>
      <c r="G437" s="36" t="s">
        <v>8</v>
      </c>
      <c r="H437" s="39"/>
      <c r="I437" s="39"/>
      <c r="J437" s="70"/>
      <c r="K437" s="39"/>
      <c r="L437" s="43" t="str">
        <f>"["&amp;CostBaseYr&amp;" $]"</f>
        <v>[2013 $]</v>
      </c>
      <c r="N437" s="52">
        <f ca="1">SUMIFS(OFFSET(Assumptions!$I$65,0,MATCH($A437,Configurations,0)-1,COUNT(Assumptions!$A$65:$A$84),1),Assumptions!$E$65:$E$84,$C437)</f>
        <v>2189000</v>
      </c>
      <c r="O437" s="52"/>
      <c r="P437" s="322"/>
      <c r="Q437" s="52"/>
      <c r="R437" s="52">
        <f t="shared" ref="R437:AU437" ca="1" si="309">R438*IF($P437=0,$N437,$P437)*(1+$D437)^(R$8-CostBaseYr)</f>
        <v>2254670</v>
      </c>
      <c r="S437" s="52">
        <f t="shared" ca="1" si="309"/>
        <v>0</v>
      </c>
      <c r="T437" s="52">
        <f t="shared" ca="1" si="309"/>
        <v>0</v>
      </c>
      <c r="U437" s="52">
        <f t="shared" ca="1" si="309"/>
        <v>0</v>
      </c>
      <c r="V437" s="52">
        <f t="shared" ca="1" si="309"/>
        <v>0</v>
      </c>
      <c r="W437" s="52">
        <f t="shared" ca="1" si="309"/>
        <v>0</v>
      </c>
      <c r="X437" s="52">
        <f t="shared" ca="1" si="309"/>
        <v>0</v>
      </c>
      <c r="Y437" s="52">
        <f t="shared" ca="1" si="309"/>
        <v>0</v>
      </c>
      <c r="Z437" s="52">
        <f t="shared" ca="1" si="309"/>
        <v>0</v>
      </c>
      <c r="AA437" s="52">
        <f t="shared" ca="1" si="309"/>
        <v>0</v>
      </c>
      <c r="AB437" s="52">
        <f t="shared" ca="1" si="309"/>
        <v>0</v>
      </c>
      <c r="AC437" s="52">
        <f t="shared" ca="1" si="309"/>
        <v>0</v>
      </c>
      <c r="AD437" s="52">
        <f t="shared" ca="1" si="309"/>
        <v>0</v>
      </c>
      <c r="AE437" s="52">
        <f t="shared" ca="1" si="309"/>
        <v>0</v>
      </c>
      <c r="AF437" s="52">
        <f t="shared" ca="1" si="309"/>
        <v>0</v>
      </c>
      <c r="AG437" s="52">
        <f t="shared" ca="1" si="309"/>
        <v>0</v>
      </c>
      <c r="AH437" s="52">
        <f t="shared" ca="1" si="309"/>
        <v>0</v>
      </c>
      <c r="AI437" s="52">
        <f t="shared" ca="1" si="309"/>
        <v>0</v>
      </c>
      <c r="AJ437" s="52">
        <f t="shared" ca="1" si="309"/>
        <v>0</v>
      </c>
      <c r="AK437" s="52">
        <f t="shared" ca="1" si="309"/>
        <v>0</v>
      </c>
      <c r="AL437" s="52">
        <f t="shared" ca="1" si="309"/>
        <v>0</v>
      </c>
      <c r="AM437" s="52">
        <f t="shared" ca="1" si="309"/>
        <v>0</v>
      </c>
      <c r="AN437" s="52">
        <f t="shared" ca="1" si="309"/>
        <v>0</v>
      </c>
      <c r="AO437" s="52">
        <f t="shared" ca="1" si="309"/>
        <v>0</v>
      </c>
      <c r="AP437" s="52">
        <f t="shared" ca="1" si="309"/>
        <v>0</v>
      </c>
      <c r="AQ437" s="52">
        <f t="shared" ca="1" si="309"/>
        <v>0</v>
      </c>
      <c r="AR437" s="52">
        <f t="shared" ca="1" si="309"/>
        <v>0</v>
      </c>
      <c r="AS437" s="52">
        <f t="shared" ca="1" si="309"/>
        <v>0</v>
      </c>
      <c r="AT437" s="52">
        <f t="shared" ca="1" si="309"/>
        <v>0</v>
      </c>
      <c r="AU437" s="52">
        <f t="shared" ca="1" si="309"/>
        <v>0</v>
      </c>
    </row>
    <row r="438" spans="1:47">
      <c r="E438" s="325"/>
      <c r="G438" s="36" t="s">
        <v>10</v>
      </c>
      <c r="H438" s="39"/>
      <c r="I438" s="39"/>
      <c r="J438" s="39"/>
      <c r="K438" s="39"/>
      <c r="L438" s="43"/>
      <c r="R438" s="54">
        <f>Assumptions!M$60</f>
        <v>1</v>
      </c>
      <c r="S438" s="54">
        <f>Assumptions!N$60</f>
        <v>0</v>
      </c>
      <c r="T438" s="54">
        <f>Assumptions!O$60</f>
        <v>0</v>
      </c>
      <c r="U438" s="54">
        <f>Assumptions!P$60</f>
        <v>0</v>
      </c>
      <c r="V438" s="54">
        <f>Assumptions!Q$60</f>
        <v>0</v>
      </c>
      <c r="W438" s="54">
        <f>Assumptions!R$60</f>
        <v>0</v>
      </c>
      <c r="X438" s="54">
        <f>Assumptions!S$60</f>
        <v>0</v>
      </c>
      <c r="Y438" s="54">
        <f>Assumptions!T$60</f>
        <v>0</v>
      </c>
      <c r="Z438" s="54">
        <f>Assumptions!U$60</f>
        <v>0</v>
      </c>
      <c r="AA438" s="54">
        <f>Assumptions!V$60</f>
        <v>0</v>
      </c>
      <c r="AB438" s="54">
        <f>Assumptions!W$60</f>
        <v>0</v>
      </c>
      <c r="AC438" s="54">
        <f>Assumptions!X$60</f>
        <v>0</v>
      </c>
      <c r="AD438" s="54">
        <f>Assumptions!Y$60</f>
        <v>0</v>
      </c>
      <c r="AE438" s="54">
        <f>Assumptions!Z$60</f>
        <v>0</v>
      </c>
      <c r="AF438" s="54">
        <f>Assumptions!AA$60</f>
        <v>0</v>
      </c>
      <c r="AG438" s="54">
        <f>Assumptions!AB$60</f>
        <v>0</v>
      </c>
      <c r="AH438" s="54">
        <f>Assumptions!AC$60</f>
        <v>0</v>
      </c>
      <c r="AI438" s="54">
        <f>Assumptions!AD$60</f>
        <v>0</v>
      </c>
      <c r="AJ438" s="54">
        <f>Assumptions!AE$60</f>
        <v>0</v>
      </c>
      <c r="AK438" s="54">
        <f>Assumptions!AF$60</f>
        <v>0</v>
      </c>
      <c r="AL438" s="54">
        <f>Assumptions!AG$60</f>
        <v>0</v>
      </c>
      <c r="AM438" s="54">
        <f>Assumptions!AH$60</f>
        <v>0</v>
      </c>
      <c r="AN438" s="54">
        <f>Assumptions!AI$60</f>
        <v>0</v>
      </c>
      <c r="AO438" s="54">
        <f>Assumptions!AJ$60</f>
        <v>0</v>
      </c>
      <c r="AP438" s="54">
        <f>Assumptions!AK$60</f>
        <v>0</v>
      </c>
      <c r="AQ438" s="54">
        <f>Assumptions!AL$60</f>
        <v>0</v>
      </c>
      <c r="AR438" s="54">
        <f>Assumptions!AM$60</f>
        <v>0</v>
      </c>
      <c r="AS438" s="54">
        <f>Assumptions!AN$60</f>
        <v>0</v>
      </c>
      <c r="AT438" s="54">
        <f>Assumptions!AO$60</f>
        <v>0</v>
      </c>
      <c r="AU438" s="54">
        <f>Assumptions!AP$60</f>
        <v>0</v>
      </c>
    </row>
    <row r="439" spans="1:47">
      <c r="E439" s="36"/>
      <c r="G439" s="39"/>
      <c r="H439" s="39"/>
      <c r="I439" s="39"/>
      <c r="J439" s="39"/>
      <c r="K439" s="39"/>
    </row>
    <row r="440" spans="1:47">
      <c r="E440" s="327"/>
      <c r="F440" s="28"/>
      <c r="G440" s="324" t="str">
        <f>C442&amp;" Capital Costs"</f>
        <v>Contingencies Capital Costs</v>
      </c>
      <c r="H440" s="324"/>
      <c r="I440" s="324"/>
      <c r="J440" s="324"/>
      <c r="K440" s="324"/>
      <c r="L440" s="405" t="s">
        <v>79</v>
      </c>
      <c r="M440" s="256"/>
      <c r="N440" s="325" t="s">
        <v>490</v>
      </c>
      <c r="O440" s="311"/>
      <c r="P440" s="325" t="s">
        <v>491</v>
      </c>
      <c r="Q440" s="310"/>
      <c r="R440" s="325">
        <f>R$8</f>
        <v>2014</v>
      </c>
      <c r="S440" s="325">
        <f t="shared" ref="S440:AU440" si="310">S$8</f>
        <v>2015</v>
      </c>
      <c r="T440" s="325">
        <f t="shared" si="310"/>
        <v>2016</v>
      </c>
      <c r="U440" s="325">
        <f t="shared" si="310"/>
        <v>2017</v>
      </c>
      <c r="V440" s="325">
        <f t="shared" si="310"/>
        <v>2018</v>
      </c>
      <c r="W440" s="325">
        <f t="shared" si="310"/>
        <v>2019</v>
      </c>
      <c r="X440" s="325">
        <f t="shared" si="310"/>
        <v>2020</v>
      </c>
      <c r="Y440" s="325">
        <f t="shared" si="310"/>
        <v>2021</v>
      </c>
      <c r="Z440" s="325">
        <f t="shared" si="310"/>
        <v>2022</v>
      </c>
      <c r="AA440" s="325">
        <f t="shared" si="310"/>
        <v>2023</v>
      </c>
      <c r="AB440" s="325">
        <f t="shared" si="310"/>
        <v>2024</v>
      </c>
      <c r="AC440" s="325">
        <f t="shared" si="310"/>
        <v>2025</v>
      </c>
      <c r="AD440" s="325">
        <f t="shared" si="310"/>
        <v>2026</v>
      </c>
      <c r="AE440" s="325">
        <f t="shared" si="310"/>
        <v>2027</v>
      </c>
      <c r="AF440" s="325">
        <f t="shared" si="310"/>
        <v>2028</v>
      </c>
      <c r="AG440" s="325">
        <f t="shared" si="310"/>
        <v>2029</v>
      </c>
      <c r="AH440" s="325">
        <f t="shared" si="310"/>
        <v>2030</v>
      </c>
      <c r="AI440" s="325">
        <f t="shared" si="310"/>
        <v>2031</v>
      </c>
      <c r="AJ440" s="325">
        <f t="shared" si="310"/>
        <v>2032</v>
      </c>
      <c r="AK440" s="325">
        <f t="shared" si="310"/>
        <v>2033</v>
      </c>
      <c r="AL440" s="325">
        <f t="shared" si="310"/>
        <v>2034</v>
      </c>
      <c r="AM440" s="325">
        <f t="shared" si="310"/>
        <v>2035</v>
      </c>
      <c r="AN440" s="325">
        <f t="shared" si="310"/>
        <v>2036</v>
      </c>
      <c r="AO440" s="325">
        <f t="shared" si="310"/>
        <v>2037</v>
      </c>
      <c r="AP440" s="325">
        <f t="shared" si="310"/>
        <v>2038</v>
      </c>
      <c r="AQ440" s="325">
        <f t="shared" si="310"/>
        <v>2039</v>
      </c>
      <c r="AR440" s="325">
        <f t="shared" si="310"/>
        <v>2040</v>
      </c>
      <c r="AS440" s="325">
        <f t="shared" si="310"/>
        <v>2041</v>
      </c>
      <c r="AT440" s="325">
        <f t="shared" si="310"/>
        <v>2042</v>
      </c>
      <c r="AU440" s="325">
        <f t="shared" si="310"/>
        <v>2043</v>
      </c>
    </row>
    <row r="441" spans="1:47">
      <c r="E441" s="325"/>
      <c r="G441" s="39"/>
      <c r="H441" s="39"/>
      <c r="I441" s="39"/>
      <c r="J441" s="39"/>
      <c r="K441" s="39"/>
    </row>
    <row r="442" spans="1:47">
      <c r="A442" s="38" t="str">
        <f>$J$4&amp;"-"</f>
        <v>1Y-</v>
      </c>
      <c r="B442" s="38" t="s">
        <v>306</v>
      </c>
      <c r="C442" s="38" t="s">
        <v>146</v>
      </c>
      <c r="D442" s="186">
        <f>CapExEsc</f>
        <v>0.03</v>
      </c>
      <c r="E442" s="325"/>
      <c r="G442" s="36" t="s">
        <v>8</v>
      </c>
      <c r="H442" s="39"/>
      <c r="I442" s="39"/>
      <c r="J442" s="70"/>
      <c r="K442" s="39"/>
      <c r="L442" s="43" t="str">
        <f>"["&amp;CostBaseYr&amp;" $]"</f>
        <v>[2013 $]</v>
      </c>
      <c r="N442" s="52">
        <f ca="1">SUMIFS(OFFSET(Assumptions!$I$65,0,MATCH($A442,Configurations,0)-1,COUNT(Assumptions!$A$65:$A$84),1),Assumptions!$E$65:$E$84,$C442)</f>
        <v>7551000</v>
      </c>
      <c r="O442" s="52"/>
      <c r="P442" s="322"/>
      <c r="Q442" s="52"/>
      <c r="R442" s="52">
        <f t="shared" ref="R442:AU442" ca="1" si="311">R443*IF($P442=0,$N442,$P442)*(1+$D442)^(R$8-CostBaseYr)</f>
        <v>7777530</v>
      </c>
      <c r="S442" s="52">
        <f t="shared" ca="1" si="311"/>
        <v>0</v>
      </c>
      <c r="T442" s="52">
        <f t="shared" ca="1" si="311"/>
        <v>0</v>
      </c>
      <c r="U442" s="52">
        <f t="shared" ca="1" si="311"/>
        <v>0</v>
      </c>
      <c r="V442" s="52">
        <f t="shared" ca="1" si="311"/>
        <v>0</v>
      </c>
      <c r="W442" s="52">
        <f t="shared" ca="1" si="311"/>
        <v>0</v>
      </c>
      <c r="X442" s="52">
        <f t="shared" ca="1" si="311"/>
        <v>0</v>
      </c>
      <c r="Y442" s="52">
        <f t="shared" ca="1" si="311"/>
        <v>0</v>
      </c>
      <c r="Z442" s="52">
        <f t="shared" ca="1" si="311"/>
        <v>0</v>
      </c>
      <c r="AA442" s="52">
        <f t="shared" ca="1" si="311"/>
        <v>0</v>
      </c>
      <c r="AB442" s="52">
        <f t="shared" ca="1" si="311"/>
        <v>0</v>
      </c>
      <c r="AC442" s="52">
        <f t="shared" ca="1" si="311"/>
        <v>0</v>
      </c>
      <c r="AD442" s="52">
        <f t="shared" ca="1" si="311"/>
        <v>0</v>
      </c>
      <c r="AE442" s="52">
        <f t="shared" ca="1" si="311"/>
        <v>0</v>
      </c>
      <c r="AF442" s="52">
        <f t="shared" ca="1" si="311"/>
        <v>0</v>
      </c>
      <c r="AG442" s="52">
        <f t="shared" ca="1" si="311"/>
        <v>0</v>
      </c>
      <c r="AH442" s="52">
        <f t="shared" ca="1" si="311"/>
        <v>0</v>
      </c>
      <c r="AI442" s="52">
        <f t="shared" ca="1" si="311"/>
        <v>0</v>
      </c>
      <c r="AJ442" s="52">
        <f t="shared" ca="1" si="311"/>
        <v>0</v>
      </c>
      <c r="AK442" s="52">
        <f t="shared" ca="1" si="311"/>
        <v>0</v>
      </c>
      <c r="AL442" s="52">
        <f t="shared" ca="1" si="311"/>
        <v>0</v>
      </c>
      <c r="AM442" s="52">
        <f t="shared" ca="1" si="311"/>
        <v>0</v>
      </c>
      <c r="AN442" s="52">
        <f t="shared" ca="1" si="311"/>
        <v>0</v>
      </c>
      <c r="AO442" s="52">
        <f t="shared" ca="1" si="311"/>
        <v>0</v>
      </c>
      <c r="AP442" s="52">
        <f t="shared" ca="1" si="311"/>
        <v>0</v>
      </c>
      <c r="AQ442" s="52">
        <f t="shared" ca="1" si="311"/>
        <v>0</v>
      </c>
      <c r="AR442" s="52">
        <f t="shared" ca="1" si="311"/>
        <v>0</v>
      </c>
      <c r="AS442" s="52">
        <f t="shared" ca="1" si="311"/>
        <v>0</v>
      </c>
      <c r="AT442" s="52">
        <f t="shared" ca="1" si="311"/>
        <v>0</v>
      </c>
      <c r="AU442" s="52">
        <f t="shared" ca="1" si="311"/>
        <v>0</v>
      </c>
    </row>
    <row r="443" spans="1:47">
      <c r="E443" s="325"/>
      <c r="G443" s="36" t="s">
        <v>10</v>
      </c>
      <c r="H443" s="39"/>
      <c r="I443" s="39"/>
      <c r="J443" s="39"/>
      <c r="K443" s="39"/>
      <c r="L443" s="43"/>
      <c r="R443" s="54">
        <f>Assumptions!M$60</f>
        <v>1</v>
      </c>
      <c r="S443" s="54">
        <f>Assumptions!N$60</f>
        <v>0</v>
      </c>
      <c r="T443" s="54">
        <f>Assumptions!O$60</f>
        <v>0</v>
      </c>
      <c r="U443" s="54">
        <f>Assumptions!P$60</f>
        <v>0</v>
      </c>
      <c r="V443" s="54">
        <f>Assumptions!Q$60</f>
        <v>0</v>
      </c>
      <c r="W443" s="54">
        <f>Assumptions!R$60</f>
        <v>0</v>
      </c>
      <c r="X443" s="54">
        <f>Assumptions!S$60</f>
        <v>0</v>
      </c>
      <c r="Y443" s="54">
        <f>Assumptions!T$60</f>
        <v>0</v>
      </c>
      <c r="Z443" s="54">
        <f>Assumptions!U$60</f>
        <v>0</v>
      </c>
      <c r="AA443" s="54">
        <f>Assumptions!V$60</f>
        <v>0</v>
      </c>
      <c r="AB443" s="54">
        <f>Assumptions!W$60</f>
        <v>0</v>
      </c>
      <c r="AC443" s="54">
        <f>Assumptions!X$60</f>
        <v>0</v>
      </c>
      <c r="AD443" s="54">
        <f>Assumptions!Y$60</f>
        <v>0</v>
      </c>
      <c r="AE443" s="54">
        <f>Assumptions!Z$60</f>
        <v>0</v>
      </c>
      <c r="AF443" s="54">
        <f>Assumptions!AA$60</f>
        <v>0</v>
      </c>
      <c r="AG443" s="54">
        <f>Assumptions!AB$60</f>
        <v>0</v>
      </c>
      <c r="AH443" s="54">
        <f>Assumptions!AC$60</f>
        <v>0</v>
      </c>
      <c r="AI443" s="54">
        <f>Assumptions!AD$60</f>
        <v>0</v>
      </c>
      <c r="AJ443" s="54">
        <f>Assumptions!AE$60</f>
        <v>0</v>
      </c>
      <c r="AK443" s="54">
        <f>Assumptions!AF$60</f>
        <v>0</v>
      </c>
      <c r="AL443" s="54">
        <f>Assumptions!AG$60</f>
        <v>0</v>
      </c>
      <c r="AM443" s="54">
        <f>Assumptions!AH$60</f>
        <v>0</v>
      </c>
      <c r="AN443" s="54">
        <f>Assumptions!AI$60</f>
        <v>0</v>
      </c>
      <c r="AO443" s="54">
        <f>Assumptions!AJ$60</f>
        <v>0</v>
      </c>
      <c r="AP443" s="54">
        <f>Assumptions!AK$60</f>
        <v>0</v>
      </c>
      <c r="AQ443" s="54">
        <f>Assumptions!AL$60</f>
        <v>0</v>
      </c>
      <c r="AR443" s="54">
        <f>Assumptions!AM$60</f>
        <v>0</v>
      </c>
      <c r="AS443" s="54">
        <f>Assumptions!AN$60</f>
        <v>0</v>
      </c>
      <c r="AT443" s="54">
        <f>Assumptions!AO$60</f>
        <v>0</v>
      </c>
      <c r="AU443" s="54">
        <f>Assumptions!AP$60</f>
        <v>0</v>
      </c>
    </row>
    <row r="444" spans="1:47">
      <c r="E444" s="36"/>
      <c r="G444" s="39"/>
      <c r="H444" s="39"/>
      <c r="I444" s="39"/>
      <c r="J444" s="39"/>
      <c r="K444" s="39"/>
    </row>
    <row r="445" spans="1:47">
      <c r="E445" s="327"/>
      <c r="F445" s="28"/>
      <c r="G445" s="324" t="str">
        <f>C447&amp;" Capital Costs"</f>
        <v>Engineering, Legal &amp; Admin Capital Costs</v>
      </c>
      <c r="H445" s="324"/>
      <c r="I445" s="324"/>
      <c r="J445" s="324"/>
      <c r="K445" s="324"/>
      <c r="L445" s="405" t="s">
        <v>79</v>
      </c>
      <c r="M445" s="256"/>
      <c r="N445" s="325" t="s">
        <v>490</v>
      </c>
      <c r="O445" s="311"/>
      <c r="P445" s="325" t="s">
        <v>491</v>
      </c>
      <c r="Q445" s="310"/>
      <c r="R445" s="325">
        <f>R$8</f>
        <v>2014</v>
      </c>
      <c r="S445" s="325">
        <f t="shared" ref="S445:AU445" si="312">S$8</f>
        <v>2015</v>
      </c>
      <c r="T445" s="325">
        <f t="shared" si="312"/>
        <v>2016</v>
      </c>
      <c r="U445" s="325">
        <f t="shared" si="312"/>
        <v>2017</v>
      </c>
      <c r="V445" s="325">
        <f t="shared" si="312"/>
        <v>2018</v>
      </c>
      <c r="W445" s="325">
        <f t="shared" si="312"/>
        <v>2019</v>
      </c>
      <c r="X445" s="325">
        <f t="shared" si="312"/>
        <v>2020</v>
      </c>
      <c r="Y445" s="325">
        <f t="shared" si="312"/>
        <v>2021</v>
      </c>
      <c r="Z445" s="325">
        <f t="shared" si="312"/>
        <v>2022</v>
      </c>
      <c r="AA445" s="325">
        <f t="shared" si="312"/>
        <v>2023</v>
      </c>
      <c r="AB445" s="325">
        <f t="shared" si="312"/>
        <v>2024</v>
      </c>
      <c r="AC445" s="325">
        <f t="shared" si="312"/>
        <v>2025</v>
      </c>
      <c r="AD445" s="325">
        <f t="shared" si="312"/>
        <v>2026</v>
      </c>
      <c r="AE445" s="325">
        <f t="shared" si="312"/>
        <v>2027</v>
      </c>
      <c r="AF445" s="325">
        <f t="shared" si="312"/>
        <v>2028</v>
      </c>
      <c r="AG445" s="325">
        <f t="shared" si="312"/>
        <v>2029</v>
      </c>
      <c r="AH445" s="325">
        <f t="shared" si="312"/>
        <v>2030</v>
      </c>
      <c r="AI445" s="325">
        <f t="shared" si="312"/>
        <v>2031</v>
      </c>
      <c r="AJ445" s="325">
        <f t="shared" si="312"/>
        <v>2032</v>
      </c>
      <c r="AK445" s="325">
        <f t="shared" si="312"/>
        <v>2033</v>
      </c>
      <c r="AL445" s="325">
        <f t="shared" si="312"/>
        <v>2034</v>
      </c>
      <c r="AM445" s="325">
        <f t="shared" si="312"/>
        <v>2035</v>
      </c>
      <c r="AN445" s="325">
        <f t="shared" si="312"/>
        <v>2036</v>
      </c>
      <c r="AO445" s="325">
        <f t="shared" si="312"/>
        <v>2037</v>
      </c>
      <c r="AP445" s="325">
        <f t="shared" si="312"/>
        <v>2038</v>
      </c>
      <c r="AQ445" s="325">
        <f t="shared" si="312"/>
        <v>2039</v>
      </c>
      <c r="AR445" s="325">
        <f t="shared" si="312"/>
        <v>2040</v>
      </c>
      <c r="AS445" s="325">
        <f t="shared" si="312"/>
        <v>2041</v>
      </c>
      <c r="AT445" s="325">
        <f t="shared" si="312"/>
        <v>2042</v>
      </c>
      <c r="AU445" s="325">
        <f t="shared" si="312"/>
        <v>2043</v>
      </c>
    </row>
    <row r="446" spans="1:47">
      <c r="E446" s="325"/>
      <c r="G446" s="39"/>
      <c r="H446" s="39"/>
      <c r="I446" s="39"/>
      <c r="J446" s="39"/>
      <c r="K446" s="39"/>
    </row>
    <row r="447" spans="1:47">
      <c r="A447" s="38" t="str">
        <f>$J$4&amp;"-"</f>
        <v>1Y-</v>
      </c>
      <c r="B447" s="38" t="s">
        <v>306</v>
      </c>
      <c r="C447" s="38" t="s">
        <v>147</v>
      </c>
      <c r="D447" s="186">
        <f>CapExEsc</f>
        <v>0.03</v>
      </c>
      <c r="E447" s="325"/>
      <c r="G447" s="36" t="s">
        <v>8</v>
      </c>
      <c r="H447" s="39"/>
      <c r="I447" s="39"/>
      <c r="J447" s="70"/>
      <c r="K447" s="39"/>
      <c r="L447" s="43" t="str">
        <f>"["&amp;CostBaseYr&amp;" $]"</f>
        <v>[2013 $]</v>
      </c>
      <c r="N447" s="52">
        <f ca="1">SUMIFS(OFFSET(Assumptions!$I$65,0,MATCH($A447,Configurations,0)-1,COUNT(Assumptions!$A$65:$A$84),1),Assumptions!$E$65:$E$84,$C447)</f>
        <v>4908000</v>
      </c>
      <c r="O447" s="52"/>
      <c r="P447" s="322"/>
      <c r="Q447" s="52"/>
      <c r="R447" s="52">
        <f t="shared" ref="R447:AU447" ca="1" si="313">R448*IF($P447=0,$N447,$P447)*(1+$D447)^(R$8-CostBaseYr)</f>
        <v>5055240</v>
      </c>
      <c r="S447" s="52">
        <f t="shared" ca="1" si="313"/>
        <v>0</v>
      </c>
      <c r="T447" s="52">
        <f t="shared" ca="1" si="313"/>
        <v>0</v>
      </c>
      <c r="U447" s="52">
        <f t="shared" ca="1" si="313"/>
        <v>0</v>
      </c>
      <c r="V447" s="52">
        <f t="shared" ca="1" si="313"/>
        <v>0</v>
      </c>
      <c r="W447" s="52">
        <f t="shared" ca="1" si="313"/>
        <v>0</v>
      </c>
      <c r="X447" s="52">
        <f t="shared" ca="1" si="313"/>
        <v>0</v>
      </c>
      <c r="Y447" s="52">
        <f t="shared" ca="1" si="313"/>
        <v>0</v>
      </c>
      <c r="Z447" s="52">
        <f t="shared" ca="1" si="313"/>
        <v>0</v>
      </c>
      <c r="AA447" s="52">
        <f t="shared" ca="1" si="313"/>
        <v>0</v>
      </c>
      <c r="AB447" s="52">
        <f t="shared" ca="1" si="313"/>
        <v>0</v>
      </c>
      <c r="AC447" s="52">
        <f t="shared" ca="1" si="313"/>
        <v>0</v>
      </c>
      <c r="AD447" s="52">
        <f t="shared" ca="1" si="313"/>
        <v>0</v>
      </c>
      <c r="AE447" s="52">
        <f t="shared" ca="1" si="313"/>
        <v>0</v>
      </c>
      <c r="AF447" s="52">
        <f t="shared" ca="1" si="313"/>
        <v>0</v>
      </c>
      <c r="AG447" s="52">
        <f t="shared" ca="1" si="313"/>
        <v>0</v>
      </c>
      <c r="AH447" s="52">
        <f t="shared" ca="1" si="313"/>
        <v>0</v>
      </c>
      <c r="AI447" s="52">
        <f t="shared" ca="1" si="313"/>
        <v>0</v>
      </c>
      <c r="AJ447" s="52">
        <f t="shared" ca="1" si="313"/>
        <v>0</v>
      </c>
      <c r="AK447" s="52">
        <f t="shared" ca="1" si="313"/>
        <v>0</v>
      </c>
      <c r="AL447" s="52">
        <f t="shared" ca="1" si="313"/>
        <v>0</v>
      </c>
      <c r="AM447" s="52">
        <f t="shared" ca="1" si="313"/>
        <v>0</v>
      </c>
      <c r="AN447" s="52">
        <f t="shared" ca="1" si="313"/>
        <v>0</v>
      </c>
      <c r="AO447" s="52">
        <f t="shared" ca="1" si="313"/>
        <v>0</v>
      </c>
      <c r="AP447" s="52">
        <f t="shared" ca="1" si="313"/>
        <v>0</v>
      </c>
      <c r="AQ447" s="52">
        <f t="shared" ca="1" si="313"/>
        <v>0</v>
      </c>
      <c r="AR447" s="52">
        <f t="shared" ca="1" si="313"/>
        <v>0</v>
      </c>
      <c r="AS447" s="52">
        <f t="shared" ca="1" si="313"/>
        <v>0</v>
      </c>
      <c r="AT447" s="52">
        <f t="shared" ca="1" si="313"/>
        <v>0</v>
      </c>
      <c r="AU447" s="52">
        <f t="shared" ca="1" si="313"/>
        <v>0</v>
      </c>
    </row>
    <row r="448" spans="1:47">
      <c r="E448" s="325"/>
      <c r="G448" s="36" t="s">
        <v>10</v>
      </c>
      <c r="H448" s="39"/>
      <c r="I448" s="39"/>
      <c r="J448" s="39"/>
      <c r="K448" s="39"/>
      <c r="L448" s="43"/>
      <c r="R448" s="54">
        <f>Assumptions!M$60</f>
        <v>1</v>
      </c>
      <c r="S448" s="54">
        <f>Assumptions!N$60</f>
        <v>0</v>
      </c>
      <c r="T448" s="54">
        <f>Assumptions!O$60</f>
        <v>0</v>
      </c>
      <c r="U448" s="54">
        <f>Assumptions!P$60</f>
        <v>0</v>
      </c>
      <c r="V448" s="54">
        <f>Assumptions!Q$60</f>
        <v>0</v>
      </c>
      <c r="W448" s="54">
        <f>Assumptions!R$60</f>
        <v>0</v>
      </c>
      <c r="X448" s="54">
        <f>Assumptions!S$60</f>
        <v>0</v>
      </c>
      <c r="Y448" s="54">
        <f>Assumptions!T$60</f>
        <v>0</v>
      </c>
      <c r="Z448" s="54">
        <f>Assumptions!U$60</f>
        <v>0</v>
      </c>
      <c r="AA448" s="54">
        <f>Assumptions!V$60</f>
        <v>0</v>
      </c>
      <c r="AB448" s="54">
        <f>Assumptions!W$60</f>
        <v>0</v>
      </c>
      <c r="AC448" s="54">
        <f>Assumptions!X$60</f>
        <v>0</v>
      </c>
      <c r="AD448" s="54">
        <f>Assumptions!Y$60</f>
        <v>0</v>
      </c>
      <c r="AE448" s="54">
        <f>Assumptions!Z$60</f>
        <v>0</v>
      </c>
      <c r="AF448" s="54">
        <f>Assumptions!AA$60</f>
        <v>0</v>
      </c>
      <c r="AG448" s="54">
        <f>Assumptions!AB$60</f>
        <v>0</v>
      </c>
      <c r="AH448" s="54">
        <f>Assumptions!AC$60</f>
        <v>0</v>
      </c>
      <c r="AI448" s="54">
        <f>Assumptions!AD$60</f>
        <v>0</v>
      </c>
      <c r="AJ448" s="54">
        <f>Assumptions!AE$60</f>
        <v>0</v>
      </c>
      <c r="AK448" s="54">
        <f>Assumptions!AF$60</f>
        <v>0</v>
      </c>
      <c r="AL448" s="54">
        <f>Assumptions!AG$60</f>
        <v>0</v>
      </c>
      <c r="AM448" s="54">
        <f>Assumptions!AH$60</f>
        <v>0</v>
      </c>
      <c r="AN448" s="54">
        <f>Assumptions!AI$60</f>
        <v>0</v>
      </c>
      <c r="AO448" s="54">
        <f>Assumptions!AJ$60</f>
        <v>0</v>
      </c>
      <c r="AP448" s="54">
        <f>Assumptions!AK$60</f>
        <v>0</v>
      </c>
      <c r="AQ448" s="54">
        <f>Assumptions!AL$60</f>
        <v>0</v>
      </c>
      <c r="AR448" s="54">
        <f>Assumptions!AM$60</f>
        <v>0</v>
      </c>
      <c r="AS448" s="54">
        <f>Assumptions!AN$60</f>
        <v>0</v>
      </c>
      <c r="AT448" s="54">
        <f>Assumptions!AO$60</f>
        <v>0</v>
      </c>
      <c r="AU448" s="54">
        <f>Assumptions!AP$60</f>
        <v>0</v>
      </c>
    </row>
    <row r="449" spans="1:47">
      <c r="E449" s="36"/>
      <c r="G449" s="39"/>
      <c r="H449" s="39"/>
      <c r="I449" s="39"/>
      <c r="J449" s="39"/>
      <c r="K449" s="39"/>
    </row>
    <row r="450" spans="1:47">
      <c r="E450" s="327"/>
      <c r="F450" s="28"/>
      <c r="G450" s="324" t="str">
        <f>C453&amp;" O&amp;M"</f>
        <v>Land Application O&amp;M</v>
      </c>
      <c r="H450" s="324"/>
      <c r="I450" s="324"/>
      <c r="J450" s="324"/>
      <c r="K450" s="324"/>
      <c r="L450" s="405" t="s">
        <v>79</v>
      </c>
      <c r="M450" s="256"/>
      <c r="N450" s="325" t="s">
        <v>490</v>
      </c>
      <c r="O450" s="311"/>
      <c r="P450" s="325" t="s">
        <v>491</v>
      </c>
      <c r="Q450" s="310"/>
      <c r="R450" s="325">
        <f>R$8</f>
        <v>2014</v>
      </c>
      <c r="S450" s="325">
        <f t="shared" ref="S450:AU450" si="314">S$8</f>
        <v>2015</v>
      </c>
      <c r="T450" s="325">
        <f t="shared" si="314"/>
        <v>2016</v>
      </c>
      <c r="U450" s="325">
        <f t="shared" si="314"/>
        <v>2017</v>
      </c>
      <c r="V450" s="325">
        <f t="shared" si="314"/>
        <v>2018</v>
      </c>
      <c r="W450" s="325">
        <f t="shared" si="314"/>
        <v>2019</v>
      </c>
      <c r="X450" s="325">
        <f t="shared" si="314"/>
        <v>2020</v>
      </c>
      <c r="Y450" s="325">
        <f t="shared" si="314"/>
        <v>2021</v>
      </c>
      <c r="Z450" s="325">
        <f t="shared" si="314"/>
        <v>2022</v>
      </c>
      <c r="AA450" s="325">
        <f t="shared" si="314"/>
        <v>2023</v>
      </c>
      <c r="AB450" s="325">
        <f t="shared" si="314"/>
        <v>2024</v>
      </c>
      <c r="AC450" s="325">
        <f t="shared" si="314"/>
        <v>2025</v>
      </c>
      <c r="AD450" s="325">
        <f t="shared" si="314"/>
        <v>2026</v>
      </c>
      <c r="AE450" s="325">
        <f t="shared" si="314"/>
        <v>2027</v>
      </c>
      <c r="AF450" s="325">
        <f t="shared" si="314"/>
        <v>2028</v>
      </c>
      <c r="AG450" s="325">
        <f t="shared" si="314"/>
        <v>2029</v>
      </c>
      <c r="AH450" s="325">
        <f t="shared" si="314"/>
        <v>2030</v>
      </c>
      <c r="AI450" s="325">
        <f t="shared" si="314"/>
        <v>2031</v>
      </c>
      <c r="AJ450" s="325">
        <f t="shared" si="314"/>
        <v>2032</v>
      </c>
      <c r="AK450" s="325">
        <f t="shared" si="314"/>
        <v>2033</v>
      </c>
      <c r="AL450" s="325">
        <f t="shared" si="314"/>
        <v>2034</v>
      </c>
      <c r="AM450" s="325">
        <f t="shared" si="314"/>
        <v>2035</v>
      </c>
      <c r="AN450" s="325">
        <f t="shared" si="314"/>
        <v>2036</v>
      </c>
      <c r="AO450" s="325">
        <f t="shared" si="314"/>
        <v>2037</v>
      </c>
      <c r="AP450" s="325">
        <f t="shared" si="314"/>
        <v>2038</v>
      </c>
      <c r="AQ450" s="325">
        <f t="shared" si="314"/>
        <v>2039</v>
      </c>
      <c r="AR450" s="325">
        <f t="shared" si="314"/>
        <v>2040</v>
      </c>
      <c r="AS450" s="325">
        <f t="shared" si="314"/>
        <v>2041</v>
      </c>
      <c r="AT450" s="325">
        <f t="shared" si="314"/>
        <v>2042</v>
      </c>
      <c r="AU450" s="325">
        <f t="shared" si="314"/>
        <v>2043</v>
      </c>
    </row>
    <row r="451" spans="1:47">
      <c r="E451" s="325"/>
      <c r="G451" s="39"/>
      <c r="H451" s="39"/>
      <c r="I451" s="39"/>
      <c r="J451" s="39"/>
      <c r="K451" s="39"/>
    </row>
    <row r="452" spans="1:47">
      <c r="E452" s="325"/>
      <c r="G452" s="39" t="s">
        <v>23</v>
      </c>
      <c r="H452" s="39"/>
      <c r="I452" s="39"/>
      <c r="J452" s="39"/>
      <c r="K452" s="39"/>
    </row>
    <row r="453" spans="1:47">
      <c r="A453" s="38" t="str">
        <f t="shared" ref="A453:A460" si="315">$J$4&amp;"-"</f>
        <v>1Y-</v>
      </c>
      <c r="B453" s="38" t="s">
        <v>262</v>
      </c>
      <c r="C453" s="38" t="s">
        <v>309</v>
      </c>
      <c r="D453" s="186">
        <f>LaborEsc</f>
        <v>0.02</v>
      </c>
      <c r="E453" s="325"/>
      <c r="G453" s="36" t="s">
        <v>125</v>
      </c>
      <c r="I453" s="39"/>
      <c r="K453" s="39"/>
      <c r="L453" s="43" t="s">
        <v>266</v>
      </c>
      <c r="N453" s="70">
        <f ca="1">SUMIFS(OFFSET(Assumptions!$I$90,0,MATCH($A453,Configurations,0)-1,COUNT(Assumptions!$A$90:$A$183),1),Assumptions!$D$90:$D$183,$B453&amp;$C453)</f>
        <v>0</v>
      </c>
      <c r="O453" s="313"/>
      <c r="P453" s="323"/>
      <c r="Q453" s="313"/>
      <c r="R453" s="50">
        <f t="shared" ref="R453:AU453" ca="1" si="316">IF(OR(R$99&lt;InServiceYr,R$99&gt;(InServiceYr+analysis_period-1)),0,IF($P453=0,$N453,$P453)*LaborCost*(1+$D453)^(R$99-CostBaseYr))</f>
        <v>0</v>
      </c>
      <c r="S453" s="50">
        <f t="shared" ca="1" si="316"/>
        <v>0</v>
      </c>
      <c r="T453" s="50">
        <f t="shared" ca="1" si="316"/>
        <v>0</v>
      </c>
      <c r="U453" s="50">
        <f t="shared" ca="1" si="316"/>
        <v>0</v>
      </c>
      <c r="V453" s="50">
        <f t="shared" ca="1" si="316"/>
        <v>0</v>
      </c>
      <c r="W453" s="50">
        <f t="shared" ca="1" si="316"/>
        <v>0</v>
      </c>
      <c r="X453" s="50">
        <f t="shared" ca="1" si="316"/>
        <v>0</v>
      </c>
      <c r="Y453" s="50">
        <f t="shared" ca="1" si="316"/>
        <v>0</v>
      </c>
      <c r="Z453" s="50">
        <f t="shared" ca="1" si="316"/>
        <v>0</v>
      </c>
      <c r="AA453" s="50">
        <f t="shared" ca="1" si="316"/>
        <v>0</v>
      </c>
      <c r="AB453" s="50">
        <f t="shared" ca="1" si="316"/>
        <v>0</v>
      </c>
      <c r="AC453" s="50">
        <f t="shared" ca="1" si="316"/>
        <v>0</v>
      </c>
      <c r="AD453" s="50">
        <f t="shared" ca="1" si="316"/>
        <v>0</v>
      </c>
      <c r="AE453" s="50">
        <f t="shared" ca="1" si="316"/>
        <v>0</v>
      </c>
      <c r="AF453" s="50">
        <f t="shared" ca="1" si="316"/>
        <v>0</v>
      </c>
      <c r="AG453" s="50">
        <f t="shared" ca="1" si="316"/>
        <v>0</v>
      </c>
      <c r="AH453" s="50">
        <f t="shared" ca="1" si="316"/>
        <v>0</v>
      </c>
      <c r="AI453" s="50">
        <f t="shared" ca="1" si="316"/>
        <v>0</v>
      </c>
      <c r="AJ453" s="50">
        <f t="shared" ca="1" si="316"/>
        <v>0</v>
      </c>
      <c r="AK453" s="50">
        <f t="shared" ca="1" si="316"/>
        <v>0</v>
      </c>
      <c r="AL453" s="50">
        <f t="shared" si="316"/>
        <v>0</v>
      </c>
      <c r="AM453" s="50">
        <f t="shared" si="316"/>
        <v>0</v>
      </c>
      <c r="AN453" s="50">
        <f t="shared" si="316"/>
        <v>0</v>
      </c>
      <c r="AO453" s="50">
        <f t="shared" si="316"/>
        <v>0</v>
      </c>
      <c r="AP453" s="50">
        <f t="shared" si="316"/>
        <v>0</v>
      </c>
      <c r="AQ453" s="50">
        <f t="shared" si="316"/>
        <v>0</v>
      </c>
      <c r="AR453" s="50">
        <f t="shared" si="316"/>
        <v>0</v>
      </c>
      <c r="AS453" s="50">
        <f t="shared" si="316"/>
        <v>0</v>
      </c>
      <c r="AT453" s="50">
        <f t="shared" si="316"/>
        <v>0</v>
      </c>
      <c r="AU453" s="50">
        <f t="shared" si="316"/>
        <v>0</v>
      </c>
    </row>
    <row r="454" spans="1:47">
      <c r="A454" s="38" t="str">
        <f t="shared" si="315"/>
        <v>1Y-</v>
      </c>
      <c r="B454" s="38" t="s">
        <v>270</v>
      </c>
      <c r="C454" s="38" t="str">
        <f>C453</f>
        <v>Land Application</v>
      </c>
      <c r="D454" s="186">
        <f>OMEsc</f>
        <v>0.02</v>
      </c>
      <c r="E454" s="325"/>
      <c r="G454" s="36" t="s">
        <v>126</v>
      </c>
      <c r="I454" s="39"/>
      <c r="K454" s="39"/>
      <c r="L454" s="43" t="str">
        <f>"["&amp;CostBaseYr&amp;" $]"</f>
        <v>[2013 $]</v>
      </c>
      <c r="N454" s="70">
        <f ca="1">SUMIFS(OFFSET(Assumptions!$I$90,0,MATCH($A454,Configurations,0)-1,COUNT(Assumptions!$A$90:$A$183),1),Assumptions!$D$90:$D$183,$B454&amp;$C454)</f>
        <v>0</v>
      </c>
      <c r="O454" s="313"/>
      <c r="P454" s="323"/>
      <c r="Q454" s="313"/>
      <c r="R454" s="50">
        <f t="shared" ref="R454:AG456" ca="1" si="317">IF(OR(R$99&lt;InServiceYr,R$99&gt;(InServiceYr+analysis_period-1)),0,IF($P454=0,$N454,$P454)*(1+$D454)^(R$99-CostBaseYr))</f>
        <v>0</v>
      </c>
      <c r="S454" s="50">
        <f t="shared" ca="1" si="317"/>
        <v>0</v>
      </c>
      <c r="T454" s="50">
        <f t="shared" ca="1" si="317"/>
        <v>0</v>
      </c>
      <c r="U454" s="50">
        <f t="shared" ca="1" si="317"/>
        <v>0</v>
      </c>
      <c r="V454" s="50">
        <f t="shared" ca="1" si="317"/>
        <v>0</v>
      </c>
      <c r="W454" s="50">
        <f t="shared" ca="1" si="317"/>
        <v>0</v>
      </c>
      <c r="X454" s="50">
        <f t="shared" ca="1" si="317"/>
        <v>0</v>
      </c>
      <c r="Y454" s="50">
        <f t="shared" ca="1" si="317"/>
        <v>0</v>
      </c>
      <c r="Z454" s="50">
        <f t="shared" ca="1" si="317"/>
        <v>0</v>
      </c>
      <c r="AA454" s="50">
        <f t="shared" ca="1" si="317"/>
        <v>0</v>
      </c>
      <c r="AB454" s="50">
        <f t="shared" ca="1" si="317"/>
        <v>0</v>
      </c>
      <c r="AC454" s="50">
        <f t="shared" ca="1" si="317"/>
        <v>0</v>
      </c>
      <c r="AD454" s="50">
        <f t="shared" ca="1" si="317"/>
        <v>0</v>
      </c>
      <c r="AE454" s="50">
        <f t="shared" ca="1" si="317"/>
        <v>0</v>
      </c>
      <c r="AF454" s="50">
        <f t="shared" ca="1" si="317"/>
        <v>0</v>
      </c>
      <c r="AG454" s="50">
        <f t="shared" ca="1" si="317"/>
        <v>0</v>
      </c>
      <c r="AH454" s="50">
        <f t="shared" ref="S454:AU456" ca="1" si="318">IF(OR(AH$99&lt;InServiceYr,AH$99&gt;(InServiceYr+analysis_period-1)),0,IF($P454=0,$N454,$P454)*(1+$D454)^(AH$99-CostBaseYr))</f>
        <v>0</v>
      </c>
      <c r="AI454" s="50">
        <f t="shared" ca="1" si="318"/>
        <v>0</v>
      </c>
      <c r="AJ454" s="50">
        <f t="shared" ca="1" si="318"/>
        <v>0</v>
      </c>
      <c r="AK454" s="50">
        <f t="shared" ca="1" si="318"/>
        <v>0</v>
      </c>
      <c r="AL454" s="50">
        <f t="shared" si="318"/>
        <v>0</v>
      </c>
      <c r="AM454" s="50">
        <f t="shared" si="318"/>
        <v>0</v>
      </c>
      <c r="AN454" s="50">
        <f t="shared" si="318"/>
        <v>0</v>
      </c>
      <c r="AO454" s="50">
        <f t="shared" si="318"/>
        <v>0</v>
      </c>
      <c r="AP454" s="50">
        <f t="shared" si="318"/>
        <v>0</v>
      </c>
      <c r="AQ454" s="50">
        <f t="shared" si="318"/>
        <v>0</v>
      </c>
      <c r="AR454" s="50">
        <f t="shared" si="318"/>
        <v>0</v>
      </c>
      <c r="AS454" s="50">
        <f t="shared" si="318"/>
        <v>0</v>
      </c>
      <c r="AT454" s="50">
        <f t="shared" si="318"/>
        <v>0</v>
      </c>
      <c r="AU454" s="50">
        <f t="shared" si="318"/>
        <v>0</v>
      </c>
    </row>
    <row r="455" spans="1:47">
      <c r="A455" s="38" t="str">
        <f t="shared" si="315"/>
        <v>1Y-</v>
      </c>
      <c r="B455" s="38" t="s">
        <v>263</v>
      </c>
      <c r="C455" s="38" t="str">
        <f t="shared" ref="C455:C459" si="319">C454</f>
        <v>Land Application</v>
      </c>
      <c r="D455" s="186">
        <f>OMEsc</f>
        <v>0.02</v>
      </c>
      <c r="E455" s="325"/>
      <c r="G455" s="36" t="s">
        <v>127</v>
      </c>
      <c r="I455" s="39"/>
      <c r="K455" s="39"/>
      <c r="L455" s="43" t="str">
        <f>"["&amp;CostBaseYr&amp;" $]"</f>
        <v>[2013 $]</v>
      </c>
      <c r="N455" s="70">
        <f ca="1">SUMIFS(OFFSET(Assumptions!$I$90,0,MATCH($A455,Configurations,0)-1,COUNT(Assumptions!$A$90:$A$183),1),Assumptions!$D$90:$D$183,$B455&amp;$C455)</f>
        <v>0</v>
      </c>
      <c r="O455" s="313"/>
      <c r="P455" s="323"/>
      <c r="Q455" s="313"/>
      <c r="R455" s="50">
        <f t="shared" ca="1" si="317"/>
        <v>0</v>
      </c>
      <c r="S455" s="50">
        <f t="shared" ca="1" si="318"/>
        <v>0</v>
      </c>
      <c r="T455" s="50">
        <f t="shared" ca="1" si="318"/>
        <v>0</v>
      </c>
      <c r="U455" s="50">
        <f t="shared" ca="1" si="318"/>
        <v>0</v>
      </c>
      <c r="V455" s="50">
        <f t="shared" ca="1" si="318"/>
        <v>0</v>
      </c>
      <c r="W455" s="50">
        <f t="shared" ca="1" si="318"/>
        <v>0</v>
      </c>
      <c r="X455" s="50">
        <f t="shared" ca="1" si="318"/>
        <v>0</v>
      </c>
      <c r="Y455" s="50">
        <f t="shared" ca="1" si="318"/>
        <v>0</v>
      </c>
      <c r="Z455" s="50">
        <f t="shared" ca="1" si="318"/>
        <v>0</v>
      </c>
      <c r="AA455" s="50">
        <f t="shared" ca="1" si="318"/>
        <v>0</v>
      </c>
      <c r="AB455" s="50">
        <f t="shared" ca="1" si="318"/>
        <v>0</v>
      </c>
      <c r="AC455" s="50">
        <f t="shared" ca="1" si="318"/>
        <v>0</v>
      </c>
      <c r="AD455" s="50">
        <f t="shared" ca="1" si="318"/>
        <v>0</v>
      </c>
      <c r="AE455" s="50">
        <f t="shared" ca="1" si="318"/>
        <v>0</v>
      </c>
      <c r="AF455" s="50">
        <f t="shared" ca="1" si="318"/>
        <v>0</v>
      </c>
      <c r="AG455" s="50">
        <f t="shared" ca="1" si="318"/>
        <v>0</v>
      </c>
      <c r="AH455" s="50">
        <f t="shared" ca="1" si="318"/>
        <v>0</v>
      </c>
      <c r="AI455" s="50">
        <f t="shared" ca="1" si="318"/>
        <v>0</v>
      </c>
      <c r="AJ455" s="50">
        <f t="shared" ca="1" si="318"/>
        <v>0</v>
      </c>
      <c r="AK455" s="50">
        <f t="shared" ca="1" si="318"/>
        <v>0</v>
      </c>
      <c r="AL455" s="50">
        <f t="shared" si="318"/>
        <v>0</v>
      </c>
      <c r="AM455" s="50">
        <f t="shared" si="318"/>
        <v>0</v>
      </c>
      <c r="AN455" s="50">
        <f t="shared" si="318"/>
        <v>0</v>
      </c>
      <c r="AO455" s="50">
        <f t="shared" si="318"/>
        <v>0</v>
      </c>
      <c r="AP455" s="50">
        <f t="shared" si="318"/>
        <v>0</v>
      </c>
      <c r="AQ455" s="50">
        <f t="shared" si="318"/>
        <v>0</v>
      </c>
      <c r="AR455" s="50">
        <f t="shared" si="318"/>
        <v>0</v>
      </c>
      <c r="AS455" s="50">
        <f t="shared" si="318"/>
        <v>0</v>
      </c>
      <c r="AT455" s="50">
        <f t="shared" si="318"/>
        <v>0</v>
      </c>
      <c r="AU455" s="50">
        <f t="shared" si="318"/>
        <v>0</v>
      </c>
    </row>
    <row r="456" spans="1:47">
      <c r="A456" s="38" t="str">
        <f t="shared" si="315"/>
        <v>1Y-</v>
      </c>
      <c r="B456" s="38" t="s">
        <v>277</v>
      </c>
      <c r="C456" s="38" t="str">
        <f t="shared" si="319"/>
        <v>Land Application</v>
      </c>
      <c r="D456" s="186">
        <f>OMEsc</f>
        <v>0.02</v>
      </c>
      <c r="E456" s="325"/>
      <c r="G456" s="36" t="s">
        <v>276</v>
      </c>
      <c r="I456" s="39"/>
      <c r="K456" s="39"/>
      <c r="L456" s="43" t="str">
        <f>"["&amp;CostBaseYr&amp;" $]"</f>
        <v>[2013 $]</v>
      </c>
      <c r="N456" s="70">
        <f ca="1">SUMIFS(OFFSET(Assumptions!$I$90,0,MATCH($A456,Configurations,0)-1,COUNT(Assumptions!$A$90:$A$183),1),Assumptions!$D$90:$D$183,$B456&amp;$C456)</f>
        <v>0</v>
      </c>
      <c r="O456" s="313"/>
      <c r="P456" s="323"/>
      <c r="Q456" s="313"/>
      <c r="R456" s="50">
        <f t="shared" ca="1" si="317"/>
        <v>0</v>
      </c>
      <c r="S456" s="50">
        <f t="shared" ca="1" si="318"/>
        <v>0</v>
      </c>
      <c r="T456" s="50">
        <f t="shared" ca="1" si="318"/>
        <v>0</v>
      </c>
      <c r="U456" s="50">
        <f t="shared" ca="1" si="318"/>
        <v>0</v>
      </c>
      <c r="V456" s="50">
        <f t="shared" ca="1" si="318"/>
        <v>0</v>
      </c>
      <c r="W456" s="50">
        <f t="shared" ca="1" si="318"/>
        <v>0</v>
      </c>
      <c r="X456" s="50">
        <f t="shared" ca="1" si="318"/>
        <v>0</v>
      </c>
      <c r="Y456" s="50">
        <f t="shared" ca="1" si="318"/>
        <v>0</v>
      </c>
      <c r="Z456" s="50">
        <f t="shared" ca="1" si="318"/>
        <v>0</v>
      </c>
      <c r="AA456" s="50">
        <f t="shared" ca="1" si="318"/>
        <v>0</v>
      </c>
      <c r="AB456" s="50">
        <f t="shared" ca="1" si="318"/>
        <v>0</v>
      </c>
      <c r="AC456" s="50">
        <f t="shared" ca="1" si="318"/>
        <v>0</v>
      </c>
      <c r="AD456" s="50">
        <f t="shared" ca="1" si="318"/>
        <v>0</v>
      </c>
      <c r="AE456" s="50">
        <f t="shared" ca="1" si="318"/>
        <v>0</v>
      </c>
      <c r="AF456" s="50">
        <f t="shared" ca="1" si="318"/>
        <v>0</v>
      </c>
      <c r="AG456" s="50">
        <f t="shared" ca="1" si="318"/>
        <v>0</v>
      </c>
      <c r="AH456" s="50">
        <f t="shared" ca="1" si="318"/>
        <v>0</v>
      </c>
      <c r="AI456" s="50">
        <f t="shared" ca="1" si="318"/>
        <v>0</v>
      </c>
      <c r="AJ456" s="50">
        <f t="shared" ca="1" si="318"/>
        <v>0</v>
      </c>
      <c r="AK456" s="50">
        <f t="shared" ca="1" si="318"/>
        <v>0</v>
      </c>
      <c r="AL456" s="50">
        <f t="shared" si="318"/>
        <v>0</v>
      </c>
      <c r="AM456" s="50">
        <f t="shared" si="318"/>
        <v>0</v>
      </c>
      <c r="AN456" s="50">
        <f t="shared" si="318"/>
        <v>0</v>
      </c>
      <c r="AO456" s="50">
        <f t="shared" si="318"/>
        <v>0</v>
      </c>
      <c r="AP456" s="50">
        <f t="shared" si="318"/>
        <v>0</v>
      </c>
      <c r="AQ456" s="50">
        <f t="shared" si="318"/>
        <v>0</v>
      </c>
      <c r="AR456" s="50">
        <f t="shared" si="318"/>
        <v>0</v>
      </c>
      <c r="AS456" s="50">
        <f t="shared" si="318"/>
        <v>0</v>
      </c>
      <c r="AT456" s="50">
        <f t="shared" si="318"/>
        <v>0</v>
      </c>
      <c r="AU456" s="50">
        <f t="shared" si="318"/>
        <v>0</v>
      </c>
    </row>
    <row r="457" spans="1:47">
      <c r="A457" s="38" t="str">
        <f t="shared" si="315"/>
        <v>1Y-</v>
      </c>
      <c r="B457" s="38" t="s">
        <v>274</v>
      </c>
      <c r="C457" s="38" t="str">
        <f t="shared" si="319"/>
        <v>Land Application</v>
      </c>
      <c r="D457" s="186"/>
      <c r="E457" s="325"/>
      <c r="G457" s="36" t="s">
        <v>16</v>
      </c>
      <c r="I457" s="39"/>
      <c r="K457" s="39"/>
      <c r="L457" s="43" t="s">
        <v>275</v>
      </c>
      <c r="N457" s="70">
        <f ca="1">SUMIFS(OFFSET(Assumptions!$I$90,0,MATCH($A457,Configurations,0)-1,COUNT(Assumptions!$A$90:$A$183),1),Assumptions!$D$90:$D$183,$B457&amp;$C457)</f>
        <v>0</v>
      </c>
      <c r="O457" s="313"/>
      <c r="P457" s="323"/>
      <c r="Q457" s="313"/>
      <c r="R457" s="50">
        <f t="shared" ref="R457:AU457" ca="1" si="320">IF(OR(R$99&lt;InServiceYr,R$99&gt;(InServiceYr+analysis_period-1)),0,IF($P457=0,$N457,$P457)*R$505)</f>
        <v>0</v>
      </c>
      <c r="S457" s="50">
        <f t="shared" ca="1" si="320"/>
        <v>0</v>
      </c>
      <c r="T457" s="50">
        <f t="shared" ca="1" si="320"/>
        <v>0</v>
      </c>
      <c r="U457" s="50">
        <f t="shared" ca="1" si="320"/>
        <v>0</v>
      </c>
      <c r="V457" s="50">
        <f t="shared" ca="1" si="320"/>
        <v>0</v>
      </c>
      <c r="W457" s="50">
        <f t="shared" ca="1" si="320"/>
        <v>0</v>
      </c>
      <c r="X457" s="50">
        <f t="shared" ca="1" si="320"/>
        <v>0</v>
      </c>
      <c r="Y457" s="50">
        <f t="shared" ca="1" si="320"/>
        <v>0</v>
      </c>
      <c r="Z457" s="50">
        <f t="shared" ca="1" si="320"/>
        <v>0</v>
      </c>
      <c r="AA457" s="50">
        <f t="shared" ca="1" si="320"/>
        <v>0</v>
      </c>
      <c r="AB457" s="50">
        <f t="shared" ca="1" si="320"/>
        <v>0</v>
      </c>
      <c r="AC457" s="50">
        <f t="shared" ca="1" si="320"/>
        <v>0</v>
      </c>
      <c r="AD457" s="50">
        <f t="shared" ca="1" si="320"/>
        <v>0</v>
      </c>
      <c r="AE457" s="50">
        <f t="shared" ca="1" si="320"/>
        <v>0</v>
      </c>
      <c r="AF457" s="50">
        <f t="shared" ca="1" si="320"/>
        <v>0</v>
      </c>
      <c r="AG457" s="50">
        <f t="shared" ca="1" si="320"/>
        <v>0</v>
      </c>
      <c r="AH457" s="50">
        <f t="shared" ca="1" si="320"/>
        <v>0</v>
      </c>
      <c r="AI457" s="50">
        <f t="shared" ca="1" si="320"/>
        <v>0</v>
      </c>
      <c r="AJ457" s="50">
        <f t="shared" ca="1" si="320"/>
        <v>0</v>
      </c>
      <c r="AK457" s="50">
        <f t="shared" ca="1" si="320"/>
        <v>0</v>
      </c>
      <c r="AL457" s="50">
        <f t="shared" si="320"/>
        <v>0</v>
      </c>
      <c r="AM457" s="50">
        <f t="shared" si="320"/>
        <v>0</v>
      </c>
      <c r="AN457" s="50">
        <f t="shared" si="320"/>
        <v>0</v>
      </c>
      <c r="AO457" s="50">
        <f t="shared" si="320"/>
        <v>0</v>
      </c>
      <c r="AP457" s="50">
        <f t="shared" si="320"/>
        <v>0</v>
      </c>
      <c r="AQ457" s="50">
        <f t="shared" si="320"/>
        <v>0</v>
      </c>
      <c r="AR457" s="50">
        <f t="shared" si="320"/>
        <v>0</v>
      </c>
      <c r="AS457" s="50">
        <f t="shared" si="320"/>
        <v>0</v>
      </c>
      <c r="AT457" s="50">
        <f t="shared" si="320"/>
        <v>0</v>
      </c>
      <c r="AU457" s="50">
        <f t="shared" si="320"/>
        <v>0</v>
      </c>
    </row>
    <row r="458" spans="1:47">
      <c r="A458" s="38" t="str">
        <f t="shared" si="315"/>
        <v>1Y-</v>
      </c>
      <c r="B458" s="38" t="s">
        <v>257</v>
      </c>
      <c r="C458" s="38" t="str">
        <f t="shared" si="319"/>
        <v>Land Application</v>
      </c>
      <c r="D458" s="186"/>
      <c r="E458" s="325"/>
      <c r="G458" s="36" t="s">
        <v>284</v>
      </c>
      <c r="I458" s="39"/>
      <c r="K458" s="39"/>
      <c r="L458" s="43" t="s">
        <v>293</v>
      </c>
      <c r="N458" s="70">
        <f ca="1">SUMIFS(OFFSET(Assumptions!$I$90,0,MATCH($A458,Configurations,0)-1,COUNT(Assumptions!$A$90:$A$183),1),Assumptions!$D$90:$D$183,$B458&amp;$C458)</f>
        <v>0</v>
      </c>
      <c r="O458" s="313"/>
      <c r="P458" s="323"/>
      <c r="Q458" s="313"/>
      <c r="R458" s="50">
        <f t="shared" ref="R458:AU458" ca="1" si="321">IF(OR(R$99&lt;InServiceYr,R$99&gt;(InServiceYr+analysis_period-1)),0,IF($P458=0,$N458,$P458)*R$501)</f>
        <v>0</v>
      </c>
      <c r="S458" s="50">
        <f t="shared" ca="1" si="321"/>
        <v>0</v>
      </c>
      <c r="T458" s="50">
        <f t="shared" ca="1" si="321"/>
        <v>0</v>
      </c>
      <c r="U458" s="50">
        <f t="shared" ca="1" si="321"/>
        <v>0</v>
      </c>
      <c r="V458" s="50">
        <f t="shared" ca="1" si="321"/>
        <v>0</v>
      </c>
      <c r="W458" s="50">
        <f t="shared" ca="1" si="321"/>
        <v>0</v>
      </c>
      <c r="X458" s="50">
        <f t="shared" ca="1" si="321"/>
        <v>0</v>
      </c>
      <c r="Y458" s="50">
        <f t="shared" ca="1" si="321"/>
        <v>0</v>
      </c>
      <c r="Z458" s="50">
        <f t="shared" ca="1" si="321"/>
        <v>0</v>
      </c>
      <c r="AA458" s="50">
        <f t="shared" ca="1" si="321"/>
        <v>0</v>
      </c>
      <c r="AB458" s="50">
        <f t="shared" ca="1" si="321"/>
        <v>0</v>
      </c>
      <c r="AC458" s="50">
        <f t="shared" ca="1" si="321"/>
        <v>0</v>
      </c>
      <c r="AD458" s="50">
        <f t="shared" ca="1" si="321"/>
        <v>0</v>
      </c>
      <c r="AE458" s="50">
        <f t="shared" ca="1" si="321"/>
        <v>0</v>
      </c>
      <c r="AF458" s="50">
        <f t="shared" ca="1" si="321"/>
        <v>0</v>
      </c>
      <c r="AG458" s="50">
        <f t="shared" ca="1" si="321"/>
        <v>0</v>
      </c>
      <c r="AH458" s="50">
        <f t="shared" ca="1" si="321"/>
        <v>0</v>
      </c>
      <c r="AI458" s="50">
        <f t="shared" ca="1" si="321"/>
        <v>0</v>
      </c>
      <c r="AJ458" s="50">
        <f t="shared" ca="1" si="321"/>
        <v>0</v>
      </c>
      <c r="AK458" s="50">
        <f t="shared" ca="1" si="321"/>
        <v>0</v>
      </c>
      <c r="AL458" s="50">
        <f t="shared" si="321"/>
        <v>0</v>
      </c>
      <c r="AM458" s="50">
        <f t="shared" si="321"/>
        <v>0</v>
      </c>
      <c r="AN458" s="50">
        <f t="shared" si="321"/>
        <v>0</v>
      </c>
      <c r="AO458" s="50">
        <f t="shared" si="321"/>
        <v>0</v>
      </c>
      <c r="AP458" s="50">
        <f t="shared" si="321"/>
        <v>0</v>
      </c>
      <c r="AQ458" s="50">
        <f t="shared" si="321"/>
        <v>0</v>
      </c>
      <c r="AR458" s="50">
        <f t="shared" si="321"/>
        <v>0</v>
      </c>
      <c r="AS458" s="50">
        <f t="shared" si="321"/>
        <v>0</v>
      </c>
      <c r="AT458" s="50">
        <f t="shared" si="321"/>
        <v>0</v>
      </c>
      <c r="AU458" s="50">
        <f t="shared" si="321"/>
        <v>0</v>
      </c>
    </row>
    <row r="459" spans="1:47">
      <c r="A459" s="38" t="str">
        <f t="shared" si="315"/>
        <v>1Y-</v>
      </c>
      <c r="B459" s="38" t="s">
        <v>864</v>
      </c>
      <c r="C459" s="38" t="str">
        <f t="shared" si="319"/>
        <v>Land Application</v>
      </c>
      <c r="D459" s="186">
        <f>GHGEsc</f>
        <v>0.02</v>
      </c>
      <c r="E459" s="325"/>
      <c r="G459" s="36" t="s">
        <v>865</v>
      </c>
      <c r="I459" s="39"/>
      <c r="K459" s="39"/>
      <c r="L459" s="43" t="s">
        <v>866</v>
      </c>
      <c r="N459" s="70">
        <f ca="1">SUMIFS(OFFSET(Assumptions!$I$90,0,MATCH($A459,Configurations,0)-1,COUNT(Assumptions!$A$90:$A$183),1),Assumptions!$D$90:$D$183,$B459&amp;$C459)</f>
        <v>0</v>
      </c>
      <c r="O459" s="313"/>
      <c r="P459" s="323"/>
      <c r="Q459" s="313"/>
      <c r="R459" s="50">
        <f t="shared" ref="R459:AU459" ca="1" si="322">IF(OR(R$99&lt;InServiceYr,R$99&gt;(InServiceYr+analysis_period-1)),0,IF($P459=0,$N459,$P459)*R$513)</f>
        <v>0</v>
      </c>
      <c r="S459" s="50">
        <f t="shared" ca="1" si="322"/>
        <v>0</v>
      </c>
      <c r="T459" s="50">
        <f t="shared" ca="1" si="322"/>
        <v>0</v>
      </c>
      <c r="U459" s="50">
        <f t="shared" ca="1" si="322"/>
        <v>0</v>
      </c>
      <c r="V459" s="50">
        <f t="shared" ca="1" si="322"/>
        <v>0</v>
      </c>
      <c r="W459" s="50">
        <f t="shared" ca="1" si="322"/>
        <v>0</v>
      </c>
      <c r="X459" s="50">
        <f t="shared" ca="1" si="322"/>
        <v>0</v>
      </c>
      <c r="Y459" s="50">
        <f t="shared" ca="1" si="322"/>
        <v>0</v>
      </c>
      <c r="Z459" s="50">
        <f t="shared" ca="1" si="322"/>
        <v>0</v>
      </c>
      <c r="AA459" s="50">
        <f t="shared" ca="1" si="322"/>
        <v>0</v>
      </c>
      <c r="AB459" s="50">
        <f t="shared" ca="1" si="322"/>
        <v>0</v>
      </c>
      <c r="AC459" s="50">
        <f t="shared" ca="1" si="322"/>
        <v>0</v>
      </c>
      <c r="AD459" s="50">
        <f t="shared" ca="1" si="322"/>
        <v>0</v>
      </c>
      <c r="AE459" s="50">
        <f t="shared" ca="1" si="322"/>
        <v>0</v>
      </c>
      <c r="AF459" s="50">
        <f t="shared" ca="1" si="322"/>
        <v>0</v>
      </c>
      <c r="AG459" s="50">
        <f t="shared" ca="1" si="322"/>
        <v>0</v>
      </c>
      <c r="AH459" s="50">
        <f t="shared" ca="1" si="322"/>
        <v>0</v>
      </c>
      <c r="AI459" s="50">
        <f t="shared" ca="1" si="322"/>
        <v>0</v>
      </c>
      <c r="AJ459" s="50">
        <f t="shared" ca="1" si="322"/>
        <v>0</v>
      </c>
      <c r="AK459" s="50">
        <f t="shared" ca="1" si="322"/>
        <v>0</v>
      </c>
      <c r="AL459" s="50">
        <f t="shared" si="322"/>
        <v>0</v>
      </c>
      <c r="AM459" s="50">
        <f t="shared" si="322"/>
        <v>0</v>
      </c>
      <c r="AN459" s="50">
        <f t="shared" si="322"/>
        <v>0</v>
      </c>
      <c r="AO459" s="50">
        <f t="shared" si="322"/>
        <v>0</v>
      </c>
      <c r="AP459" s="50">
        <f t="shared" si="322"/>
        <v>0</v>
      </c>
      <c r="AQ459" s="50">
        <f t="shared" si="322"/>
        <v>0</v>
      </c>
      <c r="AR459" s="50">
        <f t="shared" si="322"/>
        <v>0</v>
      </c>
      <c r="AS459" s="50">
        <f t="shared" si="322"/>
        <v>0</v>
      </c>
      <c r="AT459" s="50">
        <f t="shared" si="322"/>
        <v>0</v>
      </c>
      <c r="AU459" s="50">
        <f t="shared" si="322"/>
        <v>0</v>
      </c>
    </row>
    <row r="460" spans="1:47">
      <c r="A460" s="38" t="str">
        <f t="shared" si="315"/>
        <v>1Y-</v>
      </c>
      <c r="B460" s="38" t="s">
        <v>273</v>
      </c>
      <c r="C460" s="38" t="str">
        <f>C458</f>
        <v>Land Application</v>
      </c>
      <c r="D460" s="186">
        <f>LaborEsc</f>
        <v>0.02</v>
      </c>
      <c r="E460" s="325"/>
      <c r="G460" s="36" t="s">
        <v>291</v>
      </c>
      <c r="I460" s="39"/>
      <c r="K460" s="39"/>
      <c r="L460" s="43" t="str">
        <f>"["&amp;CostBaseYr&amp;" $]"</f>
        <v>[2013 $]</v>
      </c>
      <c r="N460" s="70">
        <f ca="1">SUMIFS(OFFSET(Assumptions!$I$90,0,MATCH($A460,Configurations,0)-1,COUNT(Assumptions!$A$90:$A$183),1),Assumptions!$D$90:$D$183,$B460&amp;$C460)</f>
        <v>0</v>
      </c>
      <c r="O460" s="313"/>
      <c r="P460" s="323"/>
      <c r="Q460" s="313"/>
      <c r="R460" s="50">
        <f t="shared" ref="R460:AU460" ca="1" si="323">IF(OR(R$99&lt;InServiceYr,R$99&gt;(InServiceYr+analysis_period-1)),0,IF($P460=0,$N460,$P460)*(1+$D460)^(R$99-CostBaseYr))*R$509</f>
        <v>0</v>
      </c>
      <c r="S460" s="50">
        <f t="shared" ca="1" si="323"/>
        <v>0</v>
      </c>
      <c r="T460" s="50">
        <f t="shared" ca="1" si="323"/>
        <v>0</v>
      </c>
      <c r="U460" s="50">
        <f t="shared" ca="1" si="323"/>
        <v>0</v>
      </c>
      <c r="V460" s="50">
        <f t="shared" ca="1" si="323"/>
        <v>0</v>
      </c>
      <c r="W460" s="50">
        <f t="shared" ca="1" si="323"/>
        <v>0</v>
      </c>
      <c r="X460" s="50">
        <f t="shared" ca="1" si="323"/>
        <v>0</v>
      </c>
      <c r="Y460" s="50">
        <f t="shared" ca="1" si="323"/>
        <v>0</v>
      </c>
      <c r="Z460" s="50">
        <f t="shared" ca="1" si="323"/>
        <v>0</v>
      </c>
      <c r="AA460" s="50">
        <f t="shared" ca="1" si="323"/>
        <v>0</v>
      </c>
      <c r="AB460" s="50">
        <f t="shared" ca="1" si="323"/>
        <v>0</v>
      </c>
      <c r="AC460" s="50">
        <f t="shared" ca="1" si="323"/>
        <v>0</v>
      </c>
      <c r="AD460" s="50">
        <f t="shared" ca="1" si="323"/>
        <v>0</v>
      </c>
      <c r="AE460" s="50">
        <f t="shared" ca="1" si="323"/>
        <v>0</v>
      </c>
      <c r="AF460" s="50">
        <f t="shared" ca="1" si="323"/>
        <v>0</v>
      </c>
      <c r="AG460" s="50">
        <f t="shared" ca="1" si="323"/>
        <v>0</v>
      </c>
      <c r="AH460" s="50">
        <f t="shared" ca="1" si="323"/>
        <v>0</v>
      </c>
      <c r="AI460" s="50">
        <f t="shared" ca="1" si="323"/>
        <v>0</v>
      </c>
      <c r="AJ460" s="50">
        <f t="shared" ca="1" si="323"/>
        <v>0</v>
      </c>
      <c r="AK460" s="50">
        <f t="shared" ca="1" si="323"/>
        <v>0</v>
      </c>
      <c r="AL460" s="50">
        <f t="shared" si="323"/>
        <v>0</v>
      </c>
      <c r="AM460" s="50">
        <f t="shared" si="323"/>
        <v>0</v>
      </c>
      <c r="AN460" s="50">
        <f t="shared" si="323"/>
        <v>0</v>
      </c>
      <c r="AO460" s="50">
        <f t="shared" si="323"/>
        <v>0</v>
      </c>
      <c r="AP460" s="50">
        <f t="shared" si="323"/>
        <v>0</v>
      </c>
      <c r="AQ460" s="50">
        <f t="shared" si="323"/>
        <v>0</v>
      </c>
      <c r="AR460" s="50">
        <f t="shared" si="323"/>
        <v>0</v>
      </c>
      <c r="AS460" s="50">
        <f t="shared" si="323"/>
        <v>0</v>
      </c>
      <c r="AT460" s="50">
        <f t="shared" si="323"/>
        <v>0</v>
      </c>
      <c r="AU460" s="50">
        <f t="shared" si="323"/>
        <v>0</v>
      </c>
    </row>
    <row r="461" spans="1:47">
      <c r="D461" s="186"/>
      <c r="E461" s="325"/>
      <c r="G461" s="39" t="s">
        <v>304</v>
      </c>
      <c r="I461" s="39"/>
      <c r="K461" s="39"/>
      <c r="L461" s="43"/>
      <c r="N461" s="70"/>
      <c r="O461" s="313"/>
      <c r="P461" s="70"/>
      <c r="Q461" s="313"/>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row>
    <row r="462" spans="1:47">
      <c r="A462" s="38" t="str">
        <f>$J$4&amp;"-"</f>
        <v>1Y-</v>
      </c>
      <c r="B462" s="38" t="s">
        <v>265</v>
      </c>
      <c r="C462" s="38" t="str">
        <f>C453</f>
        <v>Land Application</v>
      </c>
      <c r="D462" s="186"/>
      <c r="E462" s="325"/>
      <c r="G462" s="36" t="s">
        <v>108</v>
      </c>
      <c r="I462" s="39"/>
      <c r="K462" s="39"/>
      <c r="L462" s="43" t="s">
        <v>293</v>
      </c>
      <c r="N462" s="70">
        <f ca="1">SUMIFS(OFFSET(Assumptions!$I$90,0,MATCH($A462,Configurations,0)-1,COUNT(Assumptions!$A$90:$A$183),1),Assumptions!$D$90:$D$183,$B462&amp;$C462)</f>
        <v>0</v>
      </c>
      <c r="O462" s="313"/>
      <c r="P462" s="323"/>
      <c r="Q462" s="313"/>
      <c r="R462" s="50">
        <f t="shared" ref="R462:AU462" ca="1" si="324">IF(OR(R$99&lt;InServiceYr,R$99&gt;(InServiceYr+analysis_period-1)),0,IF($P462=0,$N462,$P462)*R$501)</f>
        <v>0</v>
      </c>
      <c r="S462" s="50">
        <f t="shared" ca="1" si="324"/>
        <v>0</v>
      </c>
      <c r="T462" s="50">
        <f t="shared" ca="1" si="324"/>
        <v>0</v>
      </c>
      <c r="U462" s="50">
        <f t="shared" ca="1" si="324"/>
        <v>0</v>
      </c>
      <c r="V462" s="50">
        <f t="shared" ca="1" si="324"/>
        <v>0</v>
      </c>
      <c r="W462" s="50">
        <f t="shared" ca="1" si="324"/>
        <v>0</v>
      </c>
      <c r="X462" s="50">
        <f t="shared" ca="1" si="324"/>
        <v>0</v>
      </c>
      <c r="Y462" s="50">
        <f t="shared" ca="1" si="324"/>
        <v>0</v>
      </c>
      <c r="Z462" s="50">
        <f t="shared" ca="1" si="324"/>
        <v>0</v>
      </c>
      <c r="AA462" s="50">
        <f t="shared" ca="1" si="324"/>
        <v>0</v>
      </c>
      <c r="AB462" s="50">
        <f t="shared" ca="1" si="324"/>
        <v>0</v>
      </c>
      <c r="AC462" s="50">
        <f t="shared" ca="1" si="324"/>
        <v>0</v>
      </c>
      <c r="AD462" s="50">
        <f t="shared" ca="1" si="324"/>
        <v>0</v>
      </c>
      <c r="AE462" s="50">
        <f t="shared" ca="1" si="324"/>
        <v>0</v>
      </c>
      <c r="AF462" s="50">
        <f t="shared" ca="1" si="324"/>
        <v>0</v>
      </c>
      <c r="AG462" s="50">
        <f t="shared" ca="1" si="324"/>
        <v>0</v>
      </c>
      <c r="AH462" s="50">
        <f t="shared" ca="1" si="324"/>
        <v>0</v>
      </c>
      <c r="AI462" s="50">
        <f t="shared" ca="1" si="324"/>
        <v>0</v>
      </c>
      <c r="AJ462" s="50">
        <f t="shared" ca="1" si="324"/>
        <v>0</v>
      </c>
      <c r="AK462" s="50">
        <f t="shared" ca="1" si="324"/>
        <v>0</v>
      </c>
      <c r="AL462" s="50">
        <f t="shared" si="324"/>
        <v>0</v>
      </c>
      <c r="AM462" s="50">
        <f t="shared" si="324"/>
        <v>0</v>
      </c>
      <c r="AN462" s="50">
        <f t="shared" si="324"/>
        <v>0</v>
      </c>
      <c r="AO462" s="50">
        <f t="shared" si="324"/>
        <v>0</v>
      </c>
      <c r="AP462" s="50">
        <f t="shared" si="324"/>
        <v>0</v>
      </c>
      <c r="AQ462" s="50">
        <f t="shared" si="324"/>
        <v>0</v>
      </c>
      <c r="AR462" s="50">
        <f t="shared" si="324"/>
        <v>0</v>
      </c>
      <c r="AS462" s="50">
        <f t="shared" si="324"/>
        <v>0</v>
      </c>
      <c r="AT462" s="50">
        <f t="shared" si="324"/>
        <v>0</v>
      </c>
      <c r="AU462" s="50">
        <f t="shared" si="324"/>
        <v>0</v>
      </c>
    </row>
    <row r="463" spans="1:47">
      <c r="A463" s="38" t="str">
        <f>$J$4&amp;"-"</f>
        <v>1Y-</v>
      </c>
      <c r="B463" s="38" t="s">
        <v>289</v>
      </c>
      <c r="C463" s="38" t="str">
        <f>C453</f>
        <v>Land Application</v>
      </c>
      <c r="D463" s="186">
        <f>LaborEsc</f>
        <v>0.02</v>
      </c>
      <c r="E463" s="325"/>
      <c r="G463" s="36" t="s">
        <v>292</v>
      </c>
      <c r="I463" s="39"/>
      <c r="K463" s="39"/>
      <c r="L463" s="43" t="str">
        <f>"["&amp;CostBaseYr&amp;" $]"</f>
        <v>[2013 $]</v>
      </c>
      <c r="N463" s="70">
        <f ca="1">SUMIFS(OFFSET(Assumptions!$I$90,0,MATCH($A463,Configurations,0)-1,COUNT(Assumptions!$A$90:$A$183),1),Assumptions!$D$90:$D$183,$B463&amp;$C463)</f>
        <v>0</v>
      </c>
      <c r="O463" s="313"/>
      <c r="P463" s="323"/>
      <c r="Q463" s="313"/>
      <c r="R463" s="50">
        <f t="shared" ref="R463:AU463" ca="1" si="325">IF(OR(R$99&lt;InServiceYr,R$99&gt;(InServiceYr+analysis_period-1)),0,IF($P463=0,$N463,$P463)*(1+$D463)^(R$99-CostBaseYr))</f>
        <v>0</v>
      </c>
      <c r="S463" s="50">
        <f t="shared" ca="1" si="325"/>
        <v>0</v>
      </c>
      <c r="T463" s="50">
        <f t="shared" ca="1" si="325"/>
        <v>0</v>
      </c>
      <c r="U463" s="50">
        <f t="shared" ca="1" si="325"/>
        <v>0</v>
      </c>
      <c r="V463" s="50">
        <f t="shared" ca="1" si="325"/>
        <v>0</v>
      </c>
      <c r="W463" s="50">
        <f t="shared" ca="1" si="325"/>
        <v>0</v>
      </c>
      <c r="X463" s="50">
        <f t="shared" ca="1" si="325"/>
        <v>0</v>
      </c>
      <c r="Y463" s="50">
        <f t="shared" ca="1" si="325"/>
        <v>0</v>
      </c>
      <c r="Z463" s="50">
        <f t="shared" ca="1" si="325"/>
        <v>0</v>
      </c>
      <c r="AA463" s="50">
        <f t="shared" ca="1" si="325"/>
        <v>0</v>
      </c>
      <c r="AB463" s="50">
        <f t="shared" ca="1" si="325"/>
        <v>0</v>
      </c>
      <c r="AC463" s="50">
        <f t="shared" ca="1" si="325"/>
        <v>0</v>
      </c>
      <c r="AD463" s="50">
        <f t="shared" ca="1" si="325"/>
        <v>0</v>
      </c>
      <c r="AE463" s="50">
        <f t="shared" ca="1" si="325"/>
        <v>0</v>
      </c>
      <c r="AF463" s="50">
        <f t="shared" ca="1" si="325"/>
        <v>0</v>
      </c>
      <c r="AG463" s="50">
        <f t="shared" ca="1" si="325"/>
        <v>0</v>
      </c>
      <c r="AH463" s="50">
        <f t="shared" ca="1" si="325"/>
        <v>0</v>
      </c>
      <c r="AI463" s="50">
        <f t="shared" ca="1" si="325"/>
        <v>0</v>
      </c>
      <c r="AJ463" s="50">
        <f t="shared" ca="1" si="325"/>
        <v>0</v>
      </c>
      <c r="AK463" s="50">
        <f t="shared" ca="1" si="325"/>
        <v>0</v>
      </c>
      <c r="AL463" s="50">
        <f t="shared" si="325"/>
        <v>0</v>
      </c>
      <c r="AM463" s="50">
        <f t="shared" si="325"/>
        <v>0</v>
      </c>
      <c r="AN463" s="50">
        <f t="shared" si="325"/>
        <v>0</v>
      </c>
      <c r="AO463" s="50">
        <f t="shared" si="325"/>
        <v>0</v>
      </c>
      <c r="AP463" s="50">
        <f t="shared" si="325"/>
        <v>0</v>
      </c>
      <c r="AQ463" s="50">
        <f t="shared" si="325"/>
        <v>0</v>
      </c>
      <c r="AR463" s="50">
        <f t="shared" si="325"/>
        <v>0</v>
      </c>
      <c r="AS463" s="50">
        <f t="shared" si="325"/>
        <v>0</v>
      </c>
      <c r="AT463" s="50">
        <f t="shared" si="325"/>
        <v>0</v>
      </c>
      <c r="AU463" s="50">
        <f t="shared" si="325"/>
        <v>0</v>
      </c>
    </row>
    <row r="464" spans="1:47" s="60" customFormat="1">
      <c r="D464" s="187"/>
      <c r="E464" s="325"/>
      <c r="G464" s="39" t="s">
        <v>305</v>
      </c>
      <c r="I464" s="39"/>
      <c r="K464" s="39"/>
      <c r="L464" s="174"/>
      <c r="N464" s="188"/>
      <c r="O464" s="314"/>
      <c r="P464" s="185"/>
      <c r="Q464" s="314"/>
      <c r="R464" s="185">
        <f ca="1">SUM(R453:R460)-SUM(R462:R463)</f>
        <v>0</v>
      </c>
      <c r="S464" s="185">
        <f t="shared" ref="S464:AU464" ca="1" si="326">SUM(S453:S460)-SUM(S462:S463)</f>
        <v>0</v>
      </c>
      <c r="T464" s="185">
        <f t="shared" ca="1" si="326"/>
        <v>0</v>
      </c>
      <c r="U464" s="185">
        <f t="shared" ca="1" si="326"/>
        <v>0</v>
      </c>
      <c r="V464" s="185">
        <f t="shared" ca="1" si="326"/>
        <v>0</v>
      </c>
      <c r="W464" s="185">
        <f t="shared" ca="1" si="326"/>
        <v>0</v>
      </c>
      <c r="X464" s="185">
        <f t="shared" ca="1" si="326"/>
        <v>0</v>
      </c>
      <c r="Y464" s="185">
        <f t="shared" ca="1" si="326"/>
        <v>0</v>
      </c>
      <c r="Z464" s="185">
        <f t="shared" ca="1" si="326"/>
        <v>0</v>
      </c>
      <c r="AA464" s="185">
        <f t="shared" ca="1" si="326"/>
        <v>0</v>
      </c>
      <c r="AB464" s="185">
        <f t="shared" ca="1" si="326"/>
        <v>0</v>
      </c>
      <c r="AC464" s="185">
        <f t="shared" ca="1" si="326"/>
        <v>0</v>
      </c>
      <c r="AD464" s="185">
        <f t="shared" ca="1" si="326"/>
        <v>0</v>
      </c>
      <c r="AE464" s="185">
        <f t="shared" ca="1" si="326"/>
        <v>0</v>
      </c>
      <c r="AF464" s="185">
        <f t="shared" ca="1" si="326"/>
        <v>0</v>
      </c>
      <c r="AG464" s="185">
        <f t="shared" ca="1" si="326"/>
        <v>0</v>
      </c>
      <c r="AH464" s="185">
        <f t="shared" ca="1" si="326"/>
        <v>0</v>
      </c>
      <c r="AI464" s="185">
        <f t="shared" ca="1" si="326"/>
        <v>0</v>
      </c>
      <c r="AJ464" s="185">
        <f t="shared" ca="1" si="326"/>
        <v>0</v>
      </c>
      <c r="AK464" s="185">
        <f t="shared" ca="1" si="326"/>
        <v>0</v>
      </c>
      <c r="AL464" s="185">
        <f t="shared" si="326"/>
        <v>0</v>
      </c>
      <c r="AM464" s="185">
        <f t="shared" si="326"/>
        <v>0</v>
      </c>
      <c r="AN464" s="185">
        <f t="shared" si="326"/>
        <v>0</v>
      </c>
      <c r="AO464" s="185">
        <f t="shared" si="326"/>
        <v>0</v>
      </c>
      <c r="AP464" s="185">
        <f t="shared" si="326"/>
        <v>0</v>
      </c>
      <c r="AQ464" s="185">
        <f t="shared" si="326"/>
        <v>0</v>
      </c>
      <c r="AR464" s="185">
        <f t="shared" si="326"/>
        <v>0</v>
      </c>
      <c r="AS464" s="185">
        <f t="shared" si="326"/>
        <v>0</v>
      </c>
      <c r="AT464" s="185">
        <f t="shared" si="326"/>
        <v>0</v>
      </c>
      <c r="AU464" s="185">
        <f t="shared" si="326"/>
        <v>0</v>
      </c>
    </row>
    <row r="465" spans="1:47">
      <c r="E465" s="36"/>
      <c r="G465" s="39"/>
      <c r="H465" s="39"/>
      <c r="I465" s="39"/>
      <c r="J465" s="39"/>
      <c r="K465" s="39"/>
    </row>
    <row r="466" spans="1:47">
      <c r="E466" s="327"/>
      <c r="F466" s="28"/>
      <c r="G466" s="324" t="str">
        <f>C469&amp;" O&amp;M"</f>
        <v>Land Disposal O&amp;M</v>
      </c>
      <c r="H466" s="324"/>
      <c r="I466" s="324"/>
      <c r="J466" s="324"/>
      <c r="K466" s="324"/>
      <c r="L466" s="405" t="s">
        <v>79</v>
      </c>
      <c r="M466" s="256"/>
      <c r="N466" s="325" t="s">
        <v>490</v>
      </c>
      <c r="O466" s="311"/>
      <c r="P466" s="325" t="s">
        <v>491</v>
      </c>
      <c r="Q466" s="310"/>
      <c r="R466" s="325">
        <f>R$8</f>
        <v>2014</v>
      </c>
      <c r="S466" s="325">
        <f t="shared" ref="S466:AU466" si="327">S$8</f>
        <v>2015</v>
      </c>
      <c r="T466" s="325">
        <f t="shared" si="327"/>
        <v>2016</v>
      </c>
      <c r="U466" s="325">
        <f t="shared" si="327"/>
        <v>2017</v>
      </c>
      <c r="V466" s="325">
        <f t="shared" si="327"/>
        <v>2018</v>
      </c>
      <c r="W466" s="325">
        <f t="shared" si="327"/>
        <v>2019</v>
      </c>
      <c r="X466" s="325">
        <f t="shared" si="327"/>
        <v>2020</v>
      </c>
      <c r="Y466" s="325">
        <f t="shared" si="327"/>
        <v>2021</v>
      </c>
      <c r="Z466" s="325">
        <f t="shared" si="327"/>
        <v>2022</v>
      </c>
      <c r="AA466" s="325">
        <f t="shared" si="327"/>
        <v>2023</v>
      </c>
      <c r="AB466" s="325">
        <f t="shared" si="327"/>
        <v>2024</v>
      </c>
      <c r="AC466" s="325">
        <f t="shared" si="327"/>
        <v>2025</v>
      </c>
      <c r="AD466" s="325">
        <f t="shared" si="327"/>
        <v>2026</v>
      </c>
      <c r="AE466" s="325">
        <f t="shared" si="327"/>
        <v>2027</v>
      </c>
      <c r="AF466" s="325">
        <f t="shared" si="327"/>
        <v>2028</v>
      </c>
      <c r="AG466" s="325">
        <f t="shared" si="327"/>
        <v>2029</v>
      </c>
      <c r="AH466" s="325">
        <f t="shared" si="327"/>
        <v>2030</v>
      </c>
      <c r="AI466" s="325">
        <f t="shared" si="327"/>
        <v>2031</v>
      </c>
      <c r="AJ466" s="325">
        <f t="shared" si="327"/>
        <v>2032</v>
      </c>
      <c r="AK466" s="325">
        <f t="shared" si="327"/>
        <v>2033</v>
      </c>
      <c r="AL466" s="325">
        <f t="shared" si="327"/>
        <v>2034</v>
      </c>
      <c r="AM466" s="325">
        <f t="shared" si="327"/>
        <v>2035</v>
      </c>
      <c r="AN466" s="325">
        <f t="shared" si="327"/>
        <v>2036</v>
      </c>
      <c r="AO466" s="325">
        <f t="shared" si="327"/>
        <v>2037</v>
      </c>
      <c r="AP466" s="325">
        <f t="shared" si="327"/>
        <v>2038</v>
      </c>
      <c r="AQ466" s="325">
        <f t="shared" si="327"/>
        <v>2039</v>
      </c>
      <c r="AR466" s="325">
        <f t="shared" si="327"/>
        <v>2040</v>
      </c>
      <c r="AS466" s="325">
        <f t="shared" si="327"/>
        <v>2041</v>
      </c>
      <c r="AT466" s="325">
        <f t="shared" si="327"/>
        <v>2042</v>
      </c>
      <c r="AU466" s="325">
        <f t="shared" si="327"/>
        <v>2043</v>
      </c>
    </row>
    <row r="467" spans="1:47">
      <c r="E467" s="325"/>
      <c r="G467" s="39"/>
      <c r="H467" s="39"/>
      <c r="I467" s="39"/>
      <c r="J467" s="39"/>
      <c r="K467" s="39"/>
    </row>
    <row r="468" spans="1:47">
      <c r="E468" s="325"/>
      <c r="G468" s="39" t="s">
        <v>23</v>
      </c>
      <c r="H468" s="39"/>
      <c r="I468" s="39"/>
      <c r="J468" s="39"/>
      <c r="K468" s="39"/>
    </row>
    <row r="469" spans="1:47">
      <c r="A469" s="38" t="str">
        <f t="shared" ref="A469:A476" si="328">$J$4&amp;"-"</f>
        <v>1Y-</v>
      </c>
      <c r="B469" s="38" t="s">
        <v>262</v>
      </c>
      <c r="C469" s="38" t="s">
        <v>311</v>
      </c>
      <c r="D469" s="186">
        <f>LaborEsc</f>
        <v>0.02</v>
      </c>
      <c r="E469" s="325"/>
      <c r="G469" s="36" t="s">
        <v>125</v>
      </c>
      <c r="I469" s="39"/>
      <c r="K469" s="39"/>
      <c r="L469" s="43" t="s">
        <v>266</v>
      </c>
      <c r="N469" s="70">
        <f ca="1">SUMIFS(OFFSET(Assumptions!$I$90,0,MATCH($A469,Configurations,0)-1,COUNT(Assumptions!$A$90:$A$183),1),Assumptions!$D$90:$D$183,$B469&amp;$C469)</f>
        <v>0</v>
      </c>
      <c r="O469" s="313"/>
      <c r="P469" s="323"/>
      <c r="Q469" s="313"/>
      <c r="R469" s="50">
        <f t="shared" ref="R469:AU469" ca="1" si="329">IF(OR(R$99&lt;InServiceYr,R$99&gt;(InServiceYr+analysis_period-1)),0,IF($P469=0,$N469,$P469)*LaborCost*(1+$D469)^(R$99-CostBaseYr))</f>
        <v>0</v>
      </c>
      <c r="S469" s="50">
        <f t="shared" ca="1" si="329"/>
        <v>0</v>
      </c>
      <c r="T469" s="50">
        <f t="shared" ca="1" si="329"/>
        <v>0</v>
      </c>
      <c r="U469" s="50">
        <f t="shared" ca="1" si="329"/>
        <v>0</v>
      </c>
      <c r="V469" s="50">
        <f t="shared" ca="1" si="329"/>
        <v>0</v>
      </c>
      <c r="W469" s="50">
        <f t="shared" ca="1" si="329"/>
        <v>0</v>
      </c>
      <c r="X469" s="50">
        <f t="shared" ca="1" si="329"/>
        <v>0</v>
      </c>
      <c r="Y469" s="50">
        <f t="shared" ca="1" si="329"/>
        <v>0</v>
      </c>
      <c r="Z469" s="50">
        <f t="shared" ca="1" si="329"/>
        <v>0</v>
      </c>
      <c r="AA469" s="50">
        <f t="shared" ca="1" si="329"/>
        <v>0</v>
      </c>
      <c r="AB469" s="50">
        <f t="shared" ca="1" si="329"/>
        <v>0</v>
      </c>
      <c r="AC469" s="50">
        <f t="shared" ca="1" si="329"/>
        <v>0</v>
      </c>
      <c r="AD469" s="50">
        <f t="shared" ca="1" si="329"/>
        <v>0</v>
      </c>
      <c r="AE469" s="50">
        <f t="shared" ca="1" si="329"/>
        <v>0</v>
      </c>
      <c r="AF469" s="50">
        <f t="shared" ca="1" si="329"/>
        <v>0</v>
      </c>
      <c r="AG469" s="50">
        <f t="shared" ca="1" si="329"/>
        <v>0</v>
      </c>
      <c r="AH469" s="50">
        <f t="shared" ca="1" si="329"/>
        <v>0</v>
      </c>
      <c r="AI469" s="50">
        <f t="shared" ca="1" si="329"/>
        <v>0</v>
      </c>
      <c r="AJ469" s="50">
        <f t="shared" ca="1" si="329"/>
        <v>0</v>
      </c>
      <c r="AK469" s="50">
        <f t="shared" ca="1" si="329"/>
        <v>0</v>
      </c>
      <c r="AL469" s="50">
        <f t="shared" si="329"/>
        <v>0</v>
      </c>
      <c r="AM469" s="50">
        <f t="shared" si="329"/>
        <v>0</v>
      </c>
      <c r="AN469" s="50">
        <f t="shared" si="329"/>
        <v>0</v>
      </c>
      <c r="AO469" s="50">
        <f t="shared" si="329"/>
        <v>0</v>
      </c>
      <c r="AP469" s="50">
        <f t="shared" si="329"/>
        <v>0</v>
      </c>
      <c r="AQ469" s="50">
        <f t="shared" si="329"/>
        <v>0</v>
      </c>
      <c r="AR469" s="50">
        <f t="shared" si="329"/>
        <v>0</v>
      </c>
      <c r="AS469" s="50">
        <f t="shared" si="329"/>
        <v>0</v>
      </c>
      <c r="AT469" s="50">
        <f t="shared" si="329"/>
        <v>0</v>
      </c>
      <c r="AU469" s="50">
        <f t="shared" si="329"/>
        <v>0</v>
      </c>
    </row>
    <row r="470" spans="1:47">
      <c r="A470" s="38" t="str">
        <f t="shared" si="328"/>
        <v>1Y-</v>
      </c>
      <c r="B470" s="38" t="s">
        <v>270</v>
      </c>
      <c r="C470" s="38" t="str">
        <f>C469</f>
        <v>Land Disposal</v>
      </c>
      <c r="D470" s="186">
        <f>OMEsc</f>
        <v>0.02</v>
      </c>
      <c r="E470" s="325"/>
      <c r="G470" s="36" t="s">
        <v>126</v>
      </c>
      <c r="I470" s="39"/>
      <c r="K470" s="39"/>
      <c r="L470" s="43" t="str">
        <f>"["&amp;CostBaseYr&amp;" $]"</f>
        <v>[2013 $]</v>
      </c>
      <c r="N470" s="70">
        <f ca="1">SUMIFS(OFFSET(Assumptions!$I$90,0,MATCH($A470,Configurations,0)-1,COUNT(Assumptions!$A$90:$A$183),1),Assumptions!$D$90:$D$183,$B470&amp;$C470)</f>
        <v>0</v>
      </c>
      <c r="O470" s="313"/>
      <c r="P470" s="323"/>
      <c r="Q470" s="313"/>
      <c r="R470" s="50">
        <f t="shared" ref="R470:AG472" ca="1" si="330">IF(OR(R$99&lt;InServiceYr,R$99&gt;(InServiceYr+analysis_period-1)),0,IF($P470=0,$N470,$P470)*(1+$D470)^(R$99-CostBaseYr))</f>
        <v>0</v>
      </c>
      <c r="S470" s="50">
        <f t="shared" ca="1" si="330"/>
        <v>0</v>
      </c>
      <c r="T470" s="50">
        <f t="shared" ca="1" si="330"/>
        <v>0</v>
      </c>
      <c r="U470" s="50">
        <f t="shared" ca="1" si="330"/>
        <v>0</v>
      </c>
      <c r="V470" s="50">
        <f t="shared" ca="1" si="330"/>
        <v>0</v>
      </c>
      <c r="W470" s="50">
        <f t="shared" ca="1" si="330"/>
        <v>0</v>
      </c>
      <c r="X470" s="50">
        <f t="shared" ca="1" si="330"/>
        <v>0</v>
      </c>
      <c r="Y470" s="50">
        <f t="shared" ca="1" si="330"/>
        <v>0</v>
      </c>
      <c r="Z470" s="50">
        <f t="shared" ca="1" si="330"/>
        <v>0</v>
      </c>
      <c r="AA470" s="50">
        <f t="shared" ca="1" si="330"/>
        <v>0</v>
      </c>
      <c r="AB470" s="50">
        <f t="shared" ca="1" si="330"/>
        <v>0</v>
      </c>
      <c r="AC470" s="50">
        <f t="shared" ca="1" si="330"/>
        <v>0</v>
      </c>
      <c r="AD470" s="50">
        <f t="shared" ca="1" si="330"/>
        <v>0</v>
      </c>
      <c r="AE470" s="50">
        <f t="shared" ca="1" si="330"/>
        <v>0</v>
      </c>
      <c r="AF470" s="50">
        <f t="shared" ca="1" si="330"/>
        <v>0</v>
      </c>
      <c r="AG470" s="50">
        <f t="shared" ca="1" si="330"/>
        <v>0</v>
      </c>
      <c r="AH470" s="50">
        <f t="shared" ref="S470:AU472" ca="1" si="331">IF(OR(AH$99&lt;InServiceYr,AH$99&gt;(InServiceYr+analysis_period-1)),0,IF($P470=0,$N470,$P470)*(1+$D470)^(AH$99-CostBaseYr))</f>
        <v>0</v>
      </c>
      <c r="AI470" s="50">
        <f t="shared" ca="1" si="331"/>
        <v>0</v>
      </c>
      <c r="AJ470" s="50">
        <f t="shared" ca="1" si="331"/>
        <v>0</v>
      </c>
      <c r="AK470" s="50">
        <f t="shared" ca="1" si="331"/>
        <v>0</v>
      </c>
      <c r="AL470" s="50">
        <f t="shared" si="331"/>
        <v>0</v>
      </c>
      <c r="AM470" s="50">
        <f t="shared" si="331"/>
        <v>0</v>
      </c>
      <c r="AN470" s="50">
        <f t="shared" si="331"/>
        <v>0</v>
      </c>
      <c r="AO470" s="50">
        <f t="shared" si="331"/>
        <v>0</v>
      </c>
      <c r="AP470" s="50">
        <f t="shared" si="331"/>
        <v>0</v>
      </c>
      <c r="AQ470" s="50">
        <f t="shared" si="331"/>
        <v>0</v>
      </c>
      <c r="AR470" s="50">
        <f t="shared" si="331"/>
        <v>0</v>
      </c>
      <c r="AS470" s="50">
        <f t="shared" si="331"/>
        <v>0</v>
      </c>
      <c r="AT470" s="50">
        <f t="shared" si="331"/>
        <v>0</v>
      </c>
      <c r="AU470" s="50">
        <f t="shared" si="331"/>
        <v>0</v>
      </c>
    </row>
    <row r="471" spans="1:47">
      <c r="A471" s="38" t="str">
        <f t="shared" si="328"/>
        <v>1Y-</v>
      </c>
      <c r="B471" s="38" t="s">
        <v>263</v>
      </c>
      <c r="C471" s="38" t="str">
        <f t="shared" ref="C471:C475" si="332">C470</f>
        <v>Land Disposal</v>
      </c>
      <c r="D471" s="186">
        <f>OMEsc</f>
        <v>0.02</v>
      </c>
      <c r="E471" s="325"/>
      <c r="G471" s="36" t="s">
        <v>127</v>
      </c>
      <c r="I471" s="39"/>
      <c r="K471" s="39"/>
      <c r="L471" s="43" t="str">
        <f>"["&amp;CostBaseYr&amp;" $]"</f>
        <v>[2013 $]</v>
      </c>
      <c r="N471" s="70">
        <f ca="1">SUMIFS(OFFSET(Assumptions!$I$90,0,MATCH($A471,Configurations,0)-1,COUNT(Assumptions!$A$90:$A$183),1),Assumptions!$D$90:$D$183,$B471&amp;$C471)</f>
        <v>0</v>
      </c>
      <c r="O471" s="313"/>
      <c r="P471" s="323"/>
      <c r="Q471" s="313"/>
      <c r="R471" s="50">
        <f t="shared" ca="1" si="330"/>
        <v>0</v>
      </c>
      <c r="S471" s="50">
        <f t="shared" ca="1" si="331"/>
        <v>0</v>
      </c>
      <c r="T471" s="50">
        <f t="shared" ca="1" si="331"/>
        <v>0</v>
      </c>
      <c r="U471" s="50">
        <f t="shared" ca="1" si="331"/>
        <v>0</v>
      </c>
      <c r="V471" s="50">
        <f t="shared" ca="1" si="331"/>
        <v>0</v>
      </c>
      <c r="W471" s="50">
        <f t="shared" ca="1" si="331"/>
        <v>0</v>
      </c>
      <c r="X471" s="50">
        <f t="shared" ca="1" si="331"/>
        <v>0</v>
      </c>
      <c r="Y471" s="50">
        <f t="shared" ca="1" si="331"/>
        <v>0</v>
      </c>
      <c r="Z471" s="50">
        <f t="shared" ca="1" si="331"/>
        <v>0</v>
      </c>
      <c r="AA471" s="50">
        <f t="shared" ca="1" si="331"/>
        <v>0</v>
      </c>
      <c r="AB471" s="50">
        <f t="shared" ca="1" si="331"/>
        <v>0</v>
      </c>
      <c r="AC471" s="50">
        <f t="shared" ca="1" si="331"/>
        <v>0</v>
      </c>
      <c r="AD471" s="50">
        <f t="shared" ca="1" si="331"/>
        <v>0</v>
      </c>
      <c r="AE471" s="50">
        <f t="shared" ca="1" si="331"/>
        <v>0</v>
      </c>
      <c r="AF471" s="50">
        <f t="shared" ca="1" si="331"/>
        <v>0</v>
      </c>
      <c r="AG471" s="50">
        <f t="shared" ca="1" si="331"/>
        <v>0</v>
      </c>
      <c r="AH471" s="50">
        <f t="shared" ca="1" si="331"/>
        <v>0</v>
      </c>
      <c r="AI471" s="50">
        <f t="shared" ca="1" si="331"/>
        <v>0</v>
      </c>
      <c r="AJ471" s="50">
        <f t="shared" ca="1" si="331"/>
        <v>0</v>
      </c>
      <c r="AK471" s="50">
        <f t="shared" ca="1" si="331"/>
        <v>0</v>
      </c>
      <c r="AL471" s="50">
        <f t="shared" si="331"/>
        <v>0</v>
      </c>
      <c r="AM471" s="50">
        <f t="shared" si="331"/>
        <v>0</v>
      </c>
      <c r="AN471" s="50">
        <f t="shared" si="331"/>
        <v>0</v>
      </c>
      <c r="AO471" s="50">
        <f t="shared" si="331"/>
        <v>0</v>
      </c>
      <c r="AP471" s="50">
        <f t="shared" si="331"/>
        <v>0</v>
      </c>
      <c r="AQ471" s="50">
        <f t="shared" si="331"/>
        <v>0</v>
      </c>
      <c r="AR471" s="50">
        <f t="shared" si="331"/>
        <v>0</v>
      </c>
      <c r="AS471" s="50">
        <f t="shared" si="331"/>
        <v>0</v>
      </c>
      <c r="AT471" s="50">
        <f t="shared" si="331"/>
        <v>0</v>
      </c>
      <c r="AU471" s="50">
        <f t="shared" si="331"/>
        <v>0</v>
      </c>
    </row>
    <row r="472" spans="1:47">
      <c r="A472" s="38" t="str">
        <f t="shared" si="328"/>
        <v>1Y-</v>
      </c>
      <c r="B472" s="38" t="s">
        <v>277</v>
      </c>
      <c r="C472" s="38" t="str">
        <f t="shared" si="332"/>
        <v>Land Disposal</v>
      </c>
      <c r="D472" s="186">
        <f>OMEsc</f>
        <v>0.02</v>
      </c>
      <c r="E472" s="325"/>
      <c r="G472" s="36" t="s">
        <v>276</v>
      </c>
      <c r="I472" s="39"/>
      <c r="K472" s="39"/>
      <c r="L472" s="43" t="str">
        <f>"["&amp;CostBaseYr&amp;" $]"</f>
        <v>[2013 $]</v>
      </c>
      <c r="N472" s="70">
        <f ca="1">SUMIFS(OFFSET(Assumptions!$I$90,0,MATCH($A472,Configurations,0)-1,COUNT(Assumptions!$A$90:$A$183),1),Assumptions!$D$90:$D$183,$B472&amp;$C472)</f>
        <v>293000</v>
      </c>
      <c r="O472" s="313"/>
      <c r="P472" s="323"/>
      <c r="Q472" s="313"/>
      <c r="R472" s="50">
        <f t="shared" ca="1" si="330"/>
        <v>298860</v>
      </c>
      <c r="S472" s="50">
        <f t="shared" ca="1" si="331"/>
        <v>304837.2</v>
      </c>
      <c r="T472" s="50">
        <f t="shared" ca="1" si="331"/>
        <v>310933.94399999996</v>
      </c>
      <c r="U472" s="50">
        <f t="shared" ca="1" si="331"/>
        <v>317152.62287999998</v>
      </c>
      <c r="V472" s="50">
        <f t="shared" ca="1" si="331"/>
        <v>323495.6753376</v>
      </c>
      <c r="W472" s="50">
        <f t="shared" ca="1" si="331"/>
        <v>329965.58884435199</v>
      </c>
      <c r="X472" s="50">
        <f t="shared" ca="1" si="331"/>
        <v>336564.90062123898</v>
      </c>
      <c r="Y472" s="50">
        <f t="shared" ca="1" si="331"/>
        <v>343296.19863366382</v>
      </c>
      <c r="Z472" s="50">
        <f t="shared" ca="1" si="331"/>
        <v>350162.12260633707</v>
      </c>
      <c r="AA472" s="50">
        <f t="shared" ca="1" si="331"/>
        <v>357165.36505846382</v>
      </c>
      <c r="AB472" s="50">
        <f t="shared" ca="1" si="331"/>
        <v>364308.67235963303</v>
      </c>
      <c r="AC472" s="50">
        <f t="shared" ca="1" si="331"/>
        <v>371594.84580682579</v>
      </c>
      <c r="AD472" s="50">
        <f t="shared" ca="1" si="331"/>
        <v>379026.74272296223</v>
      </c>
      <c r="AE472" s="50">
        <f t="shared" ca="1" si="331"/>
        <v>386607.27757742151</v>
      </c>
      <c r="AF472" s="50">
        <f t="shared" ca="1" si="331"/>
        <v>394339.42312896985</v>
      </c>
      <c r="AG472" s="50">
        <f t="shared" ca="1" si="331"/>
        <v>402226.21159154933</v>
      </c>
      <c r="AH472" s="50">
        <f t="shared" ca="1" si="331"/>
        <v>410270.73582338035</v>
      </c>
      <c r="AI472" s="50">
        <f t="shared" ca="1" si="331"/>
        <v>418476.15053984791</v>
      </c>
      <c r="AJ472" s="50">
        <f t="shared" ca="1" si="331"/>
        <v>426845.67355064483</v>
      </c>
      <c r="AK472" s="50">
        <f t="shared" ca="1" si="331"/>
        <v>435382.58702165779</v>
      </c>
      <c r="AL472" s="50">
        <f t="shared" si="331"/>
        <v>0</v>
      </c>
      <c r="AM472" s="50">
        <f t="shared" si="331"/>
        <v>0</v>
      </c>
      <c r="AN472" s="50">
        <f t="shared" si="331"/>
        <v>0</v>
      </c>
      <c r="AO472" s="50">
        <f t="shared" si="331"/>
        <v>0</v>
      </c>
      <c r="AP472" s="50">
        <f t="shared" si="331"/>
        <v>0</v>
      </c>
      <c r="AQ472" s="50">
        <f t="shared" si="331"/>
        <v>0</v>
      </c>
      <c r="AR472" s="50">
        <f t="shared" si="331"/>
        <v>0</v>
      </c>
      <c r="AS472" s="50">
        <f t="shared" si="331"/>
        <v>0</v>
      </c>
      <c r="AT472" s="50">
        <f t="shared" si="331"/>
        <v>0</v>
      </c>
      <c r="AU472" s="50">
        <f t="shared" si="331"/>
        <v>0</v>
      </c>
    </row>
    <row r="473" spans="1:47">
      <c r="A473" s="38" t="str">
        <f t="shared" si="328"/>
        <v>1Y-</v>
      </c>
      <c r="B473" s="38" t="s">
        <v>274</v>
      </c>
      <c r="C473" s="38" t="str">
        <f t="shared" si="332"/>
        <v>Land Disposal</v>
      </c>
      <c r="D473" s="186"/>
      <c r="E473" s="325"/>
      <c r="G473" s="36" t="s">
        <v>16</v>
      </c>
      <c r="I473" s="39"/>
      <c r="K473" s="39"/>
      <c r="L473" s="43" t="s">
        <v>275</v>
      </c>
      <c r="N473" s="70">
        <f ca="1">SUMIFS(OFFSET(Assumptions!$I$90,0,MATCH($A473,Configurations,0)-1,COUNT(Assumptions!$A$90:$A$183),1),Assumptions!$D$90:$D$183,$B473&amp;$C473)</f>
        <v>0</v>
      </c>
      <c r="O473" s="313"/>
      <c r="P473" s="323"/>
      <c r="Q473" s="313"/>
      <c r="R473" s="50">
        <f t="shared" ref="R473:AU473" ca="1" si="333">IF(OR(R$99&lt;InServiceYr,R$99&gt;(InServiceYr+analysis_period-1)),0,IF($P473=0,$N473,$P473)*R$505)</f>
        <v>0</v>
      </c>
      <c r="S473" s="50">
        <f t="shared" ca="1" si="333"/>
        <v>0</v>
      </c>
      <c r="T473" s="50">
        <f t="shared" ca="1" si="333"/>
        <v>0</v>
      </c>
      <c r="U473" s="50">
        <f t="shared" ca="1" si="333"/>
        <v>0</v>
      </c>
      <c r="V473" s="50">
        <f t="shared" ca="1" si="333"/>
        <v>0</v>
      </c>
      <c r="W473" s="50">
        <f t="shared" ca="1" si="333"/>
        <v>0</v>
      </c>
      <c r="X473" s="50">
        <f t="shared" ca="1" si="333"/>
        <v>0</v>
      </c>
      <c r="Y473" s="50">
        <f t="shared" ca="1" si="333"/>
        <v>0</v>
      </c>
      <c r="Z473" s="50">
        <f t="shared" ca="1" si="333"/>
        <v>0</v>
      </c>
      <c r="AA473" s="50">
        <f t="shared" ca="1" si="333"/>
        <v>0</v>
      </c>
      <c r="AB473" s="50">
        <f t="shared" ca="1" si="333"/>
        <v>0</v>
      </c>
      <c r="AC473" s="50">
        <f t="shared" ca="1" si="333"/>
        <v>0</v>
      </c>
      <c r="AD473" s="50">
        <f t="shared" ca="1" si="333"/>
        <v>0</v>
      </c>
      <c r="AE473" s="50">
        <f t="shared" ca="1" si="333"/>
        <v>0</v>
      </c>
      <c r="AF473" s="50">
        <f t="shared" ca="1" si="333"/>
        <v>0</v>
      </c>
      <c r="AG473" s="50">
        <f t="shared" ca="1" si="333"/>
        <v>0</v>
      </c>
      <c r="AH473" s="50">
        <f t="shared" ca="1" si="333"/>
        <v>0</v>
      </c>
      <c r="AI473" s="50">
        <f t="shared" ca="1" si="333"/>
        <v>0</v>
      </c>
      <c r="AJ473" s="50">
        <f t="shared" ca="1" si="333"/>
        <v>0</v>
      </c>
      <c r="AK473" s="50">
        <f t="shared" ca="1" si="333"/>
        <v>0</v>
      </c>
      <c r="AL473" s="50">
        <f t="shared" si="333"/>
        <v>0</v>
      </c>
      <c r="AM473" s="50">
        <f t="shared" si="333"/>
        <v>0</v>
      </c>
      <c r="AN473" s="50">
        <f t="shared" si="333"/>
        <v>0</v>
      </c>
      <c r="AO473" s="50">
        <f t="shared" si="333"/>
        <v>0</v>
      </c>
      <c r="AP473" s="50">
        <f t="shared" si="333"/>
        <v>0</v>
      </c>
      <c r="AQ473" s="50">
        <f t="shared" si="333"/>
        <v>0</v>
      </c>
      <c r="AR473" s="50">
        <f t="shared" si="333"/>
        <v>0</v>
      </c>
      <c r="AS473" s="50">
        <f t="shared" si="333"/>
        <v>0</v>
      </c>
      <c r="AT473" s="50">
        <f t="shared" si="333"/>
        <v>0</v>
      </c>
      <c r="AU473" s="50">
        <f t="shared" si="333"/>
        <v>0</v>
      </c>
    </row>
    <row r="474" spans="1:47">
      <c r="A474" s="38" t="str">
        <f t="shared" si="328"/>
        <v>1Y-</v>
      </c>
      <c r="B474" s="38" t="s">
        <v>257</v>
      </c>
      <c r="C474" s="38" t="str">
        <f t="shared" si="332"/>
        <v>Land Disposal</v>
      </c>
      <c r="D474" s="186"/>
      <c r="E474" s="325"/>
      <c r="G474" s="36" t="s">
        <v>284</v>
      </c>
      <c r="I474" s="39"/>
      <c r="K474" s="39"/>
      <c r="L474" s="43" t="s">
        <v>293</v>
      </c>
      <c r="N474" s="70">
        <f ca="1">SUMIFS(OFFSET(Assumptions!$I$90,0,MATCH($A474,Configurations,0)-1,COUNT(Assumptions!$A$90:$A$183),1),Assumptions!$D$90:$D$183,$B474&amp;$C474)</f>
        <v>0</v>
      </c>
      <c r="O474" s="313"/>
      <c r="P474" s="323"/>
      <c r="Q474" s="313"/>
      <c r="R474" s="50">
        <f t="shared" ref="R474:AU474" ca="1" si="334">IF(OR(R$99&lt;InServiceYr,R$99&gt;(InServiceYr+analysis_period-1)),0,IF($P474=0,$N474,$P474)*R$501)</f>
        <v>0</v>
      </c>
      <c r="S474" s="50">
        <f t="shared" ca="1" si="334"/>
        <v>0</v>
      </c>
      <c r="T474" s="50">
        <f t="shared" ca="1" si="334"/>
        <v>0</v>
      </c>
      <c r="U474" s="50">
        <f t="shared" ca="1" si="334"/>
        <v>0</v>
      </c>
      <c r="V474" s="50">
        <f t="shared" ca="1" si="334"/>
        <v>0</v>
      </c>
      <c r="W474" s="50">
        <f t="shared" ca="1" si="334"/>
        <v>0</v>
      </c>
      <c r="X474" s="50">
        <f t="shared" ca="1" si="334"/>
        <v>0</v>
      </c>
      <c r="Y474" s="50">
        <f t="shared" ca="1" si="334"/>
        <v>0</v>
      </c>
      <c r="Z474" s="50">
        <f t="shared" ca="1" si="334"/>
        <v>0</v>
      </c>
      <c r="AA474" s="50">
        <f t="shared" ca="1" si="334"/>
        <v>0</v>
      </c>
      <c r="AB474" s="50">
        <f t="shared" ca="1" si="334"/>
        <v>0</v>
      </c>
      <c r="AC474" s="50">
        <f t="shared" ca="1" si="334"/>
        <v>0</v>
      </c>
      <c r="AD474" s="50">
        <f t="shared" ca="1" si="334"/>
        <v>0</v>
      </c>
      <c r="AE474" s="50">
        <f t="shared" ca="1" si="334"/>
        <v>0</v>
      </c>
      <c r="AF474" s="50">
        <f t="shared" ca="1" si="334"/>
        <v>0</v>
      </c>
      <c r="AG474" s="50">
        <f t="shared" ca="1" si="334"/>
        <v>0</v>
      </c>
      <c r="AH474" s="50">
        <f t="shared" ca="1" si="334"/>
        <v>0</v>
      </c>
      <c r="AI474" s="50">
        <f t="shared" ca="1" si="334"/>
        <v>0</v>
      </c>
      <c r="AJ474" s="50">
        <f t="shared" ca="1" si="334"/>
        <v>0</v>
      </c>
      <c r="AK474" s="50">
        <f t="shared" ca="1" si="334"/>
        <v>0</v>
      </c>
      <c r="AL474" s="50">
        <f t="shared" si="334"/>
        <v>0</v>
      </c>
      <c r="AM474" s="50">
        <f t="shared" si="334"/>
        <v>0</v>
      </c>
      <c r="AN474" s="50">
        <f t="shared" si="334"/>
        <v>0</v>
      </c>
      <c r="AO474" s="50">
        <f t="shared" si="334"/>
        <v>0</v>
      </c>
      <c r="AP474" s="50">
        <f t="shared" si="334"/>
        <v>0</v>
      </c>
      <c r="AQ474" s="50">
        <f t="shared" si="334"/>
        <v>0</v>
      </c>
      <c r="AR474" s="50">
        <f t="shared" si="334"/>
        <v>0</v>
      </c>
      <c r="AS474" s="50">
        <f t="shared" si="334"/>
        <v>0</v>
      </c>
      <c r="AT474" s="50">
        <f t="shared" si="334"/>
        <v>0</v>
      </c>
      <c r="AU474" s="50">
        <f t="shared" si="334"/>
        <v>0</v>
      </c>
    </row>
    <row r="475" spans="1:47">
      <c r="A475" s="38" t="str">
        <f t="shared" si="328"/>
        <v>1Y-</v>
      </c>
      <c r="B475" s="38" t="s">
        <v>864</v>
      </c>
      <c r="C475" s="38" t="str">
        <f t="shared" si="332"/>
        <v>Land Disposal</v>
      </c>
      <c r="D475" s="186">
        <f>GHGEsc</f>
        <v>0.02</v>
      </c>
      <c r="E475" s="325"/>
      <c r="G475" s="36" t="s">
        <v>865</v>
      </c>
      <c r="I475" s="39"/>
      <c r="K475" s="39"/>
      <c r="L475" s="43" t="s">
        <v>866</v>
      </c>
      <c r="N475" s="70">
        <f ca="1">SUMIFS(OFFSET(Assumptions!$I$90,0,MATCH($A475,Configurations,0)-1,COUNT(Assumptions!$A$90:$A$183),1),Assumptions!$D$90:$D$183,$B475&amp;$C475)</f>
        <v>0</v>
      </c>
      <c r="O475" s="313"/>
      <c r="P475" s="323"/>
      <c r="Q475" s="313"/>
      <c r="R475" s="50">
        <f t="shared" ref="R475:AU475" ca="1" si="335">IF(OR(R$99&lt;InServiceYr,R$99&gt;(InServiceYr+analysis_period-1)),0,IF($P475=0,$N475,$P475)*R$513)</f>
        <v>0</v>
      </c>
      <c r="S475" s="50">
        <f t="shared" ca="1" si="335"/>
        <v>0</v>
      </c>
      <c r="T475" s="50">
        <f t="shared" ca="1" si="335"/>
        <v>0</v>
      </c>
      <c r="U475" s="50">
        <f t="shared" ca="1" si="335"/>
        <v>0</v>
      </c>
      <c r="V475" s="50">
        <f t="shared" ca="1" si="335"/>
        <v>0</v>
      </c>
      <c r="W475" s="50">
        <f t="shared" ca="1" si="335"/>
        <v>0</v>
      </c>
      <c r="X475" s="50">
        <f t="shared" ca="1" si="335"/>
        <v>0</v>
      </c>
      <c r="Y475" s="50">
        <f t="shared" ca="1" si="335"/>
        <v>0</v>
      </c>
      <c r="Z475" s="50">
        <f t="shared" ca="1" si="335"/>
        <v>0</v>
      </c>
      <c r="AA475" s="50">
        <f t="shared" ca="1" si="335"/>
        <v>0</v>
      </c>
      <c r="AB475" s="50">
        <f t="shared" ca="1" si="335"/>
        <v>0</v>
      </c>
      <c r="AC475" s="50">
        <f t="shared" ca="1" si="335"/>
        <v>0</v>
      </c>
      <c r="AD475" s="50">
        <f t="shared" ca="1" si="335"/>
        <v>0</v>
      </c>
      <c r="AE475" s="50">
        <f t="shared" ca="1" si="335"/>
        <v>0</v>
      </c>
      <c r="AF475" s="50">
        <f t="shared" ca="1" si="335"/>
        <v>0</v>
      </c>
      <c r="AG475" s="50">
        <f t="shared" ca="1" si="335"/>
        <v>0</v>
      </c>
      <c r="AH475" s="50">
        <f t="shared" ca="1" si="335"/>
        <v>0</v>
      </c>
      <c r="AI475" s="50">
        <f t="shared" ca="1" si="335"/>
        <v>0</v>
      </c>
      <c r="AJ475" s="50">
        <f t="shared" ca="1" si="335"/>
        <v>0</v>
      </c>
      <c r="AK475" s="50">
        <f t="shared" ca="1" si="335"/>
        <v>0</v>
      </c>
      <c r="AL475" s="50">
        <f t="shared" si="335"/>
        <v>0</v>
      </c>
      <c r="AM475" s="50">
        <f t="shared" si="335"/>
        <v>0</v>
      </c>
      <c r="AN475" s="50">
        <f t="shared" si="335"/>
        <v>0</v>
      </c>
      <c r="AO475" s="50">
        <f t="shared" si="335"/>
        <v>0</v>
      </c>
      <c r="AP475" s="50">
        <f t="shared" si="335"/>
        <v>0</v>
      </c>
      <c r="AQ475" s="50">
        <f t="shared" si="335"/>
        <v>0</v>
      </c>
      <c r="AR475" s="50">
        <f t="shared" si="335"/>
        <v>0</v>
      </c>
      <c r="AS475" s="50">
        <f t="shared" si="335"/>
        <v>0</v>
      </c>
      <c r="AT475" s="50">
        <f t="shared" si="335"/>
        <v>0</v>
      </c>
      <c r="AU475" s="50">
        <f t="shared" si="335"/>
        <v>0</v>
      </c>
    </row>
    <row r="476" spans="1:47">
      <c r="A476" s="38" t="str">
        <f t="shared" si="328"/>
        <v>1Y-</v>
      </c>
      <c r="B476" s="38" t="s">
        <v>273</v>
      </c>
      <c r="C476" s="38" t="str">
        <f>C474</f>
        <v>Land Disposal</v>
      </c>
      <c r="D476" s="186">
        <f>LaborEsc</f>
        <v>0.02</v>
      </c>
      <c r="E476" s="325"/>
      <c r="G476" s="36" t="s">
        <v>291</v>
      </c>
      <c r="I476" s="39"/>
      <c r="K476" s="39"/>
      <c r="L476" s="43" t="str">
        <f>"["&amp;CostBaseYr&amp;" $]"</f>
        <v>[2013 $]</v>
      </c>
      <c r="N476" s="70">
        <f ca="1">SUMIFS(OFFSET(Assumptions!$I$90,0,MATCH($A476,Configurations,0)-1,COUNT(Assumptions!$A$90:$A$183),1),Assumptions!$D$90:$D$183,$B476&amp;$C476)</f>
        <v>0</v>
      </c>
      <c r="O476" s="313"/>
      <c r="P476" s="323"/>
      <c r="Q476" s="313"/>
      <c r="R476" s="50">
        <f t="shared" ref="R476:AU476" ca="1" si="336">IF(OR(R$99&lt;InServiceYr,R$99&gt;(InServiceYr+analysis_period-1)),0,IF($P476=0,$N476,$P476)*(1+$D476)^(R$99-CostBaseYr))*R$509</f>
        <v>0</v>
      </c>
      <c r="S476" s="50">
        <f t="shared" ca="1" si="336"/>
        <v>0</v>
      </c>
      <c r="T476" s="50">
        <f t="shared" ca="1" si="336"/>
        <v>0</v>
      </c>
      <c r="U476" s="50">
        <f t="shared" ca="1" si="336"/>
        <v>0</v>
      </c>
      <c r="V476" s="50">
        <f t="shared" ca="1" si="336"/>
        <v>0</v>
      </c>
      <c r="W476" s="50">
        <f t="shared" ca="1" si="336"/>
        <v>0</v>
      </c>
      <c r="X476" s="50">
        <f t="shared" ca="1" si="336"/>
        <v>0</v>
      </c>
      <c r="Y476" s="50">
        <f t="shared" ca="1" si="336"/>
        <v>0</v>
      </c>
      <c r="Z476" s="50">
        <f t="shared" ca="1" si="336"/>
        <v>0</v>
      </c>
      <c r="AA476" s="50">
        <f t="shared" ca="1" si="336"/>
        <v>0</v>
      </c>
      <c r="AB476" s="50">
        <f t="shared" ca="1" si="336"/>
        <v>0</v>
      </c>
      <c r="AC476" s="50">
        <f t="shared" ca="1" si="336"/>
        <v>0</v>
      </c>
      <c r="AD476" s="50">
        <f t="shared" ca="1" si="336"/>
        <v>0</v>
      </c>
      <c r="AE476" s="50">
        <f t="shared" ca="1" si="336"/>
        <v>0</v>
      </c>
      <c r="AF476" s="50">
        <f t="shared" ca="1" si="336"/>
        <v>0</v>
      </c>
      <c r="AG476" s="50">
        <f t="shared" ca="1" si="336"/>
        <v>0</v>
      </c>
      <c r="AH476" s="50">
        <f t="shared" ca="1" si="336"/>
        <v>0</v>
      </c>
      <c r="AI476" s="50">
        <f t="shared" ca="1" si="336"/>
        <v>0</v>
      </c>
      <c r="AJ476" s="50">
        <f t="shared" ca="1" si="336"/>
        <v>0</v>
      </c>
      <c r="AK476" s="50">
        <f t="shared" ca="1" si="336"/>
        <v>0</v>
      </c>
      <c r="AL476" s="50">
        <f t="shared" si="336"/>
        <v>0</v>
      </c>
      <c r="AM476" s="50">
        <f t="shared" si="336"/>
        <v>0</v>
      </c>
      <c r="AN476" s="50">
        <f t="shared" si="336"/>
        <v>0</v>
      </c>
      <c r="AO476" s="50">
        <f t="shared" si="336"/>
        <v>0</v>
      </c>
      <c r="AP476" s="50">
        <f t="shared" si="336"/>
        <v>0</v>
      </c>
      <c r="AQ476" s="50">
        <f t="shared" si="336"/>
        <v>0</v>
      </c>
      <c r="AR476" s="50">
        <f t="shared" si="336"/>
        <v>0</v>
      </c>
      <c r="AS476" s="50">
        <f t="shared" si="336"/>
        <v>0</v>
      </c>
      <c r="AT476" s="50">
        <f t="shared" si="336"/>
        <v>0</v>
      </c>
      <c r="AU476" s="50">
        <f t="shared" si="336"/>
        <v>0</v>
      </c>
    </row>
    <row r="477" spans="1:47">
      <c r="D477" s="186"/>
      <c r="E477" s="325"/>
      <c r="G477" s="39" t="s">
        <v>304</v>
      </c>
      <c r="I477" s="39"/>
      <c r="K477" s="39"/>
      <c r="L477" s="43"/>
      <c r="N477" s="70"/>
      <c r="O477" s="313"/>
      <c r="P477" s="70"/>
      <c r="Q477" s="313"/>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row>
    <row r="478" spans="1:47">
      <c r="A478" s="38" t="str">
        <f>$J$4&amp;"-"</f>
        <v>1Y-</v>
      </c>
      <c r="B478" s="38" t="s">
        <v>265</v>
      </c>
      <c r="C478" s="38" t="str">
        <f>C469</f>
        <v>Land Disposal</v>
      </c>
      <c r="D478" s="186"/>
      <c r="E478" s="325"/>
      <c r="G478" s="36" t="s">
        <v>108</v>
      </c>
      <c r="I478" s="39"/>
      <c r="K478" s="39"/>
      <c r="L478" s="43" t="s">
        <v>293</v>
      </c>
      <c r="N478" s="70">
        <f ca="1">SUMIFS(OFFSET(Assumptions!$I$90,0,MATCH($A478,Configurations,0)-1,COUNT(Assumptions!$A$90:$A$183),1),Assumptions!$D$90:$D$183,$B478&amp;$C478)</f>
        <v>0</v>
      </c>
      <c r="O478" s="313"/>
      <c r="P478" s="323"/>
      <c r="Q478" s="313"/>
      <c r="R478" s="50">
        <f t="shared" ref="R478:AU478" ca="1" si="337">IF(OR(R$99&lt;InServiceYr,R$99&gt;(InServiceYr+analysis_period-1)),0,IF($P478=0,$N478,$P478)*R$501)</f>
        <v>0</v>
      </c>
      <c r="S478" s="50">
        <f t="shared" ca="1" si="337"/>
        <v>0</v>
      </c>
      <c r="T478" s="50">
        <f t="shared" ca="1" si="337"/>
        <v>0</v>
      </c>
      <c r="U478" s="50">
        <f t="shared" ca="1" si="337"/>
        <v>0</v>
      </c>
      <c r="V478" s="50">
        <f t="shared" ca="1" si="337"/>
        <v>0</v>
      </c>
      <c r="W478" s="50">
        <f t="shared" ca="1" si="337"/>
        <v>0</v>
      </c>
      <c r="X478" s="50">
        <f t="shared" ca="1" si="337"/>
        <v>0</v>
      </c>
      <c r="Y478" s="50">
        <f t="shared" ca="1" si="337"/>
        <v>0</v>
      </c>
      <c r="Z478" s="50">
        <f t="shared" ca="1" si="337"/>
        <v>0</v>
      </c>
      <c r="AA478" s="50">
        <f t="shared" ca="1" si="337"/>
        <v>0</v>
      </c>
      <c r="AB478" s="50">
        <f t="shared" ca="1" si="337"/>
        <v>0</v>
      </c>
      <c r="AC478" s="50">
        <f t="shared" ca="1" si="337"/>
        <v>0</v>
      </c>
      <c r="AD478" s="50">
        <f t="shared" ca="1" si="337"/>
        <v>0</v>
      </c>
      <c r="AE478" s="50">
        <f t="shared" ca="1" si="337"/>
        <v>0</v>
      </c>
      <c r="AF478" s="50">
        <f t="shared" ca="1" si="337"/>
        <v>0</v>
      </c>
      <c r="AG478" s="50">
        <f t="shared" ca="1" si="337"/>
        <v>0</v>
      </c>
      <c r="AH478" s="50">
        <f t="shared" ca="1" si="337"/>
        <v>0</v>
      </c>
      <c r="AI478" s="50">
        <f t="shared" ca="1" si="337"/>
        <v>0</v>
      </c>
      <c r="AJ478" s="50">
        <f t="shared" ca="1" si="337"/>
        <v>0</v>
      </c>
      <c r="AK478" s="50">
        <f t="shared" ca="1" si="337"/>
        <v>0</v>
      </c>
      <c r="AL478" s="50">
        <f t="shared" si="337"/>
        <v>0</v>
      </c>
      <c r="AM478" s="50">
        <f t="shared" si="337"/>
        <v>0</v>
      </c>
      <c r="AN478" s="50">
        <f t="shared" si="337"/>
        <v>0</v>
      </c>
      <c r="AO478" s="50">
        <f t="shared" si="337"/>
        <v>0</v>
      </c>
      <c r="AP478" s="50">
        <f t="shared" si="337"/>
        <v>0</v>
      </c>
      <c r="AQ478" s="50">
        <f t="shared" si="337"/>
        <v>0</v>
      </c>
      <c r="AR478" s="50">
        <f t="shared" si="337"/>
        <v>0</v>
      </c>
      <c r="AS478" s="50">
        <f t="shared" si="337"/>
        <v>0</v>
      </c>
      <c r="AT478" s="50">
        <f t="shared" si="337"/>
        <v>0</v>
      </c>
      <c r="AU478" s="50">
        <f t="shared" si="337"/>
        <v>0</v>
      </c>
    </row>
    <row r="479" spans="1:47">
      <c r="A479" s="38" t="str">
        <f>$J$4&amp;"-"</f>
        <v>1Y-</v>
      </c>
      <c r="B479" s="38" t="s">
        <v>289</v>
      </c>
      <c r="C479" s="38" t="str">
        <f>C469</f>
        <v>Land Disposal</v>
      </c>
      <c r="D479" s="186">
        <f>LaborEsc</f>
        <v>0.02</v>
      </c>
      <c r="E479" s="325"/>
      <c r="G479" s="36" t="s">
        <v>292</v>
      </c>
      <c r="I479" s="39"/>
      <c r="K479" s="39"/>
      <c r="L479" s="43" t="str">
        <f>"["&amp;CostBaseYr&amp;" $]"</f>
        <v>[2013 $]</v>
      </c>
      <c r="N479" s="70">
        <f ca="1">SUMIFS(OFFSET(Assumptions!$I$90,0,MATCH($A479,Configurations,0)-1,COUNT(Assumptions!$A$90:$A$183),1),Assumptions!$D$90:$D$183,$B479&amp;$C479)</f>
        <v>0</v>
      </c>
      <c r="O479" s="313"/>
      <c r="P479" s="323"/>
      <c r="Q479" s="313"/>
      <c r="R479" s="50">
        <f t="shared" ref="R479:AU479" ca="1" si="338">IF(OR(R$99&lt;InServiceYr,R$99&gt;(InServiceYr+analysis_period-1)),0,IF($P479=0,$N479,$P479)*(1+$D479)^(R$99-CostBaseYr))</f>
        <v>0</v>
      </c>
      <c r="S479" s="50">
        <f t="shared" ca="1" si="338"/>
        <v>0</v>
      </c>
      <c r="T479" s="50">
        <f t="shared" ca="1" si="338"/>
        <v>0</v>
      </c>
      <c r="U479" s="50">
        <f t="shared" ca="1" si="338"/>
        <v>0</v>
      </c>
      <c r="V479" s="50">
        <f t="shared" ca="1" si="338"/>
        <v>0</v>
      </c>
      <c r="W479" s="50">
        <f t="shared" ca="1" si="338"/>
        <v>0</v>
      </c>
      <c r="X479" s="50">
        <f t="shared" ca="1" si="338"/>
        <v>0</v>
      </c>
      <c r="Y479" s="50">
        <f t="shared" ca="1" si="338"/>
        <v>0</v>
      </c>
      <c r="Z479" s="50">
        <f t="shared" ca="1" si="338"/>
        <v>0</v>
      </c>
      <c r="AA479" s="50">
        <f t="shared" ca="1" si="338"/>
        <v>0</v>
      </c>
      <c r="AB479" s="50">
        <f t="shared" ca="1" si="338"/>
        <v>0</v>
      </c>
      <c r="AC479" s="50">
        <f t="shared" ca="1" si="338"/>
        <v>0</v>
      </c>
      <c r="AD479" s="50">
        <f t="shared" ca="1" si="338"/>
        <v>0</v>
      </c>
      <c r="AE479" s="50">
        <f t="shared" ca="1" si="338"/>
        <v>0</v>
      </c>
      <c r="AF479" s="50">
        <f t="shared" ca="1" si="338"/>
        <v>0</v>
      </c>
      <c r="AG479" s="50">
        <f t="shared" ca="1" si="338"/>
        <v>0</v>
      </c>
      <c r="AH479" s="50">
        <f t="shared" ca="1" si="338"/>
        <v>0</v>
      </c>
      <c r="AI479" s="50">
        <f t="shared" ca="1" si="338"/>
        <v>0</v>
      </c>
      <c r="AJ479" s="50">
        <f t="shared" ca="1" si="338"/>
        <v>0</v>
      </c>
      <c r="AK479" s="50">
        <f t="shared" ca="1" si="338"/>
        <v>0</v>
      </c>
      <c r="AL479" s="50">
        <f t="shared" si="338"/>
        <v>0</v>
      </c>
      <c r="AM479" s="50">
        <f t="shared" si="338"/>
        <v>0</v>
      </c>
      <c r="AN479" s="50">
        <f t="shared" si="338"/>
        <v>0</v>
      </c>
      <c r="AO479" s="50">
        <f t="shared" si="338"/>
        <v>0</v>
      </c>
      <c r="AP479" s="50">
        <f t="shared" si="338"/>
        <v>0</v>
      </c>
      <c r="AQ479" s="50">
        <f t="shared" si="338"/>
        <v>0</v>
      </c>
      <c r="AR479" s="50">
        <f t="shared" si="338"/>
        <v>0</v>
      </c>
      <c r="AS479" s="50">
        <f t="shared" si="338"/>
        <v>0</v>
      </c>
      <c r="AT479" s="50">
        <f t="shared" si="338"/>
        <v>0</v>
      </c>
      <c r="AU479" s="50">
        <f t="shared" si="338"/>
        <v>0</v>
      </c>
    </row>
    <row r="480" spans="1:47" s="60" customFormat="1">
      <c r="D480" s="187"/>
      <c r="E480" s="325"/>
      <c r="G480" s="39" t="s">
        <v>305</v>
      </c>
      <c r="I480" s="39"/>
      <c r="K480" s="39"/>
      <c r="L480" s="174"/>
      <c r="N480" s="188"/>
      <c r="O480" s="314"/>
      <c r="P480" s="185"/>
      <c r="Q480" s="314"/>
      <c r="R480" s="185">
        <f ca="1">SUM(R469:R476)-SUM(R478:R479)</f>
        <v>298860</v>
      </c>
      <c r="S480" s="185">
        <f t="shared" ref="S480:AU480" ca="1" si="339">SUM(S469:S476)-SUM(S478:S479)</f>
        <v>304837.2</v>
      </c>
      <c r="T480" s="185">
        <f t="shared" ca="1" si="339"/>
        <v>310933.94399999996</v>
      </c>
      <c r="U480" s="185">
        <f t="shared" ca="1" si="339"/>
        <v>317152.62287999998</v>
      </c>
      <c r="V480" s="185">
        <f t="shared" ca="1" si="339"/>
        <v>323495.6753376</v>
      </c>
      <c r="W480" s="185">
        <f t="shared" ca="1" si="339"/>
        <v>329965.58884435199</v>
      </c>
      <c r="X480" s="185">
        <f t="shared" ca="1" si="339"/>
        <v>336564.90062123898</v>
      </c>
      <c r="Y480" s="185">
        <f t="shared" ca="1" si="339"/>
        <v>343296.19863366382</v>
      </c>
      <c r="Z480" s="185">
        <f t="shared" ca="1" si="339"/>
        <v>350162.12260633707</v>
      </c>
      <c r="AA480" s="185">
        <f t="shared" ca="1" si="339"/>
        <v>357165.36505846382</v>
      </c>
      <c r="AB480" s="185">
        <f t="shared" ca="1" si="339"/>
        <v>364308.67235963303</v>
      </c>
      <c r="AC480" s="185">
        <f t="shared" ca="1" si="339"/>
        <v>371594.84580682579</v>
      </c>
      <c r="AD480" s="185">
        <f t="shared" ca="1" si="339"/>
        <v>379026.74272296223</v>
      </c>
      <c r="AE480" s="185">
        <f t="shared" ca="1" si="339"/>
        <v>386607.27757742151</v>
      </c>
      <c r="AF480" s="185">
        <f t="shared" ca="1" si="339"/>
        <v>394339.42312896985</v>
      </c>
      <c r="AG480" s="185">
        <f t="shared" ca="1" si="339"/>
        <v>402226.21159154933</v>
      </c>
      <c r="AH480" s="185">
        <f t="shared" ca="1" si="339"/>
        <v>410270.73582338035</v>
      </c>
      <c r="AI480" s="185">
        <f t="shared" ca="1" si="339"/>
        <v>418476.15053984791</v>
      </c>
      <c r="AJ480" s="185">
        <f t="shared" ca="1" si="339"/>
        <v>426845.67355064483</v>
      </c>
      <c r="AK480" s="185">
        <f t="shared" ca="1" si="339"/>
        <v>435382.58702165779</v>
      </c>
      <c r="AL480" s="185">
        <f t="shared" si="339"/>
        <v>0</v>
      </c>
      <c r="AM480" s="185">
        <f t="shared" si="339"/>
        <v>0</v>
      </c>
      <c r="AN480" s="185">
        <f t="shared" si="339"/>
        <v>0</v>
      </c>
      <c r="AO480" s="185">
        <f t="shared" si="339"/>
        <v>0</v>
      </c>
      <c r="AP480" s="185">
        <f t="shared" si="339"/>
        <v>0</v>
      </c>
      <c r="AQ480" s="185">
        <f t="shared" si="339"/>
        <v>0</v>
      </c>
      <c r="AR480" s="185">
        <f t="shared" si="339"/>
        <v>0</v>
      </c>
      <c r="AS480" s="185">
        <f t="shared" si="339"/>
        <v>0</v>
      </c>
      <c r="AT480" s="185">
        <f t="shared" si="339"/>
        <v>0</v>
      </c>
      <c r="AU480" s="185">
        <f t="shared" si="339"/>
        <v>0</v>
      </c>
    </row>
    <row r="481" spans="1:47">
      <c r="E481" s="36"/>
      <c r="G481" s="39"/>
      <c r="H481" s="39"/>
      <c r="I481" s="39"/>
      <c r="J481" s="39"/>
      <c r="K481" s="39"/>
    </row>
    <row r="482" spans="1:47">
      <c r="E482" s="327"/>
      <c r="F482" s="28"/>
      <c r="G482" s="324" t="str">
        <f>C485&amp;" O&amp;M"</f>
        <v>General O&amp;M O&amp;M</v>
      </c>
      <c r="H482" s="324"/>
      <c r="I482" s="324"/>
      <c r="J482" s="324"/>
      <c r="K482" s="324"/>
      <c r="L482" s="405" t="s">
        <v>79</v>
      </c>
      <c r="M482" s="256"/>
      <c r="N482" s="325" t="s">
        <v>490</v>
      </c>
      <c r="O482" s="311"/>
      <c r="P482" s="325" t="s">
        <v>491</v>
      </c>
      <c r="Q482" s="310"/>
      <c r="R482" s="325">
        <f>R$8</f>
        <v>2014</v>
      </c>
      <c r="S482" s="325">
        <f t="shared" ref="S482:AU482" si="340">S$8</f>
        <v>2015</v>
      </c>
      <c r="T482" s="325">
        <f t="shared" si="340"/>
        <v>2016</v>
      </c>
      <c r="U482" s="325">
        <f t="shared" si="340"/>
        <v>2017</v>
      </c>
      <c r="V482" s="325">
        <f t="shared" si="340"/>
        <v>2018</v>
      </c>
      <c r="W482" s="325">
        <f t="shared" si="340"/>
        <v>2019</v>
      </c>
      <c r="X482" s="325">
        <f t="shared" si="340"/>
        <v>2020</v>
      </c>
      <c r="Y482" s="325">
        <f t="shared" si="340"/>
        <v>2021</v>
      </c>
      <c r="Z482" s="325">
        <f t="shared" si="340"/>
        <v>2022</v>
      </c>
      <c r="AA482" s="325">
        <f t="shared" si="340"/>
        <v>2023</v>
      </c>
      <c r="AB482" s="325">
        <f t="shared" si="340"/>
        <v>2024</v>
      </c>
      <c r="AC482" s="325">
        <f t="shared" si="340"/>
        <v>2025</v>
      </c>
      <c r="AD482" s="325">
        <f t="shared" si="340"/>
        <v>2026</v>
      </c>
      <c r="AE482" s="325">
        <f t="shared" si="340"/>
        <v>2027</v>
      </c>
      <c r="AF482" s="325">
        <f t="shared" si="340"/>
        <v>2028</v>
      </c>
      <c r="AG482" s="325">
        <f t="shared" si="340"/>
        <v>2029</v>
      </c>
      <c r="AH482" s="325">
        <f t="shared" si="340"/>
        <v>2030</v>
      </c>
      <c r="AI482" s="325">
        <f t="shared" si="340"/>
        <v>2031</v>
      </c>
      <c r="AJ482" s="325">
        <f t="shared" si="340"/>
        <v>2032</v>
      </c>
      <c r="AK482" s="325">
        <f t="shared" si="340"/>
        <v>2033</v>
      </c>
      <c r="AL482" s="325">
        <f t="shared" si="340"/>
        <v>2034</v>
      </c>
      <c r="AM482" s="325">
        <f t="shared" si="340"/>
        <v>2035</v>
      </c>
      <c r="AN482" s="325">
        <f t="shared" si="340"/>
        <v>2036</v>
      </c>
      <c r="AO482" s="325">
        <f t="shared" si="340"/>
        <v>2037</v>
      </c>
      <c r="AP482" s="325">
        <f t="shared" si="340"/>
        <v>2038</v>
      </c>
      <c r="AQ482" s="325">
        <f t="shared" si="340"/>
        <v>2039</v>
      </c>
      <c r="AR482" s="325">
        <f t="shared" si="340"/>
        <v>2040</v>
      </c>
      <c r="AS482" s="325">
        <f t="shared" si="340"/>
        <v>2041</v>
      </c>
      <c r="AT482" s="325">
        <f t="shared" si="340"/>
        <v>2042</v>
      </c>
      <c r="AU482" s="325">
        <f t="shared" si="340"/>
        <v>2043</v>
      </c>
    </row>
    <row r="483" spans="1:47">
      <c r="E483" s="325"/>
      <c r="G483" s="39"/>
      <c r="H483" s="39"/>
      <c r="I483" s="39"/>
      <c r="J483" s="39"/>
      <c r="K483" s="39"/>
    </row>
    <row r="484" spans="1:47">
      <c r="E484" s="325"/>
      <c r="G484" s="39" t="s">
        <v>23</v>
      </c>
      <c r="H484" s="39"/>
      <c r="I484" s="39"/>
      <c r="J484" s="39"/>
      <c r="K484" s="39"/>
    </row>
    <row r="485" spans="1:47">
      <c r="A485" s="38" t="str">
        <f t="shared" ref="A485:A492" si="341">$J$4&amp;"-"</f>
        <v>1Y-</v>
      </c>
      <c r="B485" s="38" t="s">
        <v>262</v>
      </c>
      <c r="C485" s="38" t="s">
        <v>308</v>
      </c>
      <c r="D485" s="186">
        <f>LaborEsc</f>
        <v>0.02</v>
      </c>
      <c r="E485" s="325"/>
      <c r="G485" s="36" t="s">
        <v>125</v>
      </c>
      <c r="I485" s="39"/>
      <c r="K485" s="39"/>
      <c r="L485" s="43" t="s">
        <v>266</v>
      </c>
      <c r="N485" s="70">
        <f ca="1">SUMIFS(OFFSET(Assumptions!$I$90,0,MATCH($A485,Configurations,0)-1,COUNT(Assumptions!$A$90:$A$183),1),Assumptions!$D$90:$D$183,$B485&amp;$C485)</f>
        <v>0</v>
      </c>
      <c r="O485" s="313"/>
      <c r="P485" s="323"/>
      <c r="Q485" s="313"/>
      <c r="R485" s="50">
        <f t="shared" ref="R485:AU485" ca="1" si="342">IF(OR(R$99&lt;InServiceYr,R$99&gt;(InServiceYr+analysis_period-1)),0,IF($P485=0,$N485,$P485)*LaborCost*(1+$D485)^(R$99-CostBaseYr))</f>
        <v>0</v>
      </c>
      <c r="S485" s="50">
        <f t="shared" ca="1" si="342"/>
        <v>0</v>
      </c>
      <c r="T485" s="50">
        <f t="shared" ca="1" si="342"/>
        <v>0</v>
      </c>
      <c r="U485" s="50">
        <f t="shared" ca="1" si="342"/>
        <v>0</v>
      </c>
      <c r="V485" s="50">
        <f t="shared" ca="1" si="342"/>
        <v>0</v>
      </c>
      <c r="W485" s="50">
        <f t="shared" ca="1" si="342"/>
        <v>0</v>
      </c>
      <c r="X485" s="50">
        <f t="shared" ca="1" si="342"/>
        <v>0</v>
      </c>
      <c r="Y485" s="50">
        <f t="shared" ca="1" si="342"/>
        <v>0</v>
      </c>
      <c r="Z485" s="50">
        <f t="shared" ca="1" si="342"/>
        <v>0</v>
      </c>
      <c r="AA485" s="50">
        <f t="shared" ca="1" si="342"/>
        <v>0</v>
      </c>
      <c r="AB485" s="50">
        <f t="shared" ca="1" si="342"/>
        <v>0</v>
      </c>
      <c r="AC485" s="50">
        <f t="shared" ca="1" si="342"/>
        <v>0</v>
      </c>
      <c r="AD485" s="50">
        <f t="shared" ca="1" si="342"/>
        <v>0</v>
      </c>
      <c r="AE485" s="50">
        <f t="shared" ca="1" si="342"/>
        <v>0</v>
      </c>
      <c r="AF485" s="50">
        <f t="shared" ca="1" si="342"/>
        <v>0</v>
      </c>
      <c r="AG485" s="50">
        <f t="shared" ca="1" si="342"/>
        <v>0</v>
      </c>
      <c r="AH485" s="50">
        <f t="shared" ca="1" si="342"/>
        <v>0</v>
      </c>
      <c r="AI485" s="50">
        <f t="shared" ca="1" si="342"/>
        <v>0</v>
      </c>
      <c r="AJ485" s="50">
        <f t="shared" ca="1" si="342"/>
        <v>0</v>
      </c>
      <c r="AK485" s="50">
        <f t="shared" ca="1" si="342"/>
        <v>0</v>
      </c>
      <c r="AL485" s="50">
        <f t="shared" si="342"/>
        <v>0</v>
      </c>
      <c r="AM485" s="50">
        <f t="shared" si="342"/>
        <v>0</v>
      </c>
      <c r="AN485" s="50">
        <f t="shared" si="342"/>
        <v>0</v>
      </c>
      <c r="AO485" s="50">
        <f t="shared" si="342"/>
        <v>0</v>
      </c>
      <c r="AP485" s="50">
        <f t="shared" si="342"/>
        <v>0</v>
      </c>
      <c r="AQ485" s="50">
        <f t="shared" si="342"/>
        <v>0</v>
      </c>
      <c r="AR485" s="50">
        <f t="shared" si="342"/>
        <v>0</v>
      </c>
      <c r="AS485" s="50">
        <f t="shared" si="342"/>
        <v>0</v>
      </c>
      <c r="AT485" s="50">
        <f t="shared" si="342"/>
        <v>0</v>
      </c>
      <c r="AU485" s="50">
        <f t="shared" si="342"/>
        <v>0</v>
      </c>
    </row>
    <row r="486" spans="1:47">
      <c r="A486" s="38" t="str">
        <f t="shared" si="341"/>
        <v>1Y-</v>
      </c>
      <c r="B486" s="38" t="s">
        <v>270</v>
      </c>
      <c r="C486" s="38" t="str">
        <f>C485</f>
        <v>General O&amp;M</v>
      </c>
      <c r="D486" s="186">
        <f>OMEsc</f>
        <v>0.02</v>
      </c>
      <c r="E486" s="325"/>
      <c r="G486" s="36" t="s">
        <v>126</v>
      </c>
      <c r="I486" s="39"/>
      <c r="K486" s="39"/>
      <c r="L486" s="43" t="str">
        <f>"["&amp;CostBaseYr&amp;" $]"</f>
        <v>[2013 $]</v>
      </c>
      <c r="N486" s="70">
        <f ca="1">SUMIFS(OFFSET(Assumptions!$I$90,0,MATCH($A486,Configurations,0)-1,COUNT(Assumptions!$A$90:$A$183),1),Assumptions!$D$90:$D$183,$B486&amp;$C486)</f>
        <v>0</v>
      </c>
      <c r="O486" s="313"/>
      <c r="P486" s="323"/>
      <c r="Q486" s="313"/>
      <c r="R486" s="50">
        <f t="shared" ref="R486:AG488" ca="1" si="343">IF(OR(R$99&lt;InServiceYr,R$99&gt;(InServiceYr+analysis_period-1)),0,IF($P486=0,$N486,$P486)*(1+$D486)^(R$99-CostBaseYr))</f>
        <v>0</v>
      </c>
      <c r="S486" s="50">
        <f t="shared" ca="1" si="343"/>
        <v>0</v>
      </c>
      <c r="T486" s="50">
        <f t="shared" ca="1" si="343"/>
        <v>0</v>
      </c>
      <c r="U486" s="50">
        <f t="shared" ca="1" si="343"/>
        <v>0</v>
      </c>
      <c r="V486" s="50">
        <f t="shared" ca="1" si="343"/>
        <v>0</v>
      </c>
      <c r="W486" s="50">
        <f t="shared" ca="1" si="343"/>
        <v>0</v>
      </c>
      <c r="X486" s="50">
        <f t="shared" ca="1" si="343"/>
        <v>0</v>
      </c>
      <c r="Y486" s="50">
        <f t="shared" ca="1" si="343"/>
        <v>0</v>
      </c>
      <c r="Z486" s="50">
        <f t="shared" ca="1" si="343"/>
        <v>0</v>
      </c>
      <c r="AA486" s="50">
        <f t="shared" ca="1" si="343"/>
        <v>0</v>
      </c>
      <c r="AB486" s="50">
        <f t="shared" ca="1" si="343"/>
        <v>0</v>
      </c>
      <c r="AC486" s="50">
        <f t="shared" ca="1" si="343"/>
        <v>0</v>
      </c>
      <c r="AD486" s="50">
        <f t="shared" ca="1" si="343"/>
        <v>0</v>
      </c>
      <c r="AE486" s="50">
        <f t="shared" ca="1" si="343"/>
        <v>0</v>
      </c>
      <c r="AF486" s="50">
        <f t="shared" ca="1" si="343"/>
        <v>0</v>
      </c>
      <c r="AG486" s="50">
        <f t="shared" ca="1" si="343"/>
        <v>0</v>
      </c>
      <c r="AH486" s="50">
        <f t="shared" ref="S486:AU488" ca="1" si="344">IF(OR(AH$99&lt;InServiceYr,AH$99&gt;(InServiceYr+analysis_period-1)),0,IF($P486=0,$N486,$P486)*(1+$D486)^(AH$99-CostBaseYr))</f>
        <v>0</v>
      </c>
      <c r="AI486" s="50">
        <f t="shared" ca="1" si="344"/>
        <v>0</v>
      </c>
      <c r="AJ486" s="50">
        <f t="shared" ca="1" si="344"/>
        <v>0</v>
      </c>
      <c r="AK486" s="50">
        <f t="shared" ca="1" si="344"/>
        <v>0</v>
      </c>
      <c r="AL486" s="50">
        <f t="shared" si="344"/>
        <v>0</v>
      </c>
      <c r="AM486" s="50">
        <f t="shared" si="344"/>
        <v>0</v>
      </c>
      <c r="AN486" s="50">
        <f t="shared" si="344"/>
        <v>0</v>
      </c>
      <c r="AO486" s="50">
        <f t="shared" si="344"/>
        <v>0</v>
      </c>
      <c r="AP486" s="50">
        <f t="shared" si="344"/>
        <v>0</v>
      </c>
      <c r="AQ486" s="50">
        <f t="shared" si="344"/>
        <v>0</v>
      </c>
      <c r="AR486" s="50">
        <f t="shared" si="344"/>
        <v>0</v>
      </c>
      <c r="AS486" s="50">
        <f t="shared" si="344"/>
        <v>0</v>
      </c>
      <c r="AT486" s="50">
        <f t="shared" si="344"/>
        <v>0</v>
      </c>
      <c r="AU486" s="50">
        <f t="shared" si="344"/>
        <v>0</v>
      </c>
    </row>
    <row r="487" spans="1:47">
      <c r="A487" s="38" t="str">
        <f t="shared" si="341"/>
        <v>1Y-</v>
      </c>
      <c r="B487" s="38" t="s">
        <v>263</v>
      </c>
      <c r="C487" s="38" t="str">
        <f t="shared" ref="C487:C491" si="345">C486</f>
        <v>General O&amp;M</v>
      </c>
      <c r="D487" s="186">
        <f>OMEsc</f>
        <v>0.02</v>
      </c>
      <c r="E487" s="325"/>
      <c r="G487" s="36" t="s">
        <v>127</v>
      </c>
      <c r="I487" s="39"/>
      <c r="K487" s="39"/>
      <c r="L487" s="43" t="str">
        <f>"["&amp;CostBaseYr&amp;" $]"</f>
        <v>[2013 $]</v>
      </c>
      <c r="N487" s="70">
        <f ca="1">SUMIFS(OFFSET(Assumptions!$I$90,0,MATCH($A487,Configurations,0)-1,COUNT(Assumptions!$A$90:$A$183),1),Assumptions!$D$90:$D$183,$B487&amp;$C487)</f>
        <v>120000</v>
      </c>
      <c r="O487" s="313"/>
      <c r="P487" s="323"/>
      <c r="Q487" s="313"/>
      <c r="R487" s="50">
        <f t="shared" ca="1" si="343"/>
        <v>122400</v>
      </c>
      <c r="S487" s="50">
        <f t="shared" ca="1" si="344"/>
        <v>124848</v>
      </c>
      <c r="T487" s="50">
        <f t="shared" ca="1" si="344"/>
        <v>127344.95999999999</v>
      </c>
      <c r="U487" s="50">
        <f t="shared" ca="1" si="344"/>
        <v>129891.85919999999</v>
      </c>
      <c r="V487" s="50">
        <f t="shared" ca="1" si="344"/>
        <v>132489.69638400001</v>
      </c>
      <c r="W487" s="50">
        <f t="shared" ca="1" si="344"/>
        <v>135139.49031168001</v>
      </c>
      <c r="X487" s="50">
        <f t="shared" ca="1" si="344"/>
        <v>137842.28011791359</v>
      </c>
      <c r="Y487" s="50">
        <f t="shared" ca="1" si="344"/>
        <v>140599.12572027187</v>
      </c>
      <c r="Z487" s="50">
        <f t="shared" ca="1" si="344"/>
        <v>143411.10823467729</v>
      </c>
      <c r="AA487" s="50">
        <f t="shared" ca="1" si="344"/>
        <v>146279.33039937084</v>
      </c>
      <c r="AB487" s="50">
        <f t="shared" ca="1" si="344"/>
        <v>149204.91700735825</v>
      </c>
      <c r="AC487" s="50">
        <f t="shared" ca="1" si="344"/>
        <v>152189.01534750542</v>
      </c>
      <c r="AD487" s="50">
        <f t="shared" ca="1" si="344"/>
        <v>155232.79565445552</v>
      </c>
      <c r="AE487" s="50">
        <f t="shared" ca="1" si="344"/>
        <v>158337.45156754466</v>
      </c>
      <c r="AF487" s="50">
        <f t="shared" ca="1" si="344"/>
        <v>161504.20059889552</v>
      </c>
      <c r="AG487" s="50">
        <f t="shared" ca="1" si="344"/>
        <v>164734.28461087344</v>
      </c>
      <c r="AH487" s="50">
        <f t="shared" ca="1" si="344"/>
        <v>168028.97030309093</v>
      </c>
      <c r="AI487" s="50">
        <f t="shared" ca="1" si="344"/>
        <v>171389.54970915272</v>
      </c>
      <c r="AJ487" s="50">
        <f t="shared" ca="1" si="344"/>
        <v>174817.34070333577</v>
      </c>
      <c r="AK487" s="50">
        <f t="shared" ca="1" si="344"/>
        <v>178313.68751740252</v>
      </c>
      <c r="AL487" s="50">
        <f t="shared" si="344"/>
        <v>0</v>
      </c>
      <c r="AM487" s="50">
        <f t="shared" si="344"/>
        <v>0</v>
      </c>
      <c r="AN487" s="50">
        <f t="shared" si="344"/>
        <v>0</v>
      </c>
      <c r="AO487" s="50">
        <f t="shared" si="344"/>
        <v>0</v>
      </c>
      <c r="AP487" s="50">
        <f t="shared" si="344"/>
        <v>0</v>
      </c>
      <c r="AQ487" s="50">
        <f t="shared" si="344"/>
        <v>0</v>
      </c>
      <c r="AR487" s="50">
        <f t="shared" si="344"/>
        <v>0</v>
      </c>
      <c r="AS487" s="50">
        <f t="shared" si="344"/>
        <v>0</v>
      </c>
      <c r="AT487" s="50">
        <f t="shared" si="344"/>
        <v>0</v>
      </c>
      <c r="AU487" s="50">
        <f t="shared" si="344"/>
        <v>0</v>
      </c>
    </row>
    <row r="488" spans="1:47">
      <c r="A488" s="38" t="str">
        <f t="shared" si="341"/>
        <v>1Y-</v>
      </c>
      <c r="B488" s="38" t="s">
        <v>277</v>
      </c>
      <c r="C488" s="38" t="str">
        <f t="shared" si="345"/>
        <v>General O&amp;M</v>
      </c>
      <c r="D488" s="186">
        <f>OMEsc</f>
        <v>0.02</v>
      </c>
      <c r="E488" s="325"/>
      <c r="G488" s="36" t="s">
        <v>276</v>
      </c>
      <c r="I488" s="39"/>
      <c r="K488" s="39"/>
      <c r="L488" s="43" t="str">
        <f>"["&amp;CostBaseYr&amp;" $]"</f>
        <v>[2013 $]</v>
      </c>
      <c r="N488" s="70">
        <f ca="1">SUMIFS(OFFSET(Assumptions!$I$90,0,MATCH($A488,Configurations,0)-1,COUNT(Assumptions!$A$90:$A$183),1),Assumptions!$D$90:$D$183,$B488&amp;$C488)</f>
        <v>0</v>
      </c>
      <c r="O488" s="313"/>
      <c r="P488" s="323"/>
      <c r="Q488" s="313"/>
      <c r="R488" s="50">
        <f t="shared" ca="1" si="343"/>
        <v>0</v>
      </c>
      <c r="S488" s="50">
        <f t="shared" ca="1" si="344"/>
        <v>0</v>
      </c>
      <c r="T488" s="50">
        <f t="shared" ca="1" si="344"/>
        <v>0</v>
      </c>
      <c r="U488" s="50">
        <f t="shared" ca="1" si="344"/>
        <v>0</v>
      </c>
      <c r="V488" s="50">
        <f t="shared" ca="1" si="344"/>
        <v>0</v>
      </c>
      <c r="W488" s="50">
        <f t="shared" ca="1" si="344"/>
        <v>0</v>
      </c>
      <c r="X488" s="50">
        <f t="shared" ca="1" si="344"/>
        <v>0</v>
      </c>
      <c r="Y488" s="50">
        <f t="shared" ca="1" si="344"/>
        <v>0</v>
      </c>
      <c r="Z488" s="50">
        <f t="shared" ca="1" si="344"/>
        <v>0</v>
      </c>
      <c r="AA488" s="50">
        <f t="shared" ca="1" si="344"/>
        <v>0</v>
      </c>
      <c r="AB488" s="50">
        <f t="shared" ca="1" si="344"/>
        <v>0</v>
      </c>
      <c r="AC488" s="50">
        <f t="shared" ca="1" si="344"/>
        <v>0</v>
      </c>
      <c r="AD488" s="50">
        <f t="shared" ca="1" si="344"/>
        <v>0</v>
      </c>
      <c r="AE488" s="50">
        <f t="shared" ca="1" si="344"/>
        <v>0</v>
      </c>
      <c r="AF488" s="50">
        <f t="shared" ca="1" si="344"/>
        <v>0</v>
      </c>
      <c r="AG488" s="50">
        <f t="shared" ca="1" si="344"/>
        <v>0</v>
      </c>
      <c r="AH488" s="50">
        <f t="shared" ca="1" si="344"/>
        <v>0</v>
      </c>
      <c r="AI488" s="50">
        <f t="shared" ca="1" si="344"/>
        <v>0</v>
      </c>
      <c r="AJ488" s="50">
        <f t="shared" ca="1" si="344"/>
        <v>0</v>
      </c>
      <c r="AK488" s="50">
        <f t="shared" ca="1" si="344"/>
        <v>0</v>
      </c>
      <c r="AL488" s="50">
        <f t="shared" si="344"/>
        <v>0</v>
      </c>
      <c r="AM488" s="50">
        <f t="shared" si="344"/>
        <v>0</v>
      </c>
      <c r="AN488" s="50">
        <f t="shared" si="344"/>
        <v>0</v>
      </c>
      <c r="AO488" s="50">
        <f t="shared" si="344"/>
        <v>0</v>
      </c>
      <c r="AP488" s="50">
        <f t="shared" si="344"/>
        <v>0</v>
      </c>
      <c r="AQ488" s="50">
        <f t="shared" si="344"/>
        <v>0</v>
      </c>
      <c r="AR488" s="50">
        <f t="shared" si="344"/>
        <v>0</v>
      </c>
      <c r="AS488" s="50">
        <f t="shared" si="344"/>
        <v>0</v>
      </c>
      <c r="AT488" s="50">
        <f t="shared" si="344"/>
        <v>0</v>
      </c>
      <c r="AU488" s="50">
        <f t="shared" si="344"/>
        <v>0</v>
      </c>
    </row>
    <row r="489" spans="1:47">
      <c r="A489" s="38" t="str">
        <f t="shared" si="341"/>
        <v>1Y-</v>
      </c>
      <c r="B489" s="38" t="s">
        <v>274</v>
      </c>
      <c r="C489" s="38" t="str">
        <f t="shared" si="345"/>
        <v>General O&amp;M</v>
      </c>
      <c r="D489" s="186"/>
      <c r="E489" s="325"/>
      <c r="G489" s="36" t="s">
        <v>16</v>
      </c>
      <c r="I489" s="39"/>
      <c r="K489" s="39"/>
      <c r="L489" s="43" t="s">
        <v>275</v>
      </c>
      <c r="N489" s="70">
        <f ca="1">SUMIFS(OFFSET(Assumptions!$I$90,0,MATCH($A489,Configurations,0)-1,COUNT(Assumptions!$A$90:$A$183),1),Assumptions!$D$90:$D$183,$B489&amp;$C489)</f>
        <v>0</v>
      </c>
      <c r="O489" s="313"/>
      <c r="P489" s="323"/>
      <c r="Q489" s="313"/>
      <c r="R489" s="50">
        <f t="shared" ref="R489:AU489" ca="1" si="346">IF(OR(R$99&lt;InServiceYr,R$99&gt;(InServiceYr+analysis_period-1)),0,IF($P489=0,$N489,$P489)*R$505)</f>
        <v>0</v>
      </c>
      <c r="S489" s="50">
        <f t="shared" ca="1" si="346"/>
        <v>0</v>
      </c>
      <c r="T489" s="50">
        <f t="shared" ca="1" si="346"/>
        <v>0</v>
      </c>
      <c r="U489" s="50">
        <f t="shared" ca="1" si="346"/>
        <v>0</v>
      </c>
      <c r="V489" s="50">
        <f t="shared" ca="1" si="346"/>
        <v>0</v>
      </c>
      <c r="W489" s="50">
        <f t="shared" ca="1" si="346"/>
        <v>0</v>
      </c>
      <c r="X489" s="50">
        <f t="shared" ca="1" si="346"/>
        <v>0</v>
      </c>
      <c r="Y489" s="50">
        <f t="shared" ca="1" si="346"/>
        <v>0</v>
      </c>
      <c r="Z489" s="50">
        <f t="shared" ca="1" si="346"/>
        <v>0</v>
      </c>
      <c r="AA489" s="50">
        <f t="shared" ca="1" si="346"/>
        <v>0</v>
      </c>
      <c r="AB489" s="50">
        <f t="shared" ca="1" si="346"/>
        <v>0</v>
      </c>
      <c r="AC489" s="50">
        <f t="shared" ca="1" si="346"/>
        <v>0</v>
      </c>
      <c r="AD489" s="50">
        <f t="shared" ca="1" si="346"/>
        <v>0</v>
      </c>
      <c r="AE489" s="50">
        <f t="shared" ca="1" si="346"/>
        <v>0</v>
      </c>
      <c r="AF489" s="50">
        <f t="shared" ca="1" si="346"/>
        <v>0</v>
      </c>
      <c r="AG489" s="50">
        <f t="shared" ca="1" si="346"/>
        <v>0</v>
      </c>
      <c r="AH489" s="50">
        <f t="shared" ca="1" si="346"/>
        <v>0</v>
      </c>
      <c r="AI489" s="50">
        <f t="shared" ca="1" si="346"/>
        <v>0</v>
      </c>
      <c r="AJ489" s="50">
        <f t="shared" ca="1" si="346"/>
        <v>0</v>
      </c>
      <c r="AK489" s="50">
        <f t="shared" ca="1" si="346"/>
        <v>0</v>
      </c>
      <c r="AL489" s="50">
        <f t="shared" si="346"/>
        <v>0</v>
      </c>
      <c r="AM489" s="50">
        <f t="shared" si="346"/>
        <v>0</v>
      </c>
      <c r="AN489" s="50">
        <f t="shared" si="346"/>
        <v>0</v>
      </c>
      <c r="AO489" s="50">
        <f t="shared" si="346"/>
        <v>0</v>
      </c>
      <c r="AP489" s="50">
        <f t="shared" si="346"/>
        <v>0</v>
      </c>
      <c r="AQ489" s="50">
        <f t="shared" si="346"/>
        <v>0</v>
      </c>
      <c r="AR489" s="50">
        <f t="shared" si="346"/>
        <v>0</v>
      </c>
      <c r="AS489" s="50">
        <f t="shared" si="346"/>
        <v>0</v>
      </c>
      <c r="AT489" s="50">
        <f t="shared" si="346"/>
        <v>0</v>
      </c>
      <c r="AU489" s="50">
        <f t="shared" si="346"/>
        <v>0</v>
      </c>
    </row>
    <row r="490" spans="1:47">
      <c r="A490" s="38" t="str">
        <f t="shared" si="341"/>
        <v>1Y-</v>
      </c>
      <c r="B490" s="38" t="s">
        <v>257</v>
      </c>
      <c r="C490" s="38" t="str">
        <f t="shared" si="345"/>
        <v>General O&amp;M</v>
      </c>
      <c r="D490" s="186"/>
      <c r="E490" s="325"/>
      <c r="G490" s="36" t="s">
        <v>284</v>
      </c>
      <c r="I490" s="39"/>
      <c r="K490" s="39"/>
      <c r="L490" s="43" t="s">
        <v>293</v>
      </c>
      <c r="N490" s="70">
        <f ca="1">SUMIFS(OFFSET(Assumptions!$I$90,0,MATCH($A490,Configurations,0)-1,COUNT(Assumptions!$A$90:$A$183),1),Assumptions!$D$90:$D$183,$B490&amp;$C490)</f>
        <v>0</v>
      </c>
      <c r="O490" s="313"/>
      <c r="P490" s="323"/>
      <c r="Q490" s="313"/>
      <c r="R490" s="50">
        <f t="shared" ref="R490:AU490" ca="1" si="347">IF(OR(R$99&lt;InServiceYr,R$99&gt;(InServiceYr+analysis_period-1)),0,IF($P490=0,$N490,$P490)*R$501)</f>
        <v>0</v>
      </c>
      <c r="S490" s="50">
        <f t="shared" ca="1" si="347"/>
        <v>0</v>
      </c>
      <c r="T490" s="50">
        <f t="shared" ca="1" si="347"/>
        <v>0</v>
      </c>
      <c r="U490" s="50">
        <f t="shared" ca="1" si="347"/>
        <v>0</v>
      </c>
      <c r="V490" s="50">
        <f t="shared" ca="1" si="347"/>
        <v>0</v>
      </c>
      <c r="W490" s="50">
        <f t="shared" ca="1" si="347"/>
        <v>0</v>
      </c>
      <c r="X490" s="50">
        <f t="shared" ca="1" si="347"/>
        <v>0</v>
      </c>
      <c r="Y490" s="50">
        <f t="shared" ca="1" si="347"/>
        <v>0</v>
      </c>
      <c r="Z490" s="50">
        <f t="shared" ca="1" si="347"/>
        <v>0</v>
      </c>
      <c r="AA490" s="50">
        <f t="shared" ca="1" si="347"/>
        <v>0</v>
      </c>
      <c r="AB490" s="50">
        <f t="shared" ca="1" si="347"/>
        <v>0</v>
      </c>
      <c r="AC490" s="50">
        <f t="shared" ca="1" si="347"/>
        <v>0</v>
      </c>
      <c r="AD490" s="50">
        <f t="shared" ca="1" si="347"/>
        <v>0</v>
      </c>
      <c r="AE490" s="50">
        <f t="shared" ca="1" si="347"/>
        <v>0</v>
      </c>
      <c r="AF490" s="50">
        <f t="shared" ca="1" si="347"/>
        <v>0</v>
      </c>
      <c r="AG490" s="50">
        <f t="shared" ca="1" si="347"/>
        <v>0</v>
      </c>
      <c r="AH490" s="50">
        <f t="shared" ca="1" si="347"/>
        <v>0</v>
      </c>
      <c r="AI490" s="50">
        <f t="shared" ca="1" si="347"/>
        <v>0</v>
      </c>
      <c r="AJ490" s="50">
        <f t="shared" ca="1" si="347"/>
        <v>0</v>
      </c>
      <c r="AK490" s="50">
        <f t="shared" ca="1" si="347"/>
        <v>0</v>
      </c>
      <c r="AL490" s="50">
        <f t="shared" si="347"/>
        <v>0</v>
      </c>
      <c r="AM490" s="50">
        <f t="shared" si="347"/>
        <v>0</v>
      </c>
      <c r="AN490" s="50">
        <f t="shared" si="347"/>
        <v>0</v>
      </c>
      <c r="AO490" s="50">
        <f t="shared" si="347"/>
        <v>0</v>
      </c>
      <c r="AP490" s="50">
        <f t="shared" si="347"/>
        <v>0</v>
      </c>
      <c r="AQ490" s="50">
        <f t="shared" si="347"/>
        <v>0</v>
      </c>
      <c r="AR490" s="50">
        <f t="shared" si="347"/>
        <v>0</v>
      </c>
      <c r="AS490" s="50">
        <f t="shared" si="347"/>
        <v>0</v>
      </c>
      <c r="AT490" s="50">
        <f t="shared" si="347"/>
        <v>0</v>
      </c>
      <c r="AU490" s="50">
        <f t="shared" si="347"/>
        <v>0</v>
      </c>
    </row>
    <row r="491" spans="1:47">
      <c r="A491" s="38" t="str">
        <f t="shared" si="341"/>
        <v>1Y-</v>
      </c>
      <c r="B491" s="38" t="s">
        <v>864</v>
      </c>
      <c r="C491" s="38" t="str">
        <f t="shared" si="345"/>
        <v>General O&amp;M</v>
      </c>
      <c r="D491" s="186">
        <f>GHGEsc</f>
        <v>0.02</v>
      </c>
      <c r="E491" s="325"/>
      <c r="G491" s="36" t="s">
        <v>865</v>
      </c>
      <c r="I491" s="39"/>
      <c r="K491" s="39"/>
      <c r="L491" s="43" t="s">
        <v>866</v>
      </c>
      <c r="N491" s="70">
        <f ca="1">SUMIFS(OFFSET(Assumptions!$I$90,0,MATCH($A491,Configurations,0)-1,COUNT(Assumptions!$A$90:$A$183),1),Assumptions!$D$90:$D$183,$B491&amp;$C491)</f>
        <v>0</v>
      </c>
      <c r="O491" s="313"/>
      <c r="P491" s="323"/>
      <c r="Q491" s="313"/>
      <c r="R491" s="50">
        <f t="shared" ref="R491:AU491" ca="1" si="348">IF(OR(R$99&lt;InServiceYr,R$99&gt;(InServiceYr+analysis_period-1)),0,IF($P491=0,$N491,$P491)*R$513)</f>
        <v>0</v>
      </c>
      <c r="S491" s="50">
        <f t="shared" ca="1" si="348"/>
        <v>0</v>
      </c>
      <c r="T491" s="50">
        <f t="shared" ca="1" si="348"/>
        <v>0</v>
      </c>
      <c r="U491" s="50">
        <f t="shared" ca="1" si="348"/>
        <v>0</v>
      </c>
      <c r="V491" s="50">
        <f t="shared" ca="1" si="348"/>
        <v>0</v>
      </c>
      <c r="W491" s="50">
        <f t="shared" ca="1" si="348"/>
        <v>0</v>
      </c>
      <c r="X491" s="50">
        <f t="shared" ca="1" si="348"/>
        <v>0</v>
      </c>
      <c r="Y491" s="50">
        <f t="shared" ca="1" si="348"/>
        <v>0</v>
      </c>
      <c r="Z491" s="50">
        <f t="shared" ca="1" si="348"/>
        <v>0</v>
      </c>
      <c r="AA491" s="50">
        <f t="shared" ca="1" si="348"/>
        <v>0</v>
      </c>
      <c r="AB491" s="50">
        <f t="shared" ca="1" si="348"/>
        <v>0</v>
      </c>
      <c r="AC491" s="50">
        <f t="shared" ca="1" si="348"/>
        <v>0</v>
      </c>
      <c r="AD491" s="50">
        <f t="shared" ca="1" si="348"/>
        <v>0</v>
      </c>
      <c r="AE491" s="50">
        <f t="shared" ca="1" si="348"/>
        <v>0</v>
      </c>
      <c r="AF491" s="50">
        <f t="shared" ca="1" si="348"/>
        <v>0</v>
      </c>
      <c r="AG491" s="50">
        <f t="shared" ca="1" si="348"/>
        <v>0</v>
      </c>
      <c r="AH491" s="50">
        <f t="shared" ca="1" si="348"/>
        <v>0</v>
      </c>
      <c r="AI491" s="50">
        <f t="shared" ca="1" si="348"/>
        <v>0</v>
      </c>
      <c r="AJ491" s="50">
        <f t="shared" ca="1" si="348"/>
        <v>0</v>
      </c>
      <c r="AK491" s="50">
        <f t="shared" ca="1" si="348"/>
        <v>0</v>
      </c>
      <c r="AL491" s="50">
        <f t="shared" si="348"/>
        <v>0</v>
      </c>
      <c r="AM491" s="50">
        <f t="shared" si="348"/>
        <v>0</v>
      </c>
      <c r="AN491" s="50">
        <f t="shared" si="348"/>
        <v>0</v>
      </c>
      <c r="AO491" s="50">
        <f t="shared" si="348"/>
        <v>0</v>
      </c>
      <c r="AP491" s="50">
        <f t="shared" si="348"/>
        <v>0</v>
      </c>
      <c r="AQ491" s="50">
        <f t="shared" si="348"/>
        <v>0</v>
      </c>
      <c r="AR491" s="50">
        <f t="shared" si="348"/>
        <v>0</v>
      </c>
      <c r="AS491" s="50">
        <f t="shared" si="348"/>
        <v>0</v>
      </c>
      <c r="AT491" s="50">
        <f t="shared" si="348"/>
        <v>0</v>
      </c>
      <c r="AU491" s="50">
        <f t="shared" si="348"/>
        <v>0</v>
      </c>
    </row>
    <row r="492" spans="1:47">
      <c r="A492" s="38" t="str">
        <f t="shared" si="341"/>
        <v>1Y-</v>
      </c>
      <c r="B492" s="38" t="s">
        <v>273</v>
      </c>
      <c r="C492" s="38" t="str">
        <f>C490</f>
        <v>General O&amp;M</v>
      </c>
      <c r="D492" s="186">
        <f>LaborEsc</f>
        <v>0.02</v>
      </c>
      <c r="E492" s="325"/>
      <c r="G492" s="36" t="s">
        <v>291</v>
      </c>
      <c r="I492" s="39"/>
      <c r="K492" s="39"/>
      <c r="L492" s="43" t="str">
        <f>"["&amp;CostBaseYr&amp;" $]"</f>
        <v>[2013 $]</v>
      </c>
      <c r="N492" s="70">
        <f ca="1">SUMIFS(OFFSET(Assumptions!$I$90,0,MATCH($A492,Configurations,0)-1,COUNT(Assumptions!$A$90:$A$183),1),Assumptions!$D$90:$D$183,$B492&amp;$C492)</f>
        <v>0</v>
      </c>
      <c r="O492" s="313"/>
      <c r="P492" s="323"/>
      <c r="Q492" s="313"/>
      <c r="R492" s="50">
        <f t="shared" ref="R492:AU492" ca="1" si="349">IF(OR(R$99&lt;InServiceYr,R$99&gt;(InServiceYr+analysis_period-1)),0,IF($P492=0,$N492,$P492)*(1+$D492)^(R$99-CostBaseYr))*R$509</f>
        <v>0</v>
      </c>
      <c r="S492" s="50">
        <f t="shared" ca="1" si="349"/>
        <v>0</v>
      </c>
      <c r="T492" s="50">
        <f t="shared" ca="1" si="349"/>
        <v>0</v>
      </c>
      <c r="U492" s="50">
        <f t="shared" ca="1" si="349"/>
        <v>0</v>
      </c>
      <c r="V492" s="50">
        <f t="shared" ca="1" si="349"/>
        <v>0</v>
      </c>
      <c r="W492" s="50">
        <f t="shared" ca="1" si="349"/>
        <v>0</v>
      </c>
      <c r="X492" s="50">
        <f t="shared" ca="1" si="349"/>
        <v>0</v>
      </c>
      <c r="Y492" s="50">
        <f t="shared" ca="1" si="349"/>
        <v>0</v>
      </c>
      <c r="Z492" s="50">
        <f t="shared" ca="1" si="349"/>
        <v>0</v>
      </c>
      <c r="AA492" s="50">
        <f t="shared" ca="1" si="349"/>
        <v>0</v>
      </c>
      <c r="AB492" s="50">
        <f t="shared" ca="1" si="349"/>
        <v>0</v>
      </c>
      <c r="AC492" s="50">
        <f t="shared" ca="1" si="349"/>
        <v>0</v>
      </c>
      <c r="AD492" s="50">
        <f t="shared" ca="1" si="349"/>
        <v>0</v>
      </c>
      <c r="AE492" s="50">
        <f t="shared" ca="1" si="349"/>
        <v>0</v>
      </c>
      <c r="AF492" s="50">
        <f t="shared" ca="1" si="349"/>
        <v>0</v>
      </c>
      <c r="AG492" s="50">
        <f t="shared" ca="1" si="349"/>
        <v>0</v>
      </c>
      <c r="AH492" s="50">
        <f t="shared" ca="1" si="349"/>
        <v>0</v>
      </c>
      <c r="AI492" s="50">
        <f t="shared" ca="1" si="349"/>
        <v>0</v>
      </c>
      <c r="AJ492" s="50">
        <f t="shared" ca="1" si="349"/>
        <v>0</v>
      </c>
      <c r="AK492" s="50">
        <f t="shared" ca="1" si="349"/>
        <v>0</v>
      </c>
      <c r="AL492" s="50">
        <f t="shared" si="349"/>
        <v>0</v>
      </c>
      <c r="AM492" s="50">
        <f t="shared" si="349"/>
        <v>0</v>
      </c>
      <c r="AN492" s="50">
        <f t="shared" si="349"/>
        <v>0</v>
      </c>
      <c r="AO492" s="50">
        <f t="shared" si="349"/>
        <v>0</v>
      </c>
      <c r="AP492" s="50">
        <f t="shared" si="349"/>
        <v>0</v>
      </c>
      <c r="AQ492" s="50">
        <f t="shared" si="349"/>
        <v>0</v>
      </c>
      <c r="AR492" s="50">
        <f t="shared" si="349"/>
        <v>0</v>
      </c>
      <c r="AS492" s="50">
        <f t="shared" si="349"/>
        <v>0</v>
      </c>
      <c r="AT492" s="50">
        <f t="shared" si="349"/>
        <v>0</v>
      </c>
      <c r="AU492" s="50">
        <f t="shared" si="349"/>
        <v>0</v>
      </c>
    </row>
    <row r="493" spans="1:47">
      <c r="D493" s="186"/>
      <c r="E493" s="325"/>
      <c r="G493" s="39" t="s">
        <v>304</v>
      </c>
      <c r="I493" s="39"/>
      <c r="K493" s="39"/>
      <c r="L493" s="43"/>
      <c r="N493" s="70"/>
      <c r="O493" s="313"/>
      <c r="P493" s="70"/>
      <c r="Q493" s="313"/>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row>
    <row r="494" spans="1:47">
      <c r="A494" s="38" t="str">
        <f>$J$4&amp;"-"</f>
        <v>1Y-</v>
      </c>
      <c r="B494" s="38" t="s">
        <v>265</v>
      </c>
      <c r="C494" s="38" t="str">
        <f>C485</f>
        <v>General O&amp;M</v>
      </c>
      <c r="D494" s="186"/>
      <c r="E494" s="325"/>
      <c r="G494" s="36" t="s">
        <v>108</v>
      </c>
      <c r="I494" s="39"/>
      <c r="K494" s="39"/>
      <c r="L494" s="43" t="s">
        <v>293</v>
      </c>
      <c r="N494" s="70">
        <f ca="1">SUMIFS(OFFSET(Assumptions!$I$90,0,MATCH($A494,Configurations,0)-1,COUNT(Assumptions!$A$90:$A$183),1),Assumptions!$D$90:$D$183,$B494&amp;$C494)</f>
        <v>0</v>
      </c>
      <c r="O494" s="313"/>
      <c r="P494" s="323"/>
      <c r="Q494" s="313"/>
      <c r="R494" s="50">
        <f t="shared" ref="R494:AU494" ca="1" si="350">IF(OR(R$99&lt;InServiceYr,R$99&gt;(InServiceYr+analysis_period-1)),0,IF($P494=0,$N494,$P494)*R$501)</f>
        <v>0</v>
      </c>
      <c r="S494" s="50">
        <f t="shared" ca="1" si="350"/>
        <v>0</v>
      </c>
      <c r="T494" s="50">
        <f t="shared" ca="1" si="350"/>
        <v>0</v>
      </c>
      <c r="U494" s="50">
        <f t="shared" ca="1" si="350"/>
        <v>0</v>
      </c>
      <c r="V494" s="50">
        <f t="shared" ca="1" si="350"/>
        <v>0</v>
      </c>
      <c r="W494" s="50">
        <f t="shared" ca="1" si="350"/>
        <v>0</v>
      </c>
      <c r="X494" s="50">
        <f t="shared" ca="1" si="350"/>
        <v>0</v>
      </c>
      <c r="Y494" s="50">
        <f t="shared" ca="1" si="350"/>
        <v>0</v>
      </c>
      <c r="Z494" s="50">
        <f t="shared" ca="1" si="350"/>
        <v>0</v>
      </c>
      <c r="AA494" s="50">
        <f t="shared" ca="1" si="350"/>
        <v>0</v>
      </c>
      <c r="AB494" s="50">
        <f t="shared" ca="1" si="350"/>
        <v>0</v>
      </c>
      <c r="AC494" s="50">
        <f t="shared" ca="1" si="350"/>
        <v>0</v>
      </c>
      <c r="AD494" s="50">
        <f t="shared" ca="1" si="350"/>
        <v>0</v>
      </c>
      <c r="AE494" s="50">
        <f t="shared" ca="1" si="350"/>
        <v>0</v>
      </c>
      <c r="AF494" s="50">
        <f t="shared" ca="1" si="350"/>
        <v>0</v>
      </c>
      <c r="AG494" s="50">
        <f t="shared" ca="1" si="350"/>
        <v>0</v>
      </c>
      <c r="AH494" s="50">
        <f t="shared" ca="1" si="350"/>
        <v>0</v>
      </c>
      <c r="AI494" s="50">
        <f t="shared" ca="1" si="350"/>
        <v>0</v>
      </c>
      <c r="AJ494" s="50">
        <f t="shared" ca="1" si="350"/>
        <v>0</v>
      </c>
      <c r="AK494" s="50">
        <f t="shared" ca="1" si="350"/>
        <v>0</v>
      </c>
      <c r="AL494" s="50">
        <f t="shared" si="350"/>
        <v>0</v>
      </c>
      <c r="AM494" s="50">
        <f t="shared" si="350"/>
        <v>0</v>
      </c>
      <c r="AN494" s="50">
        <f t="shared" si="350"/>
        <v>0</v>
      </c>
      <c r="AO494" s="50">
        <f t="shared" si="350"/>
        <v>0</v>
      </c>
      <c r="AP494" s="50">
        <f t="shared" si="350"/>
        <v>0</v>
      </c>
      <c r="AQ494" s="50">
        <f t="shared" si="350"/>
        <v>0</v>
      </c>
      <c r="AR494" s="50">
        <f t="shared" si="350"/>
        <v>0</v>
      </c>
      <c r="AS494" s="50">
        <f t="shared" si="350"/>
        <v>0</v>
      </c>
      <c r="AT494" s="50">
        <f t="shared" si="350"/>
        <v>0</v>
      </c>
      <c r="AU494" s="50">
        <f t="shared" si="350"/>
        <v>0</v>
      </c>
    </row>
    <row r="495" spans="1:47">
      <c r="A495" s="38" t="str">
        <f>$J$4&amp;"-"</f>
        <v>1Y-</v>
      </c>
      <c r="B495" s="38" t="s">
        <v>289</v>
      </c>
      <c r="C495" s="38" t="str">
        <f>C485</f>
        <v>General O&amp;M</v>
      </c>
      <c r="D495" s="186">
        <f>LaborEsc</f>
        <v>0.02</v>
      </c>
      <c r="E495" s="325"/>
      <c r="G495" s="36" t="s">
        <v>292</v>
      </c>
      <c r="I495" s="39"/>
      <c r="K495" s="39"/>
      <c r="L495" s="43" t="str">
        <f>"["&amp;CostBaseYr&amp;" $]"</f>
        <v>[2013 $]</v>
      </c>
      <c r="N495" s="70">
        <f ca="1">SUMIFS(OFFSET(Assumptions!$I$90,0,MATCH($A495,Configurations,0)-1,COUNT(Assumptions!$A$90:$A$183),1),Assumptions!$D$90:$D$183,$B495&amp;$C495)</f>
        <v>0</v>
      </c>
      <c r="O495" s="313"/>
      <c r="P495" s="323"/>
      <c r="Q495" s="313"/>
      <c r="R495" s="50">
        <f t="shared" ref="R495:AU495" ca="1" si="351">IF(OR(R$99&lt;InServiceYr,R$99&gt;(InServiceYr+analysis_period-1)),0,IF($P495=0,$N495,$P495)*(1+$D495)^(R$99-CostBaseYr))</f>
        <v>0</v>
      </c>
      <c r="S495" s="50">
        <f t="shared" ca="1" si="351"/>
        <v>0</v>
      </c>
      <c r="T495" s="50">
        <f t="shared" ca="1" si="351"/>
        <v>0</v>
      </c>
      <c r="U495" s="50">
        <f t="shared" ca="1" si="351"/>
        <v>0</v>
      </c>
      <c r="V495" s="50">
        <f t="shared" ca="1" si="351"/>
        <v>0</v>
      </c>
      <c r="W495" s="50">
        <f t="shared" ca="1" si="351"/>
        <v>0</v>
      </c>
      <c r="X495" s="50">
        <f t="shared" ca="1" si="351"/>
        <v>0</v>
      </c>
      <c r="Y495" s="50">
        <f t="shared" ca="1" si="351"/>
        <v>0</v>
      </c>
      <c r="Z495" s="50">
        <f t="shared" ca="1" si="351"/>
        <v>0</v>
      </c>
      <c r="AA495" s="50">
        <f t="shared" ca="1" si="351"/>
        <v>0</v>
      </c>
      <c r="AB495" s="50">
        <f t="shared" ca="1" si="351"/>
        <v>0</v>
      </c>
      <c r="AC495" s="50">
        <f t="shared" ca="1" si="351"/>
        <v>0</v>
      </c>
      <c r="AD495" s="50">
        <f t="shared" ca="1" si="351"/>
        <v>0</v>
      </c>
      <c r="AE495" s="50">
        <f t="shared" ca="1" si="351"/>
        <v>0</v>
      </c>
      <c r="AF495" s="50">
        <f t="shared" ca="1" si="351"/>
        <v>0</v>
      </c>
      <c r="AG495" s="50">
        <f t="shared" ca="1" si="351"/>
        <v>0</v>
      </c>
      <c r="AH495" s="50">
        <f t="shared" ca="1" si="351"/>
        <v>0</v>
      </c>
      <c r="AI495" s="50">
        <f t="shared" ca="1" si="351"/>
        <v>0</v>
      </c>
      <c r="AJ495" s="50">
        <f t="shared" ca="1" si="351"/>
        <v>0</v>
      </c>
      <c r="AK495" s="50">
        <f t="shared" ca="1" si="351"/>
        <v>0</v>
      </c>
      <c r="AL495" s="50">
        <f t="shared" si="351"/>
        <v>0</v>
      </c>
      <c r="AM495" s="50">
        <f t="shared" si="351"/>
        <v>0</v>
      </c>
      <c r="AN495" s="50">
        <f t="shared" si="351"/>
        <v>0</v>
      </c>
      <c r="AO495" s="50">
        <f t="shared" si="351"/>
        <v>0</v>
      </c>
      <c r="AP495" s="50">
        <f t="shared" si="351"/>
        <v>0</v>
      </c>
      <c r="AQ495" s="50">
        <f t="shared" si="351"/>
        <v>0</v>
      </c>
      <c r="AR495" s="50">
        <f t="shared" si="351"/>
        <v>0</v>
      </c>
      <c r="AS495" s="50">
        <f t="shared" si="351"/>
        <v>0</v>
      </c>
      <c r="AT495" s="50">
        <f t="shared" si="351"/>
        <v>0</v>
      </c>
      <c r="AU495" s="50">
        <f t="shared" si="351"/>
        <v>0</v>
      </c>
    </row>
    <row r="496" spans="1:47" s="60" customFormat="1">
      <c r="D496" s="187"/>
      <c r="E496" s="325"/>
      <c r="G496" s="39" t="s">
        <v>305</v>
      </c>
      <c r="I496" s="39"/>
      <c r="K496" s="39"/>
      <c r="L496" s="174"/>
      <c r="N496" s="188"/>
      <c r="O496" s="314"/>
      <c r="P496" s="185"/>
      <c r="Q496" s="314"/>
      <c r="R496" s="185">
        <f ca="1">SUM(R485:R492)-SUM(R494:R495)</f>
        <v>122400</v>
      </c>
      <c r="S496" s="185">
        <f t="shared" ref="S496:AU496" ca="1" si="352">SUM(S485:S492)-SUM(S494:S495)</f>
        <v>124848</v>
      </c>
      <c r="T496" s="185">
        <f t="shared" ca="1" si="352"/>
        <v>127344.95999999999</v>
      </c>
      <c r="U496" s="185">
        <f t="shared" ca="1" si="352"/>
        <v>129891.85919999999</v>
      </c>
      <c r="V496" s="185">
        <f t="shared" ca="1" si="352"/>
        <v>132489.69638400001</v>
      </c>
      <c r="W496" s="185">
        <f t="shared" ca="1" si="352"/>
        <v>135139.49031168001</v>
      </c>
      <c r="X496" s="185">
        <f t="shared" ca="1" si="352"/>
        <v>137842.28011791359</v>
      </c>
      <c r="Y496" s="185">
        <f t="shared" ca="1" si="352"/>
        <v>140599.12572027187</v>
      </c>
      <c r="Z496" s="185">
        <f t="shared" ca="1" si="352"/>
        <v>143411.10823467729</v>
      </c>
      <c r="AA496" s="185">
        <f t="shared" ca="1" si="352"/>
        <v>146279.33039937084</v>
      </c>
      <c r="AB496" s="185">
        <f t="shared" ca="1" si="352"/>
        <v>149204.91700735825</v>
      </c>
      <c r="AC496" s="185">
        <f t="shared" ca="1" si="352"/>
        <v>152189.01534750542</v>
      </c>
      <c r="AD496" s="185">
        <f t="shared" ca="1" si="352"/>
        <v>155232.79565445552</v>
      </c>
      <c r="AE496" s="185">
        <f t="shared" ca="1" si="352"/>
        <v>158337.45156754466</v>
      </c>
      <c r="AF496" s="185">
        <f t="shared" ca="1" si="352"/>
        <v>161504.20059889552</v>
      </c>
      <c r="AG496" s="185">
        <f t="shared" ca="1" si="352"/>
        <v>164734.28461087344</v>
      </c>
      <c r="AH496" s="185">
        <f t="shared" ca="1" si="352"/>
        <v>168028.97030309093</v>
      </c>
      <c r="AI496" s="185">
        <f t="shared" ca="1" si="352"/>
        <v>171389.54970915272</v>
      </c>
      <c r="AJ496" s="185">
        <f t="shared" ca="1" si="352"/>
        <v>174817.34070333577</v>
      </c>
      <c r="AK496" s="185">
        <f t="shared" ca="1" si="352"/>
        <v>178313.68751740252</v>
      </c>
      <c r="AL496" s="185">
        <f t="shared" si="352"/>
        <v>0</v>
      </c>
      <c r="AM496" s="185">
        <f t="shared" si="352"/>
        <v>0</v>
      </c>
      <c r="AN496" s="185">
        <f t="shared" si="352"/>
        <v>0</v>
      </c>
      <c r="AO496" s="185">
        <f t="shared" si="352"/>
        <v>0</v>
      </c>
      <c r="AP496" s="185">
        <f t="shared" si="352"/>
        <v>0</v>
      </c>
      <c r="AQ496" s="185">
        <f t="shared" si="352"/>
        <v>0</v>
      </c>
      <c r="AR496" s="185">
        <f t="shared" si="352"/>
        <v>0</v>
      </c>
      <c r="AS496" s="185">
        <f t="shared" si="352"/>
        <v>0</v>
      </c>
      <c r="AT496" s="185">
        <f t="shared" si="352"/>
        <v>0</v>
      </c>
      <c r="AU496" s="185">
        <f t="shared" si="352"/>
        <v>0</v>
      </c>
    </row>
    <row r="497" spans="1:16384">
      <c r="E497" s="36"/>
      <c r="G497" s="39"/>
      <c r="H497" s="39"/>
      <c r="I497" s="39"/>
      <c r="J497" s="39"/>
      <c r="K497" s="39"/>
    </row>
    <row r="498" spans="1:16384">
      <c r="E498" s="36"/>
      <c r="G498" s="39"/>
      <c r="H498" s="39"/>
      <c r="I498" s="39"/>
      <c r="J498" s="39"/>
      <c r="K498" s="39"/>
    </row>
    <row r="499" spans="1:16384">
      <c r="E499" s="327"/>
      <c r="F499" s="28"/>
      <c r="G499" s="324" t="s">
        <v>6</v>
      </c>
      <c r="H499" s="324"/>
      <c r="I499" s="324"/>
      <c r="J499" s="324"/>
      <c r="K499" s="324"/>
      <c r="L499" s="405" t="s">
        <v>79</v>
      </c>
      <c r="M499" s="256"/>
      <c r="N499" s="325"/>
      <c r="O499" s="311"/>
      <c r="P499" s="325"/>
      <c r="Q499" s="310"/>
      <c r="R499" s="325">
        <f>R$8</f>
        <v>2014</v>
      </c>
      <c r="S499" s="325">
        <f t="shared" ref="S499:AU499" si="353">S$8</f>
        <v>2015</v>
      </c>
      <c r="T499" s="325">
        <f t="shared" si="353"/>
        <v>2016</v>
      </c>
      <c r="U499" s="325">
        <f t="shared" si="353"/>
        <v>2017</v>
      </c>
      <c r="V499" s="325">
        <f t="shared" si="353"/>
        <v>2018</v>
      </c>
      <c r="W499" s="325">
        <f t="shared" si="353"/>
        <v>2019</v>
      </c>
      <c r="X499" s="325">
        <f t="shared" si="353"/>
        <v>2020</v>
      </c>
      <c r="Y499" s="325">
        <f t="shared" si="353"/>
        <v>2021</v>
      </c>
      <c r="Z499" s="325">
        <f t="shared" si="353"/>
        <v>2022</v>
      </c>
      <c r="AA499" s="325">
        <f t="shared" si="353"/>
        <v>2023</v>
      </c>
      <c r="AB499" s="325">
        <f t="shared" si="353"/>
        <v>2024</v>
      </c>
      <c r="AC499" s="325">
        <f t="shared" si="353"/>
        <v>2025</v>
      </c>
      <c r="AD499" s="325">
        <f t="shared" si="353"/>
        <v>2026</v>
      </c>
      <c r="AE499" s="325">
        <f t="shared" si="353"/>
        <v>2027</v>
      </c>
      <c r="AF499" s="325">
        <f t="shared" si="353"/>
        <v>2028</v>
      </c>
      <c r="AG499" s="325">
        <f t="shared" si="353"/>
        <v>2029</v>
      </c>
      <c r="AH499" s="325">
        <f t="shared" si="353"/>
        <v>2030</v>
      </c>
      <c r="AI499" s="325">
        <f t="shared" si="353"/>
        <v>2031</v>
      </c>
      <c r="AJ499" s="325">
        <f t="shared" si="353"/>
        <v>2032</v>
      </c>
      <c r="AK499" s="325">
        <f t="shared" si="353"/>
        <v>2033</v>
      </c>
      <c r="AL499" s="325">
        <f t="shared" si="353"/>
        <v>2034</v>
      </c>
      <c r="AM499" s="325">
        <f t="shared" si="353"/>
        <v>2035</v>
      </c>
      <c r="AN499" s="325">
        <f t="shared" si="353"/>
        <v>2036</v>
      </c>
      <c r="AO499" s="325">
        <f t="shared" si="353"/>
        <v>2037</v>
      </c>
      <c r="AP499" s="325">
        <f t="shared" si="353"/>
        <v>2038</v>
      </c>
      <c r="AQ499" s="325">
        <f t="shared" si="353"/>
        <v>2039</v>
      </c>
      <c r="AR499" s="325">
        <f t="shared" si="353"/>
        <v>2040</v>
      </c>
      <c r="AS499" s="325">
        <f t="shared" si="353"/>
        <v>2041</v>
      </c>
      <c r="AT499" s="325">
        <f t="shared" si="353"/>
        <v>2042</v>
      </c>
      <c r="AU499" s="325">
        <f t="shared" si="353"/>
        <v>2043</v>
      </c>
    </row>
    <row r="500" spans="1:16384">
      <c r="E500" s="325"/>
      <c r="G500" s="39"/>
      <c r="H500" s="39"/>
      <c r="I500" s="39"/>
      <c r="J500" s="39"/>
      <c r="K500" s="39"/>
    </row>
    <row r="501" spans="1:16384">
      <c r="E501" s="325"/>
      <c r="G501" s="36" t="s">
        <v>90</v>
      </c>
      <c r="H501" s="39"/>
      <c r="I501" s="39"/>
      <c r="J501" s="70"/>
      <c r="K501" s="39"/>
      <c r="L501" s="43" t="str">
        <f>Assumptions!G29</f>
        <v>[Nominal $/kWh]</v>
      </c>
      <c r="N501" s="320"/>
      <c r="P501" s="320"/>
      <c r="Q501" s="52"/>
      <c r="R501" s="52">
        <f>Assumptions!M29</f>
        <v>6.4581556062773368E-2</v>
      </c>
      <c r="S501" s="52">
        <f>Assumptions!N29</f>
        <v>6.4984127212630846E-2</v>
      </c>
      <c r="T501" s="52">
        <f>Assumptions!O29</f>
        <v>6.7785589135026608E-2</v>
      </c>
      <c r="U501" s="52">
        <f>Assumptions!P29</f>
        <v>6.981898718592304E-2</v>
      </c>
      <c r="V501" s="52">
        <f>Assumptions!Q29</f>
        <v>7.1503796868933267E-2</v>
      </c>
      <c r="W501" s="52">
        <f>Assumptions!R29</f>
        <v>7.2418565164272669E-2</v>
      </c>
      <c r="X501" s="52">
        <f>Assumptions!S29</f>
        <v>7.3596994326953685E-2</v>
      </c>
      <c r="Y501" s="52">
        <f>Assumptions!T29</f>
        <v>7.5410274370898506E-2</v>
      </c>
      <c r="Z501" s="52">
        <f>Assumptions!U29</f>
        <v>7.7215647759667966E-2</v>
      </c>
      <c r="AA501" s="52">
        <f>Assumptions!V29</f>
        <v>7.9146228607689051E-2</v>
      </c>
      <c r="AB501" s="52">
        <f>Assumptions!W29</f>
        <v>8.0860520329207805E-2</v>
      </c>
      <c r="AC501" s="52">
        <f>Assumptions!X29</f>
        <v>8.2417599515092449E-2</v>
      </c>
      <c r="AD501" s="52">
        <f>Assumptions!Y29</f>
        <v>8.4321429342628054E-2</v>
      </c>
      <c r="AE501" s="52">
        <f>Assumptions!Z29</f>
        <v>8.6243254567324276E-2</v>
      </c>
      <c r="AF501" s="52">
        <f>Assumptions!AA29</f>
        <v>8.829382632331699E-2</v>
      </c>
      <c r="AG501" s="52">
        <f>Assumptions!AB29</f>
        <v>9.0590950022257213E-2</v>
      </c>
      <c r="AH501" s="52">
        <f>Assumptions!AC29</f>
        <v>9.2811104018487828E-2</v>
      </c>
      <c r="AI501" s="52">
        <f>Assumptions!AD29</f>
        <v>9.521877087141481E-2</v>
      </c>
      <c r="AJ501" s="52">
        <f>Assumptions!AE29</f>
        <v>9.776763578849744E-2</v>
      </c>
      <c r="AK501" s="52">
        <f>Assumptions!AF29</f>
        <v>0.10042723479216267</v>
      </c>
      <c r="AL501" s="52">
        <f>Assumptions!AG29</f>
        <v>0.10338391809597851</v>
      </c>
      <c r="AM501" s="52">
        <f>Assumptions!AH29</f>
        <v>0.10713549812003452</v>
      </c>
      <c r="AN501" s="52">
        <f>Assumptions!AI29</f>
        <v>0.11152585678161221</v>
      </c>
      <c r="AO501" s="52">
        <f>Assumptions!AJ29</f>
        <v>0.11570324377054081</v>
      </c>
      <c r="AP501" s="52">
        <f>Assumptions!AK29</f>
        <v>0.11992306893841188</v>
      </c>
      <c r="AQ501" s="52">
        <f>Assumptions!AL29</f>
        <v>0.12437235076287895</v>
      </c>
      <c r="AR501" s="52">
        <f>Assumptions!AM29</f>
        <v>0.12798765946565488</v>
      </c>
      <c r="AS501" s="52">
        <f>Assumptions!AN29</f>
        <v>0.13080338797389929</v>
      </c>
      <c r="AT501" s="52">
        <f>Assumptions!AO29</f>
        <v>0.13368106250932507</v>
      </c>
      <c r="AU501" s="52">
        <f>Assumptions!AP29</f>
        <v>0.13662204588453022</v>
      </c>
    </row>
    <row r="502" spans="1:16384">
      <c r="E502" s="36"/>
      <c r="G502" s="37"/>
      <c r="H502" s="37"/>
      <c r="I502" s="37"/>
      <c r="J502" s="37"/>
      <c r="K502" s="37"/>
      <c r="L502" s="43"/>
      <c r="M502" s="43"/>
      <c r="N502" s="48"/>
      <c r="O502" s="43"/>
      <c r="P502" s="48"/>
      <c r="Q502" s="43"/>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row>
    <row r="503" spans="1:16384">
      <c r="E503" s="327"/>
      <c r="F503" s="28"/>
      <c r="G503" s="324" t="s">
        <v>16</v>
      </c>
      <c r="H503" s="324"/>
      <c r="I503" s="324"/>
      <c r="J503" s="324"/>
      <c r="K503" s="324"/>
      <c r="L503" s="405" t="s">
        <v>79</v>
      </c>
      <c r="M503" s="256"/>
      <c r="N503" s="325"/>
      <c r="O503" s="311"/>
      <c r="P503" s="325"/>
      <c r="Q503" s="310"/>
      <c r="R503" s="325">
        <f>R$8</f>
        <v>2014</v>
      </c>
      <c r="S503" s="325">
        <f t="shared" ref="S503:AU503" si="354">S$8</f>
        <v>2015</v>
      </c>
      <c r="T503" s="325">
        <f t="shared" si="354"/>
        <v>2016</v>
      </c>
      <c r="U503" s="325">
        <f t="shared" si="354"/>
        <v>2017</v>
      </c>
      <c r="V503" s="325">
        <f t="shared" si="354"/>
        <v>2018</v>
      </c>
      <c r="W503" s="325">
        <f t="shared" si="354"/>
        <v>2019</v>
      </c>
      <c r="X503" s="325">
        <f t="shared" si="354"/>
        <v>2020</v>
      </c>
      <c r="Y503" s="325">
        <f t="shared" si="354"/>
        <v>2021</v>
      </c>
      <c r="Z503" s="325">
        <f t="shared" si="354"/>
        <v>2022</v>
      </c>
      <c r="AA503" s="325">
        <f t="shared" si="354"/>
        <v>2023</v>
      </c>
      <c r="AB503" s="325">
        <f t="shared" si="354"/>
        <v>2024</v>
      </c>
      <c r="AC503" s="325">
        <f t="shared" si="354"/>
        <v>2025</v>
      </c>
      <c r="AD503" s="325">
        <f t="shared" si="354"/>
        <v>2026</v>
      </c>
      <c r="AE503" s="325">
        <f t="shared" si="354"/>
        <v>2027</v>
      </c>
      <c r="AF503" s="325">
        <f t="shared" si="354"/>
        <v>2028</v>
      </c>
      <c r="AG503" s="325">
        <f t="shared" si="354"/>
        <v>2029</v>
      </c>
      <c r="AH503" s="325">
        <f t="shared" si="354"/>
        <v>2030</v>
      </c>
      <c r="AI503" s="325">
        <f t="shared" si="354"/>
        <v>2031</v>
      </c>
      <c r="AJ503" s="325">
        <f t="shared" si="354"/>
        <v>2032</v>
      </c>
      <c r="AK503" s="325">
        <f t="shared" si="354"/>
        <v>2033</v>
      </c>
      <c r="AL503" s="325">
        <f t="shared" si="354"/>
        <v>2034</v>
      </c>
      <c r="AM503" s="325">
        <f t="shared" si="354"/>
        <v>2035</v>
      </c>
      <c r="AN503" s="325">
        <f t="shared" si="354"/>
        <v>2036</v>
      </c>
      <c r="AO503" s="325">
        <f t="shared" si="354"/>
        <v>2037</v>
      </c>
      <c r="AP503" s="325">
        <f t="shared" si="354"/>
        <v>2038</v>
      </c>
      <c r="AQ503" s="325">
        <f t="shared" si="354"/>
        <v>2039</v>
      </c>
      <c r="AR503" s="325">
        <f t="shared" si="354"/>
        <v>2040</v>
      </c>
      <c r="AS503" s="325">
        <f t="shared" si="354"/>
        <v>2041</v>
      </c>
      <c r="AT503" s="325">
        <f t="shared" si="354"/>
        <v>2042</v>
      </c>
      <c r="AU503" s="325">
        <f t="shared" si="354"/>
        <v>2043</v>
      </c>
    </row>
    <row r="504" spans="1:16384">
      <c r="E504" s="325"/>
      <c r="G504" s="39"/>
      <c r="H504" s="39"/>
      <c r="I504" s="39"/>
      <c r="J504" s="39"/>
      <c r="K504" s="39"/>
    </row>
    <row r="505" spans="1:16384">
      <c r="E505" s="325"/>
      <c r="G505" s="36" t="s">
        <v>4</v>
      </c>
      <c r="H505" s="39"/>
      <c r="I505" s="39"/>
      <c r="J505" s="70"/>
      <c r="K505" s="39"/>
      <c r="L505" s="43" t="str">
        <f>Assumptions!G30</f>
        <v>[Nominal $/GJ]</v>
      </c>
      <c r="N505" s="320"/>
      <c r="P505" s="320"/>
      <c r="Q505" s="52"/>
      <c r="R505" s="52">
        <f>Assumptions!M30/1000</f>
        <v>4.349162302177351E-3</v>
      </c>
      <c r="S505" s="52">
        <f>Assumptions!N30/1000</f>
        <v>4.4637464839421513E-3</v>
      </c>
      <c r="T505" s="52">
        <f>Assumptions!O30/1000</f>
        <v>4.9882201407370225E-3</v>
      </c>
      <c r="U505" s="52">
        <f>Assumptions!P30/1000</f>
        <v>5.274039417731349E-3</v>
      </c>
      <c r="V505" s="52">
        <f>Assumptions!Q30/1000</f>
        <v>5.6269550228721333E-3</v>
      </c>
      <c r="W505" s="52">
        <f>Assumptions!R30/1000</f>
        <v>5.8540511616013337E-3</v>
      </c>
      <c r="X505" s="52">
        <f>Assumptions!S30/1000</f>
        <v>6.038428026177464E-3</v>
      </c>
      <c r="Y505" s="52">
        <f>Assumptions!T30/1000</f>
        <v>6.2668036784831469E-3</v>
      </c>
      <c r="Z505" s="52">
        <f>Assumptions!U30/1000</f>
        <v>6.5922054798412668E-3</v>
      </c>
      <c r="AA505" s="52">
        <f>Assumptions!V30/1000</f>
        <v>6.9223010408478308E-3</v>
      </c>
      <c r="AB505" s="52">
        <f>Assumptions!W30/1000</f>
        <v>7.1632208510517392E-3</v>
      </c>
      <c r="AC505" s="52">
        <f>Assumptions!X30/1000</f>
        <v>7.3414909032361933E-3</v>
      </c>
      <c r="AD505" s="52">
        <f>Assumptions!Y30/1000</f>
        <v>7.6021404150132107E-3</v>
      </c>
      <c r="AE505" s="52">
        <f>Assumptions!Z30/1000</f>
        <v>7.7884635419133022E-3</v>
      </c>
      <c r="AF505" s="52">
        <f>Assumptions!AA30/1000</f>
        <v>8.0591711100798397E-3</v>
      </c>
      <c r="AG505" s="52">
        <f>Assumptions!AB30/1000</f>
        <v>8.3231988786498338E-3</v>
      </c>
      <c r="AH505" s="52">
        <f>Assumptions!AC30/1000</f>
        <v>8.5753643914497045E-3</v>
      </c>
      <c r="AI505" s="52">
        <f>Assumptions!AD30/1000</f>
        <v>8.8888916249159466E-3</v>
      </c>
      <c r="AJ505" s="52">
        <f>Assumptions!AE30/1000</f>
        <v>9.1809181054485871E-3</v>
      </c>
      <c r="AK505" s="52">
        <f>Assumptions!AF30/1000</f>
        <v>9.5487976739560727E-3</v>
      </c>
      <c r="AL505" s="52">
        <f>Assumptions!AG30/1000</f>
        <v>1.0077524695274986E-2</v>
      </c>
      <c r="AM505" s="52">
        <f>Assumptions!AH30/1000</f>
        <v>1.0655171564681258E-2</v>
      </c>
      <c r="AN505" s="52">
        <f>Assumptions!AI30/1000</f>
        <v>1.1383030107873128E-2</v>
      </c>
      <c r="AO505" s="52">
        <f>Assumptions!AJ30/1000</f>
        <v>1.2092621250722151E-2</v>
      </c>
      <c r="AP505" s="52">
        <f>Assumptions!AK30/1000</f>
        <v>1.2829558563080681E-2</v>
      </c>
      <c r="AQ505" s="52">
        <f>Assumptions!AL30/1000</f>
        <v>1.3272130091772659E-2</v>
      </c>
      <c r="AR505" s="52">
        <f>Assumptions!AM30/1000</f>
        <v>1.3882156894314641E-2</v>
      </c>
      <c r="AS505" s="52">
        <f>Assumptions!AN30/1000</f>
        <v>1.442356101319291E-2</v>
      </c>
      <c r="AT505" s="52">
        <f>Assumptions!AO30/1000</f>
        <v>1.4986079892707432E-2</v>
      </c>
      <c r="AU505" s="52">
        <f>Assumptions!AP30/1000</f>
        <v>1.5570537008523021E-2</v>
      </c>
    </row>
    <row r="506" spans="1:16384">
      <c r="G506" s="37"/>
      <c r="H506" s="37"/>
      <c r="I506" s="37"/>
      <c r="J506" s="37"/>
      <c r="K506" s="37"/>
      <c r="L506" s="43"/>
      <c r="M506" s="43"/>
      <c r="N506" s="51"/>
      <c r="O506" s="43"/>
      <c r="P506" s="51"/>
      <c r="Q506" s="43"/>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0"/>
      <c r="AW506" s="50"/>
      <c r="AX506" s="50"/>
      <c r="AY506" s="50"/>
      <c r="AZ506" s="50"/>
      <c r="BA506" s="50"/>
      <c r="BB506" s="50"/>
      <c r="BC506" s="50"/>
      <c r="BD506" s="50"/>
      <c r="BE506" s="50"/>
      <c r="BF506" s="50"/>
      <c r="BG506" s="50"/>
      <c r="BH506" s="50"/>
      <c r="BI506" s="50"/>
      <c r="BJ506" s="50"/>
      <c r="BK506" s="50"/>
      <c r="BL506" s="50"/>
      <c r="BM506" s="50"/>
      <c r="BN506" s="50"/>
      <c r="BO506" s="50"/>
      <c r="BP506" s="50"/>
      <c r="BQ506" s="50"/>
      <c r="BR506" s="50"/>
      <c r="BS506" s="50"/>
      <c r="BT506" s="50"/>
      <c r="BU506" s="50"/>
    </row>
    <row r="507" spans="1:16384">
      <c r="A507" s="327"/>
      <c r="B507" s="28"/>
      <c r="C507" s="324"/>
      <c r="D507" s="324"/>
      <c r="E507" s="324"/>
      <c r="F507" s="324"/>
      <c r="G507" s="324" t="s">
        <v>303</v>
      </c>
      <c r="H507" s="324"/>
      <c r="I507" s="256"/>
      <c r="J507" s="325"/>
      <c r="K507" s="311"/>
      <c r="L507" s="325"/>
      <c r="M507" s="310"/>
      <c r="N507" s="325"/>
      <c r="O507" s="325"/>
      <c r="P507" s="325"/>
      <c r="Q507" s="325"/>
      <c r="R507" s="325">
        <f>R$8</f>
        <v>2014</v>
      </c>
      <c r="S507" s="325">
        <f t="shared" ref="S507:AU507" si="355">S$8</f>
        <v>2015</v>
      </c>
      <c r="T507" s="325">
        <f t="shared" si="355"/>
        <v>2016</v>
      </c>
      <c r="U507" s="325">
        <f t="shared" si="355"/>
        <v>2017</v>
      </c>
      <c r="V507" s="325">
        <f t="shared" si="355"/>
        <v>2018</v>
      </c>
      <c r="W507" s="325">
        <f t="shared" si="355"/>
        <v>2019</v>
      </c>
      <c r="X507" s="325">
        <f t="shared" si="355"/>
        <v>2020</v>
      </c>
      <c r="Y507" s="325">
        <f t="shared" si="355"/>
        <v>2021</v>
      </c>
      <c r="Z507" s="325">
        <f t="shared" si="355"/>
        <v>2022</v>
      </c>
      <c r="AA507" s="325">
        <f t="shared" si="355"/>
        <v>2023</v>
      </c>
      <c r="AB507" s="325">
        <f t="shared" si="355"/>
        <v>2024</v>
      </c>
      <c r="AC507" s="325">
        <f t="shared" si="355"/>
        <v>2025</v>
      </c>
      <c r="AD507" s="325">
        <f t="shared" si="355"/>
        <v>2026</v>
      </c>
      <c r="AE507" s="325">
        <f t="shared" si="355"/>
        <v>2027</v>
      </c>
      <c r="AF507" s="325">
        <f t="shared" si="355"/>
        <v>2028</v>
      </c>
      <c r="AG507" s="325">
        <f t="shared" si="355"/>
        <v>2029</v>
      </c>
      <c r="AH507" s="325">
        <f t="shared" si="355"/>
        <v>2030</v>
      </c>
      <c r="AI507" s="325">
        <f t="shared" si="355"/>
        <v>2031</v>
      </c>
      <c r="AJ507" s="325">
        <f t="shared" si="355"/>
        <v>2032</v>
      </c>
      <c r="AK507" s="325">
        <f t="shared" si="355"/>
        <v>2033</v>
      </c>
      <c r="AL507" s="325">
        <f t="shared" si="355"/>
        <v>2034</v>
      </c>
      <c r="AM507" s="325">
        <f t="shared" si="355"/>
        <v>2035</v>
      </c>
      <c r="AN507" s="325">
        <f t="shared" si="355"/>
        <v>2036</v>
      </c>
      <c r="AO507" s="325">
        <f t="shared" si="355"/>
        <v>2037</v>
      </c>
      <c r="AP507" s="325">
        <f t="shared" si="355"/>
        <v>2038</v>
      </c>
      <c r="AQ507" s="325">
        <f t="shared" si="355"/>
        <v>2039</v>
      </c>
      <c r="AR507" s="325">
        <f t="shared" si="355"/>
        <v>2040</v>
      </c>
      <c r="AS507" s="325">
        <f t="shared" si="355"/>
        <v>2041</v>
      </c>
      <c r="AT507" s="325">
        <f t="shared" si="355"/>
        <v>2042</v>
      </c>
      <c r="AU507" s="325">
        <f t="shared" si="355"/>
        <v>2043</v>
      </c>
      <c r="BB507" s="311"/>
      <c r="BC507" s="325"/>
      <c r="BD507" s="310"/>
      <c r="BE507" s="325"/>
      <c r="BF507" s="325"/>
      <c r="BG507" s="325"/>
      <c r="BH507" s="325"/>
      <c r="BI507" s="325"/>
      <c r="BJ507" s="325"/>
      <c r="BK507" s="325"/>
      <c r="BL507" s="325"/>
      <c r="BM507" s="325"/>
      <c r="BN507" s="325"/>
      <c r="BO507" s="325"/>
      <c r="BP507" s="325"/>
      <c r="BQ507" s="325"/>
      <c r="BR507" s="325"/>
      <c r="BS507" s="325"/>
      <c r="BT507" s="325"/>
      <c r="BU507" s="325"/>
      <c r="BV507" s="325"/>
      <c r="BW507" s="325"/>
      <c r="BX507" s="325"/>
      <c r="BY507" s="325"/>
      <c r="BZ507" s="325"/>
      <c r="CA507" s="325"/>
      <c r="CB507" s="325"/>
      <c r="CC507" s="325"/>
      <c r="CD507" s="325"/>
      <c r="CE507" s="325"/>
      <c r="CF507" s="325"/>
      <c r="CG507" s="325"/>
      <c r="CH507" s="325"/>
      <c r="CI507" s="327"/>
      <c r="CJ507" s="28"/>
      <c r="CK507" s="324"/>
      <c r="CL507" s="324"/>
      <c r="CM507" s="324"/>
      <c r="CN507" s="324"/>
      <c r="CO507" s="324"/>
      <c r="CP507" s="324"/>
      <c r="CQ507" s="256"/>
      <c r="CR507" s="325"/>
      <c r="CS507" s="311"/>
      <c r="CT507" s="325"/>
      <c r="CU507" s="310"/>
      <c r="CV507" s="325"/>
      <c r="CW507" s="325"/>
      <c r="CX507" s="325"/>
      <c r="CY507" s="325"/>
      <c r="CZ507" s="325"/>
      <c r="DA507" s="325"/>
      <c r="DB507" s="325"/>
      <c r="DC507" s="325"/>
      <c r="DD507" s="325"/>
      <c r="DE507" s="325"/>
      <c r="DF507" s="325"/>
      <c r="DG507" s="325"/>
      <c r="DH507" s="325"/>
      <c r="DI507" s="325"/>
      <c r="DJ507" s="325"/>
      <c r="DK507" s="325"/>
      <c r="DL507" s="325"/>
      <c r="DM507" s="325"/>
      <c r="DN507" s="325"/>
      <c r="DO507" s="325"/>
      <c r="DP507" s="325"/>
      <c r="DQ507" s="325"/>
      <c r="DR507" s="325"/>
      <c r="DS507" s="325"/>
      <c r="DT507" s="325"/>
      <c r="DU507" s="325"/>
      <c r="DV507" s="325"/>
      <c r="DW507" s="325"/>
      <c r="DX507" s="325"/>
      <c r="DY507" s="325"/>
      <c r="DZ507" s="327"/>
      <c r="EA507" s="28"/>
      <c r="EB507" s="324"/>
      <c r="EC507" s="324"/>
      <c r="ED507" s="324"/>
      <c r="EE507" s="324"/>
      <c r="EF507" s="324"/>
      <c r="EG507" s="324"/>
      <c r="EH507" s="256"/>
      <c r="EI507" s="325"/>
      <c r="EJ507" s="311"/>
      <c r="EK507" s="325"/>
      <c r="EL507" s="310"/>
      <c r="EM507" s="325"/>
      <c r="EN507" s="325"/>
      <c r="EO507" s="325"/>
      <c r="EP507" s="325"/>
      <c r="EQ507" s="325"/>
      <c r="ER507" s="325"/>
      <c r="ES507" s="325"/>
      <c r="ET507" s="325"/>
      <c r="EU507" s="325"/>
      <c r="EV507" s="325"/>
      <c r="EW507" s="325"/>
      <c r="EX507" s="325"/>
      <c r="EY507" s="325"/>
      <c r="EZ507" s="325"/>
      <c r="FA507" s="325"/>
      <c r="FB507" s="325"/>
      <c r="FC507" s="325"/>
      <c r="FD507" s="325"/>
      <c r="FE507" s="325"/>
      <c r="FF507" s="325"/>
      <c r="FG507" s="325"/>
      <c r="FH507" s="325"/>
      <c r="FI507" s="325"/>
      <c r="FJ507" s="325"/>
      <c r="FK507" s="325"/>
      <c r="FL507" s="325"/>
      <c r="FM507" s="325"/>
      <c r="FN507" s="325"/>
      <c r="FO507" s="325"/>
      <c r="FP507" s="325"/>
      <c r="FQ507" s="327"/>
      <c r="FR507" s="28"/>
      <c r="FS507" s="324"/>
      <c r="FT507" s="324"/>
      <c r="FU507" s="324"/>
      <c r="FV507" s="324"/>
      <c r="FW507" s="324"/>
      <c r="FX507" s="324"/>
      <c r="FY507" s="256"/>
      <c r="FZ507" s="325"/>
      <c r="GA507" s="311"/>
      <c r="GB507" s="325"/>
      <c r="GC507" s="310"/>
      <c r="GD507" s="325"/>
      <c r="GE507" s="325"/>
      <c r="GF507" s="325"/>
      <c r="GG507" s="325"/>
      <c r="GH507" s="325"/>
      <c r="GI507" s="325"/>
      <c r="GJ507" s="325"/>
      <c r="GK507" s="325"/>
      <c r="GL507" s="325"/>
      <c r="GM507" s="325"/>
      <c r="GN507" s="325"/>
      <c r="GO507" s="325"/>
      <c r="GP507" s="325"/>
      <c r="GQ507" s="325"/>
      <c r="GR507" s="325"/>
      <c r="GS507" s="325"/>
      <c r="GT507" s="325"/>
      <c r="GU507" s="325"/>
      <c r="GV507" s="325"/>
      <c r="GW507" s="325"/>
      <c r="GX507" s="325"/>
      <c r="GY507" s="325"/>
      <c r="GZ507" s="325"/>
      <c r="HA507" s="325"/>
      <c r="HB507" s="325"/>
      <c r="HC507" s="325"/>
      <c r="HD507" s="325"/>
      <c r="HE507" s="325"/>
      <c r="HF507" s="325"/>
      <c r="HG507" s="325"/>
      <c r="HH507" s="327"/>
      <c r="HI507" s="28"/>
      <c r="HJ507" s="324"/>
      <c r="HK507" s="324"/>
      <c r="HL507" s="324"/>
      <c r="HM507" s="324"/>
      <c r="HN507" s="324"/>
      <c r="HO507" s="324"/>
      <c r="HP507" s="256"/>
      <c r="HQ507" s="325"/>
      <c r="HR507" s="311"/>
      <c r="HS507" s="325"/>
      <c r="HT507" s="310"/>
      <c r="HU507" s="325"/>
      <c r="HV507" s="325"/>
      <c r="HW507" s="325"/>
      <c r="HX507" s="325"/>
      <c r="HY507" s="325"/>
      <c r="HZ507" s="325"/>
      <c r="IA507" s="325"/>
      <c r="IB507" s="325"/>
      <c r="IC507" s="325"/>
      <c r="ID507" s="325"/>
      <c r="IE507" s="325"/>
      <c r="IF507" s="325"/>
      <c r="IG507" s="325"/>
      <c r="IH507" s="325"/>
      <c r="II507" s="325"/>
      <c r="IJ507" s="325"/>
      <c r="IK507" s="325"/>
      <c r="IL507" s="325"/>
      <c r="IM507" s="325"/>
      <c r="IN507" s="325"/>
      <c r="IO507" s="325"/>
      <c r="IP507" s="325"/>
      <c r="IQ507" s="325"/>
      <c r="IR507" s="325"/>
      <c r="IS507" s="325"/>
      <c r="IT507" s="325"/>
      <c r="IU507" s="325"/>
      <c r="IV507" s="325"/>
      <c r="IW507" s="325"/>
      <c r="IX507" s="325"/>
      <c r="IY507" s="327"/>
      <c r="IZ507" s="28"/>
      <c r="JA507" s="324"/>
      <c r="JB507" s="324"/>
      <c r="JC507" s="324"/>
      <c r="JD507" s="324"/>
      <c r="JE507" s="324"/>
      <c r="JF507" s="324"/>
      <c r="JG507" s="256"/>
      <c r="JH507" s="325"/>
      <c r="JI507" s="311"/>
      <c r="JJ507" s="325"/>
      <c r="JK507" s="310"/>
      <c r="JL507" s="325"/>
      <c r="JM507" s="325"/>
      <c r="JN507" s="325"/>
      <c r="JO507" s="325"/>
      <c r="JP507" s="325"/>
      <c r="JQ507" s="325"/>
      <c r="JR507" s="325"/>
      <c r="JS507" s="325"/>
      <c r="JT507" s="325"/>
      <c r="JU507" s="325"/>
      <c r="JV507" s="325"/>
      <c r="JW507" s="325"/>
      <c r="JX507" s="325"/>
      <c r="JY507" s="325"/>
      <c r="JZ507" s="325"/>
      <c r="KA507" s="325"/>
      <c r="KB507" s="325"/>
      <c r="KC507" s="325"/>
      <c r="KD507" s="325"/>
      <c r="KE507" s="325"/>
      <c r="KF507" s="325"/>
      <c r="KG507" s="325"/>
      <c r="KH507" s="325"/>
      <c r="KI507" s="325"/>
      <c r="KJ507" s="325"/>
      <c r="KK507" s="325"/>
      <c r="KL507" s="325"/>
      <c r="KM507" s="325"/>
      <c r="KN507" s="325"/>
      <c r="KO507" s="325"/>
      <c r="KP507" s="327"/>
      <c r="KQ507" s="28"/>
      <c r="KR507" s="324"/>
      <c r="KS507" s="324"/>
      <c r="KT507" s="324"/>
      <c r="KU507" s="324"/>
      <c r="KV507" s="324"/>
      <c r="KW507" s="324"/>
      <c r="KX507" s="256"/>
      <c r="KY507" s="325"/>
      <c r="KZ507" s="311"/>
      <c r="LA507" s="325"/>
      <c r="LB507" s="310"/>
      <c r="LC507" s="325"/>
      <c r="LD507" s="325"/>
      <c r="LE507" s="325"/>
      <c r="LF507" s="325"/>
      <c r="LG507" s="325"/>
      <c r="LH507" s="325"/>
      <c r="LI507" s="325"/>
      <c r="LJ507" s="325"/>
      <c r="LK507" s="325"/>
      <c r="LL507" s="325"/>
      <c r="LM507" s="325"/>
      <c r="LN507" s="325"/>
      <c r="LO507" s="325"/>
      <c r="LP507" s="325"/>
      <c r="LQ507" s="325"/>
      <c r="LR507" s="325"/>
      <c r="LS507" s="325"/>
      <c r="LT507" s="325"/>
      <c r="LU507" s="325"/>
      <c r="LV507" s="325"/>
      <c r="LW507" s="325"/>
      <c r="LX507" s="325"/>
      <c r="LY507" s="325"/>
      <c r="LZ507" s="325"/>
      <c r="MA507" s="325"/>
      <c r="MB507" s="325"/>
      <c r="MC507" s="325"/>
      <c r="MD507" s="325"/>
      <c r="ME507" s="325"/>
      <c r="MF507" s="325"/>
      <c r="MG507" s="327"/>
      <c r="MH507" s="28"/>
      <c r="MI507" s="324"/>
      <c r="MJ507" s="324"/>
      <c r="MK507" s="324"/>
      <c r="ML507" s="324"/>
      <c r="MM507" s="324"/>
      <c r="MN507" s="324"/>
      <c r="MO507" s="256"/>
      <c r="MP507" s="325"/>
      <c r="MQ507" s="311"/>
      <c r="MR507" s="325"/>
      <c r="MS507" s="310"/>
      <c r="MT507" s="325"/>
      <c r="MU507" s="325"/>
      <c r="MV507" s="325"/>
      <c r="MW507" s="325"/>
      <c r="MX507" s="325"/>
      <c r="MY507" s="325"/>
      <c r="MZ507" s="325"/>
      <c r="NA507" s="325"/>
      <c r="NB507" s="325"/>
      <c r="NC507" s="325"/>
      <c r="ND507" s="325"/>
      <c r="NE507" s="325"/>
      <c r="NF507" s="325"/>
      <c r="NG507" s="325"/>
      <c r="NH507" s="325"/>
      <c r="NI507" s="325"/>
      <c r="NJ507" s="325"/>
      <c r="NK507" s="325"/>
      <c r="NL507" s="325"/>
      <c r="NM507" s="325"/>
      <c r="NN507" s="325"/>
      <c r="NO507" s="325"/>
      <c r="NP507" s="325"/>
      <c r="NQ507" s="325"/>
      <c r="NR507" s="325"/>
      <c r="NS507" s="325"/>
      <c r="NT507" s="325"/>
      <c r="NU507" s="325"/>
      <c r="NV507" s="325"/>
      <c r="NW507" s="325"/>
      <c r="NX507" s="327"/>
      <c r="NY507" s="28"/>
      <c r="NZ507" s="324"/>
      <c r="OA507" s="324"/>
      <c r="OB507" s="324"/>
      <c r="OC507" s="324"/>
      <c r="OD507" s="324"/>
      <c r="OE507" s="324"/>
      <c r="OF507" s="256"/>
      <c r="OG507" s="325"/>
      <c r="OH507" s="311"/>
      <c r="OI507" s="325"/>
      <c r="OJ507" s="310"/>
      <c r="OK507" s="325"/>
      <c r="OL507" s="325"/>
      <c r="OM507" s="325"/>
      <c r="ON507" s="325"/>
      <c r="OO507" s="325"/>
      <c r="OP507" s="325"/>
      <c r="OQ507" s="325"/>
      <c r="OR507" s="325"/>
      <c r="OS507" s="325"/>
      <c r="OT507" s="325"/>
      <c r="OU507" s="325"/>
      <c r="OV507" s="325"/>
      <c r="OW507" s="325"/>
      <c r="OX507" s="325"/>
      <c r="OY507" s="325"/>
      <c r="OZ507" s="325"/>
      <c r="PA507" s="325"/>
      <c r="PB507" s="325"/>
      <c r="PC507" s="325"/>
      <c r="PD507" s="325"/>
      <c r="PE507" s="325"/>
      <c r="PF507" s="325"/>
      <c r="PG507" s="325"/>
      <c r="PH507" s="325"/>
      <c r="PI507" s="325"/>
      <c r="PJ507" s="325"/>
      <c r="PK507" s="325"/>
      <c r="PL507" s="325"/>
      <c r="PM507" s="325"/>
      <c r="PN507" s="325"/>
      <c r="PO507" s="327"/>
      <c r="PP507" s="28"/>
      <c r="PQ507" s="324"/>
      <c r="PR507" s="324"/>
      <c r="PS507" s="324"/>
      <c r="PT507" s="324"/>
      <c r="PU507" s="324"/>
      <c r="PV507" s="324"/>
      <c r="PW507" s="256"/>
      <c r="PX507" s="325"/>
      <c r="PY507" s="311"/>
      <c r="PZ507" s="325"/>
      <c r="QA507" s="310"/>
      <c r="QB507" s="325"/>
      <c r="QC507" s="325"/>
      <c r="QD507" s="325"/>
      <c r="QE507" s="325"/>
      <c r="QF507" s="325"/>
      <c r="QG507" s="325"/>
      <c r="QH507" s="325"/>
      <c r="QI507" s="325"/>
      <c r="QJ507" s="325"/>
      <c r="QK507" s="325"/>
      <c r="QL507" s="325"/>
      <c r="QM507" s="325"/>
      <c r="QN507" s="325"/>
      <c r="QO507" s="325"/>
      <c r="QP507" s="325"/>
      <c r="QQ507" s="325"/>
      <c r="QR507" s="325"/>
      <c r="QS507" s="325"/>
      <c r="QT507" s="325"/>
      <c r="QU507" s="325"/>
      <c r="QV507" s="325"/>
      <c r="QW507" s="325"/>
      <c r="QX507" s="325"/>
      <c r="QY507" s="325"/>
      <c r="QZ507" s="325"/>
      <c r="RA507" s="325"/>
      <c r="RB507" s="325"/>
      <c r="RC507" s="325"/>
      <c r="RD507" s="325"/>
      <c r="RE507" s="325"/>
      <c r="RF507" s="327"/>
      <c r="RG507" s="28"/>
      <c r="RH507" s="324"/>
      <c r="RI507" s="324"/>
      <c r="RJ507" s="324"/>
      <c r="RK507" s="324"/>
      <c r="RL507" s="324"/>
      <c r="RM507" s="324"/>
      <c r="RN507" s="256"/>
      <c r="RO507" s="325"/>
      <c r="RP507" s="311"/>
      <c r="RQ507" s="325"/>
      <c r="RR507" s="310"/>
      <c r="RS507" s="325"/>
      <c r="RT507" s="325"/>
      <c r="RU507" s="325"/>
      <c r="RV507" s="325"/>
      <c r="RW507" s="325"/>
      <c r="RX507" s="325"/>
      <c r="RY507" s="325"/>
      <c r="RZ507" s="325"/>
      <c r="SA507" s="325"/>
      <c r="SB507" s="325"/>
      <c r="SC507" s="325"/>
      <c r="SD507" s="325"/>
      <c r="SE507" s="325"/>
      <c r="SF507" s="325"/>
      <c r="SG507" s="325"/>
      <c r="SH507" s="325"/>
      <c r="SI507" s="325"/>
      <c r="SJ507" s="325"/>
      <c r="SK507" s="325"/>
      <c r="SL507" s="325"/>
      <c r="SM507" s="325"/>
      <c r="SN507" s="325"/>
      <c r="SO507" s="325"/>
      <c r="SP507" s="325"/>
      <c r="SQ507" s="325"/>
      <c r="SR507" s="325"/>
      <c r="SS507" s="325"/>
      <c r="ST507" s="325"/>
      <c r="SU507" s="325"/>
      <c r="SV507" s="325"/>
      <c r="SW507" s="327"/>
      <c r="SX507" s="28"/>
      <c r="SY507" s="324"/>
      <c r="SZ507" s="324"/>
      <c r="TA507" s="324"/>
      <c r="TB507" s="324"/>
      <c r="TC507" s="324"/>
      <c r="TD507" s="324"/>
      <c r="TE507" s="256"/>
      <c r="TF507" s="325"/>
      <c r="TG507" s="311"/>
      <c r="TH507" s="325"/>
      <c r="TI507" s="310"/>
      <c r="TJ507" s="325"/>
      <c r="TK507" s="325"/>
      <c r="TL507" s="325"/>
      <c r="TM507" s="325"/>
      <c r="TN507" s="325"/>
      <c r="TO507" s="325"/>
      <c r="TP507" s="325"/>
      <c r="TQ507" s="325"/>
      <c r="TR507" s="325"/>
      <c r="TS507" s="325"/>
      <c r="TT507" s="325"/>
      <c r="TU507" s="325"/>
      <c r="TV507" s="325"/>
      <c r="TW507" s="325"/>
      <c r="TX507" s="325"/>
      <c r="TY507" s="325"/>
      <c r="TZ507" s="325"/>
      <c r="UA507" s="325"/>
      <c r="UB507" s="325"/>
      <c r="UC507" s="325"/>
      <c r="UD507" s="325"/>
      <c r="UE507" s="325"/>
      <c r="UF507" s="325"/>
      <c r="UG507" s="325"/>
      <c r="UH507" s="325"/>
      <c r="UI507" s="325"/>
      <c r="UJ507" s="325"/>
      <c r="UK507" s="325"/>
      <c r="UL507" s="325"/>
      <c r="UM507" s="325"/>
      <c r="UN507" s="327"/>
      <c r="UO507" s="28"/>
      <c r="UP507" s="324"/>
      <c r="UQ507" s="324"/>
      <c r="UR507" s="324"/>
      <c r="US507" s="324"/>
      <c r="UT507" s="324"/>
      <c r="UU507" s="324"/>
      <c r="UV507" s="256"/>
      <c r="UW507" s="325"/>
      <c r="UX507" s="311"/>
      <c r="UY507" s="325"/>
      <c r="UZ507" s="310"/>
      <c r="VA507" s="325"/>
      <c r="VB507" s="325"/>
      <c r="VC507" s="325"/>
      <c r="VD507" s="325"/>
      <c r="VE507" s="325"/>
      <c r="VF507" s="325"/>
      <c r="VG507" s="325"/>
      <c r="VH507" s="325"/>
      <c r="VI507" s="325"/>
      <c r="VJ507" s="325"/>
      <c r="VK507" s="325"/>
      <c r="VL507" s="325"/>
      <c r="VM507" s="325"/>
      <c r="VN507" s="325"/>
      <c r="VO507" s="325"/>
      <c r="VP507" s="325"/>
      <c r="VQ507" s="325"/>
      <c r="VR507" s="325"/>
      <c r="VS507" s="325"/>
      <c r="VT507" s="325"/>
      <c r="VU507" s="325"/>
      <c r="VV507" s="325"/>
      <c r="VW507" s="325"/>
      <c r="VX507" s="325"/>
      <c r="VY507" s="325"/>
      <c r="VZ507" s="325"/>
      <c r="WA507" s="325"/>
      <c r="WB507" s="325"/>
      <c r="WC507" s="325"/>
      <c r="WD507" s="325"/>
      <c r="WE507" s="327"/>
      <c r="WF507" s="28"/>
      <c r="WG507" s="324"/>
      <c r="WH507" s="324"/>
      <c r="WI507" s="324"/>
      <c r="WJ507" s="324"/>
      <c r="WK507" s="324"/>
      <c r="WL507" s="324"/>
      <c r="WM507" s="256"/>
      <c r="WN507" s="325"/>
      <c r="WO507" s="311"/>
      <c r="WP507" s="325"/>
      <c r="WQ507" s="310"/>
      <c r="WR507" s="325"/>
      <c r="WS507" s="325"/>
      <c r="WT507" s="325"/>
      <c r="WU507" s="325"/>
      <c r="WV507" s="325"/>
      <c r="WW507" s="325"/>
      <c r="WX507" s="325"/>
      <c r="WY507" s="325"/>
      <c r="WZ507" s="325"/>
      <c r="XA507" s="325"/>
      <c r="XB507" s="325"/>
      <c r="XC507" s="325"/>
      <c r="XD507" s="325"/>
      <c r="XE507" s="325"/>
      <c r="XF507" s="325"/>
      <c r="XG507" s="325"/>
      <c r="XH507" s="325"/>
      <c r="XI507" s="325"/>
      <c r="XJ507" s="325"/>
      <c r="XK507" s="325"/>
      <c r="XL507" s="325"/>
      <c r="XM507" s="325"/>
      <c r="XN507" s="325"/>
      <c r="XO507" s="325"/>
      <c r="XP507" s="325"/>
      <c r="XQ507" s="325"/>
      <c r="XR507" s="325"/>
      <c r="XS507" s="325"/>
      <c r="XT507" s="325"/>
      <c r="XU507" s="325"/>
      <c r="XV507" s="327"/>
      <c r="XW507" s="28"/>
      <c r="XX507" s="324"/>
      <c r="XY507" s="324"/>
      <c r="XZ507" s="324"/>
      <c r="YA507" s="324"/>
      <c r="YB507" s="324"/>
      <c r="YC507" s="324"/>
      <c r="YD507" s="256"/>
      <c r="YE507" s="325"/>
      <c r="YF507" s="311"/>
      <c r="YG507" s="325"/>
      <c r="YH507" s="310"/>
      <c r="YI507" s="325"/>
      <c r="YJ507" s="325"/>
      <c r="YK507" s="325"/>
      <c r="YL507" s="325"/>
      <c r="YM507" s="325"/>
      <c r="YN507" s="325"/>
      <c r="YO507" s="325"/>
      <c r="YP507" s="325"/>
      <c r="YQ507" s="325"/>
      <c r="YR507" s="325"/>
      <c r="YS507" s="325"/>
      <c r="YT507" s="325"/>
      <c r="YU507" s="325"/>
      <c r="YV507" s="325"/>
      <c r="YW507" s="325"/>
      <c r="YX507" s="325"/>
      <c r="YY507" s="325"/>
      <c r="YZ507" s="325"/>
      <c r="ZA507" s="325"/>
      <c r="ZB507" s="325"/>
      <c r="ZC507" s="325"/>
      <c r="ZD507" s="325"/>
      <c r="ZE507" s="325"/>
      <c r="ZF507" s="325"/>
      <c r="ZG507" s="325"/>
      <c r="ZH507" s="325"/>
      <c r="ZI507" s="325"/>
      <c r="ZJ507" s="325"/>
      <c r="ZK507" s="325"/>
      <c r="ZL507" s="325"/>
      <c r="ZM507" s="327"/>
      <c r="ZN507" s="28"/>
      <c r="ZO507" s="324"/>
      <c r="ZP507" s="324"/>
      <c r="ZQ507" s="324"/>
      <c r="ZR507" s="324"/>
      <c r="ZS507" s="324"/>
      <c r="ZT507" s="324"/>
      <c r="ZU507" s="256"/>
      <c r="ZV507" s="325"/>
      <c r="ZW507" s="311"/>
      <c r="ZX507" s="325"/>
      <c r="ZY507" s="310"/>
      <c r="ZZ507" s="325"/>
      <c r="AAA507" s="325"/>
      <c r="AAB507" s="325"/>
      <c r="AAC507" s="325"/>
      <c r="AAD507" s="325"/>
      <c r="AAE507" s="325"/>
      <c r="AAF507" s="325"/>
      <c r="AAG507" s="325"/>
      <c r="AAH507" s="325"/>
      <c r="AAI507" s="325"/>
      <c r="AAJ507" s="325"/>
      <c r="AAK507" s="325"/>
      <c r="AAL507" s="325"/>
      <c r="AAM507" s="325"/>
      <c r="AAN507" s="325"/>
      <c r="AAO507" s="325"/>
      <c r="AAP507" s="325"/>
      <c r="AAQ507" s="325"/>
      <c r="AAR507" s="325"/>
      <c r="AAS507" s="325"/>
      <c r="AAT507" s="325"/>
      <c r="AAU507" s="325"/>
      <c r="AAV507" s="325"/>
      <c r="AAW507" s="325"/>
      <c r="AAX507" s="325"/>
      <c r="AAY507" s="325"/>
      <c r="AAZ507" s="325"/>
      <c r="ABA507" s="325"/>
      <c r="ABB507" s="325"/>
      <c r="ABC507" s="325"/>
      <c r="ABD507" s="327"/>
      <c r="ABE507" s="28"/>
      <c r="ABF507" s="324"/>
      <c r="ABG507" s="324"/>
      <c r="ABH507" s="324"/>
      <c r="ABI507" s="324"/>
      <c r="ABJ507" s="324"/>
      <c r="ABK507" s="324"/>
      <c r="ABL507" s="256"/>
      <c r="ABM507" s="325"/>
      <c r="ABN507" s="311"/>
      <c r="ABO507" s="325"/>
      <c r="ABP507" s="310"/>
      <c r="ABQ507" s="325"/>
      <c r="ABR507" s="325"/>
      <c r="ABS507" s="325"/>
      <c r="ABT507" s="325"/>
      <c r="ABU507" s="325"/>
      <c r="ABV507" s="325"/>
      <c r="ABW507" s="325"/>
      <c r="ABX507" s="325"/>
      <c r="ABY507" s="325"/>
      <c r="ABZ507" s="325"/>
      <c r="ACA507" s="325"/>
      <c r="ACB507" s="325"/>
      <c r="ACC507" s="325"/>
      <c r="ACD507" s="325"/>
      <c r="ACE507" s="325"/>
      <c r="ACF507" s="325"/>
      <c r="ACG507" s="325"/>
      <c r="ACH507" s="325"/>
      <c r="ACI507" s="325"/>
      <c r="ACJ507" s="325"/>
      <c r="ACK507" s="325"/>
      <c r="ACL507" s="325"/>
      <c r="ACM507" s="325"/>
      <c r="ACN507" s="325"/>
      <c r="ACO507" s="325"/>
      <c r="ACP507" s="325"/>
      <c r="ACQ507" s="325"/>
      <c r="ACR507" s="325"/>
      <c r="ACS507" s="325"/>
      <c r="ACT507" s="325"/>
      <c r="ACU507" s="327"/>
      <c r="ACV507" s="28"/>
      <c r="ACW507" s="324"/>
      <c r="ACX507" s="324"/>
      <c r="ACY507" s="324"/>
      <c r="ACZ507" s="324"/>
      <c r="ADA507" s="324"/>
      <c r="ADB507" s="324"/>
      <c r="ADC507" s="256"/>
      <c r="ADD507" s="325"/>
      <c r="ADE507" s="311"/>
      <c r="ADF507" s="325"/>
      <c r="ADG507" s="310"/>
      <c r="ADH507" s="325"/>
      <c r="ADI507" s="325"/>
      <c r="ADJ507" s="325"/>
      <c r="ADK507" s="325"/>
      <c r="ADL507" s="325"/>
      <c r="ADM507" s="325"/>
      <c r="ADN507" s="325"/>
      <c r="ADO507" s="325"/>
      <c r="ADP507" s="325"/>
      <c r="ADQ507" s="325"/>
      <c r="ADR507" s="325"/>
      <c r="ADS507" s="325"/>
      <c r="ADT507" s="325"/>
      <c r="ADU507" s="325"/>
      <c r="ADV507" s="325"/>
      <c r="ADW507" s="325"/>
      <c r="ADX507" s="325"/>
      <c r="ADY507" s="325"/>
      <c r="ADZ507" s="325"/>
      <c r="AEA507" s="325"/>
      <c r="AEB507" s="325"/>
      <c r="AEC507" s="325"/>
      <c r="AED507" s="325"/>
      <c r="AEE507" s="325"/>
      <c r="AEF507" s="325"/>
      <c r="AEG507" s="325"/>
      <c r="AEH507" s="325"/>
      <c r="AEI507" s="325"/>
      <c r="AEJ507" s="325"/>
      <c r="AEK507" s="325"/>
      <c r="AEL507" s="327"/>
      <c r="AEM507" s="28"/>
      <c r="AEN507" s="324"/>
      <c r="AEO507" s="324"/>
      <c r="AEP507" s="324"/>
      <c r="AEQ507" s="324"/>
      <c r="AER507" s="324"/>
      <c r="AES507" s="324"/>
      <c r="AET507" s="256"/>
      <c r="AEU507" s="325"/>
      <c r="AEV507" s="311"/>
      <c r="AEW507" s="325"/>
      <c r="AEX507" s="310"/>
      <c r="AEY507" s="325"/>
      <c r="AEZ507" s="325"/>
      <c r="AFA507" s="325"/>
      <c r="AFB507" s="325"/>
      <c r="AFC507" s="325"/>
      <c r="AFD507" s="325"/>
      <c r="AFE507" s="325"/>
      <c r="AFF507" s="325"/>
      <c r="AFG507" s="325"/>
      <c r="AFH507" s="325"/>
      <c r="AFI507" s="325"/>
      <c r="AFJ507" s="325"/>
      <c r="AFK507" s="325"/>
      <c r="AFL507" s="325"/>
      <c r="AFM507" s="325"/>
      <c r="AFN507" s="325"/>
      <c r="AFO507" s="325"/>
      <c r="AFP507" s="325"/>
      <c r="AFQ507" s="325"/>
      <c r="AFR507" s="325"/>
      <c r="AFS507" s="325"/>
      <c r="AFT507" s="325"/>
      <c r="AFU507" s="325"/>
      <c r="AFV507" s="325"/>
      <c r="AFW507" s="325"/>
      <c r="AFX507" s="325"/>
      <c r="AFY507" s="325"/>
      <c r="AFZ507" s="325"/>
      <c r="AGA507" s="325"/>
      <c r="AGB507" s="325"/>
      <c r="AGC507" s="327"/>
      <c r="AGD507" s="28"/>
      <c r="AGE507" s="324"/>
      <c r="AGF507" s="324"/>
      <c r="AGG507" s="324"/>
      <c r="AGH507" s="324"/>
      <c r="AGI507" s="324"/>
      <c r="AGJ507" s="324"/>
      <c r="AGK507" s="256"/>
      <c r="AGL507" s="325"/>
      <c r="AGM507" s="311"/>
      <c r="AGN507" s="325"/>
      <c r="AGO507" s="310"/>
      <c r="AGP507" s="325"/>
      <c r="AGQ507" s="325"/>
      <c r="AGR507" s="325"/>
      <c r="AGS507" s="325"/>
      <c r="AGT507" s="325"/>
      <c r="AGU507" s="325"/>
      <c r="AGV507" s="325"/>
      <c r="AGW507" s="325"/>
      <c r="AGX507" s="325"/>
      <c r="AGY507" s="325"/>
      <c r="AGZ507" s="325"/>
      <c r="AHA507" s="325"/>
      <c r="AHB507" s="325"/>
      <c r="AHC507" s="325"/>
      <c r="AHD507" s="325"/>
      <c r="AHE507" s="325"/>
      <c r="AHF507" s="325"/>
      <c r="AHG507" s="325"/>
      <c r="AHH507" s="325"/>
      <c r="AHI507" s="325"/>
      <c r="AHJ507" s="325"/>
      <c r="AHK507" s="325"/>
      <c r="AHL507" s="325"/>
      <c r="AHM507" s="325"/>
      <c r="AHN507" s="325"/>
      <c r="AHO507" s="325"/>
      <c r="AHP507" s="325"/>
      <c r="AHQ507" s="325"/>
      <c r="AHR507" s="325"/>
      <c r="AHS507" s="325"/>
      <c r="AHT507" s="327"/>
      <c r="AHU507" s="28"/>
      <c r="AHV507" s="324"/>
      <c r="AHW507" s="324"/>
      <c r="AHX507" s="324"/>
      <c r="AHY507" s="324"/>
      <c r="AHZ507" s="324"/>
      <c r="AIA507" s="324"/>
      <c r="AIB507" s="256"/>
      <c r="AIC507" s="325"/>
      <c r="AID507" s="311"/>
      <c r="AIE507" s="325"/>
      <c r="AIF507" s="310"/>
      <c r="AIG507" s="325"/>
      <c r="AIH507" s="325"/>
      <c r="AII507" s="325"/>
      <c r="AIJ507" s="325"/>
      <c r="AIK507" s="325"/>
      <c r="AIL507" s="325"/>
      <c r="AIM507" s="325"/>
      <c r="AIN507" s="325"/>
      <c r="AIO507" s="325"/>
      <c r="AIP507" s="325"/>
      <c r="AIQ507" s="325"/>
      <c r="AIR507" s="325"/>
      <c r="AIS507" s="325"/>
      <c r="AIT507" s="325"/>
      <c r="AIU507" s="325"/>
      <c r="AIV507" s="325"/>
      <c r="AIW507" s="325"/>
      <c r="AIX507" s="325"/>
      <c r="AIY507" s="325"/>
      <c r="AIZ507" s="325"/>
      <c r="AJA507" s="325"/>
      <c r="AJB507" s="325"/>
      <c r="AJC507" s="325"/>
      <c r="AJD507" s="325"/>
      <c r="AJE507" s="325"/>
      <c r="AJF507" s="325"/>
      <c r="AJG507" s="325"/>
      <c r="AJH507" s="325"/>
      <c r="AJI507" s="325"/>
      <c r="AJJ507" s="325"/>
      <c r="AJK507" s="327"/>
      <c r="AJL507" s="28"/>
      <c r="AJM507" s="324"/>
      <c r="AJN507" s="324"/>
      <c r="AJO507" s="324"/>
      <c r="AJP507" s="324"/>
      <c r="AJQ507" s="324"/>
      <c r="AJR507" s="324"/>
      <c r="AJS507" s="256"/>
      <c r="AJT507" s="325"/>
      <c r="AJU507" s="311"/>
      <c r="AJV507" s="325"/>
      <c r="AJW507" s="310"/>
      <c r="AJX507" s="325"/>
      <c r="AJY507" s="325"/>
      <c r="AJZ507" s="325"/>
      <c r="AKA507" s="325"/>
      <c r="AKB507" s="325"/>
      <c r="AKC507" s="325"/>
      <c r="AKD507" s="325"/>
      <c r="AKE507" s="325"/>
      <c r="AKF507" s="325"/>
      <c r="AKG507" s="325"/>
      <c r="AKH507" s="325"/>
      <c r="AKI507" s="325"/>
      <c r="AKJ507" s="325"/>
      <c r="AKK507" s="325"/>
      <c r="AKL507" s="325"/>
      <c r="AKM507" s="325"/>
      <c r="AKN507" s="325"/>
      <c r="AKO507" s="325"/>
      <c r="AKP507" s="325"/>
      <c r="AKQ507" s="325"/>
      <c r="AKR507" s="325"/>
      <c r="AKS507" s="325"/>
      <c r="AKT507" s="325"/>
      <c r="AKU507" s="325"/>
      <c r="AKV507" s="325"/>
      <c r="AKW507" s="325"/>
      <c r="AKX507" s="325"/>
      <c r="AKY507" s="325"/>
      <c r="AKZ507" s="325"/>
      <c r="ALA507" s="325"/>
      <c r="ALB507" s="327"/>
      <c r="ALC507" s="28"/>
      <c r="ALD507" s="324"/>
      <c r="ALE507" s="324"/>
      <c r="ALF507" s="324"/>
      <c r="ALG507" s="324"/>
      <c r="ALH507" s="324"/>
      <c r="ALI507" s="324"/>
      <c r="ALJ507" s="256"/>
      <c r="ALK507" s="325"/>
      <c r="ALL507" s="311"/>
      <c r="ALM507" s="325"/>
      <c r="ALN507" s="310"/>
      <c r="ALO507" s="325"/>
      <c r="ALP507" s="325"/>
      <c r="ALQ507" s="325"/>
      <c r="ALR507" s="325"/>
      <c r="ALS507" s="325"/>
      <c r="ALT507" s="325"/>
      <c r="ALU507" s="325"/>
      <c r="ALV507" s="325"/>
      <c r="ALW507" s="325"/>
      <c r="ALX507" s="325"/>
      <c r="ALY507" s="325"/>
      <c r="ALZ507" s="325"/>
      <c r="AMA507" s="325"/>
      <c r="AMB507" s="325"/>
      <c r="AMC507" s="325"/>
      <c r="AMD507" s="325"/>
      <c r="AME507" s="325"/>
      <c r="AMF507" s="325"/>
      <c r="AMG507" s="325"/>
      <c r="AMH507" s="325"/>
      <c r="AMI507" s="325"/>
      <c r="AMJ507" s="325"/>
      <c r="AMK507" s="325"/>
      <c r="AML507" s="325"/>
      <c r="AMM507" s="325"/>
      <c r="AMN507" s="325"/>
      <c r="AMO507" s="325"/>
      <c r="AMP507" s="325"/>
      <c r="AMQ507" s="325"/>
      <c r="AMR507" s="325"/>
      <c r="AMS507" s="327"/>
      <c r="AMT507" s="28"/>
      <c r="AMU507" s="324"/>
      <c r="AMV507" s="324"/>
      <c r="AMW507" s="324"/>
      <c r="AMX507" s="324"/>
      <c r="AMY507" s="324"/>
      <c r="AMZ507" s="324"/>
      <c r="ANA507" s="256"/>
      <c r="ANB507" s="325"/>
      <c r="ANC507" s="311"/>
      <c r="AND507" s="325"/>
      <c r="ANE507" s="310"/>
      <c r="ANF507" s="325"/>
      <c r="ANG507" s="325"/>
      <c r="ANH507" s="325"/>
      <c r="ANI507" s="325"/>
      <c r="ANJ507" s="325"/>
      <c r="ANK507" s="325"/>
      <c r="ANL507" s="325"/>
      <c r="ANM507" s="325"/>
      <c r="ANN507" s="325"/>
      <c r="ANO507" s="325"/>
      <c r="ANP507" s="325"/>
      <c r="ANQ507" s="325"/>
      <c r="ANR507" s="325"/>
      <c r="ANS507" s="325"/>
      <c r="ANT507" s="325"/>
      <c r="ANU507" s="325"/>
      <c r="ANV507" s="325"/>
      <c r="ANW507" s="325"/>
      <c r="ANX507" s="325"/>
      <c r="ANY507" s="325"/>
      <c r="ANZ507" s="325"/>
      <c r="AOA507" s="325"/>
      <c r="AOB507" s="325"/>
      <c r="AOC507" s="325"/>
      <c r="AOD507" s="325"/>
      <c r="AOE507" s="325"/>
      <c r="AOF507" s="325"/>
      <c r="AOG507" s="325"/>
      <c r="AOH507" s="325"/>
      <c r="AOI507" s="325"/>
      <c r="AOJ507" s="327"/>
      <c r="AOK507" s="28"/>
      <c r="AOL507" s="324"/>
      <c r="AOM507" s="324"/>
      <c r="AON507" s="324"/>
      <c r="AOO507" s="324"/>
      <c r="AOP507" s="324"/>
      <c r="AOQ507" s="324"/>
      <c r="AOR507" s="256"/>
      <c r="AOS507" s="325"/>
      <c r="AOT507" s="311"/>
      <c r="AOU507" s="325"/>
      <c r="AOV507" s="310"/>
      <c r="AOW507" s="325"/>
      <c r="AOX507" s="325"/>
      <c r="AOY507" s="325"/>
      <c r="AOZ507" s="325"/>
      <c r="APA507" s="325"/>
      <c r="APB507" s="325"/>
      <c r="APC507" s="325"/>
      <c r="APD507" s="325"/>
      <c r="APE507" s="325"/>
      <c r="APF507" s="325"/>
      <c r="APG507" s="325"/>
      <c r="APH507" s="325"/>
      <c r="API507" s="325"/>
      <c r="APJ507" s="325"/>
      <c r="APK507" s="325"/>
      <c r="APL507" s="325"/>
      <c r="APM507" s="325"/>
      <c r="APN507" s="325"/>
      <c r="APO507" s="325"/>
      <c r="APP507" s="325"/>
      <c r="APQ507" s="325"/>
      <c r="APR507" s="325"/>
      <c r="APS507" s="325"/>
      <c r="APT507" s="325"/>
      <c r="APU507" s="325"/>
      <c r="APV507" s="325"/>
      <c r="APW507" s="325"/>
      <c r="APX507" s="325"/>
      <c r="APY507" s="325"/>
      <c r="APZ507" s="325"/>
      <c r="AQA507" s="327"/>
      <c r="AQB507" s="28"/>
      <c r="AQC507" s="324"/>
      <c r="AQD507" s="324"/>
      <c r="AQE507" s="324"/>
      <c r="AQF507" s="324"/>
      <c r="AQG507" s="324"/>
      <c r="AQH507" s="324"/>
      <c r="AQI507" s="256"/>
      <c r="AQJ507" s="325"/>
      <c r="AQK507" s="311"/>
      <c r="AQL507" s="325"/>
      <c r="AQM507" s="310"/>
      <c r="AQN507" s="325"/>
      <c r="AQO507" s="325"/>
      <c r="AQP507" s="325"/>
      <c r="AQQ507" s="325"/>
      <c r="AQR507" s="325"/>
      <c r="AQS507" s="325"/>
      <c r="AQT507" s="325"/>
      <c r="AQU507" s="325"/>
      <c r="AQV507" s="325"/>
      <c r="AQW507" s="325"/>
      <c r="AQX507" s="325"/>
      <c r="AQY507" s="325"/>
      <c r="AQZ507" s="325"/>
      <c r="ARA507" s="325"/>
      <c r="ARB507" s="325"/>
      <c r="ARC507" s="325"/>
      <c r="ARD507" s="325"/>
      <c r="ARE507" s="325"/>
      <c r="ARF507" s="325"/>
      <c r="ARG507" s="325"/>
      <c r="ARH507" s="325"/>
      <c r="ARI507" s="325"/>
      <c r="ARJ507" s="325"/>
      <c r="ARK507" s="325"/>
      <c r="ARL507" s="325"/>
      <c r="ARM507" s="325"/>
      <c r="ARN507" s="325"/>
      <c r="ARO507" s="325"/>
      <c r="ARP507" s="325"/>
      <c r="ARQ507" s="325"/>
      <c r="ARR507" s="327"/>
      <c r="ARS507" s="28"/>
      <c r="ART507" s="324"/>
      <c r="ARU507" s="324"/>
      <c r="ARV507" s="324"/>
      <c r="ARW507" s="324"/>
      <c r="ARX507" s="324"/>
      <c r="ARY507" s="324"/>
      <c r="ARZ507" s="256"/>
      <c r="ASA507" s="325"/>
      <c r="ASB507" s="311"/>
      <c r="ASC507" s="325"/>
      <c r="ASD507" s="310"/>
      <c r="ASE507" s="325"/>
      <c r="ASF507" s="325"/>
      <c r="ASG507" s="325"/>
      <c r="ASH507" s="325"/>
      <c r="ASI507" s="325"/>
      <c r="ASJ507" s="325"/>
      <c r="ASK507" s="325"/>
      <c r="ASL507" s="325"/>
      <c r="ASM507" s="325"/>
      <c r="ASN507" s="325"/>
      <c r="ASO507" s="325"/>
      <c r="ASP507" s="325"/>
      <c r="ASQ507" s="325"/>
      <c r="ASR507" s="325"/>
      <c r="ASS507" s="325"/>
      <c r="AST507" s="325"/>
      <c r="ASU507" s="325"/>
      <c r="ASV507" s="325"/>
      <c r="ASW507" s="325"/>
      <c r="ASX507" s="325"/>
      <c r="ASY507" s="325"/>
      <c r="ASZ507" s="325"/>
      <c r="ATA507" s="325"/>
      <c r="ATB507" s="325"/>
      <c r="ATC507" s="325"/>
      <c r="ATD507" s="325"/>
      <c r="ATE507" s="325"/>
      <c r="ATF507" s="325"/>
      <c r="ATG507" s="325"/>
      <c r="ATH507" s="325"/>
      <c r="ATI507" s="327"/>
      <c r="ATJ507" s="28"/>
      <c r="ATK507" s="324"/>
      <c r="ATL507" s="324"/>
      <c r="ATM507" s="324"/>
      <c r="ATN507" s="324"/>
      <c r="ATO507" s="324"/>
      <c r="ATP507" s="324"/>
      <c r="ATQ507" s="256"/>
      <c r="ATR507" s="325"/>
      <c r="ATS507" s="311"/>
      <c r="ATT507" s="325"/>
      <c r="ATU507" s="310"/>
      <c r="ATV507" s="325"/>
      <c r="ATW507" s="325"/>
      <c r="ATX507" s="325"/>
      <c r="ATY507" s="325"/>
      <c r="ATZ507" s="325"/>
      <c r="AUA507" s="325"/>
      <c r="AUB507" s="325"/>
      <c r="AUC507" s="325"/>
      <c r="AUD507" s="325"/>
      <c r="AUE507" s="325"/>
      <c r="AUF507" s="325"/>
      <c r="AUG507" s="325"/>
      <c r="AUH507" s="325"/>
      <c r="AUI507" s="325"/>
      <c r="AUJ507" s="325"/>
      <c r="AUK507" s="325"/>
      <c r="AUL507" s="325"/>
      <c r="AUM507" s="325"/>
      <c r="AUN507" s="325"/>
      <c r="AUO507" s="325"/>
      <c r="AUP507" s="325"/>
      <c r="AUQ507" s="325"/>
      <c r="AUR507" s="325"/>
      <c r="AUS507" s="325"/>
      <c r="AUT507" s="325"/>
      <c r="AUU507" s="325"/>
      <c r="AUV507" s="325"/>
      <c r="AUW507" s="325"/>
      <c r="AUX507" s="325"/>
      <c r="AUY507" s="325"/>
      <c r="AUZ507" s="327"/>
      <c r="AVA507" s="28"/>
      <c r="AVB507" s="324"/>
      <c r="AVC507" s="324"/>
      <c r="AVD507" s="324"/>
      <c r="AVE507" s="324"/>
      <c r="AVF507" s="324"/>
      <c r="AVG507" s="324"/>
      <c r="AVH507" s="256"/>
      <c r="AVI507" s="325"/>
      <c r="AVJ507" s="311"/>
      <c r="AVK507" s="325"/>
      <c r="AVL507" s="310"/>
      <c r="AVM507" s="325"/>
      <c r="AVN507" s="325"/>
      <c r="AVO507" s="325"/>
      <c r="AVP507" s="325"/>
      <c r="AVQ507" s="325"/>
      <c r="AVR507" s="325"/>
      <c r="AVS507" s="325"/>
      <c r="AVT507" s="325"/>
      <c r="AVU507" s="325"/>
      <c r="AVV507" s="325"/>
      <c r="AVW507" s="325"/>
      <c r="AVX507" s="325"/>
      <c r="AVY507" s="325"/>
      <c r="AVZ507" s="325"/>
      <c r="AWA507" s="325"/>
      <c r="AWB507" s="325"/>
      <c r="AWC507" s="325"/>
      <c r="AWD507" s="325"/>
      <c r="AWE507" s="325"/>
      <c r="AWF507" s="325"/>
      <c r="AWG507" s="325"/>
      <c r="AWH507" s="325"/>
      <c r="AWI507" s="325"/>
      <c r="AWJ507" s="325"/>
      <c r="AWK507" s="325"/>
      <c r="AWL507" s="325"/>
      <c r="AWM507" s="325"/>
      <c r="AWN507" s="325"/>
      <c r="AWO507" s="325"/>
      <c r="AWP507" s="325"/>
      <c r="AWQ507" s="327"/>
      <c r="AWR507" s="28"/>
      <c r="AWS507" s="324"/>
      <c r="AWT507" s="324"/>
      <c r="AWU507" s="324"/>
      <c r="AWV507" s="324"/>
      <c r="AWW507" s="324"/>
      <c r="AWX507" s="324"/>
      <c r="AWY507" s="256"/>
      <c r="AWZ507" s="325"/>
      <c r="AXA507" s="311"/>
      <c r="AXB507" s="325"/>
      <c r="AXC507" s="310"/>
      <c r="AXD507" s="325"/>
      <c r="AXE507" s="325"/>
      <c r="AXF507" s="325"/>
      <c r="AXG507" s="325"/>
      <c r="AXH507" s="325"/>
      <c r="AXI507" s="325"/>
      <c r="AXJ507" s="325"/>
      <c r="AXK507" s="325"/>
      <c r="AXL507" s="325"/>
      <c r="AXM507" s="325"/>
      <c r="AXN507" s="325"/>
      <c r="AXO507" s="325"/>
      <c r="AXP507" s="325"/>
      <c r="AXQ507" s="325"/>
      <c r="AXR507" s="325"/>
      <c r="AXS507" s="325"/>
      <c r="AXT507" s="325"/>
      <c r="AXU507" s="325"/>
      <c r="AXV507" s="325"/>
      <c r="AXW507" s="325"/>
      <c r="AXX507" s="325"/>
      <c r="AXY507" s="325"/>
      <c r="AXZ507" s="325"/>
      <c r="AYA507" s="325"/>
      <c r="AYB507" s="325"/>
      <c r="AYC507" s="325"/>
      <c r="AYD507" s="325"/>
      <c r="AYE507" s="325"/>
      <c r="AYF507" s="325"/>
      <c r="AYG507" s="325"/>
      <c r="AYH507" s="327"/>
      <c r="AYI507" s="28"/>
      <c r="AYJ507" s="324"/>
      <c r="AYK507" s="324"/>
      <c r="AYL507" s="324"/>
      <c r="AYM507" s="324"/>
      <c r="AYN507" s="324"/>
      <c r="AYO507" s="324"/>
      <c r="AYP507" s="256"/>
      <c r="AYQ507" s="325"/>
      <c r="AYR507" s="311"/>
      <c r="AYS507" s="325"/>
      <c r="AYT507" s="310"/>
      <c r="AYU507" s="325"/>
      <c r="AYV507" s="325"/>
      <c r="AYW507" s="325"/>
      <c r="AYX507" s="325"/>
      <c r="AYY507" s="325"/>
      <c r="AYZ507" s="325"/>
      <c r="AZA507" s="325"/>
      <c r="AZB507" s="325"/>
      <c r="AZC507" s="325"/>
      <c r="AZD507" s="325"/>
      <c r="AZE507" s="325"/>
      <c r="AZF507" s="325"/>
      <c r="AZG507" s="325"/>
      <c r="AZH507" s="325"/>
      <c r="AZI507" s="325"/>
      <c r="AZJ507" s="325"/>
      <c r="AZK507" s="325"/>
      <c r="AZL507" s="325"/>
      <c r="AZM507" s="325"/>
      <c r="AZN507" s="325"/>
      <c r="AZO507" s="325"/>
      <c r="AZP507" s="325"/>
      <c r="AZQ507" s="325"/>
      <c r="AZR507" s="325"/>
      <c r="AZS507" s="325"/>
      <c r="AZT507" s="325"/>
      <c r="AZU507" s="325"/>
      <c r="AZV507" s="325"/>
      <c r="AZW507" s="325"/>
      <c r="AZX507" s="325"/>
      <c r="AZY507" s="327"/>
      <c r="AZZ507" s="28"/>
      <c r="BAA507" s="324"/>
      <c r="BAB507" s="324"/>
      <c r="BAC507" s="324"/>
      <c r="BAD507" s="324"/>
      <c r="BAE507" s="324"/>
      <c r="BAF507" s="324"/>
      <c r="BAG507" s="256"/>
      <c r="BAH507" s="325"/>
      <c r="BAI507" s="311"/>
      <c r="BAJ507" s="325"/>
      <c r="BAK507" s="310"/>
      <c r="BAL507" s="325"/>
      <c r="BAM507" s="325"/>
      <c r="BAN507" s="325"/>
      <c r="BAO507" s="325"/>
      <c r="BAP507" s="325"/>
      <c r="BAQ507" s="325"/>
      <c r="BAR507" s="325"/>
      <c r="BAS507" s="325"/>
      <c r="BAT507" s="325"/>
      <c r="BAU507" s="325"/>
      <c r="BAV507" s="325"/>
      <c r="BAW507" s="325"/>
      <c r="BAX507" s="325"/>
      <c r="BAY507" s="325"/>
      <c r="BAZ507" s="325"/>
      <c r="BBA507" s="325"/>
      <c r="BBB507" s="325"/>
      <c r="BBC507" s="325"/>
      <c r="BBD507" s="325"/>
      <c r="BBE507" s="325"/>
      <c r="BBF507" s="325"/>
      <c r="BBG507" s="325"/>
      <c r="BBH507" s="325"/>
      <c r="BBI507" s="325"/>
      <c r="BBJ507" s="325"/>
      <c r="BBK507" s="325"/>
      <c r="BBL507" s="325"/>
      <c r="BBM507" s="325"/>
      <c r="BBN507" s="325"/>
      <c r="BBO507" s="325"/>
      <c r="BBP507" s="327"/>
      <c r="BBQ507" s="28"/>
      <c r="BBR507" s="324"/>
      <c r="BBS507" s="324"/>
      <c r="BBT507" s="324"/>
      <c r="BBU507" s="324"/>
      <c r="BBV507" s="324"/>
      <c r="BBW507" s="324"/>
      <c r="BBX507" s="256"/>
      <c r="BBY507" s="325"/>
      <c r="BBZ507" s="311"/>
      <c r="BCA507" s="325"/>
      <c r="BCB507" s="310"/>
      <c r="BCC507" s="325"/>
      <c r="BCD507" s="325"/>
      <c r="BCE507" s="325"/>
      <c r="BCF507" s="325"/>
      <c r="BCG507" s="325"/>
      <c r="BCH507" s="325"/>
      <c r="BCI507" s="325"/>
      <c r="BCJ507" s="325"/>
      <c r="BCK507" s="325"/>
      <c r="BCL507" s="325"/>
      <c r="BCM507" s="325"/>
      <c r="BCN507" s="325"/>
      <c r="BCO507" s="325"/>
      <c r="BCP507" s="325"/>
      <c r="BCQ507" s="325"/>
      <c r="BCR507" s="325"/>
      <c r="BCS507" s="325"/>
      <c r="BCT507" s="325"/>
      <c r="BCU507" s="325"/>
      <c r="BCV507" s="325"/>
      <c r="BCW507" s="325"/>
      <c r="BCX507" s="325"/>
      <c r="BCY507" s="325"/>
      <c r="BCZ507" s="325"/>
      <c r="BDA507" s="325"/>
      <c r="BDB507" s="325"/>
      <c r="BDC507" s="325"/>
      <c r="BDD507" s="325"/>
      <c r="BDE507" s="325"/>
      <c r="BDF507" s="325"/>
      <c r="BDG507" s="327"/>
      <c r="BDH507" s="28"/>
      <c r="BDI507" s="324"/>
      <c r="BDJ507" s="324"/>
      <c r="BDK507" s="324"/>
      <c r="BDL507" s="324"/>
      <c r="BDM507" s="324"/>
      <c r="BDN507" s="324"/>
      <c r="BDO507" s="256"/>
      <c r="BDP507" s="325"/>
      <c r="BDQ507" s="311"/>
      <c r="BDR507" s="325"/>
      <c r="BDS507" s="310"/>
      <c r="BDT507" s="325"/>
      <c r="BDU507" s="325"/>
      <c r="BDV507" s="325"/>
      <c r="BDW507" s="325"/>
      <c r="BDX507" s="325"/>
      <c r="BDY507" s="325"/>
      <c r="BDZ507" s="325"/>
      <c r="BEA507" s="325"/>
      <c r="BEB507" s="325"/>
      <c r="BEC507" s="325"/>
      <c r="BED507" s="325"/>
      <c r="BEE507" s="325"/>
      <c r="BEF507" s="325"/>
      <c r="BEG507" s="325"/>
      <c r="BEH507" s="325"/>
      <c r="BEI507" s="325"/>
      <c r="BEJ507" s="325"/>
      <c r="BEK507" s="325"/>
      <c r="BEL507" s="325"/>
      <c r="BEM507" s="325"/>
      <c r="BEN507" s="325"/>
      <c r="BEO507" s="325"/>
      <c r="BEP507" s="325"/>
      <c r="BEQ507" s="325"/>
      <c r="BER507" s="325"/>
      <c r="BES507" s="325"/>
      <c r="BET507" s="325"/>
      <c r="BEU507" s="325"/>
      <c r="BEV507" s="325"/>
      <c r="BEW507" s="325"/>
      <c r="BEX507" s="327"/>
      <c r="BEY507" s="28"/>
      <c r="BEZ507" s="324"/>
      <c r="BFA507" s="324"/>
      <c r="BFB507" s="324"/>
      <c r="BFC507" s="324"/>
      <c r="BFD507" s="324"/>
      <c r="BFE507" s="324"/>
      <c r="BFF507" s="256"/>
      <c r="BFG507" s="325"/>
      <c r="BFH507" s="311"/>
      <c r="BFI507" s="325"/>
      <c r="BFJ507" s="310"/>
      <c r="BFK507" s="325"/>
      <c r="BFL507" s="325"/>
      <c r="BFM507" s="325"/>
      <c r="BFN507" s="325"/>
      <c r="BFO507" s="325"/>
      <c r="BFP507" s="325"/>
      <c r="BFQ507" s="325"/>
      <c r="BFR507" s="325"/>
      <c r="BFS507" s="325"/>
      <c r="BFT507" s="325"/>
      <c r="BFU507" s="325"/>
      <c r="BFV507" s="325"/>
      <c r="BFW507" s="325"/>
      <c r="BFX507" s="325"/>
      <c r="BFY507" s="325"/>
      <c r="BFZ507" s="325"/>
      <c r="BGA507" s="325"/>
      <c r="BGB507" s="325"/>
      <c r="BGC507" s="325"/>
      <c r="BGD507" s="325"/>
      <c r="BGE507" s="325"/>
      <c r="BGF507" s="325"/>
      <c r="BGG507" s="325"/>
      <c r="BGH507" s="325"/>
      <c r="BGI507" s="325"/>
      <c r="BGJ507" s="325"/>
      <c r="BGK507" s="325"/>
      <c r="BGL507" s="325"/>
      <c r="BGM507" s="325"/>
      <c r="BGN507" s="325"/>
      <c r="BGO507" s="327"/>
      <c r="BGP507" s="28"/>
      <c r="BGQ507" s="324"/>
      <c r="BGR507" s="324"/>
      <c r="BGS507" s="324"/>
      <c r="BGT507" s="324"/>
      <c r="BGU507" s="324"/>
      <c r="BGV507" s="324"/>
      <c r="BGW507" s="256"/>
      <c r="BGX507" s="325"/>
      <c r="BGY507" s="311"/>
      <c r="BGZ507" s="325"/>
      <c r="BHA507" s="310"/>
      <c r="BHB507" s="325"/>
      <c r="BHC507" s="325"/>
      <c r="BHD507" s="325"/>
      <c r="BHE507" s="325"/>
      <c r="BHF507" s="325"/>
      <c r="BHG507" s="325"/>
      <c r="BHH507" s="325"/>
      <c r="BHI507" s="325"/>
      <c r="BHJ507" s="325"/>
      <c r="BHK507" s="325"/>
      <c r="BHL507" s="325"/>
      <c r="BHM507" s="325"/>
      <c r="BHN507" s="325"/>
      <c r="BHO507" s="325"/>
      <c r="BHP507" s="325"/>
      <c r="BHQ507" s="325"/>
      <c r="BHR507" s="325"/>
      <c r="BHS507" s="325"/>
      <c r="BHT507" s="325"/>
      <c r="BHU507" s="325"/>
      <c r="BHV507" s="325"/>
      <c r="BHW507" s="325"/>
      <c r="BHX507" s="325"/>
      <c r="BHY507" s="325"/>
      <c r="BHZ507" s="325"/>
      <c r="BIA507" s="325"/>
      <c r="BIB507" s="325"/>
      <c r="BIC507" s="325"/>
      <c r="BID507" s="325"/>
      <c r="BIE507" s="325"/>
      <c r="BIF507" s="327"/>
      <c r="BIG507" s="28"/>
      <c r="BIH507" s="324"/>
      <c r="BII507" s="324"/>
      <c r="BIJ507" s="324"/>
      <c r="BIK507" s="324"/>
      <c r="BIL507" s="324"/>
      <c r="BIM507" s="324"/>
      <c r="BIN507" s="256"/>
      <c r="BIO507" s="325"/>
      <c r="BIP507" s="311"/>
      <c r="BIQ507" s="325"/>
      <c r="BIR507" s="310"/>
      <c r="BIS507" s="325"/>
      <c r="BIT507" s="325"/>
      <c r="BIU507" s="325"/>
      <c r="BIV507" s="325"/>
      <c r="BIW507" s="325"/>
      <c r="BIX507" s="325"/>
      <c r="BIY507" s="325"/>
      <c r="BIZ507" s="325"/>
      <c r="BJA507" s="325"/>
      <c r="BJB507" s="325"/>
      <c r="BJC507" s="325"/>
      <c r="BJD507" s="325"/>
      <c r="BJE507" s="325"/>
      <c r="BJF507" s="325"/>
      <c r="BJG507" s="325"/>
      <c r="BJH507" s="325"/>
      <c r="BJI507" s="325"/>
      <c r="BJJ507" s="325"/>
      <c r="BJK507" s="325"/>
      <c r="BJL507" s="325"/>
      <c r="BJM507" s="325"/>
      <c r="BJN507" s="325"/>
      <c r="BJO507" s="325"/>
      <c r="BJP507" s="325"/>
      <c r="BJQ507" s="325"/>
      <c r="BJR507" s="325"/>
      <c r="BJS507" s="325"/>
      <c r="BJT507" s="325"/>
      <c r="BJU507" s="325"/>
      <c r="BJV507" s="325"/>
      <c r="BJW507" s="327"/>
      <c r="BJX507" s="28"/>
      <c r="BJY507" s="324"/>
      <c r="BJZ507" s="324"/>
      <c r="BKA507" s="324"/>
      <c r="BKB507" s="324"/>
      <c r="BKC507" s="324"/>
      <c r="BKD507" s="324"/>
      <c r="BKE507" s="256"/>
      <c r="BKF507" s="325"/>
      <c r="BKG507" s="311"/>
      <c r="BKH507" s="325"/>
      <c r="BKI507" s="310"/>
      <c r="BKJ507" s="325"/>
      <c r="BKK507" s="325"/>
      <c r="BKL507" s="325"/>
      <c r="BKM507" s="325"/>
      <c r="BKN507" s="325"/>
      <c r="BKO507" s="325"/>
      <c r="BKP507" s="325"/>
      <c r="BKQ507" s="325"/>
      <c r="BKR507" s="325"/>
      <c r="BKS507" s="325"/>
      <c r="BKT507" s="325"/>
      <c r="BKU507" s="325"/>
      <c r="BKV507" s="325"/>
      <c r="BKW507" s="325"/>
      <c r="BKX507" s="325"/>
      <c r="BKY507" s="325"/>
      <c r="BKZ507" s="325"/>
      <c r="BLA507" s="325"/>
      <c r="BLB507" s="325"/>
      <c r="BLC507" s="325"/>
      <c r="BLD507" s="325"/>
      <c r="BLE507" s="325"/>
      <c r="BLF507" s="325"/>
      <c r="BLG507" s="325"/>
      <c r="BLH507" s="325"/>
      <c r="BLI507" s="325"/>
      <c r="BLJ507" s="325"/>
      <c r="BLK507" s="325"/>
      <c r="BLL507" s="325"/>
      <c r="BLM507" s="325"/>
      <c r="BLN507" s="327"/>
      <c r="BLO507" s="28"/>
      <c r="BLP507" s="324"/>
      <c r="BLQ507" s="324"/>
      <c r="BLR507" s="324"/>
      <c r="BLS507" s="324"/>
      <c r="BLT507" s="324"/>
      <c r="BLU507" s="324"/>
      <c r="BLV507" s="256"/>
      <c r="BLW507" s="325"/>
      <c r="BLX507" s="311"/>
      <c r="BLY507" s="325"/>
      <c r="BLZ507" s="310"/>
      <c r="BMA507" s="325"/>
      <c r="BMB507" s="325"/>
      <c r="BMC507" s="325"/>
      <c r="BMD507" s="325"/>
      <c r="BME507" s="325"/>
      <c r="BMF507" s="325"/>
      <c r="BMG507" s="325"/>
      <c r="BMH507" s="325"/>
      <c r="BMI507" s="325"/>
      <c r="BMJ507" s="325"/>
      <c r="BMK507" s="325"/>
      <c r="BML507" s="325"/>
      <c r="BMM507" s="325"/>
      <c r="BMN507" s="325"/>
      <c r="BMO507" s="325"/>
      <c r="BMP507" s="325"/>
      <c r="BMQ507" s="325"/>
      <c r="BMR507" s="325"/>
      <c r="BMS507" s="325"/>
      <c r="BMT507" s="325"/>
      <c r="BMU507" s="325"/>
      <c r="BMV507" s="325"/>
      <c r="BMW507" s="325"/>
      <c r="BMX507" s="325"/>
      <c r="BMY507" s="325"/>
      <c r="BMZ507" s="325"/>
      <c r="BNA507" s="325"/>
      <c r="BNB507" s="325"/>
      <c r="BNC507" s="325"/>
      <c r="BND507" s="325"/>
      <c r="BNE507" s="327"/>
      <c r="BNF507" s="28"/>
      <c r="BNG507" s="324"/>
      <c r="BNH507" s="324"/>
      <c r="BNI507" s="324"/>
      <c r="BNJ507" s="324"/>
      <c r="BNK507" s="324"/>
      <c r="BNL507" s="324"/>
      <c r="BNM507" s="256"/>
      <c r="BNN507" s="325"/>
      <c r="BNO507" s="311"/>
      <c r="BNP507" s="325"/>
      <c r="BNQ507" s="310"/>
      <c r="BNR507" s="325"/>
      <c r="BNS507" s="325"/>
      <c r="BNT507" s="325"/>
      <c r="BNU507" s="325"/>
      <c r="BNV507" s="325"/>
      <c r="BNW507" s="325"/>
      <c r="BNX507" s="325"/>
      <c r="BNY507" s="325"/>
      <c r="BNZ507" s="325"/>
      <c r="BOA507" s="325"/>
      <c r="BOB507" s="325"/>
      <c r="BOC507" s="325"/>
      <c r="BOD507" s="325"/>
      <c r="BOE507" s="325"/>
      <c r="BOF507" s="325"/>
      <c r="BOG507" s="325"/>
      <c r="BOH507" s="325"/>
      <c r="BOI507" s="325"/>
      <c r="BOJ507" s="325"/>
      <c r="BOK507" s="325"/>
      <c r="BOL507" s="325"/>
      <c r="BOM507" s="325"/>
      <c r="BON507" s="325"/>
      <c r="BOO507" s="325"/>
      <c r="BOP507" s="325"/>
      <c r="BOQ507" s="325"/>
      <c r="BOR507" s="325"/>
      <c r="BOS507" s="325"/>
      <c r="BOT507" s="325"/>
      <c r="BOU507" s="325"/>
      <c r="BOV507" s="327"/>
      <c r="BOW507" s="28"/>
      <c r="BOX507" s="324"/>
      <c r="BOY507" s="324"/>
      <c r="BOZ507" s="324"/>
      <c r="BPA507" s="324"/>
      <c r="BPB507" s="324"/>
      <c r="BPC507" s="324"/>
      <c r="BPD507" s="256"/>
      <c r="BPE507" s="325"/>
      <c r="BPF507" s="311"/>
      <c r="BPG507" s="325"/>
      <c r="BPH507" s="310"/>
      <c r="BPI507" s="325"/>
      <c r="BPJ507" s="325"/>
      <c r="BPK507" s="325"/>
      <c r="BPL507" s="325"/>
      <c r="BPM507" s="325"/>
      <c r="BPN507" s="325"/>
      <c r="BPO507" s="325"/>
      <c r="BPP507" s="325"/>
      <c r="BPQ507" s="325"/>
      <c r="BPR507" s="325"/>
      <c r="BPS507" s="325"/>
      <c r="BPT507" s="325"/>
      <c r="BPU507" s="325"/>
      <c r="BPV507" s="325"/>
      <c r="BPW507" s="325"/>
      <c r="BPX507" s="325"/>
      <c r="BPY507" s="325"/>
      <c r="BPZ507" s="325"/>
      <c r="BQA507" s="325"/>
      <c r="BQB507" s="325"/>
      <c r="BQC507" s="325"/>
      <c r="BQD507" s="325"/>
      <c r="BQE507" s="325"/>
      <c r="BQF507" s="325"/>
      <c r="BQG507" s="325"/>
      <c r="BQH507" s="325"/>
      <c r="BQI507" s="325"/>
      <c r="BQJ507" s="325"/>
      <c r="BQK507" s="325"/>
      <c r="BQL507" s="325"/>
      <c r="BQM507" s="327"/>
      <c r="BQN507" s="28"/>
      <c r="BQO507" s="324"/>
      <c r="BQP507" s="324"/>
      <c r="BQQ507" s="324"/>
      <c r="BQR507" s="324"/>
      <c r="BQS507" s="324"/>
      <c r="BQT507" s="324"/>
      <c r="BQU507" s="256"/>
      <c r="BQV507" s="325"/>
      <c r="BQW507" s="311"/>
      <c r="BQX507" s="325"/>
      <c r="BQY507" s="310"/>
      <c r="BQZ507" s="325"/>
      <c r="BRA507" s="325"/>
      <c r="BRB507" s="325"/>
      <c r="BRC507" s="325"/>
      <c r="BRD507" s="325"/>
      <c r="BRE507" s="325"/>
      <c r="BRF507" s="325"/>
      <c r="BRG507" s="325"/>
      <c r="BRH507" s="325"/>
      <c r="BRI507" s="325"/>
      <c r="BRJ507" s="325"/>
      <c r="BRK507" s="325"/>
      <c r="BRL507" s="325"/>
      <c r="BRM507" s="325"/>
      <c r="BRN507" s="325"/>
      <c r="BRO507" s="325"/>
      <c r="BRP507" s="325"/>
      <c r="BRQ507" s="325"/>
      <c r="BRR507" s="325"/>
      <c r="BRS507" s="325"/>
      <c r="BRT507" s="325"/>
      <c r="BRU507" s="325"/>
      <c r="BRV507" s="325"/>
      <c r="BRW507" s="325"/>
      <c r="BRX507" s="325"/>
      <c r="BRY507" s="325"/>
      <c r="BRZ507" s="325"/>
      <c r="BSA507" s="325"/>
      <c r="BSB507" s="325"/>
      <c r="BSC507" s="325"/>
      <c r="BSD507" s="327"/>
      <c r="BSE507" s="28"/>
      <c r="BSF507" s="324"/>
      <c r="BSG507" s="324"/>
      <c r="BSH507" s="324"/>
      <c r="BSI507" s="324"/>
      <c r="BSJ507" s="324"/>
      <c r="BSK507" s="324"/>
      <c r="BSL507" s="256"/>
      <c r="BSM507" s="325"/>
      <c r="BSN507" s="311"/>
      <c r="BSO507" s="325"/>
      <c r="BSP507" s="310"/>
      <c r="BSQ507" s="325"/>
      <c r="BSR507" s="325"/>
      <c r="BSS507" s="325"/>
      <c r="BST507" s="325"/>
      <c r="BSU507" s="325"/>
      <c r="BSV507" s="325"/>
      <c r="BSW507" s="325"/>
      <c r="BSX507" s="325"/>
      <c r="BSY507" s="325"/>
      <c r="BSZ507" s="325"/>
      <c r="BTA507" s="325"/>
      <c r="BTB507" s="325"/>
      <c r="BTC507" s="325"/>
      <c r="BTD507" s="325"/>
      <c r="BTE507" s="325"/>
      <c r="BTF507" s="325"/>
      <c r="BTG507" s="325"/>
      <c r="BTH507" s="325"/>
      <c r="BTI507" s="325"/>
      <c r="BTJ507" s="325"/>
      <c r="BTK507" s="325"/>
      <c r="BTL507" s="325"/>
      <c r="BTM507" s="325"/>
      <c r="BTN507" s="325"/>
      <c r="BTO507" s="325"/>
      <c r="BTP507" s="325"/>
      <c r="BTQ507" s="325"/>
      <c r="BTR507" s="325"/>
      <c r="BTS507" s="325"/>
      <c r="BTT507" s="325"/>
      <c r="BTU507" s="327"/>
      <c r="BTV507" s="28"/>
      <c r="BTW507" s="324"/>
      <c r="BTX507" s="324"/>
      <c r="BTY507" s="324"/>
      <c r="BTZ507" s="324"/>
      <c r="BUA507" s="324"/>
      <c r="BUB507" s="324"/>
      <c r="BUC507" s="256"/>
      <c r="BUD507" s="325"/>
      <c r="BUE507" s="311"/>
      <c r="BUF507" s="325"/>
      <c r="BUG507" s="310"/>
      <c r="BUH507" s="325"/>
      <c r="BUI507" s="325"/>
      <c r="BUJ507" s="325"/>
      <c r="BUK507" s="325"/>
      <c r="BUL507" s="325"/>
      <c r="BUM507" s="325"/>
      <c r="BUN507" s="325"/>
      <c r="BUO507" s="325"/>
      <c r="BUP507" s="325"/>
      <c r="BUQ507" s="325"/>
      <c r="BUR507" s="325"/>
      <c r="BUS507" s="325"/>
      <c r="BUT507" s="325"/>
      <c r="BUU507" s="325"/>
      <c r="BUV507" s="325"/>
      <c r="BUW507" s="325"/>
      <c r="BUX507" s="325"/>
      <c r="BUY507" s="325"/>
      <c r="BUZ507" s="325"/>
      <c r="BVA507" s="325"/>
      <c r="BVB507" s="325"/>
      <c r="BVC507" s="325"/>
      <c r="BVD507" s="325"/>
      <c r="BVE507" s="325"/>
      <c r="BVF507" s="325"/>
      <c r="BVG507" s="325"/>
      <c r="BVH507" s="325"/>
      <c r="BVI507" s="325"/>
      <c r="BVJ507" s="325"/>
      <c r="BVK507" s="325"/>
      <c r="BVL507" s="327"/>
      <c r="BVM507" s="28"/>
      <c r="BVN507" s="324"/>
      <c r="BVO507" s="324"/>
      <c r="BVP507" s="324"/>
      <c r="BVQ507" s="324"/>
      <c r="BVR507" s="324"/>
      <c r="BVS507" s="324"/>
      <c r="BVT507" s="256"/>
      <c r="BVU507" s="325"/>
      <c r="BVV507" s="311"/>
      <c r="BVW507" s="325"/>
      <c r="BVX507" s="310"/>
      <c r="BVY507" s="325"/>
      <c r="BVZ507" s="325"/>
      <c r="BWA507" s="325"/>
      <c r="BWB507" s="325"/>
      <c r="BWC507" s="325"/>
      <c r="BWD507" s="325"/>
      <c r="BWE507" s="325"/>
      <c r="BWF507" s="325"/>
      <c r="BWG507" s="325"/>
      <c r="BWH507" s="325"/>
      <c r="BWI507" s="325"/>
      <c r="BWJ507" s="325"/>
      <c r="BWK507" s="325"/>
      <c r="BWL507" s="325"/>
      <c r="BWM507" s="325"/>
      <c r="BWN507" s="325"/>
      <c r="BWO507" s="325"/>
      <c r="BWP507" s="325"/>
      <c r="BWQ507" s="325"/>
      <c r="BWR507" s="325"/>
      <c r="BWS507" s="325"/>
      <c r="BWT507" s="325"/>
      <c r="BWU507" s="325"/>
      <c r="BWV507" s="325"/>
      <c r="BWW507" s="325"/>
      <c r="BWX507" s="325"/>
      <c r="BWY507" s="325"/>
      <c r="BWZ507" s="325"/>
      <c r="BXA507" s="325"/>
      <c r="BXB507" s="325"/>
      <c r="BXC507" s="327"/>
      <c r="BXD507" s="28"/>
      <c r="BXE507" s="324"/>
      <c r="BXF507" s="324"/>
      <c r="BXG507" s="324"/>
      <c r="BXH507" s="324"/>
      <c r="BXI507" s="324"/>
      <c r="BXJ507" s="324"/>
      <c r="BXK507" s="256"/>
      <c r="BXL507" s="325"/>
      <c r="BXM507" s="311"/>
      <c r="BXN507" s="325"/>
      <c r="BXO507" s="310"/>
      <c r="BXP507" s="325"/>
      <c r="BXQ507" s="325"/>
      <c r="BXR507" s="325"/>
      <c r="BXS507" s="325"/>
      <c r="BXT507" s="325"/>
      <c r="BXU507" s="325"/>
      <c r="BXV507" s="325"/>
      <c r="BXW507" s="325"/>
      <c r="BXX507" s="325"/>
      <c r="BXY507" s="325"/>
      <c r="BXZ507" s="325"/>
      <c r="BYA507" s="325"/>
      <c r="BYB507" s="325"/>
      <c r="BYC507" s="325"/>
      <c r="BYD507" s="325"/>
      <c r="BYE507" s="325"/>
      <c r="BYF507" s="325"/>
      <c r="BYG507" s="325"/>
      <c r="BYH507" s="325"/>
      <c r="BYI507" s="325"/>
      <c r="BYJ507" s="325"/>
      <c r="BYK507" s="325"/>
      <c r="BYL507" s="325"/>
      <c r="BYM507" s="325"/>
      <c r="BYN507" s="325"/>
      <c r="BYO507" s="325"/>
      <c r="BYP507" s="325"/>
      <c r="BYQ507" s="325"/>
      <c r="BYR507" s="325"/>
      <c r="BYS507" s="325"/>
      <c r="BYT507" s="327"/>
      <c r="BYU507" s="28"/>
      <c r="BYV507" s="324"/>
      <c r="BYW507" s="324"/>
      <c r="BYX507" s="324"/>
      <c r="BYY507" s="324"/>
      <c r="BYZ507" s="324"/>
      <c r="BZA507" s="324"/>
      <c r="BZB507" s="256"/>
      <c r="BZC507" s="325"/>
      <c r="BZD507" s="311"/>
      <c r="BZE507" s="325"/>
      <c r="BZF507" s="310"/>
      <c r="BZG507" s="325"/>
      <c r="BZH507" s="325"/>
      <c r="BZI507" s="325"/>
      <c r="BZJ507" s="325"/>
      <c r="BZK507" s="325"/>
      <c r="BZL507" s="325"/>
      <c r="BZM507" s="325"/>
      <c r="BZN507" s="325"/>
      <c r="BZO507" s="325"/>
      <c r="BZP507" s="325"/>
      <c r="BZQ507" s="325"/>
      <c r="BZR507" s="325"/>
      <c r="BZS507" s="325"/>
      <c r="BZT507" s="325"/>
      <c r="BZU507" s="325"/>
      <c r="BZV507" s="325"/>
      <c r="BZW507" s="325"/>
      <c r="BZX507" s="325"/>
      <c r="BZY507" s="325"/>
      <c r="BZZ507" s="325"/>
      <c r="CAA507" s="325"/>
      <c r="CAB507" s="325"/>
      <c r="CAC507" s="325"/>
      <c r="CAD507" s="325"/>
      <c r="CAE507" s="325"/>
      <c r="CAF507" s="325"/>
      <c r="CAG507" s="325"/>
      <c r="CAH507" s="325"/>
      <c r="CAI507" s="325"/>
      <c r="CAJ507" s="325"/>
      <c r="CAK507" s="327"/>
      <c r="CAL507" s="28"/>
      <c r="CAM507" s="324"/>
      <c r="CAN507" s="324"/>
      <c r="CAO507" s="324"/>
      <c r="CAP507" s="324"/>
      <c r="CAQ507" s="324"/>
      <c r="CAR507" s="324"/>
      <c r="CAS507" s="256"/>
      <c r="CAT507" s="325"/>
      <c r="CAU507" s="311"/>
      <c r="CAV507" s="325"/>
      <c r="CAW507" s="310"/>
      <c r="CAX507" s="325"/>
      <c r="CAY507" s="325"/>
      <c r="CAZ507" s="325"/>
      <c r="CBA507" s="325"/>
      <c r="CBB507" s="325"/>
      <c r="CBC507" s="325"/>
      <c r="CBD507" s="325"/>
      <c r="CBE507" s="325"/>
      <c r="CBF507" s="325"/>
      <c r="CBG507" s="325"/>
      <c r="CBH507" s="325"/>
      <c r="CBI507" s="325"/>
      <c r="CBJ507" s="325"/>
      <c r="CBK507" s="325"/>
      <c r="CBL507" s="325"/>
      <c r="CBM507" s="325"/>
      <c r="CBN507" s="325"/>
      <c r="CBO507" s="325"/>
      <c r="CBP507" s="325"/>
      <c r="CBQ507" s="325"/>
      <c r="CBR507" s="325"/>
      <c r="CBS507" s="325"/>
      <c r="CBT507" s="325"/>
      <c r="CBU507" s="325"/>
      <c r="CBV507" s="325"/>
      <c r="CBW507" s="325"/>
      <c r="CBX507" s="325"/>
      <c r="CBY507" s="325"/>
      <c r="CBZ507" s="325"/>
      <c r="CCA507" s="325"/>
      <c r="CCB507" s="327"/>
      <c r="CCC507" s="28"/>
      <c r="CCD507" s="324"/>
      <c r="CCE507" s="324"/>
      <c r="CCF507" s="324"/>
      <c r="CCG507" s="324"/>
      <c r="CCH507" s="324"/>
      <c r="CCI507" s="324"/>
      <c r="CCJ507" s="256"/>
      <c r="CCK507" s="325"/>
      <c r="CCL507" s="311"/>
      <c r="CCM507" s="325"/>
      <c r="CCN507" s="310"/>
      <c r="CCO507" s="325"/>
      <c r="CCP507" s="325"/>
      <c r="CCQ507" s="325"/>
      <c r="CCR507" s="325"/>
      <c r="CCS507" s="325"/>
      <c r="CCT507" s="325"/>
      <c r="CCU507" s="325"/>
      <c r="CCV507" s="325"/>
      <c r="CCW507" s="325"/>
      <c r="CCX507" s="325"/>
      <c r="CCY507" s="325"/>
      <c r="CCZ507" s="325"/>
      <c r="CDA507" s="325"/>
      <c r="CDB507" s="325"/>
      <c r="CDC507" s="325"/>
      <c r="CDD507" s="325"/>
      <c r="CDE507" s="325"/>
      <c r="CDF507" s="325"/>
      <c r="CDG507" s="325"/>
      <c r="CDH507" s="325"/>
      <c r="CDI507" s="325"/>
      <c r="CDJ507" s="325"/>
      <c r="CDK507" s="325"/>
      <c r="CDL507" s="325"/>
      <c r="CDM507" s="325"/>
      <c r="CDN507" s="325"/>
      <c r="CDO507" s="325"/>
      <c r="CDP507" s="325"/>
      <c r="CDQ507" s="325"/>
      <c r="CDR507" s="325"/>
      <c r="CDS507" s="327"/>
      <c r="CDT507" s="28"/>
      <c r="CDU507" s="324"/>
      <c r="CDV507" s="324"/>
      <c r="CDW507" s="324"/>
      <c r="CDX507" s="324"/>
      <c r="CDY507" s="324"/>
      <c r="CDZ507" s="324"/>
      <c r="CEA507" s="256"/>
      <c r="CEB507" s="325"/>
      <c r="CEC507" s="311"/>
      <c r="CED507" s="325"/>
      <c r="CEE507" s="310"/>
      <c r="CEF507" s="325"/>
      <c r="CEG507" s="325"/>
      <c r="CEH507" s="325"/>
      <c r="CEI507" s="325"/>
      <c r="CEJ507" s="325"/>
      <c r="CEK507" s="325"/>
      <c r="CEL507" s="325"/>
      <c r="CEM507" s="325"/>
      <c r="CEN507" s="325"/>
      <c r="CEO507" s="325"/>
      <c r="CEP507" s="325"/>
      <c r="CEQ507" s="325"/>
      <c r="CER507" s="325"/>
      <c r="CES507" s="325"/>
      <c r="CET507" s="325"/>
      <c r="CEU507" s="325"/>
      <c r="CEV507" s="325"/>
      <c r="CEW507" s="325"/>
      <c r="CEX507" s="325"/>
      <c r="CEY507" s="325"/>
      <c r="CEZ507" s="325"/>
      <c r="CFA507" s="325"/>
      <c r="CFB507" s="325"/>
      <c r="CFC507" s="325"/>
      <c r="CFD507" s="325"/>
      <c r="CFE507" s="325"/>
      <c r="CFF507" s="325"/>
      <c r="CFG507" s="325"/>
      <c r="CFH507" s="325"/>
      <c r="CFI507" s="325"/>
      <c r="CFJ507" s="327"/>
      <c r="CFK507" s="28"/>
      <c r="CFL507" s="324"/>
      <c r="CFM507" s="324"/>
      <c r="CFN507" s="324"/>
      <c r="CFO507" s="324"/>
      <c r="CFP507" s="324"/>
      <c r="CFQ507" s="324"/>
      <c r="CFR507" s="256"/>
      <c r="CFS507" s="325"/>
      <c r="CFT507" s="311"/>
      <c r="CFU507" s="325"/>
      <c r="CFV507" s="310"/>
      <c r="CFW507" s="325"/>
      <c r="CFX507" s="325"/>
      <c r="CFY507" s="325"/>
      <c r="CFZ507" s="325"/>
      <c r="CGA507" s="325"/>
      <c r="CGB507" s="325"/>
      <c r="CGC507" s="325"/>
      <c r="CGD507" s="325"/>
      <c r="CGE507" s="325"/>
      <c r="CGF507" s="325"/>
      <c r="CGG507" s="325"/>
      <c r="CGH507" s="325"/>
      <c r="CGI507" s="325"/>
      <c r="CGJ507" s="325"/>
      <c r="CGK507" s="325"/>
      <c r="CGL507" s="325"/>
      <c r="CGM507" s="325"/>
      <c r="CGN507" s="325"/>
      <c r="CGO507" s="325"/>
      <c r="CGP507" s="325"/>
      <c r="CGQ507" s="325"/>
      <c r="CGR507" s="325"/>
      <c r="CGS507" s="325"/>
      <c r="CGT507" s="325"/>
      <c r="CGU507" s="325"/>
      <c r="CGV507" s="325"/>
      <c r="CGW507" s="325"/>
      <c r="CGX507" s="325"/>
      <c r="CGY507" s="325"/>
      <c r="CGZ507" s="325"/>
      <c r="CHA507" s="327"/>
      <c r="CHB507" s="28"/>
      <c r="CHC507" s="324"/>
      <c r="CHD507" s="324"/>
      <c r="CHE507" s="324"/>
      <c r="CHF507" s="324"/>
      <c r="CHG507" s="324"/>
      <c r="CHH507" s="324"/>
      <c r="CHI507" s="256"/>
      <c r="CHJ507" s="325"/>
      <c r="CHK507" s="311"/>
      <c r="CHL507" s="325"/>
      <c r="CHM507" s="310"/>
      <c r="CHN507" s="325"/>
      <c r="CHO507" s="325"/>
      <c r="CHP507" s="325"/>
      <c r="CHQ507" s="325"/>
      <c r="CHR507" s="325"/>
      <c r="CHS507" s="325"/>
      <c r="CHT507" s="325"/>
      <c r="CHU507" s="325"/>
      <c r="CHV507" s="325"/>
      <c r="CHW507" s="325"/>
      <c r="CHX507" s="325"/>
      <c r="CHY507" s="325"/>
      <c r="CHZ507" s="325"/>
      <c r="CIA507" s="325"/>
      <c r="CIB507" s="325"/>
      <c r="CIC507" s="325"/>
      <c r="CID507" s="325"/>
      <c r="CIE507" s="325"/>
      <c r="CIF507" s="325"/>
      <c r="CIG507" s="325"/>
      <c r="CIH507" s="325"/>
      <c r="CII507" s="325"/>
      <c r="CIJ507" s="325"/>
      <c r="CIK507" s="325"/>
      <c r="CIL507" s="325"/>
      <c r="CIM507" s="325"/>
      <c r="CIN507" s="325"/>
      <c r="CIO507" s="325"/>
      <c r="CIP507" s="325"/>
      <c r="CIQ507" s="325"/>
      <c r="CIR507" s="327"/>
      <c r="CIS507" s="28"/>
      <c r="CIT507" s="324"/>
      <c r="CIU507" s="324"/>
      <c r="CIV507" s="324"/>
      <c r="CIW507" s="324"/>
      <c r="CIX507" s="324"/>
      <c r="CIY507" s="324"/>
      <c r="CIZ507" s="256"/>
      <c r="CJA507" s="325"/>
      <c r="CJB507" s="311"/>
      <c r="CJC507" s="325"/>
      <c r="CJD507" s="310"/>
      <c r="CJE507" s="325"/>
      <c r="CJF507" s="325"/>
      <c r="CJG507" s="325"/>
      <c r="CJH507" s="325"/>
      <c r="CJI507" s="325"/>
      <c r="CJJ507" s="325"/>
      <c r="CJK507" s="325"/>
      <c r="CJL507" s="325"/>
      <c r="CJM507" s="325"/>
      <c r="CJN507" s="325"/>
      <c r="CJO507" s="325"/>
      <c r="CJP507" s="325"/>
      <c r="CJQ507" s="325"/>
      <c r="CJR507" s="325"/>
      <c r="CJS507" s="325"/>
      <c r="CJT507" s="325"/>
      <c r="CJU507" s="325"/>
      <c r="CJV507" s="325"/>
      <c r="CJW507" s="325"/>
      <c r="CJX507" s="325"/>
      <c r="CJY507" s="325"/>
      <c r="CJZ507" s="325"/>
      <c r="CKA507" s="325"/>
      <c r="CKB507" s="325"/>
      <c r="CKC507" s="325"/>
      <c r="CKD507" s="325"/>
      <c r="CKE507" s="325"/>
      <c r="CKF507" s="325"/>
      <c r="CKG507" s="325"/>
      <c r="CKH507" s="325"/>
      <c r="CKI507" s="327"/>
      <c r="CKJ507" s="28"/>
      <c r="CKK507" s="324"/>
      <c r="CKL507" s="324"/>
      <c r="CKM507" s="324"/>
      <c r="CKN507" s="324"/>
      <c r="CKO507" s="324"/>
      <c r="CKP507" s="324"/>
      <c r="CKQ507" s="256"/>
      <c r="CKR507" s="325"/>
      <c r="CKS507" s="311"/>
      <c r="CKT507" s="325"/>
      <c r="CKU507" s="310"/>
      <c r="CKV507" s="325"/>
      <c r="CKW507" s="325"/>
      <c r="CKX507" s="325"/>
      <c r="CKY507" s="325"/>
      <c r="CKZ507" s="325"/>
      <c r="CLA507" s="325"/>
      <c r="CLB507" s="325"/>
      <c r="CLC507" s="325"/>
      <c r="CLD507" s="325"/>
      <c r="CLE507" s="325"/>
      <c r="CLF507" s="325"/>
      <c r="CLG507" s="325"/>
      <c r="CLH507" s="325"/>
      <c r="CLI507" s="325"/>
      <c r="CLJ507" s="325"/>
      <c r="CLK507" s="325"/>
      <c r="CLL507" s="325"/>
      <c r="CLM507" s="325"/>
      <c r="CLN507" s="325"/>
      <c r="CLO507" s="325"/>
      <c r="CLP507" s="325"/>
      <c r="CLQ507" s="325"/>
      <c r="CLR507" s="325"/>
      <c r="CLS507" s="325"/>
      <c r="CLT507" s="325"/>
      <c r="CLU507" s="325"/>
      <c r="CLV507" s="325"/>
      <c r="CLW507" s="325"/>
      <c r="CLX507" s="325"/>
      <c r="CLY507" s="325"/>
      <c r="CLZ507" s="327"/>
      <c r="CMA507" s="28"/>
      <c r="CMB507" s="324"/>
      <c r="CMC507" s="324"/>
      <c r="CMD507" s="324"/>
      <c r="CME507" s="324"/>
      <c r="CMF507" s="324"/>
      <c r="CMG507" s="324"/>
      <c r="CMH507" s="256"/>
      <c r="CMI507" s="325"/>
      <c r="CMJ507" s="311"/>
      <c r="CMK507" s="325"/>
      <c r="CML507" s="310"/>
      <c r="CMM507" s="325"/>
      <c r="CMN507" s="325"/>
      <c r="CMO507" s="325"/>
      <c r="CMP507" s="325"/>
      <c r="CMQ507" s="325"/>
      <c r="CMR507" s="325"/>
      <c r="CMS507" s="325"/>
      <c r="CMT507" s="325"/>
      <c r="CMU507" s="325"/>
      <c r="CMV507" s="325"/>
      <c r="CMW507" s="325"/>
      <c r="CMX507" s="325"/>
      <c r="CMY507" s="325"/>
      <c r="CMZ507" s="325"/>
      <c r="CNA507" s="325"/>
      <c r="CNB507" s="325"/>
      <c r="CNC507" s="325"/>
      <c r="CND507" s="325"/>
      <c r="CNE507" s="325"/>
      <c r="CNF507" s="325"/>
      <c r="CNG507" s="325"/>
      <c r="CNH507" s="325"/>
      <c r="CNI507" s="325"/>
      <c r="CNJ507" s="325"/>
      <c r="CNK507" s="325"/>
      <c r="CNL507" s="325"/>
      <c r="CNM507" s="325"/>
      <c r="CNN507" s="325"/>
      <c r="CNO507" s="325"/>
      <c r="CNP507" s="325"/>
      <c r="CNQ507" s="327"/>
      <c r="CNR507" s="28"/>
      <c r="CNS507" s="324"/>
      <c r="CNT507" s="324"/>
      <c r="CNU507" s="324"/>
      <c r="CNV507" s="324"/>
      <c r="CNW507" s="324"/>
      <c r="CNX507" s="324"/>
      <c r="CNY507" s="256"/>
      <c r="CNZ507" s="325"/>
      <c r="COA507" s="311"/>
      <c r="COB507" s="325"/>
      <c r="COC507" s="310"/>
      <c r="COD507" s="325"/>
      <c r="COE507" s="325"/>
      <c r="COF507" s="325"/>
      <c r="COG507" s="325"/>
      <c r="COH507" s="325"/>
      <c r="COI507" s="325"/>
      <c r="COJ507" s="325"/>
      <c r="COK507" s="325"/>
      <c r="COL507" s="325"/>
      <c r="COM507" s="325"/>
      <c r="CON507" s="325"/>
      <c r="COO507" s="325"/>
      <c r="COP507" s="325"/>
      <c r="COQ507" s="325"/>
      <c r="COR507" s="325"/>
      <c r="COS507" s="325"/>
      <c r="COT507" s="325"/>
      <c r="COU507" s="325"/>
      <c r="COV507" s="325"/>
      <c r="COW507" s="325"/>
      <c r="COX507" s="325"/>
      <c r="COY507" s="325"/>
      <c r="COZ507" s="325"/>
      <c r="CPA507" s="325"/>
      <c r="CPB507" s="325"/>
      <c r="CPC507" s="325"/>
      <c r="CPD507" s="325"/>
      <c r="CPE507" s="325"/>
      <c r="CPF507" s="325"/>
      <c r="CPG507" s="325"/>
      <c r="CPH507" s="327"/>
      <c r="CPI507" s="28"/>
      <c r="CPJ507" s="324"/>
      <c r="CPK507" s="324"/>
      <c r="CPL507" s="324"/>
      <c r="CPM507" s="324"/>
      <c r="CPN507" s="324"/>
      <c r="CPO507" s="324"/>
      <c r="CPP507" s="256"/>
      <c r="CPQ507" s="325"/>
      <c r="CPR507" s="311"/>
      <c r="CPS507" s="325"/>
      <c r="CPT507" s="310"/>
      <c r="CPU507" s="325"/>
      <c r="CPV507" s="325"/>
      <c r="CPW507" s="325"/>
      <c r="CPX507" s="325"/>
      <c r="CPY507" s="325"/>
      <c r="CPZ507" s="325"/>
      <c r="CQA507" s="325"/>
      <c r="CQB507" s="325"/>
      <c r="CQC507" s="325"/>
      <c r="CQD507" s="325"/>
      <c r="CQE507" s="325"/>
      <c r="CQF507" s="325"/>
      <c r="CQG507" s="325"/>
      <c r="CQH507" s="325"/>
      <c r="CQI507" s="325"/>
      <c r="CQJ507" s="325"/>
      <c r="CQK507" s="325"/>
      <c r="CQL507" s="325"/>
      <c r="CQM507" s="325"/>
      <c r="CQN507" s="325"/>
      <c r="CQO507" s="325"/>
      <c r="CQP507" s="325"/>
      <c r="CQQ507" s="325"/>
      <c r="CQR507" s="325"/>
      <c r="CQS507" s="325"/>
      <c r="CQT507" s="325"/>
      <c r="CQU507" s="325"/>
      <c r="CQV507" s="325"/>
      <c r="CQW507" s="325"/>
      <c r="CQX507" s="325"/>
      <c r="CQY507" s="327"/>
      <c r="CQZ507" s="28"/>
      <c r="CRA507" s="324"/>
      <c r="CRB507" s="324"/>
      <c r="CRC507" s="324"/>
      <c r="CRD507" s="324"/>
      <c r="CRE507" s="324"/>
      <c r="CRF507" s="324"/>
      <c r="CRG507" s="256"/>
      <c r="CRH507" s="325"/>
      <c r="CRI507" s="311"/>
      <c r="CRJ507" s="325"/>
      <c r="CRK507" s="310"/>
      <c r="CRL507" s="325"/>
      <c r="CRM507" s="325"/>
      <c r="CRN507" s="325"/>
      <c r="CRO507" s="325"/>
      <c r="CRP507" s="325"/>
      <c r="CRQ507" s="325"/>
      <c r="CRR507" s="325"/>
      <c r="CRS507" s="325"/>
      <c r="CRT507" s="325"/>
      <c r="CRU507" s="325"/>
      <c r="CRV507" s="325"/>
      <c r="CRW507" s="325"/>
      <c r="CRX507" s="325"/>
      <c r="CRY507" s="325"/>
      <c r="CRZ507" s="325"/>
      <c r="CSA507" s="325"/>
      <c r="CSB507" s="325"/>
      <c r="CSC507" s="325"/>
      <c r="CSD507" s="325"/>
      <c r="CSE507" s="325"/>
      <c r="CSF507" s="325"/>
      <c r="CSG507" s="325"/>
      <c r="CSH507" s="325"/>
      <c r="CSI507" s="325"/>
      <c r="CSJ507" s="325"/>
      <c r="CSK507" s="325"/>
      <c r="CSL507" s="325"/>
      <c r="CSM507" s="325"/>
      <c r="CSN507" s="325"/>
      <c r="CSO507" s="325"/>
      <c r="CSP507" s="327"/>
      <c r="CSQ507" s="28"/>
      <c r="CSR507" s="324"/>
      <c r="CSS507" s="324"/>
      <c r="CST507" s="324"/>
      <c r="CSU507" s="324"/>
      <c r="CSV507" s="324"/>
      <c r="CSW507" s="324"/>
      <c r="CSX507" s="256"/>
      <c r="CSY507" s="325"/>
      <c r="CSZ507" s="311"/>
      <c r="CTA507" s="325"/>
      <c r="CTB507" s="310"/>
      <c r="CTC507" s="325"/>
      <c r="CTD507" s="325"/>
      <c r="CTE507" s="325"/>
      <c r="CTF507" s="325"/>
      <c r="CTG507" s="325"/>
      <c r="CTH507" s="325"/>
      <c r="CTI507" s="325"/>
      <c r="CTJ507" s="325"/>
      <c r="CTK507" s="325"/>
      <c r="CTL507" s="325"/>
      <c r="CTM507" s="325"/>
      <c r="CTN507" s="325"/>
      <c r="CTO507" s="325"/>
      <c r="CTP507" s="325"/>
      <c r="CTQ507" s="325"/>
      <c r="CTR507" s="325"/>
      <c r="CTS507" s="325"/>
      <c r="CTT507" s="325"/>
      <c r="CTU507" s="325"/>
      <c r="CTV507" s="325"/>
      <c r="CTW507" s="325"/>
      <c r="CTX507" s="325"/>
      <c r="CTY507" s="325"/>
      <c r="CTZ507" s="325"/>
      <c r="CUA507" s="325"/>
      <c r="CUB507" s="325"/>
      <c r="CUC507" s="325"/>
      <c r="CUD507" s="325"/>
      <c r="CUE507" s="325"/>
      <c r="CUF507" s="325"/>
      <c r="CUG507" s="327"/>
      <c r="CUH507" s="28"/>
      <c r="CUI507" s="324"/>
      <c r="CUJ507" s="324"/>
      <c r="CUK507" s="324"/>
      <c r="CUL507" s="324"/>
      <c r="CUM507" s="324"/>
      <c r="CUN507" s="324"/>
      <c r="CUO507" s="256"/>
      <c r="CUP507" s="325"/>
      <c r="CUQ507" s="311"/>
      <c r="CUR507" s="325"/>
      <c r="CUS507" s="310"/>
      <c r="CUT507" s="325"/>
      <c r="CUU507" s="325"/>
      <c r="CUV507" s="325"/>
      <c r="CUW507" s="325"/>
      <c r="CUX507" s="325"/>
      <c r="CUY507" s="325"/>
      <c r="CUZ507" s="325"/>
      <c r="CVA507" s="325"/>
      <c r="CVB507" s="325"/>
      <c r="CVC507" s="325"/>
      <c r="CVD507" s="325"/>
      <c r="CVE507" s="325"/>
      <c r="CVF507" s="325"/>
      <c r="CVG507" s="325"/>
      <c r="CVH507" s="325"/>
      <c r="CVI507" s="325"/>
      <c r="CVJ507" s="325"/>
      <c r="CVK507" s="325"/>
      <c r="CVL507" s="325"/>
      <c r="CVM507" s="325"/>
      <c r="CVN507" s="325"/>
      <c r="CVO507" s="325"/>
      <c r="CVP507" s="325"/>
      <c r="CVQ507" s="325"/>
      <c r="CVR507" s="325"/>
      <c r="CVS507" s="325"/>
      <c r="CVT507" s="325"/>
      <c r="CVU507" s="325"/>
      <c r="CVV507" s="325"/>
      <c r="CVW507" s="325"/>
      <c r="CVX507" s="327"/>
      <c r="CVY507" s="28"/>
      <c r="CVZ507" s="324"/>
      <c r="CWA507" s="324"/>
      <c r="CWB507" s="324"/>
      <c r="CWC507" s="324"/>
      <c r="CWD507" s="324"/>
      <c r="CWE507" s="324"/>
      <c r="CWF507" s="256"/>
      <c r="CWG507" s="325"/>
      <c r="CWH507" s="311"/>
      <c r="CWI507" s="325"/>
      <c r="CWJ507" s="310"/>
      <c r="CWK507" s="325"/>
      <c r="CWL507" s="325"/>
      <c r="CWM507" s="325"/>
      <c r="CWN507" s="325"/>
      <c r="CWO507" s="325"/>
      <c r="CWP507" s="325"/>
      <c r="CWQ507" s="325"/>
      <c r="CWR507" s="325"/>
      <c r="CWS507" s="325"/>
      <c r="CWT507" s="325"/>
      <c r="CWU507" s="325"/>
      <c r="CWV507" s="325"/>
      <c r="CWW507" s="325"/>
      <c r="CWX507" s="325"/>
      <c r="CWY507" s="325"/>
      <c r="CWZ507" s="325"/>
      <c r="CXA507" s="325"/>
      <c r="CXB507" s="325"/>
      <c r="CXC507" s="325"/>
      <c r="CXD507" s="325"/>
      <c r="CXE507" s="325"/>
      <c r="CXF507" s="325"/>
      <c r="CXG507" s="325"/>
      <c r="CXH507" s="325"/>
      <c r="CXI507" s="325"/>
      <c r="CXJ507" s="325"/>
      <c r="CXK507" s="325"/>
      <c r="CXL507" s="325"/>
      <c r="CXM507" s="325"/>
      <c r="CXN507" s="325"/>
      <c r="CXO507" s="327"/>
      <c r="CXP507" s="28"/>
      <c r="CXQ507" s="324"/>
      <c r="CXR507" s="324"/>
      <c r="CXS507" s="324"/>
      <c r="CXT507" s="324"/>
      <c r="CXU507" s="324"/>
      <c r="CXV507" s="324"/>
      <c r="CXW507" s="256"/>
      <c r="CXX507" s="325"/>
      <c r="CXY507" s="311"/>
      <c r="CXZ507" s="325"/>
      <c r="CYA507" s="310"/>
      <c r="CYB507" s="325"/>
      <c r="CYC507" s="325"/>
      <c r="CYD507" s="325"/>
      <c r="CYE507" s="325"/>
      <c r="CYF507" s="325"/>
      <c r="CYG507" s="325"/>
      <c r="CYH507" s="325"/>
      <c r="CYI507" s="325"/>
      <c r="CYJ507" s="325"/>
      <c r="CYK507" s="325"/>
      <c r="CYL507" s="325"/>
      <c r="CYM507" s="325"/>
      <c r="CYN507" s="325"/>
      <c r="CYO507" s="325"/>
      <c r="CYP507" s="325"/>
      <c r="CYQ507" s="325"/>
      <c r="CYR507" s="325"/>
      <c r="CYS507" s="325"/>
      <c r="CYT507" s="325"/>
      <c r="CYU507" s="325"/>
      <c r="CYV507" s="325"/>
      <c r="CYW507" s="325"/>
      <c r="CYX507" s="325"/>
      <c r="CYY507" s="325"/>
      <c r="CYZ507" s="325"/>
      <c r="CZA507" s="325"/>
      <c r="CZB507" s="325"/>
      <c r="CZC507" s="325"/>
      <c r="CZD507" s="325"/>
      <c r="CZE507" s="325"/>
      <c r="CZF507" s="327"/>
      <c r="CZG507" s="28"/>
      <c r="CZH507" s="324"/>
      <c r="CZI507" s="324"/>
      <c r="CZJ507" s="324"/>
      <c r="CZK507" s="324"/>
      <c r="CZL507" s="324"/>
      <c r="CZM507" s="324"/>
      <c r="CZN507" s="256"/>
      <c r="CZO507" s="325"/>
      <c r="CZP507" s="311"/>
      <c r="CZQ507" s="325"/>
      <c r="CZR507" s="310"/>
      <c r="CZS507" s="325"/>
      <c r="CZT507" s="325"/>
      <c r="CZU507" s="325"/>
      <c r="CZV507" s="325"/>
      <c r="CZW507" s="325"/>
      <c r="CZX507" s="325"/>
      <c r="CZY507" s="325"/>
      <c r="CZZ507" s="325"/>
      <c r="DAA507" s="325"/>
      <c r="DAB507" s="325"/>
      <c r="DAC507" s="325"/>
      <c r="DAD507" s="325"/>
      <c r="DAE507" s="325"/>
      <c r="DAF507" s="325"/>
      <c r="DAG507" s="325"/>
      <c r="DAH507" s="325"/>
      <c r="DAI507" s="325"/>
      <c r="DAJ507" s="325"/>
      <c r="DAK507" s="325"/>
      <c r="DAL507" s="325"/>
      <c r="DAM507" s="325"/>
      <c r="DAN507" s="325"/>
      <c r="DAO507" s="325"/>
      <c r="DAP507" s="325"/>
      <c r="DAQ507" s="325"/>
      <c r="DAR507" s="325"/>
      <c r="DAS507" s="325"/>
      <c r="DAT507" s="325"/>
      <c r="DAU507" s="325"/>
      <c r="DAV507" s="325"/>
      <c r="DAW507" s="327"/>
      <c r="DAX507" s="28"/>
      <c r="DAY507" s="324"/>
      <c r="DAZ507" s="324"/>
      <c r="DBA507" s="324"/>
      <c r="DBB507" s="324"/>
      <c r="DBC507" s="324"/>
      <c r="DBD507" s="324"/>
      <c r="DBE507" s="256"/>
      <c r="DBF507" s="325"/>
      <c r="DBG507" s="311"/>
      <c r="DBH507" s="325"/>
      <c r="DBI507" s="310"/>
      <c r="DBJ507" s="325"/>
      <c r="DBK507" s="325"/>
      <c r="DBL507" s="325"/>
      <c r="DBM507" s="325"/>
      <c r="DBN507" s="325"/>
      <c r="DBO507" s="325"/>
      <c r="DBP507" s="325"/>
      <c r="DBQ507" s="325"/>
      <c r="DBR507" s="325"/>
      <c r="DBS507" s="325"/>
      <c r="DBT507" s="325"/>
      <c r="DBU507" s="325"/>
      <c r="DBV507" s="325"/>
      <c r="DBW507" s="325"/>
      <c r="DBX507" s="325"/>
      <c r="DBY507" s="325"/>
      <c r="DBZ507" s="325"/>
      <c r="DCA507" s="325"/>
      <c r="DCB507" s="325"/>
      <c r="DCC507" s="325"/>
      <c r="DCD507" s="325"/>
      <c r="DCE507" s="325"/>
      <c r="DCF507" s="325"/>
      <c r="DCG507" s="325"/>
      <c r="DCH507" s="325"/>
      <c r="DCI507" s="325"/>
      <c r="DCJ507" s="325"/>
      <c r="DCK507" s="325"/>
      <c r="DCL507" s="325"/>
      <c r="DCM507" s="325"/>
      <c r="DCN507" s="327"/>
      <c r="DCO507" s="28"/>
      <c r="DCP507" s="324"/>
      <c r="DCQ507" s="324"/>
      <c r="DCR507" s="324"/>
      <c r="DCS507" s="324"/>
      <c r="DCT507" s="324"/>
      <c r="DCU507" s="324"/>
      <c r="DCV507" s="256"/>
      <c r="DCW507" s="325"/>
      <c r="DCX507" s="311"/>
      <c r="DCY507" s="325"/>
      <c r="DCZ507" s="310"/>
      <c r="DDA507" s="325"/>
      <c r="DDB507" s="325"/>
      <c r="DDC507" s="325"/>
      <c r="DDD507" s="325"/>
      <c r="DDE507" s="325"/>
      <c r="DDF507" s="325"/>
      <c r="DDG507" s="325"/>
      <c r="DDH507" s="325"/>
      <c r="DDI507" s="325"/>
      <c r="DDJ507" s="325"/>
      <c r="DDK507" s="325"/>
      <c r="DDL507" s="325"/>
      <c r="DDM507" s="325"/>
      <c r="DDN507" s="325"/>
      <c r="DDO507" s="325"/>
      <c r="DDP507" s="325"/>
      <c r="DDQ507" s="325"/>
      <c r="DDR507" s="325"/>
      <c r="DDS507" s="325"/>
      <c r="DDT507" s="325"/>
      <c r="DDU507" s="325"/>
      <c r="DDV507" s="325"/>
      <c r="DDW507" s="325"/>
      <c r="DDX507" s="325"/>
      <c r="DDY507" s="325"/>
      <c r="DDZ507" s="325"/>
      <c r="DEA507" s="325"/>
      <c r="DEB507" s="325"/>
      <c r="DEC507" s="325"/>
      <c r="DED507" s="325"/>
      <c r="DEE507" s="327"/>
      <c r="DEF507" s="28"/>
      <c r="DEG507" s="324"/>
      <c r="DEH507" s="324"/>
      <c r="DEI507" s="324"/>
      <c r="DEJ507" s="324"/>
      <c r="DEK507" s="324"/>
      <c r="DEL507" s="324"/>
      <c r="DEM507" s="256"/>
      <c r="DEN507" s="325"/>
      <c r="DEO507" s="311"/>
      <c r="DEP507" s="325"/>
      <c r="DEQ507" s="310"/>
      <c r="DER507" s="325"/>
      <c r="DES507" s="325"/>
      <c r="DET507" s="325"/>
      <c r="DEU507" s="325"/>
      <c r="DEV507" s="325"/>
      <c r="DEW507" s="325"/>
      <c r="DEX507" s="325"/>
      <c r="DEY507" s="325"/>
      <c r="DEZ507" s="325"/>
      <c r="DFA507" s="325"/>
      <c r="DFB507" s="325"/>
      <c r="DFC507" s="325"/>
      <c r="DFD507" s="325"/>
      <c r="DFE507" s="325"/>
      <c r="DFF507" s="325"/>
      <c r="DFG507" s="325"/>
      <c r="DFH507" s="325"/>
      <c r="DFI507" s="325"/>
      <c r="DFJ507" s="325"/>
      <c r="DFK507" s="325"/>
      <c r="DFL507" s="325"/>
      <c r="DFM507" s="325"/>
      <c r="DFN507" s="325"/>
      <c r="DFO507" s="325"/>
      <c r="DFP507" s="325"/>
      <c r="DFQ507" s="325"/>
      <c r="DFR507" s="325"/>
      <c r="DFS507" s="325"/>
      <c r="DFT507" s="325"/>
      <c r="DFU507" s="325"/>
      <c r="DFV507" s="327"/>
      <c r="DFW507" s="28"/>
      <c r="DFX507" s="324"/>
      <c r="DFY507" s="324"/>
      <c r="DFZ507" s="324"/>
      <c r="DGA507" s="324"/>
      <c r="DGB507" s="324"/>
      <c r="DGC507" s="324"/>
      <c r="DGD507" s="256"/>
      <c r="DGE507" s="325"/>
      <c r="DGF507" s="311"/>
      <c r="DGG507" s="325"/>
      <c r="DGH507" s="310"/>
      <c r="DGI507" s="325"/>
      <c r="DGJ507" s="325"/>
      <c r="DGK507" s="325"/>
      <c r="DGL507" s="325"/>
      <c r="DGM507" s="325"/>
      <c r="DGN507" s="325"/>
      <c r="DGO507" s="325"/>
      <c r="DGP507" s="325"/>
      <c r="DGQ507" s="325"/>
      <c r="DGR507" s="325"/>
      <c r="DGS507" s="325"/>
      <c r="DGT507" s="325"/>
      <c r="DGU507" s="325"/>
      <c r="DGV507" s="325"/>
      <c r="DGW507" s="325"/>
      <c r="DGX507" s="325"/>
      <c r="DGY507" s="325"/>
      <c r="DGZ507" s="325"/>
      <c r="DHA507" s="325"/>
      <c r="DHB507" s="325"/>
      <c r="DHC507" s="325"/>
      <c r="DHD507" s="325"/>
      <c r="DHE507" s="325"/>
      <c r="DHF507" s="325"/>
      <c r="DHG507" s="325"/>
      <c r="DHH507" s="325"/>
      <c r="DHI507" s="325"/>
      <c r="DHJ507" s="325"/>
      <c r="DHK507" s="325"/>
      <c r="DHL507" s="325"/>
      <c r="DHM507" s="327"/>
      <c r="DHN507" s="28"/>
      <c r="DHO507" s="324"/>
      <c r="DHP507" s="324"/>
      <c r="DHQ507" s="324"/>
      <c r="DHR507" s="324"/>
      <c r="DHS507" s="324"/>
      <c r="DHT507" s="324"/>
      <c r="DHU507" s="256"/>
      <c r="DHV507" s="325"/>
      <c r="DHW507" s="311"/>
      <c r="DHX507" s="325"/>
      <c r="DHY507" s="310"/>
      <c r="DHZ507" s="325"/>
      <c r="DIA507" s="325"/>
      <c r="DIB507" s="325"/>
      <c r="DIC507" s="325"/>
      <c r="DID507" s="325"/>
      <c r="DIE507" s="325"/>
      <c r="DIF507" s="325"/>
      <c r="DIG507" s="325"/>
      <c r="DIH507" s="325"/>
      <c r="DII507" s="325"/>
      <c r="DIJ507" s="325"/>
      <c r="DIK507" s="325"/>
      <c r="DIL507" s="325"/>
      <c r="DIM507" s="325"/>
      <c r="DIN507" s="325"/>
      <c r="DIO507" s="325"/>
      <c r="DIP507" s="325"/>
      <c r="DIQ507" s="325"/>
      <c r="DIR507" s="325"/>
      <c r="DIS507" s="325"/>
      <c r="DIT507" s="325"/>
      <c r="DIU507" s="325"/>
      <c r="DIV507" s="325"/>
      <c r="DIW507" s="325"/>
      <c r="DIX507" s="325"/>
      <c r="DIY507" s="325"/>
      <c r="DIZ507" s="325"/>
      <c r="DJA507" s="325"/>
      <c r="DJB507" s="325"/>
      <c r="DJC507" s="325"/>
      <c r="DJD507" s="327"/>
      <c r="DJE507" s="28"/>
      <c r="DJF507" s="324"/>
      <c r="DJG507" s="324"/>
      <c r="DJH507" s="324"/>
      <c r="DJI507" s="324"/>
      <c r="DJJ507" s="324"/>
      <c r="DJK507" s="324"/>
      <c r="DJL507" s="256"/>
      <c r="DJM507" s="325"/>
      <c r="DJN507" s="311"/>
      <c r="DJO507" s="325"/>
      <c r="DJP507" s="310"/>
      <c r="DJQ507" s="325"/>
      <c r="DJR507" s="325"/>
      <c r="DJS507" s="325"/>
      <c r="DJT507" s="325"/>
      <c r="DJU507" s="325"/>
      <c r="DJV507" s="325"/>
      <c r="DJW507" s="325"/>
      <c r="DJX507" s="325"/>
      <c r="DJY507" s="325"/>
      <c r="DJZ507" s="325"/>
      <c r="DKA507" s="325"/>
      <c r="DKB507" s="325"/>
      <c r="DKC507" s="325"/>
      <c r="DKD507" s="325"/>
      <c r="DKE507" s="325"/>
      <c r="DKF507" s="325"/>
      <c r="DKG507" s="325"/>
      <c r="DKH507" s="325"/>
      <c r="DKI507" s="325"/>
      <c r="DKJ507" s="325"/>
      <c r="DKK507" s="325"/>
      <c r="DKL507" s="325"/>
      <c r="DKM507" s="325"/>
      <c r="DKN507" s="325"/>
      <c r="DKO507" s="325"/>
      <c r="DKP507" s="325"/>
      <c r="DKQ507" s="325"/>
      <c r="DKR507" s="325"/>
      <c r="DKS507" s="325"/>
      <c r="DKT507" s="325"/>
      <c r="DKU507" s="327"/>
      <c r="DKV507" s="28"/>
      <c r="DKW507" s="324"/>
      <c r="DKX507" s="324"/>
      <c r="DKY507" s="324"/>
      <c r="DKZ507" s="324"/>
      <c r="DLA507" s="324"/>
      <c r="DLB507" s="324"/>
      <c r="DLC507" s="256"/>
      <c r="DLD507" s="325"/>
      <c r="DLE507" s="311"/>
      <c r="DLF507" s="325"/>
      <c r="DLG507" s="310"/>
      <c r="DLH507" s="325"/>
      <c r="DLI507" s="325"/>
      <c r="DLJ507" s="325"/>
      <c r="DLK507" s="325"/>
      <c r="DLL507" s="325"/>
      <c r="DLM507" s="325"/>
      <c r="DLN507" s="325"/>
      <c r="DLO507" s="325"/>
      <c r="DLP507" s="325"/>
      <c r="DLQ507" s="325"/>
      <c r="DLR507" s="325"/>
      <c r="DLS507" s="325"/>
      <c r="DLT507" s="325"/>
      <c r="DLU507" s="325"/>
      <c r="DLV507" s="325"/>
      <c r="DLW507" s="325"/>
      <c r="DLX507" s="325"/>
      <c r="DLY507" s="325"/>
      <c r="DLZ507" s="325"/>
      <c r="DMA507" s="325"/>
      <c r="DMB507" s="325"/>
      <c r="DMC507" s="325"/>
      <c r="DMD507" s="325"/>
      <c r="DME507" s="325"/>
      <c r="DMF507" s="325"/>
      <c r="DMG507" s="325"/>
      <c r="DMH507" s="325"/>
      <c r="DMI507" s="325"/>
      <c r="DMJ507" s="325"/>
      <c r="DMK507" s="325"/>
      <c r="DML507" s="327"/>
      <c r="DMM507" s="28"/>
      <c r="DMN507" s="324"/>
      <c r="DMO507" s="324"/>
      <c r="DMP507" s="324"/>
      <c r="DMQ507" s="324"/>
      <c r="DMR507" s="324"/>
      <c r="DMS507" s="324"/>
      <c r="DMT507" s="256"/>
      <c r="DMU507" s="325"/>
      <c r="DMV507" s="311"/>
      <c r="DMW507" s="325"/>
      <c r="DMX507" s="310"/>
      <c r="DMY507" s="325"/>
      <c r="DMZ507" s="325"/>
      <c r="DNA507" s="325"/>
      <c r="DNB507" s="325"/>
      <c r="DNC507" s="325"/>
      <c r="DND507" s="325"/>
      <c r="DNE507" s="325"/>
      <c r="DNF507" s="325"/>
      <c r="DNG507" s="325"/>
      <c r="DNH507" s="325"/>
      <c r="DNI507" s="325"/>
      <c r="DNJ507" s="325"/>
      <c r="DNK507" s="325"/>
      <c r="DNL507" s="325"/>
      <c r="DNM507" s="325"/>
      <c r="DNN507" s="325"/>
      <c r="DNO507" s="325"/>
      <c r="DNP507" s="325"/>
      <c r="DNQ507" s="325"/>
      <c r="DNR507" s="325"/>
      <c r="DNS507" s="325"/>
      <c r="DNT507" s="325"/>
      <c r="DNU507" s="325"/>
      <c r="DNV507" s="325"/>
      <c r="DNW507" s="325"/>
      <c r="DNX507" s="325"/>
      <c r="DNY507" s="325"/>
      <c r="DNZ507" s="325"/>
      <c r="DOA507" s="325"/>
      <c r="DOB507" s="325"/>
      <c r="DOC507" s="327"/>
      <c r="DOD507" s="28"/>
      <c r="DOE507" s="324"/>
      <c r="DOF507" s="324"/>
      <c r="DOG507" s="324"/>
      <c r="DOH507" s="324"/>
      <c r="DOI507" s="324"/>
      <c r="DOJ507" s="324"/>
      <c r="DOK507" s="256"/>
      <c r="DOL507" s="325"/>
      <c r="DOM507" s="311"/>
      <c r="DON507" s="325"/>
      <c r="DOO507" s="310"/>
      <c r="DOP507" s="325"/>
      <c r="DOQ507" s="325"/>
      <c r="DOR507" s="325"/>
      <c r="DOS507" s="325"/>
      <c r="DOT507" s="325"/>
      <c r="DOU507" s="325"/>
      <c r="DOV507" s="325"/>
      <c r="DOW507" s="325"/>
      <c r="DOX507" s="325"/>
      <c r="DOY507" s="325"/>
      <c r="DOZ507" s="325"/>
      <c r="DPA507" s="325"/>
      <c r="DPB507" s="325"/>
      <c r="DPC507" s="325"/>
      <c r="DPD507" s="325"/>
      <c r="DPE507" s="325"/>
      <c r="DPF507" s="325"/>
      <c r="DPG507" s="325"/>
      <c r="DPH507" s="325"/>
      <c r="DPI507" s="325"/>
      <c r="DPJ507" s="325"/>
      <c r="DPK507" s="325"/>
      <c r="DPL507" s="325"/>
      <c r="DPM507" s="325"/>
      <c r="DPN507" s="325"/>
      <c r="DPO507" s="325"/>
      <c r="DPP507" s="325"/>
      <c r="DPQ507" s="325"/>
      <c r="DPR507" s="325"/>
      <c r="DPS507" s="325"/>
      <c r="DPT507" s="327"/>
      <c r="DPU507" s="28"/>
      <c r="DPV507" s="324"/>
      <c r="DPW507" s="324"/>
      <c r="DPX507" s="324"/>
      <c r="DPY507" s="324"/>
      <c r="DPZ507" s="324"/>
      <c r="DQA507" s="324"/>
      <c r="DQB507" s="256"/>
      <c r="DQC507" s="325"/>
      <c r="DQD507" s="311"/>
      <c r="DQE507" s="325"/>
      <c r="DQF507" s="310"/>
      <c r="DQG507" s="325"/>
      <c r="DQH507" s="325"/>
      <c r="DQI507" s="325"/>
      <c r="DQJ507" s="325"/>
      <c r="DQK507" s="325"/>
      <c r="DQL507" s="325"/>
      <c r="DQM507" s="325"/>
      <c r="DQN507" s="325"/>
      <c r="DQO507" s="325"/>
      <c r="DQP507" s="325"/>
      <c r="DQQ507" s="325"/>
      <c r="DQR507" s="325"/>
      <c r="DQS507" s="325"/>
      <c r="DQT507" s="325"/>
      <c r="DQU507" s="325"/>
      <c r="DQV507" s="325"/>
      <c r="DQW507" s="325"/>
      <c r="DQX507" s="325"/>
      <c r="DQY507" s="325"/>
      <c r="DQZ507" s="325"/>
      <c r="DRA507" s="325"/>
      <c r="DRB507" s="325"/>
      <c r="DRC507" s="325"/>
      <c r="DRD507" s="325"/>
      <c r="DRE507" s="325"/>
      <c r="DRF507" s="325"/>
      <c r="DRG507" s="325"/>
      <c r="DRH507" s="325"/>
      <c r="DRI507" s="325"/>
      <c r="DRJ507" s="325"/>
      <c r="DRK507" s="327"/>
      <c r="DRL507" s="28"/>
      <c r="DRM507" s="324"/>
      <c r="DRN507" s="324"/>
      <c r="DRO507" s="324"/>
      <c r="DRP507" s="324"/>
      <c r="DRQ507" s="324"/>
      <c r="DRR507" s="324"/>
      <c r="DRS507" s="256"/>
      <c r="DRT507" s="325"/>
      <c r="DRU507" s="311"/>
      <c r="DRV507" s="325"/>
      <c r="DRW507" s="310"/>
      <c r="DRX507" s="325"/>
      <c r="DRY507" s="325"/>
      <c r="DRZ507" s="325"/>
      <c r="DSA507" s="325"/>
      <c r="DSB507" s="325"/>
      <c r="DSC507" s="325"/>
      <c r="DSD507" s="325"/>
      <c r="DSE507" s="325"/>
      <c r="DSF507" s="325"/>
      <c r="DSG507" s="325"/>
      <c r="DSH507" s="325"/>
      <c r="DSI507" s="325"/>
      <c r="DSJ507" s="325"/>
      <c r="DSK507" s="325"/>
      <c r="DSL507" s="325"/>
      <c r="DSM507" s="325"/>
      <c r="DSN507" s="325"/>
      <c r="DSO507" s="325"/>
      <c r="DSP507" s="325"/>
      <c r="DSQ507" s="325"/>
      <c r="DSR507" s="325"/>
      <c r="DSS507" s="325"/>
      <c r="DST507" s="325"/>
      <c r="DSU507" s="325"/>
      <c r="DSV507" s="325"/>
      <c r="DSW507" s="325"/>
      <c r="DSX507" s="325"/>
      <c r="DSY507" s="325"/>
      <c r="DSZ507" s="325"/>
      <c r="DTA507" s="325"/>
      <c r="DTB507" s="327"/>
      <c r="DTC507" s="28"/>
      <c r="DTD507" s="324"/>
      <c r="DTE507" s="324"/>
      <c r="DTF507" s="324"/>
      <c r="DTG507" s="324"/>
      <c r="DTH507" s="324"/>
      <c r="DTI507" s="324"/>
      <c r="DTJ507" s="256"/>
      <c r="DTK507" s="325"/>
      <c r="DTL507" s="311"/>
      <c r="DTM507" s="325"/>
      <c r="DTN507" s="310"/>
      <c r="DTO507" s="325"/>
      <c r="DTP507" s="325"/>
      <c r="DTQ507" s="325"/>
      <c r="DTR507" s="325"/>
      <c r="DTS507" s="325"/>
      <c r="DTT507" s="325"/>
      <c r="DTU507" s="325"/>
      <c r="DTV507" s="325"/>
      <c r="DTW507" s="325"/>
      <c r="DTX507" s="325"/>
      <c r="DTY507" s="325"/>
      <c r="DTZ507" s="325"/>
      <c r="DUA507" s="325"/>
      <c r="DUB507" s="325"/>
      <c r="DUC507" s="325"/>
      <c r="DUD507" s="325"/>
      <c r="DUE507" s="325"/>
      <c r="DUF507" s="325"/>
      <c r="DUG507" s="325"/>
      <c r="DUH507" s="325"/>
      <c r="DUI507" s="325"/>
      <c r="DUJ507" s="325"/>
      <c r="DUK507" s="325"/>
      <c r="DUL507" s="325"/>
      <c r="DUM507" s="325"/>
      <c r="DUN507" s="325"/>
      <c r="DUO507" s="325"/>
      <c r="DUP507" s="325"/>
      <c r="DUQ507" s="325"/>
      <c r="DUR507" s="325"/>
      <c r="DUS507" s="327"/>
      <c r="DUT507" s="28"/>
      <c r="DUU507" s="324"/>
      <c r="DUV507" s="324"/>
      <c r="DUW507" s="324"/>
      <c r="DUX507" s="324"/>
      <c r="DUY507" s="324"/>
      <c r="DUZ507" s="324"/>
      <c r="DVA507" s="256"/>
      <c r="DVB507" s="325"/>
      <c r="DVC507" s="311"/>
      <c r="DVD507" s="325"/>
      <c r="DVE507" s="310"/>
      <c r="DVF507" s="325"/>
      <c r="DVG507" s="325"/>
      <c r="DVH507" s="325"/>
      <c r="DVI507" s="325"/>
      <c r="DVJ507" s="325"/>
      <c r="DVK507" s="325"/>
      <c r="DVL507" s="325"/>
      <c r="DVM507" s="325"/>
      <c r="DVN507" s="325"/>
      <c r="DVO507" s="325"/>
      <c r="DVP507" s="325"/>
      <c r="DVQ507" s="325"/>
      <c r="DVR507" s="325"/>
      <c r="DVS507" s="325"/>
      <c r="DVT507" s="325"/>
      <c r="DVU507" s="325"/>
      <c r="DVV507" s="325"/>
      <c r="DVW507" s="325"/>
      <c r="DVX507" s="325"/>
      <c r="DVY507" s="325"/>
      <c r="DVZ507" s="325"/>
      <c r="DWA507" s="325"/>
      <c r="DWB507" s="325"/>
      <c r="DWC507" s="325"/>
      <c r="DWD507" s="325"/>
      <c r="DWE507" s="325"/>
      <c r="DWF507" s="325"/>
      <c r="DWG507" s="325"/>
      <c r="DWH507" s="325"/>
      <c r="DWI507" s="325"/>
      <c r="DWJ507" s="327"/>
      <c r="DWK507" s="28"/>
      <c r="DWL507" s="324"/>
      <c r="DWM507" s="324"/>
      <c r="DWN507" s="324"/>
      <c r="DWO507" s="324"/>
      <c r="DWP507" s="324"/>
      <c r="DWQ507" s="324"/>
      <c r="DWR507" s="256"/>
      <c r="DWS507" s="325"/>
      <c r="DWT507" s="311"/>
      <c r="DWU507" s="325"/>
      <c r="DWV507" s="310"/>
      <c r="DWW507" s="325"/>
      <c r="DWX507" s="325"/>
      <c r="DWY507" s="325"/>
      <c r="DWZ507" s="325"/>
      <c r="DXA507" s="325"/>
      <c r="DXB507" s="325"/>
      <c r="DXC507" s="325"/>
      <c r="DXD507" s="325"/>
      <c r="DXE507" s="325"/>
      <c r="DXF507" s="325"/>
      <c r="DXG507" s="325"/>
      <c r="DXH507" s="325"/>
      <c r="DXI507" s="325"/>
      <c r="DXJ507" s="325"/>
      <c r="DXK507" s="325"/>
      <c r="DXL507" s="325"/>
      <c r="DXM507" s="325"/>
      <c r="DXN507" s="325"/>
      <c r="DXO507" s="325"/>
      <c r="DXP507" s="325"/>
      <c r="DXQ507" s="325"/>
      <c r="DXR507" s="325"/>
      <c r="DXS507" s="325"/>
      <c r="DXT507" s="325"/>
      <c r="DXU507" s="325"/>
      <c r="DXV507" s="325"/>
      <c r="DXW507" s="325"/>
      <c r="DXX507" s="325"/>
      <c r="DXY507" s="325"/>
      <c r="DXZ507" s="325"/>
      <c r="DYA507" s="327"/>
      <c r="DYB507" s="28"/>
      <c r="DYC507" s="324"/>
      <c r="DYD507" s="324"/>
      <c r="DYE507" s="324"/>
      <c r="DYF507" s="324"/>
      <c r="DYG507" s="324"/>
      <c r="DYH507" s="324"/>
      <c r="DYI507" s="256"/>
      <c r="DYJ507" s="325"/>
      <c r="DYK507" s="311"/>
      <c r="DYL507" s="325"/>
      <c r="DYM507" s="310"/>
      <c r="DYN507" s="325"/>
      <c r="DYO507" s="325"/>
      <c r="DYP507" s="325"/>
      <c r="DYQ507" s="325"/>
      <c r="DYR507" s="325"/>
      <c r="DYS507" s="325"/>
      <c r="DYT507" s="325"/>
      <c r="DYU507" s="325"/>
      <c r="DYV507" s="325"/>
      <c r="DYW507" s="325"/>
      <c r="DYX507" s="325"/>
      <c r="DYY507" s="325"/>
      <c r="DYZ507" s="325"/>
      <c r="DZA507" s="325"/>
      <c r="DZB507" s="325"/>
      <c r="DZC507" s="325"/>
      <c r="DZD507" s="325"/>
      <c r="DZE507" s="325"/>
      <c r="DZF507" s="325"/>
      <c r="DZG507" s="325"/>
      <c r="DZH507" s="325"/>
      <c r="DZI507" s="325"/>
      <c r="DZJ507" s="325"/>
      <c r="DZK507" s="325"/>
      <c r="DZL507" s="325"/>
      <c r="DZM507" s="325"/>
      <c r="DZN507" s="325"/>
      <c r="DZO507" s="325"/>
      <c r="DZP507" s="325"/>
      <c r="DZQ507" s="325"/>
      <c r="DZR507" s="327"/>
      <c r="DZS507" s="28"/>
      <c r="DZT507" s="324"/>
      <c r="DZU507" s="324"/>
      <c r="DZV507" s="324"/>
      <c r="DZW507" s="324"/>
      <c r="DZX507" s="324"/>
      <c r="DZY507" s="324"/>
      <c r="DZZ507" s="256"/>
      <c r="EAA507" s="325"/>
      <c r="EAB507" s="311"/>
      <c r="EAC507" s="325"/>
      <c r="EAD507" s="310"/>
      <c r="EAE507" s="325"/>
      <c r="EAF507" s="325"/>
      <c r="EAG507" s="325"/>
      <c r="EAH507" s="325"/>
      <c r="EAI507" s="325"/>
      <c r="EAJ507" s="325"/>
      <c r="EAK507" s="325"/>
      <c r="EAL507" s="325"/>
      <c r="EAM507" s="325"/>
      <c r="EAN507" s="325"/>
      <c r="EAO507" s="325"/>
      <c r="EAP507" s="325"/>
      <c r="EAQ507" s="325"/>
      <c r="EAR507" s="325"/>
      <c r="EAS507" s="325"/>
      <c r="EAT507" s="325"/>
      <c r="EAU507" s="325"/>
      <c r="EAV507" s="325"/>
      <c r="EAW507" s="325"/>
      <c r="EAX507" s="325"/>
      <c r="EAY507" s="325"/>
      <c r="EAZ507" s="325"/>
      <c r="EBA507" s="325"/>
      <c r="EBB507" s="325"/>
      <c r="EBC507" s="325"/>
      <c r="EBD507" s="325"/>
      <c r="EBE507" s="325"/>
      <c r="EBF507" s="325"/>
      <c r="EBG507" s="325"/>
      <c r="EBH507" s="325"/>
      <c r="EBI507" s="327"/>
      <c r="EBJ507" s="28"/>
      <c r="EBK507" s="324"/>
      <c r="EBL507" s="324"/>
      <c r="EBM507" s="324"/>
      <c r="EBN507" s="324"/>
      <c r="EBO507" s="324"/>
      <c r="EBP507" s="324"/>
      <c r="EBQ507" s="256"/>
      <c r="EBR507" s="325"/>
      <c r="EBS507" s="311"/>
      <c r="EBT507" s="325"/>
      <c r="EBU507" s="310"/>
      <c r="EBV507" s="325"/>
      <c r="EBW507" s="325"/>
      <c r="EBX507" s="325"/>
      <c r="EBY507" s="325"/>
      <c r="EBZ507" s="325"/>
      <c r="ECA507" s="325"/>
      <c r="ECB507" s="325"/>
      <c r="ECC507" s="325"/>
      <c r="ECD507" s="325"/>
      <c r="ECE507" s="325"/>
      <c r="ECF507" s="325"/>
      <c r="ECG507" s="325"/>
      <c r="ECH507" s="325"/>
      <c r="ECI507" s="325"/>
      <c r="ECJ507" s="325"/>
      <c r="ECK507" s="325"/>
      <c r="ECL507" s="325"/>
      <c r="ECM507" s="325"/>
      <c r="ECN507" s="325"/>
      <c r="ECO507" s="325"/>
      <c r="ECP507" s="325"/>
      <c r="ECQ507" s="325"/>
      <c r="ECR507" s="325"/>
      <c r="ECS507" s="325"/>
      <c r="ECT507" s="325"/>
      <c r="ECU507" s="325"/>
      <c r="ECV507" s="325"/>
      <c r="ECW507" s="325"/>
      <c r="ECX507" s="325"/>
      <c r="ECY507" s="325"/>
      <c r="ECZ507" s="327"/>
      <c r="EDA507" s="28"/>
      <c r="EDB507" s="324"/>
      <c r="EDC507" s="324"/>
      <c r="EDD507" s="324"/>
      <c r="EDE507" s="324"/>
      <c r="EDF507" s="324"/>
      <c r="EDG507" s="324"/>
      <c r="EDH507" s="256"/>
      <c r="EDI507" s="325"/>
      <c r="EDJ507" s="311"/>
      <c r="EDK507" s="325"/>
      <c r="EDL507" s="310"/>
      <c r="EDM507" s="325"/>
      <c r="EDN507" s="325"/>
      <c r="EDO507" s="325"/>
      <c r="EDP507" s="325"/>
      <c r="EDQ507" s="325"/>
      <c r="EDR507" s="325"/>
      <c r="EDS507" s="325"/>
      <c r="EDT507" s="325"/>
      <c r="EDU507" s="325"/>
      <c r="EDV507" s="325"/>
      <c r="EDW507" s="325"/>
      <c r="EDX507" s="325"/>
      <c r="EDY507" s="325"/>
      <c r="EDZ507" s="325"/>
      <c r="EEA507" s="325"/>
      <c r="EEB507" s="325"/>
      <c r="EEC507" s="325"/>
      <c r="EED507" s="325"/>
      <c r="EEE507" s="325"/>
      <c r="EEF507" s="325"/>
      <c r="EEG507" s="325"/>
      <c r="EEH507" s="325"/>
      <c r="EEI507" s="325"/>
      <c r="EEJ507" s="325"/>
      <c r="EEK507" s="325"/>
      <c r="EEL507" s="325"/>
      <c r="EEM507" s="325"/>
      <c r="EEN507" s="325"/>
      <c r="EEO507" s="325"/>
      <c r="EEP507" s="325"/>
      <c r="EEQ507" s="327"/>
      <c r="EER507" s="28"/>
      <c r="EES507" s="324"/>
      <c r="EET507" s="324"/>
      <c r="EEU507" s="324"/>
      <c r="EEV507" s="324"/>
      <c r="EEW507" s="324"/>
      <c r="EEX507" s="324"/>
      <c r="EEY507" s="256"/>
      <c r="EEZ507" s="325"/>
      <c r="EFA507" s="311"/>
      <c r="EFB507" s="325"/>
      <c r="EFC507" s="310"/>
      <c r="EFD507" s="325"/>
      <c r="EFE507" s="325"/>
      <c r="EFF507" s="325"/>
      <c r="EFG507" s="325"/>
      <c r="EFH507" s="325"/>
      <c r="EFI507" s="325"/>
      <c r="EFJ507" s="325"/>
      <c r="EFK507" s="325"/>
      <c r="EFL507" s="325"/>
      <c r="EFM507" s="325"/>
      <c r="EFN507" s="325"/>
      <c r="EFO507" s="325"/>
      <c r="EFP507" s="325"/>
      <c r="EFQ507" s="325"/>
      <c r="EFR507" s="325"/>
      <c r="EFS507" s="325"/>
      <c r="EFT507" s="325"/>
      <c r="EFU507" s="325"/>
      <c r="EFV507" s="325"/>
      <c r="EFW507" s="325"/>
      <c r="EFX507" s="325"/>
      <c r="EFY507" s="325"/>
      <c r="EFZ507" s="325"/>
      <c r="EGA507" s="325"/>
      <c r="EGB507" s="325"/>
      <c r="EGC507" s="325"/>
      <c r="EGD507" s="325"/>
      <c r="EGE507" s="325"/>
      <c r="EGF507" s="325"/>
      <c r="EGG507" s="325"/>
      <c r="EGH507" s="327"/>
      <c r="EGI507" s="28"/>
      <c r="EGJ507" s="324"/>
      <c r="EGK507" s="324"/>
      <c r="EGL507" s="324"/>
      <c r="EGM507" s="324"/>
      <c r="EGN507" s="324"/>
      <c r="EGO507" s="324"/>
      <c r="EGP507" s="256"/>
      <c r="EGQ507" s="325"/>
      <c r="EGR507" s="311"/>
      <c r="EGS507" s="325"/>
      <c r="EGT507" s="310"/>
      <c r="EGU507" s="325"/>
      <c r="EGV507" s="325"/>
      <c r="EGW507" s="325"/>
      <c r="EGX507" s="325"/>
      <c r="EGY507" s="325"/>
      <c r="EGZ507" s="325"/>
      <c r="EHA507" s="325"/>
      <c r="EHB507" s="325"/>
      <c r="EHC507" s="325"/>
      <c r="EHD507" s="325"/>
      <c r="EHE507" s="325"/>
      <c r="EHF507" s="325"/>
      <c r="EHG507" s="325"/>
      <c r="EHH507" s="325"/>
      <c r="EHI507" s="325"/>
      <c r="EHJ507" s="325"/>
      <c r="EHK507" s="325"/>
      <c r="EHL507" s="325"/>
      <c r="EHM507" s="325"/>
      <c r="EHN507" s="325"/>
      <c r="EHO507" s="325"/>
      <c r="EHP507" s="325"/>
      <c r="EHQ507" s="325"/>
      <c r="EHR507" s="325"/>
      <c r="EHS507" s="325"/>
      <c r="EHT507" s="325"/>
      <c r="EHU507" s="325"/>
      <c r="EHV507" s="325"/>
      <c r="EHW507" s="325"/>
      <c r="EHX507" s="325"/>
      <c r="EHY507" s="327"/>
      <c r="EHZ507" s="28"/>
      <c r="EIA507" s="324"/>
      <c r="EIB507" s="324"/>
      <c r="EIC507" s="324"/>
      <c r="EID507" s="324"/>
      <c r="EIE507" s="324"/>
      <c r="EIF507" s="324"/>
      <c r="EIG507" s="256"/>
      <c r="EIH507" s="325"/>
      <c r="EII507" s="311"/>
      <c r="EIJ507" s="325"/>
      <c r="EIK507" s="310"/>
      <c r="EIL507" s="325"/>
      <c r="EIM507" s="325"/>
      <c r="EIN507" s="325"/>
      <c r="EIO507" s="325"/>
      <c r="EIP507" s="325"/>
      <c r="EIQ507" s="325"/>
      <c r="EIR507" s="325"/>
      <c r="EIS507" s="325"/>
      <c r="EIT507" s="325"/>
      <c r="EIU507" s="325"/>
      <c r="EIV507" s="325"/>
      <c r="EIW507" s="325"/>
      <c r="EIX507" s="325"/>
      <c r="EIY507" s="325"/>
      <c r="EIZ507" s="325"/>
      <c r="EJA507" s="325"/>
      <c r="EJB507" s="325"/>
      <c r="EJC507" s="325"/>
      <c r="EJD507" s="325"/>
      <c r="EJE507" s="325"/>
      <c r="EJF507" s="325"/>
      <c r="EJG507" s="325"/>
      <c r="EJH507" s="325"/>
      <c r="EJI507" s="325"/>
      <c r="EJJ507" s="325"/>
      <c r="EJK507" s="325"/>
      <c r="EJL507" s="325"/>
      <c r="EJM507" s="325"/>
      <c r="EJN507" s="325"/>
      <c r="EJO507" s="325"/>
      <c r="EJP507" s="327"/>
      <c r="EJQ507" s="28"/>
      <c r="EJR507" s="324"/>
      <c r="EJS507" s="324"/>
      <c r="EJT507" s="324"/>
      <c r="EJU507" s="324"/>
      <c r="EJV507" s="324"/>
      <c r="EJW507" s="324"/>
      <c r="EJX507" s="256"/>
      <c r="EJY507" s="325"/>
      <c r="EJZ507" s="311"/>
      <c r="EKA507" s="325"/>
      <c r="EKB507" s="310"/>
      <c r="EKC507" s="325"/>
      <c r="EKD507" s="325"/>
      <c r="EKE507" s="325"/>
      <c r="EKF507" s="325"/>
      <c r="EKG507" s="325"/>
      <c r="EKH507" s="325"/>
      <c r="EKI507" s="325"/>
      <c r="EKJ507" s="325"/>
      <c r="EKK507" s="325"/>
      <c r="EKL507" s="325"/>
      <c r="EKM507" s="325"/>
      <c r="EKN507" s="325"/>
      <c r="EKO507" s="325"/>
      <c r="EKP507" s="325"/>
      <c r="EKQ507" s="325"/>
      <c r="EKR507" s="325"/>
      <c r="EKS507" s="325"/>
      <c r="EKT507" s="325"/>
      <c r="EKU507" s="325"/>
      <c r="EKV507" s="325"/>
      <c r="EKW507" s="325"/>
      <c r="EKX507" s="325"/>
      <c r="EKY507" s="325"/>
      <c r="EKZ507" s="325"/>
      <c r="ELA507" s="325"/>
      <c r="ELB507" s="325"/>
      <c r="ELC507" s="325"/>
      <c r="ELD507" s="325"/>
      <c r="ELE507" s="325"/>
      <c r="ELF507" s="325"/>
      <c r="ELG507" s="327"/>
      <c r="ELH507" s="28"/>
      <c r="ELI507" s="324"/>
      <c r="ELJ507" s="324"/>
      <c r="ELK507" s="324"/>
      <c r="ELL507" s="324"/>
      <c r="ELM507" s="324"/>
      <c r="ELN507" s="324"/>
      <c r="ELO507" s="256"/>
      <c r="ELP507" s="325"/>
      <c r="ELQ507" s="311"/>
      <c r="ELR507" s="325"/>
      <c r="ELS507" s="310"/>
      <c r="ELT507" s="325"/>
      <c r="ELU507" s="325"/>
      <c r="ELV507" s="325"/>
      <c r="ELW507" s="325"/>
      <c r="ELX507" s="325"/>
      <c r="ELY507" s="325"/>
      <c r="ELZ507" s="325"/>
      <c r="EMA507" s="325"/>
      <c r="EMB507" s="325"/>
      <c r="EMC507" s="325"/>
      <c r="EMD507" s="325"/>
      <c r="EME507" s="325"/>
      <c r="EMF507" s="325"/>
      <c r="EMG507" s="325"/>
      <c r="EMH507" s="325"/>
      <c r="EMI507" s="325"/>
      <c r="EMJ507" s="325"/>
      <c r="EMK507" s="325"/>
      <c r="EML507" s="325"/>
      <c r="EMM507" s="325"/>
      <c r="EMN507" s="325"/>
      <c r="EMO507" s="325"/>
      <c r="EMP507" s="325"/>
      <c r="EMQ507" s="325"/>
      <c r="EMR507" s="325"/>
      <c r="EMS507" s="325"/>
      <c r="EMT507" s="325"/>
      <c r="EMU507" s="325"/>
      <c r="EMV507" s="325"/>
      <c r="EMW507" s="325"/>
      <c r="EMX507" s="327"/>
      <c r="EMY507" s="28"/>
      <c r="EMZ507" s="324"/>
      <c r="ENA507" s="324"/>
      <c r="ENB507" s="324"/>
      <c r="ENC507" s="324"/>
      <c r="END507" s="324"/>
      <c r="ENE507" s="324"/>
      <c r="ENF507" s="256"/>
      <c r="ENG507" s="325"/>
      <c r="ENH507" s="311"/>
      <c r="ENI507" s="325"/>
      <c r="ENJ507" s="310"/>
      <c r="ENK507" s="325"/>
      <c r="ENL507" s="325"/>
      <c r="ENM507" s="325"/>
      <c r="ENN507" s="325"/>
      <c r="ENO507" s="325"/>
      <c r="ENP507" s="325"/>
      <c r="ENQ507" s="325"/>
      <c r="ENR507" s="325"/>
      <c r="ENS507" s="325"/>
      <c r="ENT507" s="325"/>
      <c r="ENU507" s="325"/>
      <c r="ENV507" s="325"/>
      <c r="ENW507" s="325"/>
      <c r="ENX507" s="325"/>
      <c r="ENY507" s="325"/>
      <c r="ENZ507" s="325"/>
      <c r="EOA507" s="325"/>
      <c r="EOB507" s="325"/>
      <c r="EOC507" s="325"/>
      <c r="EOD507" s="325"/>
      <c r="EOE507" s="325"/>
      <c r="EOF507" s="325"/>
      <c r="EOG507" s="325"/>
      <c r="EOH507" s="325"/>
      <c r="EOI507" s="325"/>
      <c r="EOJ507" s="325"/>
      <c r="EOK507" s="325"/>
      <c r="EOL507" s="325"/>
      <c r="EOM507" s="325"/>
      <c r="EON507" s="325"/>
      <c r="EOO507" s="327"/>
      <c r="EOP507" s="28"/>
      <c r="EOQ507" s="324"/>
      <c r="EOR507" s="324"/>
      <c r="EOS507" s="324"/>
      <c r="EOT507" s="324"/>
      <c r="EOU507" s="324"/>
      <c r="EOV507" s="324"/>
      <c r="EOW507" s="256"/>
      <c r="EOX507" s="325"/>
      <c r="EOY507" s="311"/>
      <c r="EOZ507" s="325"/>
      <c r="EPA507" s="310"/>
      <c r="EPB507" s="325"/>
      <c r="EPC507" s="325"/>
      <c r="EPD507" s="325"/>
      <c r="EPE507" s="325"/>
      <c r="EPF507" s="325"/>
      <c r="EPG507" s="325"/>
      <c r="EPH507" s="325"/>
      <c r="EPI507" s="325"/>
      <c r="EPJ507" s="325"/>
      <c r="EPK507" s="325"/>
      <c r="EPL507" s="325"/>
      <c r="EPM507" s="325"/>
      <c r="EPN507" s="325"/>
      <c r="EPO507" s="325"/>
      <c r="EPP507" s="325"/>
      <c r="EPQ507" s="325"/>
      <c r="EPR507" s="325"/>
      <c r="EPS507" s="325"/>
      <c r="EPT507" s="325"/>
      <c r="EPU507" s="325"/>
      <c r="EPV507" s="325"/>
      <c r="EPW507" s="325"/>
      <c r="EPX507" s="325"/>
      <c r="EPY507" s="325"/>
      <c r="EPZ507" s="325"/>
      <c r="EQA507" s="325"/>
      <c r="EQB507" s="325"/>
      <c r="EQC507" s="325"/>
      <c r="EQD507" s="325"/>
      <c r="EQE507" s="325"/>
      <c r="EQF507" s="327"/>
      <c r="EQG507" s="28"/>
      <c r="EQH507" s="324"/>
      <c r="EQI507" s="324"/>
      <c r="EQJ507" s="324"/>
      <c r="EQK507" s="324"/>
      <c r="EQL507" s="324"/>
      <c r="EQM507" s="324"/>
      <c r="EQN507" s="256"/>
      <c r="EQO507" s="325"/>
      <c r="EQP507" s="311"/>
      <c r="EQQ507" s="325"/>
      <c r="EQR507" s="310"/>
      <c r="EQS507" s="325"/>
      <c r="EQT507" s="325"/>
      <c r="EQU507" s="325"/>
      <c r="EQV507" s="325"/>
      <c r="EQW507" s="325"/>
      <c r="EQX507" s="325"/>
      <c r="EQY507" s="325"/>
      <c r="EQZ507" s="325"/>
      <c r="ERA507" s="325"/>
      <c r="ERB507" s="325"/>
      <c r="ERC507" s="325"/>
      <c r="ERD507" s="325"/>
      <c r="ERE507" s="325"/>
      <c r="ERF507" s="325"/>
      <c r="ERG507" s="325"/>
      <c r="ERH507" s="325"/>
      <c r="ERI507" s="325"/>
      <c r="ERJ507" s="325"/>
      <c r="ERK507" s="325"/>
      <c r="ERL507" s="325"/>
      <c r="ERM507" s="325"/>
      <c r="ERN507" s="325"/>
      <c r="ERO507" s="325"/>
      <c r="ERP507" s="325"/>
      <c r="ERQ507" s="325"/>
      <c r="ERR507" s="325"/>
      <c r="ERS507" s="325"/>
      <c r="ERT507" s="325"/>
      <c r="ERU507" s="325"/>
      <c r="ERV507" s="325"/>
      <c r="ERW507" s="327"/>
      <c r="ERX507" s="28"/>
      <c r="ERY507" s="324"/>
      <c r="ERZ507" s="324"/>
      <c r="ESA507" s="324"/>
      <c r="ESB507" s="324"/>
      <c r="ESC507" s="324"/>
      <c r="ESD507" s="324"/>
      <c r="ESE507" s="256"/>
      <c r="ESF507" s="325"/>
      <c r="ESG507" s="311"/>
      <c r="ESH507" s="325"/>
      <c r="ESI507" s="310"/>
      <c r="ESJ507" s="325"/>
      <c r="ESK507" s="325"/>
      <c r="ESL507" s="325"/>
      <c r="ESM507" s="325"/>
      <c r="ESN507" s="325"/>
      <c r="ESO507" s="325"/>
      <c r="ESP507" s="325"/>
      <c r="ESQ507" s="325"/>
      <c r="ESR507" s="325"/>
      <c r="ESS507" s="325"/>
      <c r="EST507" s="325"/>
      <c r="ESU507" s="325"/>
      <c r="ESV507" s="325"/>
      <c r="ESW507" s="325"/>
      <c r="ESX507" s="325"/>
      <c r="ESY507" s="325"/>
      <c r="ESZ507" s="325"/>
      <c r="ETA507" s="325"/>
      <c r="ETB507" s="325"/>
      <c r="ETC507" s="325"/>
      <c r="ETD507" s="325"/>
      <c r="ETE507" s="325"/>
      <c r="ETF507" s="325"/>
      <c r="ETG507" s="325"/>
      <c r="ETH507" s="325"/>
      <c r="ETI507" s="325"/>
      <c r="ETJ507" s="325"/>
      <c r="ETK507" s="325"/>
      <c r="ETL507" s="325"/>
      <c r="ETM507" s="325"/>
      <c r="ETN507" s="327"/>
      <c r="ETO507" s="28"/>
      <c r="ETP507" s="324"/>
      <c r="ETQ507" s="324"/>
      <c r="ETR507" s="324"/>
      <c r="ETS507" s="324"/>
      <c r="ETT507" s="324"/>
      <c r="ETU507" s="324"/>
      <c r="ETV507" s="256"/>
      <c r="ETW507" s="325"/>
      <c r="ETX507" s="311"/>
      <c r="ETY507" s="325"/>
      <c r="ETZ507" s="310"/>
      <c r="EUA507" s="325"/>
      <c r="EUB507" s="325"/>
      <c r="EUC507" s="325"/>
      <c r="EUD507" s="325"/>
      <c r="EUE507" s="325"/>
      <c r="EUF507" s="325"/>
      <c r="EUG507" s="325"/>
      <c r="EUH507" s="325"/>
      <c r="EUI507" s="325"/>
      <c r="EUJ507" s="325"/>
      <c r="EUK507" s="325"/>
      <c r="EUL507" s="325"/>
      <c r="EUM507" s="325"/>
      <c r="EUN507" s="325"/>
      <c r="EUO507" s="325"/>
      <c r="EUP507" s="325"/>
      <c r="EUQ507" s="325"/>
      <c r="EUR507" s="325"/>
      <c r="EUS507" s="325"/>
      <c r="EUT507" s="325"/>
      <c r="EUU507" s="325"/>
      <c r="EUV507" s="325"/>
      <c r="EUW507" s="325"/>
      <c r="EUX507" s="325"/>
      <c r="EUY507" s="325"/>
      <c r="EUZ507" s="325"/>
      <c r="EVA507" s="325"/>
      <c r="EVB507" s="325"/>
      <c r="EVC507" s="325"/>
      <c r="EVD507" s="325"/>
      <c r="EVE507" s="327"/>
      <c r="EVF507" s="28"/>
      <c r="EVG507" s="324"/>
      <c r="EVH507" s="324"/>
      <c r="EVI507" s="324"/>
      <c r="EVJ507" s="324"/>
      <c r="EVK507" s="324"/>
      <c r="EVL507" s="324"/>
      <c r="EVM507" s="256"/>
      <c r="EVN507" s="325"/>
      <c r="EVO507" s="311"/>
      <c r="EVP507" s="325"/>
      <c r="EVQ507" s="310"/>
      <c r="EVR507" s="325"/>
      <c r="EVS507" s="325"/>
      <c r="EVT507" s="325"/>
      <c r="EVU507" s="325"/>
      <c r="EVV507" s="325"/>
      <c r="EVW507" s="325"/>
      <c r="EVX507" s="325"/>
      <c r="EVY507" s="325"/>
      <c r="EVZ507" s="325"/>
      <c r="EWA507" s="325"/>
      <c r="EWB507" s="325"/>
      <c r="EWC507" s="325"/>
      <c r="EWD507" s="325"/>
      <c r="EWE507" s="325"/>
      <c r="EWF507" s="325"/>
      <c r="EWG507" s="325"/>
      <c r="EWH507" s="325"/>
      <c r="EWI507" s="325"/>
      <c r="EWJ507" s="325"/>
      <c r="EWK507" s="325"/>
      <c r="EWL507" s="325"/>
      <c r="EWM507" s="325"/>
      <c r="EWN507" s="325"/>
      <c r="EWO507" s="325"/>
      <c r="EWP507" s="325"/>
      <c r="EWQ507" s="325"/>
      <c r="EWR507" s="325"/>
      <c r="EWS507" s="325"/>
      <c r="EWT507" s="325"/>
      <c r="EWU507" s="325"/>
      <c r="EWV507" s="327"/>
      <c r="EWW507" s="28"/>
      <c r="EWX507" s="324"/>
      <c r="EWY507" s="324"/>
      <c r="EWZ507" s="324"/>
      <c r="EXA507" s="324"/>
      <c r="EXB507" s="324"/>
      <c r="EXC507" s="324"/>
      <c r="EXD507" s="256"/>
      <c r="EXE507" s="325"/>
      <c r="EXF507" s="311"/>
      <c r="EXG507" s="325"/>
      <c r="EXH507" s="310"/>
      <c r="EXI507" s="325"/>
      <c r="EXJ507" s="325"/>
      <c r="EXK507" s="325"/>
      <c r="EXL507" s="325"/>
      <c r="EXM507" s="325"/>
      <c r="EXN507" s="325"/>
      <c r="EXO507" s="325"/>
      <c r="EXP507" s="325"/>
      <c r="EXQ507" s="325"/>
      <c r="EXR507" s="325"/>
      <c r="EXS507" s="325"/>
      <c r="EXT507" s="325"/>
      <c r="EXU507" s="325"/>
      <c r="EXV507" s="325"/>
      <c r="EXW507" s="325"/>
      <c r="EXX507" s="325"/>
      <c r="EXY507" s="325"/>
      <c r="EXZ507" s="325"/>
      <c r="EYA507" s="325"/>
      <c r="EYB507" s="325"/>
      <c r="EYC507" s="325"/>
      <c r="EYD507" s="325"/>
      <c r="EYE507" s="325"/>
      <c r="EYF507" s="325"/>
      <c r="EYG507" s="325"/>
      <c r="EYH507" s="325"/>
      <c r="EYI507" s="325"/>
      <c r="EYJ507" s="325"/>
      <c r="EYK507" s="325"/>
      <c r="EYL507" s="325"/>
      <c r="EYM507" s="327"/>
      <c r="EYN507" s="28"/>
      <c r="EYO507" s="324"/>
      <c r="EYP507" s="324"/>
      <c r="EYQ507" s="324"/>
      <c r="EYR507" s="324"/>
      <c r="EYS507" s="324"/>
      <c r="EYT507" s="324"/>
      <c r="EYU507" s="256"/>
      <c r="EYV507" s="325"/>
      <c r="EYW507" s="311"/>
      <c r="EYX507" s="325"/>
      <c r="EYY507" s="310"/>
      <c r="EYZ507" s="325"/>
      <c r="EZA507" s="325"/>
      <c r="EZB507" s="325"/>
      <c r="EZC507" s="325"/>
      <c r="EZD507" s="325"/>
      <c r="EZE507" s="325"/>
      <c r="EZF507" s="325"/>
      <c r="EZG507" s="325"/>
      <c r="EZH507" s="325"/>
      <c r="EZI507" s="325"/>
      <c r="EZJ507" s="325"/>
      <c r="EZK507" s="325"/>
      <c r="EZL507" s="325"/>
      <c r="EZM507" s="325"/>
      <c r="EZN507" s="325"/>
      <c r="EZO507" s="325"/>
      <c r="EZP507" s="325"/>
      <c r="EZQ507" s="325"/>
      <c r="EZR507" s="325"/>
      <c r="EZS507" s="325"/>
      <c r="EZT507" s="325"/>
      <c r="EZU507" s="325"/>
      <c r="EZV507" s="325"/>
      <c r="EZW507" s="325"/>
      <c r="EZX507" s="325"/>
      <c r="EZY507" s="325"/>
      <c r="EZZ507" s="325"/>
      <c r="FAA507" s="325"/>
      <c r="FAB507" s="325"/>
      <c r="FAC507" s="325"/>
      <c r="FAD507" s="327"/>
      <c r="FAE507" s="28"/>
      <c r="FAF507" s="324"/>
      <c r="FAG507" s="324"/>
      <c r="FAH507" s="324"/>
      <c r="FAI507" s="324"/>
      <c r="FAJ507" s="324"/>
      <c r="FAK507" s="324"/>
      <c r="FAL507" s="256"/>
      <c r="FAM507" s="325"/>
      <c r="FAN507" s="311"/>
      <c r="FAO507" s="325"/>
      <c r="FAP507" s="310"/>
      <c r="FAQ507" s="325"/>
      <c r="FAR507" s="325"/>
      <c r="FAS507" s="325"/>
      <c r="FAT507" s="325"/>
      <c r="FAU507" s="325"/>
      <c r="FAV507" s="325"/>
      <c r="FAW507" s="325"/>
      <c r="FAX507" s="325"/>
      <c r="FAY507" s="325"/>
      <c r="FAZ507" s="325"/>
      <c r="FBA507" s="325"/>
      <c r="FBB507" s="325"/>
      <c r="FBC507" s="325"/>
      <c r="FBD507" s="325"/>
      <c r="FBE507" s="325"/>
      <c r="FBF507" s="325"/>
      <c r="FBG507" s="325"/>
      <c r="FBH507" s="325"/>
      <c r="FBI507" s="325"/>
      <c r="FBJ507" s="325"/>
      <c r="FBK507" s="325"/>
      <c r="FBL507" s="325"/>
      <c r="FBM507" s="325"/>
      <c r="FBN507" s="325"/>
      <c r="FBO507" s="325"/>
      <c r="FBP507" s="325"/>
      <c r="FBQ507" s="325"/>
      <c r="FBR507" s="325"/>
      <c r="FBS507" s="325"/>
      <c r="FBT507" s="325"/>
      <c r="FBU507" s="327"/>
      <c r="FBV507" s="28"/>
      <c r="FBW507" s="324"/>
      <c r="FBX507" s="324"/>
      <c r="FBY507" s="324"/>
      <c r="FBZ507" s="324"/>
      <c r="FCA507" s="324"/>
      <c r="FCB507" s="324"/>
      <c r="FCC507" s="256"/>
      <c r="FCD507" s="325"/>
      <c r="FCE507" s="311"/>
      <c r="FCF507" s="325"/>
      <c r="FCG507" s="310"/>
      <c r="FCH507" s="325"/>
      <c r="FCI507" s="325"/>
      <c r="FCJ507" s="325"/>
      <c r="FCK507" s="325"/>
      <c r="FCL507" s="325"/>
      <c r="FCM507" s="325"/>
      <c r="FCN507" s="325"/>
      <c r="FCO507" s="325"/>
      <c r="FCP507" s="325"/>
      <c r="FCQ507" s="325"/>
      <c r="FCR507" s="325"/>
      <c r="FCS507" s="325"/>
      <c r="FCT507" s="325"/>
      <c r="FCU507" s="325"/>
      <c r="FCV507" s="325"/>
      <c r="FCW507" s="325"/>
      <c r="FCX507" s="325"/>
      <c r="FCY507" s="325"/>
      <c r="FCZ507" s="325"/>
      <c r="FDA507" s="325"/>
      <c r="FDB507" s="325"/>
      <c r="FDC507" s="325"/>
      <c r="FDD507" s="325"/>
      <c r="FDE507" s="325"/>
      <c r="FDF507" s="325"/>
      <c r="FDG507" s="325"/>
      <c r="FDH507" s="325"/>
      <c r="FDI507" s="325"/>
      <c r="FDJ507" s="325"/>
      <c r="FDK507" s="325"/>
      <c r="FDL507" s="327"/>
      <c r="FDM507" s="28"/>
      <c r="FDN507" s="324"/>
      <c r="FDO507" s="324"/>
      <c r="FDP507" s="324"/>
      <c r="FDQ507" s="324"/>
      <c r="FDR507" s="324"/>
      <c r="FDS507" s="324"/>
      <c r="FDT507" s="256"/>
      <c r="FDU507" s="325"/>
      <c r="FDV507" s="311"/>
      <c r="FDW507" s="325"/>
      <c r="FDX507" s="310"/>
      <c r="FDY507" s="325"/>
      <c r="FDZ507" s="325"/>
      <c r="FEA507" s="325"/>
      <c r="FEB507" s="325"/>
      <c r="FEC507" s="325"/>
      <c r="FED507" s="325"/>
      <c r="FEE507" s="325"/>
      <c r="FEF507" s="325"/>
      <c r="FEG507" s="325"/>
      <c r="FEH507" s="325"/>
      <c r="FEI507" s="325"/>
      <c r="FEJ507" s="325"/>
      <c r="FEK507" s="325"/>
      <c r="FEL507" s="325"/>
      <c r="FEM507" s="325"/>
      <c r="FEN507" s="325"/>
      <c r="FEO507" s="325"/>
      <c r="FEP507" s="325"/>
      <c r="FEQ507" s="325"/>
      <c r="FER507" s="325"/>
      <c r="FES507" s="325"/>
      <c r="FET507" s="325"/>
      <c r="FEU507" s="325"/>
      <c r="FEV507" s="325"/>
      <c r="FEW507" s="325"/>
      <c r="FEX507" s="325"/>
      <c r="FEY507" s="325"/>
      <c r="FEZ507" s="325"/>
      <c r="FFA507" s="325"/>
      <c r="FFB507" s="325"/>
      <c r="FFC507" s="327"/>
      <c r="FFD507" s="28"/>
      <c r="FFE507" s="324"/>
      <c r="FFF507" s="324"/>
      <c r="FFG507" s="324"/>
      <c r="FFH507" s="324"/>
      <c r="FFI507" s="324"/>
      <c r="FFJ507" s="324"/>
      <c r="FFK507" s="256"/>
      <c r="FFL507" s="325"/>
      <c r="FFM507" s="311"/>
      <c r="FFN507" s="325"/>
      <c r="FFO507" s="310"/>
      <c r="FFP507" s="325"/>
      <c r="FFQ507" s="325"/>
      <c r="FFR507" s="325"/>
      <c r="FFS507" s="325"/>
      <c r="FFT507" s="325"/>
      <c r="FFU507" s="325"/>
      <c r="FFV507" s="325"/>
      <c r="FFW507" s="325"/>
      <c r="FFX507" s="325"/>
      <c r="FFY507" s="325"/>
      <c r="FFZ507" s="325"/>
      <c r="FGA507" s="325"/>
      <c r="FGB507" s="325"/>
      <c r="FGC507" s="325"/>
      <c r="FGD507" s="325"/>
      <c r="FGE507" s="325"/>
      <c r="FGF507" s="325"/>
      <c r="FGG507" s="325"/>
      <c r="FGH507" s="325"/>
      <c r="FGI507" s="325"/>
      <c r="FGJ507" s="325"/>
      <c r="FGK507" s="325"/>
      <c r="FGL507" s="325"/>
      <c r="FGM507" s="325"/>
      <c r="FGN507" s="325"/>
      <c r="FGO507" s="325"/>
      <c r="FGP507" s="325"/>
      <c r="FGQ507" s="325"/>
      <c r="FGR507" s="325"/>
      <c r="FGS507" s="325"/>
      <c r="FGT507" s="327"/>
      <c r="FGU507" s="28"/>
      <c r="FGV507" s="324"/>
      <c r="FGW507" s="324"/>
      <c r="FGX507" s="324"/>
      <c r="FGY507" s="324"/>
      <c r="FGZ507" s="324"/>
      <c r="FHA507" s="324"/>
      <c r="FHB507" s="256"/>
      <c r="FHC507" s="325"/>
      <c r="FHD507" s="311"/>
      <c r="FHE507" s="325"/>
      <c r="FHF507" s="310"/>
      <c r="FHG507" s="325"/>
      <c r="FHH507" s="325"/>
      <c r="FHI507" s="325"/>
      <c r="FHJ507" s="325"/>
      <c r="FHK507" s="325"/>
      <c r="FHL507" s="325"/>
      <c r="FHM507" s="325"/>
      <c r="FHN507" s="325"/>
      <c r="FHO507" s="325"/>
      <c r="FHP507" s="325"/>
      <c r="FHQ507" s="325"/>
      <c r="FHR507" s="325"/>
      <c r="FHS507" s="325"/>
      <c r="FHT507" s="325"/>
      <c r="FHU507" s="325"/>
      <c r="FHV507" s="325"/>
      <c r="FHW507" s="325"/>
      <c r="FHX507" s="325"/>
      <c r="FHY507" s="325"/>
      <c r="FHZ507" s="325"/>
      <c r="FIA507" s="325"/>
      <c r="FIB507" s="325"/>
      <c r="FIC507" s="325"/>
      <c r="FID507" s="325"/>
      <c r="FIE507" s="325"/>
      <c r="FIF507" s="325"/>
      <c r="FIG507" s="325"/>
      <c r="FIH507" s="325"/>
      <c r="FII507" s="325"/>
      <c r="FIJ507" s="325"/>
      <c r="FIK507" s="327"/>
      <c r="FIL507" s="28"/>
      <c r="FIM507" s="324"/>
      <c r="FIN507" s="324"/>
      <c r="FIO507" s="324"/>
      <c r="FIP507" s="324"/>
      <c r="FIQ507" s="324"/>
      <c r="FIR507" s="324"/>
      <c r="FIS507" s="256"/>
      <c r="FIT507" s="325"/>
      <c r="FIU507" s="311"/>
      <c r="FIV507" s="325"/>
      <c r="FIW507" s="310"/>
      <c r="FIX507" s="325"/>
      <c r="FIY507" s="325"/>
      <c r="FIZ507" s="325"/>
      <c r="FJA507" s="325"/>
      <c r="FJB507" s="325"/>
      <c r="FJC507" s="325"/>
      <c r="FJD507" s="325"/>
      <c r="FJE507" s="325"/>
      <c r="FJF507" s="325"/>
      <c r="FJG507" s="325"/>
      <c r="FJH507" s="325"/>
      <c r="FJI507" s="325"/>
      <c r="FJJ507" s="325"/>
      <c r="FJK507" s="325"/>
      <c r="FJL507" s="325"/>
      <c r="FJM507" s="325"/>
      <c r="FJN507" s="325"/>
      <c r="FJO507" s="325"/>
      <c r="FJP507" s="325"/>
      <c r="FJQ507" s="325"/>
      <c r="FJR507" s="325"/>
      <c r="FJS507" s="325"/>
      <c r="FJT507" s="325"/>
      <c r="FJU507" s="325"/>
      <c r="FJV507" s="325"/>
      <c r="FJW507" s="325"/>
      <c r="FJX507" s="325"/>
      <c r="FJY507" s="325"/>
      <c r="FJZ507" s="325"/>
      <c r="FKA507" s="325"/>
      <c r="FKB507" s="327"/>
      <c r="FKC507" s="28"/>
      <c r="FKD507" s="324"/>
      <c r="FKE507" s="324"/>
      <c r="FKF507" s="324"/>
      <c r="FKG507" s="324"/>
      <c r="FKH507" s="324"/>
      <c r="FKI507" s="324"/>
      <c r="FKJ507" s="256"/>
      <c r="FKK507" s="325"/>
      <c r="FKL507" s="311"/>
      <c r="FKM507" s="325"/>
      <c r="FKN507" s="310"/>
      <c r="FKO507" s="325"/>
      <c r="FKP507" s="325"/>
      <c r="FKQ507" s="325"/>
      <c r="FKR507" s="325"/>
      <c r="FKS507" s="325"/>
      <c r="FKT507" s="325"/>
      <c r="FKU507" s="325"/>
      <c r="FKV507" s="325"/>
      <c r="FKW507" s="325"/>
      <c r="FKX507" s="325"/>
      <c r="FKY507" s="325"/>
      <c r="FKZ507" s="325"/>
      <c r="FLA507" s="325"/>
      <c r="FLB507" s="325"/>
      <c r="FLC507" s="325"/>
      <c r="FLD507" s="325"/>
      <c r="FLE507" s="325"/>
      <c r="FLF507" s="325"/>
      <c r="FLG507" s="325"/>
      <c r="FLH507" s="325"/>
      <c r="FLI507" s="325"/>
      <c r="FLJ507" s="325"/>
      <c r="FLK507" s="325"/>
      <c r="FLL507" s="325"/>
      <c r="FLM507" s="325"/>
      <c r="FLN507" s="325"/>
      <c r="FLO507" s="325"/>
      <c r="FLP507" s="325"/>
      <c r="FLQ507" s="325"/>
      <c r="FLR507" s="325"/>
      <c r="FLS507" s="327"/>
      <c r="FLT507" s="28"/>
      <c r="FLU507" s="324"/>
      <c r="FLV507" s="324"/>
      <c r="FLW507" s="324"/>
      <c r="FLX507" s="324"/>
      <c r="FLY507" s="324"/>
      <c r="FLZ507" s="324"/>
      <c r="FMA507" s="256"/>
      <c r="FMB507" s="325"/>
      <c r="FMC507" s="311"/>
      <c r="FMD507" s="325"/>
      <c r="FME507" s="310"/>
      <c r="FMF507" s="325"/>
      <c r="FMG507" s="325"/>
      <c r="FMH507" s="325"/>
      <c r="FMI507" s="325"/>
      <c r="FMJ507" s="325"/>
      <c r="FMK507" s="325"/>
      <c r="FML507" s="325"/>
      <c r="FMM507" s="325"/>
      <c r="FMN507" s="325"/>
      <c r="FMO507" s="325"/>
      <c r="FMP507" s="325"/>
      <c r="FMQ507" s="325"/>
      <c r="FMR507" s="325"/>
      <c r="FMS507" s="325"/>
      <c r="FMT507" s="325"/>
      <c r="FMU507" s="325"/>
      <c r="FMV507" s="325"/>
      <c r="FMW507" s="325"/>
      <c r="FMX507" s="325"/>
      <c r="FMY507" s="325"/>
      <c r="FMZ507" s="325"/>
      <c r="FNA507" s="325"/>
      <c r="FNB507" s="325"/>
      <c r="FNC507" s="325"/>
      <c r="FND507" s="325"/>
      <c r="FNE507" s="325"/>
      <c r="FNF507" s="325"/>
      <c r="FNG507" s="325"/>
      <c r="FNH507" s="325"/>
      <c r="FNI507" s="325"/>
      <c r="FNJ507" s="327"/>
      <c r="FNK507" s="28"/>
      <c r="FNL507" s="324"/>
      <c r="FNM507" s="324"/>
      <c r="FNN507" s="324"/>
      <c r="FNO507" s="324"/>
      <c r="FNP507" s="324"/>
      <c r="FNQ507" s="324"/>
      <c r="FNR507" s="256"/>
      <c r="FNS507" s="325"/>
      <c r="FNT507" s="311"/>
      <c r="FNU507" s="325"/>
      <c r="FNV507" s="310"/>
      <c r="FNW507" s="325"/>
      <c r="FNX507" s="325"/>
      <c r="FNY507" s="325"/>
      <c r="FNZ507" s="325"/>
      <c r="FOA507" s="325"/>
      <c r="FOB507" s="325"/>
      <c r="FOC507" s="325"/>
      <c r="FOD507" s="325"/>
      <c r="FOE507" s="325"/>
      <c r="FOF507" s="325"/>
      <c r="FOG507" s="325"/>
      <c r="FOH507" s="325"/>
      <c r="FOI507" s="325"/>
      <c r="FOJ507" s="325"/>
      <c r="FOK507" s="325"/>
      <c r="FOL507" s="325"/>
      <c r="FOM507" s="325"/>
      <c r="FON507" s="325"/>
      <c r="FOO507" s="325"/>
      <c r="FOP507" s="325"/>
      <c r="FOQ507" s="325"/>
      <c r="FOR507" s="325"/>
      <c r="FOS507" s="325"/>
      <c r="FOT507" s="325"/>
      <c r="FOU507" s="325"/>
      <c r="FOV507" s="325"/>
      <c r="FOW507" s="325"/>
      <c r="FOX507" s="325"/>
      <c r="FOY507" s="325"/>
      <c r="FOZ507" s="325"/>
      <c r="FPA507" s="327"/>
      <c r="FPB507" s="28"/>
      <c r="FPC507" s="324"/>
      <c r="FPD507" s="324"/>
      <c r="FPE507" s="324"/>
      <c r="FPF507" s="324"/>
      <c r="FPG507" s="324"/>
      <c r="FPH507" s="324"/>
      <c r="FPI507" s="256"/>
      <c r="FPJ507" s="325"/>
      <c r="FPK507" s="311"/>
      <c r="FPL507" s="325"/>
      <c r="FPM507" s="310"/>
      <c r="FPN507" s="325"/>
      <c r="FPO507" s="325"/>
      <c r="FPP507" s="325"/>
      <c r="FPQ507" s="325"/>
      <c r="FPR507" s="325"/>
      <c r="FPS507" s="325"/>
      <c r="FPT507" s="325"/>
      <c r="FPU507" s="325"/>
      <c r="FPV507" s="325"/>
      <c r="FPW507" s="325"/>
      <c r="FPX507" s="325"/>
      <c r="FPY507" s="325"/>
      <c r="FPZ507" s="325"/>
      <c r="FQA507" s="325"/>
      <c r="FQB507" s="325"/>
      <c r="FQC507" s="325"/>
      <c r="FQD507" s="325"/>
      <c r="FQE507" s="325"/>
      <c r="FQF507" s="325"/>
      <c r="FQG507" s="325"/>
      <c r="FQH507" s="325"/>
      <c r="FQI507" s="325"/>
      <c r="FQJ507" s="325"/>
      <c r="FQK507" s="325"/>
      <c r="FQL507" s="325"/>
      <c r="FQM507" s="325"/>
      <c r="FQN507" s="325"/>
      <c r="FQO507" s="325"/>
      <c r="FQP507" s="325"/>
      <c r="FQQ507" s="325"/>
      <c r="FQR507" s="327"/>
      <c r="FQS507" s="28"/>
      <c r="FQT507" s="324"/>
      <c r="FQU507" s="324"/>
      <c r="FQV507" s="324"/>
      <c r="FQW507" s="324"/>
      <c r="FQX507" s="324"/>
      <c r="FQY507" s="324"/>
      <c r="FQZ507" s="256"/>
      <c r="FRA507" s="325"/>
      <c r="FRB507" s="311"/>
      <c r="FRC507" s="325"/>
      <c r="FRD507" s="310"/>
      <c r="FRE507" s="325"/>
      <c r="FRF507" s="325"/>
      <c r="FRG507" s="325"/>
      <c r="FRH507" s="325"/>
      <c r="FRI507" s="325"/>
      <c r="FRJ507" s="325"/>
      <c r="FRK507" s="325"/>
      <c r="FRL507" s="325"/>
      <c r="FRM507" s="325"/>
      <c r="FRN507" s="325"/>
      <c r="FRO507" s="325"/>
      <c r="FRP507" s="325"/>
      <c r="FRQ507" s="325"/>
      <c r="FRR507" s="325"/>
      <c r="FRS507" s="325"/>
      <c r="FRT507" s="325"/>
      <c r="FRU507" s="325"/>
      <c r="FRV507" s="325"/>
      <c r="FRW507" s="325"/>
      <c r="FRX507" s="325"/>
      <c r="FRY507" s="325"/>
      <c r="FRZ507" s="325"/>
      <c r="FSA507" s="325"/>
      <c r="FSB507" s="325"/>
      <c r="FSC507" s="325"/>
      <c r="FSD507" s="325"/>
      <c r="FSE507" s="325"/>
      <c r="FSF507" s="325"/>
      <c r="FSG507" s="325"/>
      <c r="FSH507" s="325"/>
      <c r="FSI507" s="327"/>
      <c r="FSJ507" s="28"/>
      <c r="FSK507" s="324"/>
      <c r="FSL507" s="324"/>
      <c r="FSM507" s="324"/>
      <c r="FSN507" s="324"/>
      <c r="FSO507" s="324"/>
      <c r="FSP507" s="324"/>
      <c r="FSQ507" s="256"/>
      <c r="FSR507" s="325"/>
      <c r="FSS507" s="311"/>
      <c r="FST507" s="325"/>
      <c r="FSU507" s="310"/>
      <c r="FSV507" s="325"/>
      <c r="FSW507" s="325"/>
      <c r="FSX507" s="325"/>
      <c r="FSY507" s="325"/>
      <c r="FSZ507" s="325"/>
      <c r="FTA507" s="325"/>
      <c r="FTB507" s="325"/>
      <c r="FTC507" s="325"/>
      <c r="FTD507" s="325"/>
      <c r="FTE507" s="325"/>
      <c r="FTF507" s="325"/>
      <c r="FTG507" s="325"/>
      <c r="FTH507" s="325"/>
      <c r="FTI507" s="325"/>
      <c r="FTJ507" s="325"/>
      <c r="FTK507" s="325"/>
      <c r="FTL507" s="325"/>
      <c r="FTM507" s="325"/>
      <c r="FTN507" s="325"/>
      <c r="FTO507" s="325"/>
      <c r="FTP507" s="325"/>
      <c r="FTQ507" s="325"/>
      <c r="FTR507" s="325"/>
      <c r="FTS507" s="325"/>
      <c r="FTT507" s="325"/>
      <c r="FTU507" s="325"/>
      <c r="FTV507" s="325"/>
      <c r="FTW507" s="325"/>
      <c r="FTX507" s="325"/>
      <c r="FTY507" s="325"/>
      <c r="FTZ507" s="327"/>
      <c r="FUA507" s="28"/>
      <c r="FUB507" s="324"/>
      <c r="FUC507" s="324"/>
      <c r="FUD507" s="324"/>
      <c r="FUE507" s="324"/>
      <c r="FUF507" s="324"/>
      <c r="FUG507" s="324"/>
      <c r="FUH507" s="256"/>
      <c r="FUI507" s="325"/>
      <c r="FUJ507" s="311"/>
      <c r="FUK507" s="325"/>
      <c r="FUL507" s="310"/>
      <c r="FUM507" s="325"/>
      <c r="FUN507" s="325"/>
      <c r="FUO507" s="325"/>
      <c r="FUP507" s="325"/>
      <c r="FUQ507" s="325"/>
      <c r="FUR507" s="325"/>
      <c r="FUS507" s="325"/>
      <c r="FUT507" s="325"/>
      <c r="FUU507" s="325"/>
      <c r="FUV507" s="325"/>
      <c r="FUW507" s="325"/>
      <c r="FUX507" s="325"/>
      <c r="FUY507" s="325"/>
      <c r="FUZ507" s="325"/>
      <c r="FVA507" s="325"/>
      <c r="FVB507" s="325"/>
      <c r="FVC507" s="325"/>
      <c r="FVD507" s="325"/>
      <c r="FVE507" s="325"/>
      <c r="FVF507" s="325"/>
      <c r="FVG507" s="325"/>
      <c r="FVH507" s="325"/>
      <c r="FVI507" s="325"/>
      <c r="FVJ507" s="325"/>
      <c r="FVK507" s="325"/>
      <c r="FVL507" s="325"/>
      <c r="FVM507" s="325"/>
      <c r="FVN507" s="325"/>
      <c r="FVO507" s="325"/>
      <c r="FVP507" s="325"/>
      <c r="FVQ507" s="327"/>
      <c r="FVR507" s="28"/>
      <c r="FVS507" s="324"/>
      <c r="FVT507" s="324"/>
      <c r="FVU507" s="324"/>
      <c r="FVV507" s="324"/>
      <c r="FVW507" s="324"/>
      <c r="FVX507" s="324"/>
      <c r="FVY507" s="256"/>
      <c r="FVZ507" s="325"/>
      <c r="FWA507" s="311"/>
      <c r="FWB507" s="325"/>
      <c r="FWC507" s="310"/>
      <c r="FWD507" s="325"/>
      <c r="FWE507" s="325"/>
      <c r="FWF507" s="325"/>
      <c r="FWG507" s="325"/>
      <c r="FWH507" s="325"/>
      <c r="FWI507" s="325"/>
      <c r="FWJ507" s="325"/>
      <c r="FWK507" s="325"/>
      <c r="FWL507" s="325"/>
      <c r="FWM507" s="325"/>
      <c r="FWN507" s="325"/>
      <c r="FWO507" s="325"/>
      <c r="FWP507" s="325"/>
      <c r="FWQ507" s="325"/>
      <c r="FWR507" s="325"/>
      <c r="FWS507" s="325"/>
      <c r="FWT507" s="325"/>
      <c r="FWU507" s="325"/>
      <c r="FWV507" s="325"/>
      <c r="FWW507" s="325"/>
      <c r="FWX507" s="325"/>
      <c r="FWY507" s="325"/>
      <c r="FWZ507" s="325"/>
      <c r="FXA507" s="325"/>
      <c r="FXB507" s="325"/>
      <c r="FXC507" s="325"/>
      <c r="FXD507" s="325"/>
      <c r="FXE507" s="325"/>
      <c r="FXF507" s="325"/>
      <c r="FXG507" s="325"/>
      <c r="FXH507" s="327"/>
      <c r="FXI507" s="28"/>
      <c r="FXJ507" s="324"/>
      <c r="FXK507" s="324"/>
      <c r="FXL507" s="324"/>
      <c r="FXM507" s="324"/>
      <c r="FXN507" s="324"/>
      <c r="FXO507" s="324"/>
      <c r="FXP507" s="256"/>
      <c r="FXQ507" s="325"/>
      <c r="FXR507" s="311"/>
      <c r="FXS507" s="325"/>
      <c r="FXT507" s="310"/>
      <c r="FXU507" s="325"/>
      <c r="FXV507" s="325"/>
      <c r="FXW507" s="325"/>
      <c r="FXX507" s="325"/>
      <c r="FXY507" s="325"/>
      <c r="FXZ507" s="325"/>
      <c r="FYA507" s="325"/>
      <c r="FYB507" s="325"/>
      <c r="FYC507" s="325"/>
      <c r="FYD507" s="325"/>
      <c r="FYE507" s="325"/>
      <c r="FYF507" s="325"/>
      <c r="FYG507" s="325"/>
      <c r="FYH507" s="325"/>
      <c r="FYI507" s="325"/>
      <c r="FYJ507" s="325"/>
      <c r="FYK507" s="325"/>
      <c r="FYL507" s="325"/>
      <c r="FYM507" s="325"/>
      <c r="FYN507" s="325"/>
      <c r="FYO507" s="325"/>
      <c r="FYP507" s="325"/>
      <c r="FYQ507" s="325"/>
      <c r="FYR507" s="325"/>
      <c r="FYS507" s="325"/>
      <c r="FYT507" s="325"/>
      <c r="FYU507" s="325"/>
      <c r="FYV507" s="325"/>
      <c r="FYW507" s="325"/>
      <c r="FYX507" s="325"/>
      <c r="FYY507" s="327"/>
      <c r="FYZ507" s="28"/>
      <c r="FZA507" s="324"/>
      <c r="FZB507" s="324"/>
      <c r="FZC507" s="324"/>
      <c r="FZD507" s="324"/>
      <c r="FZE507" s="324"/>
      <c r="FZF507" s="324"/>
      <c r="FZG507" s="256"/>
      <c r="FZH507" s="325"/>
      <c r="FZI507" s="311"/>
      <c r="FZJ507" s="325"/>
      <c r="FZK507" s="310"/>
      <c r="FZL507" s="325"/>
      <c r="FZM507" s="325"/>
      <c r="FZN507" s="325"/>
      <c r="FZO507" s="325"/>
      <c r="FZP507" s="325"/>
      <c r="FZQ507" s="325"/>
      <c r="FZR507" s="325"/>
      <c r="FZS507" s="325"/>
      <c r="FZT507" s="325"/>
      <c r="FZU507" s="325"/>
      <c r="FZV507" s="325"/>
      <c r="FZW507" s="325"/>
      <c r="FZX507" s="325"/>
      <c r="FZY507" s="325"/>
      <c r="FZZ507" s="325"/>
      <c r="GAA507" s="325"/>
      <c r="GAB507" s="325"/>
      <c r="GAC507" s="325"/>
      <c r="GAD507" s="325"/>
      <c r="GAE507" s="325"/>
      <c r="GAF507" s="325"/>
      <c r="GAG507" s="325"/>
      <c r="GAH507" s="325"/>
      <c r="GAI507" s="325"/>
      <c r="GAJ507" s="325"/>
      <c r="GAK507" s="325"/>
      <c r="GAL507" s="325"/>
      <c r="GAM507" s="325"/>
      <c r="GAN507" s="325"/>
      <c r="GAO507" s="325"/>
      <c r="GAP507" s="327"/>
      <c r="GAQ507" s="28"/>
      <c r="GAR507" s="324"/>
      <c r="GAS507" s="324"/>
      <c r="GAT507" s="324"/>
      <c r="GAU507" s="324"/>
      <c r="GAV507" s="324"/>
      <c r="GAW507" s="324"/>
      <c r="GAX507" s="256"/>
      <c r="GAY507" s="325"/>
      <c r="GAZ507" s="311"/>
      <c r="GBA507" s="325"/>
      <c r="GBB507" s="310"/>
      <c r="GBC507" s="325"/>
      <c r="GBD507" s="325"/>
      <c r="GBE507" s="325"/>
      <c r="GBF507" s="325"/>
      <c r="GBG507" s="325"/>
      <c r="GBH507" s="325"/>
      <c r="GBI507" s="325"/>
      <c r="GBJ507" s="325"/>
      <c r="GBK507" s="325"/>
      <c r="GBL507" s="325"/>
      <c r="GBM507" s="325"/>
      <c r="GBN507" s="325"/>
      <c r="GBO507" s="325"/>
      <c r="GBP507" s="325"/>
      <c r="GBQ507" s="325"/>
      <c r="GBR507" s="325"/>
      <c r="GBS507" s="325"/>
      <c r="GBT507" s="325"/>
      <c r="GBU507" s="325"/>
      <c r="GBV507" s="325"/>
      <c r="GBW507" s="325"/>
      <c r="GBX507" s="325"/>
      <c r="GBY507" s="325"/>
      <c r="GBZ507" s="325"/>
      <c r="GCA507" s="325"/>
      <c r="GCB507" s="325"/>
      <c r="GCC507" s="325"/>
      <c r="GCD507" s="325"/>
      <c r="GCE507" s="325"/>
      <c r="GCF507" s="325"/>
      <c r="GCG507" s="327"/>
      <c r="GCH507" s="28"/>
      <c r="GCI507" s="324"/>
      <c r="GCJ507" s="324"/>
      <c r="GCK507" s="324"/>
      <c r="GCL507" s="324"/>
      <c r="GCM507" s="324"/>
      <c r="GCN507" s="324"/>
      <c r="GCO507" s="256"/>
      <c r="GCP507" s="325"/>
      <c r="GCQ507" s="311"/>
      <c r="GCR507" s="325"/>
      <c r="GCS507" s="310"/>
      <c r="GCT507" s="325"/>
      <c r="GCU507" s="325"/>
      <c r="GCV507" s="325"/>
      <c r="GCW507" s="325"/>
      <c r="GCX507" s="325"/>
      <c r="GCY507" s="325"/>
      <c r="GCZ507" s="325"/>
      <c r="GDA507" s="325"/>
      <c r="GDB507" s="325"/>
      <c r="GDC507" s="325"/>
      <c r="GDD507" s="325"/>
      <c r="GDE507" s="325"/>
      <c r="GDF507" s="325"/>
      <c r="GDG507" s="325"/>
      <c r="GDH507" s="325"/>
      <c r="GDI507" s="325"/>
      <c r="GDJ507" s="325"/>
      <c r="GDK507" s="325"/>
      <c r="GDL507" s="325"/>
      <c r="GDM507" s="325"/>
      <c r="GDN507" s="325"/>
      <c r="GDO507" s="325"/>
      <c r="GDP507" s="325"/>
      <c r="GDQ507" s="325"/>
      <c r="GDR507" s="325"/>
      <c r="GDS507" s="325"/>
      <c r="GDT507" s="325"/>
      <c r="GDU507" s="325"/>
      <c r="GDV507" s="325"/>
      <c r="GDW507" s="325"/>
      <c r="GDX507" s="327"/>
      <c r="GDY507" s="28"/>
      <c r="GDZ507" s="324"/>
      <c r="GEA507" s="324"/>
      <c r="GEB507" s="324"/>
      <c r="GEC507" s="324"/>
      <c r="GED507" s="324"/>
      <c r="GEE507" s="324"/>
      <c r="GEF507" s="256"/>
      <c r="GEG507" s="325"/>
      <c r="GEH507" s="311"/>
      <c r="GEI507" s="325"/>
      <c r="GEJ507" s="310"/>
      <c r="GEK507" s="325"/>
      <c r="GEL507" s="325"/>
      <c r="GEM507" s="325"/>
      <c r="GEN507" s="325"/>
      <c r="GEO507" s="325"/>
      <c r="GEP507" s="325"/>
      <c r="GEQ507" s="325"/>
      <c r="GER507" s="325"/>
      <c r="GES507" s="325"/>
      <c r="GET507" s="325"/>
      <c r="GEU507" s="325"/>
      <c r="GEV507" s="325"/>
      <c r="GEW507" s="325"/>
      <c r="GEX507" s="325"/>
      <c r="GEY507" s="325"/>
      <c r="GEZ507" s="325"/>
      <c r="GFA507" s="325"/>
      <c r="GFB507" s="325"/>
      <c r="GFC507" s="325"/>
      <c r="GFD507" s="325"/>
      <c r="GFE507" s="325"/>
      <c r="GFF507" s="325"/>
      <c r="GFG507" s="325"/>
      <c r="GFH507" s="325"/>
      <c r="GFI507" s="325"/>
      <c r="GFJ507" s="325"/>
      <c r="GFK507" s="325"/>
      <c r="GFL507" s="325"/>
      <c r="GFM507" s="325"/>
      <c r="GFN507" s="325"/>
      <c r="GFO507" s="327"/>
      <c r="GFP507" s="28"/>
      <c r="GFQ507" s="324"/>
      <c r="GFR507" s="324"/>
      <c r="GFS507" s="324"/>
      <c r="GFT507" s="324"/>
      <c r="GFU507" s="324"/>
      <c r="GFV507" s="324"/>
      <c r="GFW507" s="256"/>
      <c r="GFX507" s="325"/>
      <c r="GFY507" s="311"/>
      <c r="GFZ507" s="325"/>
      <c r="GGA507" s="310"/>
      <c r="GGB507" s="325"/>
      <c r="GGC507" s="325"/>
      <c r="GGD507" s="325"/>
      <c r="GGE507" s="325"/>
      <c r="GGF507" s="325"/>
      <c r="GGG507" s="325"/>
      <c r="GGH507" s="325"/>
      <c r="GGI507" s="325"/>
      <c r="GGJ507" s="325"/>
      <c r="GGK507" s="325"/>
      <c r="GGL507" s="325"/>
      <c r="GGM507" s="325"/>
      <c r="GGN507" s="325"/>
      <c r="GGO507" s="325"/>
      <c r="GGP507" s="325"/>
      <c r="GGQ507" s="325"/>
      <c r="GGR507" s="325"/>
      <c r="GGS507" s="325"/>
      <c r="GGT507" s="325"/>
      <c r="GGU507" s="325"/>
      <c r="GGV507" s="325"/>
      <c r="GGW507" s="325"/>
      <c r="GGX507" s="325"/>
      <c r="GGY507" s="325"/>
      <c r="GGZ507" s="325"/>
      <c r="GHA507" s="325"/>
      <c r="GHB507" s="325"/>
      <c r="GHC507" s="325"/>
      <c r="GHD507" s="325"/>
      <c r="GHE507" s="325"/>
      <c r="GHF507" s="327"/>
      <c r="GHG507" s="28"/>
      <c r="GHH507" s="324"/>
      <c r="GHI507" s="324"/>
      <c r="GHJ507" s="324"/>
      <c r="GHK507" s="324"/>
      <c r="GHL507" s="324"/>
      <c r="GHM507" s="324"/>
      <c r="GHN507" s="256"/>
      <c r="GHO507" s="325"/>
      <c r="GHP507" s="311"/>
      <c r="GHQ507" s="325"/>
      <c r="GHR507" s="310"/>
      <c r="GHS507" s="325"/>
      <c r="GHT507" s="325"/>
      <c r="GHU507" s="325"/>
      <c r="GHV507" s="325"/>
      <c r="GHW507" s="325"/>
      <c r="GHX507" s="325"/>
      <c r="GHY507" s="325"/>
      <c r="GHZ507" s="325"/>
      <c r="GIA507" s="325"/>
      <c r="GIB507" s="325"/>
      <c r="GIC507" s="325"/>
      <c r="GID507" s="325"/>
      <c r="GIE507" s="325"/>
      <c r="GIF507" s="325"/>
      <c r="GIG507" s="325"/>
      <c r="GIH507" s="325"/>
      <c r="GII507" s="325"/>
      <c r="GIJ507" s="325"/>
      <c r="GIK507" s="325"/>
      <c r="GIL507" s="325"/>
      <c r="GIM507" s="325"/>
      <c r="GIN507" s="325"/>
      <c r="GIO507" s="325"/>
      <c r="GIP507" s="325"/>
      <c r="GIQ507" s="325"/>
      <c r="GIR507" s="325"/>
      <c r="GIS507" s="325"/>
      <c r="GIT507" s="325"/>
      <c r="GIU507" s="325"/>
      <c r="GIV507" s="325"/>
      <c r="GIW507" s="327"/>
      <c r="GIX507" s="28"/>
      <c r="GIY507" s="324"/>
      <c r="GIZ507" s="324"/>
      <c r="GJA507" s="324"/>
      <c r="GJB507" s="324"/>
      <c r="GJC507" s="324"/>
      <c r="GJD507" s="324"/>
      <c r="GJE507" s="256"/>
      <c r="GJF507" s="325"/>
      <c r="GJG507" s="311"/>
      <c r="GJH507" s="325"/>
      <c r="GJI507" s="310"/>
      <c r="GJJ507" s="325"/>
      <c r="GJK507" s="325"/>
      <c r="GJL507" s="325"/>
      <c r="GJM507" s="325"/>
      <c r="GJN507" s="325"/>
      <c r="GJO507" s="325"/>
      <c r="GJP507" s="325"/>
      <c r="GJQ507" s="325"/>
      <c r="GJR507" s="325"/>
      <c r="GJS507" s="325"/>
      <c r="GJT507" s="325"/>
      <c r="GJU507" s="325"/>
      <c r="GJV507" s="325"/>
      <c r="GJW507" s="325"/>
      <c r="GJX507" s="325"/>
      <c r="GJY507" s="325"/>
      <c r="GJZ507" s="325"/>
      <c r="GKA507" s="325"/>
      <c r="GKB507" s="325"/>
      <c r="GKC507" s="325"/>
      <c r="GKD507" s="325"/>
      <c r="GKE507" s="325"/>
      <c r="GKF507" s="325"/>
      <c r="GKG507" s="325"/>
      <c r="GKH507" s="325"/>
      <c r="GKI507" s="325"/>
      <c r="GKJ507" s="325"/>
      <c r="GKK507" s="325"/>
      <c r="GKL507" s="325"/>
      <c r="GKM507" s="325"/>
      <c r="GKN507" s="327"/>
      <c r="GKO507" s="28"/>
      <c r="GKP507" s="324"/>
      <c r="GKQ507" s="324"/>
      <c r="GKR507" s="324"/>
      <c r="GKS507" s="324"/>
      <c r="GKT507" s="324"/>
      <c r="GKU507" s="324"/>
      <c r="GKV507" s="256"/>
      <c r="GKW507" s="325"/>
      <c r="GKX507" s="311"/>
      <c r="GKY507" s="325"/>
      <c r="GKZ507" s="310"/>
      <c r="GLA507" s="325"/>
      <c r="GLB507" s="325"/>
      <c r="GLC507" s="325"/>
      <c r="GLD507" s="325"/>
      <c r="GLE507" s="325"/>
      <c r="GLF507" s="325"/>
      <c r="GLG507" s="325"/>
      <c r="GLH507" s="325"/>
      <c r="GLI507" s="325"/>
      <c r="GLJ507" s="325"/>
      <c r="GLK507" s="325"/>
      <c r="GLL507" s="325"/>
      <c r="GLM507" s="325"/>
      <c r="GLN507" s="325"/>
      <c r="GLO507" s="325"/>
      <c r="GLP507" s="325"/>
      <c r="GLQ507" s="325"/>
      <c r="GLR507" s="325"/>
      <c r="GLS507" s="325"/>
      <c r="GLT507" s="325"/>
      <c r="GLU507" s="325"/>
      <c r="GLV507" s="325"/>
      <c r="GLW507" s="325"/>
      <c r="GLX507" s="325"/>
      <c r="GLY507" s="325"/>
      <c r="GLZ507" s="325"/>
      <c r="GMA507" s="325"/>
      <c r="GMB507" s="325"/>
      <c r="GMC507" s="325"/>
      <c r="GMD507" s="325"/>
      <c r="GME507" s="327"/>
      <c r="GMF507" s="28"/>
      <c r="GMG507" s="324"/>
      <c r="GMH507" s="324"/>
      <c r="GMI507" s="324"/>
      <c r="GMJ507" s="324"/>
      <c r="GMK507" s="324"/>
      <c r="GML507" s="324"/>
      <c r="GMM507" s="256"/>
      <c r="GMN507" s="325"/>
      <c r="GMO507" s="311"/>
      <c r="GMP507" s="325"/>
      <c r="GMQ507" s="310"/>
      <c r="GMR507" s="325"/>
      <c r="GMS507" s="325"/>
      <c r="GMT507" s="325"/>
      <c r="GMU507" s="325"/>
      <c r="GMV507" s="325"/>
      <c r="GMW507" s="325"/>
      <c r="GMX507" s="325"/>
      <c r="GMY507" s="325"/>
      <c r="GMZ507" s="325"/>
      <c r="GNA507" s="325"/>
      <c r="GNB507" s="325"/>
      <c r="GNC507" s="325"/>
      <c r="GND507" s="325"/>
      <c r="GNE507" s="325"/>
      <c r="GNF507" s="325"/>
      <c r="GNG507" s="325"/>
      <c r="GNH507" s="325"/>
      <c r="GNI507" s="325"/>
      <c r="GNJ507" s="325"/>
      <c r="GNK507" s="325"/>
      <c r="GNL507" s="325"/>
      <c r="GNM507" s="325"/>
      <c r="GNN507" s="325"/>
      <c r="GNO507" s="325"/>
      <c r="GNP507" s="325"/>
      <c r="GNQ507" s="325"/>
      <c r="GNR507" s="325"/>
      <c r="GNS507" s="325"/>
      <c r="GNT507" s="325"/>
      <c r="GNU507" s="325"/>
      <c r="GNV507" s="327"/>
      <c r="GNW507" s="28"/>
      <c r="GNX507" s="324"/>
      <c r="GNY507" s="324"/>
      <c r="GNZ507" s="324"/>
      <c r="GOA507" s="324"/>
      <c r="GOB507" s="324"/>
      <c r="GOC507" s="324"/>
      <c r="GOD507" s="256"/>
      <c r="GOE507" s="325"/>
      <c r="GOF507" s="311"/>
      <c r="GOG507" s="325"/>
      <c r="GOH507" s="310"/>
      <c r="GOI507" s="325"/>
      <c r="GOJ507" s="325"/>
      <c r="GOK507" s="325"/>
      <c r="GOL507" s="325"/>
      <c r="GOM507" s="325"/>
      <c r="GON507" s="325"/>
      <c r="GOO507" s="325"/>
      <c r="GOP507" s="325"/>
      <c r="GOQ507" s="325"/>
      <c r="GOR507" s="325"/>
      <c r="GOS507" s="325"/>
      <c r="GOT507" s="325"/>
      <c r="GOU507" s="325"/>
      <c r="GOV507" s="325"/>
      <c r="GOW507" s="325"/>
      <c r="GOX507" s="325"/>
      <c r="GOY507" s="325"/>
      <c r="GOZ507" s="325"/>
      <c r="GPA507" s="325"/>
      <c r="GPB507" s="325"/>
      <c r="GPC507" s="325"/>
      <c r="GPD507" s="325"/>
      <c r="GPE507" s="325"/>
      <c r="GPF507" s="325"/>
      <c r="GPG507" s="325"/>
      <c r="GPH507" s="325"/>
      <c r="GPI507" s="325"/>
      <c r="GPJ507" s="325"/>
      <c r="GPK507" s="325"/>
      <c r="GPL507" s="325"/>
      <c r="GPM507" s="327"/>
      <c r="GPN507" s="28"/>
      <c r="GPO507" s="324"/>
      <c r="GPP507" s="324"/>
      <c r="GPQ507" s="324"/>
      <c r="GPR507" s="324"/>
      <c r="GPS507" s="324"/>
      <c r="GPT507" s="324"/>
      <c r="GPU507" s="256"/>
      <c r="GPV507" s="325"/>
      <c r="GPW507" s="311"/>
      <c r="GPX507" s="325"/>
      <c r="GPY507" s="310"/>
      <c r="GPZ507" s="325"/>
      <c r="GQA507" s="325"/>
      <c r="GQB507" s="325"/>
      <c r="GQC507" s="325"/>
      <c r="GQD507" s="325"/>
      <c r="GQE507" s="325"/>
      <c r="GQF507" s="325"/>
      <c r="GQG507" s="325"/>
      <c r="GQH507" s="325"/>
      <c r="GQI507" s="325"/>
      <c r="GQJ507" s="325"/>
      <c r="GQK507" s="325"/>
      <c r="GQL507" s="325"/>
      <c r="GQM507" s="325"/>
      <c r="GQN507" s="325"/>
      <c r="GQO507" s="325"/>
      <c r="GQP507" s="325"/>
      <c r="GQQ507" s="325"/>
      <c r="GQR507" s="325"/>
      <c r="GQS507" s="325"/>
      <c r="GQT507" s="325"/>
      <c r="GQU507" s="325"/>
      <c r="GQV507" s="325"/>
      <c r="GQW507" s="325"/>
      <c r="GQX507" s="325"/>
      <c r="GQY507" s="325"/>
      <c r="GQZ507" s="325"/>
      <c r="GRA507" s="325"/>
      <c r="GRB507" s="325"/>
      <c r="GRC507" s="325"/>
      <c r="GRD507" s="327"/>
      <c r="GRE507" s="28"/>
      <c r="GRF507" s="324"/>
      <c r="GRG507" s="324"/>
      <c r="GRH507" s="324"/>
      <c r="GRI507" s="324"/>
      <c r="GRJ507" s="324"/>
      <c r="GRK507" s="324"/>
      <c r="GRL507" s="256"/>
      <c r="GRM507" s="325"/>
      <c r="GRN507" s="311"/>
      <c r="GRO507" s="325"/>
      <c r="GRP507" s="310"/>
      <c r="GRQ507" s="325"/>
      <c r="GRR507" s="325"/>
      <c r="GRS507" s="325"/>
      <c r="GRT507" s="325"/>
      <c r="GRU507" s="325"/>
      <c r="GRV507" s="325"/>
      <c r="GRW507" s="325"/>
      <c r="GRX507" s="325"/>
      <c r="GRY507" s="325"/>
      <c r="GRZ507" s="325"/>
      <c r="GSA507" s="325"/>
      <c r="GSB507" s="325"/>
      <c r="GSC507" s="325"/>
      <c r="GSD507" s="325"/>
      <c r="GSE507" s="325"/>
      <c r="GSF507" s="325"/>
      <c r="GSG507" s="325"/>
      <c r="GSH507" s="325"/>
      <c r="GSI507" s="325"/>
      <c r="GSJ507" s="325"/>
      <c r="GSK507" s="325"/>
      <c r="GSL507" s="325"/>
      <c r="GSM507" s="325"/>
      <c r="GSN507" s="325"/>
      <c r="GSO507" s="325"/>
      <c r="GSP507" s="325"/>
      <c r="GSQ507" s="325"/>
      <c r="GSR507" s="325"/>
      <c r="GSS507" s="325"/>
      <c r="GST507" s="325"/>
      <c r="GSU507" s="327"/>
      <c r="GSV507" s="28"/>
      <c r="GSW507" s="324"/>
      <c r="GSX507" s="324"/>
      <c r="GSY507" s="324"/>
      <c r="GSZ507" s="324"/>
      <c r="GTA507" s="324"/>
      <c r="GTB507" s="324"/>
      <c r="GTC507" s="256"/>
      <c r="GTD507" s="325"/>
      <c r="GTE507" s="311"/>
      <c r="GTF507" s="325"/>
      <c r="GTG507" s="310"/>
      <c r="GTH507" s="325"/>
      <c r="GTI507" s="325"/>
      <c r="GTJ507" s="325"/>
      <c r="GTK507" s="325"/>
      <c r="GTL507" s="325"/>
      <c r="GTM507" s="325"/>
      <c r="GTN507" s="325"/>
      <c r="GTO507" s="325"/>
      <c r="GTP507" s="325"/>
      <c r="GTQ507" s="325"/>
      <c r="GTR507" s="325"/>
      <c r="GTS507" s="325"/>
      <c r="GTT507" s="325"/>
      <c r="GTU507" s="325"/>
      <c r="GTV507" s="325"/>
      <c r="GTW507" s="325"/>
      <c r="GTX507" s="325"/>
      <c r="GTY507" s="325"/>
      <c r="GTZ507" s="325"/>
      <c r="GUA507" s="325"/>
      <c r="GUB507" s="325"/>
      <c r="GUC507" s="325"/>
      <c r="GUD507" s="325"/>
      <c r="GUE507" s="325"/>
      <c r="GUF507" s="325"/>
      <c r="GUG507" s="325"/>
      <c r="GUH507" s="325"/>
      <c r="GUI507" s="325"/>
      <c r="GUJ507" s="325"/>
      <c r="GUK507" s="325"/>
      <c r="GUL507" s="327"/>
      <c r="GUM507" s="28"/>
      <c r="GUN507" s="324"/>
      <c r="GUO507" s="324"/>
      <c r="GUP507" s="324"/>
      <c r="GUQ507" s="324"/>
      <c r="GUR507" s="324"/>
      <c r="GUS507" s="324"/>
      <c r="GUT507" s="256"/>
      <c r="GUU507" s="325"/>
      <c r="GUV507" s="311"/>
      <c r="GUW507" s="325"/>
      <c r="GUX507" s="310"/>
      <c r="GUY507" s="325"/>
      <c r="GUZ507" s="325"/>
      <c r="GVA507" s="325"/>
      <c r="GVB507" s="325"/>
      <c r="GVC507" s="325"/>
      <c r="GVD507" s="325"/>
      <c r="GVE507" s="325"/>
      <c r="GVF507" s="325"/>
      <c r="GVG507" s="325"/>
      <c r="GVH507" s="325"/>
      <c r="GVI507" s="325"/>
      <c r="GVJ507" s="325"/>
      <c r="GVK507" s="325"/>
      <c r="GVL507" s="325"/>
      <c r="GVM507" s="325"/>
      <c r="GVN507" s="325"/>
      <c r="GVO507" s="325"/>
      <c r="GVP507" s="325"/>
      <c r="GVQ507" s="325"/>
      <c r="GVR507" s="325"/>
      <c r="GVS507" s="325"/>
      <c r="GVT507" s="325"/>
      <c r="GVU507" s="325"/>
      <c r="GVV507" s="325"/>
      <c r="GVW507" s="325"/>
      <c r="GVX507" s="325"/>
      <c r="GVY507" s="325"/>
      <c r="GVZ507" s="325"/>
      <c r="GWA507" s="325"/>
      <c r="GWB507" s="325"/>
      <c r="GWC507" s="327"/>
      <c r="GWD507" s="28"/>
      <c r="GWE507" s="324"/>
      <c r="GWF507" s="324"/>
      <c r="GWG507" s="324"/>
      <c r="GWH507" s="324"/>
      <c r="GWI507" s="324"/>
      <c r="GWJ507" s="324"/>
      <c r="GWK507" s="256"/>
      <c r="GWL507" s="325"/>
      <c r="GWM507" s="311"/>
      <c r="GWN507" s="325"/>
      <c r="GWO507" s="310"/>
      <c r="GWP507" s="325"/>
      <c r="GWQ507" s="325"/>
      <c r="GWR507" s="325"/>
      <c r="GWS507" s="325"/>
      <c r="GWT507" s="325"/>
      <c r="GWU507" s="325"/>
      <c r="GWV507" s="325"/>
      <c r="GWW507" s="325"/>
      <c r="GWX507" s="325"/>
      <c r="GWY507" s="325"/>
      <c r="GWZ507" s="325"/>
      <c r="GXA507" s="325"/>
      <c r="GXB507" s="325"/>
      <c r="GXC507" s="325"/>
      <c r="GXD507" s="325"/>
      <c r="GXE507" s="325"/>
      <c r="GXF507" s="325"/>
      <c r="GXG507" s="325"/>
      <c r="GXH507" s="325"/>
      <c r="GXI507" s="325"/>
      <c r="GXJ507" s="325"/>
      <c r="GXK507" s="325"/>
      <c r="GXL507" s="325"/>
      <c r="GXM507" s="325"/>
      <c r="GXN507" s="325"/>
      <c r="GXO507" s="325"/>
      <c r="GXP507" s="325"/>
      <c r="GXQ507" s="325"/>
      <c r="GXR507" s="325"/>
      <c r="GXS507" s="325"/>
      <c r="GXT507" s="327"/>
      <c r="GXU507" s="28"/>
      <c r="GXV507" s="324"/>
      <c r="GXW507" s="324"/>
      <c r="GXX507" s="324"/>
      <c r="GXY507" s="324"/>
      <c r="GXZ507" s="324"/>
      <c r="GYA507" s="324"/>
      <c r="GYB507" s="256"/>
      <c r="GYC507" s="325"/>
      <c r="GYD507" s="311"/>
      <c r="GYE507" s="325"/>
      <c r="GYF507" s="310"/>
      <c r="GYG507" s="325"/>
      <c r="GYH507" s="325"/>
      <c r="GYI507" s="325"/>
      <c r="GYJ507" s="325"/>
      <c r="GYK507" s="325"/>
      <c r="GYL507" s="325"/>
      <c r="GYM507" s="325"/>
      <c r="GYN507" s="325"/>
      <c r="GYO507" s="325"/>
      <c r="GYP507" s="325"/>
      <c r="GYQ507" s="325"/>
      <c r="GYR507" s="325"/>
      <c r="GYS507" s="325"/>
      <c r="GYT507" s="325"/>
      <c r="GYU507" s="325"/>
      <c r="GYV507" s="325"/>
      <c r="GYW507" s="325"/>
      <c r="GYX507" s="325"/>
      <c r="GYY507" s="325"/>
      <c r="GYZ507" s="325"/>
      <c r="GZA507" s="325"/>
      <c r="GZB507" s="325"/>
      <c r="GZC507" s="325"/>
      <c r="GZD507" s="325"/>
      <c r="GZE507" s="325"/>
      <c r="GZF507" s="325"/>
      <c r="GZG507" s="325"/>
      <c r="GZH507" s="325"/>
      <c r="GZI507" s="325"/>
      <c r="GZJ507" s="325"/>
      <c r="GZK507" s="327"/>
      <c r="GZL507" s="28"/>
      <c r="GZM507" s="324"/>
      <c r="GZN507" s="324"/>
      <c r="GZO507" s="324"/>
      <c r="GZP507" s="324"/>
      <c r="GZQ507" s="324"/>
      <c r="GZR507" s="324"/>
      <c r="GZS507" s="256"/>
      <c r="GZT507" s="325"/>
      <c r="GZU507" s="311"/>
      <c r="GZV507" s="325"/>
      <c r="GZW507" s="310"/>
      <c r="GZX507" s="325"/>
      <c r="GZY507" s="325"/>
      <c r="GZZ507" s="325"/>
      <c r="HAA507" s="325"/>
      <c r="HAB507" s="325"/>
      <c r="HAC507" s="325"/>
      <c r="HAD507" s="325"/>
      <c r="HAE507" s="325"/>
      <c r="HAF507" s="325"/>
      <c r="HAG507" s="325"/>
      <c r="HAH507" s="325"/>
      <c r="HAI507" s="325"/>
      <c r="HAJ507" s="325"/>
      <c r="HAK507" s="325"/>
      <c r="HAL507" s="325"/>
      <c r="HAM507" s="325"/>
      <c r="HAN507" s="325"/>
      <c r="HAO507" s="325"/>
      <c r="HAP507" s="325"/>
      <c r="HAQ507" s="325"/>
      <c r="HAR507" s="325"/>
      <c r="HAS507" s="325"/>
      <c r="HAT507" s="325"/>
      <c r="HAU507" s="325"/>
      <c r="HAV507" s="325"/>
      <c r="HAW507" s="325"/>
      <c r="HAX507" s="325"/>
      <c r="HAY507" s="325"/>
      <c r="HAZ507" s="325"/>
      <c r="HBA507" s="325"/>
      <c r="HBB507" s="327"/>
      <c r="HBC507" s="28"/>
      <c r="HBD507" s="324"/>
      <c r="HBE507" s="324"/>
      <c r="HBF507" s="324"/>
      <c r="HBG507" s="324"/>
      <c r="HBH507" s="324"/>
      <c r="HBI507" s="324"/>
      <c r="HBJ507" s="256"/>
      <c r="HBK507" s="325"/>
      <c r="HBL507" s="311"/>
      <c r="HBM507" s="325"/>
      <c r="HBN507" s="310"/>
      <c r="HBO507" s="325"/>
      <c r="HBP507" s="325"/>
      <c r="HBQ507" s="325"/>
      <c r="HBR507" s="325"/>
      <c r="HBS507" s="325"/>
      <c r="HBT507" s="325"/>
      <c r="HBU507" s="325"/>
      <c r="HBV507" s="325"/>
      <c r="HBW507" s="325"/>
      <c r="HBX507" s="325"/>
      <c r="HBY507" s="325"/>
      <c r="HBZ507" s="325"/>
      <c r="HCA507" s="325"/>
      <c r="HCB507" s="325"/>
      <c r="HCC507" s="325"/>
      <c r="HCD507" s="325"/>
      <c r="HCE507" s="325"/>
      <c r="HCF507" s="325"/>
      <c r="HCG507" s="325"/>
      <c r="HCH507" s="325"/>
      <c r="HCI507" s="325"/>
      <c r="HCJ507" s="325"/>
      <c r="HCK507" s="325"/>
      <c r="HCL507" s="325"/>
      <c r="HCM507" s="325"/>
      <c r="HCN507" s="325"/>
      <c r="HCO507" s="325"/>
      <c r="HCP507" s="325"/>
      <c r="HCQ507" s="325"/>
      <c r="HCR507" s="325"/>
      <c r="HCS507" s="327"/>
      <c r="HCT507" s="28"/>
      <c r="HCU507" s="324"/>
      <c r="HCV507" s="324"/>
      <c r="HCW507" s="324"/>
      <c r="HCX507" s="324"/>
      <c r="HCY507" s="324"/>
      <c r="HCZ507" s="324"/>
      <c r="HDA507" s="256"/>
      <c r="HDB507" s="325"/>
      <c r="HDC507" s="311"/>
      <c r="HDD507" s="325"/>
      <c r="HDE507" s="310"/>
      <c r="HDF507" s="325"/>
      <c r="HDG507" s="325"/>
      <c r="HDH507" s="325"/>
      <c r="HDI507" s="325"/>
      <c r="HDJ507" s="325"/>
      <c r="HDK507" s="325"/>
      <c r="HDL507" s="325"/>
      <c r="HDM507" s="325"/>
      <c r="HDN507" s="325"/>
      <c r="HDO507" s="325"/>
      <c r="HDP507" s="325"/>
      <c r="HDQ507" s="325"/>
      <c r="HDR507" s="325"/>
      <c r="HDS507" s="325"/>
      <c r="HDT507" s="325"/>
      <c r="HDU507" s="325"/>
      <c r="HDV507" s="325"/>
      <c r="HDW507" s="325"/>
      <c r="HDX507" s="325"/>
      <c r="HDY507" s="325"/>
      <c r="HDZ507" s="325"/>
      <c r="HEA507" s="325"/>
      <c r="HEB507" s="325"/>
      <c r="HEC507" s="325"/>
      <c r="HED507" s="325"/>
      <c r="HEE507" s="325"/>
      <c r="HEF507" s="325"/>
      <c r="HEG507" s="325"/>
      <c r="HEH507" s="325"/>
      <c r="HEI507" s="325"/>
      <c r="HEJ507" s="327"/>
      <c r="HEK507" s="28"/>
      <c r="HEL507" s="324"/>
      <c r="HEM507" s="324"/>
      <c r="HEN507" s="324"/>
      <c r="HEO507" s="324"/>
      <c r="HEP507" s="324"/>
      <c r="HEQ507" s="324"/>
      <c r="HER507" s="256"/>
      <c r="HES507" s="325"/>
      <c r="HET507" s="311"/>
      <c r="HEU507" s="325"/>
      <c r="HEV507" s="310"/>
      <c r="HEW507" s="325"/>
      <c r="HEX507" s="325"/>
      <c r="HEY507" s="325"/>
      <c r="HEZ507" s="325"/>
      <c r="HFA507" s="325"/>
      <c r="HFB507" s="325"/>
      <c r="HFC507" s="325"/>
      <c r="HFD507" s="325"/>
      <c r="HFE507" s="325"/>
      <c r="HFF507" s="325"/>
      <c r="HFG507" s="325"/>
      <c r="HFH507" s="325"/>
      <c r="HFI507" s="325"/>
      <c r="HFJ507" s="325"/>
      <c r="HFK507" s="325"/>
      <c r="HFL507" s="325"/>
      <c r="HFM507" s="325"/>
      <c r="HFN507" s="325"/>
      <c r="HFO507" s="325"/>
      <c r="HFP507" s="325"/>
      <c r="HFQ507" s="325"/>
      <c r="HFR507" s="325"/>
      <c r="HFS507" s="325"/>
      <c r="HFT507" s="325"/>
      <c r="HFU507" s="325"/>
      <c r="HFV507" s="325"/>
      <c r="HFW507" s="325"/>
      <c r="HFX507" s="325"/>
      <c r="HFY507" s="325"/>
      <c r="HFZ507" s="325"/>
      <c r="HGA507" s="327"/>
      <c r="HGB507" s="28"/>
      <c r="HGC507" s="324"/>
      <c r="HGD507" s="324"/>
      <c r="HGE507" s="324"/>
      <c r="HGF507" s="324"/>
      <c r="HGG507" s="324"/>
      <c r="HGH507" s="324"/>
      <c r="HGI507" s="256"/>
      <c r="HGJ507" s="325"/>
      <c r="HGK507" s="311"/>
      <c r="HGL507" s="325"/>
      <c r="HGM507" s="310"/>
      <c r="HGN507" s="325"/>
      <c r="HGO507" s="325"/>
      <c r="HGP507" s="325"/>
      <c r="HGQ507" s="325"/>
      <c r="HGR507" s="325"/>
      <c r="HGS507" s="325"/>
      <c r="HGT507" s="325"/>
      <c r="HGU507" s="325"/>
      <c r="HGV507" s="325"/>
      <c r="HGW507" s="325"/>
      <c r="HGX507" s="325"/>
      <c r="HGY507" s="325"/>
      <c r="HGZ507" s="325"/>
      <c r="HHA507" s="325"/>
      <c r="HHB507" s="325"/>
      <c r="HHC507" s="325"/>
      <c r="HHD507" s="325"/>
      <c r="HHE507" s="325"/>
      <c r="HHF507" s="325"/>
      <c r="HHG507" s="325"/>
      <c r="HHH507" s="325"/>
      <c r="HHI507" s="325"/>
      <c r="HHJ507" s="325"/>
      <c r="HHK507" s="325"/>
      <c r="HHL507" s="325"/>
      <c r="HHM507" s="325"/>
      <c r="HHN507" s="325"/>
      <c r="HHO507" s="325"/>
      <c r="HHP507" s="325"/>
      <c r="HHQ507" s="325"/>
      <c r="HHR507" s="327"/>
      <c r="HHS507" s="28"/>
      <c r="HHT507" s="324"/>
      <c r="HHU507" s="324"/>
      <c r="HHV507" s="324"/>
      <c r="HHW507" s="324"/>
      <c r="HHX507" s="324"/>
      <c r="HHY507" s="324"/>
      <c r="HHZ507" s="256"/>
      <c r="HIA507" s="325"/>
      <c r="HIB507" s="311"/>
      <c r="HIC507" s="325"/>
      <c r="HID507" s="310"/>
      <c r="HIE507" s="325"/>
      <c r="HIF507" s="325"/>
      <c r="HIG507" s="325"/>
      <c r="HIH507" s="325"/>
      <c r="HII507" s="325"/>
      <c r="HIJ507" s="325"/>
      <c r="HIK507" s="325"/>
      <c r="HIL507" s="325"/>
      <c r="HIM507" s="325"/>
      <c r="HIN507" s="325"/>
      <c r="HIO507" s="325"/>
      <c r="HIP507" s="325"/>
      <c r="HIQ507" s="325"/>
      <c r="HIR507" s="325"/>
      <c r="HIS507" s="325"/>
      <c r="HIT507" s="325"/>
      <c r="HIU507" s="325"/>
      <c r="HIV507" s="325"/>
      <c r="HIW507" s="325"/>
      <c r="HIX507" s="325"/>
      <c r="HIY507" s="325"/>
      <c r="HIZ507" s="325"/>
      <c r="HJA507" s="325"/>
      <c r="HJB507" s="325"/>
      <c r="HJC507" s="325"/>
      <c r="HJD507" s="325"/>
      <c r="HJE507" s="325"/>
      <c r="HJF507" s="325"/>
      <c r="HJG507" s="325"/>
      <c r="HJH507" s="325"/>
      <c r="HJI507" s="327"/>
      <c r="HJJ507" s="28"/>
      <c r="HJK507" s="324"/>
      <c r="HJL507" s="324"/>
      <c r="HJM507" s="324"/>
      <c r="HJN507" s="324"/>
      <c r="HJO507" s="324"/>
      <c r="HJP507" s="324"/>
      <c r="HJQ507" s="256"/>
      <c r="HJR507" s="325"/>
      <c r="HJS507" s="311"/>
      <c r="HJT507" s="325"/>
      <c r="HJU507" s="310"/>
      <c r="HJV507" s="325"/>
      <c r="HJW507" s="325"/>
      <c r="HJX507" s="325"/>
      <c r="HJY507" s="325"/>
      <c r="HJZ507" s="325"/>
      <c r="HKA507" s="325"/>
      <c r="HKB507" s="325"/>
      <c r="HKC507" s="325"/>
      <c r="HKD507" s="325"/>
      <c r="HKE507" s="325"/>
      <c r="HKF507" s="325"/>
      <c r="HKG507" s="325"/>
      <c r="HKH507" s="325"/>
      <c r="HKI507" s="325"/>
      <c r="HKJ507" s="325"/>
      <c r="HKK507" s="325"/>
      <c r="HKL507" s="325"/>
      <c r="HKM507" s="325"/>
      <c r="HKN507" s="325"/>
      <c r="HKO507" s="325"/>
      <c r="HKP507" s="325"/>
      <c r="HKQ507" s="325"/>
      <c r="HKR507" s="325"/>
      <c r="HKS507" s="325"/>
      <c r="HKT507" s="325"/>
      <c r="HKU507" s="325"/>
      <c r="HKV507" s="325"/>
      <c r="HKW507" s="325"/>
      <c r="HKX507" s="325"/>
      <c r="HKY507" s="325"/>
      <c r="HKZ507" s="327"/>
      <c r="HLA507" s="28"/>
      <c r="HLB507" s="324"/>
      <c r="HLC507" s="324"/>
      <c r="HLD507" s="324"/>
      <c r="HLE507" s="324"/>
      <c r="HLF507" s="324"/>
      <c r="HLG507" s="324"/>
      <c r="HLH507" s="256"/>
      <c r="HLI507" s="325"/>
      <c r="HLJ507" s="311"/>
      <c r="HLK507" s="325"/>
      <c r="HLL507" s="310"/>
      <c r="HLM507" s="325"/>
      <c r="HLN507" s="325"/>
      <c r="HLO507" s="325"/>
      <c r="HLP507" s="325"/>
      <c r="HLQ507" s="325"/>
      <c r="HLR507" s="325"/>
      <c r="HLS507" s="325"/>
      <c r="HLT507" s="325"/>
      <c r="HLU507" s="325"/>
      <c r="HLV507" s="325"/>
      <c r="HLW507" s="325"/>
      <c r="HLX507" s="325"/>
      <c r="HLY507" s="325"/>
      <c r="HLZ507" s="325"/>
      <c r="HMA507" s="325"/>
      <c r="HMB507" s="325"/>
      <c r="HMC507" s="325"/>
      <c r="HMD507" s="325"/>
      <c r="HME507" s="325"/>
      <c r="HMF507" s="325"/>
      <c r="HMG507" s="325"/>
      <c r="HMH507" s="325"/>
      <c r="HMI507" s="325"/>
      <c r="HMJ507" s="325"/>
      <c r="HMK507" s="325"/>
      <c r="HML507" s="325"/>
      <c r="HMM507" s="325"/>
      <c r="HMN507" s="325"/>
      <c r="HMO507" s="325"/>
      <c r="HMP507" s="325"/>
      <c r="HMQ507" s="327"/>
      <c r="HMR507" s="28"/>
      <c r="HMS507" s="324"/>
      <c r="HMT507" s="324"/>
      <c r="HMU507" s="324"/>
      <c r="HMV507" s="324"/>
      <c r="HMW507" s="324"/>
      <c r="HMX507" s="324"/>
      <c r="HMY507" s="256"/>
      <c r="HMZ507" s="325"/>
      <c r="HNA507" s="311"/>
      <c r="HNB507" s="325"/>
      <c r="HNC507" s="310"/>
      <c r="HND507" s="325"/>
      <c r="HNE507" s="325"/>
      <c r="HNF507" s="325"/>
      <c r="HNG507" s="325"/>
      <c r="HNH507" s="325"/>
      <c r="HNI507" s="325"/>
      <c r="HNJ507" s="325"/>
      <c r="HNK507" s="325"/>
      <c r="HNL507" s="325"/>
      <c r="HNM507" s="325"/>
      <c r="HNN507" s="325"/>
      <c r="HNO507" s="325"/>
      <c r="HNP507" s="325"/>
      <c r="HNQ507" s="325"/>
      <c r="HNR507" s="325"/>
      <c r="HNS507" s="325"/>
      <c r="HNT507" s="325"/>
      <c r="HNU507" s="325"/>
      <c r="HNV507" s="325"/>
      <c r="HNW507" s="325"/>
      <c r="HNX507" s="325"/>
      <c r="HNY507" s="325"/>
      <c r="HNZ507" s="325"/>
      <c r="HOA507" s="325"/>
      <c r="HOB507" s="325"/>
      <c r="HOC507" s="325"/>
      <c r="HOD507" s="325"/>
      <c r="HOE507" s="325"/>
      <c r="HOF507" s="325"/>
      <c r="HOG507" s="325"/>
      <c r="HOH507" s="327"/>
      <c r="HOI507" s="28"/>
      <c r="HOJ507" s="324"/>
      <c r="HOK507" s="324"/>
      <c r="HOL507" s="324"/>
      <c r="HOM507" s="324"/>
      <c r="HON507" s="324"/>
      <c r="HOO507" s="324"/>
      <c r="HOP507" s="256"/>
      <c r="HOQ507" s="325"/>
      <c r="HOR507" s="311"/>
      <c r="HOS507" s="325"/>
      <c r="HOT507" s="310"/>
      <c r="HOU507" s="325"/>
      <c r="HOV507" s="325"/>
      <c r="HOW507" s="325"/>
      <c r="HOX507" s="325"/>
      <c r="HOY507" s="325"/>
      <c r="HOZ507" s="325"/>
      <c r="HPA507" s="325"/>
      <c r="HPB507" s="325"/>
      <c r="HPC507" s="325"/>
      <c r="HPD507" s="325"/>
      <c r="HPE507" s="325"/>
      <c r="HPF507" s="325"/>
      <c r="HPG507" s="325"/>
      <c r="HPH507" s="325"/>
      <c r="HPI507" s="325"/>
      <c r="HPJ507" s="325"/>
      <c r="HPK507" s="325"/>
      <c r="HPL507" s="325"/>
      <c r="HPM507" s="325"/>
      <c r="HPN507" s="325"/>
      <c r="HPO507" s="325"/>
      <c r="HPP507" s="325"/>
      <c r="HPQ507" s="325"/>
      <c r="HPR507" s="325"/>
      <c r="HPS507" s="325"/>
      <c r="HPT507" s="325"/>
      <c r="HPU507" s="325"/>
      <c r="HPV507" s="325"/>
      <c r="HPW507" s="325"/>
      <c r="HPX507" s="325"/>
      <c r="HPY507" s="327"/>
      <c r="HPZ507" s="28"/>
      <c r="HQA507" s="324"/>
      <c r="HQB507" s="324"/>
      <c r="HQC507" s="324"/>
      <c r="HQD507" s="324"/>
      <c r="HQE507" s="324"/>
      <c r="HQF507" s="324"/>
      <c r="HQG507" s="256"/>
      <c r="HQH507" s="325"/>
      <c r="HQI507" s="311"/>
      <c r="HQJ507" s="325"/>
      <c r="HQK507" s="310"/>
      <c r="HQL507" s="325"/>
      <c r="HQM507" s="325"/>
      <c r="HQN507" s="325"/>
      <c r="HQO507" s="325"/>
      <c r="HQP507" s="325"/>
      <c r="HQQ507" s="325"/>
      <c r="HQR507" s="325"/>
      <c r="HQS507" s="325"/>
      <c r="HQT507" s="325"/>
      <c r="HQU507" s="325"/>
      <c r="HQV507" s="325"/>
      <c r="HQW507" s="325"/>
      <c r="HQX507" s="325"/>
      <c r="HQY507" s="325"/>
      <c r="HQZ507" s="325"/>
      <c r="HRA507" s="325"/>
      <c r="HRB507" s="325"/>
      <c r="HRC507" s="325"/>
      <c r="HRD507" s="325"/>
      <c r="HRE507" s="325"/>
      <c r="HRF507" s="325"/>
      <c r="HRG507" s="325"/>
      <c r="HRH507" s="325"/>
      <c r="HRI507" s="325"/>
      <c r="HRJ507" s="325"/>
      <c r="HRK507" s="325"/>
      <c r="HRL507" s="325"/>
      <c r="HRM507" s="325"/>
      <c r="HRN507" s="325"/>
      <c r="HRO507" s="325"/>
      <c r="HRP507" s="327"/>
      <c r="HRQ507" s="28"/>
      <c r="HRR507" s="324"/>
      <c r="HRS507" s="324"/>
      <c r="HRT507" s="324"/>
      <c r="HRU507" s="324"/>
      <c r="HRV507" s="324"/>
      <c r="HRW507" s="324"/>
      <c r="HRX507" s="256"/>
      <c r="HRY507" s="325"/>
      <c r="HRZ507" s="311"/>
      <c r="HSA507" s="325"/>
      <c r="HSB507" s="310"/>
      <c r="HSC507" s="325"/>
      <c r="HSD507" s="325"/>
      <c r="HSE507" s="325"/>
      <c r="HSF507" s="325"/>
      <c r="HSG507" s="325"/>
      <c r="HSH507" s="325"/>
      <c r="HSI507" s="325"/>
      <c r="HSJ507" s="325"/>
      <c r="HSK507" s="325"/>
      <c r="HSL507" s="325"/>
      <c r="HSM507" s="325"/>
      <c r="HSN507" s="325"/>
      <c r="HSO507" s="325"/>
      <c r="HSP507" s="325"/>
      <c r="HSQ507" s="325"/>
      <c r="HSR507" s="325"/>
      <c r="HSS507" s="325"/>
      <c r="HST507" s="325"/>
      <c r="HSU507" s="325"/>
      <c r="HSV507" s="325"/>
      <c r="HSW507" s="325"/>
      <c r="HSX507" s="325"/>
      <c r="HSY507" s="325"/>
      <c r="HSZ507" s="325"/>
      <c r="HTA507" s="325"/>
      <c r="HTB507" s="325"/>
      <c r="HTC507" s="325"/>
      <c r="HTD507" s="325"/>
      <c r="HTE507" s="325"/>
      <c r="HTF507" s="325"/>
      <c r="HTG507" s="327"/>
      <c r="HTH507" s="28"/>
      <c r="HTI507" s="324"/>
      <c r="HTJ507" s="324"/>
      <c r="HTK507" s="324"/>
      <c r="HTL507" s="324"/>
      <c r="HTM507" s="324"/>
      <c r="HTN507" s="324"/>
      <c r="HTO507" s="256"/>
      <c r="HTP507" s="325"/>
      <c r="HTQ507" s="311"/>
      <c r="HTR507" s="325"/>
      <c r="HTS507" s="310"/>
      <c r="HTT507" s="325"/>
      <c r="HTU507" s="325"/>
      <c r="HTV507" s="325"/>
      <c r="HTW507" s="325"/>
      <c r="HTX507" s="325"/>
      <c r="HTY507" s="325"/>
      <c r="HTZ507" s="325"/>
      <c r="HUA507" s="325"/>
      <c r="HUB507" s="325"/>
      <c r="HUC507" s="325"/>
      <c r="HUD507" s="325"/>
      <c r="HUE507" s="325"/>
      <c r="HUF507" s="325"/>
      <c r="HUG507" s="325"/>
      <c r="HUH507" s="325"/>
      <c r="HUI507" s="325"/>
      <c r="HUJ507" s="325"/>
      <c r="HUK507" s="325"/>
      <c r="HUL507" s="325"/>
      <c r="HUM507" s="325"/>
      <c r="HUN507" s="325"/>
      <c r="HUO507" s="325"/>
      <c r="HUP507" s="325"/>
      <c r="HUQ507" s="325"/>
      <c r="HUR507" s="325"/>
      <c r="HUS507" s="325"/>
      <c r="HUT507" s="325"/>
      <c r="HUU507" s="325"/>
      <c r="HUV507" s="325"/>
      <c r="HUW507" s="325"/>
      <c r="HUX507" s="327"/>
      <c r="HUY507" s="28"/>
      <c r="HUZ507" s="324"/>
      <c r="HVA507" s="324"/>
      <c r="HVB507" s="324"/>
      <c r="HVC507" s="324"/>
      <c r="HVD507" s="324"/>
      <c r="HVE507" s="324"/>
      <c r="HVF507" s="256"/>
      <c r="HVG507" s="325"/>
      <c r="HVH507" s="311"/>
      <c r="HVI507" s="325"/>
      <c r="HVJ507" s="310"/>
      <c r="HVK507" s="325"/>
      <c r="HVL507" s="325"/>
      <c r="HVM507" s="325"/>
      <c r="HVN507" s="325"/>
      <c r="HVO507" s="325"/>
      <c r="HVP507" s="325"/>
      <c r="HVQ507" s="325"/>
      <c r="HVR507" s="325"/>
      <c r="HVS507" s="325"/>
      <c r="HVT507" s="325"/>
      <c r="HVU507" s="325"/>
      <c r="HVV507" s="325"/>
      <c r="HVW507" s="325"/>
      <c r="HVX507" s="325"/>
      <c r="HVY507" s="325"/>
      <c r="HVZ507" s="325"/>
      <c r="HWA507" s="325"/>
      <c r="HWB507" s="325"/>
      <c r="HWC507" s="325"/>
      <c r="HWD507" s="325"/>
      <c r="HWE507" s="325"/>
      <c r="HWF507" s="325"/>
      <c r="HWG507" s="325"/>
      <c r="HWH507" s="325"/>
      <c r="HWI507" s="325"/>
      <c r="HWJ507" s="325"/>
      <c r="HWK507" s="325"/>
      <c r="HWL507" s="325"/>
      <c r="HWM507" s="325"/>
      <c r="HWN507" s="325"/>
      <c r="HWO507" s="327"/>
      <c r="HWP507" s="28"/>
      <c r="HWQ507" s="324"/>
      <c r="HWR507" s="324"/>
      <c r="HWS507" s="324"/>
      <c r="HWT507" s="324"/>
      <c r="HWU507" s="324"/>
      <c r="HWV507" s="324"/>
      <c r="HWW507" s="256"/>
      <c r="HWX507" s="325"/>
      <c r="HWY507" s="311"/>
      <c r="HWZ507" s="325"/>
      <c r="HXA507" s="310"/>
      <c r="HXB507" s="325"/>
      <c r="HXC507" s="325"/>
      <c r="HXD507" s="325"/>
      <c r="HXE507" s="325"/>
      <c r="HXF507" s="325"/>
      <c r="HXG507" s="325"/>
      <c r="HXH507" s="325"/>
      <c r="HXI507" s="325"/>
      <c r="HXJ507" s="325"/>
      <c r="HXK507" s="325"/>
      <c r="HXL507" s="325"/>
      <c r="HXM507" s="325"/>
      <c r="HXN507" s="325"/>
      <c r="HXO507" s="325"/>
      <c r="HXP507" s="325"/>
      <c r="HXQ507" s="325"/>
      <c r="HXR507" s="325"/>
      <c r="HXS507" s="325"/>
      <c r="HXT507" s="325"/>
      <c r="HXU507" s="325"/>
      <c r="HXV507" s="325"/>
      <c r="HXW507" s="325"/>
      <c r="HXX507" s="325"/>
      <c r="HXY507" s="325"/>
      <c r="HXZ507" s="325"/>
      <c r="HYA507" s="325"/>
      <c r="HYB507" s="325"/>
      <c r="HYC507" s="325"/>
      <c r="HYD507" s="325"/>
      <c r="HYE507" s="325"/>
      <c r="HYF507" s="327"/>
      <c r="HYG507" s="28"/>
      <c r="HYH507" s="324"/>
      <c r="HYI507" s="324"/>
      <c r="HYJ507" s="324"/>
      <c r="HYK507" s="324"/>
      <c r="HYL507" s="324"/>
      <c r="HYM507" s="324"/>
      <c r="HYN507" s="256"/>
      <c r="HYO507" s="325"/>
      <c r="HYP507" s="311"/>
      <c r="HYQ507" s="325"/>
      <c r="HYR507" s="310"/>
      <c r="HYS507" s="325"/>
      <c r="HYT507" s="325"/>
      <c r="HYU507" s="325"/>
      <c r="HYV507" s="325"/>
      <c r="HYW507" s="325"/>
      <c r="HYX507" s="325"/>
      <c r="HYY507" s="325"/>
      <c r="HYZ507" s="325"/>
      <c r="HZA507" s="325"/>
      <c r="HZB507" s="325"/>
      <c r="HZC507" s="325"/>
      <c r="HZD507" s="325"/>
      <c r="HZE507" s="325"/>
      <c r="HZF507" s="325"/>
      <c r="HZG507" s="325"/>
      <c r="HZH507" s="325"/>
      <c r="HZI507" s="325"/>
      <c r="HZJ507" s="325"/>
      <c r="HZK507" s="325"/>
      <c r="HZL507" s="325"/>
      <c r="HZM507" s="325"/>
      <c r="HZN507" s="325"/>
      <c r="HZO507" s="325"/>
      <c r="HZP507" s="325"/>
      <c r="HZQ507" s="325"/>
      <c r="HZR507" s="325"/>
      <c r="HZS507" s="325"/>
      <c r="HZT507" s="325"/>
      <c r="HZU507" s="325"/>
      <c r="HZV507" s="325"/>
      <c r="HZW507" s="327"/>
      <c r="HZX507" s="28"/>
      <c r="HZY507" s="324"/>
      <c r="HZZ507" s="324"/>
      <c r="IAA507" s="324"/>
      <c r="IAB507" s="324"/>
      <c r="IAC507" s="324"/>
      <c r="IAD507" s="324"/>
      <c r="IAE507" s="256"/>
      <c r="IAF507" s="325"/>
      <c r="IAG507" s="311"/>
      <c r="IAH507" s="325"/>
      <c r="IAI507" s="310"/>
      <c r="IAJ507" s="325"/>
      <c r="IAK507" s="325"/>
      <c r="IAL507" s="325"/>
      <c r="IAM507" s="325"/>
      <c r="IAN507" s="325"/>
      <c r="IAO507" s="325"/>
      <c r="IAP507" s="325"/>
      <c r="IAQ507" s="325"/>
      <c r="IAR507" s="325"/>
      <c r="IAS507" s="325"/>
      <c r="IAT507" s="325"/>
      <c r="IAU507" s="325"/>
      <c r="IAV507" s="325"/>
      <c r="IAW507" s="325"/>
      <c r="IAX507" s="325"/>
      <c r="IAY507" s="325"/>
      <c r="IAZ507" s="325"/>
      <c r="IBA507" s="325"/>
      <c r="IBB507" s="325"/>
      <c r="IBC507" s="325"/>
      <c r="IBD507" s="325"/>
      <c r="IBE507" s="325"/>
      <c r="IBF507" s="325"/>
      <c r="IBG507" s="325"/>
      <c r="IBH507" s="325"/>
      <c r="IBI507" s="325"/>
      <c r="IBJ507" s="325"/>
      <c r="IBK507" s="325"/>
      <c r="IBL507" s="325"/>
      <c r="IBM507" s="325"/>
      <c r="IBN507" s="327"/>
      <c r="IBO507" s="28"/>
      <c r="IBP507" s="324"/>
      <c r="IBQ507" s="324"/>
      <c r="IBR507" s="324"/>
      <c r="IBS507" s="324"/>
      <c r="IBT507" s="324"/>
      <c r="IBU507" s="324"/>
      <c r="IBV507" s="256"/>
      <c r="IBW507" s="325"/>
      <c r="IBX507" s="311"/>
      <c r="IBY507" s="325"/>
      <c r="IBZ507" s="310"/>
      <c r="ICA507" s="325"/>
      <c r="ICB507" s="325"/>
      <c r="ICC507" s="325"/>
      <c r="ICD507" s="325"/>
      <c r="ICE507" s="325"/>
      <c r="ICF507" s="325"/>
      <c r="ICG507" s="325"/>
      <c r="ICH507" s="325"/>
      <c r="ICI507" s="325"/>
      <c r="ICJ507" s="325"/>
      <c r="ICK507" s="325"/>
      <c r="ICL507" s="325"/>
      <c r="ICM507" s="325"/>
      <c r="ICN507" s="325"/>
      <c r="ICO507" s="325"/>
      <c r="ICP507" s="325"/>
      <c r="ICQ507" s="325"/>
      <c r="ICR507" s="325"/>
      <c r="ICS507" s="325"/>
      <c r="ICT507" s="325"/>
      <c r="ICU507" s="325"/>
      <c r="ICV507" s="325"/>
      <c r="ICW507" s="325"/>
      <c r="ICX507" s="325"/>
      <c r="ICY507" s="325"/>
      <c r="ICZ507" s="325"/>
      <c r="IDA507" s="325"/>
      <c r="IDB507" s="325"/>
      <c r="IDC507" s="325"/>
      <c r="IDD507" s="325"/>
      <c r="IDE507" s="327"/>
      <c r="IDF507" s="28"/>
      <c r="IDG507" s="324"/>
      <c r="IDH507" s="324"/>
      <c r="IDI507" s="324"/>
      <c r="IDJ507" s="324"/>
      <c r="IDK507" s="324"/>
      <c r="IDL507" s="324"/>
      <c r="IDM507" s="256"/>
      <c r="IDN507" s="325"/>
      <c r="IDO507" s="311"/>
      <c r="IDP507" s="325"/>
      <c r="IDQ507" s="310"/>
      <c r="IDR507" s="325"/>
      <c r="IDS507" s="325"/>
      <c r="IDT507" s="325"/>
      <c r="IDU507" s="325"/>
      <c r="IDV507" s="325"/>
      <c r="IDW507" s="325"/>
      <c r="IDX507" s="325"/>
      <c r="IDY507" s="325"/>
      <c r="IDZ507" s="325"/>
      <c r="IEA507" s="325"/>
      <c r="IEB507" s="325"/>
      <c r="IEC507" s="325"/>
      <c r="IED507" s="325"/>
      <c r="IEE507" s="325"/>
      <c r="IEF507" s="325"/>
      <c r="IEG507" s="325"/>
      <c r="IEH507" s="325"/>
      <c r="IEI507" s="325"/>
      <c r="IEJ507" s="325"/>
      <c r="IEK507" s="325"/>
      <c r="IEL507" s="325"/>
      <c r="IEM507" s="325"/>
      <c r="IEN507" s="325"/>
      <c r="IEO507" s="325"/>
      <c r="IEP507" s="325"/>
      <c r="IEQ507" s="325"/>
      <c r="IER507" s="325"/>
      <c r="IES507" s="325"/>
      <c r="IET507" s="325"/>
      <c r="IEU507" s="325"/>
      <c r="IEV507" s="327"/>
      <c r="IEW507" s="28"/>
      <c r="IEX507" s="324"/>
      <c r="IEY507" s="324"/>
      <c r="IEZ507" s="324"/>
      <c r="IFA507" s="324"/>
      <c r="IFB507" s="324"/>
      <c r="IFC507" s="324"/>
      <c r="IFD507" s="256"/>
      <c r="IFE507" s="325"/>
      <c r="IFF507" s="311"/>
      <c r="IFG507" s="325"/>
      <c r="IFH507" s="310"/>
      <c r="IFI507" s="325"/>
      <c r="IFJ507" s="325"/>
      <c r="IFK507" s="325"/>
      <c r="IFL507" s="325"/>
      <c r="IFM507" s="325"/>
      <c r="IFN507" s="325"/>
      <c r="IFO507" s="325"/>
      <c r="IFP507" s="325"/>
      <c r="IFQ507" s="325"/>
      <c r="IFR507" s="325"/>
      <c r="IFS507" s="325"/>
      <c r="IFT507" s="325"/>
      <c r="IFU507" s="325"/>
      <c r="IFV507" s="325"/>
      <c r="IFW507" s="325"/>
      <c r="IFX507" s="325"/>
      <c r="IFY507" s="325"/>
      <c r="IFZ507" s="325"/>
      <c r="IGA507" s="325"/>
      <c r="IGB507" s="325"/>
      <c r="IGC507" s="325"/>
      <c r="IGD507" s="325"/>
      <c r="IGE507" s="325"/>
      <c r="IGF507" s="325"/>
      <c r="IGG507" s="325"/>
      <c r="IGH507" s="325"/>
      <c r="IGI507" s="325"/>
      <c r="IGJ507" s="325"/>
      <c r="IGK507" s="325"/>
      <c r="IGL507" s="325"/>
      <c r="IGM507" s="327"/>
      <c r="IGN507" s="28"/>
      <c r="IGO507" s="324"/>
      <c r="IGP507" s="324"/>
      <c r="IGQ507" s="324"/>
      <c r="IGR507" s="324"/>
      <c r="IGS507" s="324"/>
      <c r="IGT507" s="324"/>
      <c r="IGU507" s="256"/>
      <c r="IGV507" s="325"/>
      <c r="IGW507" s="311"/>
      <c r="IGX507" s="325"/>
      <c r="IGY507" s="310"/>
      <c r="IGZ507" s="325"/>
      <c r="IHA507" s="325"/>
      <c r="IHB507" s="325"/>
      <c r="IHC507" s="325"/>
      <c r="IHD507" s="325"/>
      <c r="IHE507" s="325"/>
      <c r="IHF507" s="325"/>
      <c r="IHG507" s="325"/>
      <c r="IHH507" s="325"/>
      <c r="IHI507" s="325"/>
      <c r="IHJ507" s="325"/>
      <c r="IHK507" s="325"/>
      <c r="IHL507" s="325"/>
      <c r="IHM507" s="325"/>
      <c r="IHN507" s="325"/>
      <c r="IHO507" s="325"/>
      <c r="IHP507" s="325"/>
      <c r="IHQ507" s="325"/>
      <c r="IHR507" s="325"/>
      <c r="IHS507" s="325"/>
      <c r="IHT507" s="325"/>
      <c r="IHU507" s="325"/>
      <c r="IHV507" s="325"/>
      <c r="IHW507" s="325"/>
      <c r="IHX507" s="325"/>
      <c r="IHY507" s="325"/>
      <c r="IHZ507" s="325"/>
      <c r="IIA507" s="325"/>
      <c r="IIB507" s="325"/>
      <c r="IIC507" s="325"/>
      <c r="IID507" s="327"/>
      <c r="IIE507" s="28"/>
      <c r="IIF507" s="324"/>
      <c r="IIG507" s="324"/>
      <c r="IIH507" s="324"/>
      <c r="III507" s="324"/>
      <c r="IIJ507" s="324"/>
      <c r="IIK507" s="324"/>
      <c r="IIL507" s="256"/>
      <c r="IIM507" s="325"/>
      <c r="IIN507" s="311"/>
      <c r="IIO507" s="325"/>
      <c r="IIP507" s="310"/>
      <c r="IIQ507" s="325"/>
      <c r="IIR507" s="325"/>
      <c r="IIS507" s="325"/>
      <c r="IIT507" s="325"/>
      <c r="IIU507" s="325"/>
      <c r="IIV507" s="325"/>
      <c r="IIW507" s="325"/>
      <c r="IIX507" s="325"/>
      <c r="IIY507" s="325"/>
      <c r="IIZ507" s="325"/>
      <c r="IJA507" s="325"/>
      <c r="IJB507" s="325"/>
      <c r="IJC507" s="325"/>
      <c r="IJD507" s="325"/>
      <c r="IJE507" s="325"/>
      <c r="IJF507" s="325"/>
      <c r="IJG507" s="325"/>
      <c r="IJH507" s="325"/>
      <c r="IJI507" s="325"/>
      <c r="IJJ507" s="325"/>
      <c r="IJK507" s="325"/>
      <c r="IJL507" s="325"/>
      <c r="IJM507" s="325"/>
      <c r="IJN507" s="325"/>
      <c r="IJO507" s="325"/>
      <c r="IJP507" s="325"/>
      <c r="IJQ507" s="325"/>
      <c r="IJR507" s="325"/>
      <c r="IJS507" s="325"/>
      <c r="IJT507" s="325"/>
      <c r="IJU507" s="327"/>
      <c r="IJV507" s="28"/>
      <c r="IJW507" s="324"/>
      <c r="IJX507" s="324"/>
      <c r="IJY507" s="324"/>
      <c r="IJZ507" s="324"/>
      <c r="IKA507" s="324"/>
      <c r="IKB507" s="324"/>
      <c r="IKC507" s="256"/>
      <c r="IKD507" s="325"/>
      <c r="IKE507" s="311"/>
      <c r="IKF507" s="325"/>
      <c r="IKG507" s="310"/>
      <c r="IKH507" s="325"/>
      <c r="IKI507" s="325"/>
      <c r="IKJ507" s="325"/>
      <c r="IKK507" s="325"/>
      <c r="IKL507" s="325"/>
      <c r="IKM507" s="325"/>
      <c r="IKN507" s="325"/>
      <c r="IKO507" s="325"/>
      <c r="IKP507" s="325"/>
      <c r="IKQ507" s="325"/>
      <c r="IKR507" s="325"/>
      <c r="IKS507" s="325"/>
      <c r="IKT507" s="325"/>
      <c r="IKU507" s="325"/>
      <c r="IKV507" s="325"/>
      <c r="IKW507" s="325"/>
      <c r="IKX507" s="325"/>
      <c r="IKY507" s="325"/>
      <c r="IKZ507" s="325"/>
      <c r="ILA507" s="325"/>
      <c r="ILB507" s="325"/>
      <c r="ILC507" s="325"/>
      <c r="ILD507" s="325"/>
      <c r="ILE507" s="325"/>
      <c r="ILF507" s="325"/>
      <c r="ILG507" s="325"/>
      <c r="ILH507" s="325"/>
      <c r="ILI507" s="325"/>
      <c r="ILJ507" s="325"/>
      <c r="ILK507" s="325"/>
      <c r="ILL507" s="327"/>
      <c r="ILM507" s="28"/>
      <c r="ILN507" s="324"/>
      <c r="ILO507" s="324"/>
      <c r="ILP507" s="324"/>
      <c r="ILQ507" s="324"/>
      <c r="ILR507" s="324"/>
      <c r="ILS507" s="324"/>
      <c r="ILT507" s="256"/>
      <c r="ILU507" s="325"/>
      <c r="ILV507" s="311"/>
      <c r="ILW507" s="325"/>
      <c r="ILX507" s="310"/>
      <c r="ILY507" s="325"/>
      <c r="ILZ507" s="325"/>
      <c r="IMA507" s="325"/>
      <c r="IMB507" s="325"/>
      <c r="IMC507" s="325"/>
      <c r="IMD507" s="325"/>
      <c r="IME507" s="325"/>
      <c r="IMF507" s="325"/>
      <c r="IMG507" s="325"/>
      <c r="IMH507" s="325"/>
      <c r="IMI507" s="325"/>
      <c r="IMJ507" s="325"/>
      <c r="IMK507" s="325"/>
      <c r="IML507" s="325"/>
      <c r="IMM507" s="325"/>
      <c r="IMN507" s="325"/>
      <c r="IMO507" s="325"/>
      <c r="IMP507" s="325"/>
      <c r="IMQ507" s="325"/>
      <c r="IMR507" s="325"/>
      <c r="IMS507" s="325"/>
      <c r="IMT507" s="325"/>
      <c r="IMU507" s="325"/>
      <c r="IMV507" s="325"/>
      <c r="IMW507" s="325"/>
      <c r="IMX507" s="325"/>
      <c r="IMY507" s="325"/>
      <c r="IMZ507" s="325"/>
      <c r="INA507" s="325"/>
      <c r="INB507" s="325"/>
      <c r="INC507" s="327"/>
      <c r="IND507" s="28"/>
      <c r="INE507" s="324"/>
      <c r="INF507" s="324"/>
      <c r="ING507" s="324"/>
      <c r="INH507" s="324"/>
      <c r="INI507" s="324"/>
      <c r="INJ507" s="324"/>
      <c r="INK507" s="256"/>
      <c r="INL507" s="325"/>
      <c r="INM507" s="311"/>
      <c r="INN507" s="325"/>
      <c r="INO507" s="310"/>
      <c r="INP507" s="325"/>
      <c r="INQ507" s="325"/>
      <c r="INR507" s="325"/>
      <c r="INS507" s="325"/>
      <c r="INT507" s="325"/>
      <c r="INU507" s="325"/>
      <c r="INV507" s="325"/>
      <c r="INW507" s="325"/>
      <c r="INX507" s="325"/>
      <c r="INY507" s="325"/>
      <c r="INZ507" s="325"/>
      <c r="IOA507" s="325"/>
      <c r="IOB507" s="325"/>
      <c r="IOC507" s="325"/>
      <c r="IOD507" s="325"/>
      <c r="IOE507" s="325"/>
      <c r="IOF507" s="325"/>
      <c r="IOG507" s="325"/>
      <c r="IOH507" s="325"/>
      <c r="IOI507" s="325"/>
      <c r="IOJ507" s="325"/>
      <c r="IOK507" s="325"/>
      <c r="IOL507" s="325"/>
      <c r="IOM507" s="325"/>
      <c r="ION507" s="325"/>
      <c r="IOO507" s="325"/>
      <c r="IOP507" s="325"/>
      <c r="IOQ507" s="325"/>
      <c r="IOR507" s="325"/>
      <c r="IOS507" s="325"/>
      <c r="IOT507" s="327"/>
      <c r="IOU507" s="28"/>
      <c r="IOV507" s="324"/>
      <c r="IOW507" s="324"/>
      <c r="IOX507" s="324"/>
      <c r="IOY507" s="324"/>
      <c r="IOZ507" s="324"/>
      <c r="IPA507" s="324"/>
      <c r="IPB507" s="256"/>
      <c r="IPC507" s="325"/>
      <c r="IPD507" s="311"/>
      <c r="IPE507" s="325"/>
      <c r="IPF507" s="310"/>
      <c r="IPG507" s="325"/>
      <c r="IPH507" s="325"/>
      <c r="IPI507" s="325"/>
      <c r="IPJ507" s="325"/>
      <c r="IPK507" s="325"/>
      <c r="IPL507" s="325"/>
      <c r="IPM507" s="325"/>
      <c r="IPN507" s="325"/>
      <c r="IPO507" s="325"/>
      <c r="IPP507" s="325"/>
      <c r="IPQ507" s="325"/>
      <c r="IPR507" s="325"/>
      <c r="IPS507" s="325"/>
      <c r="IPT507" s="325"/>
      <c r="IPU507" s="325"/>
      <c r="IPV507" s="325"/>
      <c r="IPW507" s="325"/>
      <c r="IPX507" s="325"/>
      <c r="IPY507" s="325"/>
      <c r="IPZ507" s="325"/>
      <c r="IQA507" s="325"/>
      <c r="IQB507" s="325"/>
      <c r="IQC507" s="325"/>
      <c r="IQD507" s="325"/>
      <c r="IQE507" s="325"/>
      <c r="IQF507" s="325"/>
      <c r="IQG507" s="325"/>
      <c r="IQH507" s="325"/>
      <c r="IQI507" s="325"/>
      <c r="IQJ507" s="325"/>
      <c r="IQK507" s="327"/>
      <c r="IQL507" s="28"/>
      <c r="IQM507" s="324"/>
      <c r="IQN507" s="324"/>
      <c r="IQO507" s="324"/>
      <c r="IQP507" s="324"/>
      <c r="IQQ507" s="324"/>
      <c r="IQR507" s="324"/>
      <c r="IQS507" s="256"/>
      <c r="IQT507" s="325"/>
      <c r="IQU507" s="311"/>
      <c r="IQV507" s="325"/>
      <c r="IQW507" s="310"/>
      <c r="IQX507" s="325"/>
      <c r="IQY507" s="325"/>
      <c r="IQZ507" s="325"/>
      <c r="IRA507" s="325"/>
      <c r="IRB507" s="325"/>
      <c r="IRC507" s="325"/>
      <c r="IRD507" s="325"/>
      <c r="IRE507" s="325"/>
      <c r="IRF507" s="325"/>
      <c r="IRG507" s="325"/>
      <c r="IRH507" s="325"/>
      <c r="IRI507" s="325"/>
      <c r="IRJ507" s="325"/>
      <c r="IRK507" s="325"/>
      <c r="IRL507" s="325"/>
      <c r="IRM507" s="325"/>
      <c r="IRN507" s="325"/>
      <c r="IRO507" s="325"/>
      <c r="IRP507" s="325"/>
      <c r="IRQ507" s="325"/>
      <c r="IRR507" s="325"/>
      <c r="IRS507" s="325"/>
      <c r="IRT507" s="325"/>
      <c r="IRU507" s="325"/>
      <c r="IRV507" s="325"/>
      <c r="IRW507" s="325"/>
      <c r="IRX507" s="325"/>
      <c r="IRY507" s="325"/>
      <c r="IRZ507" s="325"/>
      <c r="ISA507" s="325"/>
      <c r="ISB507" s="327"/>
      <c r="ISC507" s="28"/>
      <c r="ISD507" s="324"/>
      <c r="ISE507" s="324"/>
      <c r="ISF507" s="324"/>
      <c r="ISG507" s="324"/>
      <c r="ISH507" s="324"/>
      <c r="ISI507" s="324"/>
      <c r="ISJ507" s="256"/>
      <c r="ISK507" s="325"/>
      <c r="ISL507" s="311"/>
      <c r="ISM507" s="325"/>
      <c r="ISN507" s="310"/>
      <c r="ISO507" s="325"/>
      <c r="ISP507" s="325"/>
      <c r="ISQ507" s="325"/>
      <c r="ISR507" s="325"/>
      <c r="ISS507" s="325"/>
      <c r="IST507" s="325"/>
      <c r="ISU507" s="325"/>
      <c r="ISV507" s="325"/>
      <c r="ISW507" s="325"/>
      <c r="ISX507" s="325"/>
      <c r="ISY507" s="325"/>
      <c r="ISZ507" s="325"/>
      <c r="ITA507" s="325"/>
      <c r="ITB507" s="325"/>
      <c r="ITC507" s="325"/>
      <c r="ITD507" s="325"/>
      <c r="ITE507" s="325"/>
      <c r="ITF507" s="325"/>
      <c r="ITG507" s="325"/>
      <c r="ITH507" s="325"/>
      <c r="ITI507" s="325"/>
      <c r="ITJ507" s="325"/>
      <c r="ITK507" s="325"/>
      <c r="ITL507" s="325"/>
      <c r="ITM507" s="325"/>
      <c r="ITN507" s="325"/>
      <c r="ITO507" s="325"/>
      <c r="ITP507" s="325"/>
      <c r="ITQ507" s="325"/>
      <c r="ITR507" s="325"/>
      <c r="ITS507" s="327"/>
      <c r="ITT507" s="28"/>
      <c r="ITU507" s="324"/>
      <c r="ITV507" s="324"/>
      <c r="ITW507" s="324"/>
      <c r="ITX507" s="324"/>
      <c r="ITY507" s="324"/>
      <c r="ITZ507" s="324"/>
      <c r="IUA507" s="256"/>
      <c r="IUB507" s="325"/>
      <c r="IUC507" s="311"/>
      <c r="IUD507" s="325"/>
      <c r="IUE507" s="310"/>
      <c r="IUF507" s="325"/>
      <c r="IUG507" s="325"/>
      <c r="IUH507" s="325"/>
      <c r="IUI507" s="325"/>
      <c r="IUJ507" s="325"/>
      <c r="IUK507" s="325"/>
      <c r="IUL507" s="325"/>
      <c r="IUM507" s="325"/>
      <c r="IUN507" s="325"/>
      <c r="IUO507" s="325"/>
      <c r="IUP507" s="325"/>
      <c r="IUQ507" s="325"/>
      <c r="IUR507" s="325"/>
      <c r="IUS507" s="325"/>
      <c r="IUT507" s="325"/>
      <c r="IUU507" s="325"/>
      <c r="IUV507" s="325"/>
      <c r="IUW507" s="325"/>
      <c r="IUX507" s="325"/>
      <c r="IUY507" s="325"/>
      <c r="IUZ507" s="325"/>
      <c r="IVA507" s="325"/>
      <c r="IVB507" s="325"/>
      <c r="IVC507" s="325"/>
      <c r="IVD507" s="325"/>
      <c r="IVE507" s="325"/>
      <c r="IVF507" s="325"/>
      <c r="IVG507" s="325"/>
      <c r="IVH507" s="325"/>
      <c r="IVI507" s="325"/>
      <c r="IVJ507" s="327"/>
      <c r="IVK507" s="28"/>
      <c r="IVL507" s="324"/>
      <c r="IVM507" s="324"/>
      <c r="IVN507" s="324"/>
      <c r="IVO507" s="324"/>
      <c r="IVP507" s="324"/>
      <c r="IVQ507" s="324"/>
      <c r="IVR507" s="256"/>
      <c r="IVS507" s="325"/>
      <c r="IVT507" s="311"/>
      <c r="IVU507" s="325"/>
      <c r="IVV507" s="310"/>
      <c r="IVW507" s="325"/>
      <c r="IVX507" s="325"/>
      <c r="IVY507" s="325"/>
      <c r="IVZ507" s="325"/>
      <c r="IWA507" s="325"/>
      <c r="IWB507" s="325"/>
      <c r="IWC507" s="325"/>
      <c r="IWD507" s="325"/>
      <c r="IWE507" s="325"/>
      <c r="IWF507" s="325"/>
      <c r="IWG507" s="325"/>
      <c r="IWH507" s="325"/>
      <c r="IWI507" s="325"/>
      <c r="IWJ507" s="325"/>
      <c r="IWK507" s="325"/>
      <c r="IWL507" s="325"/>
      <c r="IWM507" s="325"/>
      <c r="IWN507" s="325"/>
      <c r="IWO507" s="325"/>
      <c r="IWP507" s="325"/>
      <c r="IWQ507" s="325"/>
      <c r="IWR507" s="325"/>
      <c r="IWS507" s="325"/>
      <c r="IWT507" s="325"/>
      <c r="IWU507" s="325"/>
      <c r="IWV507" s="325"/>
      <c r="IWW507" s="325"/>
      <c r="IWX507" s="325"/>
      <c r="IWY507" s="325"/>
      <c r="IWZ507" s="325"/>
      <c r="IXA507" s="327"/>
      <c r="IXB507" s="28"/>
      <c r="IXC507" s="324"/>
      <c r="IXD507" s="324"/>
      <c r="IXE507" s="324"/>
      <c r="IXF507" s="324"/>
      <c r="IXG507" s="324"/>
      <c r="IXH507" s="324"/>
      <c r="IXI507" s="256"/>
      <c r="IXJ507" s="325"/>
      <c r="IXK507" s="311"/>
      <c r="IXL507" s="325"/>
      <c r="IXM507" s="310"/>
      <c r="IXN507" s="325"/>
      <c r="IXO507" s="325"/>
      <c r="IXP507" s="325"/>
      <c r="IXQ507" s="325"/>
      <c r="IXR507" s="325"/>
      <c r="IXS507" s="325"/>
      <c r="IXT507" s="325"/>
      <c r="IXU507" s="325"/>
      <c r="IXV507" s="325"/>
      <c r="IXW507" s="325"/>
      <c r="IXX507" s="325"/>
      <c r="IXY507" s="325"/>
      <c r="IXZ507" s="325"/>
      <c r="IYA507" s="325"/>
      <c r="IYB507" s="325"/>
      <c r="IYC507" s="325"/>
      <c r="IYD507" s="325"/>
      <c r="IYE507" s="325"/>
      <c r="IYF507" s="325"/>
      <c r="IYG507" s="325"/>
      <c r="IYH507" s="325"/>
      <c r="IYI507" s="325"/>
      <c r="IYJ507" s="325"/>
      <c r="IYK507" s="325"/>
      <c r="IYL507" s="325"/>
      <c r="IYM507" s="325"/>
      <c r="IYN507" s="325"/>
      <c r="IYO507" s="325"/>
      <c r="IYP507" s="325"/>
      <c r="IYQ507" s="325"/>
      <c r="IYR507" s="327"/>
      <c r="IYS507" s="28"/>
      <c r="IYT507" s="324"/>
      <c r="IYU507" s="324"/>
      <c r="IYV507" s="324"/>
      <c r="IYW507" s="324"/>
      <c r="IYX507" s="324"/>
      <c r="IYY507" s="324"/>
      <c r="IYZ507" s="256"/>
      <c r="IZA507" s="325"/>
      <c r="IZB507" s="311"/>
      <c r="IZC507" s="325"/>
      <c r="IZD507" s="310"/>
      <c r="IZE507" s="325"/>
      <c r="IZF507" s="325"/>
      <c r="IZG507" s="325"/>
      <c r="IZH507" s="325"/>
      <c r="IZI507" s="325"/>
      <c r="IZJ507" s="325"/>
      <c r="IZK507" s="325"/>
      <c r="IZL507" s="325"/>
      <c r="IZM507" s="325"/>
      <c r="IZN507" s="325"/>
      <c r="IZO507" s="325"/>
      <c r="IZP507" s="325"/>
      <c r="IZQ507" s="325"/>
      <c r="IZR507" s="325"/>
      <c r="IZS507" s="325"/>
      <c r="IZT507" s="325"/>
      <c r="IZU507" s="325"/>
      <c r="IZV507" s="325"/>
      <c r="IZW507" s="325"/>
      <c r="IZX507" s="325"/>
      <c r="IZY507" s="325"/>
      <c r="IZZ507" s="325"/>
      <c r="JAA507" s="325"/>
      <c r="JAB507" s="325"/>
      <c r="JAC507" s="325"/>
      <c r="JAD507" s="325"/>
      <c r="JAE507" s="325"/>
      <c r="JAF507" s="325"/>
      <c r="JAG507" s="325"/>
      <c r="JAH507" s="325"/>
      <c r="JAI507" s="327"/>
      <c r="JAJ507" s="28"/>
      <c r="JAK507" s="324"/>
      <c r="JAL507" s="324"/>
      <c r="JAM507" s="324"/>
      <c r="JAN507" s="324"/>
      <c r="JAO507" s="324"/>
      <c r="JAP507" s="324"/>
      <c r="JAQ507" s="256"/>
      <c r="JAR507" s="325"/>
      <c r="JAS507" s="311"/>
      <c r="JAT507" s="325"/>
      <c r="JAU507" s="310"/>
      <c r="JAV507" s="325"/>
      <c r="JAW507" s="325"/>
      <c r="JAX507" s="325"/>
      <c r="JAY507" s="325"/>
      <c r="JAZ507" s="325"/>
      <c r="JBA507" s="325"/>
      <c r="JBB507" s="325"/>
      <c r="JBC507" s="325"/>
      <c r="JBD507" s="325"/>
      <c r="JBE507" s="325"/>
      <c r="JBF507" s="325"/>
      <c r="JBG507" s="325"/>
      <c r="JBH507" s="325"/>
      <c r="JBI507" s="325"/>
      <c r="JBJ507" s="325"/>
      <c r="JBK507" s="325"/>
      <c r="JBL507" s="325"/>
      <c r="JBM507" s="325"/>
      <c r="JBN507" s="325"/>
      <c r="JBO507" s="325"/>
      <c r="JBP507" s="325"/>
      <c r="JBQ507" s="325"/>
      <c r="JBR507" s="325"/>
      <c r="JBS507" s="325"/>
      <c r="JBT507" s="325"/>
      <c r="JBU507" s="325"/>
      <c r="JBV507" s="325"/>
      <c r="JBW507" s="325"/>
      <c r="JBX507" s="325"/>
      <c r="JBY507" s="325"/>
      <c r="JBZ507" s="327"/>
      <c r="JCA507" s="28"/>
      <c r="JCB507" s="324"/>
      <c r="JCC507" s="324"/>
      <c r="JCD507" s="324"/>
      <c r="JCE507" s="324"/>
      <c r="JCF507" s="324"/>
      <c r="JCG507" s="324"/>
      <c r="JCH507" s="256"/>
      <c r="JCI507" s="325"/>
      <c r="JCJ507" s="311"/>
      <c r="JCK507" s="325"/>
      <c r="JCL507" s="310"/>
      <c r="JCM507" s="325"/>
      <c r="JCN507" s="325"/>
      <c r="JCO507" s="325"/>
      <c r="JCP507" s="325"/>
      <c r="JCQ507" s="325"/>
      <c r="JCR507" s="325"/>
      <c r="JCS507" s="325"/>
      <c r="JCT507" s="325"/>
      <c r="JCU507" s="325"/>
      <c r="JCV507" s="325"/>
      <c r="JCW507" s="325"/>
      <c r="JCX507" s="325"/>
      <c r="JCY507" s="325"/>
      <c r="JCZ507" s="325"/>
      <c r="JDA507" s="325"/>
      <c r="JDB507" s="325"/>
      <c r="JDC507" s="325"/>
      <c r="JDD507" s="325"/>
      <c r="JDE507" s="325"/>
      <c r="JDF507" s="325"/>
      <c r="JDG507" s="325"/>
      <c r="JDH507" s="325"/>
      <c r="JDI507" s="325"/>
      <c r="JDJ507" s="325"/>
      <c r="JDK507" s="325"/>
      <c r="JDL507" s="325"/>
      <c r="JDM507" s="325"/>
      <c r="JDN507" s="325"/>
      <c r="JDO507" s="325"/>
      <c r="JDP507" s="325"/>
      <c r="JDQ507" s="327"/>
      <c r="JDR507" s="28"/>
      <c r="JDS507" s="324"/>
      <c r="JDT507" s="324"/>
      <c r="JDU507" s="324"/>
      <c r="JDV507" s="324"/>
      <c r="JDW507" s="324"/>
      <c r="JDX507" s="324"/>
      <c r="JDY507" s="256"/>
      <c r="JDZ507" s="325"/>
      <c r="JEA507" s="311"/>
      <c r="JEB507" s="325"/>
      <c r="JEC507" s="310"/>
      <c r="JED507" s="325"/>
      <c r="JEE507" s="325"/>
      <c r="JEF507" s="325"/>
      <c r="JEG507" s="325"/>
      <c r="JEH507" s="325"/>
      <c r="JEI507" s="325"/>
      <c r="JEJ507" s="325"/>
      <c r="JEK507" s="325"/>
      <c r="JEL507" s="325"/>
      <c r="JEM507" s="325"/>
      <c r="JEN507" s="325"/>
      <c r="JEO507" s="325"/>
      <c r="JEP507" s="325"/>
      <c r="JEQ507" s="325"/>
      <c r="JER507" s="325"/>
      <c r="JES507" s="325"/>
      <c r="JET507" s="325"/>
      <c r="JEU507" s="325"/>
      <c r="JEV507" s="325"/>
      <c r="JEW507" s="325"/>
      <c r="JEX507" s="325"/>
      <c r="JEY507" s="325"/>
      <c r="JEZ507" s="325"/>
      <c r="JFA507" s="325"/>
      <c r="JFB507" s="325"/>
      <c r="JFC507" s="325"/>
      <c r="JFD507" s="325"/>
      <c r="JFE507" s="325"/>
      <c r="JFF507" s="325"/>
      <c r="JFG507" s="325"/>
      <c r="JFH507" s="327"/>
      <c r="JFI507" s="28"/>
      <c r="JFJ507" s="324"/>
      <c r="JFK507" s="324"/>
      <c r="JFL507" s="324"/>
      <c r="JFM507" s="324"/>
      <c r="JFN507" s="324"/>
      <c r="JFO507" s="324"/>
      <c r="JFP507" s="256"/>
      <c r="JFQ507" s="325"/>
      <c r="JFR507" s="311"/>
      <c r="JFS507" s="325"/>
      <c r="JFT507" s="310"/>
      <c r="JFU507" s="325"/>
      <c r="JFV507" s="325"/>
      <c r="JFW507" s="325"/>
      <c r="JFX507" s="325"/>
      <c r="JFY507" s="325"/>
      <c r="JFZ507" s="325"/>
      <c r="JGA507" s="325"/>
      <c r="JGB507" s="325"/>
      <c r="JGC507" s="325"/>
      <c r="JGD507" s="325"/>
      <c r="JGE507" s="325"/>
      <c r="JGF507" s="325"/>
      <c r="JGG507" s="325"/>
      <c r="JGH507" s="325"/>
      <c r="JGI507" s="325"/>
      <c r="JGJ507" s="325"/>
      <c r="JGK507" s="325"/>
      <c r="JGL507" s="325"/>
      <c r="JGM507" s="325"/>
      <c r="JGN507" s="325"/>
      <c r="JGO507" s="325"/>
      <c r="JGP507" s="325"/>
      <c r="JGQ507" s="325"/>
      <c r="JGR507" s="325"/>
      <c r="JGS507" s="325"/>
      <c r="JGT507" s="325"/>
      <c r="JGU507" s="325"/>
      <c r="JGV507" s="325"/>
      <c r="JGW507" s="325"/>
      <c r="JGX507" s="325"/>
      <c r="JGY507" s="327"/>
      <c r="JGZ507" s="28"/>
      <c r="JHA507" s="324"/>
      <c r="JHB507" s="324"/>
      <c r="JHC507" s="324"/>
      <c r="JHD507" s="324"/>
      <c r="JHE507" s="324"/>
      <c r="JHF507" s="324"/>
      <c r="JHG507" s="256"/>
      <c r="JHH507" s="325"/>
      <c r="JHI507" s="311"/>
      <c r="JHJ507" s="325"/>
      <c r="JHK507" s="310"/>
      <c r="JHL507" s="325"/>
      <c r="JHM507" s="325"/>
      <c r="JHN507" s="325"/>
      <c r="JHO507" s="325"/>
      <c r="JHP507" s="325"/>
      <c r="JHQ507" s="325"/>
      <c r="JHR507" s="325"/>
      <c r="JHS507" s="325"/>
      <c r="JHT507" s="325"/>
      <c r="JHU507" s="325"/>
      <c r="JHV507" s="325"/>
      <c r="JHW507" s="325"/>
      <c r="JHX507" s="325"/>
      <c r="JHY507" s="325"/>
      <c r="JHZ507" s="325"/>
      <c r="JIA507" s="325"/>
      <c r="JIB507" s="325"/>
      <c r="JIC507" s="325"/>
      <c r="JID507" s="325"/>
      <c r="JIE507" s="325"/>
      <c r="JIF507" s="325"/>
      <c r="JIG507" s="325"/>
      <c r="JIH507" s="325"/>
      <c r="JII507" s="325"/>
      <c r="JIJ507" s="325"/>
      <c r="JIK507" s="325"/>
      <c r="JIL507" s="325"/>
      <c r="JIM507" s="325"/>
      <c r="JIN507" s="325"/>
      <c r="JIO507" s="325"/>
      <c r="JIP507" s="327"/>
      <c r="JIQ507" s="28"/>
      <c r="JIR507" s="324"/>
      <c r="JIS507" s="324"/>
      <c r="JIT507" s="324"/>
      <c r="JIU507" s="324"/>
      <c r="JIV507" s="324"/>
      <c r="JIW507" s="324"/>
      <c r="JIX507" s="256"/>
      <c r="JIY507" s="325"/>
      <c r="JIZ507" s="311"/>
      <c r="JJA507" s="325"/>
      <c r="JJB507" s="310"/>
      <c r="JJC507" s="325"/>
      <c r="JJD507" s="325"/>
      <c r="JJE507" s="325"/>
      <c r="JJF507" s="325"/>
      <c r="JJG507" s="325"/>
      <c r="JJH507" s="325"/>
      <c r="JJI507" s="325"/>
      <c r="JJJ507" s="325"/>
      <c r="JJK507" s="325"/>
      <c r="JJL507" s="325"/>
      <c r="JJM507" s="325"/>
      <c r="JJN507" s="325"/>
      <c r="JJO507" s="325"/>
      <c r="JJP507" s="325"/>
      <c r="JJQ507" s="325"/>
      <c r="JJR507" s="325"/>
      <c r="JJS507" s="325"/>
      <c r="JJT507" s="325"/>
      <c r="JJU507" s="325"/>
      <c r="JJV507" s="325"/>
      <c r="JJW507" s="325"/>
      <c r="JJX507" s="325"/>
      <c r="JJY507" s="325"/>
      <c r="JJZ507" s="325"/>
      <c r="JKA507" s="325"/>
      <c r="JKB507" s="325"/>
      <c r="JKC507" s="325"/>
      <c r="JKD507" s="325"/>
      <c r="JKE507" s="325"/>
      <c r="JKF507" s="325"/>
      <c r="JKG507" s="327"/>
      <c r="JKH507" s="28"/>
      <c r="JKI507" s="324"/>
      <c r="JKJ507" s="324"/>
      <c r="JKK507" s="324"/>
      <c r="JKL507" s="324"/>
      <c r="JKM507" s="324"/>
      <c r="JKN507" s="324"/>
      <c r="JKO507" s="256"/>
      <c r="JKP507" s="325"/>
      <c r="JKQ507" s="311"/>
      <c r="JKR507" s="325"/>
      <c r="JKS507" s="310"/>
      <c r="JKT507" s="325"/>
      <c r="JKU507" s="325"/>
      <c r="JKV507" s="325"/>
      <c r="JKW507" s="325"/>
      <c r="JKX507" s="325"/>
      <c r="JKY507" s="325"/>
      <c r="JKZ507" s="325"/>
      <c r="JLA507" s="325"/>
      <c r="JLB507" s="325"/>
      <c r="JLC507" s="325"/>
      <c r="JLD507" s="325"/>
      <c r="JLE507" s="325"/>
      <c r="JLF507" s="325"/>
      <c r="JLG507" s="325"/>
      <c r="JLH507" s="325"/>
      <c r="JLI507" s="325"/>
      <c r="JLJ507" s="325"/>
      <c r="JLK507" s="325"/>
      <c r="JLL507" s="325"/>
      <c r="JLM507" s="325"/>
      <c r="JLN507" s="325"/>
      <c r="JLO507" s="325"/>
      <c r="JLP507" s="325"/>
      <c r="JLQ507" s="325"/>
      <c r="JLR507" s="325"/>
      <c r="JLS507" s="325"/>
      <c r="JLT507" s="325"/>
      <c r="JLU507" s="325"/>
      <c r="JLV507" s="325"/>
      <c r="JLW507" s="325"/>
      <c r="JLX507" s="327"/>
      <c r="JLY507" s="28"/>
      <c r="JLZ507" s="324"/>
      <c r="JMA507" s="324"/>
      <c r="JMB507" s="324"/>
      <c r="JMC507" s="324"/>
      <c r="JMD507" s="324"/>
      <c r="JME507" s="324"/>
      <c r="JMF507" s="256"/>
      <c r="JMG507" s="325"/>
      <c r="JMH507" s="311"/>
      <c r="JMI507" s="325"/>
      <c r="JMJ507" s="310"/>
      <c r="JMK507" s="325"/>
      <c r="JML507" s="325"/>
      <c r="JMM507" s="325"/>
      <c r="JMN507" s="325"/>
      <c r="JMO507" s="325"/>
      <c r="JMP507" s="325"/>
      <c r="JMQ507" s="325"/>
      <c r="JMR507" s="325"/>
      <c r="JMS507" s="325"/>
      <c r="JMT507" s="325"/>
      <c r="JMU507" s="325"/>
      <c r="JMV507" s="325"/>
      <c r="JMW507" s="325"/>
      <c r="JMX507" s="325"/>
      <c r="JMY507" s="325"/>
      <c r="JMZ507" s="325"/>
      <c r="JNA507" s="325"/>
      <c r="JNB507" s="325"/>
      <c r="JNC507" s="325"/>
      <c r="JND507" s="325"/>
      <c r="JNE507" s="325"/>
      <c r="JNF507" s="325"/>
      <c r="JNG507" s="325"/>
      <c r="JNH507" s="325"/>
      <c r="JNI507" s="325"/>
      <c r="JNJ507" s="325"/>
      <c r="JNK507" s="325"/>
      <c r="JNL507" s="325"/>
      <c r="JNM507" s="325"/>
      <c r="JNN507" s="325"/>
      <c r="JNO507" s="327"/>
      <c r="JNP507" s="28"/>
      <c r="JNQ507" s="324"/>
      <c r="JNR507" s="324"/>
      <c r="JNS507" s="324"/>
      <c r="JNT507" s="324"/>
      <c r="JNU507" s="324"/>
      <c r="JNV507" s="324"/>
      <c r="JNW507" s="256"/>
      <c r="JNX507" s="325"/>
      <c r="JNY507" s="311"/>
      <c r="JNZ507" s="325"/>
      <c r="JOA507" s="310"/>
      <c r="JOB507" s="325"/>
      <c r="JOC507" s="325"/>
      <c r="JOD507" s="325"/>
      <c r="JOE507" s="325"/>
      <c r="JOF507" s="325"/>
      <c r="JOG507" s="325"/>
      <c r="JOH507" s="325"/>
      <c r="JOI507" s="325"/>
      <c r="JOJ507" s="325"/>
      <c r="JOK507" s="325"/>
      <c r="JOL507" s="325"/>
      <c r="JOM507" s="325"/>
      <c r="JON507" s="325"/>
      <c r="JOO507" s="325"/>
      <c r="JOP507" s="325"/>
      <c r="JOQ507" s="325"/>
      <c r="JOR507" s="325"/>
      <c r="JOS507" s="325"/>
      <c r="JOT507" s="325"/>
      <c r="JOU507" s="325"/>
      <c r="JOV507" s="325"/>
      <c r="JOW507" s="325"/>
      <c r="JOX507" s="325"/>
      <c r="JOY507" s="325"/>
      <c r="JOZ507" s="325"/>
      <c r="JPA507" s="325"/>
      <c r="JPB507" s="325"/>
      <c r="JPC507" s="325"/>
      <c r="JPD507" s="325"/>
      <c r="JPE507" s="325"/>
      <c r="JPF507" s="327"/>
      <c r="JPG507" s="28"/>
      <c r="JPH507" s="324"/>
      <c r="JPI507" s="324"/>
      <c r="JPJ507" s="324"/>
      <c r="JPK507" s="324"/>
      <c r="JPL507" s="324"/>
      <c r="JPM507" s="324"/>
      <c r="JPN507" s="256"/>
      <c r="JPO507" s="325"/>
      <c r="JPP507" s="311"/>
      <c r="JPQ507" s="325"/>
      <c r="JPR507" s="310"/>
      <c r="JPS507" s="325"/>
      <c r="JPT507" s="325"/>
      <c r="JPU507" s="325"/>
      <c r="JPV507" s="325"/>
      <c r="JPW507" s="325"/>
      <c r="JPX507" s="325"/>
      <c r="JPY507" s="325"/>
      <c r="JPZ507" s="325"/>
      <c r="JQA507" s="325"/>
      <c r="JQB507" s="325"/>
      <c r="JQC507" s="325"/>
      <c r="JQD507" s="325"/>
      <c r="JQE507" s="325"/>
      <c r="JQF507" s="325"/>
      <c r="JQG507" s="325"/>
      <c r="JQH507" s="325"/>
      <c r="JQI507" s="325"/>
      <c r="JQJ507" s="325"/>
      <c r="JQK507" s="325"/>
      <c r="JQL507" s="325"/>
      <c r="JQM507" s="325"/>
      <c r="JQN507" s="325"/>
      <c r="JQO507" s="325"/>
      <c r="JQP507" s="325"/>
      <c r="JQQ507" s="325"/>
      <c r="JQR507" s="325"/>
      <c r="JQS507" s="325"/>
      <c r="JQT507" s="325"/>
      <c r="JQU507" s="325"/>
      <c r="JQV507" s="325"/>
      <c r="JQW507" s="327"/>
      <c r="JQX507" s="28"/>
      <c r="JQY507" s="324"/>
      <c r="JQZ507" s="324"/>
      <c r="JRA507" s="324"/>
      <c r="JRB507" s="324"/>
      <c r="JRC507" s="324"/>
      <c r="JRD507" s="324"/>
      <c r="JRE507" s="256"/>
      <c r="JRF507" s="325"/>
      <c r="JRG507" s="311"/>
      <c r="JRH507" s="325"/>
      <c r="JRI507" s="310"/>
      <c r="JRJ507" s="325"/>
      <c r="JRK507" s="325"/>
      <c r="JRL507" s="325"/>
      <c r="JRM507" s="325"/>
      <c r="JRN507" s="325"/>
      <c r="JRO507" s="325"/>
      <c r="JRP507" s="325"/>
      <c r="JRQ507" s="325"/>
      <c r="JRR507" s="325"/>
      <c r="JRS507" s="325"/>
      <c r="JRT507" s="325"/>
      <c r="JRU507" s="325"/>
      <c r="JRV507" s="325"/>
      <c r="JRW507" s="325"/>
      <c r="JRX507" s="325"/>
      <c r="JRY507" s="325"/>
      <c r="JRZ507" s="325"/>
      <c r="JSA507" s="325"/>
      <c r="JSB507" s="325"/>
      <c r="JSC507" s="325"/>
      <c r="JSD507" s="325"/>
      <c r="JSE507" s="325"/>
      <c r="JSF507" s="325"/>
      <c r="JSG507" s="325"/>
      <c r="JSH507" s="325"/>
      <c r="JSI507" s="325"/>
      <c r="JSJ507" s="325"/>
      <c r="JSK507" s="325"/>
      <c r="JSL507" s="325"/>
      <c r="JSM507" s="325"/>
      <c r="JSN507" s="327"/>
      <c r="JSO507" s="28"/>
      <c r="JSP507" s="324"/>
      <c r="JSQ507" s="324"/>
      <c r="JSR507" s="324"/>
      <c r="JSS507" s="324"/>
      <c r="JST507" s="324"/>
      <c r="JSU507" s="324"/>
      <c r="JSV507" s="256"/>
      <c r="JSW507" s="325"/>
      <c r="JSX507" s="311"/>
      <c r="JSY507" s="325"/>
      <c r="JSZ507" s="310"/>
      <c r="JTA507" s="325"/>
      <c r="JTB507" s="325"/>
      <c r="JTC507" s="325"/>
      <c r="JTD507" s="325"/>
      <c r="JTE507" s="325"/>
      <c r="JTF507" s="325"/>
      <c r="JTG507" s="325"/>
      <c r="JTH507" s="325"/>
      <c r="JTI507" s="325"/>
      <c r="JTJ507" s="325"/>
      <c r="JTK507" s="325"/>
      <c r="JTL507" s="325"/>
      <c r="JTM507" s="325"/>
      <c r="JTN507" s="325"/>
      <c r="JTO507" s="325"/>
      <c r="JTP507" s="325"/>
      <c r="JTQ507" s="325"/>
      <c r="JTR507" s="325"/>
      <c r="JTS507" s="325"/>
      <c r="JTT507" s="325"/>
      <c r="JTU507" s="325"/>
      <c r="JTV507" s="325"/>
      <c r="JTW507" s="325"/>
      <c r="JTX507" s="325"/>
      <c r="JTY507" s="325"/>
      <c r="JTZ507" s="325"/>
      <c r="JUA507" s="325"/>
      <c r="JUB507" s="325"/>
      <c r="JUC507" s="325"/>
      <c r="JUD507" s="325"/>
      <c r="JUE507" s="327"/>
      <c r="JUF507" s="28"/>
      <c r="JUG507" s="324"/>
      <c r="JUH507" s="324"/>
      <c r="JUI507" s="324"/>
      <c r="JUJ507" s="324"/>
      <c r="JUK507" s="324"/>
      <c r="JUL507" s="324"/>
      <c r="JUM507" s="256"/>
      <c r="JUN507" s="325"/>
      <c r="JUO507" s="311"/>
      <c r="JUP507" s="325"/>
      <c r="JUQ507" s="310"/>
      <c r="JUR507" s="325"/>
      <c r="JUS507" s="325"/>
      <c r="JUT507" s="325"/>
      <c r="JUU507" s="325"/>
      <c r="JUV507" s="325"/>
      <c r="JUW507" s="325"/>
      <c r="JUX507" s="325"/>
      <c r="JUY507" s="325"/>
      <c r="JUZ507" s="325"/>
      <c r="JVA507" s="325"/>
      <c r="JVB507" s="325"/>
      <c r="JVC507" s="325"/>
      <c r="JVD507" s="325"/>
      <c r="JVE507" s="325"/>
      <c r="JVF507" s="325"/>
      <c r="JVG507" s="325"/>
      <c r="JVH507" s="325"/>
      <c r="JVI507" s="325"/>
      <c r="JVJ507" s="325"/>
      <c r="JVK507" s="325"/>
      <c r="JVL507" s="325"/>
      <c r="JVM507" s="325"/>
      <c r="JVN507" s="325"/>
      <c r="JVO507" s="325"/>
      <c r="JVP507" s="325"/>
      <c r="JVQ507" s="325"/>
      <c r="JVR507" s="325"/>
      <c r="JVS507" s="325"/>
      <c r="JVT507" s="325"/>
      <c r="JVU507" s="325"/>
      <c r="JVV507" s="327"/>
      <c r="JVW507" s="28"/>
      <c r="JVX507" s="324"/>
      <c r="JVY507" s="324"/>
      <c r="JVZ507" s="324"/>
      <c r="JWA507" s="324"/>
      <c r="JWB507" s="324"/>
      <c r="JWC507" s="324"/>
      <c r="JWD507" s="256"/>
      <c r="JWE507" s="325"/>
      <c r="JWF507" s="311"/>
      <c r="JWG507" s="325"/>
      <c r="JWH507" s="310"/>
      <c r="JWI507" s="325"/>
      <c r="JWJ507" s="325"/>
      <c r="JWK507" s="325"/>
      <c r="JWL507" s="325"/>
      <c r="JWM507" s="325"/>
      <c r="JWN507" s="325"/>
      <c r="JWO507" s="325"/>
      <c r="JWP507" s="325"/>
      <c r="JWQ507" s="325"/>
      <c r="JWR507" s="325"/>
      <c r="JWS507" s="325"/>
      <c r="JWT507" s="325"/>
      <c r="JWU507" s="325"/>
      <c r="JWV507" s="325"/>
      <c r="JWW507" s="325"/>
      <c r="JWX507" s="325"/>
      <c r="JWY507" s="325"/>
      <c r="JWZ507" s="325"/>
      <c r="JXA507" s="325"/>
      <c r="JXB507" s="325"/>
      <c r="JXC507" s="325"/>
      <c r="JXD507" s="325"/>
      <c r="JXE507" s="325"/>
      <c r="JXF507" s="325"/>
      <c r="JXG507" s="325"/>
      <c r="JXH507" s="325"/>
      <c r="JXI507" s="325"/>
      <c r="JXJ507" s="325"/>
      <c r="JXK507" s="325"/>
      <c r="JXL507" s="325"/>
      <c r="JXM507" s="327"/>
      <c r="JXN507" s="28"/>
      <c r="JXO507" s="324"/>
      <c r="JXP507" s="324"/>
      <c r="JXQ507" s="324"/>
      <c r="JXR507" s="324"/>
      <c r="JXS507" s="324"/>
      <c r="JXT507" s="324"/>
      <c r="JXU507" s="256"/>
      <c r="JXV507" s="325"/>
      <c r="JXW507" s="311"/>
      <c r="JXX507" s="325"/>
      <c r="JXY507" s="310"/>
      <c r="JXZ507" s="325"/>
      <c r="JYA507" s="325"/>
      <c r="JYB507" s="325"/>
      <c r="JYC507" s="325"/>
      <c r="JYD507" s="325"/>
      <c r="JYE507" s="325"/>
      <c r="JYF507" s="325"/>
      <c r="JYG507" s="325"/>
      <c r="JYH507" s="325"/>
      <c r="JYI507" s="325"/>
      <c r="JYJ507" s="325"/>
      <c r="JYK507" s="325"/>
      <c r="JYL507" s="325"/>
      <c r="JYM507" s="325"/>
      <c r="JYN507" s="325"/>
      <c r="JYO507" s="325"/>
      <c r="JYP507" s="325"/>
      <c r="JYQ507" s="325"/>
      <c r="JYR507" s="325"/>
      <c r="JYS507" s="325"/>
      <c r="JYT507" s="325"/>
      <c r="JYU507" s="325"/>
      <c r="JYV507" s="325"/>
      <c r="JYW507" s="325"/>
      <c r="JYX507" s="325"/>
      <c r="JYY507" s="325"/>
      <c r="JYZ507" s="325"/>
      <c r="JZA507" s="325"/>
      <c r="JZB507" s="325"/>
      <c r="JZC507" s="325"/>
      <c r="JZD507" s="327"/>
      <c r="JZE507" s="28"/>
      <c r="JZF507" s="324"/>
      <c r="JZG507" s="324"/>
      <c r="JZH507" s="324"/>
      <c r="JZI507" s="324"/>
      <c r="JZJ507" s="324"/>
      <c r="JZK507" s="324"/>
      <c r="JZL507" s="256"/>
      <c r="JZM507" s="325"/>
      <c r="JZN507" s="311"/>
      <c r="JZO507" s="325"/>
      <c r="JZP507" s="310"/>
      <c r="JZQ507" s="325"/>
      <c r="JZR507" s="325"/>
      <c r="JZS507" s="325"/>
      <c r="JZT507" s="325"/>
      <c r="JZU507" s="325"/>
      <c r="JZV507" s="325"/>
      <c r="JZW507" s="325"/>
      <c r="JZX507" s="325"/>
      <c r="JZY507" s="325"/>
      <c r="JZZ507" s="325"/>
      <c r="KAA507" s="325"/>
      <c r="KAB507" s="325"/>
      <c r="KAC507" s="325"/>
      <c r="KAD507" s="325"/>
      <c r="KAE507" s="325"/>
      <c r="KAF507" s="325"/>
      <c r="KAG507" s="325"/>
      <c r="KAH507" s="325"/>
      <c r="KAI507" s="325"/>
      <c r="KAJ507" s="325"/>
      <c r="KAK507" s="325"/>
      <c r="KAL507" s="325"/>
      <c r="KAM507" s="325"/>
      <c r="KAN507" s="325"/>
      <c r="KAO507" s="325"/>
      <c r="KAP507" s="325"/>
      <c r="KAQ507" s="325"/>
      <c r="KAR507" s="325"/>
      <c r="KAS507" s="325"/>
      <c r="KAT507" s="325"/>
      <c r="KAU507" s="327"/>
      <c r="KAV507" s="28"/>
      <c r="KAW507" s="324"/>
      <c r="KAX507" s="324"/>
      <c r="KAY507" s="324"/>
      <c r="KAZ507" s="324"/>
      <c r="KBA507" s="324"/>
      <c r="KBB507" s="324"/>
      <c r="KBC507" s="256"/>
      <c r="KBD507" s="325"/>
      <c r="KBE507" s="311"/>
      <c r="KBF507" s="325"/>
      <c r="KBG507" s="310"/>
      <c r="KBH507" s="325"/>
      <c r="KBI507" s="325"/>
      <c r="KBJ507" s="325"/>
      <c r="KBK507" s="325"/>
      <c r="KBL507" s="325"/>
      <c r="KBM507" s="325"/>
      <c r="KBN507" s="325"/>
      <c r="KBO507" s="325"/>
      <c r="KBP507" s="325"/>
      <c r="KBQ507" s="325"/>
      <c r="KBR507" s="325"/>
      <c r="KBS507" s="325"/>
      <c r="KBT507" s="325"/>
      <c r="KBU507" s="325"/>
      <c r="KBV507" s="325"/>
      <c r="KBW507" s="325"/>
      <c r="KBX507" s="325"/>
      <c r="KBY507" s="325"/>
      <c r="KBZ507" s="325"/>
      <c r="KCA507" s="325"/>
      <c r="KCB507" s="325"/>
      <c r="KCC507" s="325"/>
      <c r="KCD507" s="325"/>
      <c r="KCE507" s="325"/>
      <c r="KCF507" s="325"/>
      <c r="KCG507" s="325"/>
      <c r="KCH507" s="325"/>
      <c r="KCI507" s="325"/>
      <c r="KCJ507" s="325"/>
      <c r="KCK507" s="325"/>
      <c r="KCL507" s="327"/>
      <c r="KCM507" s="28"/>
      <c r="KCN507" s="324"/>
      <c r="KCO507" s="324"/>
      <c r="KCP507" s="324"/>
      <c r="KCQ507" s="324"/>
      <c r="KCR507" s="324"/>
      <c r="KCS507" s="324"/>
      <c r="KCT507" s="256"/>
      <c r="KCU507" s="325"/>
      <c r="KCV507" s="311"/>
      <c r="KCW507" s="325"/>
      <c r="KCX507" s="310"/>
      <c r="KCY507" s="325"/>
      <c r="KCZ507" s="325"/>
      <c r="KDA507" s="325"/>
      <c r="KDB507" s="325"/>
      <c r="KDC507" s="325"/>
      <c r="KDD507" s="325"/>
      <c r="KDE507" s="325"/>
      <c r="KDF507" s="325"/>
      <c r="KDG507" s="325"/>
      <c r="KDH507" s="325"/>
      <c r="KDI507" s="325"/>
      <c r="KDJ507" s="325"/>
      <c r="KDK507" s="325"/>
      <c r="KDL507" s="325"/>
      <c r="KDM507" s="325"/>
      <c r="KDN507" s="325"/>
      <c r="KDO507" s="325"/>
      <c r="KDP507" s="325"/>
      <c r="KDQ507" s="325"/>
      <c r="KDR507" s="325"/>
      <c r="KDS507" s="325"/>
      <c r="KDT507" s="325"/>
      <c r="KDU507" s="325"/>
      <c r="KDV507" s="325"/>
      <c r="KDW507" s="325"/>
      <c r="KDX507" s="325"/>
      <c r="KDY507" s="325"/>
      <c r="KDZ507" s="325"/>
      <c r="KEA507" s="325"/>
      <c r="KEB507" s="325"/>
      <c r="KEC507" s="327"/>
      <c r="KED507" s="28"/>
      <c r="KEE507" s="324"/>
      <c r="KEF507" s="324"/>
      <c r="KEG507" s="324"/>
      <c r="KEH507" s="324"/>
      <c r="KEI507" s="324"/>
      <c r="KEJ507" s="324"/>
      <c r="KEK507" s="256"/>
      <c r="KEL507" s="325"/>
      <c r="KEM507" s="311"/>
      <c r="KEN507" s="325"/>
      <c r="KEO507" s="310"/>
      <c r="KEP507" s="325"/>
      <c r="KEQ507" s="325"/>
      <c r="KER507" s="325"/>
      <c r="KES507" s="325"/>
      <c r="KET507" s="325"/>
      <c r="KEU507" s="325"/>
      <c r="KEV507" s="325"/>
      <c r="KEW507" s="325"/>
      <c r="KEX507" s="325"/>
      <c r="KEY507" s="325"/>
      <c r="KEZ507" s="325"/>
      <c r="KFA507" s="325"/>
      <c r="KFB507" s="325"/>
      <c r="KFC507" s="325"/>
      <c r="KFD507" s="325"/>
      <c r="KFE507" s="325"/>
      <c r="KFF507" s="325"/>
      <c r="KFG507" s="325"/>
      <c r="KFH507" s="325"/>
      <c r="KFI507" s="325"/>
      <c r="KFJ507" s="325"/>
      <c r="KFK507" s="325"/>
      <c r="KFL507" s="325"/>
      <c r="KFM507" s="325"/>
      <c r="KFN507" s="325"/>
      <c r="KFO507" s="325"/>
      <c r="KFP507" s="325"/>
      <c r="KFQ507" s="325"/>
      <c r="KFR507" s="325"/>
      <c r="KFS507" s="325"/>
      <c r="KFT507" s="327"/>
      <c r="KFU507" s="28"/>
      <c r="KFV507" s="324"/>
      <c r="KFW507" s="324"/>
      <c r="KFX507" s="324"/>
      <c r="KFY507" s="324"/>
      <c r="KFZ507" s="324"/>
      <c r="KGA507" s="324"/>
      <c r="KGB507" s="256"/>
      <c r="KGC507" s="325"/>
      <c r="KGD507" s="311"/>
      <c r="KGE507" s="325"/>
      <c r="KGF507" s="310"/>
      <c r="KGG507" s="325"/>
      <c r="KGH507" s="325"/>
      <c r="KGI507" s="325"/>
      <c r="KGJ507" s="325"/>
      <c r="KGK507" s="325"/>
      <c r="KGL507" s="325"/>
      <c r="KGM507" s="325"/>
      <c r="KGN507" s="325"/>
      <c r="KGO507" s="325"/>
      <c r="KGP507" s="325"/>
      <c r="KGQ507" s="325"/>
      <c r="KGR507" s="325"/>
      <c r="KGS507" s="325"/>
      <c r="KGT507" s="325"/>
      <c r="KGU507" s="325"/>
      <c r="KGV507" s="325"/>
      <c r="KGW507" s="325"/>
      <c r="KGX507" s="325"/>
      <c r="KGY507" s="325"/>
      <c r="KGZ507" s="325"/>
      <c r="KHA507" s="325"/>
      <c r="KHB507" s="325"/>
      <c r="KHC507" s="325"/>
      <c r="KHD507" s="325"/>
      <c r="KHE507" s="325"/>
      <c r="KHF507" s="325"/>
      <c r="KHG507" s="325"/>
      <c r="KHH507" s="325"/>
      <c r="KHI507" s="325"/>
      <c r="KHJ507" s="325"/>
      <c r="KHK507" s="327"/>
      <c r="KHL507" s="28"/>
      <c r="KHM507" s="324"/>
      <c r="KHN507" s="324"/>
      <c r="KHO507" s="324"/>
      <c r="KHP507" s="324"/>
      <c r="KHQ507" s="324"/>
      <c r="KHR507" s="324"/>
      <c r="KHS507" s="256"/>
      <c r="KHT507" s="325"/>
      <c r="KHU507" s="311"/>
      <c r="KHV507" s="325"/>
      <c r="KHW507" s="310"/>
      <c r="KHX507" s="325"/>
      <c r="KHY507" s="325"/>
      <c r="KHZ507" s="325"/>
      <c r="KIA507" s="325"/>
      <c r="KIB507" s="325"/>
      <c r="KIC507" s="325"/>
      <c r="KID507" s="325"/>
      <c r="KIE507" s="325"/>
      <c r="KIF507" s="325"/>
      <c r="KIG507" s="325"/>
      <c r="KIH507" s="325"/>
      <c r="KII507" s="325"/>
      <c r="KIJ507" s="325"/>
      <c r="KIK507" s="325"/>
      <c r="KIL507" s="325"/>
      <c r="KIM507" s="325"/>
      <c r="KIN507" s="325"/>
      <c r="KIO507" s="325"/>
      <c r="KIP507" s="325"/>
      <c r="KIQ507" s="325"/>
      <c r="KIR507" s="325"/>
      <c r="KIS507" s="325"/>
      <c r="KIT507" s="325"/>
      <c r="KIU507" s="325"/>
      <c r="KIV507" s="325"/>
      <c r="KIW507" s="325"/>
      <c r="KIX507" s="325"/>
      <c r="KIY507" s="325"/>
      <c r="KIZ507" s="325"/>
      <c r="KJA507" s="325"/>
      <c r="KJB507" s="327"/>
      <c r="KJC507" s="28"/>
      <c r="KJD507" s="324"/>
      <c r="KJE507" s="324"/>
      <c r="KJF507" s="324"/>
      <c r="KJG507" s="324"/>
      <c r="KJH507" s="324"/>
      <c r="KJI507" s="324"/>
      <c r="KJJ507" s="256"/>
      <c r="KJK507" s="325"/>
      <c r="KJL507" s="311"/>
      <c r="KJM507" s="325"/>
      <c r="KJN507" s="310"/>
      <c r="KJO507" s="325"/>
      <c r="KJP507" s="325"/>
      <c r="KJQ507" s="325"/>
      <c r="KJR507" s="325"/>
      <c r="KJS507" s="325"/>
      <c r="KJT507" s="325"/>
      <c r="KJU507" s="325"/>
      <c r="KJV507" s="325"/>
      <c r="KJW507" s="325"/>
      <c r="KJX507" s="325"/>
      <c r="KJY507" s="325"/>
      <c r="KJZ507" s="325"/>
      <c r="KKA507" s="325"/>
      <c r="KKB507" s="325"/>
      <c r="KKC507" s="325"/>
      <c r="KKD507" s="325"/>
      <c r="KKE507" s="325"/>
      <c r="KKF507" s="325"/>
      <c r="KKG507" s="325"/>
      <c r="KKH507" s="325"/>
      <c r="KKI507" s="325"/>
      <c r="KKJ507" s="325"/>
      <c r="KKK507" s="325"/>
      <c r="KKL507" s="325"/>
      <c r="KKM507" s="325"/>
      <c r="KKN507" s="325"/>
      <c r="KKO507" s="325"/>
      <c r="KKP507" s="325"/>
      <c r="KKQ507" s="325"/>
      <c r="KKR507" s="325"/>
      <c r="KKS507" s="327"/>
      <c r="KKT507" s="28"/>
      <c r="KKU507" s="324"/>
      <c r="KKV507" s="324"/>
      <c r="KKW507" s="324"/>
      <c r="KKX507" s="324"/>
      <c r="KKY507" s="324"/>
      <c r="KKZ507" s="324"/>
      <c r="KLA507" s="256"/>
      <c r="KLB507" s="325"/>
      <c r="KLC507" s="311"/>
      <c r="KLD507" s="325"/>
      <c r="KLE507" s="310"/>
      <c r="KLF507" s="325"/>
      <c r="KLG507" s="325"/>
      <c r="KLH507" s="325"/>
      <c r="KLI507" s="325"/>
      <c r="KLJ507" s="325"/>
      <c r="KLK507" s="325"/>
      <c r="KLL507" s="325"/>
      <c r="KLM507" s="325"/>
      <c r="KLN507" s="325"/>
      <c r="KLO507" s="325"/>
      <c r="KLP507" s="325"/>
      <c r="KLQ507" s="325"/>
      <c r="KLR507" s="325"/>
      <c r="KLS507" s="325"/>
      <c r="KLT507" s="325"/>
      <c r="KLU507" s="325"/>
      <c r="KLV507" s="325"/>
      <c r="KLW507" s="325"/>
      <c r="KLX507" s="325"/>
      <c r="KLY507" s="325"/>
      <c r="KLZ507" s="325"/>
      <c r="KMA507" s="325"/>
      <c r="KMB507" s="325"/>
      <c r="KMC507" s="325"/>
      <c r="KMD507" s="325"/>
      <c r="KME507" s="325"/>
      <c r="KMF507" s="325"/>
      <c r="KMG507" s="325"/>
      <c r="KMH507" s="325"/>
      <c r="KMI507" s="325"/>
      <c r="KMJ507" s="327"/>
      <c r="KMK507" s="28"/>
      <c r="KML507" s="324"/>
      <c r="KMM507" s="324"/>
      <c r="KMN507" s="324"/>
      <c r="KMO507" s="324"/>
      <c r="KMP507" s="324"/>
      <c r="KMQ507" s="324"/>
      <c r="KMR507" s="256"/>
      <c r="KMS507" s="325"/>
      <c r="KMT507" s="311"/>
      <c r="KMU507" s="325"/>
      <c r="KMV507" s="310"/>
      <c r="KMW507" s="325"/>
      <c r="KMX507" s="325"/>
      <c r="KMY507" s="325"/>
      <c r="KMZ507" s="325"/>
      <c r="KNA507" s="325"/>
      <c r="KNB507" s="325"/>
      <c r="KNC507" s="325"/>
      <c r="KND507" s="325"/>
      <c r="KNE507" s="325"/>
      <c r="KNF507" s="325"/>
      <c r="KNG507" s="325"/>
      <c r="KNH507" s="325"/>
      <c r="KNI507" s="325"/>
      <c r="KNJ507" s="325"/>
      <c r="KNK507" s="325"/>
      <c r="KNL507" s="325"/>
      <c r="KNM507" s="325"/>
      <c r="KNN507" s="325"/>
      <c r="KNO507" s="325"/>
      <c r="KNP507" s="325"/>
      <c r="KNQ507" s="325"/>
      <c r="KNR507" s="325"/>
      <c r="KNS507" s="325"/>
      <c r="KNT507" s="325"/>
      <c r="KNU507" s="325"/>
      <c r="KNV507" s="325"/>
      <c r="KNW507" s="325"/>
      <c r="KNX507" s="325"/>
      <c r="KNY507" s="325"/>
      <c r="KNZ507" s="325"/>
      <c r="KOA507" s="327"/>
      <c r="KOB507" s="28"/>
      <c r="KOC507" s="324"/>
      <c r="KOD507" s="324"/>
      <c r="KOE507" s="324"/>
      <c r="KOF507" s="324"/>
      <c r="KOG507" s="324"/>
      <c r="KOH507" s="324"/>
      <c r="KOI507" s="256"/>
      <c r="KOJ507" s="325"/>
      <c r="KOK507" s="311"/>
      <c r="KOL507" s="325"/>
      <c r="KOM507" s="310"/>
      <c r="KON507" s="325"/>
      <c r="KOO507" s="325"/>
      <c r="KOP507" s="325"/>
      <c r="KOQ507" s="325"/>
      <c r="KOR507" s="325"/>
      <c r="KOS507" s="325"/>
      <c r="KOT507" s="325"/>
      <c r="KOU507" s="325"/>
      <c r="KOV507" s="325"/>
      <c r="KOW507" s="325"/>
      <c r="KOX507" s="325"/>
      <c r="KOY507" s="325"/>
      <c r="KOZ507" s="325"/>
      <c r="KPA507" s="325"/>
      <c r="KPB507" s="325"/>
      <c r="KPC507" s="325"/>
      <c r="KPD507" s="325"/>
      <c r="KPE507" s="325"/>
      <c r="KPF507" s="325"/>
      <c r="KPG507" s="325"/>
      <c r="KPH507" s="325"/>
      <c r="KPI507" s="325"/>
      <c r="KPJ507" s="325"/>
      <c r="KPK507" s="325"/>
      <c r="KPL507" s="325"/>
      <c r="KPM507" s="325"/>
      <c r="KPN507" s="325"/>
      <c r="KPO507" s="325"/>
      <c r="KPP507" s="325"/>
      <c r="KPQ507" s="325"/>
      <c r="KPR507" s="327"/>
      <c r="KPS507" s="28"/>
      <c r="KPT507" s="324"/>
      <c r="KPU507" s="324"/>
      <c r="KPV507" s="324"/>
      <c r="KPW507" s="324"/>
      <c r="KPX507" s="324"/>
      <c r="KPY507" s="324"/>
      <c r="KPZ507" s="256"/>
      <c r="KQA507" s="325"/>
      <c r="KQB507" s="311"/>
      <c r="KQC507" s="325"/>
      <c r="KQD507" s="310"/>
      <c r="KQE507" s="325"/>
      <c r="KQF507" s="325"/>
      <c r="KQG507" s="325"/>
      <c r="KQH507" s="325"/>
      <c r="KQI507" s="325"/>
      <c r="KQJ507" s="325"/>
      <c r="KQK507" s="325"/>
      <c r="KQL507" s="325"/>
      <c r="KQM507" s="325"/>
      <c r="KQN507" s="325"/>
      <c r="KQO507" s="325"/>
      <c r="KQP507" s="325"/>
      <c r="KQQ507" s="325"/>
      <c r="KQR507" s="325"/>
      <c r="KQS507" s="325"/>
      <c r="KQT507" s="325"/>
      <c r="KQU507" s="325"/>
      <c r="KQV507" s="325"/>
      <c r="KQW507" s="325"/>
      <c r="KQX507" s="325"/>
      <c r="KQY507" s="325"/>
      <c r="KQZ507" s="325"/>
      <c r="KRA507" s="325"/>
      <c r="KRB507" s="325"/>
      <c r="KRC507" s="325"/>
      <c r="KRD507" s="325"/>
      <c r="KRE507" s="325"/>
      <c r="KRF507" s="325"/>
      <c r="KRG507" s="325"/>
      <c r="KRH507" s="325"/>
      <c r="KRI507" s="327"/>
      <c r="KRJ507" s="28"/>
      <c r="KRK507" s="324"/>
      <c r="KRL507" s="324"/>
      <c r="KRM507" s="324"/>
      <c r="KRN507" s="324"/>
      <c r="KRO507" s="324"/>
      <c r="KRP507" s="324"/>
      <c r="KRQ507" s="256"/>
      <c r="KRR507" s="325"/>
      <c r="KRS507" s="311"/>
      <c r="KRT507" s="325"/>
      <c r="KRU507" s="310"/>
      <c r="KRV507" s="325"/>
      <c r="KRW507" s="325"/>
      <c r="KRX507" s="325"/>
      <c r="KRY507" s="325"/>
      <c r="KRZ507" s="325"/>
      <c r="KSA507" s="325"/>
      <c r="KSB507" s="325"/>
      <c r="KSC507" s="325"/>
      <c r="KSD507" s="325"/>
      <c r="KSE507" s="325"/>
      <c r="KSF507" s="325"/>
      <c r="KSG507" s="325"/>
      <c r="KSH507" s="325"/>
      <c r="KSI507" s="325"/>
      <c r="KSJ507" s="325"/>
      <c r="KSK507" s="325"/>
      <c r="KSL507" s="325"/>
      <c r="KSM507" s="325"/>
      <c r="KSN507" s="325"/>
      <c r="KSO507" s="325"/>
      <c r="KSP507" s="325"/>
      <c r="KSQ507" s="325"/>
      <c r="KSR507" s="325"/>
      <c r="KSS507" s="325"/>
      <c r="KST507" s="325"/>
      <c r="KSU507" s="325"/>
      <c r="KSV507" s="325"/>
      <c r="KSW507" s="325"/>
      <c r="KSX507" s="325"/>
      <c r="KSY507" s="325"/>
      <c r="KSZ507" s="327"/>
      <c r="KTA507" s="28"/>
      <c r="KTB507" s="324"/>
      <c r="KTC507" s="324"/>
      <c r="KTD507" s="324"/>
      <c r="KTE507" s="324"/>
      <c r="KTF507" s="324"/>
      <c r="KTG507" s="324"/>
      <c r="KTH507" s="256"/>
      <c r="KTI507" s="325"/>
      <c r="KTJ507" s="311"/>
      <c r="KTK507" s="325"/>
      <c r="KTL507" s="310"/>
      <c r="KTM507" s="325"/>
      <c r="KTN507" s="325"/>
      <c r="KTO507" s="325"/>
      <c r="KTP507" s="325"/>
      <c r="KTQ507" s="325"/>
      <c r="KTR507" s="325"/>
      <c r="KTS507" s="325"/>
      <c r="KTT507" s="325"/>
      <c r="KTU507" s="325"/>
      <c r="KTV507" s="325"/>
      <c r="KTW507" s="325"/>
      <c r="KTX507" s="325"/>
      <c r="KTY507" s="325"/>
      <c r="KTZ507" s="325"/>
      <c r="KUA507" s="325"/>
      <c r="KUB507" s="325"/>
      <c r="KUC507" s="325"/>
      <c r="KUD507" s="325"/>
      <c r="KUE507" s="325"/>
      <c r="KUF507" s="325"/>
      <c r="KUG507" s="325"/>
      <c r="KUH507" s="325"/>
      <c r="KUI507" s="325"/>
      <c r="KUJ507" s="325"/>
      <c r="KUK507" s="325"/>
      <c r="KUL507" s="325"/>
      <c r="KUM507" s="325"/>
      <c r="KUN507" s="325"/>
      <c r="KUO507" s="325"/>
      <c r="KUP507" s="325"/>
      <c r="KUQ507" s="327"/>
      <c r="KUR507" s="28"/>
      <c r="KUS507" s="324"/>
      <c r="KUT507" s="324"/>
      <c r="KUU507" s="324"/>
      <c r="KUV507" s="324"/>
      <c r="KUW507" s="324"/>
      <c r="KUX507" s="324"/>
      <c r="KUY507" s="256"/>
      <c r="KUZ507" s="325"/>
      <c r="KVA507" s="311"/>
      <c r="KVB507" s="325"/>
      <c r="KVC507" s="310"/>
      <c r="KVD507" s="325"/>
      <c r="KVE507" s="325"/>
      <c r="KVF507" s="325"/>
      <c r="KVG507" s="325"/>
      <c r="KVH507" s="325"/>
      <c r="KVI507" s="325"/>
      <c r="KVJ507" s="325"/>
      <c r="KVK507" s="325"/>
      <c r="KVL507" s="325"/>
      <c r="KVM507" s="325"/>
      <c r="KVN507" s="325"/>
      <c r="KVO507" s="325"/>
      <c r="KVP507" s="325"/>
      <c r="KVQ507" s="325"/>
      <c r="KVR507" s="325"/>
      <c r="KVS507" s="325"/>
      <c r="KVT507" s="325"/>
      <c r="KVU507" s="325"/>
      <c r="KVV507" s="325"/>
      <c r="KVW507" s="325"/>
      <c r="KVX507" s="325"/>
      <c r="KVY507" s="325"/>
      <c r="KVZ507" s="325"/>
      <c r="KWA507" s="325"/>
      <c r="KWB507" s="325"/>
      <c r="KWC507" s="325"/>
      <c r="KWD507" s="325"/>
      <c r="KWE507" s="325"/>
      <c r="KWF507" s="325"/>
      <c r="KWG507" s="325"/>
      <c r="KWH507" s="327"/>
      <c r="KWI507" s="28"/>
      <c r="KWJ507" s="324"/>
      <c r="KWK507" s="324"/>
      <c r="KWL507" s="324"/>
      <c r="KWM507" s="324"/>
      <c r="KWN507" s="324"/>
      <c r="KWO507" s="324"/>
      <c r="KWP507" s="256"/>
      <c r="KWQ507" s="325"/>
      <c r="KWR507" s="311"/>
      <c r="KWS507" s="325"/>
      <c r="KWT507" s="310"/>
      <c r="KWU507" s="325"/>
      <c r="KWV507" s="325"/>
      <c r="KWW507" s="325"/>
      <c r="KWX507" s="325"/>
      <c r="KWY507" s="325"/>
      <c r="KWZ507" s="325"/>
      <c r="KXA507" s="325"/>
      <c r="KXB507" s="325"/>
      <c r="KXC507" s="325"/>
      <c r="KXD507" s="325"/>
      <c r="KXE507" s="325"/>
      <c r="KXF507" s="325"/>
      <c r="KXG507" s="325"/>
      <c r="KXH507" s="325"/>
      <c r="KXI507" s="325"/>
      <c r="KXJ507" s="325"/>
      <c r="KXK507" s="325"/>
      <c r="KXL507" s="325"/>
      <c r="KXM507" s="325"/>
      <c r="KXN507" s="325"/>
      <c r="KXO507" s="325"/>
      <c r="KXP507" s="325"/>
      <c r="KXQ507" s="325"/>
      <c r="KXR507" s="325"/>
      <c r="KXS507" s="325"/>
      <c r="KXT507" s="325"/>
      <c r="KXU507" s="325"/>
      <c r="KXV507" s="325"/>
      <c r="KXW507" s="325"/>
      <c r="KXX507" s="325"/>
      <c r="KXY507" s="327"/>
      <c r="KXZ507" s="28"/>
      <c r="KYA507" s="324"/>
      <c r="KYB507" s="324"/>
      <c r="KYC507" s="324"/>
      <c r="KYD507" s="324"/>
      <c r="KYE507" s="324"/>
      <c r="KYF507" s="324"/>
      <c r="KYG507" s="256"/>
      <c r="KYH507" s="325"/>
      <c r="KYI507" s="311"/>
      <c r="KYJ507" s="325"/>
      <c r="KYK507" s="310"/>
      <c r="KYL507" s="325"/>
      <c r="KYM507" s="325"/>
      <c r="KYN507" s="325"/>
      <c r="KYO507" s="325"/>
      <c r="KYP507" s="325"/>
      <c r="KYQ507" s="325"/>
      <c r="KYR507" s="325"/>
      <c r="KYS507" s="325"/>
      <c r="KYT507" s="325"/>
      <c r="KYU507" s="325"/>
      <c r="KYV507" s="325"/>
      <c r="KYW507" s="325"/>
      <c r="KYX507" s="325"/>
      <c r="KYY507" s="325"/>
      <c r="KYZ507" s="325"/>
      <c r="KZA507" s="325"/>
      <c r="KZB507" s="325"/>
      <c r="KZC507" s="325"/>
      <c r="KZD507" s="325"/>
      <c r="KZE507" s="325"/>
      <c r="KZF507" s="325"/>
      <c r="KZG507" s="325"/>
      <c r="KZH507" s="325"/>
      <c r="KZI507" s="325"/>
      <c r="KZJ507" s="325"/>
      <c r="KZK507" s="325"/>
      <c r="KZL507" s="325"/>
      <c r="KZM507" s="325"/>
      <c r="KZN507" s="325"/>
      <c r="KZO507" s="325"/>
      <c r="KZP507" s="327"/>
      <c r="KZQ507" s="28"/>
      <c r="KZR507" s="324"/>
      <c r="KZS507" s="324"/>
      <c r="KZT507" s="324"/>
      <c r="KZU507" s="324"/>
      <c r="KZV507" s="324"/>
      <c r="KZW507" s="324"/>
      <c r="KZX507" s="256"/>
      <c r="KZY507" s="325"/>
      <c r="KZZ507" s="311"/>
      <c r="LAA507" s="325"/>
      <c r="LAB507" s="310"/>
      <c r="LAC507" s="325"/>
      <c r="LAD507" s="325"/>
      <c r="LAE507" s="325"/>
      <c r="LAF507" s="325"/>
      <c r="LAG507" s="325"/>
      <c r="LAH507" s="325"/>
      <c r="LAI507" s="325"/>
      <c r="LAJ507" s="325"/>
      <c r="LAK507" s="325"/>
      <c r="LAL507" s="325"/>
      <c r="LAM507" s="325"/>
      <c r="LAN507" s="325"/>
      <c r="LAO507" s="325"/>
      <c r="LAP507" s="325"/>
      <c r="LAQ507" s="325"/>
      <c r="LAR507" s="325"/>
      <c r="LAS507" s="325"/>
      <c r="LAT507" s="325"/>
      <c r="LAU507" s="325"/>
      <c r="LAV507" s="325"/>
      <c r="LAW507" s="325"/>
      <c r="LAX507" s="325"/>
      <c r="LAY507" s="325"/>
      <c r="LAZ507" s="325"/>
      <c r="LBA507" s="325"/>
      <c r="LBB507" s="325"/>
      <c r="LBC507" s="325"/>
      <c r="LBD507" s="325"/>
      <c r="LBE507" s="325"/>
      <c r="LBF507" s="325"/>
      <c r="LBG507" s="327"/>
      <c r="LBH507" s="28"/>
      <c r="LBI507" s="324"/>
      <c r="LBJ507" s="324"/>
      <c r="LBK507" s="324"/>
      <c r="LBL507" s="324"/>
      <c r="LBM507" s="324"/>
      <c r="LBN507" s="324"/>
      <c r="LBO507" s="256"/>
      <c r="LBP507" s="325"/>
      <c r="LBQ507" s="311"/>
      <c r="LBR507" s="325"/>
      <c r="LBS507" s="310"/>
      <c r="LBT507" s="325"/>
      <c r="LBU507" s="325"/>
      <c r="LBV507" s="325"/>
      <c r="LBW507" s="325"/>
      <c r="LBX507" s="325"/>
      <c r="LBY507" s="325"/>
      <c r="LBZ507" s="325"/>
      <c r="LCA507" s="325"/>
      <c r="LCB507" s="325"/>
      <c r="LCC507" s="325"/>
      <c r="LCD507" s="325"/>
      <c r="LCE507" s="325"/>
      <c r="LCF507" s="325"/>
      <c r="LCG507" s="325"/>
      <c r="LCH507" s="325"/>
      <c r="LCI507" s="325"/>
      <c r="LCJ507" s="325"/>
      <c r="LCK507" s="325"/>
      <c r="LCL507" s="325"/>
      <c r="LCM507" s="325"/>
      <c r="LCN507" s="325"/>
      <c r="LCO507" s="325"/>
      <c r="LCP507" s="325"/>
      <c r="LCQ507" s="325"/>
      <c r="LCR507" s="325"/>
      <c r="LCS507" s="325"/>
      <c r="LCT507" s="325"/>
      <c r="LCU507" s="325"/>
      <c r="LCV507" s="325"/>
      <c r="LCW507" s="325"/>
      <c r="LCX507" s="327"/>
      <c r="LCY507" s="28"/>
      <c r="LCZ507" s="324"/>
      <c r="LDA507" s="324"/>
      <c r="LDB507" s="324"/>
      <c r="LDC507" s="324"/>
      <c r="LDD507" s="324"/>
      <c r="LDE507" s="324"/>
      <c r="LDF507" s="256"/>
      <c r="LDG507" s="325"/>
      <c r="LDH507" s="311"/>
      <c r="LDI507" s="325"/>
      <c r="LDJ507" s="310"/>
      <c r="LDK507" s="325"/>
      <c r="LDL507" s="325"/>
      <c r="LDM507" s="325"/>
      <c r="LDN507" s="325"/>
      <c r="LDO507" s="325"/>
      <c r="LDP507" s="325"/>
      <c r="LDQ507" s="325"/>
      <c r="LDR507" s="325"/>
      <c r="LDS507" s="325"/>
      <c r="LDT507" s="325"/>
      <c r="LDU507" s="325"/>
      <c r="LDV507" s="325"/>
      <c r="LDW507" s="325"/>
      <c r="LDX507" s="325"/>
      <c r="LDY507" s="325"/>
      <c r="LDZ507" s="325"/>
      <c r="LEA507" s="325"/>
      <c r="LEB507" s="325"/>
      <c r="LEC507" s="325"/>
      <c r="LED507" s="325"/>
      <c r="LEE507" s="325"/>
      <c r="LEF507" s="325"/>
      <c r="LEG507" s="325"/>
      <c r="LEH507" s="325"/>
      <c r="LEI507" s="325"/>
      <c r="LEJ507" s="325"/>
      <c r="LEK507" s="325"/>
      <c r="LEL507" s="325"/>
      <c r="LEM507" s="325"/>
      <c r="LEN507" s="325"/>
      <c r="LEO507" s="327"/>
      <c r="LEP507" s="28"/>
      <c r="LEQ507" s="324"/>
      <c r="LER507" s="324"/>
      <c r="LES507" s="324"/>
      <c r="LET507" s="324"/>
      <c r="LEU507" s="324"/>
      <c r="LEV507" s="324"/>
      <c r="LEW507" s="256"/>
      <c r="LEX507" s="325"/>
      <c r="LEY507" s="311"/>
      <c r="LEZ507" s="325"/>
      <c r="LFA507" s="310"/>
      <c r="LFB507" s="325"/>
      <c r="LFC507" s="325"/>
      <c r="LFD507" s="325"/>
      <c r="LFE507" s="325"/>
      <c r="LFF507" s="325"/>
      <c r="LFG507" s="325"/>
      <c r="LFH507" s="325"/>
      <c r="LFI507" s="325"/>
      <c r="LFJ507" s="325"/>
      <c r="LFK507" s="325"/>
      <c r="LFL507" s="325"/>
      <c r="LFM507" s="325"/>
      <c r="LFN507" s="325"/>
      <c r="LFO507" s="325"/>
      <c r="LFP507" s="325"/>
      <c r="LFQ507" s="325"/>
      <c r="LFR507" s="325"/>
      <c r="LFS507" s="325"/>
      <c r="LFT507" s="325"/>
      <c r="LFU507" s="325"/>
      <c r="LFV507" s="325"/>
      <c r="LFW507" s="325"/>
      <c r="LFX507" s="325"/>
      <c r="LFY507" s="325"/>
      <c r="LFZ507" s="325"/>
      <c r="LGA507" s="325"/>
      <c r="LGB507" s="325"/>
      <c r="LGC507" s="325"/>
      <c r="LGD507" s="325"/>
      <c r="LGE507" s="325"/>
      <c r="LGF507" s="327"/>
      <c r="LGG507" s="28"/>
      <c r="LGH507" s="324"/>
      <c r="LGI507" s="324"/>
      <c r="LGJ507" s="324"/>
      <c r="LGK507" s="324"/>
      <c r="LGL507" s="324"/>
      <c r="LGM507" s="324"/>
      <c r="LGN507" s="256"/>
      <c r="LGO507" s="325"/>
      <c r="LGP507" s="311"/>
      <c r="LGQ507" s="325"/>
      <c r="LGR507" s="310"/>
      <c r="LGS507" s="325"/>
      <c r="LGT507" s="325"/>
      <c r="LGU507" s="325"/>
      <c r="LGV507" s="325"/>
      <c r="LGW507" s="325"/>
      <c r="LGX507" s="325"/>
      <c r="LGY507" s="325"/>
      <c r="LGZ507" s="325"/>
      <c r="LHA507" s="325"/>
      <c r="LHB507" s="325"/>
      <c r="LHC507" s="325"/>
      <c r="LHD507" s="325"/>
      <c r="LHE507" s="325"/>
      <c r="LHF507" s="325"/>
      <c r="LHG507" s="325"/>
      <c r="LHH507" s="325"/>
      <c r="LHI507" s="325"/>
      <c r="LHJ507" s="325"/>
      <c r="LHK507" s="325"/>
      <c r="LHL507" s="325"/>
      <c r="LHM507" s="325"/>
      <c r="LHN507" s="325"/>
      <c r="LHO507" s="325"/>
      <c r="LHP507" s="325"/>
      <c r="LHQ507" s="325"/>
      <c r="LHR507" s="325"/>
      <c r="LHS507" s="325"/>
      <c r="LHT507" s="325"/>
      <c r="LHU507" s="325"/>
      <c r="LHV507" s="325"/>
      <c r="LHW507" s="327"/>
      <c r="LHX507" s="28"/>
      <c r="LHY507" s="324"/>
      <c r="LHZ507" s="324"/>
      <c r="LIA507" s="324"/>
      <c r="LIB507" s="324"/>
      <c r="LIC507" s="324"/>
      <c r="LID507" s="324"/>
      <c r="LIE507" s="256"/>
      <c r="LIF507" s="325"/>
      <c r="LIG507" s="311"/>
      <c r="LIH507" s="325"/>
      <c r="LII507" s="310"/>
      <c r="LIJ507" s="325"/>
      <c r="LIK507" s="325"/>
      <c r="LIL507" s="325"/>
      <c r="LIM507" s="325"/>
      <c r="LIN507" s="325"/>
      <c r="LIO507" s="325"/>
      <c r="LIP507" s="325"/>
      <c r="LIQ507" s="325"/>
      <c r="LIR507" s="325"/>
      <c r="LIS507" s="325"/>
      <c r="LIT507" s="325"/>
      <c r="LIU507" s="325"/>
      <c r="LIV507" s="325"/>
      <c r="LIW507" s="325"/>
      <c r="LIX507" s="325"/>
      <c r="LIY507" s="325"/>
      <c r="LIZ507" s="325"/>
      <c r="LJA507" s="325"/>
      <c r="LJB507" s="325"/>
      <c r="LJC507" s="325"/>
      <c r="LJD507" s="325"/>
      <c r="LJE507" s="325"/>
      <c r="LJF507" s="325"/>
      <c r="LJG507" s="325"/>
      <c r="LJH507" s="325"/>
      <c r="LJI507" s="325"/>
      <c r="LJJ507" s="325"/>
      <c r="LJK507" s="325"/>
      <c r="LJL507" s="325"/>
      <c r="LJM507" s="325"/>
      <c r="LJN507" s="327"/>
      <c r="LJO507" s="28"/>
      <c r="LJP507" s="324"/>
      <c r="LJQ507" s="324"/>
      <c r="LJR507" s="324"/>
      <c r="LJS507" s="324"/>
      <c r="LJT507" s="324"/>
      <c r="LJU507" s="324"/>
      <c r="LJV507" s="256"/>
      <c r="LJW507" s="325"/>
      <c r="LJX507" s="311"/>
      <c r="LJY507" s="325"/>
      <c r="LJZ507" s="310"/>
      <c r="LKA507" s="325"/>
      <c r="LKB507" s="325"/>
      <c r="LKC507" s="325"/>
      <c r="LKD507" s="325"/>
      <c r="LKE507" s="325"/>
      <c r="LKF507" s="325"/>
      <c r="LKG507" s="325"/>
      <c r="LKH507" s="325"/>
      <c r="LKI507" s="325"/>
      <c r="LKJ507" s="325"/>
      <c r="LKK507" s="325"/>
      <c r="LKL507" s="325"/>
      <c r="LKM507" s="325"/>
      <c r="LKN507" s="325"/>
      <c r="LKO507" s="325"/>
      <c r="LKP507" s="325"/>
      <c r="LKQ507" s="325"/>
      <c r="LKR507" s="325"/>
      <c r="LKS507" s="325"/>
      <c r="LKT507" s="325"/>
      <c r="LKU507" s="325"/>
      <c r="LKV507" s="325"/>
      <c r="LKW507" s="325"/>
      <c r="LKX507" s="325"/>
      <c r="LKY507" s="325"/>
      <c r="LKZ507" s="325"/>
      <c r="LLA507" s="325"/>
      <c r="LLB507" s="325"/>
      <c r="LLC507" s="325"/>
      <c r="LLD507" s="325"/>
      <c r="LLE507" s="327"/>
      <c r="LLF507" s="28"/>
      <c r="LLG507" s="324"/>
      <c r="LLH507" s="324"/>
      <c r="LLI507" s="324"/>
      <c r="LLJ507" s="324"/>
      <c r="LLK507" s="324"/>
      <c r="LLL507" s="324"/>
      <c r="LLM507" s="256"/>
      <c r="LLN507" s="325"/>
      <c r="LLO507" s="311"/>
      <c r="LLP507" s="325"/>
      <c r="LLQ507" s="310"/>
      <c r="LLR507" s="325"/>
      <c r="LLS507" s="325"/>
      <c r="LLT507" s="325"/>
      <c r="LLU507" s="325"/>
      <c r="LLV507" s="325"/>
      <c r="LLW507" s="325"/>
      <c r="LLX507" s="325"/>
      <c r="LLY507" s="325"/>
      <c r="LLZ507" s="325"/>
      <c r="LMA507" s="325"/>
      <c r="LMB507" s="325"/>
      <c r="LMC507" s="325"/>
      <c r="LMD507" s="325"/>
      <c r="LME507" s="325"/>
      <c r="LMF507" s="325"/>
      <c r="LMG507" s="325"/>
      <c r="LMH507" s="325"/>
      <c r="LMI507" s="325"/>
      <c r="LMJ507" s="325"/>
      <c r="LMK507" s="325"/>
      <c r="LML507" s="325"/>
      <c r="LMM507" s="325"/>
      <c r="LMN507" s="325"/>
      <c r="LMO507" s="325"/>
      <c r="LMP507" s="325"/>
      <c r="LMQ507" s="325"/>
      <c r="LMR507" s="325"/>
      <c r="LMS507" s="325"/>
      <c r="LMT507" s="325"/>
      <c r="LMU507" s="325"/>
      <c r="LMV507" s="327"/>
      <c r="LMW507" s="28"/>
      <c r="LMX507" s="324"/>
      <c r="LMY507" s="324"/>
      <c r="LMZ507" s="324"/>
      <c r="LNA507" s="324"/>
      <c r="LNB507" s="324"/>
      <c r="LNC507" s="324"/>
      <c r="LND507" s="256"/>
      <c r="LNE507" s="325"/>
      <c r="LNF507" s="311"/>
      <c r="LNG507" s="325"/>
      <c r="LNH507" s="310"/>
      <c r="LNI507" s="325"/>
      <c r="LNJ507" s="325"/>
      <c r="LNK507" s="325"/>
      <c r="LNL507" s="325"/>
      <c r="LNM507" s="325"/>
      <c r="LNN507" s="325"/>
      <c r="LNO507" s="325"/>
      <c r="LNP507" s="325"/>
      <c r="LNQ507" s="325"/>
      <c r="LNR507" s="325"/>
      <c r="LNS507" s="325"/>
      <c r="LNT507" s="325"/>
      <c r="LNU507" s="325"/>
      <c r="LNV507" s="325"/>
      <c r="LNW507" s="325"/>
      <c r="LNX507" s="325"/>
      <c r="LNY507" s="325"/>
      <c r="LNZ507" s="325"/>
      <c r="LOA507" s="325"/>
      <c r="LOB507" s="325"/>
      <c r="LOC507" s="325"/>
      <c r="LOD507" s="325"/>
      <c r="LOE507" s="325"/>
      <c r="LOF507" s="325"/>
      <c r="LOG507" s="325"/>
      <c r="LOH507" s="325"/>
      <c r="LOI507" s="325"/>
      <c r="LOJ507" s="325"/>
      <c r="LOK507" s="325"/>
      <c r="LOL507" s="325"/>
      <c r="LOM507" s="327"/>
      <c r="LON507" s="28"/>
      <c r="LOO507" s="324"/>
      <c r="LOP507" s="324"/>
      <c r="LOQ507" s="324"/>
      <c r="LOR507" s="324"/>
      <c r="LOS507" s="324"/>
      <c r="LOT507" s="324"/>
      <c r="LOU507" s="256"/>
      <c r="LOV507" s="325"/>
      <c r="LOW507" s="311"/>
      <c r="LOX507" s="325"/>
      <c r="LOY507" s="310"/>
      <c r="LOZ507" s="325"/>
      <c r="LPA507" s="325"/>
      <c r="LPB507" s="325"/>
      <c r="LPC507" s="325"/>
      <c r="LPD507" s="325"/>
      <c r="LPE507" s="325"/>
      <c r="LPF507" s="325"/>
      <c r="LPG507" s="325"/>
      <c r="LPH507" s="325"/>
      <c r="LPI507" s="325"/>
      <c r="LPJ507" s="325"/>
      <c r="LPK507" s="325"/>
      <c r="LPL507" s="325"/>
      <c r="LPM507" s="325"/>
      <c r="LPN507" s="325"/>
      <c r="LPO507" s="325"/>
      <c r="LPP507" s="325"/>
      <c r="LPQ507" s="325"/>
      <c r="LPR507" s="325"/>
      <c r="LPS507" s="325"/>
      <c r="LPT507" s="325"/>
      <c r="LPU507" s="325"/>
      <c r="LPV507" s="325"/>
      <c r="LPW507" s="325"/>
      <c r="LPX507" s="325"/>
      <c r="LPY507" s="325"/>
      <c r="LPZ507" s="325"/>
      <c r="LQA507" s="325"/>
      <c r="LQB507" s="325"/>
      <c r="LQC507" s="325"/>
      <c r="LQD507" s="327"/>
      <c r="LQE507" s="28"/>
      <c r="LQF507" s="324"/>
      <c r="LQG507" s="324"/>
      <c r="LQH507" s="324"/>
      <c r="LQI507" s="324"/>
      <c r="LQJ507" s="324"/>
      <c r="LQK507" s="324"/>
      <c r="LQL507" s="256"/>
      <c r="LQM507" s="325"/>
      <c r="LQN507" s="311"/>
      <c r="LQO507" s="325"/>
      <c r="LQP507" s="310"/>
      <c r="LQQ507" s="325"/>
      <c r="LQR507" s="325"/>
      <c r="LQS507" s="325"/>
      <c r="LQT507" s="325"/>
      <c r="LQU507" s="325"/>
      <c r="LQV507" s="325"/>
      <c r="LQW507" s="325"/>
      <c r="LQX507" s="325"/>
      <c r="LQY507" s="325"/>
      <c r="LQZ507" s="325"/>
      <c r="LRA507" s="325"/>
      <c r="LRB507" s="325"/>
      <c r="LRC507" s="325"/>
      <c r="LRD507" s="325"/>
      <c r="LRE507" s="325"/>
      <c r="LRF507" s="325"/>
      <c r="LRG507" s="325"/>
      <c r="LRH507" s="325"/>
      <c r="LRI507" s="325"/>
      <c r="LRJ507" s="325"/>
      <c r="LRK507" s="325"/>
      <c r="LRL507" s="325"/>
      <c r="LRM507" s="325"/>
      <c r="LRN507" s="325"/>
      <c r="LRO507" s="325"/>
      <c r="LRP507" s="325"/>
      <c r="LRQ507" s="325"/>
      <c r="LRR507" s="325"/>
      <c r="LRS507" s="325"/>
      <c r="LRT507" s="325"/>
      <c r="LRU507" s="327"/>
      <c r="LRV507" s="28"/>
      <c r="LRW507" s="324"/>
      <c r="LRX507" s="324"/>
      <c r="LRY507" s="324"/>
      <c r="LRZ507" s="324"/>
      <c r="LSA507" s="324"/>
      <c r="LSB507" s="324"/>
      <c r="LSC507" s="256"/>
      <c r="LSD507" s="325"/>
      <c r="LSE507" s="311"/>
      <c r="LSF507" s="325"/>
      <c r="LSG507" s="310"/>
      <c r="LSH507" s="325"/>
      <c r="LSI507" s="325"/>
      <c r="LSJ507" s="325"/>
      <c r="LSK507" s="325"/>
      <c r="LSL507" s="325"/>
      <c r="LSM507" s="325"/>
      <c r="LSN507" s="325"/>
      <c r="LSO507" s="325"/>
      <c r="LSP507" s="325"/>
      <c r="LSQ507" s="325"/>
      <c r="LSR507" s="325"/>
      <c r="LSS507" s="325"/>
      <c r="LST507" s="325"/>
      <c r="LSU507" s="325"/>
      <c r="LSV507" s="325"/>
      <c r="LSW507" s="325"/>
      <c r="LSX507" s="325"/>
      <c r="LSY507" s="325"/>
      <c r="LSZ507" s="325"/>
      <c r="LTA507" s="325"/>
      <c r="LTB507" s="325"/>
      <c r="LTC507" s="325"/>
      <c r="LTD507" s="325"/>
      <c r="LTE507" s="325"/>
      <c r="LTF507" s="325"/>
      <c r="LTG507" s="325"/>
      <c r="LTH507" s="325"/>
      <c r="LTI507" s="325"/>
      <c r="LTJ507" s="325"/>
      <c r="LTK507" s="325"/>
      <c r="LTL507" s="327"/>
      <c r="LTM507" s="28"/>
      <c r="LTN507" s="324"/>
      <c r="LTO507" s="324"/>
      <c r="LTP507" s="324"/>
      <c r="LTQ507" s="324"/>
      <c r="LTR507" s="324"/>
      <c r="LTS507" s="324"/>
      <c r="LTT507" s="256"/>
      <c r="LTU507" s="325"/>
      <c r="LTV507" s="311"/>
      <c r="LTW507" s="325"/>
      <c r="LTX507" s="310"/>
      <c r="LTY507" s="325"/>
      <c r="LTZ507" s="325"/>
      <c r="LUA507" s="325"/>
      <c r="LUB507" s="325"/>
      <c r="LUC507" s="325"/>
      <c r="LUD507" s="325"/>
      <c r="LUE507" s="325"/>
      <c r="LUF507" s="325"/>
      <c r="LUG507" s="325"/>
      <c r="LUH507" s="325"/>
      <c r="LUI507" s="325"/>
      <c r="LUJ507" s="325"/>
      <c r="LUK507" s="325"/>
      <c r="LUL507" s="325"/>
      <c r="LUM507" s="325"/>
      <c r="LUN507" s="325"/>
      <c r="LUO507" s="325"/>
      <c r="LUP507" s="325"/>
      <c r="LUQ507" s="325"/>
      <c r="LUR507" s="325"/>
      <c r="LUS507" s="325"/>
      <c r="LUT507" s="325"/>
      <c r="LUU507" s="325"/>
      <c r="LUV507" s="325"/>
      <c r="LUW507" s="325"/>
      <c r="LUX507" s="325"/>
      <c r="LUY507" s="325"/>
      <c r="LUZ507" s="325"/>
      <c r="LVA507" s="325"/>
      <c r="LVB507" s="325"/>
      <c r="LVC507" s="327"/>
      <c r="LVD507" s="28"/>
      <c r="LVE507" s="324"/>
      <c r="LVF507" s="324"/>
      <c r="LVG507" s="324"/>
      <c r="LVH507" s="324"/>
      <c r="LVI507" s="324"/>
      <c r="LVJ507" s="324"/>
      <c r="LVK507" s="256"/>
      <c r="LVL507" s="325"/>
      <c r="LVM507" s="311"/>
      <c r="LVN507" s="325"/>
      <c r="LVO507" s="310"/>
      <c r="LVP507" s="325"/>
      <c r="LVQ507" s="325"/>
      <c r="LVR507" s="325"/>
      <c r="LVS507" s="325"/>
      <c r="LVT507" s="325"/>
      <c r="LVU507" s="325"/>
      <c r="LVV507" s="325"/>
      <c r="LVW507" s="325"/>
      <c r="LVX507" s="325"/>
      <c r="LVY507" s="325"/>
      <c r="LVZ507" s="325"/>
      <c r="LWA507" s="325"/>
      <c r="LWB507" s="325"/>
      <c r="LWC507" s="325"/>
      <c r="LWD507" s="325"/>
      <c r="LWE507" s="325"/>
      <c r="LWF507" s="325"/>
      <c r="LWG507" s="325"/>
      <c r="LWH507" s="325"/>
      <c r="LWI507" s="325"/>
      <c r="LWJ507" s="325"/>
      <c r="LWK507" s="325"/>
      <c r="LWL507" s="325"/>
      <c r="LWM507" s="325"/>
      <c r="LWN507" s="325"/>
      <c r="LWO507" s="325"/>
      <c r="LWP507" s="325"/>
      <c r="LWQ507" s="325"/>
      <c r="LWR507" s="325"/>
      <c r="LWS507" s="325"/>
      <c r="LWT507" s="327"/>
      <c r="LWU507" s="28"/>
      <c r="LWV507" s="324"/>
      <c r="LWW507" s="324"/>
      <c r="LWX507" s="324"/>
      <c r="LWY507" s="324"/>
      <c r="LWZ507" s="324"/>
      <c r="LXA507" s="324"/>
      <c r="LXB507" s="256"/>
      <c r="LXC507" s="325"/>
      <c r="LXD507" s="311"/>
      <c r="LXE507" s="325"/>
      <c r="LXF507" s="310"/>
      <c r="LXG507" s="325"/>
      <c r="LXH507" s="325"/>
      <c r="LXI507" s="325"/>
      <c r="LXJ507" s="325"/>
      <c r="LXK507" s="325"/>
      <c r="LXL507" s="325"/>
      <c r="LXM507" s="325"/>
      <c r="LXN507" s="325"/>
      <c r="LXO507" s="325"/>
      <c r="LXP507" s="325"/>
      <c r="LXQ507" s="325"/>
      <c r="LXR507" s="325"/>
      <c r="LXS507" s="325"/>
      <c r="LXT507" s="325"/>
      <c r="LXU507" s="325"/>
      <c r="LXV507" s="325"/>
      <c r="LXW507" s="325"/>
      <c r="LXX507" s="325"/>
      <c r="LXY507" s="325"/>
      <c r="LXZ507" s="325"/>
      <c r="LYA507" s="325"/>
      <c r="LYB507" s="325"/>
      <c r="LYC507" s="325"/>
      <c r="LYD507" s="325"/>
      <c r="LYE507" s="325"/>
      <c r="LYF507" s="325"/>
      <c r="LYG507" s="325"/>
      <c r="LYH507" s="325"/>
      <c r="LYI507" s="325"/>
      <c r="LYJ507" s="325"/>
      <c r="LYK507" s="327"/>
      <c r="LYL507" s="28"/>
      <c r="LYM507" s="324"/>
      <c r="LYN507" s="324"/>
      <c r="LYO507" s="324"/>
      <c r="LYP507" s="324"/>
      <c r="LYQ507" s="324"/>
      <c r="LYR507" s="324"/>
      <c r="LYS507" s="256"/>
      <c r="LYT507" s="325"/>
      <c r="LYU507" s="311"/>
      <c r="LYV507" s="325"/>
      <c r="LYW507" s="310"/>
      <c r="LYX507" s="325"/>
      <c r="LYY507" s="325"/>
      <c r="LYZ507" s="325"/>
      <c r="LZA507" s="325"/>
      <c r="LZB507" s="325"/>
      <c r="LZC507" s="325"/>
      <c r="LZD507" s="325"/>
      <c r="LZE507" s="325"/>
      <c r="LZF507" s="325"/>
      <c r="LZG507" s="325"/>
      <c r="LZH507" s="325"/>
      <c r="LZI507" s="325"/>
      <c r="LZJ507" s="325"/>
      <c r="LZK507" s="325"/>
      <c r="LZL507" s="325"/>
      <c r="LZM507" s="325"/>
      <c r="LZN507" s="325"/>
      <c r="LZO507" s="325"/>
      <c r="LZP507" s="325"/>
      <c r="LZQ507" s="325"/>
      <c r="LZR507" s="325"/>
      <c r="LZS507" s="325"/>
      <c r="LZT507" s="325"/>
      <c r="LZU507" s="325"/>
      <c r="LZV507" s="325"/>
      <c r="LZW507" s="325"/>
      <c r="LZX507" s="325"/>
      <c r="LZY507" s="325"/>
      <c r="LZZ507" s="325"/>
      <c r="MAA507" s="325"/>
      <c r="MAB507" s="327"/>
      <c r="MAC507" s="28"/>
      <c r="MAD507" s="324"/>
      <c r="MAE507" s="324"/>
      <c r="MAF507" s="324"/>
      <c r="MAG507" s="324"/>
      <c r="MAH507" s="324"/>
      <c r="MAI507" s="324"/>
      <c r="MAJ507" s="256"/>
      <c r="MAK507" s="325"/>
      <c r="MAL507" s="311"/>
      <c r="MAM507" s="325"/>
      <c r="MAN507" s="310"/>
      <c r="MAO507" s="325"/>
      <c r="MAP507" s="325"/>
      <c r="MAQ507" s="325"/>
      <c r="MAR507" s="325"/>
      <c r="MAS507" s="325"/>
      <c r="MAT507" s="325"/>
      <c r="MAU507" s="325"/>
      <c r="MAV507" s="325"/>
      <c r="MAW507" s="325"/>
      <c r="MAX507" s="325"/>
      <c r="MAY507" s="325"/>
      <c r="MAZ507" s="325"/>
      <c r="MBA507" s="325"/>
      <c r="MBB507" s="325"/>
      <c r="MBC507" s="325"/>
      <c r="MBD507" s="325"/>
      <c r="MBE507" s="325"/>
      <c r="MBF507" s="325"/>
      <c r="MBG507" s="325"/>
      <c r="MBH507" s="325"/>
      <c r="MBI507" s="325"/>
      <c r="MBJ507" s="325"/>
      <c r="MBK507" s="325"/>
      <c r="MBL507" s="325"/>
      <c r="MBM507" s="325"/>
      <c r="MBN507" s="325"/>
      <c r="MBO507" s="325"/>
      <c r="MBP507" s="325"/>
      <c r="MBQ507" s="325"/>
      <c r="MBR507" s="325"/>
      <c r="MBS507" s="327"/>
      <c r="MBT507" s="28"/>
      <c r="MBU507" s="324"/>
      <c r="MBV507" s="324"/>
      <c r="MBW507" s="324"/>
      <c r="MBX507" s="324"/>
      <c r="MBY507" s="324"/>
      <c r="MBZ507" s="324"/>
      <c r="MCA507" s="256"/>
      <c r="MCB507" s="325"/>
      <c r="MCC507" s="311"/>
      <c r="MCD507" s="325"/>
      <c r="MCE507" s="310"/>
      <c r="MCF507" s="325"/>
      <c r="MCG507" s="325"/>
      <c r="MCH507" s="325"/>
      <c r="MCI507" s="325"/>
      <c r="MCJ507" s="325"/>
      <c r="MCK507" s="325"/>
      <c r="MCL507" s="325"/>
      <c r="MCM507" s="325"/>
      <c r="MCN507" s="325"/>
      <c r="MCO507" s="325"/>
      <c r="MCP507" s="325"/>
      <c r="MCQ507" s="325"/>
      <c r="MCR507" s="325"/>
      <c r="MCS507" s="325"/>
      <c r="MCT507" s="325"/>
      <c r="MCU507" s="325"/>
      <c r="MCV507" s="325"/>
      <c r="MCW507" s="325"/>
      <c r="MCX507" s="325"/>
      <c r="MCY507" s="325"/>
      <c r="MCZ507" s="325"/>
      <c r="MDA507" s="325"/>
      <c r="MDB507" s="325"/>
      <c r="MDC507" s="325"/>
      <c r="MDD507" s="325"/>
      <c r="MDE507" s="325"/>
      <c r="MDF507" s="325"/>
      <c r="MDG507" s="325"/>
      <c r="MDH507" s="325"/>
      <c r="MDI507" s="325"/>
      <c r="MDJ507" s="327"/>
      <c r="MDK507" s="28"/>
      <c r="MDL507" s="324"/>
      <c r="MDM507" s="324"/>
      <c r="MDN507" s="324"/>
      <c r="MDO507" s="324"/>
      <c r="MDP507" s="324"/>
      <c r="MDQ507" s="324"/>
      <c r="MDR507" s="256"/>
      <c r="MDS507" s="325"/>
      <c r="MDT507" s="311"/>
      <c r="MDU507" s="325"/>
      <c r="MDV507" s="310"/>
      <c r="MDW507" s="325"/>
      <c r="MDX507" s="325"/>
      <c r="MDY507" s="325"/>
      <c r="MDZ507" s="325"/>
      <c r="MEA507" s="325"/>
      <c r="MEB507" s="325"/>
      <c r="MEC507" s="325"/>
      <c r="MED507" s="325"/>
      <c r="MEE507" s="325"/>
      <c r="MEF507" s="325"/>
      <c r="MEG507" s="325"/>
      <c r="MEH507" s="325"/>
      <c r="MEI507" s="325"/>
      <c r="MEJ507" s="325"/>
      <c r="MEK507" s="325"/>
      <c r="MEL507" s="325"/>
      <c r="MEM507" s="325"/>
      <c r="MEN507" s="325"/>
      <c r="MEO507" s="325"/>
      <c r="MEP507" s="325"/>
      <c r="MEQ507" s="325"/>
      <c r="MER507" s="325"/>
      <c r="MES507" s="325"/>
      <c r="MET507" s="325"/>
      <c r="MEU507" s="325"/>
      <c r="MEV507" s="325"/>
      <c r="MEW507" s="325"/>
      <c r="MEX507" s="325"/>
      <c r="MEY507" s="325"/>
      <c r="MEZ507" s="325"/>
      <c r="MFA507" s="327"/>
      <c r="MFB507" s="28"/>
      <c r="MFC507" s="324"/>
      <c r="MFD507" s="324"/>
      <c r="MFE507" s="324"/>
      <c r="MFF507" s="324"/>
      <c r="MFG507" s="324"/>
      <c r="MFH507" s="324"/>
      <c r="MFI507" s="256"/>
      <c r="MFJ507" s="325"/>
      <c r="MFK507" s="311"/>
      <c r="MFL507" s="325"/>
      <c r="MFM507" s="310"/>
      <c r="MFN507" s="325"/>
      <c r="MFO507" s="325"/>
      <c r="MFP507" s="325"/>
      <c r="MFQ507" s="325"/>
      <c r="MFR507" s="325"/>
      <c r="MFS507" s="325"/>
      <c r="MFT507" s="325"/>
      <c r="MFU507" s="325"/>
      <c r="MFV507" s="325"/>
      <c r="MFW507" s="325"/>
      <c r="MFX507" s="325"/>
      <c r="MFY507" s="325"/>
      <c r="MFZ507" s="325"/>
      <c r="MGA507" s="325"/>
      <c r="MGB507" s="325"/>
      <c r="MGC507" s="325"/>
      <c r="MGD507" s="325"/>
      <c r="MGE507" s="325"/>
      <c r="MGF507" s="325"/>
      <c r="MGG507" s="325"/>
      <c r="MGH507" s="325"/>
      <c r="MGI507" s="325"/>
      <c r="MGJ507" s="325"/>
      <c r="MGK507" s="325"/>
      <c r="MGL507" s="325"/>
      <c r="MGM507" s="325"/>
      <c r="MGN507" s="325"/>
      <c r="MGO507" s="325"/>
      <c r="MGP507" s="325"/>
      <c r="MGQ507" s="325"/>
      <c r="MGR507" s="327"/>
      <c r="MGS507" s="28"/>
      <c r="MGT507" s="324"/>
      <c r="MGU507" s="324"/>
      <c r="MGV507" s="324"/>
      <c r="MGW507" s="324"/>
      <c r="MGX507" s="324"/>
      <c r="MGY507" s="324"/>
      <c r="MGZ507" s="256"/>
      <c r="MHA507" s="325"/>
      <c r="MHB507" s="311"/>
      <c r="MHC507" s="325"/>
      <c r="MHD507" s="310"/>
      <c r="MHE507" s="325"/>
      <c r="MHF507" s="325"/>
      <c r="MHG507" s="325"/>
      <c r="MHH507" s="325"/>
      <c r="MHI507" s="325"/>
      <c r="MHJ507" s="325"/>
      <c r="MHK507" s="325"/>
      <c r="MHL507" s="325"/>
      <c r="MHM507" s="325"/>
      <c r="MHN507" s="325"/>
      <c r="MHO507" s="325"/>
      <c r="MHP507" s="325"/>
      <c r="MHQ507" s="325"/>
      <c r="MHR507" s="325"/>
      <c r="MHS507" s="325"/>
      <c r="MHT507" s="325"/>
      <c r="MHU507" s="325"/>
      <c r="MHV507" s="325"/>
      <c r="MHW507" s="325"/>
      <c r="MHX507" s="325"/>
      <c r="MHY507" s="325"/>
      <c r="MHZ507" s="325"/>
      <c r="MIA507" s="325"/>
      <c r="MIB507" s="325"/>
      <c r="MIC507" s="325"/>
      <c r="MID507" s="325"/>
      <c r="MIE507" s="325"/>
      <c r="MIF507" s="325"/>
      <c r="MIG507" s="325"/>
      <c r="MIH507" s="325"/>
      <c r="MII507" s="327"/>
      <c r="MIJ507" s="28"/>
      <c r="MIK507" s="324"/>
      <c r="MIL507" s="324"/>
      <c r="MIM507" s="324"/>
      <c r="MIN507" s="324"/>
      <c r="MIO507" s="324"/>
      <c r="MIP507" s="324"/>
      <c r="MIQ507" s="256"/>
      <c r="MIR507" s="325"/>
      <c r="MIS507" s="311"/>
      <c r="MIT507" s="325"/>
      <c r="MIU507" s="310"/>
      <c r="MIV507" s="325"/>
      <c r="MIW507" s="325"/>
      <c r="MIX507" s="325"/>
      <c r="MIY507" s="325"/>
      <c r="MIZ507" s="325"/>
      <c r="MJA507" s="325"/>
      <c r="MJB507" s="325"/>
      <c r="MJC507" s="325"/>
      <c r="MJD507" s="325"/>
      <c r="MJE507" s="325"/>
      <c r="MJF507" s="325"/>
      <c r="MJG507" s="325"/>
      <c r="MJH507" s="325"/>
      <c r="MJI507" s="325"/>
      <c r="MJJ507" s="325"/>
      <c r="MJK507" s="325"/>
      <c r="MJL507" s="325"/>
      <c r="MJM507" s="325"/>
      <c r="MJN507" s="325"/>
      <c r="MJO507" s="325"/>
      <c r="MJP507" s="325"/>
      <c r="MJQ507" s="325"/>
      <c r="MJR507" s="325"/>
      <c r="MJS507" s="325"/>
      <c r="MJT507" s="325"/>
      <c r="MJU507" s="325"/>
      <c r="MJV507" s="325"/>
      <c r="MJW507" s="325"/>
      <c r="MJX507" s="325"/>
      <c r="MJY507" s="325"/>
      <c r="MJZ507" s="327"/>
      <c r="MKA507" s="28"/>
      <c r="MKB507" s="324"/>
      <c r="MKC507" s="324"/>
      <c r="MKD507" s="324"/>
      <c r="MKE507" s="324"/>
      <c r="MKF507" s="324"/>
      <c r="MKG507" s="324"/>
      <c r="MKH507" s="256"/>
      <c r="MKI507" s="325"/>
      <c r="MKJ507" s="311"/>
      <c r="MKK507" s="325"/>
      <c r="MKL507" s="310"/>
      <c r="MKM507" s="325"/>
      <c r="MKN507" s="325"/>
      <c r="MKO507" s="325"/>
      <c r="MKP507" s="325"/>
      <c r="MKQ507" s="325"/>
      <c r="MKR507" s="325"/>
      <c r="MKS507" s="325"/>
      <c r="MKT507" s="325"/>
      <c r="MKU507" s="325"/>
      <c r="MKV507" s="325"/>
      <c r="MKW507" s="325"/>
      <c r="MKX507" s="325"/>
      <c r="MKY507" s="325"/>
      <c r="MKZ507" s="325"/>
      <c r="MLA507" s="325"/>
      <c r="MLB507" s="325"/>
      <c r="MLC507" s="325"/>
      <c r="MLD507" s="325"/>
      <c r="MLE507" s="325"/>
      <c r="MLF507" s="325"/>
      <c r="MLG507" s="325"/>
      <c r="MLH507" s="325"/>
      <c r="MLI507" s="325"/>
      <c r="MLJ507" s="325"/>
      <c r="MLK507" s="325"/>
      <c r="MLL507" s="325"/>
      <c r="MLM507" s="325"/>
      <c r="MLN507" s="325"/>
      <c r="MLO507" s="325"/>
      <c r="MLP507" s="325"/>
      <c r="MLQ507" s="327"/>
      <c r="MLR507" s="28"/>
      <c r="MLS507" s="324"/>
      <c r="MLT507" s="324"/>
      <c r="MLU507" s="324"/>
      <c r="MLV507" s="324"/>
      <c r="MLW507" s="324"/>
      <c r="MLX507" s="324"/>
      <c r="MLY507" s="256"/>
      <c r="MLZ507" s="325"/>
      <c r="MMA507" s="311"/>
      <c r="MMB507" s="325"/>
      <c r="MMC507" s="310"/>
      <c r="MMD507" s="325"/>
      <c r="MME507" s="325"/>
      <c r="MMF507" s="325"/>
      <c r="MMG507" s="325"/>
      <c r="MMH507" s="325"/>
      <c r="MMI507" s="325"/>
      <c r="MMJ507" s="325"/>
      <c r="MMK507" s="325"/>
      <c r="MML507" s="325"/>
      <c r="MMM507" s="325"/>
      <c r="MMN507" s="325"/>
      <c r="MMO507" s="325"/>
      <c r="MMP507" s="325"/>
      <c r="MMQ507" s="325"/>
      <c r="MMR507" s="325"/>
      <c r="MMS507" s="325"/>
      <c r="MMT507" s="325"/>
      <c r="MMU507" s="325"/>
      <c r="MMV507" s="325"/>
      <c r="MMW507" s="325"/>
      <c r="MMX507" s="325"/>
      <c r="MMY507" s="325"/>
      <c r="MMZ507" s="325"/>
      <c r="MNA507" s="325"/>
      <c r="MNB507" s="325"/>
      <c r="MNC507" s="325"/>
      <c r="MND507" s="325"/>
      <c r="MNE507" s="325"/>
      <c r="MNF507" s="325"/>
      <c r="MNG507" s="325"/>
      <c r="MNH507" s="327"/>
      <c r="MNI507" s="28"/>
      <c r="MNJ507" s="324"/>
      <c r="MNK507" s="324"/>
      <c r="MNL507" s="324"/>
      <c r="MNM507" s="324"/>
      <c r="MNN507" s="324"/>
      <c r="MNO507" s="324"/>
      <c r="MNP507" s="256"/>
      <c r="MNQ507" s="325"/>
      <c r="MNR507" s="311"/>
      <c r="MNS507" s="325"/>
      <c r="MNT507" s="310"/>
      <c r="MNU507" s="325"/>
      <c r="MNV507" s="325"/>
      <c r="MNW507" s="325"/>
      <c r="MNX507" s="325"/>
      <c r="MNY507" s="325"/>
      <c r="MNZ507" s="325"/>
      <c r="MOA507" s="325"/>
      <c r="MOB507" s="325"/>
      <c r="MOC507" s="325"/>
      <c r="MOD507" s="325"/>
      <c r="MOE507" s="325"/>
      <c r="MOF507" s="325"/>
      <c r="MOG507" s="325"/>
      <c r="MOH507" s="325"/>
      <c r="MOI507" s="325"/>
      <c r="MOJ507" s="325"/>
      <c r="MOK507" s="325"/>
      <c r="MOL507" s="325"/>
      <c r="MOM507" s="325"/>
      <c r="MON507" s="325"/>
      <c r="MOO507" s="325"/>
      <c r="MOP507" s="325"/>
      <c r="MOQ507" s="325"/>
      <c r="MOR507" s="325"/>
      <c r="MOS507" s="325"/>
      <c r="MOT507" s="325"/>
      <c r="MOU507" s="325"/>
      <c r="MOV507" s="325"/>
      <c r="MOW507" s="325"/>
      <c r="MOX507" s="325"/>
      <c r="MOY507" s="327"/>
      <c r="MOZ507" s="28"/>
      <c r="MPA507" s="324"/>
      <c r="MPB507" s="324"/>
      <c r="MPC507" s="324"/>
      <c r="MPD507" s="324"/>
      <c r="MPE507" s="324"/>
      <c r="MPF507" s="324"/>
      <c r="MPG507" s="256"/>
      <c r="MPH507" s="325"/>
      <c r="MPI507" s="311"/>
      <c r="MPJ507" s="325"/>
      <c r="MPK507" s="310"/>
      <c r="MPL507" s="325"/>
      <c r="MPM507" s="325"/>
      <c r="MPN507" s="325"/>
      <c r="MPO507" s="325"/>
      <c r="MPP507" s="325"/>
      <c r="MPQ507" s="325"/>
      <c r="MPR507" s="325"/>
      <c r="MPS507" s="325"/>
      <c r="MPT507" s="325"/>
      <c r="MPU507" s="325"/>
      <c r="MPV507" s="325"/>
      <c r="MPW507" s="325"/>
      <c r="MPX507" s="325"/>
      <c r="MPY507" s="325"/>
      <c r="MPZ507" s="325"/>
      <c r="MQA507" s="325"/>
      <c r="MQB507" s="325"/>
      <c r="MQC507" s="325"/>
      <c r="MQD507" s="325"/>
      <c r="MQE507" s="325"/>
      <c r="MQF507" s="325"/>
      <c r="MQG507" s="325"/>
      <c r="MQH507" s="325"/>
      <c r="MQI507" s="325"/>
      <c r="MQJ507" s="325"/>
      <c r="MQK507" s="325"/>
      <c r="MQL507" s="325"/>
      <c r="MQM507" s="325"/>
      <c r="MQN507" s="325"/>
      <c r="MQO507" s="325"/>
      <c r="MQP507" s="327"/>
      <c r="MQQ507" s="28"/>
      <c r="MQR507" s="324"/>
      <c r="MQS507" s="324"/>
      <c r="MQT507" s="324"/>
      <c r="MQU507" s="324"/>
      <c r="MQV507" s="324"/>
      <c r="MQW507" s="324"/>
      <c r="MQX507" s="256"/>
      <c r="MQY507" s="325"/>
      <c r="MQZ507" s="311"/>
      <c r="MRA507" s="325"/>
      <c r="MRB507" s="310"/>
      <c r="MRC507" s="325"/>
      <c r="MRD507" s="325"/>
      <c r="MRE507" s="325"/>
      <c r="MRF507" s="325"/>
      <c r="MRG507" s="325"/>
      <c r="MRH507" s="325"/>
      <c r="MRI507" s="325"/>
      <c r="MRJ507" s="325"/>
      <c r="MRK507" s="325"/>
      <c r="MRL507" s="325"/>
      <c r="MRM507" s="325"/>
      <c r="MRN507" s="325"/>
      <c r="MRO507" s="325"/>
      <c r="MRP507" s="325"/>
      <c r="MRQ507" s="325"/>
      <c r="MRR507" s="325"/>
      <c r="MRS507" s="325"/>
      <c r="MRT507" s="325"/>
      <c r="MRU507" s="325"/>
      <c r="MRV507" s="325"/>
      <c r="MRW507" s="325"/>
      <c r="MRX507" s="325"/>
      <c r="MRY507" s="325"/>
      <c r="MRZ507" s="325"/>
      <c r="MSA507" s="325"/>
      <c r="MSB507" s="325"/>
      <c r="MSC507" s="325"/>
      <c r="MSD507" s="325"/>
      <c r="MSE507" s="325"/>
      <c r="MSF507" s="325"/>
      <c r="MSG507" s="327"/>
      <c r="MSH507" s="28"/>
      <c r="MSI507" s="324"/>
      <c r="MSJ507" s="324"/>
      <c r="MSK507" s="324"/>
      <c r="MSL507" s="324"/>
      <c r="MSM507" s="324"/>
      <c r="MSN507" s="324"/>
      <c r="MSO507" s="256"/>
      <c r="MSP507" s="325"/>
      <c r="MSQ507" s="311"/>
      <c r="MSR507" s="325"/>
      <c r="MSS507" s="310"/>
      <c r="MST507" s="325"/>
      <c r="MSU507" s="325"/>
      <c r="MSV507" s="325"/>
      <c r="MSW507" s="325"/>
      <c r="MSX507" s="325"/>
      <c r="MSY507" s="325"/>
      <c r="MSZ507" s="325"/>
      <c r="MTA507" s="325"/>
      <c r="MTB507" s="325"/>
      <c r="MTC507" s="325"/>
      <c r="MTD507" s="325"/>
      <c r="MTE507" s="325"/>
      <c r="MTF507" s="325"/>
      <c r="MTG507" s="325"/>
      <c r="MTH507" s="325"/>
      <c r="MTI507" s="325"/>
      <c r="MTJ507" s="325"/>
      <c r="MTK507" s="325"/>
      <c r="MTL507" s="325"/>
      <c r="MTM507" s="325"/>
      <c r="MTN507" s="325"/>
      <c r="MTO507" s="325"/>
      <c r="MTP507" s="325"/>
      <c r="MTQ507" s="325"/>
      <c r="MTR507" s="325"/>
      <c r="MTS507" s="325"/>
      <c r="MTT507" s="325"/>
      <c r="MTU507" s="325"/>
      <c r="MTV507" s="325"/>
      <c r="MTW507" s="325"/>
      <c r="MTX507" s="327"/>
      <c r="MTY507" s="28"/>
      <c r="MTZ507" s="324"/>
      <c r="MUA507" s="324"/>
      <c r="MUB507" s="324"/>
      <c r="MUC507" s="324"/>
      <c r="MUD507" s="324"/>
      <c r="MUE507" s="324"/>
      <c r="MUF507" s="256"/>
      <c r="MUG507" s="325"/>
      <c r="MUH507" s="311"/>
      <c r="MUI507" s="325"/>
      <c r="MUJ507" s="310"/>
      <c r="MUK507" s="325"/>
      <c r="MUL507" s="325"/>
      <c r="MUM507" s="325"/>
      <c r="MUN507" s="325"/>
      <c r="MUO507" s="325"/>
      <c r="MUP507" s="325"/>
      <c r="MUQ507" s="325"/>
      <c r="MUR507" s="325"/>
      <c r="MUS507" s="325"/>
      <c r="MUT507" s="325"/>
      <c r="MUU507" s="325"/>
      <c r="MUV507" s="325"/>
      <c r="MUW507" s="325"/>
      <c r="MUX507" s="325"/>
      <c r="MUY507" s="325"/>
      <c r="MUZ507" s="325"/>
      <c r="MVA507" s="325"/>
      <c r="MVB507" s="325"/>
      <c r="MVC507" s="325"/>
      <c r="MVD507" s="325"/>
      <c r="MVE507" s="325"/>
      <c r="MVF507" s="325"/>
      <c r="MVG507" s="325"/>
      <c r="MVH507" s="325"/>
      <c r="MVI507" s="325"/>
      <c r="MVJ507" s="325"/>
      <c r="MVK507" s="325"/>
      <c r="MVL507" s="325"/>
      <c r="MVM507" s="325"/>
      <c r="MVN507" s="325"/>
      <c r="MVO507" s="327"/>
      <c r="MVP507" s="28"/>
      <c r="MVQ507" s="324"/>
      <c r="MVR507" s="324"/>
      <c r="MVS507" s="324"/>
      <c r="MVT507" s="324"/>
      <c r="MVU507" s="324"/>
      <c r="MVV507" s="324"/>
      <c r="MVW507" s="256"/>
      <c r="MVX507" s="325"/>
      <c r="MVY507" s="311"/>
      <c r="MVZ507" s="325"/>
      <c r="MWA507" s="310"/>
      <c r="MWB507" s="325"/>
      <c r="MWC507" s="325"/>
      <c r="MWD507" s="325"/>
      <c r="MWE507" s="325"/>
      <c r="MWF507" s="325"/>
      <c r="MWG507" s="325"/>
      <c r="MWH507" s="325"/>
      <c r="MWI507" s="325"/>
      <c r="MWJ507" s="325"/>
      <c r="MWK507" s="325"/>
      <c r="MWL507" s="325"/>
      <c r="MWM507" s="325"/>
      <c r="MWN507" s="325"/>
      <c r="MWO507" s="325"/>
      <c r="MWP507" s="325"/>
      <c r="MWQ507" s="325"/>
      <c r="MWR507" s="325"/>
      <c r="MWS507" s="325"/>
      <c r="MWT507" s="325"/>
      <c r="MWU507" s="325"/>
      <c r="MWV507" s="325"/>
      <c r="MWW507" s="325"/>
      <c r="MWX507" s="325"/>
      <c r="MWY507" s="325"/>
      <c r="MWZ507" s="325"/>
      <c r="MXA507" s="325"/>
      <c r="MXB507" s="325"/>
      <c r="MXC507" s="325"/>
      <c r="MXD507" s="325"/>
      <c r="MXE507" s="325"/>
      <c r="MXF507" s="327"/>
      <c r="MXG507" s="28"/>
      <c r="MXH507" s="324"/>
      <c r="MXI507" s="324"/>
      <c r="MXJ507" s="324"/>
      <c r="MXK507" s="324"/>
      <c r="MXL507" s="324"/>
      <c r="MXM507" s="324"/>
      <c r="MXN507" s="256"/>
      <c r="MXO507" s="325"/>
      <c r="MXP507" s="311"/>
      <c r="MXQ507" s="325"/>
      <c r="MXR507" s="310"/>
      <c r="MXS507" s="325"/>
      <c r="MXT507" s="325"/>
      <c r="MXU507" s="325"/>
      <c r="MXV507" s="325"/>
      <c r="MXW507" s="325"/>
      <c r="MXX507" s="325"/>
      <c r="MXY507" s="325"/>
      <c r="MXZ507" s="325"/>
      <c r="MYA507" s="325"/>
      <c r="MYB507" s="325"/>
      <c r="MYC507" s="325"/>
      <c r="MYD507" s="325"/>
      <c r="MYE507" s="325"/>
      <c r="MYF507" s="325"/>
      <c r="MYG507" s="325"/>
      <c r="MYH507" s="325"/>
      <c r="MYI507" s="325"/>
      <c r="MYJ507" s="325"/>
      <c r="MYK507" s="325"/>
      <c r="MYL507" s="325"/>
      <c r="MYM507" s="325"/>
      <c r="MYN507" s="325"/>
      <c r="MYO507" s="325"/>
      <c r="MYP507" s="325"/>
      <c r="MYQ507" s="325"/>
      <c r="MYR507" s="325"/>
      <c r="MYS507" s="325"/>
      <c r="MYT507" s="325"/>
      <c r="MYU507" s="325"/>
      <c r="MYV507" s="325"/>
      <c r="MYW507" s="327"/>
      <c r="MYX507" s="28"/>
      <c r="MYY507" s="324"/>
      <c r="MYZ507" s="324"/>
      <c r="MZA507" s="324"/>
      <c r="MZB507" s="324"/>
      <c r="MZC507" s="324"/>
      <c r="MZD507" s="324"/>
      <c r="MZE507" s="256"/>
      <c r="MZF507" s="325"/>
      <c r="MZG507" s="311"/>
      <c r="MZH507" s="325"/>
      <c r="MZI507" s="310"/>
      <c r="MZJ507" s="325"/>
      <c r="MZK507" s="325"/>
      <c r="MZL507" s="325"/>
      <c r="MZM507" s="325"/>
      <c r="MZN507" s="325"/>
      <c r="MZO507" s="325"/>
      <c r="MZP507" s="325"/>
      <c r="MZQ507" s="325"/>
      <c r="MZR507" s="325"/>
      <c r="MZS507" s="325"/>
      <c r="MZT507" s="325"/>
      <c r="MZU507" s="325"/>
      <c r="MZV507" s="325"/>
      <c r="MZW507" s="325"/>
      <c r="MZX507" s="325"/>
      <c r="MZY507" s="325"/>
      <c r="MZZ507" s="325"/>
      <c r="NAA507" s="325"/>
      <c r="NAB507" s="325"/>
      <c r="NAC507" s="325"/>
      <c r="NAD507" s="325"/>
      <c r="NAE507" s="325"/>
      <c r="NAF507" s="325"/>
      <c r="NAG507" s="325"/>
      <c r="NAH507" s="325"/>
      <c r="NAI507" s="325"/>
      <c r="NAJ507" s="325"/>
      <c r="NAK507" s="325"/>
      <c r="NAL507" s="325"/>
      <c r="NAM507" s="325"/>
      <c r="NAN507" s="327"/>
      <c r="NAO507" s="28"/>
      <c r="NAP507" s="324"/>
      <c r="NAQ507" s="324"/>
      <c r="NAR507" s="324"/>
      <c r="NAS507" s="324"/>
      <c r="NAT507" s="324"/>
      <c r="NAU507" s="324"/>
      <c r="NAV507" s="256"/>
      <c r="NAW507" s="325"/>
      <c r="NAX507" s="311"/>
      <c r="NAY507" s="325"/>
      <c r="NAZ507" s="310"/>
      <c r="NBA507" s="325"/>
      <c r="NBB507" s="325"/>
      <c r="NBC507" s="325"/>
      <c r="NBD507" s="325"/>
      <c r="NBE507" s="325"/>
      <c r="NBF507" s="325"/>
      <c r="NBG507" s="325"/>
      <c r="NBH507" s="325"/>
      <c r="NBI507" s="325"/>
      <c r="NBJ507" s="325"/>
      <c r="NBK507" s="325"/>
      <c r="NBL507" s="325"/>
      <c r="NBM507" s="325"/>
      <c r="NBN507" s="325"/>
      <c r="NBO507" s="325"/>
      <c r="NBP507" s="325"/>
      <c r="NBQ507" s="325"/>
      <c r="NBR507" s="325"/>
      <c r="NBS507" s="325"/>
      <c r="NBT507" s="325"/>
      <c r="NBU507" s="325"/>
      <c r="NBV507" s="325"/>
      <c r="NBW507" s="325"/>
      <c r="NBX507" s="325"/>
      <c r="NBY507" s="325"/>
      <c r="NBZ507" s="325"/>
      <c r="NCA507" s="325"/>
      <c r="NCB507" s="325"/>
      <c r="NCC507" s="325"/>
      <c r="NCD507" s="325"/>
      <c r="NCE507" s="327"/>
      <c r="NCF507" s="28"/>
      <c r="NCG507" s="324"/>
      <c r="NCH507" s="324"/>
      <c r="NCI507" s="324"/>
      <c r="NCJ507" s="324"/>
      <c r="NCK507" s="324"/>
      <c r="NCL507" s="324"/>
      <c r="NCM507" s="256"/>
      <c r="NCN507" s="325"/>
      <c r="NCO507" s="311"/>
      <c r="NCP507" s="325"/>
      <c r="NCQ507" s="310"/>
      <c r="NCR507" s="325"/>
      <c r="NCS507" s="325"/>
      <c r="NCT507" s="325"/>
      <c r="NCU507" s="325"/>
      <c r="NCV507" s="325"/>
      <c r="NCW507" s="325"/>
      <c r="NCX507" s="325"/>
      <c r="NCY507" s="325"/>
      <c r="NCZ507" s="325"/>
      <c r="NDA507" s="325"/>
      <c r="NDB507" s="325"/>
      <c r="NDC507" s="325"/>
      <c r="NDD507" s="325"/>
      <c r="NDE507" s="325"/>
      <c r="NDF507" s="325"/>
      <c r="NDG507" s="325"/>
      <c r="NDH507" s="325"/>
      <c r="NDI507" s="325"/>
      <c r="NDJ507" s="325"/>
      <c r="NDK507" s="325"/>
      <c r="NDL507" s="325"/>
      <c r="NDM507" s="325"/>
      <c r="NDN507" s="325"/>
      <c r="NDO507" s="325"/>
      <c r="NDP507" s="325"/>
      <c r="NDQ507" s="325"/>
      <c r="NDR507" s="325"/>
      <c r="NDS507" s="325"/>
      <c r="NDT507" s="325"/>
      <c r="NDU507" s="325"/>
      <c r="NDV507" s="327"/>
      <c r="NDW507" s="28"/>
      <c r="NDX507" s="324"/>
      <c r="NDY507" s="324"/>
      <c r="NDZ507" s="324"/>
      <c r="NEA507" s="324"/>
      <c r="NEB507" s="324"/>
      <c r="NEC507" s="324"/>
      <c r="NED507" s="256"/>
      <c r="NEE507" s="325"/>
      <c r="NEF507" s="311"/>
      <c r="NEG507" s="325"/>
      <c r="NEH507" s="310"/>
      <c r="NEI507" s="325"/>
      <c r="NEJ507" s="325"/>
      <c r="NEK507" s="325"/>
      <c r="NEL507" s="325"/>
      <c r="NEM507" s="325"/>
      <c r="NEN507" s="325"/>
      <c r="NEO507" s="325"/>
      <c r="NEP507" s="325"/>
      <c r="NEQ507" s="325"/>
      <c r="NER507" s="325"/>
      <c r="NES507" s="325"/>
      <c r="NET507" s="325"/>
      <c r="NEU507" s="325"/>
      <c r="NEV507" s="325"/>
      <c r="NEW507" s="325"/>
      <c r="NEX507" s="325"/>
      <c r="NEY507" s="325"/>
      <c r="NEZ507" s="325"/>
      <c r="NFA507" s="325"/>
      <c r="NFB507" s="325"/>
      <c r="NFC507" s="325"/>
      <c r="NFD507" s="325"/>
      <c r="NFE507" s="325"/>
      <c r="NFF507" s="325"/>
      <c r="NFG507" s="325"/>
      <c r="NFH507" s="325"/>
      <c r="NFI507" s="325"/>
      <c r="NFJ507" s="325"/>
      <c r="NFK507" s="325"/>
      <c r="NFL507" s="325"/>
      <c r="NFM507" s="327"/>
      <c r="NFN507" s="28"/>
      <c r="NFO507" s="324"/>
      <c r="NFP507" s="324"/>
      <c r="NFQ507" s="324"/>
      <c r="NFR507" s="324"/>
      <c r="NFS507" s="324"/>
      <c r="NFT507" s="324"/>
      <c r="NFU507" s="256"/>
      <c r="NFV507" s="325"/>
      <c r="NFW507" s="311"/>
      <c r="NFX507" s="325"/>
      <c r="NFY507" s="310"/>
      <c r="NFZ507" s="325"/>
      <c r="NGA507" s="325"/>
      <c r="NGB507" s="325"/>
      <c r="NGC507" s="325"/>
      <c r="NGD507" s="325"/>
      <c r="NGE507" s="325"/>
      <c r="NGF507" s="325"/>
      <c r="NGG507" s="325"/>
      <c r="NGH507" s="325"/>
      <c r="NGI507" s="325"/>
      <c r="NGJ507" s="325"/>
      <c r="NGK507" s="325"/>
      <c r="NGL507" s="325"/>
      <c r="NGM507" s="325"/>
      <c r="NGN507" s="325"/>
      <c r="NGO507" s="325"/>
      <c r="NGP507" s="325"/>
      <c r="NGQ507" s="325"/>
      <c r="NGR507" s="325"/>
      <c r="NGS507" s="325"/>
      <c r="NGT507" s="325"/>
      <c r="NGU507" s="325"/>
      <c r="NGV507" s="325"/>
      <c r="NGW507" s="325"/>
      <c r="NGX507" s="325"/>
      <c r="NGY507" s="325"/>
      <c r="NGZ507" s="325"/>
      <c r="NHA507" s="325"/>
      <c r="NHB507" s="325"/>
      <c r="NHC507" s="325"/>
      <c r="NHD507" s="327"/>
      <c r="NHE507" s="28"/>
      <c r="NHF507" s="324"/>
      <c r="NHG507" s="324"/>
      <c r="NHH507" s="324"/>
      <c r="NHI507" s="324"/>
      <c r="NHJ507" s="324"/>
      <c r="NHK507" s="324"/>
      <c r="NHL507" s="256"/>
      <c r="NHM507" s="325"/>
      <c r="NHN507" s="311"/>
      <c r="NHO507" s="325"/>
      <c r="NHP507" s="310"/>
      <c r="NHQ507" s="325"/>
      <c r="NHR507" s="325"/>
      <c r="NHS507" s="325"/>
      <c r="NHT507" s="325"/>
      <c r="NHU507" s="325"/>
      <c r="NHV507" s="325"/>
      <c r="NHW507" s="325"/>
      <c r="NHX507" s="325"/>
      <c r="NHY507" s="325"/>
      <c r="NHZ507" s="325"/>
      <c r="NIA507" s="325"/>
      <c r="NIB507" s="325"/>
      <c r="NIC507" s="325"/>
      <c r="NID507" s="325"/>
      <c r="NIE507" s="325"/>
      <c r="NIF507" s="325"/>
      <c r="NIG507" s="325"/>
      <c r="NIH507" s="325"/>
      <c r="NII507" s="325"/>
      <c r="NIJ507" s="325"/>
      <c r="NIK507" s="325"/>
      <c r="NIL507" s="325"/>
      <c r="NIM507" s="325"/>
      <c r="NIN507" s="325"/>
      <c r="NIO507" s="325"/>
      <c r="NIP507" s="325"/>
      <c r="NIQ507" s="325"/>
      <c r="NIR507" s="325"/>
      <c r="NIS507" s="325"/>
      <c r="NIT507" s="325"/>
      <c r="NIU507" s="327"/>
      <c r="NIV507" s="28"/>
      <c r="NIW507" s="324"/>
      <c r="NIX507" s="324"/>
      <c r="NIY507" s="324"/>
      <c r="NIZ507" s="324"/>
      <c r="NJA507" s="324"/>
      <c r="NJB507" s="324"/>
      <c r="NJC507" s="256"/>
      <c r="NJD507" s="325"/>
      <c r="NJE507" s="311"/>
      <c r="NJF507" s="325"/>
      <c r="NJG507" s="310"/>
      <c r="NJH507" s="325"/>
      <c r="NJI507" s="325"/>
      <c r="NJJ507" s="325"/>
      <c r="NJK507" s="325"/>
      <c r="NJL507" s="325"/>
      <c r="NJM507" s="325"/>
      <c r="NJN507" s="325"/>
      <c r="NJO507" s="325"/>
      <c r="NJP507" s="325"/>
      <c r="NJQ507" s="325"/>
      <c r="NJR507" s="325"/>
      <c r="NJS507" s="325"/>
      <c r="NJT507" s="325"/>
      <c r="NJU507" s="325"/>
      <c r="NJV507" s="325"/>
      <c r="NJW507" s="325"/>
      <c r="NJX507" s="325"/>
      <c r="NJY507" s="325"/>
      <c r="NJZ507" s="325"/>
      <c r="NKA507" s="325"/>
      <c r="NKB507" s="325"/>
      <c r="NKC507" s="325"/>
      <c r="NKD507" s="325"/>
      <c r="NKE507" s="325"/>
      <c r="NKF507" s="325"/>
      <c r="NKG507" s="325"/>
      <c r="NKH507" s="325"/>
      <c r="NKI507" s="325"/>
      <c r="NKJ507" s="325"/>
      <c r="NKK507" s="325"/>
      <c r="NKL507" s="327"/>
      <c r="NKM507" s="28"/>
      <c r="NKN507" s="324"/>
      <c r="NKO507" s="324"/>
      <c r="NKP507" s="324"/>
      <c r="NKQ507" s="324"/>
      <c r="NKR507" s="324"/>
      <c r="NKS507" s="324"/>
      <c r="NKT507" s="256"/>
      <c r="NKU507" s="325"/>
      <c r="NKV507" s="311"/>
      <c r="NKW507" s="325"/>
      <c r="NKX507" s="310"/>
      <c r="NKY507" s="325"/>
      <c r="NKZ507" s="325"/>
      <c r="NLA507" s="325"/>
      <c r="NLB507" s="325"/>
      <c r="NLC507" s="325"/>
      <c r="NLD507" s="325"/>
      <c r="NLE507" s="325"/>
      <c r="NLF507" s="325"/>
      <c r="NLG507" s="325"/>
      <c r="NLH507" s="325"/>
      <c r="NLI507" s="325"/>
      <c r="NLJ507" s="325"/>
      <c r="NLK507" s="325"/>
      <c r="NLL507" s="325"/>
      <c r="NLM507" s="325"/>
      <c r="NLN507" s="325"/>
      <c r="NLO507" s="325"/>
      <c r="NLP507" s="325"/>
      <c r="NLQ507" s="325"/>
      <c r="NLR507" s="325"/>
      <c r="NLS507" s="325"/>
      <c r="NLT507" s="325"/>
      <c r="NLU507" s="325"/>
      <c r="NLV507" s="325"/>
      <c r="NLW507" s="325"/>
      <c r="NLX507" s="325"/>
      <c r="NLY507" s="325"/>
      <c r="NLZ507" s="325"/>
      <c r="NMA507" s="325"/>
      <c r="NMB507" s="325"/>
      <c r="NMC507" s="327"/>
      <c r="NMD507" s="28"/>
      <c r="NME507" s="324"/>
      <c r="NMF507" s="324"/>
      <c r="NMG507" s="324"/>
      <c r="NMH507" s="324"/>
      <c r="NMI507" s="324"/>
      <c r="NMJ507" s="324"/>
      <c r="NMK507" s="256"/>
      <c r="NML507" s="325"/>
      <c r="NMM507" s="311"/>
      <c r="NMN507" s="325"/>
      <c r="NMO507" s="310"/>
      <c r="NMP507" s="325"/>
      <c r="NMQ507" s="325"/>
      <c r="NMR507" s="325"/>
      <c r="NMS507" s="325"/>
      <c r="NMT507" s="325"/>
      <c r="NMU507" s="325"/>
      <c r="NMV507" s="325"/>
      <c r="NMW507" s="325"/>
      <c r="NMX507" s="325"/>
      <c r="NMY507" s="325"/>
      <c r="NMZ507" s="325"/>
      <c r="NNA507" s="325"/>
      <c r="NNB507" s="325"/>
      <c r="NNC507" s="325"/>
      <c r="NND507" s="325"/>
      <c r="NNE507" s="325"/>
      <c r="NNF507" s="325"/>
      <c r="NNG507" s="325"/>
      <c r="NNH507" s="325"/>
      <c r="NNI507" s="325"/>
      <c r="NNJ507" s="325"/>
      <c r="NNK507" s="325"/>
      <c r="NNL507" s="325"/>
      <c r="NNM507" s="325"/>
      <c r="NNN507" s="325"/>
      <c r="NNO507" s="325"/>
      <c r="NNP507" s="325"/>
      <c r="NNQ507" s="325"/>
      <c r="NNR507" s="325"/>
      <c r="NNS507" s="325"/>
      <c r="NNT507" s="327"/>
      <c r="NNU507" s="28"/>
      <c r="NNV507" s="324"/>
      <c r="NNW507" s="324"/>
      <c r="NNX507" s="324"/>
      <c r="NNY507" s="324"/>
      <c r="NNZ507" s="324"/>
      <c r="NOA507" s="324"/>
      <c r="NOB507" s="256"/>
      <c r="NOC507" s="325"/>
      <c r="NOD507" s="311"/>
      <c r="NOE507" s="325"/>
      <c r="NOF507" s="310"/>
      <c r="NOG507" s="325"/>
      <c r="NOH507" s="325"/>
      <c r="NOI507" s="325"/>
      <c r="NOJ507" s="325"/>
      <c r="NOK507" s="325"/>
      <c r="NOL507" s="325"/>
      <c r="NOM507" s="325"/>
      <c r="NON507" s="325"/>
      <c r="NOO507" s="325"/>
      <c r="NOP507" s="325"/>
      <c r="NOQ507" s="325"/>
      <c r="NOR507" s="325"/>
      <c r="NOS507" s="325"/>
      <c r="NOT507" s="325"/>
      <c r="NOU507" s="325"/>
      <c r="NOV507" s="325"/>
      <c r="NOW507" s="325"/>
      <c r="NOX507" s="325"/>
      <c r="NOY507" s="325"/>
      <c r="NOZ507" s="325"/>
      <c r="NPA507" s="325"/>
      <c r="NPB507" s="325"/>
      <c r="NPC507" s="325"/>
      <c r="NPD507" s="325"/>
      <c r="NPE507" s="325"/>
      <c r="NPF507" s="325"/>
      <c r="NPG507" s="325"/>
      <c r="NPH507" s="325"/>
      <c r="NPI507" s="325"/>
      <c r="NPJ507" s="325"/>
      <c r="NPK507" s="327"/>
      <c r="NPL507" s="28"/>
      <c r="NPM507" s="324"/>
      <c r="NPN507" s="324"/>
      <c r="NPO507" s="324"/>
      <c r="NPP507" s="324"/>
      <c r="NPQ507" s="324"/>
      <c r="NPR507" s="324"/>
      <c r="NPS507" s="256"/>
      <c r="NPT507" s="325"/>
      <c r="NPU507" s="311"/>
      <c r="NPV507" s="325"/>
      <c r="NPW507" s="310"/>
      <c r="NPX507" s="325"/>
      <c r="NPY507" s="325"/>
      <c r="NPZ507" s="325"/>
      <c r="NQA507" s="325"/>
      <c r="NQB507" s="325"/>
      <c r="NQC507" s="325"/>
      <c r="NQD507" s="325"/>
      <c r="NQE507" s="325"/>
      <c r="NQF507" s="325"/>
      <c r="NQG507" s="325"/>
      <c r="NQH507" s="325"/>
      <c r="NQI507" s="325"/>
      <c r="NQJ507" s="325"/>
      <c r="NQK507" s="325"/>
      <c r="NQL507" s="325"/>
      <c r="NQM507" s="325"/>
      <c r="NQN507" s="325"/>
      <c r="NQO507" s="325"/>
      <c r="NQP507" s="325"/>
      <c r="NQQ507" s="325"/>
      <c r="NQR507" s="325"/>
      <c r="NQS507" s="325"/>
      <c r="NQT507" s="325"/>
      <c r="NQU507" s="325"/>
      <c r="NQV507" s="325"/>
      <c r="NQW507" s="325"/>
      <c r="NQX507" s="325"/>
      <c r="NQY507" s="325"/>
      <c r="NQZ507" s="325"/>
      <c r="NRA507" s="325"/>
      <c r="NRB507" s="327"/>
      <c r="NRC507" s="28"/>
      <c r="NRD507" s="324"/>
      <c r="NRE507" s="324"/>
      <c r="NRF507" s="324"/>
      <c r="NRG507" s="324"/>
      <c r="NRH507" s="324"/>
      <c r="NRI507" s="324"/>
      <c r="NRJ507" s="256"/>
      <c r="NRK507" s="325"/>
      <c r="NRL507" s="311"/>
      <c r="NRM507" s="325"/>
      <c r="NRN507" s="310"/>
      <c r="NRO507" s="325"/>
      <c r="NRP507" s="325"/>
      <c r="NRQ507" s="325"/>
      <c r="NRR507" s="325"/>
      <c r="NRS507" s="325"/>
      <c r="NRT507" s="325"/>
      <c r="NRU507" s="325"/>
      <c r="NRV507" s="325"/>
      <c r="NRW507" s="325"/>
      <c r="NRX507" s="325"/>
      <c r="NRY507" s="325"/>
      <c r="NRZ507" s="325"/>
      <c r="NSA507" s="325"/>
      <c r="NSB507" s="325"/>
      <c r="NSC507" s="325"/>
      <c r="NSD507" s="325"/>
      <c r="NSE507" s="325"/>
      <c r="NSF507" s="325"/>
      <c r="NSG507" s="325"/>
      <c r="NSH507" s="325"/>
      <c r="NSI507" s="325"/>
      <c r="NSJ507" s="325"/>
      <c r="NSK507" s="325"/>
      <c r="NSL507" s="325"/>
      <c r="NSM507" s="325"/>
      <c r="NSN507" s="325"/>
      <c r="NSO507" s="325"/>
      <c r="NSP507" s="325"/>
      <c r="NSQ507" s="325"/>
      <c r="NSR507" s="325"/>
      <c r="NSS507" s="327"/>
      <c r="NST507" s="28"/>
      <c r="NSU507" s="324"/>
      <c r="NSV507" s="324"/>
      <c r="NSW507" s="324"/>
      <c r="NSX507" s="324"/>
      <c r="NSY507" s="324"/>
      <c r="NSZ507" s="324"/>
      <c r="NTA507" s="256"/>
      <c r="NTB507" s="325"/>
      <c r="NTC507" s="311"/>
      <c r="NTD507" s="325"/>
      <c r="NTE507" s="310"/>
      <c r="NTF507" s="325"/>
      <c r="NTG507" s="325"/>
      <c r="NTH507" s="325"/>
      <c r="NTI507" s="325"/>
      <c r="NTJ507" s="325"/>
      <c r="NTK507" s="325"/>
      <c r="NTL507" s="325"/>
      <c r="NTM507" s="325"/>
      <c r="NTN507" s="325"/>
      <c r="NTO507" s="325"/>
      <c r="NTP507" s="325"/>
      <c r="NTQ507" s="325"/>
      <c r="NTR507" s="325"/>
      <c r="NTS507" s="325"/>
      <c r="NTT507" s="325"/>
      <c r="NTU507" s="325"/>
      <c r="NTV507" s="325"/>
      <c r="NTW507" s="325"/>
      <c r="NTX507" s="325"/>
      <c r="NTY507" s="325"/>
      <c r="NTZ507" s="325"/>
      <c r="NUA507" s="325"/>
      <c r="NUB507" s="325"/>
      <c r="NUC507" s="325"/>
      <c r="NUD507" s="325"/>
      <c r="NUE507" s="325"/>
      <c r="NUF507" s="325"/>
      <c r="NUG507" s="325"/>
      <c r="NUH507" s="325"/>
      <c r="NUI507" s="325"/>
      <c r="NUJ507" s="327"/>
      <c r="NUK507" s="28"/>
      <c r="NUL507" s="324"/>
      <c r="NUM507" s="324"/>
      <c r="NUN507" s="324"/>
      <c r="NUO507" s="324"/>
      <c r="NUP507" s="324"/>
      <c r="NUQ507" s="324"/>
      <c r="NUR507" s="256"/>
      <c r="NUS507" s="325"/>
      <c r="NUT507" s="311"/>
      <c r="NUU507" s="325"/>
      <c r="NUV507" s="310"/>
      <c r="NUW507" s="325"/>
      <c r="NUX507" s="325"/>
      <c r="NUY507" s="325"/>
      <c r="NUZ507" s="325"/>
      <c r="NVA507" s="325"/>
      <c r="NVB507" s="325"/>
      <c r="NVC507" s="325"/>
      <c r="NVD507" s="325"/>
      <c r="NVE507" s="325"/>
      <c r="NVF507" s="325"/>
      <c r="NVG507" s="325"/>
      <c r="NVH507" s="325"/>
      <c r="NVI507" s="325"/>
      <c r="NVJ507" s="325"/>
      <c r="NVK507" s="325"/>
      <c r="NVL507" s="325"/>
      <c r="NVM507" s="325"/>
      <c r="NVN507" s="325"/>
      <c r="NVO507" s="325"/>
      <c r="NVP507" s="325"/>
      <c r="NVQ507" s="325"/>
      <c r="NVR507" s="325"/>
      <c r="NVS507" s="325"/>
      <c r="NVT507" s="325"/>
      <c r="NVU507" s="325"/>
      <c r="NVV507" s="325"/>
      <c r="NVW507" s="325"/>
      <c r="NVX507" s="325"/>
      <c r="NVY507" s="325"/>
      <c r="NVZ507" s="325"/>
      <c r="NWA507" s="327"/>
      <c r="NWB507" s="28"/>
      <c r="NWC507" s="324"/>
      <c r="NWD507" s="324"/>
      <c r="NWE507" s="324"/>
      <c r="NWF507" s="324"/>
      <c r="NWG507" s="324"/>
      <c r="NWH507" s="324"/>
      <c r="NWI507" s="256"/>
      <c r="NWJ507" s="325"/>
      <c r="NWK507" s="311"/>
      <c r="NWL507" s="325"/>
      <c r="NWM507" s="310"/>
      <c r="NWN507" s="325"/>
      <c r="NWO507" s="325"/>
      <c r="NWP507" s="325"/>
      <c r="NWQ507" s="325"/>
      <c r="NWR507" s="325"/>
      <c r="NWS507" s="325"/>
      <c r="NWT507" s="325"/>
      <c r="NWU507" s="325"/>
      <c r="NWV507" s="325"/>
      <c r="NWW507" s="325"/>
      <c r="NWX507" s="325"/>
      <c r="NWY507" s="325"/>
      <c r="NWZ507" s="325"/>
      <c r="NXA507" s="325"/>
      <c r="NXB507" s="325"/>
      <c r="NXC507" s="325"/>
      <c r="NXD507" s="325"/>
      <c r="NXE507" s="325"/>
      <c r="NXF507" s="325"/>
      <c r="NXG507" s="325"/>
      <c r="NXH507" s="325"/>
      <c r="NXI507" s="325"/>
      <c r="NXJ507" s="325"/>
      <c r="NXK507" s="325"/>
      <c r="NXL507" s="325"/>
      <c r="NXM507" s="325"/>
      <c r="NXN507" s="325"/>
      <c r="NXO507" s="325"/>
      <c r="NXP507" s="325"/>
      <c r="NXQ507" s="325"/>
      <c r="NXR507" s="327"/>
      <c r="NXS507" s="28"/>
      <c r="NXT507" s="324"/>
      <c r="NXU507" s="324"/>
      <c r="NXV507" s="324"/>
      <c r="NXW507" s="324"/>
      <c r="NXX507" s="324"/>
      <c r="NXY507" s="324"/>
      <c r="NXZ507" s="256"/>
      <c r="NYA507" s="325"/>
      <c r="NYB507" s="311"/>
      <c r="NYC507" s="325"/>
      <c r="NYD507" s="310"/>
      <c r="NYE507" s="325"/>
      <c r="NYF507" s="325"/>
      <c r="NYG507" s="325"/>
      <c r="NYH507" s="325"/>
      <c r="NYI507" s="325"/>
      <c r="NYJ507" s="325"/>
      <c r="NYK507" s="325"/>
      <c r="NYL507" s="325"/>
      <c r="NYM507" s="325"/>
      <c r="NYN507" s="325"/>
      <c r="NYO507" s="325"/>
      <c r="NYP507" s="325"/>
      <c r="NYQ507" s="325"/>
      <c r="NYR507" s="325"/>
      <c r="NYS507" s="325"/>
      <c r="NYT507" s="325"/>
      <c r="NYU507" s="325"/>
      <c r="NYV507" s="325"/>
      <c r="NYW507" s="325"/>
      <c r="NYX507" s="325"/>
      <c r="NYY507" s="325"/>
      <c r="NYZ507" s="325"/>
      <c r="NZA507" s="325"/>
      <c r="NZB507" s="325"/>
      <c r="NZC507" s="325"/>
      <c r="NZD507" s="325"/>
      <c r="NZE507" s="325"/>
      <c r="NZF507" s="325"/>
      <c r="NZG507" s="325"/>
      <c r="NZH507" s="325"/>
      <c r="NZI507" s="327"/>
      <c r="NZJ507" s="28"/>
      <c r="NZK507" s="324"/>
      <c r="NZL507" s="324"/>
      <c r="NZM507" s="324"/>
      <c r="NZN507" s="324"/>
      <c r="NZO507" s="324"/>
      <c r="NZP507" s="324"/>
      <c r="NZQ507" s="256"/>
      <c r="NZR507" s="325"/>
      <c r="NZS507" s="311"/>
      <c r="NZT507" s="325"/>
      <c r="NZU507" s="310"/>
      <c r="NZV507" s="325"/>
      <c r="NZW507" s="325"/>
      <c r="NZX507" s="325"/>
      <c r="NZY507" s="325"/>
      <c r="NZZ507" s="325"/>
      <c r="OAA507" s="325"/>
      <c r="OAB507" s="325"/>
      <c r="OAC507" s="325"/>
      <c r="OAD507" s="325"/>
      <c r="OAE507" s="325"/>
      <c r="OAF507" s="325"/>
      <c r="OAG507" s="325"/>
      <c r="OAH507" s="325"/>
      <c r="OAI507" s="325"/>
      <c r="OAJ507" s="325"/>
      <c r="OAK507" s="325"/>
      <c r="OAL507" s="325"/>
      <c r="OAM507" s="325"/>
      <c r="OAN507" s="325"/>
      <c r="OAO507" s="325"/>
      <c r="OAP507" s="325"/>
      <c r="OAQ507" s="325"/>
      <c r="OAR507" s="325"/>
      <c r="OAS507" s="325"/>
      <c r="OAT507" s="325"/>
      <c r="OAU507" s="325"/>
      <c r="OAV507" s="325"/>
      <c r="OAW507" s="325"/>
      <c r="OAX507" s="325"/>
      <c r="OAY507" s="325"/>
      <c r="OAZ507" s="327"/>
      <c r="OBA507" s="28"/>
      <c r="OBB507" s="324"/>
      <c r="OBC507" s="324"/>
      <c r="OBD507" s="324"/>
      <c r="OBE507" s="324"/>
      <c r="OBF507" s="324"/>
      <c r="OBG507" s="324"/>
      <c r="OBH507" s="256"/>
      <c r="OBI507" s="325"/>
      <c r="OBJ507" s="311"/>
      <c r="OBK507" s="325"/>
      <c r="OBL507" s="310"/>
      <c r="OBM507" s="325"/>
      <c r="OBN507" s="325"/>
      <c r="OBO507" s="325"/>
      <c r="OBP507" s="325"/>
      <c r="OBQ507" s="325"/>
      <c r="OBR507" s="325"/>
      <c r="OBS507" s="325"/>
      <c r="OBT507" s="325"/>
      <c r="OBU507" s="325"/>
      <c r="OBV507" s="325"/>
      <c r="OBW507" s="325"/>
      <c r="OBX507" s="325"/>
      <c r="OBY507" s="325"/>
      <c r="OBZ507" s="325"/>
      <c r="OCA507" s="325"/>
      <c r="OCB507" s="325"/>
      <c r="OCC507" s="325"/>
      <c r="OCD507" s="325"/>
      <c r="OCE507" s="325"/>
      <c r="OCF507" s="325"/>
      <c r="OCG507" s="325"/>
      <c r="OCH507" s="325"/>
      <c r="OCI507" s="325"/>
      <c r="OCJ507" s="325"/>
      <c r="OCK507" s="325"/>
      <c r="OCL507" s="325"/>
      <c r="OCM507" s="325"/>
      <c r="OCN507" s="325"/>
      <c r="OCO507" s="325"/>
      <c r="OCP507" s="325"/>
      <c r="OCQ507" s="327"/>
      <c r="OCR507" s="28"/>
      <c r="OCS507" s="324"/>
      <c r="OCT507" s="324"/>
      <c r="OCU507" s="324"/>
      <c r="OCV507" s="324"/>
      <c r="OCW507" s="324"/>
      <c r="OCX507" s="324"/>
      <c r="OCY507" s="256"/>
      <c r="OCZ507" s="325"/>
      <c r="ODA507" s="311"/>
      <c r="ODB507" s="325"/>
      <c r="ODC507" s="310"/>
      <c r="ODD507" s="325"/>
      <c r="ODE507" s="325"/>
      <c r="ODF507" s="325"/>
      <c r="ODG507" s="325"/>
      <c r="ODH507" s="325"/>
      <c r="ODI507" s="325"/>
      <c r="ODJ507" s="325"/>
      <c r="ODK507" s="325"/>
      <c r="ODL507" s="325"/>
      <c r="ODM507" s="325"/>
      <c r="ODN507" s="325"/>
      <c r="ODO507" s="325"/>
      <c r="ODP507" s="325"/>
      <c r="ODQ507" s="325"/>
      <c r="ODR507" s="325"/>
      <c r="ODS507" s="325"/>
      <c r="ODT507" s="325"/>
      <c r="ODU507" s="325"/>
      <c r="ODV507" s="325"/>
      <c r="ODW507" s="325"/>
      <c r="ODX507" s="325"/>
      <c r="ODY507" s="325"/>
      <c r="ODZ507" s="325"/>
      <c r="OEA507" s="325"/>
      <c r="OEB507" s="325"/>
      <c r="OEC507" s="325"/>
      <c r="OED507" s="325"/>
      <c r="OEE507" s="325"/>
      <c r="OEF507" s="325"/>
      <c r="OEG507" s="325"/>
      <c r="OEH507" s="327"/>
      <c r="OEI507" s="28"/>
      <c r="OEJ507" s="324"/>
      <c r="OEK507" s="324"/>
      <c r="OEL507" s="324"/>
      <c r="OEM507" s="324"/>
      <c r="OEN507" s="324"/>
      <c r="OEO507" s="324"/>
      <c r="OEP507" s="256"/>
      <c r="OEQ507" s="325"/>
      <c r="OER507" s="311"/>
      <c r="OES507" s="325"/>
      <c r="OET507" s="310"/>
      <c r="OEU507" s="325"/>
      <c r="OEV507" s="325"/>
      <c r="OEW507" s="325"/>
      <c r="OEX507" s="325"/>
      <c r="OEY507" s="325"/>
      <c r="OEZ507" s="325"/>
      <c r="OFA507" s="325"/>
      <c r="OFB507" s="325"/>
      <c r="OFC507" s="325"/>
      <c r="OFD507" s="325"/>
      <c r="OFE507" s="325"/>
      <c r="OFF507" s="325"/>
      <c r="OFG507" s="325"/>
      <c r="OFH507" s="325"/>
      <c r="OFI507" s="325"/>
      <c r="OFJ507" s="325"/>
      <c r="OFK507" s="325"/>
      <c r="OFL507" s="325"/>
      <c r="OFM507" s="325"/>
      <c r="OFN507" s="325"/>
      <c r="OFO507" s="325"/>
      <c r="OFP507" s="325"/>
      <c r="OFQ507" s="325"/>
      <c r="OFR507" s="325"/>
      <c r="OFS507" s="325"/>
      <c r="OFT507" s="325"/>
      <c r="OFU507" s="325"/>
      <c r="OFV507" s="325"/>
      <c r="OFW507" s="325"/>
      <c r="OFX507" s="325"/>
      <c r="OFY507" s="327"/>
      <c r="OFZ507" s="28"/>
      <c r="OGA507" s="324"/>
      <c r="OGB507" s="324"/>
      <c r="OGC507" s="324"/>
      <c r="OGD507" s="324"/>
      <c r="OGE507" s="324"/>
      <c r="OGF507" s="324"/>
      <c r="OGG507" s="256"/>
      <c r="OGH507" s="325"/>
      <c r="OGI507" s="311"/>
      <c r="OGJ507" s="325"/>
      <c r="OGK507" s="310"/>
      <c r="OGL507" s="325"/>
      <c r="OGM507" s="325"/>
      <c r="OGN507" s="325"/>
      <c r="OGO507" s="325"/>
      <c r="OGP507" s="325"/>
      <c r="OGQ507" s="325"/>
      <c r="OGR507" s="325"/>
      <c r="OGS507" s="325"/>
      <c r="OGT507" s="325"/>
      <c r="OGU507" s="325"/>
      <c r="OGV507" s="325"/>
      <c r="OGW507" s="325"/>
      <c r="OGX507" s="325"/>
      <c r="OGY507" s="325"/>
      <c r="OGZ507" s="325"/>
      <c r="OHA507" s="325"/>
      <c r="OHB507" s="325"/>
      <c r="OHC507" s="325"/>
      <c r="OHD507" s="325"/>
      <c r="OHE507" s="325"/>
      <c r="OHF507" s="325"/>
      <c r="OHG507" s="325"/>
      <c r="OHH507" s="325"/>
      <c r="OHI507" s="325"/>
      <c r="OHJ507" s="325"/>
      <c r="OHK507" s="325"/>
      <c r="OHL507" s="325"/>
      <c r="OHM507" s="325"/>
      <c r="OHN507" s="325"/>
      <c r="OHO507" s="325"/>
      <c r="OHP507" s="327"/>
      <c r="OHQ507" s="28"/>
      <c r="OHR507" s="324"/>
      <c r="OHS507" s="324"/>
      <c r="OHT507" s="324"/>
      <c r="OHU507" s="324"/>
      <c r="OHV507" s="324"/>
      <c r="OHW507" s="324"/>
      <c r="OHX507" s="256"/>
      <c r="OHY507" s="325"/>
      <c r="OHZ507" s="311"/>
      <c r="OIA507" s="325"/>
      <c r="OIB507" s="310"/>
      <c r="OIC507" s="325"/>
      <c r="OID507" s="325"/>
      <c r="OIE507" s="325"/>
      <c r="OIF507" s="325"/>
      <c r="OIG507" s="325"/>
      <c r="OIH507" s="325"/>
      <c r="OII507" s="325"/>
      <c r="OIJ507" s="325"/>
      <c r="OIK507" s="325"/>
      <c r="OIL507" s="325"/>
      <c r="OIM507" s="325"/>
      <c r="OIN507" s="325"/>
      <c r="OIO507" s="325"/>
      <c r="OIP507" s="325"/>
      <c r="OIQ507" s="325"/>
      <c r="OIR507" s="325"/>
      <c r="OIS507" s="325"/>
      <c r="OIT507" s="325"/>
      <c r="OIU507" s="325"/>
      <c r="OIV507" s="325"/>
      <c r="OIW507" s="325"/>
      <c r="OIX507" s="325"/>
      <c r="OIY507" s="325"/>
      <c r="OIZ507" s="325"/>
      <c r="OJA507" s="325"/>
      <c r="OJB507" s="325"/>
      <c r="OJC507" s="325"/>
      <c r="OJD507" s="325"/>
      <c r="OJE507" s="325"/>
      <c r="OJF507" s="325"/>
      <c r="OJG507" s="327"/>
      <c r="OJH507" s="28"/>
      <c r="OJI507" s="324"/>
      <c r="OJJ507" s="324"/>
      <c r="OJK507" s="324"/>
      <c r="OJL507" s="324"/>
      <c r="OJM507" s="324"/>
      <c r="OJN507" s="324"/>
      <c r="OJO507" s="256"/>
      <c r="OJP507" s="325"/>
      <c r="OJQ507" s="311"/>
      <c r="OJR507" s="325"/>
      <c r="OJS507" s="310"/>
      <c r="OJT507" s="325"/>
      <c r="OJU507" s="325"/>
      <c r="OJV507" s="325"/>
      <c r="OJW507" s="325"/>
      <c r="OJX507" s="325"/>
      <c r="OJY507" s="325"/>
      <c r="OJZ507" s="325"/>
      <c r="OKA507" s="325"/>
      <c r="OKB507" s="325"/>
      <c r="OKC507" s="325"/>
      <c r="OKD507" s="325"/>
      <c r="OKE507" s="325"/>
      <c r="OKF507" s="325"/>
      <c r="OKG507" s="325"/>
      <c r="OKH507" s="325"/>
      <c r="OKI507" s="325"/>
      <c r="OKJ507" s="325"/>
      <c r="OKK507" s="325"/>
      <c r="OKL507" s="325"/>
      <c r="OKM507" s="325"/>
      <c r="OKN507" s="325"/>
      <c r="OKO507" s="325"/>
      <c r="OKP507" s="325"/>
      <c r="OKQ507" s="325"/>
      <c r="OKR507" s="325"/>
      <c r="OKS507" s="325"/>
      <c r="OKT507" s="325"/>
      <c r="OKU507" s="325"/>
      <c r="OKV507" s="325"/>
      <c r="OKW507" s="325"/>
      <c r="OKX507" s="327"/>
      <c r="OKY507" s="28"/>
      <c r="OKZ507" s="324"/>
      <c r="OLA507" s="324"/>
      <c r="OLB507" s="324"/>
      <c r="OLC507" s="324"/>
      <c r="OLD507" s="324"/>
      <c r="OLE507" s="324"/>
      <c r="OLF507" s="256"/>
      <c r="OLG507" s="325"/>
      <c r="OLH507" s="311"/>
      <c r="OLI507" s="325"/>
      <c r="OLJ507" s="310"/>
      <c r="OLK507" s="325"/>
      <c r="OLL507" s="325"/>
      <c r="OLM507" s="325"/>
      <c r="OLN507" s="325"/>
      <c r="OLO507" s="325"/>
      <c r="OLP507" s="325"/>
      <c r="OLQ507" s="325"/>
      <c r="OLR507" s="325"/>
      <c r="OLS507" s="325"/>
      <c r="OLT507" s="325"/>
      <c r="OLU507" s="325"/>
      <c r="OLV507" s="325"/>
      <c r="OLW507" s="325"/>
      <c r="OLX507" s="325"/>
      <c r="OLY507" s="325"/>
      <c r="OLZ507" s="325"/>
      <c r="OMA507" s="325"/>
      <c r="OMB507" s="325"/>
      <c r="OMC507" s="325"/>
      <c r="OMD507" s="325"/>
      <c r="OME507" s="325"/>
      <c r="OMF507" s="325"/>
      <c r="OMG507" s="325"/>
      <c r="OMH507" s="325"/>
      <c r="OMI507" s="325"/>
      <c r="OMJ507" s="325"/>
      <c r="OMK507" s="325"/>
      <c r="OML507" s="325"/>
      <c r="OMM507" s="325"/>
      <c r="OMN507" s="325"/>
      <c r="OMO507" s="327"/>
      <c r="OMP507" s="28"/>
      <c r="OMQ507" s="324"/>
      <c r="OMR507" s="324"/>
      <c r="OMS507" s="324"/>
      <c r="OMT507" s="324"/>
      <c r="OMU507" s="324"/>
      <c r="OMV507" s="324"/>
      <c r="OMW507" s="256"/>
      <c r="OMX507" s="325"/>
      <c r="OMY507" s="311"/>
      <c r="OMZ507" s="325"/>
      <c r="ONA507" s="310"/>
      <c r="ONB507" s="325"/>
      <c r="ONC507" s="325"/>
      <c r="OND507" s="325"/>
      <c r="ONE507" s="325"/>
      <c r="ONF507" s="325"/>
      <c r="ONG507" s="325"/>
      <c r="ONH507" s="325"/>
      <c r="ONI507" s="325"/>
      <c r="ONJ507" s="325"/>
      <c r="ONK507" s="325"/>
      <c r="ONL507" s="325"/>
      <c r="ONM507" s="325"/>
      <c r="ONN507" s="325"/>
      <c r="ONO507" s="325"/>
      <c r="ONP507" s="325"/>
      <c r="ONQ507" s="325"/>
      <c r="ONR507" s="325"/>
      <c r="ONS507" s="325"/>
      <c r="ONT507" s="325"/>
      <c r="ONU507" s="325"/>
      <c r="ONV507" s="325"/>
      <c r="ONW507" s="325"/>
      <c r="ONX507" s="325"/>
      <c r="ONY507" s="325"/>
      <c r="ONZ507" s="325"/>
      <c r="OOA507" s="325"/>
      <c r="OOB507" s="325"/>
      <c r="OOC507" s="325"/>
      <c r="OOD507" s="325"/>
      <c r="OOE507" s="325"/>
      <c r="OOF507" s="327"/>
      <c r="OOG507" s="28"/>
      <c r="OOH507" s="324"/>
      <c r="OOI507" s="324"/>
      <c r="OOJ507" s="324"/>
      <c r="OOK507" s="324"/>
      <c r="OOL507" s="324"/>
      <c r="OOM507" s="324"/>
      <c r="OON507" s="256"/>
      <c r="OOO507" s="325"/>
      <c r="OOP507" s="311"/>
      <c r="OOQ507" s="325"/>
      <c r="OOR507" s="310"/>
      <c r="OOS507" s="325"/>
      <c r="OOT507" s="325"/>
      <c r="OOU507" s="325"/>
      <c r="OOV507" s="325"/>
      <c r="OOW507" s="325"/>
      <c r="OOX507" s="325"/>
      <c r="OOY507" s="325"/>
      <c r="OOZ507" s="325"/>
      <c r="OPA507" s="325"/>
      <c r="OPB507" s="325"/>
      <c r="OPC507" s="325"/>
      <c r="OPD507" s="325"/>
      <c r="OPE507" s="325"/>
      <c r="OPF507" s="325"/>
      <c r="OPG507" s="325"/>
      <c r="OPH507" s="325"/>
      <c r="OPI507" s="325"/>
      <c r="OPJ507" s="325"/>
      <c r="OPK507" s="325"/>
      <c r="OPL507" s="325"/>
      <c r="OPM507" s="325"/>
      <c r="OPN507" s="325"/>
      <c r="OPO507" s="325"/>
      <c r="OPP507" s="325"/>
      <c r="OPQ507" s="325"/>
      <c r="OPR507" s="325"/>
      <c r="OPS507" s="325"/>
      <c r="OPT507" s="325"/>
      <c r="OPU507" s="325"/>
      <c r="OPV507" s="325"/>
      <c r="OPW507" s="327"/>
      <c r="OPX507" s="28"/>
      <c r="OPY507" s="324"/>
      <c r="OPZ507" s="324"/>
      <c r="OQA507" s="324"/>
      <c r="OQB507" s="324"/>
      <c r="OQC507" s="324"/>
      <c r="OQD507" s="324"/>
      <c r="OQE507" s="256"/>
      <c r="OQF507" s="325"/>
      <c r="OQG507" s="311"/>
      <c r="OQH507" s="325"/>
      <c r="OQI507" s="310"/>
      <c r="OQJ507" s="325"/>
      <c r="OQK507" s="325"/>
      <c r="OQL507" s="325"/>
      <c r="OQM507" s="325"/>
      <c r="OQN507" s="325"/>
      <c r="OQO507" s="325"/>
      <c r="OQP507" s="325"/>
      <c r="OQQ507" s="325"/>
      <c r="OQR507" s="325"/>
      <c r="OQS507" s="325"/>
      <c r="OQT507" s="325"/>
      <c r="OQU507" s="325"/>
      <c r="OQV507" s="325"/>
      <c r="OQW507" s="325"/>
      <c r="OQX507" s="325"/>
      <c r="OQY507" s="325"/>
      <c r="OQZ507" s="325"/>
      <c r="ORA507" s="325"/>
      <c r="ORB507" s="325"/>
      <c r="ORC507" s="325"/>
      <c r="ORD507" s="325"/>
      <c r="ORE507" s="325"/>
      <c r="ORF507" s="325"/>
      <c r="ORG507" s="325"/>
      <c r="ORH507" s="325"/>
      <c r="ORI507" s="325"/>
      <c r="ORJ507" s="325"/>
      <c r="ORK507" s="325"/>
      <c r="ORL507" s="325"/>
      <c r="ORM507" s="325"/>
      <c r="ORN507" s="327"/>
      <c r="ORO507" s="28"/>
      <c r="ORP507" s="324"/>
      <c r="ORQ507" s="324"/>
      <c r="ORR507" s="324"/>
      <c r="ORS507" s="324"/>
      <c r="ORT507" s="324"/>
      <c r="ORU507" s="324"/>
      <c r="ORV507" s="256"/>
      <c r="ORW507" s="325"/>
      <c r="ORX507" s="311"/>
      <c r="ORY507" s="325"/>
      <c r="ORZ507" s="310"/>
      <c r="OSA507" s="325"/>
      <c r="OSB507" s="325"/>
      <c r="OSC507" s="325"/>
      <c r="OSD507" s="325"/>
      <c r="OSE507" s="325"/>
      <c r="OSF507" s="325"/>
      <c r="OSG507" s="325"/>
      <c r="OSH507" s="325"/>
      <c r="OSI507" s="325"/>
      <c r="OSJ507" s="325"/>
      <c r="OSK507" s="325"/>
      <c r="OSL507" s="325"/>
      <c r="OSM507" s="325"/>
      <c r="OSN507" s="325"/>
      <c r="OSO507" s="325"/>
      <c r="OSP507" s="325"/>
      <c r="OSQ507" s="325"/>
      <c r="OSR507" s="325"/>
      <c r="OSS507" s="325"/>
      <c r="OST507" s="325"/>
      <c r="OSU507" s="325"/>
      <c r="OSV507" s="325"/>
      <c r="OSW507" s="325"/>
      <c r="OSX507" s="325"/>
      <c r="OSY507" s="325"/>
      <c r="OSZ507" s="325"/>
      <c r="OTA507" s="325"/>
      <c r="OTB507" s="325"/>
      <c r="OTC507" s="325"/>
      <c r="OTD507" s="325"/>
      <c r="OTE507" s="327"/>
      <c r="OTF507" s="28"/>
      <c r="OTG507" s="324"/>
      <c r="OTH507" s="324"/>
      <c r="OTI507" s="324"/>
      <c r="OTJ507" s="324"/>
      <c r="OTK507" s="324"/>
      <c r="OTL507" s="324"/>
      <c r="OTM507" s="256"/>
      <c r="OTN507" s="325"/>
      <c r="OTO507" s="311"/>
      <c r="OTP507" s="325"/>
      <c r="OTQ507" s="310"/>
      <c r="OTR507" s="325"/>
      <c r="OTS507" s="325"/>
      <c r="OTT507" s="325"/>
      <c r="OTU507" s="325"/>
      <c r="OTV507" s="325"/>
      <c r="OTW507" s="325"/>
      <c r="OTX507" s="325"/>
      <c r="OTY507" s="325"/>
      <c r="OTZ507" s="325"/>
      <c r="OUA507" s="325"/>
      <c r="OUB507" s="325"/>
      <c r="OUC507" s="325"/>
      <c r="OUD507" s="325"/>
      <c r="OUE507" s="325"/>
      <c r="OUF507" s="325"/>
      <c r="OUG507" s="325"/>
      <c r="OUH507" s="325"/>
      <c r="OUI507" s="325"/>
      <c r="OUJ507" s="325"/>
      <c r="OUK507" s="325"/>
      <c r="OUL507" s="325"/>
      <c r="OUM507" s="325"/>
      <c r="OUN507" s="325"/>
      <c r="OUO507" s="325"/>
      <c r="OUP507" s="325"/>
      <c r="OUQ507" s="325"/>
      <c r="OUR507" s="325"/>
      <c r="OUS507" s="325"/>
      <c r="OUT507" s="325"/>
      <c r="OUU507" s="325"/>
      <c r="OUV507" s="327"/>
      <c r="OUW507" s="28"/>
      <c r="OUX507" s="324"/>
      <c r="OUY507" s="324"/>
      <c r="OUZ507" s="324"/>
      <c r="OVA507" s="324"/>
      <c r="OVB507" s="324"/>
      <c r="OVC507" s="324"/>
      <c r="OVD507" s="256"/>
      <c r="OVE507" s="325"/>
      <c r="OVF507" s="311"/>
      <c r="OVG507" s="325"/>
      <c r="OVH507" s="310"/>
      <c r="OVI507" s="325"/>
      <c r="OVJ507" s="325"/>
      <c r="OVK507" s="325"/>
      <c r="OVL507" s="325"/>
      <c r="OVM507" s="325"/>
      <c r="OVN507" s="325"/>
      <c r="OVO507" s="325"/>
      <c r="OVP507" s="325"/>
      <c r="OVQ507" s="325"/>
      <c r="OVR507" s="325"/>
      <c r="OVS507" s="325"/>
      <c r="OVT507" s="325"/>
      <c r="OVU507" s="325"/>
      <c r="OVV507" s="325"/>
      <c r="OVW507" s="325"/>
      <c r="OVX507" s="325"/>
      <c r="OVY507" s="325"/>
      <c r="OVZ507" s="325"/>
      <c r="OWA507" s="325"/>
      <c r="OWB507" s="325"/>
      <c r="OWC507" s="325"/>
      <c r="OWD507" s="325"/>
      <c r="OWE507" s="325"/>
      <c r="OWF507" s="325"/>
      <c r="OWG507" s="325"/>
      <c r="OWH507" s="325"/>
      <c r="OWI507" s="325"/>
      <c r="OWJ507" s="325"/>
      <c r="OWK507" s="325"/>
      <c r="OWL507" s="325"/>
      <c r="OWM507" s="327"/>
      <c r="OWN507" s="28"/>
      <c r="OWO507" s="324"/>
      <c r="OWP507" s="324"/>
      <c r="OWQ507" s="324"/>
      <c r="OWR507" s="324"/>
      <c r="OWS507" s="324"/>
      <c r="OWT507" s="324"/>
      <c r="OWU507" s="256"/>
      <c r="OWV507" s="325"/>
      <c r="OWW507" s="311"/>
      <c r="OWX507" s="325"/>
      <c r="OWY507" s="310"/>
      <c r="OWZ507" s="325"/>
      <c r="OXA507" s="325"/>
      <c r="OXB507" s="325"/>
      <c r="OXC507" s="325"/>
      <c r="OXD507" s="325"/>
      <c r="OXE507" s="325"/>
      <c r="OXF507" s="325"/>
      <c r="OXG507" s="325"/>
      <c r="OXH507" s="325"/>
      <c r="OXI507" s="325"/>
      <c r="OXJ507" s="325"/>
      <c r="OXK507" s="325"/>
      <c r="OXL507" s="325"/>
      <c r="OXM507" s="325"/>
      <c r="OXN507" s="325"/>
      <c r="OXO507" s="325"/>
      <c r="OXP507" s="325"/>
      <c r="OXQ507" s="325"/>
      <c r="OXR507" s="325"/>
      <c r="OXS507" s="325"/>
      <c r="OXT507" s="325"/>
      <c r="OXU507" s="325"/>
      <c r="OXV507" s="325"/>
      <c r="OXW507" s="325"/>
      <c r="OXX507" s="325"/>
      <c r="OXY507" s="325"/>
      <c r="OXZ507" s="325"/>
      <c r="OYA507" s="325"/>
      <c r="OYB507" s="325"/>
      <c r="OYC507" s="325"/>
      <c r="OYD507" s="327"/>
      <c r="OYE507" s="28"/>
      <c r="OYF507" s="324"/>
      <c r="OYG507" s="324"/>
      <c r="OYH507" s="324"/>
      <c r="OYI507" s="324"/>
      <c r="OYJ507" s="324"/>
      <c r="OYK507" s="324"/>
      <c r="OYL507" s="256"/>
      <c r="OYM507" s="325"/>
      <c r="OYN507" s="311"/>
      <c r="OYO507" s="325"/>
      <c r="OYP507" s="310"/>
      <c r="OYQ507" s="325"/>
      <c r="OYR507" s="325"/>
      <c r="OYS507" s="325"/>
      <c r="OYT507" s="325"/>
      <c r="OYU507" s="325"/>
      <c r="OYV507" s="325"/>
      <c r="OYW507" s="325"/>
      <c r="OYX507" s="325"/>
      <c r="OYY507" s="325"/>
      <c r="OYZ507" s="325"/>
      <c r="OZA507" s="325"/>
      <c r="OZB507" s="325"/>
      <c r="OZC507" s="325"/>
      <c r="OZD507" s="325"/>
      <c r="OZE507" s="325"/>
      <c r="OZF507" s="325"/>
      <c r="OZG507" s="325"/>
      <c r="OZH507" s="325"/>
      <c r="OZI507" s="325"/>
      <c r="OZJ507" s="325"/>
      <c r="OZK507" s="325"/>
      <c r="OZL507" s="325"/>
      <c r="OZM507" s="325"/>
      <c r="OZN507" s="325"/>
      <c r="OZO507" s="325"/>
      <c r="OZP507" s="325"/>
      <c r="OZQ507" s="325"/>
      <c r="OZR507" s="325"/>
      <c r="OZS507" s="325"/>
      <c r="OZT507" s="325"/>
      <c r="OZU507" s="327"/>
      <c r="OZV507" s="28"/>
      <c r="OZW507" s="324"/>
      <c r="OZX507" s="324"/>
      <c r="OZY507" s="324"/>
      <c r="OZZ507" s="324"/>
      <c r="PAA507" s="324"/>
      <c r="PAB507" s="324"/>
      <c r="PAC507" s="256"/>
      <c r="PAD507" s="325"/>
      <c r="PAE507" s="311"/>
      <c r="PAF507" s="325"/>
      <c r="PAG507" s="310"/>
      <c r="PAH507" s="325"/>
      <c r="PAI507" s="325"/>
      <c r="PAJ507" s="325"/>
      <c r="PAK507" s="325"/>
      <c r="PAL507" s="325"/>
      <c r="PAM507" s="325"/>
      <c r="PAN507" s="325"/>
      <c r="PAO507" s="325"/>
      <c r="PAP507" s="325"/>
      <c r="PAQ507" s="325"/>
      <c r="PAR507" s="325"/>
      <c r="PAS507" s="325"/>
      <c r="PAT507" s="325"/>
      <c r="PAU507" s="325"/>
      <c r="PAV507" s="325"/>
      <c r="PAW507" s="325"/>
      <c r="PAX507" s="325"/>
      <c r="PAY507" s="325"/>
      <c r="PAZ507" s="325"/>
      <c r="PBA507" s="325"/>
      <c r="PBB507" s="325"/>
      <c r="PBC507" s="325"/>
      <c r="PBD507" s="325"/>
      <c r="PBE507" s="325"/>
      <c r="PBF507" s="325"/>
      <c r="PBG507" s="325"/>
      <c r="PBH507" s="325"/>
      <c r="PBI507" s="325"/>
      <c r="PBJ507" s="325"/>
      <c r="PBK507" s="325"/>
      <c r="PBL507" s="327"/>
      <c r="PBM507" s="28"/>
      <c r="PBN507" s="324"/>
      <c r="PBO507" s="324"/>
      <c r="PBP507" s="324"/>
      <c r="PBQ507" s="324"/>
      <c r="PBR507" s="324"/>
      <c r="PBS507" s="324"/>
      <c r="PBT507" s="256"/>
      <c r="PBU507" s="325"/>
      <c r="PBV507" s="311"/>
      <c r="PBW507" s="325"/>
      <c r="PBX507" s="310"/>
      <c r="PBY507" s="325"/>
      <c r="PBZ507" s="325"/>
      <c r="PCA507" s="325"/>
      <c r="PCB507" s="325"/>
      <c r="PCC507" s="325"/>
      <c r="PCD507" s="325"/>
      <c r="PCE507" s="325"/>
      <c r="PCF507" s="325"/>
      <c r="PCG507" s="325"/>
      <c r="PCH507" s="325"/>
      <c r="PCI507" s="325"/>
      <c r="PCJ507" s="325"/>
      <c r="PCK507" s="325"/>
      <c r="PCL507" s="325"/>
      <c r="PCM507" s="325"/>
      <c r="PCN507" s="325"/>
      <c r="PCO507" s="325"/>
      <c r="PCP507" s="325"/>
      <c r="PCQ507" s="325"/>
      <c r="PCR507" s="325"/>
      <c r="PCS507" s="325"/>
      <c r="PCT507" s="325"/>
      <c r="PCU507" s="325"/>
      <c r="PCV507" s="325"/>
      <c r="PCW507" s="325"/>
      <c r="PCX507" s="325"/>
      <c r="PCY507" s="325"/>
      <c r="PCZ507" s="325"/>
      <c r="PDA507" s="325"/>
      <c r="PDB507" s="325"/>
      <c r="PDC507" s="327"/>
      <c r="PDD507" s="28"/>
      <c r="PDE507" s="324"/>
      <c r="PDF507" s="324"/>
      <c r="PDG507" s="324"/>
      <c r="PDH507" s="324"/>
      <c r="PDI507" s="324"/>
      <c r="PDJ507" s="324"/>
      <c r="PDK507" s="256"/>
      <c r="PDL507" s="325"/>
      <c r="PDM507" s="311"/>
      <c r="PDN507" s="325"/>
      <c r="PDO507" s="310"/>
      <c r="PDP507" s="325"/>
      <c r="PDQ507" s="325"/>
      <c r="PDR507" s="325"/>
      <c r="PDS507" s="325"/>
      <c r="PDT507" s="325"/>
      <c r="PDU507" s="325"/>
      <c r="PDV507" s="325"/>
      <c r="PDW507" s="325"/>
      <c r="PDX507" s="325"/>
      <c r="PDY507" s="325"/>
      <c r="PDZ507" s="325"/>
      <c r="PEA507" s="325"/>
      <c r="PEB507" s="325"/>
      <c r="PEC507" s="325"/>
      <c r="PED507" s="325"/>
      <c r="PEE507" s="325"/>
      <c r="PEF507" s="325"/>
      <c r="PEG507" s="325"/>
      <c r="PEH507" s="325"/>
      <c r="PEI507" s="325"/>
      <c r="PEJ507" s="325"/>
      <c r="PEK507" s="325"/>
      <c r="PEL507" s="325"/>
      <c r="PEM507" s="325"/>
      <c r="PEN507" s="325"/>
      <c r="PEO507" s="325"/>
      <c r="PEP507" s="325"/>
      <c r="PEQ507" s="325"/>
      <c r="PER507" s="325"/>
      <c r="PES507" s="325"/>
      <c r="PET507" s="327"/>
      <c r="PEU507" s="28"/>
      <c r="PEV507" s="324"/>
      <c r="PEW507" s="324"/>
      <c r="PEX507" s="324"/>
      <c r="PEY507" s="324"/>
      <c r="PEZ507" s="324"/>
      <c r="PFA507" s="324"/>
      <c r="PFB507" s="256"/>
      <c r="PFC507" s="325"/>
      <c r="PFD507" s="311"/>
      <c r="PFE507" s="325"/>
      <c r="PFF507" s="310"/>
      <c r="PFG507" s="325"/>
      <c r="PFH507" s="325"/>
      <c r="PFI507" s="325"/>
      <c r="PFJ507" s="325"/>
      <c r="PFK507" s="325"/>
      <c r="PFL507" s="325"/>
      <c r="PFM507" s="325"/>
      <c r="PFN507" s="325"/>
      <c r="PFO507" s="325"/>
      <c r="PFP507" s="325"/>
      <c r="PFQ507" s="325"/>
      <c r="PFR507" s="325"/>
      <c r="PFS507" s="325"/>
      <c r="PFT507" s="325"/>
      <c r="PFU507" s="325"/>
      <c r="PFV507" s="325"/>
      <c r="PFW507" s="325"/>
      <c r="PFX507" s="325"/>
      <c r="PFY507" s="325"/>
      <c r="PFZ507" s="325"/>
      <c r="PGA507" s="325"/>
      <c r="PGB507" s="325"/>
      <c r="PGC507" s="325"/>
      <c r="PGD507" s="325"/>
      <c r="PGE507" s="325"/>
      <c r="PGF507" s="325"/>
      <c r="PGG507" s="325"/>
      <c r="PGH507" s="325"/>
      <c r="PGI507" s="325"/>
      <c r="PGJ507" s="325"/>
      <c r="PGK507" s="327"/>
      <c r="PGL507" s="28"/>
      <c r="PGM507" s="324"/>
      <c r="PGN507" s="324"/>
      <c r="PGO507" s="324"/>
      <c r="PGP507" s="324"/>
      <c r="PGQ507" s="324"/>
      <c r="PGR507" s="324"/>
      <c r="PGS507" s="256"/>
      <c r="PGT507" s="325"/>
      <c r="PGU507" s="311"/>
      <c r="PGV507" s="325"/>
      <c r="PGW507" s="310"/>
      <c r="PGX507" s="325"/>
      <c r="PGY507" s="325"/>
      <c r="PGZ507" s="325"/>
      <c r="PHA507" s="325"/>
      <c r="PHB507" s="325"/>
      <c r="PHC507" s="325"/>
      <c r="PHD507" s="325"/>
      <c r="PHE507" s="325"/>
      <c r="PHF507" s="325"/>
      <c r="PHG507" s="325"/>
      <c r="PHH507" s="325"/>
      <c r="PHI507" s="325"/>
      <c r="PHJ507" s="325"/>
      <c r="PHK507" s="325"/>
      <c r="PHL507" s="325"/>
      <c r="PHM507" s="325"/>
      <c r="PHN507" s="325"/>
      <c r="PHO507" s="325"/>
      <c r="PHP507" s="325"/>
      <c r="PHQ507" s="325"/>
      <c r="PHR507" s="325"/>
      <c r="PHS507" s="325"/>
      <c r="PHT507" s="325"/>
      <c r="PHU507" s="325"/>
      <c r="PHV507" s="325"/>
      <c r="PHW507" s="325"/>
      <c r="PHX507" s="325"/>
      <c r="PHY507" s="325"/>
      <c r="PHZ507" s="325"/>
      <c r="PIA507" s="325"/>
      <c r="PIB507" s="327"/>
      <c r="PIC507" s="28"/>
      <c r="PID507" s="324"/>
      <c r="PIE507" s="324"/>
      <c r="PIF507" s="324"/>
      <c r="PIG507" s="324"/>
      <c r="PIH507" s="324"/>
      <c r="PII507" s="324"/>
      <c r="PIJ507" s="256"/>
      <c r="PIK507" s="325"/>
      <c r="PIL507" s="311"/>
      <c r="PIM507" s="325"/>
      <c r="PIN507" s="310"/>
      <c r="PIO507" s="325"/>
      <c r="PIP507" s="325"/>
      <c r="PIQ507" s="325"/>
      <c r="PIR507" s="325"/>
      <c r="PIS507" s="325"/>
      <c r="PIT507" s="325"/>
      <c r="PIU507" s="325"/>
      <c r="PIV507" s="325"/>
      <c r="PIW507" s="325"/>
      <c r="PIX507" s="325"/>
      <c r="PIY507" s="325"/>
      <c r="PIZ507" s="325"/>
      <c r="PJA507" s="325"/>
      <c r="PJB507" s="325"/>
      <c r="PJC507" s="325"/>
      <c r="PJD507" s="325"/>
      <c r="PJE507" s="325"/>
      <c r="PJF507" s="325"/>
      <c r="PJG507" s="325"/>
      <c r="PJH507" s="325"/>
      <c r="PJI507" s="325"/>
      <c r="PJJ507" s="325"/>
      <c r="PJK507" s="325"/>
      <c r="PJL507" s="325"/>
      <c r="PJM507" s="325"/>
      <c r="PJN507" s="325"/>
      <c r="PJO507" s="325"/>
      <c r="PJP507" s="325"/>
      <c r="PJQ507" s="325"/>
      <c r="PJR507" s="325"/>
      <c r="PJS507" s="327"/>
      <c r="PJT507" s="28"/>
      <c r="PJU507" s="324"/>
      <c r="PJV507" s="324"/>
      <c r="PJW507" s="324"/>
      <c r="PJX507" s="324"/>
      <c r="PJY507" s="324"/>
      <c r="PJZ507" s="324"/>
      <c r="PKA507" s="256"/>
      <c r="PKB507" s="325"/>
      <c r="PKC507" s="311"/>
      <c r="PKD507" s="325"/>
      <c r="PKE507" s="310"/>
      <c r="PKF507" s="325"/>
      <c r="PKG507" s="325"/>
      <c r="PKH507" s="325"/>
      <c r="PKI507" s="325"/>
      <c r="PKJ507" s="325"/>
      <c r="PKK507" s="325"/>
      <c r="PKL507" s="325"/>
      <c r="PKM507" s="325"/>
      <c r="PKN507" s="325"/>
      <c r="PKO507" s="325"/>
      <c r="PKP507" s="325"/>
      <c r="PKQ507" s="325"/>
      <c r="PKR507" s="325"/>
      <c r="PKS507" s="325"/>
      <c r="PKT507" s="325"/>
      <c r="PKU507" s="325"/>
      <c r="PKV507" s="325"/>
      <c r="PKW507" s="325"/>
      <c r="PKX507" s="325"/>
      <c r="PKY507" s="325"/>
      <c r="PKZ507" s="325"/>
      <c r="PLA507" s="325"/>
      <c r="PLB507" s="325"/>
      <c r="PLC507" s="325"/>
      <c r="PLD507" s="325"/>
      <c r="PLE507" s="325"/>
      <c r="PLF507" s="325"/>
      <c r="PLG507" s="325"/>
      <c r="PLH507" s="325"/>
      <c r="PLI507" s="325"/>
      <c r="PLJ507" s="327"/>
      <c r="PLK507" s="28"/>
      <c r="PLL507" s="324"/>
      <c r="PLM507" s="324"/>
      <c r="PLN507" s="324"/>
      <c r="PLO507" s="324"/>
      <c r="PLP507" s="324"/>
      <c r="PLQ507" s="324"/>
      <c r="PLR507" s="256"/>
      <c r="PLS507" s="325"/>
      <c r="PLT507" s="311"/>
      <c r="PLU507" s="325"/>
      <c r="PLV507" s="310"/>
      <c r="PLW507" s="325"/>
      <c r="PLX507" s="325"/>
      <c r="PLY507" s="325"/>
      <c r="PLZ507" s="325"/>
      <c r="PMA507" s="325"/>
      <c r="PMB507" s="325"/>
      <c r="PMC507" s="325"/>
      <c r="PMD507" s="325"/>
      <c r="PME507" s="325"/>
      <c r="PMF507" s="325"/>
      <c r="PMG507" s="325"/>
      <c r="PMH507" s="325"/>
      <c r="PMI507" s="325"/>
      <c r="PMJ507" s="325"/>
      <c r="PMK507" s="325"/>
      <c r="PML507" s="325"/>
      <c r="PMM507" s="325"/>
      <c r="PMN507" s="325"/>
      <c r="PMO507" s="325"/>
      <c r="PMP507" s="325"/>
      <c r="PMQ507" s="325"/>
      <c r="PMR507" s="325"/>
      <c r="PMS507" s="325"/>
      <c r="PMT507" s="325"/>
      <c r="PMU507" s="325"/>
      <c r="PMV507" s="325"/>
      <c r="PMW507" s="325"/>
      <c r="PMX507" s="325"/>
      <c r="PMY507" s="325"/>
      <c r="PMZ507" s="325"/>
      <c r="PNA507" s="327"/>
      <c r="PNB507" s="28"/>
      <c r="PNC507" s="324"/>
      <c r="PND507" s="324"/>
      <c r="PNE507" s="324"/>
      <c r="PNF507" s="324"/>
      <c r="PNG507" s="324"/>
      <c r="PNH507" s="324"/>
      <c r="PNI507" s="256"/>
      <c r="PNJ507" s="325"/>
      <c r="PNK507" s="311"/>
      <c r="PNL507" s="325"/>
      <c r="PNM507" s="310"/>
      <c r="PNN507" s="325"/>
      <c r="PNO507" s="325"/>
      <c r="PNP507" s="325"/>
      <c r="PNQ507" s="325"/>
      <c r="PNR507" s="325"/>
      <c r="PNS507" s="325"/>
      <c r="PNT507" s="325"/>
      <c r="PNU507" s="325"/>
      <c r="PNV507" s="325"/>
      <c r="PNW507" s="325"/>
      <c r="PNX507" s="325"/>
      <c r="PNY507" s="325"/>
      <c r="PNZ507" s="325"/>
      <c r="POA507" s="325"/>
      <c r="POB507" s="325"/>
      <c r="POC507" s="325"/>
      <c r="POD507" s="325"/>
      <c r="POE507" s="325"/>
      <c r="POF507" s="325"/>
      <c r="POG507" s="325"/>
      <c r="POH507" s="325"/>
      <c r="POI507" s="325"/>
      <c r="POJ507" s="325"/>
      <c r="POK507" s="325"/>
      <c r="POL507" s="325"/>
      <c r="POM507" s="325"/>
      <c r="PON507" s="325"/>
      <c r="POO507" s="325"/>
      <c r="POP507" s="325"/>
      <c r="POQ507" s="325"/>
      <c r="POR507" s="327"/>
      <c r="POS507" s="28"/>
      <c r="POT507" s="324"/>
      <c r="POU507" s="324"/>
      <c r="POV507" s="324"/>
      <c r="POW507" s="324"/>
      <c r="POX507" s="324"/>
      <c r="POY507" s="324"/>
      <c r="POZ507" s="256"/>
      <c r="PPA507" s="325"/>
      <c r="PPB507" s="311"/>
      <c r="PPC507" s="325"/>
      <c r="PPD507" s="310"/>
      <c r="PPE507" s="325"/>
      <c r="PPF507" s="325"/>
      <c r="PPG507" s="325"/>
      <c r="PPH507" s="325"/>
      <c r="PPI507" s="325"/>
      <c r="PPJ507" s="325"/>
      <c r="PPK507" s="325"/>
      <c r="PPL507" s="325"/>
      <c r="PPM507" s="325"/>
      <c r="PPN507" s="325"/>
      <c r="PPO507" s="325"/>
      <c r="PPP507" s="325"/>
      <c r="PPQ507" s="325"/>
      <c r="PPR507" s="325"/>
      <c r="PPS507" s="325"/>
      <c r="PPT507" s="325"/>
      <c r="PPU507" s="325"/>
      <c r="PPV507" s="325"/>
      <c r="PPW507" s="325"/>
      <c r="PPX507" s="325"/>
      <c r="PPY507" s="325"/>
      <c r="PPZ507" s="325"/>
      <c r="PQA507" s="325"/>
      <c r="PQB507" s="325"/>
      <c r="PQC507" s="325"/>
      <c r="PQD507" s="325"/>
      <c r="PQE507" s="325"/>
      <c r="PQF507" s="325"/>
      <c r="PQG507" s="325"/>
      <c r="PQH507" s="325"/>
      <c r="PQI507" s="327"/>
      <c r="PQJ507" s="28"/>
      <c r="PQK507" s="324"/>
      <c r="PQL507" s="324"/>
      <c r="PQM507" s="324"/>
      <c r="PQN507" s="324"/>
      <c r="PQO507" s="324"/>
      <c r="PQP507" s="324"/>
      <c r="PQQ507" s="256"/>
      <c r="PQR507" s="325"/>
      <c r="PQS507" s="311"/>
      <c r="PQT507" s="325"/>
      <c r="PQU507" s="310"/>
      <c r="PQV507" s="325"/>
      <c r="PQW507" s="325"/>
      <c r="PQX507" s="325"/>
      <c r="PQY507" s="325"/>
      <c r="PQZ507" s="325"/>
      <c r="PRA507" s="325"/>
      <c r="PRB507" s="325"/>
      <c r="PRC507" s="325"/>
      <c r="PRD507" s="325"/>
      <c r="PRE507" s="325"/>
      <c r="PRF507" s="325"/>
      <c r="PRG507" s="325"/>
      <c r="PRH507" s="325"/>
      <c r="PRI507" s="325"/>
      <c r="PRJ507" s="325"/>
      <c r="PRK507" s="325"/>
      <c r="PRL507" s="325"/>
      <c r="PRM507" s="325"/>
      <c r="PRN507" s="325"/>
      <c r="PRO507" s="325"/>
      <c r="PRP507" s="325"/>
      <c r="PRQ507" s="325"/>
      <c r="PRR507" s="325"/>
      <c r="PRS507" s="325"/>
      <c r="PRT507" s="325"/>
      <c r="PRU507" s="325"/>
      <c r="PRV507" s="325"/>
      <c r="PRW507" s="325"/>
      <c r="PRX507" s="325"/>
      <c r="PRY507" s="325"/>
      <c r="PRZ507" s="327"/>
      <c r="PSA507" s="28"/>
      <c r="PSB507" s="324"/>
      <c r="PSC507" s="324"/>
      <c r="PSD507" s="324"/>
      <c r="PSE507" s="324"/>
      <c r="PSF507" s="324"/>
      <c r="PSG507" s="324"/>
      <c r="PSH507" s="256"/>
      <c r="PSI507" s="325"/>
      <c r="PSJ507" s="311"/>
      <c r="PSK507" s="325"/>
      <c r="PSL507" s="310"/>
      <c r="PSM507" s="325"/>
      <c r="PSN507" s="325"/>
      <c r="PSO507" s="325"/>
      <c r="PSP507" s="325"/>
      <c r="PSQ507" s="325"/>
      <c r="PSR507" s="325"/>
      <c r="PSS507" s="325"/>
      <c r="PST507" s="325"/>
      <c r="PSU507" s="325"/>
      <c r="PSV507" s="325"/>
      <c r="PSW507" s="325"/>
      <c r="PSX507" s="325"/>
      <c r="PSY507" s="325"/>
      <c r="PSZ507" s="325"/>
      <c r="PTA507" s="325"/>
      <c r="PTB507" s="325"/>
      <c r="PTC507" s="325"/>
      <c r="PTD507" s="325"/>
      <c r="PTE507" s="325"/>
      <c r="PTF507" s="325"/>
      <c r="PTG507" s="325"/>
      <c r="PTH507" s="325"/>
      <c r="PTI507" s="325"/>
      <c r="PTJ507" s="325"/>
      <c r="PTK507" s="325"/>
      <c r="PTL507" s="325"/>
      <c r="PTM507" s="325"/>
      <c r="PTN507" s="325"/>
      <c r="PTO507" s="325"/>
      <c r="PTP507" s="325"/>
      <c r="PTQ507" s="327"/>
      <c r="PTR507" s="28"/>
      <c r="PTS507" s="324"/>
      <c r="PTT507" s="324"/>
      <c r="PTU507" s="324"/>
      <c r="PTV507" s="324"/>
      <c r="PTW507" s="324"/>
      <c r="PTX507" s="324"/>
      <c r="PTY507" s="256"/>
      <c r="PTZ507" s="325"/>
      <c r="PUA507" s="311"/>
      <c r="PUB507" s="325"/>
      <c r="PUC507" s="310"/>
      <c r="PUD507" s="325"/>
      <c r="PUE507" s="325"/>
      <c r="PUF507" s="325"/>
      <c r="PUG507" s="325"/>
      <c r="PUH507" s="325"/>
      <c r="PUI507" s="325"/>
      <c r="PUJ507" s="325"/>
      <c r="PUK507" s="325"/>
      <c r="PUL507" s="325"/>
      <c r="PUM507" s="325"/>
      <c r="PUN507" s="325"/>
      <c r="PUO507" s="325"/>
      <c r="PUP507" s="325"/>
      <c r="PUQ507" s="325"/>
      <c r="PUR507" s="325"/>
      <c r="PUS507" s="325"/>
      <c r="PUT507" s="325"/>
      <c r="PUU507" s="325"/>
      <c r="PUV507" s="325"/>
      <c r="PUW507" s="325"/>
      <c r="PUX507" s="325"/>
      <c r="PUY507" s="325"/>
      <c r="PUZ507" s="325"/>
      <c r="PVA507" s="325"/>
      <c r="PVB507" s="325"/>
      <c r="PVC507" s="325"/>
      <c r="PVD507" s="325"/>
      <c r="PVE507" s="325"/>
      <c r="PVF507" s="325"/>
      <c r="PVG507" s="325"/>
      <c r="PVH507" s="327"/>
      <c r="PVI507" s="28"/>
      <c r="PVJ507" s="324"/>
      <c r="PVK507" s="324"/>
      <c r="PVL507" s="324"/>
      <c r="PVM507" s="324"/>
      <c r="PVN507" s="324"/>
      <c r="PVO507" s="324"/>
      <c r="PVP507" s="256"/>
      <c r="PVQ507" s="325"/>
      <c r="PVR507" s="311"/>
      <c r="PVS507" s="325"/>
      <c r="PVT507" s="310"/>
      <c r="PVU507" s="325"/>
      <c r="PVV507" s="325"/>
      <c r="PVW507" s="325"/>
      <c r="PVX507" s="325"/>
      <c r="PVY507" s="325"/>
      <c r="PVZ507" s="325"/>
      <c r="PWA507" s="325"/>
      <c r="PWB507" s="325"/>
      <c r="PWC507" s="325"/>
      <c r="PWD507" s="325"/>
      <c r="PWE507" s="325"/>
      <c r="PWF507" s="325"/>
      <c r="PWG507" s="325"/>
      <c r="PWH507" s="325"/>
      <c r="PWI507" s="325"/>
      <c r="PWJ507" s="325"/>
      <c r="PWK507" s="325"/>
      <c r="PWL507" s="325"/>
      <c r="PWM507" s="325"/>
      <c r="PWN507" s="325"/>
      <c r="PWO507" s="325"/>
      <c r="PWP507" s="325"/>
      <c r="PWQ507" s="325"/>
      <c r="PWR507" s="325"/>
      <c r="PWS507" s="325"/>
      <c r="PWT507" s="325"/>
      <c r="PWU507" s="325"/>
      <c r="PWV507" s="325"/>
      <c r="PWW507" s="325"/>
      <c r="PWX507" s="325"/>
      <c r="PWY507" s="327"/>
      <c r="PWZ507" s="28"/>
      <c r="PXA507" s="324"/>
      <c r="PXB507" s="324"/>
      <c r="PXC507" s="324"/>
      <c r="PXD507" s="324"/>
      <c r="PXE507" s="324"/>
      <c r="PXF507" s="324"/>
      <c r="PXG507" s="256"/>
      <c r="PXH507" s="325"/>
      <c r="PXI507" s="311"/>
      <c r="PXJ507" s="325"/>
      <c r="PXK507" s="310"/>
      <c r="PXL507" s="325"/>
      <c r="PXM507" s="325"/>
      <c r="PXN507" s="325"/>
      <c r="PXO507" s="325"/>
      <c r="PXP507" s="325"/>
      <c r="PXQ507" s="325"/>
      <c r="PXR507" s="325"/>
      <c r="PXS507" s="325"/>
      <c r="PXT507" s="325"/>
      <c r="PXU507" s="325"/>
      <c r="PXV507" s="325"/>
      <c r="PXW507" s="325"/>
      <c r="PXX507" s="325"/>
      <c r="PXY507" s="325"/>
      <c r="PXZ507" s="325"/>
      <c r="PYA507" s="325"/>
      <c r="PYB507" s="325"/>
      <c r="PYC507" s="325"/>
      <c r="PYD507" s="325"/>
      <c r="PYE507" s="325"/>
      <c r="PYF507" s="325"/>
      <c r="PYG507" s="325"/>
      <c r="PYH507" s="325"/>
      <c r="PYI507" s="325"/>
      <c r="PYJ507" s="325"/>
      <c r="PYK507" s="325"/>
      <c r="PYL507" s="325"/>
      <c r="PYM507" s="325"/>
      <c r="PYN507" s="325"/>
      <c r="PYO507" s="325"/>
      <c r="PYP507" s="327"/>
      <c r="PYQ507" s="28"/>
      <c r="PYR507" s="324"/>
      <c r="PYS507" s="324"/>
      <c r="PYT507" s="324"/>
      <c r="PYU507" s="324"/>
      <c r="PYV507" s="324"/>
      <c r="PYW507" s="324"/>
      <c r="PYX507" s="256"/>
      <c r="PYY507" s="325"/>
      <c r="PYZ507" s="311"/>
      <c r="PZA507" s="325"/>
      <c r="PZB507" s="310"/>
      <c r="PZC507" s="325"/>
      <c r="PZD507" s="325"/>
      <c r="PZE507" s="325"/>
      <c r="PZF507" s="325"/>
      <c r="PZG507" s="325"/>
      <c r="PZH507" s="325"/>
      <c r="PZI507" s="325"/>
      <c r="PZJ507" s="325"/>
      <c r="PZK507" s="325"/>
      <c r="PZL507" s="325"/>
      <c r="PZM507" s="325"/>
      <c r="PZN507" s="325"/>
      <c r="PZO507" s="325"/>
      <c r="PZP507" s="325"/>
      <c r="PZQ507" s="325"/>
      <c r="PZR507" s="325"/>
      <c r="PZS507" s="325"/>
      <c r="PZT507" s="325"/>
      <c r="PZU507" s="325"/>
      <c r="PZV507" s="325"/>
      <c r="PZW507" s="325"/>
      <c r="PZX507" s="325"/>
      <c r="PZY507" s="325"/>
      <c r="PZZ507" s="325"/>
      <c r="QAA507" s="325"/>
      <c r="QAB507" s="325"/>
      <c r="QAC507" s="325"/>
      <c r="QAD507" s="325"/>
      <c r="QAE507" s="325"/>
      <c r="QAF507" s="325"/>
      <c r="QAG507" s="327"/>
      <c r="QAH507" s="28"/>
      <c r="QAI507" s="324"/>
      <c r="QAJ507" s="324"/>
      <c r="QAK507" s="324"/>
      <c r="QAL507" s="324"/>
      <c r="QAM507" s="324"/>
      <c r="QAN507" s="324"/>
      <c r="QAO507" s="256"/>
      <c r="QAP507" s="325"/>
      <c r="QAQ507" s="311"/>
      <c r="QAR507" s="325"/>
      <c r="QAS507" s="310"/>
      <c r="QAT507" s="325"/>
      <c r="QAU507" s="325"/>
      <c r="QAV507" s="325"/>
      <c r="QAW507" s="325"/>
      <c r="QAX507" s="325"/>
      <c r="QAY507" s="325"/>
      <c r="QAZ507" s="325"/>
      <c r="QBA507" s="325"/>
      <c r="QBB507" s="325"/>
      <c r="QBC507" s="325"/>
      <c r="QBD507" s="325"/>
      <c r="QBE507" s="325"/>
      <c r="QBF507" s="325"/>
      <c r="QBG507" s="325"/>
      <c r="QBH507" s="325"/>
      <c r="QBI507" s="325"/>
      <c r="QBJ507" s="325"/>
      <c r="QBK507" s="325"/>
      <c r="QBL507" s="325"/>
      <c r="QBM507" s="325"/>
      <c r="QBN507" s="325"/>
      <c r="QBO507" s="325"/>
      <c r="QBP507" s="325"/>
      <c r="QBQ507" s="325"/>
      <c r="QBR507" s="325"/>
      <c r="QBS507" s="325"/>
      <c r="QBT507" s="325"/>
      <c r="QBU507" s="325"/>
      <c r="QBV507" s="325"/>
      <c r="QBW507" s="325"/>
      <c r="QBX507" s="327"/>
      <c r="QBY507" s="28"/>
      <c r="QBZ507" s="324"/>
      <c r="QCA507" s="324"/>
      <c r="QCB507" s="324"/>
      <c r="QCC507" s="324"/>
      <c r="QCD507" s="324"/>
      <c r="QCE507" s="324"/>
      <c r="QCF507" s="256"/>
      <c r="QCG507" s="325"/>
      <c r="QCH507" s="311"/>
      <c r="QCI507" s="325"/>
      <c r="QCJ507" s="310"/>
      <c r="QCK507" s="325"/>
      <c r="QCL507" s="325"/>
      <c r="QCM507" s="325"/>
      <c r="QCN507" s="325"/>
      <c r="QCO507" s="325"/>
      <c r="QCP507" s="325"/>
      <c r="QCQ507" s="325"/>
      <c r="QCR507" s="325"/>
      <c r="QCS507" s="325"/>
      <c r="QCT507" s="325"/>
      <c r="QCU507" s="325"/>
      <c r="QCV507" s="325"/>
      <c r="QCW507" s="325"/>
      <c r="QCX507" s="325"/>
      <c r="QCY507" s="325"/>
      <c r="QCZ507" s="325"/>
      <c r="QDA507" s="325"/>
      <c r="QDB507" s="325"/>
      <c r="QDC507" s="325"/>
      <c r="QDD507" s="325"/>
      <c r="QDE507" s="325"/>
      <c r="QDF507" s="325"/>
      <c r="QDG507" s="325"/>
      <c r="QDH507" s="325"/>
      <c r="QDI507" s="325"/>
      <c r="QDJ507" s="325"/>
      <c r="QDK507" s="325"/>
      <c r="QDL507" s="325"/>
      <c r="QDM507" s="325"/>
      <c r="QDN507" s="325"/>
      <c r="QDO507" s="327"/>
      <c r="QDP507" s="28"/>
      <c r="QDQ507" s="324"/>
      <c r="QDR507" s="324"/>
      <c r="QDS507" s="324"/>
      <c r="QDT507" s="324"/>
      <c r="QDU507" s="324"/>
      <c r="QDV507" s="324"/>
      <c r="QDW507" s="256"/>
      <c r="QDX507" s="325"/>
      <c r="QDY507" s="311"/>
      <c r="QDZ507" s="325"/>
      <c r="QEA507" s="310"/>
      <c r="QEB507" s="325"/>
      <c r="QEC507" s="325"/>
      <c r="QED507" s="325"/>
      <c r="QEE507" s="325"/>
      <c r="QEF507" s="325"/>
      <c r="QEG507" s="325"/>
      <c r="QEH507" s="325"/>
      <c r="QEI507" s="325"/>
      <c r="QEJ507" s="325"/>
      <c r="QEK507" s="325"/>
      <c r="QEL507" s="325"/>
      <c r="QEM507" s="325"/>
      <c r="QEN507" s="325"/>
      <c r="QEO507" s="325"/>
      <c r="QEP507" s="325"/>
      <c r="QEQ507" s="325"/>
      <c r="QER507" s="325"/>
      <c r="QES507" s="325"/>
      <c r="QET507" s="325"/>
      <c r="QEU507" s="325"/>
      <c r="QEV507" s="325"/>
      <c r="QEW507" s="325"/>
      <c r="QEX507" s="325"/>
      <c r="QEY507" s="325"/>
      <c r="QEZ507" s="325"/>
      <c r="QFA507" s="325"/>
      <c r="QFB507" s="325"/>
      <c r="QFC507" s="325"/>
      <c r="QFD507" s="325"/>
      <c r="QFE507" s="325"/>
      <c r="QFF507" s="327"/>
      <c r="QFG507" s="28"/>
      <c r="QFH507" s="324"/>
      <c r="QFI507" s="324"/>
      <c r="QFJ507" s="324"/>
      <c r="QFK507" s="324"/>
      <c r="QFL507" s="324"/>
      <c r="QFM507" s="324"/>
      <c r="QFN507" s="256"/>
      <c r="QFO507" s="325"/>
      <c r="QFP507" s="311"/>
      <c r="QFQ507" s="325"/>
      <c r="QFR507" s="310"/>
      <c r="QFS507" s="325"/>
      <c r="QFT507" s="325"/>
      <c r="QFU507" s="325"/>
      <c r="QFV507" s="325"/>
      <c r="QFW507" s="325"/>
      <c r="QFX507" s="325"/>
      <c r="QFY507" s="325"/>
      <c r="QFZ507" s="325"/>
      <c r="QGA507" s="325"/>
      <c r="QGB507" s="325"/>
      <c r="QGC507" s="325"/>
      <c r="QGD507" s="325"/>
      <c r="QGE507" s="325"/>
      <c r="QGF507" s="325"/>
      <c r="QGG507" s="325"/>
      <c r="QGH507" s="325"/>
      <c r="QGI507" s="325"/>
      <c r="QGJ507" s="325"/>
      <c r="QGK507" s="325"/>
      <c r="QGL507" s="325"/>
      <c r="QGM507" s="325"/>
      <c r="QGN507" s="325"/>
      <c r="QGO507" s="325"/>
      <c r="QGP507" s="325"/>
      <c r="QGQ507" s="325"/>
      <c r="QGR507" s="325"/>
      <c r="QGS507" s="325"/>
      <c r="QGT507" s="325"/>
      <c r="QGU507" s="325"/>
      <c r="QGV507" s="325"/>
      <c r="QGW507" s="327"/>
      <c r="QGX507" s="28"/>
      <c r="QGY507" s="324"/>
      <c r="QGZ507" s="324"/>
      <c r="QHA507" s="324"/>
      <c r="QHB507" s="324"/>
      <c r="QHC507" s="324"/>
      <c r="QHD507" s="324"/>
      <c r="QHE507" s="256"/>
      <c r="QHF507" s="325"/>
      <c r="QHG507" s="311"/>
      <c r="QHH507" s="325"/>
      <c r="QHI507" s="310"/>
      <c r="QHJ507" s="325"/>
      <c r="QHK507" s="325"/>
      <c r="QHL507" s="325"/>
      <c r="QHM507" s="325"/>
      <c r="QHN507" s="325"/>
      <c r="QHO507" s="325"/>
      <c r="QHP507" s="325"/>
      <c r="QHQ507" s="325"/>
      <c r="QHR507" s="325"/>
      <c r="QHS507" s="325"/>
      <c r="QHT507" s="325"/>
      <c r="QHU507" s="325"/>
      <c r="QHV507" s="325"/>
      <c r="QHW507" s="325"/>
      <c r="QHX507" s="325"/>
      <c r="QHY507" s="325"/>
      <c r="QHZ507" s="325"/>
      <c r="QIA507" s="325"/>
      <c r="QIB507" s="325"/>
      <c r="QIC507" s="325"/>
      <c r="QID507" s="325"/>
      <c r="QIE507" s="325"/>
      <c r="QIF507" s="325"/>
      <c r="QIG507" s="325"/>
      <c r="QIH507" s="325"/>
      <c r="QII507" s="325"/>
      <c r="QIJ507" s="325"/>
      <c r="QIK507" s="325"/>
      <c r="QIL507" s="325"/>
      <c r="QIM507" s="325"/>
      <c r="QIN507" s="327"/>
      <c r="QIO507" s="28"/>
      <c r="QIP507" s="324"/>
      <c r="QIQ507" s="324"/>
      <c r="QIR507" s="324"/>
      <c r="QIS507" s="324"/>
      <c r="QIT507" s="324"/>
      <c r="QIU507" s="324"/>
      <c r="QIV507" s="256"/>
      <c r="QIW507" s="325"/>
      <c r="QIX507" s="311"/>
      <c r="QIY507" s="325"/>
      <c r="QIZ507" s="310"/>
      <c r="QJA507" s="325"/>
      <c r="QJB507" s="325"/>
      <c r="QJC507" s="325"/>
      <c r="QJD507" s="325"/>
      <c r="QJE507" s="325"/>
      <c r="QJF507" s="325"/>
      <c r="QJG507" s="325"/>
      <c r="QJH507" s="325"/>
      <c r="QJI507" s="325"/>
      <c r="QJJ507" s="325"/>
      <c r="QJK507" s="325"/>
      <c r="QJL507" s="325"/>
      <c r="QJM507" s="325"/>
      <c r="QJN507" s="325"/>
      <c r="QJO507" s="325"/>
      <c r="QJP507" s="325"/>
      <c r="QJQ507" s="325"/>
      <c r="QJR507" s="325"/>
      <c r="QJS507" s="325"/>
      <c r="QJT507" s="325"/>
      <c r="QJU507" s="325"/>
      <c r="QJV507" s="325"/>
      <c r="QJW507" s="325"/>
      <c r="QJX507" s="325"/>
      <c r="QJY507" s="325"/>
      <c r="QJZ507" s="325"/>
      <c r="QKA507" s="325"/>
      <c r="QKB507" s="325"/>
      <c r="QKC507" s="325"/>
      <c r="QKD507" s="325"/>
      <c r="QKE507" s="327"/>
      <c r="QKF507" s="28"/>
      <c r="QKG507" s="324"/>
      <c r="QKH507" s="324"/>
      <c r="QKI507" s="324"/>
      <c r="QKJ507" s="324"/>
      <c r="QKK507" s="324"/>
      <c r="QKL507" s="324"/>
      <c r="QKM507" s="256"/>
      <c r="QKN507" s="325"/>
      <c r="QKO507" s="311"/>
      <c r="QKP507" s="325"/>
      <c r="QKQ507" s="310"/>
      <c r="QKR507" s="325"/>
      <c r="QKS507" s="325"/>
      <c r="QKT507" s="325"/>
      <c r="QKU507" s="325"/>
      <c r="QKV507" s="325"/>
      <c r="QKW507" s="325"/>
      <c r="QKX507" s="325"/>
      <c r="QKY507" s="325"/>
      <c r="QKZ507" s="325"/>
      <c r="QLA507" s="325"/>
      <c r="QLB507" s="325"/>
      <c r="QLC507" s="325"/>
      <c r="QLD507" s="325"/>
      <c r="QLE507" s="325"/>
      <c r="QLF507" s="325"/>
      <c r="QLG507" s="325"/>
      <c r="QLH507" s="325"/>
      <c r="QLI507" s="325"/>
      <c r="QLJ507" s="325"/>
      <c r="QLK507" s="325"/>
      <c r="QLL507" s="325"/>
      <c r="QLM507" s="325"/>
      <c r="QLN507" s="325"/>
      <c r="QLO507" s="325"/>
      <c r="QLP507" s="325"/>
      <c r="QLQ507" s="325"/>
      <c r="QLR507" s="325"/>
      <c r="QLS507" s="325"/>
      <c r="QLT507" s="325"/>
      <c r="QLU507" s="325"/>
      <c r="QLV507" s="327"/>
      <c r="QLW507" s="28"/>
      <c r="QLX507" s="324"/>
      <c r="QLY507" s="324"/>
      <c r="QLZ507" s="324"/>
      <c r="QMA507" s="324"/>
      <c r="QMB507" s="324"/>
      <c r="QMC507" s="324"/>
      <c r="QMD507" s="256"/>
      <c r="QME507" s="325"/>
      <c r="QMF507" s="311"/>
      <c r="QMG507" s="325"/>
      <c r="QMH507" s="310"/>
      <c r="QMI507" s="325"/>
      <c r="QMJ507" s="325"/>
      <c r="QMK507" s="325"/>
      <c r="QML507" s="325"/>
      <c r="QMM507" s="325"/>
      <c r="QMN507" s="325"/>
      <c r="QMO507" s="325"/>
      <c r="QMP507" s="325"/>
      <c r="QMQ507" s="325"/>
      <c r="QMR507" s="325"/>
      <c r="QMS507" s="325"/>
      <c r="QMT507" s="325"/>
      <c r="QMU507" s="325"/>
      <c r="QMV507" s="325"/>
      <c r="QMW507" s="325"/>
      <c r="QMX507" s="325"/>
      <c r="QMY507" s="325"/>
      <c r="QMZ507" s="325"/>
      <c r="QNA507" s="325"/>
      <c r="QNB507" s="325"/>
      <c r="QNC507" s="325"/>
      <c r="QND507" s="325"/>
      <c r="QNE507" s="325"/>
      <c r="QNF507" s="325"/>
      <c r="QNG507" s="325"/>
      <c r="QNH507" s="325"/>
      <c r="QNI507" s="325"/>
      <c r="QNJ507" s="325"/>
      <c r="QNK507" s="325"/>
      <c r="QNL507" s="325"/>
      <c r="QNM507" s="327"/>
      <c r="QNN507" s="28"/>
      <c r="QNO507" s="324"/>
      <c r="QNP507" s="324"/>
      <c r="QNQ507" s="324"/>
      <c r="QNR507" s="324"/>
      <c r="QNS507" s="324"/>
      <c r="QNT507" s="324"/>
      <c r="QNU507" s="256"/>
      <c r="QNV507" s="325"/>
      <c r="QNW507" s="311"/>
      <c r="QNX507" s="325"/>
      <c r="QNY507" s="310"/>
      <c r="QNZ507" s="325"/>
      <c r="QOA507" s="325"/>
      <c r="QOB507" s="325"/>
      <c r="QOC507" s="325"/>
      <c r="QOD507" s="325"/>
      <c r="QOE507" s="325"/>
      <c r="QOF507" s="325"/>
      <c r="QOG507" s="325"/>
      <c r="QOH507" s="325"/>
      <c r="QOI507" s="325"/>
      <c r="QOJ507" s="325"/>
      <c r="QOK507" s="325"/>
      <c r="QOL507" s="325"/>
      <c r="QOM507" s="325"/>
      <c r="QON507" s="325"/>
      <c r="QOO507" s="325"/>
      <c r="QOP507" s="325"/>
      <c r="QOQ507" s="325"/>
      <c r="QOR507" s="325"/>
      <c r="QOS507" s="325"/>
      <c r="QOT507" s="325"/>
      <c r="QOU507" s="325"/>
      <c r="QOV507" s="325"/>
      <c r="QOW507" s="325"/>
      <c r="QOX507" s="325"/>
      <c r="QOY507" s="325"/>
      <c r="QOZ507" s="325"/>
      <c r="QPA507" s="325"/>
      <c r="QPB507" s="325"/>
      <c r="QPC507" s="325"/>
      <c r="QPD507" s="327"/>
      <c r="QPE507" s="28"/>
      <c r="QPF507" s="324"/>
      <c r="QPG507" s="324"/>
      <c r="QPH507" s="324"/>
      <c r="QPI507" s="324"/>
      <c r="QPJ507" s="324"/>
      <c r="QPK507" s="324"/>
      <c r="QPL507" s="256"/>
      <c r="QPM507" s="325"/>
      <c r="QPN507" s="311"/>
      <c r="QPO507" s="325"/>
      <c r="QPP507" s="310"/>
      <c r="QPQ507" s="325"/>
      <c r="QPR507" s="325"/>
      <c r="QPS507" s="325"/>
      <c r="QPT507" s="325"/>
      <c r="QPU507" s="325"/>
      <c r="QPV507" s="325"/>
      <c r="QPW507" s="325"/>
      <c r="QPX507" s="325"/>
      <c r="QPY507" s="325"/>
      <c r="QPZ507" s="325"/>
      <c r="QQA507" s="325"/>
      <c r="QQB507" s="325"/>
      <c r="QQC507" s="325"/>
      <c r="QQD507" s="325"/>
      <c r="QQE507" s="325"/>
      <c r="QQF507" s="325"/>
      <c r="QQG507" s="325"/>
      <c r="QQH507" s="325"/>
      <c r="QQI507" s="325"/>
      <c r="QQJ507" s="325"/>
      <c r="QQK507" s="325"/>
      <c r="QQL507" s="325"/>
      <c r="QQM507" s="325"/>
      <c r="QQN507" s="325"/>
      <c r="QQO507" s="325"/>
      <c r="QQP507" s="325"/>
      <c r="QQQ507" s="325"/>
      <c r="QQR507" s="325"/>
      <c r="QQS507" s="325"/>
      <c r="QQT507" s="325"/>
      <c r="QQU507" s="327"/>
      <c r="QQV507" s="28"/>
      <c r="QQW507" s="324"/>
      <c r="QQX507" s="324"/>
      <c r="QQY507" s="324"/>
      <c r="QQZ507" s="324"/>
      <c r="QRA507" s="324"/>
      <c r="QRB507" s="324"/>
      <c r="QRC507" s="256"/>
      <c r="QRD507" s="325"/>
      <c r="QRE507" s="311"/>
      <c r="QRF507" s="325"/>
      <c r="QRG507" s="310"/>
      <c r="QRH507" s="325"/>
      <c r="QRI507" s="325"/>
      <c r="QRJ507" s="325"/>
      <c r="QRK507" s="325"/>
      <c r="QRL507" s="325"/>
      <c r="QRM507" s="325"/>
      <c r="QRN507" s="325"/>
      <c r="QRO507" s="325"/>
      <c r="QRP507" s="325"/>
      <c r="QRQ507" s="325"/>
      <c r="QRR507" s="325"/>
      <c r="QRS507" s="325"/>
      <c r="QRT507" s="325"/>
      <c r="QRU507" s="325"/>
      <c r="QRV507" s="325"/>
      <c r="QRW507" s="325"/>
      <c r="QRX507" s="325"/>
      <c r="QRY507" s="325"/>
      <c r="QRZ507" s="325"/>
      <c r="QSA507" s="325"/>
      <c r="QSB507" s="325"/>
      <c r="QSC507" s="325"/>
      <c r="QSD507" s="325"/>
      <c r="QSE507" s="325"/>
      <c r="QSF507" s="325"/>
      <c r="QSG507" s="325"/>
      <c r="QSH507" s="325"/>
      <c r="QSI507" s="325"/>
      <c r="QSJ507" s="325"/>
      <c r="QSK507" s="325"/>
      <c r="QSL507" s="327"/>
      <c r="QSM507" s="28"/>
      <c r="QSN507" s="324"/>
      <c r="QSO507" s="324"/>
      <c r="QSP507" s="324"/>
      <c r="QSQ507" s="324"/>
      <c r="QSR507" s="324"/>
      <c r="QSS507" s="324"/>
      <c r="QST507" s="256"/>
      <c r="QSU507" s="325"/>
      <c r="QSV507" s="311"/>
      <c r="QSW507" s="325"/>
      <c r="QSX507" s="310"/>
      <c r="QSY507" s="325"/>
      <c r="QSZ507" s="325"/>
      <c r="QTA507" s="325"/>
      <c r="QTB507" s="325"/>
      <c r="QTC507" s="325"/>
      <c r="QTD507" s="325"/>
      <c r="QTE507" s="325"/>
      <c r="QTF507" s="325"/>
      <c r="QTG507" s="325"/>
      <c r="QTH507" s="325"/>
      <c r="QTI507" s="325"/>
      <c r="QTJ507" s="325"/>
      <c r="QTK507" s="325"/>
      <c r="QTL507" s="325"/>
      <c r="QTM507" s="325"/>
      <c r="QTN507" s="325"/>
      <c r="QTO507" s="325"/>
      <c r="QTP507" s="325"/>
      <c r="QTQ507" s="325"/>
      <c r="QTR507" s="325"/>
      <c r="QTS507" s="325"/>
      <c r="QTT507" s="325"/>
      <c r="QTU507" s="325"/>
      <c r="QTV507" s="325"/>
      <c r="QTW507" s="325"/>
      <c r="QTX507" s="325"/>
      <c r="QTY507" s="325"/>
      <c r="QTZ507" s="325"/>
      <c r="QUA507" s="325"/>
      <c r="QUB507" s="325"/>
      <c r="QUC507" s="327"/>
      <c r="QUD507" s="28"/>
      <c r="QUE507" s="324"/>
      <c r="QUF507" s="324"/>
      <c r="QUG507" s="324"/>
      <c r="QUH507" s="324"/>
      <c r="QUI507" s="324"/>
      <c r="QUJ507" s="324"/>
      <c r="QUK507" s="256"/>
      <c r="QUL507" s="325"/>
      <c r="QUM507" s="311"/>
      <c r="QUN507" s="325"/>
      <c r="QUO507" s="310"/>
      <c r="QUP507" s="325"/>
      <c r="QUQ507" s="325"/>
      <c r="QUR507" s="325"/>
      <c r="QUS507" s="325"/>
      <c r="QUT507" s="325"/>
      <c r="QUU507" s="325"/>
      <c r="QUV507" s="325"/>
      <c r="QUW507" s="325"/>
      <c r="QUX507" s="325"/>
      <c r="QUY507" s="325"/>
      <c r="QUZ507" s="325"/>
      <c r="QVA507" s="325"/>
      <c r="QVB507" s="325"/>
      <c r="QVC507" s="325"/>
      <c r="QVD507" s="325"/>
      <c r="QVE507" s="325"/>
      <c r="QVF507" s="325"/>
      <c r="QVG507" s="325"/>
      <c r="QVH507" s="325"/>
      <c r="QVI507" s="325"/>
      <c r="QVJ507" s="325"/>
      <c r="QVK507" s="325"/>
      <c r="QVL507" s="325"/>
      <c r="QVM507" s="325"/>
      <c r="QVN507" s="325"/>
      <c r="QVO507" s="325"/>
      <c r="QVP507" s="325"/>
      <c r="QVQ507" s="325"/>
      <c r="QVR507" s="325"/>
      <c r="QVS507" s="325"/>
      <c r="QVT507" s="327"/>
      <c r="QVU507" s="28"/>
      <c r="QVV507" s="324"/>
      <c r="QVW507" s="324"/>
      <c r="QVX507" s="324"/>
      <c r="QVY507" s="324"/>
      <c r="QVZ507" s="324"/>
      <c r="QWA507" s="324"/>
      <c r="QWB507" s="256"/>
      <c r="QWC507" s="325"/>
      <c r="QWD507" s="311"/>
      <c r="QWE507" s="325"/>
      <c r="QWF507" s="310"/>
      <c r="QWG507" s="325"/>
      <c r="QWH507" s="325"/>
      <c r="QWI507" s="325"/>
      <c r="QWJ507" s="325"/>
      <c r="QWK507" s="325"/>
      <c r="QWL507" s="325"/>
      <c r="QWM507" s="325"/>
      <c r="QWN507" s="325"/>
      <c r="QWO507" s="325"/>
      <c r="QWP507" s="325"/>
      <c r="QWQ507" s="325"/>
      <c r="QWR507" s="325"/>
      <c r="QWS507" s="325"/>
      <c r="QWT507" s="325"/>
      <c r="QWU507" s="325"/>
      <c r="QWV507" s="325"/>
      <c r="QWW507" s="325"/>
      <c r="QWX507" s="325"/>
      <c r="QWY507" s="325"/>
      <c r="QWZ507" s="325"/>
      <c r="QXA507" s="325"/>
      <c r="QXB507" s="325"/>
      <c r="QXC507" s="325"/>
      <c r="QXD507" s="325"/>
      <c r="QXE507" s="325"/>
      <c r="QXF507" s="325"/>
      <c r="QXG507" s="325"/>
      <c r="QXH507" s="325"/>
      <c r="QXI507" s="325"/>
      <c r="QXJ507" s="325"/>
      <c r="QXK507" s="327"/>
      <c r="QXL507" s="28"/>
      <c r="QXM507" s="324"/>
      <c r="QXN507" s="324"/>
      <c r="QXO507" s="324"/>
      <c r="QXP507" s="324"/>
      <c r="QXQ507" s="324"/>
      <c r="QXR507" s="324"/>
      <c r="QXS507" s="256"/>
      <c r="QXT507" s="325"/>
      <c r="QXU507" s="311"/>
      <c r="QXV507" s="325"/>
      <c r="QXW507" s="310"/>
      <c r="QXX507" s="325"/>
      <c r="QXY507" s="325"/>
      <c r="QXZ507" s="325"/>
      <c r="QYA507" s="325"/>
      <c r="QYB507" s="325"/>
      <c r="QYC507" s="325"/>
      <c r="QYD507" s="325"/>
      <c r="QYE507" s="325"/>
      <c r="QYF507" s="325"/>
      <c r="QYG507" s="325"/>
      <c r="QYH507" s="325"/>
      <c r="QYI507" s="325"/>
      <c r="QYJ507" s="325"/>
      <c r="QYK507" s="325"/>
      <c r="QYL507" s="325"/>
      <c r="QYM507" s="325"/>
      <c r="QYN507" s="325"/>
      <c r="QYO507" s="325"/>
      <c r="QYP507" s="325"/>
      <c r="QYQ507" s="325"/>
      <c r="QYR507" s="325"/>
      <c r="QYS507" s="325"/>
      <c r="QYT507" s="325"/>
      <c r="QYU507" s="325"/>
      <c r="QYV507" s="325"/>
      <c r="QYW507" s="325"/>
      <c r="QYX507" s="325"/>
      <c r="QYY507" s="325"/>
      <c r="QYZ507" s="325"/>
      <c r="QZA507" s="325"/>
      <c r="QZB507" s="327"/>
      <c r="QZC507" s="28"/>
      <c r="QZD507" s="324"/>
      <c r="QZE507" s="324"/>
      <c r="QZF507" s="324"/>
      <c r="QZG507" s="324"/>
      <c r="QZH507" s="324"/>
      <c r="QZI507" s="324"/>
      <c r="QZJ507" s="256"/>
      <c r="QZK507" s="325"/>
      <c r="QZL507" s="311"/>
      <c r="QZM507" s="325"/>
      <c r="QZN507" s="310"/>
      <c r="QZO507" s="325"/>
      <c r="QZP507" s="325"/>
      <c r="QZQ507" s="325"/>
      <c r="QZR507" s="325"/>
      <c r="QZS507" s="325"/>
      <c r="QZT507" s="325"/>
      <c r="QZU507" s="325"/>
      <c r="QZV507" s="325"/>
      <c r="QZW507" s="325"/>
      <c r="QZX507" s="325"/>
      <c r="QZY507" s="325"/>
      <c r="QZZ507" s="325"/>
      <c r="RAA507" s="325"/>
      <c r="RAB507" s="325"/>
      <c r="RAC507" s="325"/>
      <c r="RAD507" s="325"/>
      <c r="RAE507" s="325"/>
      <c r="RAF507" s="325"/>
      <c r="RAG507" s="325"/>
      <c r="RAH507" s="325"/>
      <c r="RAI507" s="325"/>
      <c r="RAJ507" s="325"/>
      <c r="RAK507" s="325"/>
      <c r="RAL507" s="325"/>
      <c r="RAM507" s="325"/>
      <c r="RAN507" s="325"/>
      <c r="RAO507" s="325"/>
      <c r="RAP507" s="325"/>
      <c r="RAQ507" s="325"/>
      <c r="RAR507" s="325"/>
      <c r="RAS507" s="327"/>
      <c r="RAT507" s="28"/>
      <c r="RAU507" s="324"/>
      <c r="RAV507" s="324"/>
      <c r="RAW507" s="324"/>
      <c r="RAX507" s="324"/>
      <c r="RAY507" s="324"/>
      <c r="RAZ507" s="324"/>
      <c r="RBA507" s="256"/>
      <c r="RBB507" s="325"/>
      <c r="RBC507" s="311"/>
      <c r="RBD507" s="325"/>
      <c r="RBE507" s="310"/>
      <c r="RBF507" s="325"/>
      <c r="RBG507" s="325"/>
      <c r="RBH507" s="325"/>
      <c r="RBI507" s="325"/>
      <c r="RBJ507" s="325"/>
      <c r="RBK507" s="325"/>
      <c r="RBL507" s="325"/>
      <c r="RBM507" s="325"/>
      <c r="RBN507" s="325"/>
      <c r="RBO507" s="325"/>
      <c r="RBP507" s="325"/>
      <c r="RBQ507" s="325"/>
      <c r="RBR507" s="325"/>
      <c r="RBS507" s="325"/>
      <c r="RBT507" s="325"/>
      <c r="RBU507" s="325"/>
      <c r="RBV507" s="325"/>
      <c r="RBW507" s="325"/>
      <c r="RBX507" s="325"/>
      <c r="RBY507" s="325"/>
      <c r="RBZ507" s="325"/>
      <c r="RCA507" s="325"/>
      <c r="RCB507" s="325"/>
      <c r="RCC507" s="325"/>
      <c r="RCD507" s="325"/>
      <c r="RCE507" s="325"/>
      <c r="RCF507" s="325"/>
      <c r="RCG507" s="325"/>
      <c r="RCH507" s="325"/>
      <c r="RCI507" s="325"/>
      <c r="RCJ507" s="327"/>
      <c r="RCK507" s="28"/>
      <c r="RCL507" s="324"/>
      <c r="RCM507" s="324"/>
      <c r="RCN507" s="324"/>
      <c r="RCO507" s="324"/>
      <c r="RCP507" s="324"/>
      <c r="RCQ507" s="324"/>
      <c r="RCR507" s="256"/>
      <c r="RCS507" s="325"/>
      <c r="RCT507" s="311"/>
      <c r="RCU507" s="325"/>
      <c r="RCV507" s="310"/>
      <c r="RCW507" s="325"/>
      <c r="RCX507" s="325"/>
      <c r="RCY507" s="325"/>
      <c r="RCZ507" s="325"/>
      <c r="RDA507" s="325"/>
      <c r="RDB507" s="325"/>
      <c r="RDC507" s="325"/>
      <c r="RDD507" s="325"/>
      <c r="RDE507" s="325"/>
      <c r="RDF507" s="325"/>
      <c r="RDG507" s="325"/>
      <c r="RDH507" s="325"/>
      <c r="RDI507" s="325"/>
      <c r="RDJ507" s="325"/>
      <c r="RDK507" s="325"/>
      <c r="RDL507" s="325"/>
      <c r="RDM507" s="325"/>
      <c r="RDN507" s="325"/>
      <c r="RDO507" s="325"/>
      <c r="RDP507" s="325"/>
      <c r="RDQ507" s="325"/>
      <c r="RDR507" s="325"/>
      <c r="RDS507" s="325"/>
      <c r="RDT507" s="325"/>
      <c r="RDU507" s="325"/>
      <c r="RDV507" s="325"/>
      <c r="RDW507" s="325"/>
      <c r="RDX507" s="325"/>
      <c r="RDY507" s="325"/>
      <c r="RDZ507" s="325"/>
      <c r="REA507" s="327"/>
      <c r="REB507" s="28"/>
      <c r="REC507" s="324"/>
      <c r="RED507" s="324"/>
      <c r="REE507" s="324"/>
      <c r="REF507" s="324"/>
      <c r="REG507" s="324"/>
      <c r="REH507" s="324"/>
      <c r="REI507" s="256"/>
      <c r="REJ507" s="325"/>
      <c r="REK507" s="311"/>
      <c r="REL507" s="325"/>
      <c r="REM507" s="310"/>
      <c r="REN507" s="325"/>
      <c r="REO507" s="325"/>
      <c r="REP507" s="325"/>
      <c r="REQ507" s="325"/>
      <c r="RER507" s="325"/>
      <c r="RES507" s="325"/>
      <c r="RET507" s="325"/>
      <c r="REU507" s="325"/>
      <c r="REV507" s="325"/>
      <c r="REW507" s="325"/>
      <c r="REX507" s="325"/>
      <c r="REY507" s="325"/>
      <c r="REZ507" s="325"/>
      <c r="RFA507" s="325"/>
      <c r="RFB507" s="325"/>
      <c r="RFC507" s="325"/>
      <c r="RFD507" s="325"/>
      <c r="RFE507" s="325"/>
      <c r="RFF507" s="325"/>
      <c r="RFG507" s="325"/>
      <c r="RFH507" s="325"/>
      <c r="RFI507" s="325"/>
      <c r="RFJ507" s="325"/>
      <c r="RFK507" s="325"/>
      <c r="RFL507" s="325"/>
      <c r="RFM507" s="325"/>
      <c r="RFN507" s="325"/>
      <c r="RFO507" s="325"/>
      <c r="RFP507" s="325"/>
      <c r="RFQ507" s="325"/>
      <c r="RFR507" s="327"/>
      <c r="RFS507" s="28"/>
      <c r="RFT507" s="324"/>
      <c r="RFU507" s="324"/>
      <c r="RFV507" s="324"/>
      <c r="RFW507" s="324"/>
      <c r="RFX507" s="324"/>
      <c r="RFY507" s="324"/>
      <c r="RFZ507" s="256"/>
      <c r="RGA507" s="325"/>
      <c r="RGB507" s="311"/>
      <c r="RGC507" s="325"/>
      <c r="RGD507" s="310"/>
      <c r="RGE507" s="325"/>
      <c r="RGF507" s="325"/>
      <c r="RGG507" s="325"/>
      <c r="RGH507" s="325"/>
      <c r="RGI507" s="325"/>
      <c r="RGJ507" s="325"/>
      <c r="RGK507" s="325"/>
      <c r="RGL507" s="325"/>
      <c r="RGM507" s="325"/>
      <c r="RGN507" s="325"/>
      <c r="RGO507" s="325"/>
      <c r="RGP507" s="325"/>
      <c r="RGQ507" s="325"/>
      <c r="RGR507" s="325"/>
      <c r="RGS507" s="325"/>
      <c r="RGT507" s="325"/>
      <c r="RGU507" s="325"/>
      <c r="RGV507" s="325"/>
      <c r="RGW507" s="325"/>
      <c r="RGX507" s="325"/>
      <c r="RGY507" s="325"/>
      <c r="RGZ507" s="325"/>
      <c r="RHA507" s="325"/>
      <c r="RHB507" s="325"/>
      <c r="RHC507" s="325"/>
      <c r="RHD507" s="325"/>
      <c r="RHE507" s="325"/>
      <c r="RHF507" s="325"/>
      <c r="RHG507" s="325"/>
      <c r="RHH507" s="325"/>
      <c r="RHI507" s="327"/>
      <c r="RHJ507" s="28"/>
      <c r="RHK507" s="324"/>
      <c r="RHL507" s="324"/>
      <c r="RHM507" s="324"/>
      <c r="RHN507" s="324"/>
      <c r="RHO507" s="324"/>
      <c r="RHP507" s="324"/>
      <c r="RHQ507" s="256"/>
      <c r="RHR507" s="325"/>
      <c r="RHS507" s="311"/>
      <c r="RHT507" s="325"/>
      <c r="RHU507" s="310"/>
      <c r="RHV507" s="325"/>
      <c r="RHW507" s="325"/>
      <c r="RHX507" s="325"/>
      <c r="RHY507" s="325"/>
      <c r="RHZ507" s="325"/>
      <c r="RIA507" s="325"/>
      <c r="RIB507" s="325"/>
      <c r="RIC507" s="325"/>
      <c r="RID507" s="325"/>
      <c r="RIE507" s="325"/>
      <c r="RIF507" s="325"/>
      <c r="RIG507" s="325"/>
      <c r="RIH507" s="325"/>
      <c r="RII507" s="325"/>
      <c r="RIJ507" s="325"/>
      <c r="RIK507" s="325"/>
      <c r="RIL507" s="325"/>
      <c r="RIM507" s="325"/>
      <c r="RIN507" s="325"/>
      <c r="RIO507" s="325"/>
      <c r="RIP507" s="325"/>
      <c r="RIQ507" s="325"/>
      <c r="RIR507" s="325"/>
      <c r="RIS507" s="325"/>
      <c r="RIT507" s="325"/>
      <c r="RIU507" s="325"/>
      <c r="RIV507" s="325"/>
      <c r="RIW507" s="325"/>
      <c r="RIX507" s="325"/>
      <c r="RIY507" s="325"/>
      <c r="RIZ507" s="327"/>
      <c r="RJA507" s="28"/>
      <c r="RJB507" s="324"/>
      <c r="RJC507" s="324"/>
      <c r="RJD507" s="324"/>
      <c r="RJE507" s="324"/>
      <c r="RJF507" s="324"/>
      <c r="RJG507" s="324"/>
      <c r="RJH507" s="256"/>
      <c r="RJI507" s="325"/>
      <c r="RJJ507" s="311"/>
      <c r="RJK507" s="325"/>
      <c r="RJL507" s="310"/>
      <c r="RJM507" s="325"/>
      <c r="RJN507" s="325"/>
      <c r="RJO507" s="325"/>
      <c r="RJP507" s="325"/>
      <c r="RJQ507" s="325"/>
      <c r="RJR507" s="325"/>
      <c r="RJS507" s="325"/>
      <c r="RJT507" s="325"/>
      <c r="RJU507" s="325"/>
      <c r="RJV507" s="325"/>
      <c r="RJW507" s="325"/>
      <c r="RJX507" s="325"/>
      <c r="RJY507" s="325"/>
      <c r="RJZ507" s="325"/>
      <c r="RKA507" s="325"/>
      <c r="RKB507" s="325"/>
      <c r="RKC507" s="325"/>
      <c r="RKD507" s="325"/>
      <c r="RKE507" s="325"/>
      <c r="RKF507" s="325"/>
      <c r="RKG507" s="325"/>
      <c r="RKH507" s="325"/>
      <c r="RKI507" s="325"/>
      <c r="RKJ507" s="325"/>
      <c r="RKK507" s="325"/>
      <c r="RKL507" s="325"/>
      <c r="RKM507" s="325"/>
      <c r="RKN507" s="325"/>
      <c r="RKO507" s="325"/>
      <c r="RKP507" s="325"/>
      <c r="RKQ507" s="327"/>
      <c r="RKR507" s="28"/>
      <c r="RKS507" s="324"/>
      <c r="RKT507" s="324"/>
      <c r="RKU507" s="324"/>
      <c r="RKV507" s="324"/>
      <c r="RKW507" s="324"/>
      <c r="RKX507" s="324"/>
      <c r="RKY507" s="256"/>
      <c r="RKZ507" s="325"/>
      <c r="RLA507" s="311"/>
      <c r="RLB507" s="325"/>
      <c r="RLC507" s="310"/>
      <c r="RLD507" s="325"/>
      <c r="RLE507" s="325"/>
      <c r="RLF507" s="325"/>
      <c r="RLG507" s="325"/>
      <c r="RLH507" s="325"/>
      <c r="RLI507" s="325"/>
      <c r="RLJ507" s="325"/>
      <c r="RLK507" s="325"/>
      <c r="RLL507" s="325"/>
      <c r="RLM507" s="325"/>
      <c r="RLN507" s="325"/>
      <c r="RLO507" s="325"/>
      <c r="RLP507" s="325"/>
      <c r="RLQ507" s="325"/>
      <c r="RLR507" s="325"/>
      <c r="RLS507" s="325"/>
      <c r="RLT507" s="325"/>
      <c r="RLU507" s="325"/>
      <c r="RLV507" s="325"/>
      <c r="RLW507" s="325"/>
      <c r="RLX507" s="325"/>
      <c r="RLY507" s="325"/>
      <c r="RLZ507" s="325"/>
      <c r="RMA507" s="325"/>
      <c r="RMB507" s="325"/>
      <c r="RMC507" s="325"/>
      <c r="RMD507" s="325"/>
      <c r="RME507" s="325"/>
      <c r="RMF507" s="325"/>
      <c r="RMG507" s="325"/>
      <c r="RMH507" s="327"/>
      <c r="RMI507" s="28"/>
      <c r="RMJ507" s="324"/>
      <c r="RMK507" s="324"/>
      <c r="RML507" s="324"/>
      <c r="RMM507" s="324"/>
      <c r="RMN507" s="324"/>
      <c r="RMO507" s="324"/>
      <c r="RMP507" s="256"/>
      <c r="RMQ507" s="325"/>
      <c r="RMR507" s="311"/>
      <c r="RMS507" s="325"/>
      <c r="RMT507" s="310"/>
      <c r="RMU507" s="325"/>
      <c r="RMV507" s="325"/>
      <c r="RMW507" s="325"/>
      <c r="RMX507" s="325"/>
      <c r="RMY507" s="325"/>
      <c r="RMZ507" s="325"/>
      <c r="RNA507" s="325"/>
      <c r="RNB507" s="325"/>
      <c r="RNC507" s="325"/>
      <c r="RND507" s="325"/>
      <c r="RNE507" s="325"/>
      <c r="RNF507" s="325"/>
      <c r="RNG507" s="325"/>
      <c r="RNH507" s="325"/>
      <c r="RNI507" s="325"/>
      <c r="RNJ507" s="325"/>
      <c r="RNK507" s="325"/>
      <c r="RNL507" s="325"/>
      <c r="RNM507" s="325"/>
      <c r="RNN507" s="325"/>
      <c r="RNO507" s="325"/>
      <c r="RNP507" s="325"/>
      <c r="RNQ507" s="325"/>
      <c r="RNR507" s="325"/>
      <c r="RNS507" s="325"/>
      <c r="RNT507" s="325"/>
      <c r="RNU507" s="325"/>
      <c r="RNV507" s="325"/>
      <c r="RNW507" s="325"/>
      <c r="RNX507" s="325"/>
      <c r="RNY507" s="327"/>
      <c r="RNZ507" s="28"/>
      <c r="ROA507" s="324"/>
      <c r="ROB507" s="324"/>
      <c r="ROC507" s="324"/>
      <c r="ROD507" s="324"/>
      <c r="ROE507" s="324"/>
      <c r="ROF507" s="324"/>
      <c r="ROG507" s="256"/>
      <c r="ROH507" s="325"/>
      <c r="ROI507" s="311"/>
      <c r="ROJ507" s="325"/>
      <c r="ROK507" s="310"/>
      <c r="ROL507" s="325"/>
      <c r="ROM507" s="325"/>
      <c r="RON507" s="325"/>
      <c r="ROO507" s="325"/>
      <c r="ROP507" s="325"/>
      <c r="ROQ507" s="325"/>
      <c r="ROR507" s="325"/>
      <c r="ROS507" s="325"/>
      <c r="ROT507" s="325"/>
      <c r="ROU507" s="325"/>
      <c r="ROV507" s="325"/>
      <c r="ROW507" s="325"/>
      <c r="ROX507" s="325"/>
      <c r="ROY507" s="325"/>
      <c r="ROZ507" s="325"/>
      <c r="RPA507" s="325"/>
      <c r="RPB507" s="325"/>
      <c r="RPC507" s="325"/>
      <c r="RPD507" s="325"/>
      <c r="RPE507" s="325"/>
      <c r="RPF507" s="325"/>
      <c r="RPG507" s="325"/>
      <c r="RPH507" s="325"/>
      <c r="RPI507" s="325"/>
      <c r="RPJ507" s="325"/>
      <c r="RPK507" s="325"/>
      <c r="RPL507" s="325"/>
      <c r="RPM507" s="325"/>
      <c r="RPN507" s="325"/>
      <c r="RPO507" s="325"/>
      <c r="RPP507" s="327"/>
      <c r="RPQ507" s="28"/>
      <c r="RPR507" s="324"/>
      <c r="RPS507" s="324"/>
      <c r="RPT507" s="324"/>
      <c r="RPU507" s="324"/>
      <c r="RPV507" s="324"/>
      <c r="RPW507" s="324"/>
      <c r="RPX507" s="256"/>
      <c r="RPY507" s="325"/>
      <c r="RPZ507" s="311"/>
      <c r="RQA507" s="325"/>
      <c r="RQB507" s="310"/>
      <c r="RQC507" s="325"/>
      <c r="RQD507" s="325"/>
      <c r="RQE507" s="325"/>
      <c r="RQF507" s="325"/>
      <c r="RQG507" s="325"/>
      <c r="RQH507" s="325"/>
      <c r="RQI507" s="325"/>
      <c r="RQJ507" s="325"/>
      <c r="RQK507" s="325"/>
      <c r="RQL507" s="325"/>
      <c r="RQM507" s="325"/>
      <c r="RQN507" s="325"/>
      <c r="RQO507" s="325"/>
      <c r="RQP507" s="325"/>
      <c r="RQQ507" s="325"/>
      <c r="RQR507" s="325"/>
      <c r="RQS507" s="325"/>
      <c r="RQT507" s="325"/>
      <c r="RQU507" s="325"/>
      <c r="RQV507" s="325"/>
      <c r="RQW507" s="325"/>
      <c r="RQX507" s="325"/>
      <c r="RQY507" s="325"/>
      <c r="RQZ507" s="325"/>
      <c r="RRA507" s="325"/>
      <c r="RRB507" s="325"/>
      <c r="RRC507" s="325"/>
      <c r="RRD507" s="325"/>
      <c r="RRE507" s="325"/>
      <c r="RRF507" s="325"/>
      <c r="RRG507" s="327"/>
      <c r="RRH507" s="28"/>
      <c r="RRI507" s="324"/>
      <c r="RRJ507" s="324"/>
      <c r="RRK507" s="324"/>
      <c r="RRL507" s="324"/>
      <c r="RRM507" s="324"/>
      <c r="RRN507" s="324"/>
      <c r="RRO507" s="256"/>
      <c r="RRP507" s="325"/>
      <c r="RRQ507" s="311"/>
      <c r="RRR507" s="325"/>
      <c r="RRS507" s="310"/>
      <c r="RRT507" s="325"/>
      <c r="RRU507" s="325"/>
      <c r="RRV507" s="325"/>
      <c r="RRW507" s="325"/>
      <c r="RRX507" s="325"/>
      <c r="RRY507" s="325"/>
      <c r="RRZ507" s="325"/>
      <c r="RSA507" s="325"/>
      <c r="RSB507" s="325"/>
      <c r="RSC507" s="325"/>
      <c r="RSD507" s="325"/>
      <c r="RSE507" s="325"/>
      <c r="RSF507" s="325"/>
      <c r="RSG507" s="325"/>
      <c r="RSH507" s="325"/>
      <c r="RSI507" s="325"/>
      <c r="RSJ507" s="325"/>
      <c r="RSK507" s="325"/>
      <c r="RSL507" s="325"/>
      <c r="RSM507" s="325"/>
      <c r="RSN507" s="325"/>
      <c r="RSO507" s="325"/>
      <c r="RSP507" s="325"/>
      <c r="RSQ507" s="325"/>
      <c r="RSR507" s="325"/>
      <c r="RSS507" s="325"/>
      <c r="RST507" s="325"/>
      <c r="RSU507" s="325"/>
      <c r="RSV507" s="325"/>
      <c r="RSW507" s="325"/>
      <c r="RSX507" s="327"/>
      <c r="RSY507" s="28"/>
      <c r="RSZ507" s="324"/>
      <c r="RTA507" s="324"/>
      <c r="RTB507" s="324"/>
      <c r="RTC507" s="324"/>
      <c r="RTD507" s="324"/>
      <c r="RTE507" s="324"/>
      <c r="RTF507" s="256"/>
      <c r="RTG507" s="325"/>
      <c r="RTH507" s="311"/>
      <c r="RTI507" s="325"/>
      <c r="RTJ507" s="310"/>
      <c r="RTK507" s="325"/>
      <c r="RTL507" s="325"/>
      <c r="RTM507" s="325"/>
      <c r="RTN507" s="325"/>
      <c r="RTO507" s="325"/>
      <c r="RTP507" s="325"/>
      <c r="RTQ507" s="325"/>
      <c r="RTR507" s="325"/>
      <c r="RTS507" s="325"/>
      <c r="RTT507" s="325"/>
      <c r="RTU507" s="325"/>
      <c r="RTV507" s="325"/>
      <c r="RTW507" s="325"/>
      <c r="RTX507" s="325"/>
      <c r="RTY507" s="325"/>
      <c r="RTZ507" s="325"/>
      <c r="RUA507" s="325"/>
      <c r="RUB507" s="325"/>
      <c r="RUC507" s="325"/>
      <c r="RUD507" s="325"/>
      <c r="RUE507" s="325"/>
      <c r="RUF507" s="325"/>
      <c r="RUG507" s="325"/>
      <c r="RUH507" s="325"/>
      <c r="RUI507" s="325"/>
      <c r="RUJ507" s="325"/>
      <c r="RUK507" s="325"/>
      <c r="RUL507" s="325"/>
      <c r="RUM507" s="325"/>
      <c r="RUN507" s="325"/>
      <c r="RUO507" s="327"/>
      <c r="RUP507" s="28"/>
      <c r="RUQ507" s="324"/>
      <c r="RUR507" s="324"/>
      <c r="RUS507" s="324"/>
      <c r="RUT507" s="324"/>
      <c r="RUU507" s="324"/>
      <c r="RUV507" s="324"/>
      <c r="RUW507" s="256"/>
      <c r="RUX507" s="325"/>
      <c r="RUY507" s="311"/>
      <c r="RUZ507" s="325"/>
      <c r="RVA507" s="310"/>
      <c r="RVB507" s="325"/>
      <c r="RVC507" s="325"/>
      <c r="RVD507" s="325"/>
      <c r="RVE507" s="325"/>
      <c r="RVF507" s="325"/>
      <c r="RVG507" s="325"/>
      <c r="RVH507" s="325"/>
      <c r="RVI507" s="325"/>
      <c r="RVJ507" s="325"/>
      <c r="RVK507" s="325"/>
      <c r="RVL507" s="325"/>
      <c r="RVM507" s="325"/>
      <c r="RVN507" s="325"/>
      <c r="RVO507" s="325"/>
      <c r="RVP507" s="325"/>
      <c r="RVQ507" s="325"/>
      <c r="RVR507" s="325"/>
      <c r="RVS507" s="325"/>
      <c r="RVT507" s="325"/>
      <c r="RVU507" s="325"/>
      <c r="RVV507" s="325"/>
      <c r="RVW507" s="325"/>
      <c r="RVX507" s="325"/>
      <c r="RVY507" s="325"/>
      <c r="RVZ507" s="325"/>
      <c r="RWA507" s="325"/>
      <c r="RWB507" s="325"/>
      <c r="RWC507" s="325"/>
      <c r="RWD507" s="325"/>
      <c r="RWE507" s="325"/>
      <c r="RWF507" s="327"/>
      <c r="RWG507" s="28"/>
      <c r="RWH507" s="324"/>
      <c r="RWI507" s="324"/>
      <c r="RWJ507" s="324"/>
      <c r="RWK507" s="324"/>
      <c r="RWL507" s="324"/>
      <c r="RWM507" s="324"/>
      <c r="RWN507" s="256"/>
      <c r="RWO507" s="325"/>
      <c r="RWP507" s="311"/>
      <c r="RWQ507" s="325"/>
      <c r="RWR507" s="310"/>
      <c r="RWS507" s="325"/>
      <c r="RWT507" s="325"/>
      <c r="RWU507" s="325"/>
      <c r="RWV507" s="325"/>
      <c r="RWW507" s="325"/>
      <c r="RWX507" s="325"/>
      <c r="RWY507" s="325"/>
      <c r="RWZ507" s="325"/>
      <c r="RXA507" s="325"/>
      <c r="RXB507" s="325"/>
      <c r="RXC507" s="325"/>
      <c r="RXD507" s="325"/>
      <c r="RXE507" s="325"/>
      <c r="RXF507" s="325"/>
      <c r="RXG507" s="325"/>
      <c r="RXH507" s="325"/>
      <c r="RXI507" s="325"/>
      <c r="RXJ507" s="325"/>
      <c r="RXK507" s="325"/>
      <c r="RXL507" s="325"/>
      <c r="RXM507" s="325"/>
      <c r="RXN507" s="325"/>
      <c r="RXO507" s="325"/>
      <c r="RXP507" s="325"/>
      <c r="RXQ507" s="325"/>
      <c r="RXR507" s="325"/>
      <c r="RXS507" s="325"/>
      <c r="RXT507" s="325"/>
      <c r="RXU507" s="325"/>
      <c r="RXV507" s="325"/>
      <c r="RXW507" s="327"/>
      <c r="RXX507" s="28"/>
      <c r="RXY507" s="324"/>
      <c r="RXZ507" s="324"/>
      <c r="RYA507" s="324"/>
      <c r="RYB507" s="324"/>
      <c r="RYC507" s="324"/>
      <c r="RYD507" s="324"/>
      <c r="RYE507" s="256"/>
      <c r="RYF507" s="325"/>
      <c r="RYG507" s="311"/>
      <c r="RYH507" s="325"/>
      <c r="RYI507" s="310"/>
      <c r="RYJ507" s="325"/>
      <c r="RYK507" s="325"/>
      <c r="RYL507" s="325"/>
      <c r="RYM507" s="325"/>
      <c r="RYN507" s="325"/>
      <c r="RYO507" s="325"/>
      <c r="RYP507" s="325"/>
      <c r="RYQ507" s="325"/>
      <c r="RYR507" s="325"/>
      <c r="RYS507" s="325"/>
      <c r="RYT507" s="325"/>
      <c r="RYU507" s="325"/>
      <c r="RYV507" s="325"/>
      <c r="RYW507" s="325"/>
      <c r="RYX507" s="325"/>
      <c r="RYY507" s="325"/>
      <c r="RYZ507" s="325"/>
      <c r="RZA507" s="325"/>
      <c r="RZB507" s="325"/>
      <c r="RZC507" s="325"/>
      <c r="RZD507" s="325"/>
      <c r="RZE507" s="325"/>
      <c r="RZF507" s="325"/>
      <c r="RZG507" s="325"/>
      <c r="RZH507" s="325"/>
      <c r="RZI507" s="325"/>
      <c r="RZJ507" s="325"/>
      <c r="RZK507" s="325"/>
      <c r="RZL507" s="325"/>
      <c r="RZM507" s="325"/>
      <c r="RZN507" s="327"/>
      <c r="RZO507" s="28"/>
      <c r="RZP507" s="324"/>
      <c r="RZQ507" s="324"/>
      <c r="RZR507" s="324"/>
      <c r="RZS507" s="324"/>
      <c r="RZT507" s="324"/>
      <c r="RZU507" s="324"/>
      <c r="RZV507" s="256"/>
      <c r="RZW507" s="325"/>
      <c r="RZX507" s="311"/>
      <c r="RZY507" s="325"/>
      <c r="RZZ507" s="310"/>
      <c r="SAA507" s="325"/>
      <c r="SAB507" s="325"/>
      <c r="SAC507" s="325"/>
      <c r="SAD507" s="325"/>
      <c r="SAE507" s="325"/>
      <c r="SAF507" s="325"/>
      <c r="SAG507" s="325"/>
      <c r="SAH507" s="325"/>
      <c r="SAI507" s="325"/>
      <c r="SAJ507" s="325"/>
      <c r="SAK507" s="325"/>
      <c r="SAL507" s="325"/>
      <c r="SAM507" s="325"/>
      <c r="SAN507" s="325"/>
      <c r="SAO507" s="325"/>
      <c r="SAP507" s="325"/>
      <c r="SAQ507" s="325"/>
      <c r="SAR507" s="325"/>
      <c r="SAS507" s="325"/>
      <c r="SAT507" s="325"/>
      <c r="SAU507" s="325"/>
      <c r="SAV507" s="325"/>
      <c r="SAW507" s="325"/>
      <c r="SAX507" s="325"/>
      <c r="SAY507" s="325"/>
      <c r="SAZ507" s="325"/>
      <c r="SBA507" s="325"/>
      <c r="SBB507" s="325"/>
      <c r="SBC507" s="325"/>
      <c r="SBD507" s="325"/>
      <c r="SBE507" s="327"/>
      <c r="SBF507" s="28"/>
      <c r="SBG507" s="324"/>
      <c r="SBH507" s="324"/>
      <c r="SBI507" s="324"/>
      <c r="SBJ507" s="324"/>
      <c r="SBK507" s="324"/>
      <c r="SBL507" s="324"/>
      <c r="SBM507" s="256"/>
      <c r="SBN507" s="325"/>
      <c r="SBO507" s="311"/>
      <c r="SBP507" s="325"/>
      <c r="SBQ507" s="310"/>
      <c r="SBR507" s="325"/>
      <c r="SBS507" s="325"/>
      <c r="SBT507" s="325"/>
      <c r="SBU507" s="325"/>
      <c r="SBV507" s="325"/>
      <c r="SBW507" s="325"/>
      <c r="SBX507" s="325"/>
      <c r="SBY507" s="325"/>
      <c r="SBZ507" s="325"/>
      <c r="SCA507" s="325"/>
      <c r="SCB507" s="325"/>
      <c r="SCC507" s="325"/>
      <c r="SCD507" s="325"/>
      <c r="SCE507" s="325"/>
      <c r="SCF507" s="325"/>
      <c r="SCG507" s="325"/>
      <c r="SCH507" s="325"/>
      <c r="SCI507" s="325"/>
      <c r="SCJ507" s="325"/>
      <c r="SCK507" s="325"/>
      <c r="SCL507" s="325"/>
      <c r="SCM507" s="325"/>
      <c r="SCN507" s="325"/>
      <c r="SCO507" s="325"/>
      <c r="SCP507" s="325"/>
      <c r="SCQ507" s="325"/>
      <c r="SCR507" s="325"/>
      <c r="SCS507" s="325"/>
      <c r="SCT507" s="325"/>
      <c r="SCU507" s="325"/>
      <c r="SCV507" s="327"/>
      <c r="SCW507" s="28"/>
      <c r="SCX507" s="324"/>
      <c r="SCY507" s="324"/>
      <c r="SCZ507" s="324"/>
      <c r="SDA507" s="324"/>
      <c r="SDB507" s="324"/>
      <c r="SDC507" s="324"/>
      <c r="SDD507" s="256"/>
      <c r="SDE507" s="325"/>
      <c r="SDF507" s="311"/>
      <c r="SDG507" s="325"/>
      <c r="SDH507" s="310"/>
      <c r="SDI507" s="325"/>
      <c r="SDJ507" s="325"/>
      <c r="SDK507" s="325"/>
      <c r="SDL507" s="325"/>
      <c r="SDM507" s="325"/>
      <c r="SDN507" s="325"/>
      <c r="SDO507" s="325"/>
      <c r="SDP507" s="325"/>
      <c r="SDQ507" s="325"/>
      <c r="SDR507" s="325"/>
      <c r="SDS507" s="325"/>
      <c r="SDT507" s="325"/>
      <c r="SDU507" s="325"/>
      <c r="SDV507" s="325"/>
      <c r="SDW507" s="325"/>
      <c r="SDX507" s="325"/>
      <c r="SDY507" s="325"/>
      <c r="SDZ507" s="325"/>
      <c r="SEA507" s="325"/>
      <c r="SEB507" s="325"/>
      <c r="SEC507" s="325"/>
      <c r="SED507" s="325"/>
      <c r="SEE507" s="325"/>
      <c r="SEF507" s="325"/>
      <c r="SEG507" s="325"/>
      <c r="SEH507" s="325"/>
      <c r="SEI507" s="325"/>
      <c r="SEJ507" s="325"/>
      <c r="SEK507" s="325"/>
      <c r="SEL507" s="325"/>
      <c r="SEM507" s="327"/>
      <c r="SEN507" s="28"/>
      <c r="SEO507" s="324"/>
      <c r="SEP507" s="324"/>
      <c r="SEQ507" s="324"/>
      <c r="SER507" s="324"/>
      <c r="SES507" s="324"/>
      <c r="SET507" s="324"/>
      <c r="SEU507" s="256"/>
      <c r="SEV507" s="325"/>
      <c r="SEW507" s="311"/>
      <c r="SEX507" s="325"/>
      <c r="SEY507" s="310"/>
      <c r="SEZ507" s="325"/>
      <c r="SFA507" s="325"/>
      <c r="SFB507" s="325"/>
      <c r="SFC507" s="325"/>
      <c r="SFD507" s="325"/>
      <c r="SFE507" s="325"/>
      <c r="SFF507" s="325"/>
      <c r="SFG507" s="325"/>
      <c r="SFH507" s="325"/>
      <c r="SFI507" s="325"/>
      <c r="SFJ507" s="325"/>
      <c r="SFK507" s="325"/>
      <c r="SFL507" s="325"/>
      <c r="SFM507" s="325"/>
      <c r="SFN507" s="325"/>
      <c r="SFO507" s="325"/>
      <c r="SFP507" s="325"/>
      <c r="SFQ507" s="325"/>
      <c r="SFR507" s="325"/>
      <c r="SFS507" s="325"/>
      <c r="SFT507" s="325"/>
      <c r="SFU507" s="325"/>
      <c r="SFV507" s="325"/>
      <c r="SFW507" s="325"/>
      <c r="SFX507" s="325"/>
      <c r="SFY507" s="325"/>
      <c r="SFZ507" s="325"/>
      <c r="SGA507" s="325"/>
      <c r="SGB507" s="325"/>
      <c r="SGC507" s="325"/>
      <c r="SGD507" s="327"/>
      <c r="SGE507" s="28"/>
      <c r="SGF507" s="324"/>
      <c r="SGG507" s="324"/>
      <c r="SGH507" s="324"/>
      <c r="SGI507" s="324"/>
      <c r="SGJ507" s="324"/>
      <c r="SGK507" s="324"/>
      <c r="SGL507" s="256"/>
      <c r="SGM507" s="325"/>
      <c r="SGN507" s="311"/>
      <c r="SGO507" s="325"/>
      <c r="SGP507" s="310"/>
      <c r="SGQ507" s="325"/>
      <c r="SGR507" s="325"/>
      <c r="SGS507" s="325"/>
      <c r="SGT507" s="325"/>
      <c r="SGU507" s="325"/>
      <c r="SGV507" s="325"/>
      <c r="SGW507" s="325"/>
      <c r="SGX507" s="325"/>
      <c r="SGY507" s="325"/>
      <c r="SGZ507" s="325"/>
      <c r="SHA507" s="325"/>
      <c r="SHB507" s="325"/>
      <c r="SHC507" s="325"/>
      <c r="SHD507" s="325"/>
      <c r="SHE507" s="325"/>
      <c r="SHF507" s="325"/>
      <c r="SHG507" s="325"/>
      <c r="SHH507" s="325"/>
      <c r="SHI507" s="325"/>
      <c r="SHJ507" s="325"/>
      <c r="SHK507" s="325"/>
      <c r="SHL507" s="325"/>
      <c r="SHM507" s="325"/>
      <c r="SHN507" s="325"/>
      <c r="SHO507" s="325"/>
      <c r="SHP507" s="325"/>
      <c r="SHQ507" s="325"/>
      <c r="SHR507" s="325"/>
      <c r="SHS507" s="325"/>
      <c r="SHT507" s="325"/>
      <c r="SHU507" s="327"/>
      <c r="SHV507" s="28"/>
      <c r="SHW507" s="324"/>
      <c r="SHX507" s="324"/>
      <c r="SHY507" s="324"/>
      <c r="SHZ507" s="324"/>
      <c r="SIA507" s="324"/>
      <c r="SIB507" s="324"/>
      <c r="SIC507" s="256"/>
      <c r="SID507" s="325"/>
      <c r="SIE507" s="311"/>
      <c r="SIF507" s="325"/>
      <c r="SIG507" s="310"/>
      <c r="SIH507" s="325"/>
      <c r="SII507" s="325"/>
      <c r="SIJ507" s="325"/>
      <c r="SIK507" s="325"/>
      <c r="SIL507" s="325"/>
      <c r="SIM507" s="325"/>
      <c r="SIN507" s="325"/>
      <c r="SIO507" s="325"/>
      <c r="SIP507" s="325"/>
      <c r="SIQ507" s="325"/>
      <c r="SIR507" s="325"/>
      <c r="SIS507" s="325"/>
      <c r="SIT507" s="325"/>
      <c r="SIU507" s="325"/>
      <c r="SIV507" s="325"/>
      <c r="SIW507" s="325"/>
      <c r="SIX507" s="325"/>
      <c r="SIY507" s="325"/>
      <c r="SIZ507" s="325"/>
      <c r="SJA507" s="325"/>
      <c r="SJB507" s="325"/>
      <c r="SJC507" s="325"/>
      <c r="SJD507" s="325"/>
      <c r="SJE507" s="325"/>
      <c r="SJF507" s="325"/>
      <c r="SJG507" s="325"/>
      <c r="SJH507" s="325"/>
      <c r="SJI507" s="325"/>
      <c r="SJJ507" s="325"/>
      <c r="SJK507" s="325"/>
      <c r="SJL507" s="327"/>
      <c r="SJM507" s="28"/>
      <c r="SJN507" s="324"/>
      <c r="SJO507" s="324"/>
      <c r="SJP507" s="324"/>
      <c r="SJQ507" s="324"/>
      <c r="SJR507" s="324"/>
      <c r="SJS507" s="324"/>
      <c r="SJT507" s="256"/>
      <c r="SJU507" s="325"/>
      <c r="SJV507" s="311"/>
      <c r="SJW507" s="325"/>
      <c r="SJX507" s="310"/>
      <c r="SJY507" s="325"/>
      <c r="SJZ507" s="325"/>
      <c r="SKA507" s="325"/>
      <c r="SKB507" s="325"/>
      <c r="SKC507" s="325"/>
      <c r="SKD507" s="325"/>
      <c r="SKE507" s="325"/>
      <c r="SKF507" s="325"/>
      <c r="SKG507" s="325"/>
      <c r="SKH507" s="325"/>
      <c r="SKI507" s="325"/>
      <c r="SKJ507" s="325"/>
      <c r="SKK507" s="325"/>
      <c r="SKL507" s="325"/>
      <c r="SKM507" s="325"/>
      <c r="SKN507" s="325"/>
      <c r="SKO507" s="325"/>
      <c r="SKP507" s="325"/>
      <c r="SKQ507" s="325"/>
      <c r="SKR507" s="325"/>
      <c r="SKS507" s="325"/>
      <c r="SKT507" s="325"/>
      <c r="SKU507" s="325"/>
      <c r="SKV507" s="325"/>
      <c r="SKW507" s="325"/>
      <c r="SKX507" s="325"/>
      <c r="SKY507" s="325"/>
      <c r="SKZ507" s="325"/>
      <c r="SLA507" s="325"/>
      <c r="SLB507" s="325"/>
      <c r="SLC507" s="327"/>
      <c r="SLD507" s="28"/>
      <c r="SLE507" s="324"/>
      <c r="SLF507" s="324"/>
      <c r="SLG507" s="324"/>
      <c r="SLH507" s="324"/>
      <c r="SLI507" s="324"/>
      <c r="SLJ507" s="324"/>
      <c r="SLK507" s="256"/>
      <c r="SLL507" s="325"/>
      <c r="SLM507" s="311"/>
      <c r="SLN507" s="325"/>
      <c r="SLO507" s="310"/>
      <c r="SLP507" s="325"/>
      <c r="SLQ507" s="325"/>
      <c r="SLR507" s="325"/>
      <c r="SLS507" s="325"/>
      <c r="SLT507" s="325"/>
      <c r="SLU507" s="325"/>
      <c r="SLV507" s="325"/>
      <c r="SLW507" s="325"/>
      <c r="SLX507" s="325"/>
      <c r="SLY507" s="325"/>
      <c r="SLZ507" s="325"/>
      <c r="SMA507" s="325"/>
      <c r="SMB507" s="325"/>
      <c r="SMC507" s="325"/>
      <c r="SMD507" s="325"/>
      <c r="SME507" s="325"/>
      <c r="SMF507" s="325"/>
      <c r="SMG507" s="325"/>
      <c r="SMH507" s="325"/>
      <c r="SMI507" s="325"/>
      <c r="SMJ507" s="325"/>
      <c r="SMK507" s="325"/>
      <c r="SML507" s="325"/>
      <c r="SMM507" s="325"/>
      <c r="SMN507" s="325"/>
      <c r="SMO507" s="325"/>
      <c r="SMP507" s="325"/>
      <c r="SMQ507" s="325"/>
      <c r="SMR507" s="325"/>
      <c r="SMS507" s="325"/>
      <c r="SMT507" s="327"/>
      <c r="SMU507" s="28"/>
      <c r="SMV507" s="324"/>
      <c r="SMW507" s="324"/>
      <c r="SMX507" s="324"/>
      <c r="SMY507" s="324"/>
      <c r="SMZ507" s="324"/>
      <c r="SNA507" s="324"/>
      <c r="SNB507" s="256"/>
      <c r="SNC507" s="325"/>
      <c r="SND507" s="311"/>
      <c r="SNE507" s="325"/>
      <c r="SNF507" s="310"/>
      <c r="SNG507" s="325"/>
      <c r="SNH507" s="325"/>
      <c r="SNI507" s="325"/>
      <c r="SNJ507" s="325"/>
      <c r="SNK507" s="325"/>
      <c r="SNL507" s="325"/>
      <c r="SNM507" s="325"/>
      <c r="SNN507" s="325"/>
      <c r="SNO507" s="325"/>
      <c r="SNP507" s="325"/>
      <c r="SNQ507" s="325"/>
      <c r="SNR507" s="325"/>
      <c r="SNS507" s="325"/>
      <c r="SNT507" s="325"/>
      <c r="SNU507" s="325"/>
      <c r="SNV507" s="325"/>
      <c r="SNW507" s="325"/>
      <c r="SNX507" s="325"/>
      <c r="SNY507" s="325"/>
      <c r="SNZ507" s="325"/>
      <c r="SOA507" s="325"/>
      <c r="SOB507" s="325"/>
      <c r="SOC507" s="325"/>
      <c r="SOD507" s="325"/>
      <c r="SOE507" s="325"/>
      <c r="SOF507" s="325"/>
      <c r="SOG507" s="325"/>
      <c r="SOH507" s="325"/>
      <c r="SOI507" s="325"/>
      <c r="SOJ507" s="325"/>
      <c r="SOK507" s="327"/>
      <c r="SOL507" s="28"/>
      <c r="SOM507" s="324"/>
      <c r="SON507" s="324"/>
      <c r="SOO507" s="324"/>
      <c r="SOP507" s="324"/>
      <c r="SOQ507" s="324"/>
      <c r="SOR507" s="324"/>
      <c r="SOS507" s="256"/>
      <c r="SOT507" s="325"/>
      <c r="SOU507" s="311"/>
      <c r="SOV507" s="325"/>
      <c r="SOW507" s="310"/>
      <c r="SOX507" s="325"/>
      <c r="SOY507" s="325"/>
      <c r="SOZ507" s="325"/>
      <c r="SPA507" s="325"/>
      <c r="SPB507" s="325"/>
      <c r="SPC507" s="325"/>
      <c r="SPD507" s="325"/>
      <c r="SPE507" s="325"/>
      <c r="SPF507" s="325"/>
      <c r="SPG507" s="325"/>
      <c r="SPH507" s="325"/>
      <c r="SPI507" s="325"/>
      <c r="SPJ507" s="325"/>
      <c r="SPK507" s="325"/>
      <c r="SPL507" s="325"/>
      <c r="SPM507" s="325"/>
      <c r="SPN507" s="325"/>
      <c r="SPO507" s="325"/>
      <c r="SPP507" s="325"/>
      <c r="SPQ507" s="325"/>
      <c r="SPR507" s="325"/>
      <c r="SPS507" s="325"/>
      <c r="SPT507" s="325"/>
      <c r="SPU507" s="325"/>
      <c r="SPV507" s="325"/>
      <c r="SPW507" s="325"/>
      <c r="SPX507" s="325"/>
      <c r="SPY507" s="325"/>
      <c r="SPZ507" s="325"/>
      <c r="SQA507" s="325"/>
      <c r="SQB507" s="327"/>
      <c r="SQC507" s="28"/>
      <c r="SQD507" s="324"/>
      <c r="SQE507" s="324"/>
      <c r="SQF507" s="324"/>
      <c r="SQG507" s="324"/>
      <c r="SQH507" s="324"/>
      <c r="SQI507" s="324"/>
      <c r="SQJ507" s="256"/>
      <c r="SQK507" s="325"/>
      <c r="SQL507" s="311"/>
      <c r="SQM507" s="325"/>
      <c r="SQN507" s="310"/>
      <c r="SQO507" s="325"/>
      <c r="SQP507" s="325"/>
      <c r="SQQ507" s="325"/>
      <c r="SQR507" s="325"/>
      <c r="SQS507" s="325"/>
      <c r="SQT507" s="325"/>
      <c r="SQU507" s="325"/>
      <c r="SQV507" s="325"/>
      <c r="SQW507" s="325"/>
      <c r="SQX507" s="325"/>
      <c r="SQY507" s="325"/>
      <c r="SQZ507" s="325"/>
      <c r="SRA507" s="325"/>
      <c r="SRB507" s="325"/>
      <c r="SRC507" s="325"/>
      <c r="SRD507" s="325"/>
      <c r="SRE507" s="325"/>
      <c r="SRF507" s="325"/>
      <c r="SRG507" s="325"/>
      <c r="SRH507" s="325"/>
      <c r="SRI507" s="325"/>
      <c r="SRJ507" s="325"/>
      <c r="SRK507" s="325"/>
      <c r="SRL507" s="325"/>
      <c r="SRM507" s="325"/>
      <c r="SRN507" s="325"/>
      <c r="SRO507" s="325"/>
      <c r="SRP507" s="325"/>
      <c r="SRQ507" s="325"/>
      <c r="SRR507" s="325"/>
      <c r="SRS507" s="327"/>
      <c r="SRT507" s="28"/>
      <c r="SRU507" s="324"/>
      <c r="SRV507" s="324"/>
      <c r="SRW507" s="324"/>
      <c r="SRX507" s="324"/>
      <c r="SRY507" s="324"/>
      <c r="SRZ507" s="324"/>
      <c r="SSA507" s="256"/>
      <c r="SSB507" s="325"/>
      <c r="SSC507" s="311"/>
      <c r="SSD507" s="325"/>
      <c r="SSE507" s="310"/>
      <c r="SSF507" s="325"/>
      <c r="SSG507" s="325"/>
      <c r="SSH507" s="325"/>
      <c r="SSI507" s="325"/>
      <c r="SSJ507" s="325"/>
      <c r="SSK507" s="325"/>
      <c r="SSL507" s="325"/>
      <c r="SSM507" s="325"/>
      <c r="SSN507" s="325"/>
      <c r="SSO507" s="325"/>
      <c r="SSP507" s="325"/>
      <c r="SSQ507" s="325"/>
      <c r="SSR507" s="325"/>
      <c r="SSS507" s="325"/>
      <c r="SST507" s="325"/>
      <c r="SSU507" s="325"/>
      <c r="SSV507" s="325"/>
      <c r="SSW507" s="325"/>
      <c r="SSX507" s="325"/>
      <c r="SSY507" s="325"/>
      <c r="SSZ507" s="325"/>
      <c r="STA507" s="325"/>
      <c r="STB507" s="325"/>
      <c r="STC507" s="325"/>
      <c r="STD507" s="325"/>
      <c r="STE507" s="325"/>
      <c r="STF507" s="325"/>
      <c r="STG507" s="325"/>
      <c r="STH507" s="325"/>
      <c r="STI507" s="325"/>
      <c r="STJ507" s="327"/>
      <c r="STK507" s="28"/>
      <c r="STL507" s="324"/>
      <c r="STM507" s="324"/>
      <c r="STN507" s="324"/>
      <c r="STO507" s="324"/>
      <c r="STP507" s="324"/>
      <c r="STQ507" s="324"/>
      <c r="STR507" s="256"/>
      <c r="STS507" s="325"/>
      <c r="STT507" s="311"/>
      <c r="STU507" s="325"/>
      <c r="STV507" s="310"/>
      <c r="STW507" s="325"/>
      <c r="STX507" s="325"/>
      <c r="STY507" s="325"/>
      <c r="STZ507" s="325"/>
      <c r="SUA507" s="325"/>
      <c r="SUB507" s="325"/>
      <c r="SUC507" s="325"/>
      <c r="SUD507" s="325"/>
      <c r="SUE507" s="325"/>
      <c r="SUF507" s="325"/>
      <c r="SUG507" s="325"/>
      <c r="SUH507" s="325"/>
      <c r="SUI507" s="325"/>
      <c r="SUJ507" s="325"/>
      <c r="SUK507" s="325"/>
      <c r="SUL507" s="325"/>
      <c r="SUM507" s="325"/>
      <c r="SUN507" s="325"/>
      <c r="SUO507" s="325"/>
      <c r="SUP507" s="325"/>
      <c r="SUQ507" s="325"/>
      <c r="SUR507" s="325"/>
      <c r="SUS507" s="325"/>
      <c r="SUT507" s="325"/>
      <c r="SUU507" s="325"/>
      <c r="SUV507" s="325"/>
      <c r="SUW507" s="325"/>
      <c r="SUX507" s="325"/>
      <c r="SUY507" s="325"/>
      <c r="SUZ507" s="325"/>
      <c r="SVA507" s="327"/>
      <c r="SVB507" s="28"/>
      <c r="SVC507" s="324"/>
      <c r="SVD507" s="324"/>
      <c r="SVE507" s="324"/>
      <c r="SVF507" s="324"/>
      <c r="SVG507" s="324"/>
      <c r="SVH507" s="324"/>
      <c r="SVI507" s="256"/>
      <c r="SVJ507" s="325"/>
      <c r="SVK507" s="311"/>
      <c r="SVL507" s="325"/>
      <c r="SVM507" s="310"/>
      <c r="SVN507" s="325"/>
      <c r="SVO507" s="325"/>
      <c r="SVP507" s="325"/>
      <c r="SVQ507" s="325"/>
      <c r="SVR507" s="325"/>
      <c r="SVS507" s="325"/>
      <c r="SVT507" s="325"/>
      <c r="SVU507" s="325"/>
      <c r="SVV507" s="325"/>
      <c r="SVW507" s="325"/>
      <c r="SVX507" s="325"/>
      <c r="SVY507" s="325"/>
      <c r="SVZ507" s="325"/>
      <c r="SWA507" s="325"/>
      <c r="SWB507" s="325"/>
      <c r="SWC507" s="325"/>
      <c r="SWD507" s="325"/>
      <c r="SWE507" s="325"/>
      <c r="SWF507" s="325"/>
      <c r="SWG507" s="325"/>
      <c r="SWH507" s="325"/>
      <c r="SWI507" s="325"/>
      <c r="SWJ507" s="325"/>
      <c r="SWK507" s="325"/>
      <c r="SWL507" s="325"/>
      <c r="SWM507" s="325"/>
      <c r="SWN507" s="325"/>
      <c r="SWO507" s="325"/>
      <c r="SWP507" s="325"/>
      <c r="SWQ507" s="325"/>
      <c r="SWR507" s="327"/>
      <c r="SWS507" s="28"/>
      <c r="SWT507" s="324"/>
      <c r="SWU507" s="324"/>
      <c r="SWV507" s="324"/>
      <c r="SWW507" s="324"/>
      <c r="SWX507" s="324"/>
      <c r="SWY507" s="324"/>
      <c r="SWZ507" s="256"/>
      <c r="SXA507" s="325"/>
      <c r="SXB507" s="311"/>
      <c r="SXC507" s="325"/>
      <c r="SXD507" s="310"/>
      <c r="SXE507" s="325"/>
      <c r="SXF507" s="325"/>
      <c r="SXG507" s="325"/>
      <c r="SXH507" s="325"/>
      <c r="SXI507" s="325"/>
      <c r="SXJ507" s="325"/>
      <c r="SXK507" s="325"/>
      <c r="SXL507" s="325"/>
      <c r="SXM507" s="325"/>
      <c r="SXN507" s="325"/>
      <c r="SXO507" s="325"/>
      <c r="SXP507" s="325"/>
      <c r="SXQ507" s="325"/>
      <c r="SXR507" s="325"/>
      <c r="SXS507" s="325"/>
      <c r="SXT507" s="325"/>
      <c r="SXU507" s="325"/>
      <c r="SXV507" s="325"/>
      <c r="SXW507" s="325"/>
      <c r="SXX507" s="325"/>
      <c r="SXY507" s="325"/>
      <c r="SXZ507" s="325"/>
      <c r="SYA507" s="325"/>
      <c r="SYB507" s="325"/>
      <c r="SYC507" s="325"/>
      <c r="SYD507" s="325"/>
      <c r="SYE507" s="325"/>
      <c r="SYF507" s="325"/>
      <c r="SYG507" s="325"/>
      <c r="SYH507" s="325"/>
      <c r="SYI507" s="327"/>
      <c r="SYJ507" s="28"/>
      <c r="SYK507" s="324"/>
      <c r="SYL507" s="324"/>
      <c r="SYM507" s="324"/>
      <c r="SYN507" s="324"/>
      <c r="SYO507" s="324"/>
      <c r="SYP507" s="324"/>
      <c r="SYQ507" s="256"/>
      <c r="SYR507" s="325"/>
      <c r="SYS507" s="311"/>
      <c r="SYT507" s="325"/>
      <c r="SYU507" s="310"/>
      <c r="SYV507" s="325"/>
      <c r="SYW507" s="325"/>
      <c r="SYX507" s="325"/>
      <c r="SYY507" s="325"/>
      <c r="SYZ507" s="325"/>
      <c r="SZA507" s="325"/>
      <c r="SZB507" s="325"/>
      <c r="SZC507" s="325"/>
      <c r="SZD507" s="325"/>
      <c r="SZE507" s="325"/>
      <c r="SZF507" s="325"/>
      <c r="SZG507" s="325"/>
      <c r="SZH507" s="325"/>
      <c r="SZI507" s="325"/>
      <c r="SZJ507" s="325"/>
      <c r="SZK507" s="325"/>
      <c r="SZL507" s="325"/>
      <c r="SZM507" s="325"/>
      <c r="SZN507" s="325"/>
      <c r="SZO507" s="325"/>
      <c r="SZP507" s="325"/>
      <c r="SZQ507" s="325"/>
      <c r="SZR507" s="325"/>
      <c r="SZS507" s="325"/>
      <c r="SZT507" s="325"/>
      <c r="SZU507" s="325"/>
      <c r="SZV507" s="325"/>
      <c r="SZW507" s="325"/>
      <c r="SZX507" s="325"/>
      <c r="SZY507" s="325"/>
      <c r="SZZ507" s="327"/>
      <c r="TAA507" s="28"/>
      <c r="TAB507" s="324"/>
      <c r="TAC507" s="324"/>
      <c r="TAD507" s="324"/>
      <c r="TAE507" s="324"/>
      <c r="TAF507" s="324"/>
      <c r="TAG507" s="324"/>
      <c r="TAH507" s="256"/>
      <c r="TAI507" s="325"/>
      <c r="TAJ507" s="311"/>
      <c r="TAK507" s="325"/>
      <c r="TAL507" s="310"/>
      <c r="TAM507" s="325"/>
      <c r="TAN507" s="325"/>
      <c r="TAO507" s="325"/>
      <c r="TAP507" s="325"/>
      <c r="TAQ507" s="325"/>
      <c r="TAR507" s="325"/>
      <c r="TAS507" s="325"/>
      <c r="TAT507" s="325"/>
      <c r="TAU507" s="325"/>
      <c r="TAV507" s="325"/>
      <c r="TAW507" s="325"/>
      <c r="TAX507" s="325"/>
      <c r="TAY507" s="325"/>
      <c r="TAZ507" s="325"/>
      <c r="TBA507" s="325"/>
      <c r="TBB507" s="325"/>
      <c r="TBC507" s="325"/>
      <c r="TBD507" s="325"/>
      <c r="TBE507" s="325"/>
      <c r="TBF507" s="325"/>
      <c r="TBG507" s="325"/>
      <c r="TBH507" s="325"/>
      <c r="TBI507" s="325"/>
      <c r="TBJ507" s="325"/>
      <c r="TBK507" s="325"/>
      <c r="TBL507" s="325"/>
      <c r="TBM507" s="325"/>
      <c r="TBN507" s="325"/>
      <c r="TBO507" s="325"/>
      <c r="TBP507" s="325"/>
      <c r="TBQ507" s="327"/>
      <c r="TBR507" s="28"/>
      <c r="TBS507" s="324"/>
      <c r="TBT507" s="324"/>
      <c r="TBU507" s="324"/>
      <c r="TBV507" s="324"/>
      <c r="TBW507" s="324"/>
      <c r="TBX507" s="324"/>
      <c r="TBY507" s="256"/>
      <c r="TBZ507" s="325"/>
      <c r="TCA507" s="311"/>
      <c r="TCB507" s="325"/>
      <c r="TCC507" s="310"/>
      <c r="TCD507" s="325"/>
      <c r="TCE507" s="325"/>
      <c r="TCF507" s="325"/>
      <c r="TCG507" s="325"/>
      <c r="TCH507" s="325"/>
      <c r="TCI507" s="325"/>
      <c r="TCJ507" s="325"/>
      <c r="TCK507" s="325"/>
      <c r="TCL507" s="325"/>
      <c r="TCM507" s="325"/>
      <c r="TCN507" s="325"/>
      <c r="TCO507" s="325"/>
      <c r="TCP507" s="325"/>
      <c r="TCQ507" s="325"/>
      <c r="TCR507" s="325"/>
      <c r="TCS507" s="325"/>
      <c r="TCT507" s="325"/>
      <c r="TCU507" s="325"/>
      <c r="TCV507" s="325"/>
      <c r="TCW507" s="325"/>
      <c r="TCX507" s="325"/>
      <c r="TCY507" s="325"/>
      <c r="TCZ507" s="325"/>
      <c r="TDA507" s="325"/>
      <c r="TDB507" s="325"/>
      <c r="TDC507" s="325"/>
      <c r="TDD507" s="325"/>
      <c r="TDE507" s="325"/>
      <c r="TDF507" s="325"/>
      <c r="TDG507" s="325"/>
      <c r="TDH507" s="327"/>
      <c r="TDI507" s="28"/>
      <c r="TDJ507" s="324"/>
      <c r="TDK507" s="324"/>
      <c r="TDL507" s="324"/>
      <c r="TDM507" s="324"/>
      <c r="TDN507" s="324"/>
      <c r="TDO507" s="324"/>
      <c r="TDP507" s="256"/>
      <c r="TDQ507" s="325"/>
      <c r="TDR507" s="311"/>
      <c r="TDS507" s="325"/>
      <c r="TDT507" s="310"/>
      <c r="TDU507" s="325"/>
      <c r="TDV507" s="325"/>
      <c r="TDW507" s="325"/>
      <c r="TDX507" s="325"/>
      <c r="TDY507" s="325"/>
      <c r="TDZ507" s="325"/>
      <c r="TEA507" s="325"/>
      <c r="TEB507" s="325"/>
      <c r="TEC507" s="325"/>
      <c r="TED507" s="325"/>
      <c r="TEE507" s="325"/>
      <c r="TEF507" s="325"/>
      <c r="TEG507" s="325"/>
      <c r="TEH507" s="325"/>
      <c r="TEI507" s="325"/>
      <c r="TEJ507" s="325"/>
      <c r="TEK507" s="325"/>
      <c r="TEL507" s="325"/>
      <c r="TEM507" s="325"/>
      <c r="TEN507" s="325"/>
      <c r="TEO507" s="325"/>
      <c r="TEP507" s="325"/>
      <c r="TEQ507" s="325"/>
      <c r="TER507" s="325"/>
      <c r="TES507" s="325"/>
      <c r="TET507" s="325"/>
      <c r="TEU507" s="325"/>
      <c r="TEV507" s="325"/>
      <c r="TEW507" s="325"/>
      <c r="TEX507" s="325"/>
      <c r="TEY507" s="327"/>
      <c r="TEZ507" s="28"/>
      <c r="TFA507" s="324"/>
      <c r="TFB507" s="324"/>
      <c r="TFC507" s="324"/>
      <c r="TFD507" s="324"/>
      <c r="TFE507" s="324"/>
      <c r="TFF507" s="324"/>
      <c r="TFG507" s="256"/>
      <c r="TFH507" s="325"/>
      <c r="TFI507" s="311"/>
      <c r="TFJ507" s="325"/>
      <c r="TFK507" s="310"/>
      <c r="TFL507" s="325"/>
      <c r="TFM507" s="325"/>
      <c r="TFN507" s="325"/>
      <c r="TFO507" s="325"/>
      <c r="TFP507" s="325"/>
      <c r="TFQ507" s="325"/>
      <c r="TFR507" s="325"/>
      <c r="TFS507" s="325"/>
      <c r="TFT507" s="325"/>
      <c r="TFU507" s="325"/>
      <c r="TFV507" s="325"/>
      <c r="TFW507" s="325"/>
      <c r="TFX507" s="325"/>
      <c r="TFY507" s="325"/>
      <c r="TFZ507" s="325"/>
      <c r="TGA507" s="325"/>
      <c r="TGB507" s="325"/>
      <c r="TGC507" s="325"/>
      <c r="TGD507" s="325"/>
      <c r="TGE507" s="325"/>
      <c r="TGF507" s="325"/>
      <c r="TGG507" s="325"/>
      <c r="TGH507" s="325"/>
      <c r="TGI507" s="325"/>
      <c r="TGJ507" s="325"/>
      <c r="TGK507" s="325"/>
      <c r="TGL507" s="325"/>
      <c r="TGM507" s="325"/>
      <c r="TGN507" s="325"/>
      <c r="TGO507" s="325"/>
      <c r="TGP507" s="327"/>
      <c r="TGQ507" s="28"/>
      <c r="TGR507" s="324"/>
      <c r="TGS507" s="324"/>
      <c r="TGT507" s="324"/>
      <c r="TGU507" s="324"/>
      <c r="TGV507" s="324"/>
      <c r="TGW507" s="324"/>
      <c r="TGX507" s="256"/>
      <c r="TGY507" s="325"/>
      <c r="TGZ507" s="311"/>
      <c r="THA507" s="325"/>
      <c r="THB507" s="310"/>
      <c r="THC507" s="325"/>
      <c r="THD507" s="325"/>
      <c r="THE507" s="325"/>
      <c r="THF507" s="325"/>
      <c r="THG507" s="325"/>
      <c r="THH507" s="325"/>
      <c r="THI507" s="325"/>
      <c r="THJ507" s="325"/>
      <c r="THK507" s="325"/>
      <c r="THL507" s="325"/>
      <c r="THM507" s="325"/>
      <c r="THN507" s="325"/>
      <c r="THO507" s="325"/>
      <c r="THP507" s="325"/>
      <c r="THQ507" s="325"/>
      <c r="THR507" s="325"/>
      <c r="THS507" s="325"/>
      <c r="THT507" s="325"/>
      <c r="THU507" s="325"/>
      <c r="THV507" s="325"/>
      <c r="THW507" s="325"/>
      <c r="THX507" s="325"/>
      <c r="THY507" s="325"/>
      <c r="THZ507" s="325"/>
      <c r="TIA507" s="325"/>
      <c r="TIB507" s="325"/>
      <c r="TIC507" s="325"/>
      <c r="TID507" s="325"/>
      <c r="TIE507" s="325"/>
      <c r="TIF507" s="325"/>
      <c r="TIG507" s="327"/>
      <c r="TIH507" s="28"/>
      <c r="TII507" s="324"/>
      <c r="TIJ507" s="324"/>
      <c r="TIK507" s="324"/>
      <c r="TIL507" s="324"/>
      <c r="TIM507" s="324"/>
      <c r="TIN507" s="324"/>
      <c r="TIO507" s="256"/>
      <c r="TIP507" s="325"/>
      <c r="TIQ507" s="311"/>
      <c r="TIR507" s="325"/>
      <c r="TIS507" s="310"/>
      <c r="TIT507" s="325"/>
      <c r="TIU507" s="325"/>
      <c r="TIV507" s="325"/>
      <c r="TIW507" s="325"/>
      <c r="TIX507" s="325"/>
      <c r="TIY507" s="325"/>
      <c r="TIZ507" s="325"/>
      <c r="TJA507" s="325"/>
      <c r="TJB507" s="325"/>
      <c r="TJC507" s="325"/>
      <c r="TJD507" s="325"/>
      <c r="TJE507" s="325"/>
      <c r="TJF507" s="325"/>
      <c r="TJG507" s="325"/>
      <c r="TJH507" s="325"/>
      <c r="TJI507" s="325"/>
      <c r="TJJ507" s="325"/>
      <c r="TJK507" s="325"/>
      <c r="TJL507" s="325"/>
      <c r="TJM507" s="325"/>
      <c r="TJN507" s="325"/>
      <c r="TJO507" s="325"/>
      <c r="TJP507" s="325"/>
      <c r="TJQ507" s="325"/>
      <c r="TJR507" s="325"/>
      <c r="TJS507" s="325"/>
      <c r="TJT507" s="325"/>
      <c r="TJU507" s="325"/>
      <c r="TJV507" s="325"/>
      <c r="TJW507" s="325"/>
      <c r="TJX507" s="327"/>
      <c r="TJY507" s="28"/>
      <c r="TJZ507" s="324"/>
      <c r="TKA507" s="324"/>
      <c r="TKB507" s="324"/>
      <c r="TKC507" s="324"/>
      <c r="TKD507" s="324"/>
      <c r="TKE507" s="324"/>
      <c r="TKF507" s="256"/>
      <c r="TKG507" s="325"/>
      <c r="TKH507" s="311"/>
      <c r="TKI507" s="325"/>
      <c r="TKJ507" s="310"/>
      <c r="TKK507" s="325"/>
      <c r="TKL507" s="325"/>
      <c r="TKM507" s="325"/>
      <c r="TKN507" s="325"/>
      <c r="TKO507" s="325"/>
      <c r="TKP507" s="325"/>
      <c r="TKQ507" s="325"/>
      <c r="TKR507" s="325"/>
      <c r="TKS507" s="325"/>
      <c r="TKT507" s="325"/>
      <c r="TKU507" s="325"/>
      <c r="TKV507" s="325"/>
      <c r="TKW507" s="325"/>
      <c r="TKX507" s="325"/>
      <c r="TKY507" s="325"/>
      <c r="TKZ507" s="325"/>
      <c r="TLA507" s="325"/>
      <c r="TLB507" s="325"/>
      <c r="TLC507" s="325"/>
      <c r="TLD507" s="325"/>
      <c r="TLE507" s="325"/>
      <c r="TLF507" s="325"/>
      <c r="TLG507" s="325"/>
      <c r="TLH507" s="325"/>
      <c r="TLI507" s="325"/>
      <c r="TLJ507" s="325"/>
      <c r="TLK507" s="325"/>
      <c r="TLL507" s="325"/>
      <c r="TLM507" s="325"/>
      <c r="TLN507" s="325"/>
      <c r="TLO507" s="327"/>
      <c r="TLP507" s="28"/>
      <c r="TLQ507" s="324"/>
      <c r="TLR507" s="324"/>
      <c r="TLS507" s="324"/>
      <c r="TLT507" s="324"/>
      <c r="TLU507" s="324"/>
      <c r="TLV507" s="324"/>
      <c r="TLW507" s="256"/>
      <c r="TLX507" s="325"/>
      <c r="TLY507" s="311"/>
      <c r="TLZ507" s="325"/>
      <c r="TMA507" s="310"/>
      <c r="TMB507" s="325"/>
      <c r="TMC507" s="325"/>
      <c r="TMD507" s="325"/>
      <c r="TME507" s="325"/>
      <c r="TMF507" s="325"/>
      <c r="TMG507" s="325"/>
      <c r="TMH507" s="325"/>
      <c r="TMI507" s="325"/>
      <c r="TMJ507" s="325"/>
      <c r="TMK507" s="325"/>
      <c r="TML507" s="325"/>
      <c r="TMM507" s="325"/>
      <c r="TMN507" s="325"/>
      <c r="TMO507" s="325"/>
      <c r="TMP507" s="325"/>
      <c r="TMQ507" s="325"/>
      <c r="TMR507" s="325"/>
      <c r="TMS507" s="325"/>
      <c r="TMT507" s="325"/>
      <c r="TMU507" s="325"/>
      <c r="TMV507" s="325"/>
      <c r="TMW507" s="325"/>
      <c r="TMX507" s="325"/>
      <c r="TMY507" s="325"/>
      <c r="TMZ507" s="325"/>
      <c r="TNA507" s="325"/>
      <c r="TNB507" s="325"/>
      <c r="TNC507" s="325"/>
      <c r="TND507" s="325"/>
      <c r="TNE507" s="325"/>
      <c r="TNF507" s="327"/>
      <c r="TNG507" s="28"/>
      <c r="TNH507" s="324"/>
      <c r="TNI507" s="324"/>
      <c r="TNJ507" s="324"/>
      <c r="TNK507" s="324"/>
      <c r="TNL507" s="324"/>
      <c r="TNM507" s="324"/>
      <c r="TNN507" s="256"/>
      <c r="TNO507" s="325"/>
      <c r="TNP507" s="311"/>
      <c r="TNQ507" s="325"/>
      <c r="TNR507" s="310"/>
      <c r="TNS507" s="325"/>
      <c r="TNT507" s="325"/>
      <c r="TNU507" s="325"/>
      <c r="TNV507" s="325"/>
      <c r="TNW507" s="325"/>
      <c r="TNX507" s="325"/>
      <c r="TNY507" s="325"/>
      <c r="TNZ507" s="325"/>
      <c r="TOA507" s="325"/>
      <c r="TOB507" s="325"/>
      <c r="TOC507" s="325"/>
      <c r="TOD507" s="325"/>
      <c r="TOE507" s="325"/>
      <c r="TOF507" s="325"/>
      <c r="TOG507" s="325"/>
      <c r="TOH507" s="325"/>
      <c r="TOI507" s="325"/>
      <c r="TOJ507" s="325"/>
      <c r="TOK507" s="325"/>
      <c r="TOL507" s="325"/>
      <c r="TOM507" s="325"/>
      <c r="TON507" s="325"/>
      <c r="TOO507" s="325"/>
      <c r="TOP507" s="325"/>
      <c r="TOQ507" s="325"/>
      <c r="TOR507" s="325"/>
      <c r="TOS507" s="325"/>
      <c r="TOT507" s="325"/>
      <c r="TOU507" s="325"/>
      <c r="TOV507" s="325"/>
      <c r="TOW507" s="327"/>
      <c r="TOX507" s="28"/>
      <c r="TOY507" s="324"/>
      <c r="TOZ507" s="324"/>
      <c r="TPA507" s="324"/>
      <c r="TPB507" s="324"/>
      <c r="TPC507" s="324"/>
      <c r="TPD507" s="324"/>
      <c r="TPE507" s="256"/>
      <c r="TPF507" s="325"/>
      <c r="TPG507" s="311"/>
      <c r="TPH507" s="325"/>
      <c r="TPI507" s="310"/>
      <c r="TPJ507" s="325"/>
      <c r="TPK507" s="325"/>
      <c r="TPL507" s="325"/>
      <c r="TPM507" s="325"/>
      <c r="TPN507" s="325"/>
      <c r="TPO507" s="325"/>
      <c r="TPP507" s="325"/>
      <c r="TPQ507" s="325"/>
      <c r="TPR507" s="325"/>
      <c r="TPS507" s="325"/>
      <c r="TPT507" s="325"/>
      <c r="TPU507" s="325"/>
      <c r="TPV507" s="325"/>
      <c r="TPW507" s="325"/>
      <c r="TPX507" s="325"/>
      <c r="TPY507" s="325"/>
      <c r="TPZ507" s="325"/>
      <c r="TQA507" s="325"/>
      <c r="TQB507" s="325"/>
      <c r="TQC507" s="325"/>
      <c r="TQD507" s="325"/>
      <c r="TQE507" s="325"/>
      <c r="TQF507" s="325"/>
      <c r="TQG507" s="325"/>
      <c r="TQH507" s="325"/>
      <c r="TQI507" s="325"/>
      <c r="TQJ507" s="325"/>
      <c r="TQK507" s="325"/>
      <c r="TQL507" s="325"/>
      <c r="TQM507" s="325"/>
      <c r="TQN507" s="327"/>
      <c r="TQO507" s="28"/>
      <c r="TQP507" s="324"/>
      <c r="TQQ507" s="324"/>
      <c r="TQR507" s="324"/>
      <c r="TQS507" s="324"/>
      <c r="TQT507" s="324"/>
      <c r="TQU507" s="324"/>
      <c r="TQV507" s="256"/>
      <c r="TQW507" s="325"/>
      <c r="TQX507" s="311"/>
      <c r="TQY507" s="325"/>
      <c r="TQZ507" s="310"/>
      <c r="TRA507" s="325"/>
      <c r="TRB507" s="325"/>
      <c r="TRC507" s="325"/>
      <c r="TRD507" s="325"/>
      <c r="TRE507" s="325"/>
      <c r="TRF507" s="325"/>
      <c r="TRG507" s="325"/>
      <c r="TRH507" s="325"/>
      <c r="TRI507" s="325"/>
      <c r="TRJ507" s="325"/>
      <c r="TRK507" s="325"/>
      <c r="TRL507" s="325"/>
      <c r="TRM507" s="325"/>
      <c r="TRN507" s="325"/>
      <c r="TRO507" s="325"/>
      <c r="TRP507" s="325"/>
      <c r="TRQ507" s="325"/>
      <c r="TRR507" s="325"/>
      <c r="TRS507" s="325"/>
      <c r="TRT507" s="325"/>
      <c r="TRU507" s="325"/>
      <c r="TRV507" s="325"/>
      <c r="TRW507" s="325"/>
      <c r="TRX507" s="325"/>
      <c r="TRY507" s="325"/>
      <c r="TRZ507" s="325"/>
      <c r="TSA507" s="325"/>
      <c r="TSB507" s="325"/>
      <c r="TSC507" s="325"/>
      <c r="TSD507" s="325"/>
      <c r="TSE507" s="327"/>
      <c r="TSF507" s="28"/>
      <c r="TSG507" s="324"/>
      <c r="TSH507" s="324"/>
      <c r="TSI507" s="324"/>
      <c r="TSJ507" s="324"/>
      <c r="TSK507" s="324"/>
      <c r="TSL507" s="324"/>
      <c r="TSM507" s="256"/>
      <c r="TSN507" s="325"/>
      <c r="TSO507" s="311"/>
      <c r="TSP507" s="325"/>
      <c r="TSQ507" s="310"/>
      <c r="TSR507" s="325"/>
      <c r="TSS507" s="325"/>
      <c r="TST507" s="325"/>
      <c r="TSU507" s="325"/>
      <c r="TSV507" s="325"/>
      <c r="TSW507" s="325"/>
      <c r="TSX507" s="325"/>
      <c r="TSY507" s="325"/>
      <c r="TSZ507" s="325"/>
      <c r="TTA507" s="325"/>
      <c r="TTB507" s="325"/>
      <c r="TTC507" s="325"/>
      <c r="TTD507" s="325"/>
      <c r="TTE507" s="325"/>
      <c r="TTF507" s="325"/>
      <c r="TTG507" s="325"/>
      <c r="TTH507" s="325"/>
      <c r="TTI507" s="325"/>
      <c r="TTJ507" s="325"/>
      <c r="TTK507" s="325"/>
      <c r="TTL507" s="325"/>
      <c r="TTM507" s="325"/>
      <c r="TTN507" s="325"/>
      <c r="TTO507" s="325"/>
      <c r="TTP507" s="325"/>
      <c r="TTQ507" s="325"/>
      <c r="TTR507" s="325"/>
      <c r="TTS507" s="325"/>
      <c r="TTT507" s="325"/>
      <c r="TTU507" s="325"/>
      <c r="TTV507" s="327"/>
      <c r="TTW507" s="28"/>
      <c r="TTX507" s="324"/>
      <c r="TTY507" s="324"/>
      <c r="TTZ507" s="324"/>
      <c r="TUA507" s="324"/>
      <c r="TUB507" s="324"/>
      <c r="TUC507" s="324"/>
      <c r="TUD507" s="256"/>
      <c r="TUE507" s="325"/>
      <c r="TUF507" s="311"/>
      <c r="TUG507" s="325"/>
      <c r="TUH507" s="310"/>
      <c r="TUI507" s="325"/>
      <c r="TUJ507" s="325"/>
      <c r="TUK507" s="325"/>
      <c r="TUL507" s="325"/>
      <c r="TUM507" s="325"/>
      <c r="TUN507" s="325"/>
      <c r="TUO507" s="325"/>
      <c r="TUP507" s="325"/>
      <c r="TUQ507" s="325"/>
      <c r="TUR507" s="325"/>
      <c r="TUS507" s="325"/>
      <c r="TUT507" s="325"/>
      <c r="TUU507" s="325"/>
      <c r="TUV507" s="325"/>
      <c r="TUW507" s="325"/>
      <c r="TUX507" s="325"/>
      <c r="TUY507" s="325"/>
      <c r="TUZ507" s="325"/>
      <c r="TVA507" s="325"/>
      <c r="TVB507" s="325"/>
      <c r="TVC507" s="325"/>
      <c r="TVD507" s="325"/>
      <c r="TVE507" s="325"/>
      <c r="TVF507" s="325"/>
      <c r="TVG507" s="325"/>
      <c r="TVH507" s="325"/>
      <c r="TVI507" s="325"/>
      <c r="TVJ507" s="325"/>
      <c r="TVK507" s="325"/>
      <c r="TVL507" s="325"/>
      <c r="TVM507" s="327"/>
      <c r="TVN507" s="28"/>
      <c r="TVO507" s="324"/>
      <c r="TVP507" s="324"/>
      <c r="TVQ507" s="324"/>
      <c r="TVR507" s="324"/>
      <c r="TVS507" s="324"/>
      <c r="TVT507" s="324"/>
      <c r="TVU507" s="256"/>
      <c r="TVV507" s="325"/>
      <c r="TVW507" s="311"/>
      <c r="TVX507" s="325"/>
      <c r="TVY507" s="310"/>
      <c r="TVZ507" s="325"/>
      <c r="TWA507" s="325"/>
      <c r="TWB507" s="325"/>
      <c r="TWC507" s="325"/>
      <c r="TWD507" s="325"/>
      <c r="TWE507" s="325"/>
      <c r="TWF507" s="325"/>
      <c r="TWG507" s="325"/>
      <c r="TWH507" s="325"/>
      <c r="TWI507" s="325"/>
      <c r="TWJ507" s="325"/>
      <c r="TWK507" s="325"/>
      <c r="TWL507" s="325"/>
      <c r="TWM507" s="325"/>
      <c r="TWN507" s="325"/>
      <c r="TWO507" s="325"/>
      <c r="TWP507" s="325"/>
      <c r="TWQ507" s="325"/>
      <c r="TWR507" s="325"/>
      <c r="TWS507" s="325"/>
      <c r="TWT507" s="325"/>
      <c r="TWU507" s="325"/>
      <c r="TWV507" s="325"/>
      <c r="TWW507" s="325"/>
      <c r="TWX507" s="325"/>
      <c r="TWY507" s="325"/>
      <c r="TWZ507" s="325"/>
      <c r="TXA507" s="325"/>
      <c r="TXB507" s="325"/>
      <c r="TXC507" s="325"/>
      <c r="TXD507" s="327"/>
      <c r="TXE507" s="28"/>
      <c r="TXF507" s="324"/>
      <c r="TXG507" s="324"/>
      <c r="TXH507" s="324"/>
      <c r="TXI507" s="324"/>
      <c r="TXJ507" s="324"/>
      <c r="TXK507" s="324"/>
      <c r="TXL507" s="256"/>
      <c r="TXM507" s="325"/>
      <c r="TXN507" s="311"/>
      <c r="TXO507" s="325"/>
      <c r="TXP507" s="310"/>
      <c r="TXQ507" s="325"/>
      <c r="TXR507" s="325"/>
      <c r="TXS507" s="325"/>
      <c r="TXT507" s="325"/>
      <c r="TXU507" s="325"/>
      <c r="TXV507" s="325"/>
      <c r="TXW507" s="325"/>
      <c r="TXX507" s="325"/>
      <c r="TXY507" s="325"/>
      <c r="TXZ507" s="325"/>
      <c r="TYA507" s="325"/>
      <c r="TYB507" s="325"/>
      <c r="TYC507" s="325"/>
      <c r="TYD507" s="325"/>
      <c r="TYE507" s="325"/>
      <c r="TYF507" s="325"/>
      <c r="TYG507" s="325"/>
      <c r="TYH507" s="325"/>
      <c r="TYI507" s="325"/>
      <c r="TYJ507" s="325"/>
      <c r="TYK507" s="325"/>
      <c r="TYL507" s="325"/>
      <c r="TYM507" s="325"/>
      <c r="TYN507" s="325"/>
      <c r="TYO507" s="325"/>
      <c r="TYP507" s="325"/>
      <c r="TYQ507" s="325"/>
      <c r="TYR507" s="325"/>
      <c r="TYS507" s="325"/>
      <c r="TYT507" s="325"/>
      <c r="TYU507" s="327"/>
      <c r="TYV507" s="28"/>
      <c r="TYW507" s="324"/>
      <c r="TYX507" s="324"/>
      <c r="TYY507" s="324"/>
      <c r="TYZ507" s="324"/>
      <c r="TZA507" s="324"/>
      <c r="TZB507" s="324"/>
      <c r="TZC507" s="256"/>
      <c r="TZD507" s="325"/>
      <c r="TZE507" s="311"/>
      <c r="TZF507" s="325"/>
      <c r="TZG507" s="310"/>
      <c r="TZH507" s="325"/>
      <c r="TZI507" s="325"/>
      <c r="TZJ507" s="325"/>
      <c r="TZK507" s="325"/>
      <c r="TZL507" s="325"/>
      <c r="TZM507" s="325"/>
      <c r="TZN507" s="325"/>
      <c r="TZO507" s="325"/>
      <c r="TZP507" s="325"/>
      <c r="TZQ507" s="325"/>
      <c r="TZR507" s="325"/>
      <c r="TZS507" s="325"/>
      <c r="TZT507" s="325"/>
      <c r="TZU507" s="325"/>
      <c r="TZV507" s="325"/>
      <c r="TZW507" s="325"/>
      <c r="TZX507" s="325"/>
      <c r="TZY507" s="325"/>
      <c r="TZZ507" s="325"/>
      <c r="UAA507" s="325"/>
      <c r="UAB507" s="325"/>
      <c r="UAC507" s="325"/>
      <c r="UAD507" s="325"/>
      <c r="UAE507" s="325"/>
      <c r="UAF507" s="325"/>
      <c r="UAG507" s="325"/>
      <c r="UAH507" s="325"/>
      <c r="UAI507" s="325"/>
      <c r="UAJ507" s="325"/>
      <c r="UAK507" s="325"/>
      <c r="UAL507" s="327"/>
      <c r="UAM507" s="28"/>
      <c r="UAN507" s="324"/>
      <c r="UAO507" s="324"/>
      <c r="UAP507" s="324"/>
      <c r="UAQ507" s="324"/>
      <c r="UAR507" s="324"/>
      <c r="UAS507" s="324"/>
      <c r="UAT507" s="256"/>
      <c r="UAU507" s="325"/>
      <c r="UAV507" s="311"/>
      <c r="UAW507" s="325"/>
      <c r="UAX507" s="310"/>
      <c r="UAY507" s="325"/>
      <c r="UAZ507" s="325"/>
      <c r="UBA507" s="325"/>
      <c r="UBB507" s="325"/>
      <c r="UBC507" s="325"/>
      <c r="UBD507" s="325"/>
      <c r="UBE507" s="325"/>
      <c r="UBF507" s="325"/>
      <c r="UBG507" s="325"/>
      <c r="UBH507" s="325"/>
      <c r="UBI507" s="325"/>
      <c r="UBJ507" s="325"/>
      <c r="UBK507" s="325"/>
      <c r="UBL507" s="325"/>
      <c r="UBM507" s="325"/>
      <c r="UBN507" s="325"/>
      <c r="UBO507" s="325"/>
      <c r="UBP507" s="325"/>
      <c r="UBQ507" s="325"/>
      <c r="UBR507" s="325"/>
      <c r="UBS507" s="325"/>
      <c r="UBT507" s="325"/>
      <c r="UBU507" s="325"/>
      <c r="UBV507" s="325"/>
      <c r="UBW507" s="325"/>
      <c r="UBX507" s="325"/>
      <c r="UBY507" s="325"/>
      <c r="UBZ507" s="325"/>
      <c r="UCA507" s="325"/>
      <c r="UCB507" s="325"/>
      <c r="UCC507" s="327"/>
      <c r="UCD507" s="28"/>
      <c r="UCE507" s="324"/>
      <c r="UCF507" s="324"/>
      <c r="UCG507" s="324"/>
      <c r="UCH507" s="324"/>
      <c r="UCI507" s="324"/>
      <c r="UCJ507" s="324"/>
      <c r="UCK507" s="256"/>
      <c r="UCL507" s="325"/>
      <c r="UCM507" s="311"/>
      <c r="UCN507" s="325"/>
      <c r="UCO507" s="310"/>
      <c r="UCP507" s="325"/>
      <c r="UCQ507" s="325"/>
      <c r="UCR507" s="325"/>
      <c r="UCS507" s="325"/>
      <c r="UCT507" s="325"/>
      <c r="UCU507" s="325"/>
      <c r="UCV507" s="325"/>
      <c r="UCW507" s="325"/>
      <c r="UCX507" s="325"/>
      <c r="UCY507" s="325"/>
      <c r="UCZ507" s="325"/>
      <c r="UDA507" s="325"/>
      <c r="UDB507" s="325"/>
      <c r="UDC507" s="325"/>
      <c r="UDD507" s="325"/>
      <c r="UDE507" s="325"/>
      <c r="UDF507" s="325"/>
      <c r="UDG507" s="325"/>
      <c r="UDH507" s="325"/>
      <c r="UDI507" s="325"/>
      <c r="UDJ507" s="325"/>
      <c r="UDK507" s="325"/>
      <c r="UDL507" s="325"/>
      <c r="UDM507" s="325"/>
      <c r="UDN507" s="325"/>
      <c r="UDO507" s="325"/>
      <c r="UDP507" s="325"/>
      <c r="UDQ507" s="325"/>
      <c r="UDR507" s="325"/>
      <c r="UDS507" s="325"/>
      <c r="UDT507" s="327"/>
      <c r="UDU507" s="28"/>
      <c r="UDV507" s="324"/>
      <c r="UDW507" s="324"/>
      <c r="UDX507" s="324"/>
      <c r="UDY507" s="324"/>
      <c r="UDZ507" s="324"/>
      <c r="UEA507" s="324"/>
      <c r="UEB507" s="256"/>
      <c r="UEC507" s="325"/>
      <c r="UED507" s="311"/>
      <c r="UEE507" s="325"/>
      <c r="UEF507" s="310"/>
      <c r="UEG507" s="325"/>
      <c r="UEH507" s="325"/>
      <c r="UEI507" s="325"/>
      <c r="UEJ507" s="325"/>
      <c r="UEK507" s="325"/>
      <c r="UEL507" s="325"/>
      <c r="UEM507" s="325"/>
      <c r="UEN507" s="325"/>
      <c r="UEO507" s="325"/>
      <c r="UEP507" s="325"/>
      <c r="UEQ507" s="325"/>
      <c r="UER507" s="325"/>
      <c r="UES507" s="325"/>
      <c r="UET507" s="325"/>
      <c r="UEU507" s="325"/>
      <c r="UEV507" s="325"/>
      <c r="UEW507" s="325"/>
      <c r="UEX507" s="325"/>
      <c r="UEY507" s="325"/>
      <c r="UEZ507" s="325"/>
      <c r="UFA507" s="325"/>
      <c r="UFB507" s="325"/>
      <c r="UFC507" s="325"/>
      <c r="UFD507" s="325"/>
      <c r="UFE507" s="325"/>
      <c r="UFF507" s="325"/>
      <c r="UFG507" s="325"/>
      <c r="UFH507" s="325"/>
      <c r="UFI507" s="325"/>
      <c r="UFJ507" s="325"/>
      <c r="UFK507" s="327"/>
      <c r="UFL507" s="28"/>
      <c r="UFM507" s="324"/>
      <c r="UFN507" s="324"/>
      <c r="UFO507" s="324"/>
      <c r="UFP507" s="324"/>
      <c r="UFQ507" s="324"/>
      <c r="UFR507" s="324"/>
      <c r="UFS507" s="256"/>
      <c r="UFT507" s="325"/>
      <c r="UFU507" s="311"/>
      <c r="UFV507" s="325"/>
      <c r="UFW507" s="310"/>
      <c r="UFX507" s="325"/>
      <c r="UFY507" s="325"/>
      <c r="UFZ507" s="325"/>
      <c r="UGA507" s="325"/>
      <c r="UGB507" s="325"/>
      <c r="UGC507" s="325"/>
      <c r="UGD507" s="325"/>
      <c r="UGE507" s="325"/>
      <c r="UGF507" s="325"/>
      <c r="UGG507" s="325"/>
      <c r="UGH507" s="325"/>
      <c r="UGI507" s="325"/>
      <c r="UGJ507" s="325"/>
      <c r="UGK507" s="325"/>
      <c r="UGL507" s="325"/>
      <c r="UGM507" s="325"/>
      <c r="UGN507" s="325"/>
      <c r="UGO507" s="325"/>
      <c r="UGP507" s="325"/>
      <c r="UGQ507" s="325"/>
      <c r="UGR507" s="325"/>
      <c r="UGS507" s="325"/>
      <c r="UGT507" s="325"/>
      <c r="UGU507" s="325"/>
      <c r="UGV507" s="325"/>
      <c r="UGW507" s="325"/>
      <c r="UGX507" s="325"/>
      <c r="UGY507" s="325"/>
      <c r="UGZ507" s="325"/>
      <c r="UHA507" s="325"/>
      <c r="UHB507" s="327"/>
      <c r="UHC507" s="28"/>
      <c r="UHD507" s="324"/>
      <c r="UHE507" s="324"/>
      <c r="UHF507" s="324"/>
      <c r="UHG507" s="324"/>
      <c r="UHH507" s="324"/>
      <c r="UHI507" s="324"/>
      <c r="UHJ507" s="256"/>
      <c r="UHK507" s="325"/>
      <c r="UHL507" s="311"/>
      <c r="UHM507" s="325"/>
      <c r="UHN507" s="310"/>
      <c r="UHO507" s="325"/>
      <c r="UHP507" s="325"/>
      <c r="UHQ507" s="325"/>
      <c r="UHR507" s="325"/>
      <c r="UHS507" s="325"/>
      <c r="UHT507" s="325"/>
      <c r="UHU507" s="325"/>
      <c r="UHV507" s="325"/>
      <c r="UHW507" s="325"/>
      <c r="UHX507" s="325"/>
      <c r="UHY507" s="325"/>
      <c r="UHZ507" s="325"/>
      <c r="UIA507" s="325"/>
      <c r="UIB507" s="325"/>
      <c r="UIC507" s="325"/>
      <c r="UID507" s="325"/>
      <c r="UIE507" s="325"/>
      <c r="UIF507" s="325"/>
      <c r="UIG507" s="325"/>
      <c r="UIH507" s="325"/>
      <c r="UII507" s="325"/>
      <c r="UIJ507" s="325"/>
      <c r="UIK507" s="325"/>
      <c r="UIL507" s="325"/>
      <c r="UIM507" s="325"/>
      <c r="UIN507" s="325"/>
      <c r="UIO507" s="325"/>
      <c r="UIP507" s="325"/>
      <c r="UIQ507" s="325"/>
      <c r="UIR507" s="325"/>
      <c r="UIS507" s="327"/>
      <c r="UIT507" s="28"/>
      <c r="UIU507" s="324"/>
      <c r="UIV507" s="324"/>
      <c r="UIW507" s="324"/>
      <c r="UIX507" s="324"/>
      <c r="UIY507" s="324"/>
      <c r="UIZ507" s="324"/>
      <c r="UJA507" s="256"/>
      <c r="UJB507" s="325"/>
      <c r="UJC507" s="311"/>
      <c r="UJD507" s="325"/>
      <c r="UJE507" s="310"/>
      <c r="UJF507" s="325"/>
      <c r="UJG507" s="325"/>
      <c r="UJH507" s="325"/>
      <c r="UJI507" s="325"/>
      <c r="UJJ507" s="325"/>
      <c r="UJK507" s="325"/>
      <c r="UJL507" s="325"/>
      <c r="UJM507" s="325"/>
      <c r="UJN507" s="325"/>
      <c r="UJO507" s="325"/>
      <c r="UJP507" s="325"/>
      <c r="UJQ507" s="325"/>
      <c r="UJR507" s="325"/>
      <c r="UJS507" s="325"/>
      <c r="UJT507" s="325"/>
      <c r="UJU507" s="325"/>
      <c r="UJV507" s="325"/>
      <c r="UJW507" s="325"/>
      <c r="UJX507" s="325"/>
      <c r="UJY507" s="325"/>
      <c r="UJZ507" s="325"/>
      <c r="UKA507" s="325"/>
      <c r="UKB507" s="325"/>
      <c r="UKC507" s="325"/>
      <c r="UKD507" s="325"/>
      <c r="UKE507" s="325"/>
      <c r="UKF507" s="325"/>
      <c r="UKG507" s="325"/>
      <c r="UKH507" s="325"/>
      <c r="UKI507" s="325"/>
      <c r="UKJ507" s="327"/>
      <c r="UKK507" s="28"/>
      <c r="UKL507" s="324"/>
      <c r="UKM507" s="324"/>
      <c r="UKN507" s="324"/>
      <c r="UKO507" s="324"/>
      <c r="UKP507" s="324"/>
      <c r="UKQ507" s="324"/>
      <c r="UKR507" s="256"/>
      <c r="UKS507" s="325"/>
      <c r="UKT507" s="311"/>
      <c r="UKU507" s="325"/>
      <c r="UKV507" s="310"/>
      <c r="UKW507" s="325"/>
      <c r="UKX507" s="325"/>
      <c r="UKY507" s="325"/>
      <c r="UKZ507" s="325"/>
      <c r="ULA507" s="325"/>
      <c r="ULB507" s="325"/>
      <c r="ULC507" s="325"/>
      <c r="ULD507" s="325"/>
      <c r="ULE507" s="325"/>
      <c r="ULF507" s="325"/>
      <c r="ULG507" s="325"/>
      <c r="ULH507" s="325"/>
      <c r="ULI507" s="325"/>
      <c r="ULJ507" s="325"/>
      <c r="ULK507" s="325"/>
      <c r="ULL507" s="325"/>
      <c r="ULM507" s="325"/>
      <c r="ULN507" s="325"/>
      <c r="ULO507" s="325"/>
      <c r="ULP507" s="325"/>
      <c r="ULQ507" s="325"/>
      <c r="ULR507" s="325"/>
      <c r="ULS507" s="325"/>
      <c r="ULT507" s="325"/>
      <c r="ULU507" s="325"/>
      <c r="ULV507" s="325"/>
      <c r="ULW507" s="325"/>
      <c r="ULX507" s="325"/>
      <c r="ULY507" s="325"/>
      <c r="ULZ507" s="325"/>
      <c r="UMA507" s="327"/>
      <c r="UMB507" s="28"/>
      <c r="UMC507" s="324"/>
      <c r="UMD507" s="324"/>
      <c r="UME507" s="324"/>
      <c r="UMF507" s="324"/>
      <c r="UMG507" s="324"/>
      <c r="UMH507" s="324"/>
      <c r="UMI507" s="256"/>
      <c r="UMJ507" s="325"/>
      <c r="UMK507" s="311"/>
      <c r="UML507" s="325"/>
      <c r="UMM507" s="310"/>
      <c r="UMN507" s="325"/>
      <c r="UMO507" s="325"/>
      <c r="UMP507" s="325"/>
      <c r="UMQ507" s="325"/>
      <c r="UMR507" s="325"/>
      <c r="UMS507" s="325"/>
      <c r="UMT507" s="325"/>
      <c r="UMU507" s="325"/>
      <c r="UMV507" s="325"/>
      <c r="UMW507" s="325"/>
      <c r="UMX507" s="325"/>
      <c r="UMY507" s="325"/>
      <c r="UMZ507" s="325"/>
      <c r="UNA507" s="325"/>
      <c r="UNB507" s="325"/>
      <c r="UNC507" s="325"/>
      <c r="UND507" s="325"/>
      <c r="UNE507" s="325"/>
      <c r="UNF507" s="325"/>
      <c r="UNG507" s="325"/>
      <c r="UNH507" s="325"/>
      <c r="UNI507" s="325"/>
      <c r="UNJ507" s="325"/>
      <c r="UNK507" s="325"/>
      <c r="UNL507" s="325"/>
      <c r="UNM507" s="325"/>
      <c r="UNN507" s="325"/>
      <c r="UNO507" s="325"/>
      <c r="UNP507" s="325"/>
      <c r="UNQ507" s="325"/>
      <c r="UNR507" s="327"/>
      <c r="UNS507" s="28"/>
      <c r="UNT507" s="324"/>
      <c r="UNU507" s="324"/>
      <c r="UNV507" s="324"/>
      <c r="UNW507" s="324"/>
      <c r="UNX507" s="324"/>
      <c r="UNY507" s="324"/>
      <c r="UNZ507" s="256"/>
      <c r="UOA507" s="325"/>
      <c r="UOB507" s="311"/>
      <c r="UOC507" s="325"/>
      <c r="UOD507" s="310"/>
      <c r="UOE507" s="325"/>
      <c r="UOF507" s="325"/>
      <c r="UOG507" s="325"/>
      <c r="UOH507" s="325"/>
      <c r="UOI507" s="325"/>
      <c r="UOJ507" s="325"/>
      <c r="UOK507" s="325"/>
      <c r="UOL507" s="325"/>
      <c r="UOM507" s="325"/>
      <c r="UON507" s="325"/>
      <c r="UOO507" s="325"/>
      <c r="UOP507" s="325"/>
      <c r="UOQ507" s="325"/>
      <c r="UOR507" s="325"/>
      <c r="UOS507" s="325"/>
      <c r="UOT507" s="325"/>
      <c r="UOU507" s="325"/>
      <c r="UOV507" s="325"/>
      <c r="UOW507" s="325"/>
      <c r="UOX507" s="325"/>
      <c r="UOY507" s="325"/>
      <c r="UOZ507" s="325"/>
      <c r="UPA507" s="325"/>
      <c r="UPB507" s="325"/>
      <c r="UPC507" s="325"/>
      <c r="UPD507" s="325"/>
      <c r="UPE507" s="325"/>
      <c r="UPF507" s="325"/>
      <c r="UPG507" s="325"/>
      <c r="UPH507" s="325"/>
      <c r="UPI507" s="327"/>
      <c r="UPJ507" s="28"/>
      <c r="UPK507" s="324"/>
      <c r="UPL507" s="324"/>
      <c r="UPM507" s="324"/>
      <c r="UPN507" s="324"/>
      <c r="UPO507" s="324"/>
      <c r="UPP507" s="324"/>
      <c r="UPQ507" s="256"/>
      <c r="UPR507" s="325"/>
      <c r="UPS507" s="311"/>
      <c r="UPT507" s="325"/>
      <c r="UPU507" s="310"/>
      <c r="UPV507" s="325"/>
      <c r="UPW507" s="325"/>
      <c r="UPX507" s="325"/>
      <c r="UPY507" s="325"/>
      <c r="UPZ507" s="325"/>
      <c r="UQA507" s="325"/>
      <c r="UQB507" s="325"/>
      <c r="UQC507" s="325"/>
      <c r="UQD507" s="325"/>
      <c r="UQE507" s="325"/>
      <c r="UQF507" s="325"/>
      <c r="UQG507" s="325"/>
      <c r="UQH507" s="325"/>
      <c r="UQI507" s="325"/>
      <c r="UQJ507" s="325"/>
      <c r="UQK507" s="325"/>
      <c r="UQL507" s="325"/>
      <c r="UQM507" s="325"/>
      <c r="UQN507" s="325"/>
      <c r="UQO507" s="325"/>
      <c r="UQP507" s="325"/>
      <c r="UQQ507" s="325"/>
      <c r="UQR507" s="325"/>
      <c r="UQS507" s="325"/>
      <c r="UQT507" s="325"/>
      <c r="UQU507" s="325"/>
      <c r="UQV507" s="325"/>
      <c r="UQW507" s="325"/>
      <c r="UQX507" s="325"/>
      <c r="UQY507" s="325"/>
      <c r="UQZ507" s="327"/>
      <c r="URA507" s="28"/>
      <c r="URB507" s="324"/>
      <c r="URC507" s="324"/>
      <c r="URD507" s="324"/>
      <c r="URE507" s="324"/>
      <c r="URF507" s="324"/>
      <c r="URG507" s="324"/>
      <c r="URH507" s="256"/>
      <c r="URI507" s="325"/>
      <c r="URJ507" s="311"/>
      <c r="URK507" s="325"/>
      <c r="URL507" s="310"/>
      <c r="URM507" s="325"/>
      <c r="URN507" s="325"/>
      <c r="URO507" s="325"/>
      <c r="URP507" s="325"/>
      <c r="URQ507" s="325"/>
      <c r="URR507" s="325"/>
      <c r="URS507" s="325"/>
      <c r="URT507" s="325"/>
      <c r="URU507" s="325"/>
      <c r="URV507" s="325"/>
      <c r="URW507" s="325"/>
      <c r="URX507" s="325"/>
      <c r="URY507" s="325"/>
      <c r="URZ507" s="325"/>
      <c r="USA507" s="325"/>
      <c r="USB507" s="325"/>
      <c r="USC507" s="325"/>
      <c r="USD507" s="325"/>
      <c r="USE507" s="325"/>
      <c r="USF507" s="325"/>
      <c r="USG507" s="325"/>
      <c r="USH507" s="325"/>
      <c r="USI507" s="325"/>
      <c r="USJ507" s="325"/>
      <c r="USK507" s="325"/>
      <c r="USL507" s="325"/>
      <c r="USM507" s="325"/>
      <c r="USN507" s="325"/>
      <c r="USO507" s="325"/>
      <c r="USP507" s="325"/>
      <c r="USQ507" s="327"/>
      <c r="USR507" s="28"/>
      <c r="USS507" s="324"/>
      <c r="UST507" s="324"/>
      <c r="USU507" s="324"/>
      <c r="USV507" s="324"/>
      <c r="USW507" s="324"/>
      <c r="USX507" s="324"/>
      <c r="USY507" s="256"/>
      <c r="USZ507" s="325"/>
      <c r="UTA507" s="311"/>
      <c r="UTB507" s="325"/>
      <c r="UTC507" s="310"/>
      <c r="UTD507" s="325"/>
      <c r="UTE507" s="325"/>
      <c r="UTF507" s="325"/>
      <c r="UTG507" s="325"/>
      <c r="UTH507" s="325"/>
      <c r="UTI507" s="325"/>
      <c r="UTJ507" s="325"/>
      <c r="UTK507" s="325"/>
      <c r="UTL507" s="325"/>
      <c r="UTM507" s="325"/>
      <c r="UTN507" s="325"/>
      <c r="UTO507" s="325"/>
      <c r="UTP507" s="325"/>
      <c r="UTQ507" s="325"/>
      <c r="UTR507" s="325"/>
      <c r="UTS507" s="325"/>
      <c r="UTT507" s="325"/>
      <c r="UTU507" s="325"/>
      <c r="UTV507" s="325"/>
      <c r="UTW507" s="325"/>
      <c r="UTX507" s="325"/>
      <c r="UTY507" s="325"/>
      <c r="UTZ507" s="325"/>
      <c r="UUA507" s="325"/>
      <c r="UUB507" s="325"/>
      <c r="UUC507" s="325"/>
      <c r="UUD507" s="325"/>
      <c r="UUE507" s="325"/>
      <c r="UUF507" s="325"/>
      <c r="UUG507" s="325"/>
      <c r="UUH507" s="327"/>
      <c r="UUI507" s="28"/>
      <c r="UUJ507" s="324"/>
      <c r="UUK507" s="324"/>
      <c r="UUL507" s="324"/>
      <c r="UUM507" s="324"/>
      <c r="UUN507" s="324"/>
      <c r="UUO507" s="324"/>
      <c r="UUP507" s="256"/>
      <c r="UUQ507" s="325"/>
      <c r="UUR507" s="311"/>
      <c r="UUS507" s="325"/>
      <c r="UUT507" s="310"/>
      <c r="UUU507" s="325"/>
      <c r="UUV507" s="325"/>
      <c r="UUW507" s="325"/>
      <c r="UUX507" s="325"/>
      <c r="UUY507" s="325"/>
      <c r="UUZ507" s="325"/>
      <c r="UVA507" s="325"/>
      <c r="UVB507" s="325"/>
      <c r="UVC507" s="325"/>
      <c r="UVD507" s="325"/>
      <c r="UVE507" s="325"/>
      <c r="UVF507" s="325"/>
      <c r="UVG507" s="325"/>
      <c r="UVH507" s="325"/>
      <c r="UVI507" s="325"/>
      <c r="UVJ507" s="325"/>
      <c r="UVK507" s="325"/>
      <c r="UVL507" s="325"/>
      <c r="UVM507" s="325"/>
      <c r="UVN507" s="325"/>
      <c r="UVO507" s="325"/>
      <c r="UVP507" s="325"/>
      <c r="UVQ507" s="325"/>
      <c r="UVR507" s="325"/>
      <c r="UVS507" s="325"/>
      <c r="UVT507" s="325"/>
      <c r="UVU507" s="325"/>
      <c r="UVV507" s="325"/>
      <c r="UVW507" s="325"/>
      <c r="UVX507" s="325"/>
      <c r="UVY507" s="327"/>
      <c r="UVZ507" s="28"/>
      <c r="UWA507" s="324"/>
      <c r="UWB507" s="324"/>
      <c r="UWC507" s="324"/>
      <c r="UWD507" s="324"/>
      <c r="UWE507" s="324"/>
      <c r="UWF507" s="324"/>
      <c r="UWG507" s="256"/>
      <c r="UWH507" s="325"/>
      <c r="UWI507" s="311"/>
      <c r="UWJ507" s="325"/>
      <c r="UWK507" s="310"/>
      <c r="UWL507" s="325"/>
      <c r="UWM507" s="325"/>
      <c r="UWN507" s="325"/>
      <c r="UWO507" s="325"/>
      <c r="UWP507" s="325"/>
      <c r="UWQ507" s="325"/>
      <c r="UWR507" s="325"/>
      <c r="UWS507" s="325"/>
      <c r="UWT507" s="325"/>
      <c r="UWU507" s="325"/>
      <c r="UWV507" s="325"/>
      <c r="UWW507" s="325"/>
      <c r="UWX507" s="325"/>
      <c r="UWY507" s="325"/>
      <c r="UWZ507" s="325"/>
      <c r="UXA507" s="325"/>
      <c r="UXB507" s="325"/>
      <c r="UXC507" s="325"/>
      <c r="UXD507" s="325"/>
      <c r="UXE507" s="325"/>
      <c r="UXF507" s="325"/>
      <c r="UXG507" s="325"/>
      <c r="UXH507" s="325"/>
      <c r="UXI507" s="325"/>
      <c r="UXJ507" s="325"/>
      <c r="UXK507" s="325"/>
      <c r="UXL507" s="325"/>
      <c r="UXM507" s="325"/>
      <c r="UXN507" s="325"/>
      <c r="UXO507" s="325"/>
      <c r="UXP507" s="327"/>
      <c r="UXQ507" s="28"/>
      <c r="UXR507" s="324"/>
      <c r="UXS507" s="324"/>
      <c r="UXT507" s="324"/>
      <c r="UXU507" s="324"/>
      <c r="UXV507" s="324"/>
      <c r="UXW507" s="324"/>
      <c r="UXX507" s="256"/>
      <c r="UXY507" s="325"/>
      <c r="UXZ507" s="311"/>
      <c r="UYA507" s="325"/>
      <c r="UYB507" s="310"/>
      <c r="UYC507" s="325"/>
      <c r="UYD507" s="325"/>
      <c r="UYE507" s="325"/>
      <c r="UYF507" s="325"/>
      <c r="UYG507" s="325"/>
      <c r="UYH507" s="325"/>
      <c r="UYI507" s="325"/>
      <c r="UYJ507" s="325"/>
      <c r="UYK507" s="325"/>
      <c r="UYL507" s="325"/>
      <c r="UYM507" s="325"/>
      <c r="UYN507" s="325"/>
      <c r="UYO507" s="325"/>
      <c r="UYP507" s="325"/>
      <c r="UYQ507" s="325"/>
      <c r="UYR507" s="325"/>
      <c r="UYS507" s="325"/>
      <c r="UYT507" s="325"/>
      <c r="UYU507" s="325"/>
      <c r="UYV507" s="325"/>
      <c r="UYW507" s="325"/>
      <c r="UYX507" s="325"/>
      <c r="UYY507" s="325"/>
      <c r="UYZ507" s="325"/>
      <c r="UZA507" s="325"/>
      <c r="UZB507" s="325"/>
      <c r="UZC507" s="325"/>
      <c r="UZD507" s="325"/>
      <c r="UZE507" s="325"/>
      <c r="UZF507" s="325"/>
      <c r="UZG507" s="327"/>
      <c r="UZH507" s="28"/>
      <c r="UZI507" s="324"/>
      <c r="UZJ507" s="324"/>
      <c r="UZK507" s="324"/>
      <c r="UZL507" s="324"/>
      <c r="UZM507" s="324"/>
      <c r="UZN507" s="324"/>
      <c r="UZO507" s="256"/>
      <c r="UZP507" s="325"/>
      <c r="UZQ507" s="311"/>
      <c r="UZR507" s="325"/>
      <c r="UZS507" s="310"/>
      <c r="UZT507" s="325"/>
      <c r="UZU507" s="325"/>
      <c r="UZV507" s="325"/>
      <c r="UZW507" s="325"/>
      <c r="UZX507" s="325"/>
      <c r="UZY507" s="325"/>
      <c r="UZZ507" s="325"/>
      <c r="VAA507" s="325"/>
      <c r="VAB507" s="325"/>
      <c r="VAC507" s="325"/>
      <c r="VAD507" s="325"/>
      <c r="VAE507" s="325"/>
      <c r="VAF507" s="325"/>
      <c r="VAG507" s="325"/>
      <c r="VAH507" s="325"/>
      <c r="VAI507" s="325"/>
      <c r="VAJ507" s="325"/>
      <c r="VAK507" s="325"/>
      <c r="VAL507" s="325"/>
      <c r="VAM507" s="325"/>
      <c r="VAN507" s="325"/>
      <c r="VAO507" s="325"/>
      <c r="VAP507" s="325"/>
      <c r="VAQ507" s="325"/>
      <c r="VAR507" s="325"/>
      <c r="VAS507" s="325"/>
      <c r="VAT507" s="325"/>
      <c r="VAU507" s="325"/>
      <c r="VAV507" s="325"/>
      <c r="VAW507" s="325"/>
      <c r="VAX507" s="327"/>
      <c r="VAY507" s="28"/>
      <c r="VAZ507" s="324"/>
      <c r="VBA507" s="324"/>
      <c r="VBB507" s="324"/>
      <c r="VBC507" s="324"/>
      <c r="VBD507" s="324"/>
      <c r="VBE507" s="324"/>
      <c r="VBF507" s="256"/>
      <c r="VBG507" s="325"/>
      <c r="VBH507" s="311"/>
      <c r="VBI507" s="325"/>
      <c r="VBJ507" s="310"/>
      <c r="VBK507" s="325"/>
      <c r="VBL507" s="325"/>
      <c r="VBM507" s="325"/>
      <c r="VBN507" s="325"/>
      <c r="VBO507" s="325"/>
      <c r="VBP507" s="325"/>
      <c r="VBQ507" s="325"/>
      <c r="VBR507" s="325"/>
      <c r="VBS507" s="325"/>
      <c r="VBT507" s="325"/>
      <c r="VBU507" s="325"/>
      <c r="VBV507" s="325"/>
      <c r="VBW507" s="325"/>
      <c r="VBX507" s="325"/>
      <c r="VBY507" s="325"/>
      <c r="VBZ507" s="325"/>
      <c r="VCA507" s="325"/>
      <c r="VCB507" s="325"/>
      <c r="VCC507" s="325"/>
      <c r="VCD507" s="325"/>
      <c r="VCE507" s="325"/>
      <c r="VCF507" s="325"/>
      <c r="VCG507" s="325"/>
      <c r="VCH507" s="325"/>
      <c r="VCI507" s="325"/>
      <c r="VCJ507" s="325"/>
      <c r="VCK507" s="325"/>
      <c r="VCL507" s="325"/>
      <c r="VCM507" s="325"/>
      <c r="VCN507" s="325"/>
      <c r="VCO507" s="327"/>
      <c r="VCP507" s="28"/>
      <c r="VCQ507" s="324"/>
      <c r="VCR507" s="324"/>
      <c r="VCS507" s="324"/>
      <c r="VCT507" s="324"/>
      <c r="VCU507" s="324"/>
      <c r="VCV507" s="324"/>
      <c r="VCW507" s="256"/>
      <c r="VCX507" s="325"/>
      <c r="VCY507" s="311"/>
      <c r="VCZ507" s="325"/>
      <c r="VDA507" s="310"/>
      <c r="VDB507" s="325"/>
      <c r="VDC507" s="325"/>
      <c r="VDD507" s="325"/>
      <c r="VDE507" s="325"/>
      <c r="VDF507" s="325"/>
      <c r="VDG507" s="325"/>
      <c r="VDH507" s="325"/>
      <c r="VDI507" s="325"/>
      <c r="VDJ507" s="325"/>
      <c r="VDK507" s="325"/>
      <c r="VDL507" s="325"/>
      <c r="VDM507" s="325"/>
      <c r="VDN507" s="325"/>
      <c r="VDO507" s="325"/>
      <c r="VDP507" s="325"/>
      <c r="VDQ507" s="325"/>
      <c r="VDR507" s="325"/>
      <c r="VDS507" s="325"/>
      <c r="VDT507" s="325"/>
      <c r="VDU507" s="325"/>
      <c r="VDV507" s="325"/>
      <c r="VDW507" s="325"/>
      <c r="VDX507" s="325"/>
      <c r="VDY507" s="325"/>
      <c r="VDZ507" s="325"/>
      <c r="VEA507" s="325"/>
      <c r="VEB507" s="325"/>
      <c r="VEC507" s="325"/>
      <c r="VED507" s="325"/>
      <c r="VEE507" s="325"/>
      <c r="VEF507" s="327"/>
      <c r="VEG507" s="28"/>
      <c r="VEH507" s="324"/>
      <c r="VEI507" s="324"/>
      <c r="VEJ507" s="324"/>
      <c r="VEK507" s="324"/>
      <c r="VEL507" s="324"/>
      <c r="VEM507" s="324"/>
      <c r="VEN507" s="256"/>
      <c r="VEO507" s="325"/>
      <c r="VEP507" s="311"/>
      <c r="VEQ507" s="325"/>
      <c r="VER507" s="310"/>
      <c r="VES507" s="325"/>
      <c r="VET507" s="325"/>
      <c r="VEU507" s="325"/>
      <c r="VEV507" s="325"/>
      <c r="VEW507" s="325"/>
      <c r="VEX507" s="325"/>
      <c r="VEY507" s="325"/>
      <c r="VEZ507" s="325"/>
      <c r="VFA507" s="325"/>
      <c r="VFB507" s="325"/>
      <c r="VFC507" s="325"/>
      <c r="VFD507" s="325"/>
      <c r="VFE507" s="325"/>
      <c r="VFF507" s="325"/>
      <c r="VFG507" s="325"/>
      <c r="VFH507" s="325"/>
      <c r="VFI507" s="325"/>
      <c r="VFJ507" s="325"/>
      <c r="VFK507" s="325"/>
      <c r="VFL507" s="325"/>
      <c r="VFM507" s="325"/>
      <c r="VFN507" s="325"/>
      <c r="VFO507" s="325"/>
      <c r="VFP507" s="325"/>
      <c r="VFQ507" s="325"/>
      <c r="VFR507" s="325"/>
      <c r="VFS507" s="325"/>
      <c r="VFT507" s="325"/>
      <c r="VFU507" s="325"/>
      <c r="VFV507" s="325"/>
      <c r="VFW507" s="327"/>
      <c r="VFX507" s="28"/>
      <c r="VFY507" s="324"/>
      <c r="VFZ507" s="324"/>
      <c r="VGA507" s="324"/>
      <c r="VGB507" s="324"/>
      <c r="VGC507" s="324"/>
      <c r="VGD507" s="324"/>
      <c r="VGE507" s="256"/>
      <c r="VGF507" s="325"/>
      <c r="VGG507" s="311"/>
      <c r="VGH507" s="325"/>
      <c r="VGI507" s="310"/>
      <c r="VGJ507" s="325"/>
      <c r="VGK507" s="325"/>
      <c r="VGL507" s="325"/>
      <c r="VGM507" s="325"/>
      <c r="VGN507" s="325"/>
      <c r="VGO507" s="325"/>
      <c r="VGP507" s="325"/>
      <c r="VGQ507" s="325"/>
      <c r="VGR507" s="325"/>
      <c r="VGS507" s="325"/>
      <c r="VGT507" s="325"/>
      <c r="VGU507" s="325"/>
      <c r="VGV507" s="325"/>
      <c r="VGW507" s="325"/>
      <c r="VGX507" s="325"/>
      <c r="VGY507" s="325"/>
      <c r="VGZ507" s="325"/>
      <c r="VHA507" s="325"/>
      <c r="VHB507" s="325"/>
      <c r="VHC507" s="325"/>
      <c r="VHD507" s="325"/>
      <c r="VHE507" s="325"/>
      <c r="VHF507" s="325"/>
      <c r="VHG507" s="325"/>
      <c r="VHH507" s="325"/>
      <c r="VHI507" s="325"/>
      <c r="VHJ507" s="325"/>
      <c r="VHK507" s="325"/>
      <c r="VHL507" s="325"/>
      <c r="VHM507" s="325"/>
      <c r="VHN507" s="327"/>
      <c r="VHO507" s="28"/>
      <c r="VHP507" s="324"/>
      <c r="VHQ507" s="324"/>
      <c r="VHR507" s="324"/>
      <c r="VHS507" s="324"/>
      <c r="VHT507" s="324"/>
      <c r="VHU507" s="324"/>
      <c r="VHV507" s="256"/>
      <c r="VHW507" s="325"/>
      <c r="VHX507" s="311"/>
      <c r="VHY507" s="325"/>
      <c r="VHZ507" s="310"/>
      <c r="VIA507" s="325"/>
      <c r="VIB507" s="325"/>
      <c r="VIC507" s="325"/>
      <c r="VID507" s="325"/>
      <c r="VIE507" s="325"/>
      <c r="VIF507" s="325"/>
      <c r="VIG507" s="325"/>
      <c r="VIH507" s="325"/>
      <c r="VII507" s="325"/>
      <c r="VIJ507" s="325"/>
      <c r="VIK507" s="325"/>
      <c r="VIL507" s="325"/>
      <c r="VIM507" s="325"/>
      <c r="VIN507" s="325"/>
      <c r="VIO507" s="325"/>
      <c r="VIP507" s="325"/>
      <c r="VIQ507" s="325"/>
      <c r="VIR507" s="325"/>
      <c r="VIS507" s="325"/>
      <c r="VIT507" s="325"/>
      <c r="VIU507" s="325"/>
      <c r="VIV507" s="325"/>
      <c r="VIW507" s="325"/>
      <c r="VIX507" s="325"/>
      <c r="VIY507" s="325"/>
      <c r="VIZ507" s="325"/>
      <c r="VJA507" s="325"/>
      <c r="VJB507" s="325"/>
      <c r="VJC507" s="325"/>
      <c r="VJD507" s="325"/>
      <c r="VJE507" s="327"/>
      <c r="VJF507" s="28"/>
      <c r="VJG507" s="324"/>
      <c r="VJH507" s="324"/>
      <c r="VJI507" s="324"/>
      <c r="VJJ507" s="324"/>
      <c r="VJK507" s="324"/>
      <c r="VJL507" s="324"/>
      <c r="VJM507" s="256"/>
      <c r="VJN507" s="325"/>
      <c r="VJO507" s="311"/>
      <c r="VJP507" s="325"/>
      <c r="VJQ507" s="310"/>
      <c r="VJR507" s="325"/>
      <c r="VJS507" s="325"/>
      <c r="VJT507" s="325"/>
      <c r="VJU507" s="325"/>
      <c r="VJV507" s="325"/>
      <c r="VJW507" s="325"/>
      <c r="VJX507" s="325"/>
      <c r="VJY507" s="325"/>
      <c r="VJZ507" s="325"/>
      <c r="VKA507" s="325"/>
      <c r="VKB507" s="325"/>
      <c r="VKC507" s="325"/>
      <c r="VKD507" s="325"/>
      <c r="VKE507" s="325"/>
      <c r="VKF507" s="325"/>
      <c r="VKG507" s="325"/>
      <c r="VKH507" s="325"/>
      <c r="VKI507" s="325"/>
      <c r="VKJ507" s="325"/>
      <c r="VKK507" s="325"/>
      <c r="VKL507" s="325"/>
      <c r="VKM507" s="325"/>
      <c r="VKN507" s="325"/>
      <c r="VKO507" s="325"/>
      <c r="VKP507" s="325"/>
      <c r="VKQ507" s="325"/>
      <c r="VKR507" s="325"/>
      <c r="VKS507" s="325"/>
      <c r="VKT507" s="325"/>
      <c r="VKU507" s="325"/>
      <c r="VKV507" s="327"/>
      <c r="VKW507" s="28"/>
      <c r="VKX507" s="324"/>
      <c r="VKY507" s="324"/>
      <c r="VKZ507" s="324"/>
      <c r="VLA507" s="324"/>
      <c r="VLB507" s="324"/>
      <c r="VLC507" s="324"/>
      <c r="VLD507" s="256"/>
      <c r="VLE507" s="325"/>
      <c r="VLF507" s="311"/>
      <c r="VLG507" s="325"/>
      <c r="VLH507" s="310"/>
      <c r="VLI507" s="325"/>
      <c r="VLJ507" s="325"/>
      <c r="VLK507" s="325"/>
      <c r="VLL507" s="325"/>
      <c r="VLM507" s="325"/>
      <c r="VLN507" s="325"/>
      <c r="VLO507" s="325"/>
      <c r="VLP507" s="325"/>
      <c r="VLQ507" s="325"/>
      <c r="VLR507" s="325"/>
      <c r="VLS507" s="325"/>
      <c r="VLT507" s="325"/>
      <c r="VLU507" s="325"/>
      <c r="VLV507" s="325"/>
      <c r="VLW507" s="325"/>
      <c r="VLX507" s="325"/>
      <c r="VLY507" s="325"/>
      <c r="VLZ507" s="325"/>
      <c r="VMA507" s="325"/>
      <c r="VMB507" s="325"/>
      <c r="VMC507" s="325"/>
      <c r="VMD507" s="325"/>
      <c r="VME507" s="325"/>
      <c r="VMF507" s="325"/>
      <c r="VMG507" s="325"/>
      <c r="VMH507" s="325"/>
      <c r="VMI507" s="325"/>
      <c r="VMJ507" s="325"/>
      <c r="VMK507" s="325"/>
      <c r="VML507" s="325"/>
      <c r="VMM507" s="327"/>
      <c r="VMN507" s="28"/>
      <c r="VMO507" s="324"/>
      <c r="VMP507" s="324"/>
      <c r="VMQ507" s="324"/>
      <c r="VMR507" s="324"/>
      <c r="VMS507" s="324"/>
      <c r="VMT507" s="324"/>
      <c r="VMU507" s="256"/>
      <c r="VMV507" s="325"/>
      <c r="VMW507" s="311"/>
      <c r="VMX507" s="325"/>
      <c r="VMY507" s="310"/>
      <c r="VMZ507" s="325"/>
      <c r="VNA507" s="325"/>
      <c r="VNB507" s="325"/>
      <c r="VNC507" s="325"/>
      <c r="VND507" s="325"/>
      <c r="VNE507" s="325"/>
      <c r="VNF507" s="325"/>
      <c r="VNG507" s="325"/>
      <c r="VNH507" s="325"/>
      <c r="VNI507" s="325"/>
      <c r="VNJ507" s="325"/>
      <c r="VNK507" s="325"/>
      <c r="VNL507" s="325"/>
      <c r="VNM507" s="325"/>
      <c r="VNN507" s="325"/>
      <c r="VNO507" s="325"/>
      <c r="VNP507" s="325"/>
      <c r="VNQ507" s="325"/>
      <c r="VNR507" s="325"/>
      <c r="VNS507" s="325"/>
      <c r="VNT507" s="325"/>
      <c r="VNU507" s="325"/>
      <c r="VNV507" s="325"/>
      <c r="VNW507" s="325"/>
      <c r="VNX507" s="325"/>
      <c r="VNY507" s="325"/>
      <c r="VNZ507" s="325"/>
      <c r="VOA507" s="325"/>
      <c r="VOB507" s="325"/>
      <c r="VOC507" s="325"/>
      <c r="VOD507" s="327"/>
      <c r="VOE507" s="28"/>
      <c r="VOF507" s="324"/>
      <c r="VOG507" s="324"/>
      <c r="VOH507" s="324"/>
      <c r="VOI507" s="324"/>
      <c r="VOJ507" s="324"/>
      <c r="VOK507" s="324"/>
      <c r="VOL507" s="256"/>
      <c r="VOM507" s="325"/>
      <c r="VON507" s="311"/>
      <c r="VOO507" s="325"/>
      <c r="VOP507" s="310"/>
      <c r="VOQ507" s="325"/>
      <c r="VOR507" s="325"/>
      <c r="VOS507" s="325"/>
      <c r="VOT507" s="325"/>
      <c r="VOU507" s="325"/>
      <c r="VOV507" s="325"/>
      <c r="VOW507" s="325"/>
      <c r="VOX507" s="325"/>
      <c r="VOY507" s="325"/>
      <c r="VOZ507" s="325"/>
      <c r="VPA507" s="325"/>
      <c r="VPB507" s="325"/>
      <c r="VPC507" s="325"/>
      <c r="VPD507" s="325"/>
      <c r="VPE507" s="325"/>
      <c r="VPF507" s="325"/>
      <c r="VPG507" s="325"/>
      <c r="VPH507" s="325"/>
      <c r="VPI507" s="325"/>
      <c r="VPJ507" s="325"/>
      <c r="VPK507" s="325"/>
      <c r="VPL507" s="325"/>
      <c r="VPM507" s="325"/>
      <c r="VPN507" s="325"/>
      <c r="VPO507" s="325"/>
      <c r="VPP507" s="325"/>
      <c r="VPQ507" s="325"/>
      <c r="VPR507" s="325"/>
      <c r="VPS507" s="325"/>
      <c r="VPT507" s="325"/>
      <c r="VPU507" s="327"/>
      <c r="VPV507" s="28"/>
      <c r="VPW507" s="324"/>
      <c r="VPX507" s="324"/>
      <c r="VPY507" s="324"/>
      <c r="VPZ507" s="324"/>
      <c r="VQA507" s="324"/>
      <c r="VQB507" s="324"/>
      <c r="VQC507" s="256"/>
      <c r="VQD507" s="325"/>
      <c r="VQE507" s="311"/>
      <c r="VQF507" s="325"/>
      <c r="VQG507" s="310"/>
      <c r="VQH507" s="325"/>
      <c r="VQI507" s="325"/>
      <c r="VQJ507" s="325"/>
      <c r="VQK507" s="325"/>
      <c r="VQL507" s="325"/>
      <c r="VQM507" s="325"/>
      <c r="VQN507" s="325"/>
      <c r="VQO507" s="325"/>
      <c r="VQP507" s="325"/>
      <c r="VQQ507" s="325"/>
      <c r="VQR507" s="325"/>
      <c r="VQS507" s="325"/>
      <c r="VQT507" s="325"/>
      <c r="VQU507" s="325"/>
      <c r="VQV507" s="325"/>
      <c r="VQW507" s="325"/>
      <c r="VQX507" s="325"/>
      <c r="VQY507" s="325"/>
      <c r="VQZ507" s="325"/>
      <c r="VRA507" s="325"/>
      <c r="VRB507" s="325"/>
      <c r="VRC507" s="325"/>
      <c r="VRD507" s="325"/>
      <c r="VRE507" s="325"/>
      <c r="VRF507" s="325"/>
      <c r="VRG507" s="325"/>
      <c r="VRH507" s="325"/>
      <c r="VRI507" s="325"/>
      <c r="VRJ507" s="325"/>
      <c r="VRK507" s="325"/>
      <c r="VRL507" s="327"/>
      <c r="VRM507" s="28"/>
      <c r="VRN507" s="324"/>
      <c r="VRO507" s="324"/>
      <c r="VRP507" s="324"/>
      <c r="VRQ507" s="324"/>
      <c r="VRR507" s="324"/>
      <c r="VRS507" s="324"/>
      <c r="VRT507" s="256"/>
      <c r="VRU507" s="325"/>
      <c r="VRV507" s="311"/>
      <c r="VRW507" s="325"/>
      <c r="VRX507" s="310"/>
      <c r="VRY507" s="325"/>
      <c r="VRZ507" s="325"/>
      <c r="VSA507" s="325"/>
      <c r="VSB507" s="325"/>
      <c r="VSC507" s="325"/>
      <c r="VSD507" s="325"/>
      <c r="VSE507" s="325"/>
      <c r="VSF507" s="325"/>
      <c r="VSG507" s="325"/>
      <c r="VSH507" s="325"/>
      <c r="VSI507" s="325"/>
      <c r="VSJ507" s="325"/>
      <c r="VSK507" s="325"/>
      <c r="VSL507" s="325"/>
      <c r="VSM507" s="325"/>
      <c r="VSN507" s="325"/>
      <c r="VSO507" s="325"/>
      <c r="VSP507" s="325"/>
      <c r="VSQ507" s="325"/>
      <c r="VSR507" s="325"/>
      <c r="VSS507" s="325"/>
      <c r="VST507" s="325"/>
      <c r="VSU507" s="325"/>
      <c r="VSV507" s="325"/>
      <c r="VSW507" s="325"/>
      <c r="VSX507" s="325"/>
      <c r="VSY507" s="325"/>
      <c r="VSZ507" s="325"/>
      <c r="VTA507" s="325"/>
      <c r="VTB507" s="325"/>
      <c r="VTC507" s="327"/>
      <c r="VTD507" s="28"/>
      <c r="VTE507" s="324"/>
      <c r="VTF507" s="324"/>
      <c r="VTG507" s="324"/>
      <c r="VTH507" s="324"/>
      <c r="VTI507" s="324"/>
      <c r="VTJ507" s="324"/>
      <c r="VTK507" s="256"/>
      <c r="VTL507" s="325"/>
      <c r="VTM507" s="311"/>
      <c r="VTN507" s="325"/>
      <c r="VTO507" s="310"/>
      <c r="VTP507" s="325"/>
      <c r="VTQ507" s="325"/>
      <c r="VTR507" s="325"/>
      <c r="VTS507" s="325"/>
      <c r="VTT507" s="325"/>
      <c r="VTU507" s="325"/>
      <c r="VTV507" s="325"/>
      <c r="VTW507" s="325"/>
      <c r="VTX507" s="325"/>
      <c r="VTY507" s="325"/>
      <c r="VTZ507" s="325"/>
      <c r="VUA507" s="325"/>
      <c r="VUB507" s="325"/>
      <c r="VUC507" s="325"/>
      <c r="VUD507" s="325"/>
      <c r="VUE507" s="325"/>
      <c r="VUF507" s="325"/>
      <c r="VUG507" s="325"/>
      <c r="VUH507" s="325"/>
      <c r="VUI507" s="325"/>
      <c r="VUJ507" s="325"/>
      <c r="VUK507" s="325"/>
      <c r="VUL507" s="325"/>
      <c r="VUM507" s="325"/>
      <c r="VUN507" s="325"/>
      <c r="VUO507" s="325"/>
      <c r="VUP507" s="325"/>
      <c r="VUQ507" s="325"/>
      <c r="VUR507" s="325"/>
      <c r="VUS507" s="325"/>
      <c r="VUT507" s="327"/>
      <c r="VUU507" s="28"/>
      <c r="VUV507" s="324"/>
      <c r="VUW507" s="324"/>
      <c r="VUX507" s="324"/>
      <c r="VUY507" s="324"/>
      <c r="VUZ507" s="324"/>
      <c r="VVA507" s="324"/>
      <c r="VVB507" s="256"/>
      <c r="VVC507" s="325"/>
      <c r="VVD507" s="311"/>
      <c r="VVE507" s="325"/>
      <c r="VVF507" s="310"/>
      <c r="VVG507" s="325"/>
      <c r="VVH507" s="325"/>
      <c r="VVI507" s="325"/>
      <c r="VVJ507" s="325"/>
      <c r="VVK507" s="325"/>
      <c r="VVL507" s="325"/>
      <c r="VVM507" s="325"/>
      <c r="VVN507" s="325"/>
      <c r="VVO507" s="325"/>
      <c r="VVP507" s="325"/>
      <c r="VVQ507" s="325"/>
      <c r="VVR507" s="325"/>
      <c r="VVS507" s="325"/>
      <c r="VVT507" s="325"/>
      <c r="VVU507" s="325"/>
      <c r="VVV507" s="325"/>
      <c r="VVW507" s="325"/>
      <c r="VVX507" s="325"/>
      <c r="VVY507" s="325"/>
      <c r="VVZ507" s="325"/>
      <c r="VWA507" s="325"/>
      <c r="VWB507" s="325"/>
      <c r="VWC507" s="325"/>
      <c r="VWD507" s="325"/>
      <c r="VWE507" s="325"/>
      <c r="VWF507" s="325"/>
      <c r="VWG507" s="325"/>
      <c r="VWH507" s="325"/>
      <c r="VWI507" s="325"/>
      <c r="VWJ507" s="325"/>
      <c r="VWK507" s="327"/>
      <c r="VWL507" s="28"/>
      <c r="VWM507" s="324"/>
      <c r="VWN507" s="324"/>
      <c r="VWO507" s="324"/>
      <c r="VWP507" s="324"/>
      <c r="VWQ507" s="324"/>
      <c r="VWR507" s="324"/>
      <c r="VWS507" s="256"/>
      <c r="VWT507" s="325"/>
      <c r="VWU507" s="311"/>
      <c r="VWV507" s="325"/>
      <c r="VWW507" s="310"/>
      <c r="VWX507" s="325"/>
      <c r="VWY507" s="325"/>
      <c r="VWZ507" s="325"/>
      <c r="VXA507" s="325"/>
      <c r="VXB507" s="325"/>
      <c r="VXC507" s="325"/>
      <c r="VXD507" s="325"/>
      <c r="VXE507" s="325"/>
      <c r="VXF507" s="325"/>
      <c r="VXG507" s="325"/>
      <c r="VXH507" s="325"/>
      <c r="VXI507" s="325"/>
      <c r="VXJ507" s="325"/>
      <c r="VXK507" s="325"/>
      <c r="VXL507" s="325"/>
      <c r="VXM507" s="325"/>
      <c r="VXN507" s="325"/>
      <c r="VXO507" s="325"/>
      <c r="VXP507" s="325"/>
      <c r="VXQ507" s="325"/>
      <c r="VXR507" s="325"/>
      <c r="VXS507" s="325"/>
      <c r="VXT507" s="325"/>
      <c r="VXU507" s="325"/>
      <c r="VXV507" s="325"/>
      <c r="VXW507" s="325"/>
      <c r="VXX507" s="325"/>
      <c r="VXY507" s="325"/>
      <c r="VXZ507" s="325"/>
      <c r="VYA507" s="325"/>
      <c r="VYB507" s="327"/>
      <c r="VYC507" s="28"/>
      <c r="VYD507" s="324"/>
      <c r="VYE507" s="324"/>
      <c r="VYF507" s="324"/>
      <c r="VYG507" s="324"/>
      <c r="VYH507" s="324"/>
      <c r="VYI507" s="324"/>
      <c r="VYJ507" s="256"/>
      <c r="VYK507" s="325"/>
      <c r="VYL507" s="311"/>
      <c r="VYM507" s="325"/>
      <c r="VYN507" s="310"/>
      <c r="VYO507" s="325"/>
      <c r="VYP507" s="325"/>
      <c r="VYQ507" s="325"/>
      <c r="VYR507" s="325"/>
      <c r="VYS507" s="325"/>
      <c r="VYT507" s="325"/>
      <c r="VYU507" s="325"/>
      <c r="VYV507" s="325"/>
      <c r="VYW507" s="325"/>
      <c r="VYX507" s="325"/>
      <c r="VYY507" s="325"/>
      <c r="VYZ507" s="325"/>
      <c r="VZA507" s="325"/>
      <c r="VZB507" s="325"/>
      <c r="VZC507" s="325"/>
      <c r="VZD507" s="325"/>
      <c r="VZE507" s="325"/>
      <c r="VZF507" s="325"/>
      <c r="VZG507" s="325"/>
      <c r="VZH507" s="325"/>
      <c r="VZI507" s="325"/>
      <c r="VZJ507" s="325"/>
      <c r="VZK507" s="325"/>
      <c r="VZL507" s="325"/>
      <c r="VZM507" s="325"/>
      <c r="VZN507" s="325"/>
      <c r="VZO507" s="325"/>
      <c r="VZP507" s="325"/>
      <c r="VZQ507" s="325"/>
      <c r="VZR507" s="325"/>
      <c r="VZS507" s="327"/>
      <c r="VZT507" s="28"/>
      <c r="VZU507" s="324"/>
      <c r="VZV507" s="324"/>
      <c r="VZW507" s="324"/>
      <c r="VZX507" s="324"/>
      <c r="VZY507" s="324"/>
      <c r="VZZ507" s="324"/>
      <c r="WAA507" s="256"/>
      <c r="WAB507" s="325"/>
      <c r="WAC507" s="311"/>
      <c r="WAD507" s="325"/>
      <c r="WAE507" s="310"/>
      <c r="WAF507" s="325"/>
      <c r="WAG507" s="325"/>
      <c r="WAH507" s="325"/>
      <c r="WAI507" s="325"/>
      <c r="WAJ507" s="325"/>
      <c r="WAK507" s="325"/>
      <c r="WAL507" s="325"/>
      <c r="WAM507" s="325"/>
      <c r="WAN507" s="325"/>
      <c r="WAO507" s="325"/>
      <c r="WAP507" s="325"/>
      <c r="WAQ507" s="325"/>
      <c r="WAR507" s="325"/>
      <c r="WAS507" s="325"/>
      <c r="WAT507" s="325"/>
      <c r="WAU507" s="325"/>
      <c r="WAV507" s="325"/>
      <c r="WAW507" s="325"/>
      <c r="WAX507" s="325"/>
      <c r="WAY507" s="325"/>
      <c r="WAZ507" s="325"/>
      <c r="WBA507" s="325"/>
      <c r="WBB507" s="325"/>
      <c r="WBC507" s="325"/>
      <c r="WBD507" s="325"/>
      <c r="WBE507" s="325"/>
      <c r="WBF507" s="325"/>
      <c r="WBG507" s="325"/>
      <c r="WBH507" s="325"/>
      <c r="WBI507" s="325"/>
      <c r="WBJ507" s="327"/>
      <c r="WBK507" s="28"/>
      <c r="WBL507" s="324"/>
      <c r="WBM507" s="324"/>
      <c r="WBN507" s="324"/>
      <c r="WBO507" s="324"/>
      <c r="WBP507" s="324"/>
      <c r="WBQ507" s="324"/>
      <c r="WBR507" s="256"/>
      <c r="WBS507" s="325"/>
      <c r="WBT507" s="311"/>
      <c r="WBU507" s="325"/>
      <c r="WBV507" s="310"/>
      <c r="WBW507" s="325"/>
      <c r="WBX507" s="325"/>
      <c r="WBY507" s="325"/>
      <c r="WBZ507" s="325"/>
      <c r="WCA507" s="325"/>
      <c r="WCB507" s="325"/>
      <c r="WCC507" s="325"/>
      <c r="WCD507" s="325"/>
      <c r="WCE507" s="325"/>
      <c r="WCF507" s="325"/>
      <c r="WCG507" s="325"/>
      <c r="WCH507" s="325"/>
      <c r="WCI507" s="325"/>
      <c r="WCJ507" s="325"/>
      <c r="WCK507" s="325"/>
      <c r="WCL507" s="325"/>
      <c r="WCM507" s="325"/>
      <c r="WCN507" s="325"/>
      <c r="WCO507" s="325"/>
      <c r="WCP507" s="325"/>
      <c r="WCQ507" s="325"/>
      <c r="WCR507" s="325"/>
      <c r="WCS507" s="325"/>
      <c r="WCT507" s="325"/>
      <c r="WCU507" s="325"/>
      <c r="WCV507" s="325"/>
      <c r="WCW507" s="325"/>
      <c r="WCX507" s="325"/>
      <c r="WCY507" s="325"/>
      <c r="WCZ507" s="325"/>
      <c r="WDA507" s="327"/>
      <c r="WDB507" s="28"/>
      <c r="WDC507" s="324"/>
      <c r="WDD507" s="324"/>
      <c r="WDE507" s="324"/>
      <c r="WDF507" s="324"/>
      <c r="WDG507" s="324"/>
      <c r="WDH507" s="324"/>
      <c r="WDI507" s="256"/>
      <c r="WDJ507" s="325"/>
      <c r="WDK507" s="311"/>
      <c r="WDL507" s="325"/>
      <c r="WDM507" s="310"/>
      <c r="WDN507" s="325"/>
      <c r="WDO507" s="325"/>
      <c r="WDP507" s="325"/>
      <c r="WDQ507" s="325"/>
      <c r="WDR507" s="325"/>
      <c r="WDS507" s="325"/>
      <c r="WDT507" s="325"/>
      <c r="WDU507" s="325"/>
      <c r="WDV507" s="325"/>
      <c r="WDW507" s="325"/>
      <c r="WDX507" s="325"/>
      <c r="WDY507" s="325"/>
      <c r="WDZ507" s="325"/>
      <c r="WEA507" s="325"/>
      <c r="WEB507" s="325"/>
      <c r="WEC507" s="325"/>
      <c r="WED507" s="325"/>
      <c r="WEE507" s="325"/>
      <c r="WEF507" s="325"/>
      <c r="WEG507" s="325"/>
      <c r="WEH507" s="325"/>
      <c r="WEI507" s="325"/>
      <c r="WEJ507" s="325"/>
      <c r="WEK507" s="325"/>
      <c r="WEL507" s="325"/>
      <c r="WEM507" s="325"/>
      <c r="WEN507" s="325"/>
      <c r="WEO507" s="325"/>
      <c r="WEP507" s="325"/>
      <c r="WEQ507" s="325"/>
      <c r="WER507" s="327"/>
      <c r="WES507" s="28"/>
      <c r="WET507" s="324"/>
      <c r="WEU507" s="324"/>
      <c r="WEV507" s="324"/>
      <c r="WEW507" s="324"/>
      <c r="WEX507" s="324"/>
      <c r="WEY507" s="324"/>
      <c r="WEZ507" s="256"/>
      <c r="WFA507" s="325"/>
      <c r="WFB507" s="311"/>
      <c r="WFC507" s="325"/>
      <c r="WFD507" s="310"/>
      <c r="WFE507" s="325"/>
      <c r="WFF507" s="325"/>
      <c r="WFG507" s="325"/>
      <c r="WFH507" s="325"/>
      <c r="WFI507" s="325"/>
      <c r="WFJ507" s="325"/>
      <c r="WFK507" s="325"/>
      <c r="WFL507" s="325"/>
      <c r="WFM507" s="325"/>
      <c r="WFN507" s="325"/>
      <c r="WFO507" s="325"/>
      <c r="WFP507" s="325"/>
      <c r="WFQ507" s="325"/>
      <c r="WFR507" s="325"/>
      <c r="WFS507" s="325"/>
      <c r="WFT507" s="325"/>
      <c r="WFU507" s="325"/>
      <c r="WFV507" s="325"/>
      <c r="WFW507" s="325"/>
      <c r="WFX507" s="325"/>
      <c r="WFY507" s="325"/>
      <c r="WFZ507" s="325"/>
      <c r="WGA507" s="325"/>
      <c r="WGB507" s="325"/>
      <c r="WGC507" s="325"/>
      <c r="WGD507" s="325"/>
      <c r="WGE507" s="325"/>
      <c r="WGF507" s="325"/>
      <c r="WGG507" s="325"/>
      <c r="WGH507" s="325"/>
      <c r="WGI507" s="327"/>
      <c r="WGJ507" s="28"/>
      <c r="WGK507" s="324"/>
      <c r="WGL507" s="324"/>
      <c r="WGM507" s="324"/>
      <c r="WGN507" s="324"/>
      <c r="WGO507" s="324"/>
      <c r="WGP507" s="324"/>
      <c r="WGQ507" s="256"/>
      <c r="WGR507" s="325"/>
      <c r="WGS507" s="311"/>
      <c r="WGT507" s="325"/>
      <c r="WGU507" s="310"/>
      <c r="WGV507" s="325"/>
      <c r="WGW507" s="325"/>
      <c r="WGX507" s="325"/>
      <c r="WGY507" s="325"/>
      <c r="WGZ507" s="325"/>
      <c r="WHA507" s="325"/>
      <c r="WHB507" s="325"/>
      <c r="WHC507" s="325"/>
      <c r="WHD507" s="325"/>
      <c r="WHE507" s="325"/>
      <c r="WHF507" s="325"/>
      <c r="WHG507" s="325"/>
      <c r="WHH507" s="325"/>
      <c r="WHI507" s="325"/>
      <c r="WHJ507" s="325"/>
      <c r="WHK507" s="325"/>
      <c r="WHL507" s="325"/>
      <c r="WHM507" s="325"/>
      <c r="WHN507" s="325"/>
      <c r="WHO507" s="325"/>
      <c r="WHP507" s="325"/>
      <c r="WHQ507" s="325"/>
      <c r="WHR507" s="325"/>
      <c r="WHS507" s="325"/>
      <c r="WHT507" s="325"/>
      <c r="WHU507" s="325"/>
      <c r="WHV507" s="325"/>
      <c r="WHW507" s="325"/>
      <c r="WHX507" s="325"/>
      <c r="WHY507" s="325"/>
      <c r="WHZ507" s="327"/>
      <c r="WIA507" s="28"/>
      <c r="WIB507" s="324"/>
      <c r="WIC507" s="324"/>
      <c r="WID507" s="324"/>
      <c r="WIE507" s="324"/>
      <c r="WIF507" s="324"/>
      <c r="WIG507" s="324"/>
      <c r="WIH507" s="256"/>
      <c r="WII507" s="325"/>
      <c r="WIJ507" s="311"/>
      <c r="WIK507" s="325"/>
      <c r="WIL507" s="310"/>
      <c r="WIM507" s="325"/>
      <c r="WIN507" s="325"/>
      <c r="WIO507" s="325"/>
      <c r="WIP507" s="325"/>
      <c r="WIQ507" s="325"/>
      <c r="WIR507" s="325"/>
      <c r="WIS507" s="325"/>
      <c r="WIT507" s="325"/>
      <c r="WIU507" s="325"/>
      <c r="WIV507" s="325"/>
      <c r="WIW507" s="325"/>
      <c r="WIX507" s="325"/>
      <c r="WIY507" s="325"/>
      <c r="WIZ507" s="325"/>
      <c r="WJA507" s="325"/>
      <c r="WJB507" s="325"/>
      <c r="WJC507" s="325"/>
      <c r="WJD507" s="325"/>
      <c r="WJE507" s="325"/>
      <c r="WJF507" s="325"/>
      <c r="WJG507" s="325"/>
      <c r="WJH507" s="325"/>
      <c r="WJI507" s="325"/>
      <c r="WJJ507" s="325"/>
      <c r="WJK507" s="325"/>
      <c r="WJL507" s="325"/>
      <c r="WJM507" s="325"/>
      <c r="WJN507" s="325"/>
      <c r="WJO507" s="325"/>
      <c r="WJP507" s="325"/>
      <c r="WJQ507" s="327"/>
      <c r="WJR507" s="28"/>
      <c r="WJS507" s="324"/>
      <c r="WJT507" s="324"/>
      <c r="WJU507" s="324"/>
      <c r="WJV507" s="324"/>
      <c r="WJW507" s="324"/>
      <c r="WJX507" s="324"/>
      <c r="WJY507" s="256"/>
      <c r="WJZ507" s="325"/>
      <c r="WKA507" s="311"/>
      <c r="WKB507" s="325"/>
      <c r="WKC507" s="310"/>
      <c r="WKD507" s="325"/>
      <c r="WKE507" s="325"/>
      <c r="WKF507" s="325"/>
      <c r="WKG507" s="325"/>
      <c r="WKH507" s="325"/>
      <c r="WKI507" s="325"/>
      <c r="WKJ507" s="325"/>
      <c r="WKK507" s="325"/>
      <c r="WKL507" s="325"/>
      <c r="WKM507" s="325"/>
      <c r="WKN507" s="325"/>
      <c r="WKO507" s="325"/>
      <c r="WKP507" s="325"/>
      <c r="WKQ507" s="325"/>
      <c r="WKR507" s="325"/>
      <c r="WKS507" s="325"/>
      <c r="WKT507" s="325"/>
      <c r="WKU507" s="325"/>
      <c r="WKV507" s="325"/>
      <c r="WKW507" s="325"/>
      <c r="WKX507" s="325"/>
      <c r="WKY507" s="325"/>
      <c r="WKZ507" s="325"/>
      <c r="WLA507" s="325"/>
      <c r="WLB507" s="325"/>
      <c r="WLC507" s="325"/>
      <c r="WLD507" s="325"/>
      <c r="WLE507" s="325"/>
      <c r="WLF507" s="325"/>
      <c r="WLG507" s="325"/>
      <c r="WLH507" s="327"/>
      <c r="WLI507" s="28"/>
      <c r="WLJ507" s="324"/>
      <c r="WLK507" s="324"/>
      <c r="WLL507" s="324"/>
      <c r="WLM507" s="324"/>
      <c r="WLN507" s="324"/>
      <c r="WLO507" s="324"/>
      <c r="WLP507" s="256"/>
      <c r="WLQ507" s="325"/>
      <c r="WLR507" s="311"/>
      <c r="WLS507" s="325"/>
      <c r="WLT507" s="310"/>
      <c r="WLU507" s="325"/>
      <c r="WLV507" s="325"/>
      <c r="WLW507" s="325"/>
      <c r="WLX507" s="325"/>
      <c r="WLY507" s="325"/>
      <c r="WLZ507" s="325"/>
      <c r="WMA507" s="325"/>
      <c r="WMB507" s="325"/>
      <c r="WMC507" s="325"/>
      <c r="WMD507" s="325"/>
      <c r="WME507" s="325"/>
      <c r="WMF507" s="325"/>
      <c r="WMG507" s="325"/>
      <c r="WMH507" s="325"/>
      <c r="WMI507" s="325"/>
      <c r="WMJ507" s="325"/>
      <c r="WMK507" s="325"/>
      <c r="WML507" s="325"/>
      <c r="WMM507" s="325"/>
      <c r="WMN507" s="325"/>
      <c r="WMO507" s="325"/>
      <c r="WMP507" s="325"/>
      <c r="WMQ507" s="325"/>
      <c r="WMR507" s="325"/>
      <c r="WMS507" s="325"/>
      <c r="WMT507" s="325"/>
      <c r="WMU507" s="325"/>
      <c r="WMV507" s="325"/>
      <c r="WMW507" s="325"/>
      <c r="WMX507" s="325"/>
      <c r="WMY507" s="327"/>
      <c r="WMZ507" s="28"/>
      <c r="WNA507" s="324"/>
      <c r="WNB507" s="324"/>
      <c r="WNC507" s="324"/>
      <c r="WND507" s="324"/>
      <c r="WNE507" s="324"/>
      <c r="WNF507" s="324"/>
      <c r="WNG507" s="256"/>
      <c r="WNH507" s="325"/>
      <c r="WNI507" s="311"/>
      <c r="WNJ507" s="325"/>
      <c r="WNK507" s="310"/>
      <c r="WNL507" s="325"/>
      <c r="WNM507" s="325"/>
      <c r="WNN507" s="325"/>
      <c r="WNO507" s="325"/>
      <c r="WNP507" s="325"/>
      <c r="WNQ507" s="325"/>
      <c r="WNR507" s="325"/>
      <c r="WNS507" s="325"/>
      <c r="WNT507" s="325"/>
      <c r="WNU507" s="325"/>
      <c r="WNV507" s="325"/>
      <c r="WNW507" s="325"/>
      <c r="WNX507" s="325"/>
      <c r="WNY507" s="325"/>
      <c r="WNZ507" s="325"/>
      <c r="WOA507" s="325"/>
      <c r="WOB507" s="325"/>
      <c r="WOC507" s="325"/>
      <c r="WOD507" s="325"/>
      <c r="WOE507" s="325"/>
      <c r="WOF507" s="325"/>
      <c r="WOG507" s="325"/>
      <c r="WOH507" s="325"/>
      <c r="WOI507" s="325"/>
      <c r="WOJ507" s="325"/>
      <c r="WOK507" s="325"/>
      <c r="WOL507" s="325"/>
      <c r="WOM507" s="325"/>
      <c r="WON507" s="325"/>
      <c r="WOO507" s="325"/>
      <c r="WOP507" s="327"/>
      <c r="WOQ507" s="28"/>
      <c r="WOR507" s="324"/>
      <c r="WOS507" s="324"/>
      <c r="WOT507" s="324"/>
      <c r="WOU507" s="324"/>
      <c r="WOV507" s="324"/>
      <c r="WOW507" s="324"/>
      <c r="WOX507" s="256"/>
      <c r="WOY507" s="325"/>
      <c r="WOZ507" s="311"/>
      <c r="WPA507" s="325"/>
      <c r="WPB507" s="310"/>
      <c r="WPC507" s="325"/>
      <c r="WPD507" s="325"/>
      <c r="WPE507" s="325"/>
      <c r="WPF507" s="325"/>
      <c r="WPG507" s="325"/>
      <c r="WPH507" s="325"/>
      <c r="WPI507" s="325"/>
      <c r="WPJ507" s="325"/>
      <c r="WPK507" s="325"/>
      <c r="WPL507" s="325"/>
      <c r="WPM507" s="325"/>
      <c r="WPN507" s="325"/>
      <c r="WPO507" s="325"/>
      <c r="WPP507" s="325"/>
      <c r="WPQ507" s="325"/>
      <c r="WPR507" s="325"/>
      <c r="WPS507" s="325"/>
      <c r="WPT507" s="325"/>
      <c r="WPU507" s="325"/>
      <c r="WPV507" s="325"/>
      <c r="WPW507" s="325"/>
      <c r="WPX507" s="325"/>
      <c r="WPY507" s="325"/>
      <c r="WPZ507" s="325"/>
      <c r="WQA507" s="325"/>
      <c r="WQB507" s="325"/>
      <c r="WQC507" s="325"/>
      <c r="WQD507" s="325"/>
      <c r="WQE507" s="325"/>
      <c r="WQF507" s="325"/>
      <c r="WQG507" s="327"/>
      <c r="WQH507" s="28"/>
      <c r="WQI507" s="324"/>
      <c r="WQJ507" s="324"/>
      <c r="WQK507" s="324"/>
      <c r="WQL507" s="324"/>
      <c r="WQM507" s="324"/>
      <c r="WQN507" s="324"/>
      <c r="WQO507" s="256"/>
      <c r="WQP507" s="325"/>
      <c r="WQQ507" s="311"/>
      <c r="WQR507" s="325"/>
      <c r="WQS507" s="310"/>
      <c r="WQT507" s="325"/>
      <c r="WQU507" s="325"/>
      <c r="WQV507" s="325"/>
      <c r="WQW507" s="325"/>
      <c r="WQX507" s="325"/>
      <c r="WQY507" s="325"/>
      <c r="WQZ507" s="325"/>
      <c r="WRA507" s="325"/>
      <c r="WRB507" s="325"/>
      <c r="WRC507" s="325"/>
      <c r="WRD507" s="325"/>
      <c r="WRE507" s="325"/>
      <c r="WRF507" s="325"/>
      <c r="WRG507" s="325"/>
      <c r="WRH507" s="325"/>
      <c r="WRI507" s="325"/>
      <c r="WRJ507" s="325"/>
      <c r="WRK507" s="325"/>
      <c r="WRL507" s="325"/>
      <c r="WRM507" s="325"/>
      <c r="WRN507" s="325"/>
      <c r="WRO507" s="325"/>
      <c r="WRP507" s="325"/>
      <c r="WRQ507" s="325"/>
      <c r="WRR507" s="325"/>
      <c r="WRS507" s="325"/>
      <c r="WRT507" s="325"/>
      <c r="WRU507" s="325"/>
      <c r="WRV507" s="325"/>
      <c r="WRW507" s="325"/>
      <c r="WRX507" s="327"/>
      <c r="WRY507" s="28"/>
      <c r="WRZ507" s="324"/>
      <c r="WSA507" s="324"/>
      <c r="WSB507" s="324"/>
      <c r="WSC507" s="324"/>
      <c r="WSD507" s="324"/>
      <c r="WSE507" s="324"/>
      <c r="WSF507" s="256"/>
      <c r="WSG507" s="325"/>
      <c r="WSH507" s="311"/>
      <c r="WSI507" s="325"/>
      <c r="WSJ507" s="310"/>
      <c r="WSK507" s="325"/>
      <c r="WSL507" s="325"/>
      <c r="WSM507" s="325"/>
      <c r="WSN507" s="325"/>
      <c r="WSO507" s="325"/>
      <c r="WSP507" s="325"/>
      <c r="WSQ507" s="325"/>
      <c r="WSR507" s="325"/>
      <c r="WSS507" s="325"/>
      <c r="WST507" s="325"/>
      <c r="WSU507" s="325"/>
      <c r="WSV507" s="325"/>
      <c r="WSW507" s="325"/>
      <c r="WSX507" s="325"/>
      <c r="WSY507" s="325"/>
      <c r="WSZ507" s="325"/>
      <c r="WTA507" s="325"/>
      <c r="WTB507" s="325"/>
      <c r="WTC507" s="325"/>
      <c r="WTD507" s="325"/>
      <c r="WTE507" s="325"/>
      <c r="WTF507" s="325"/>
      <c r="WTG507" s="325"/>
      <c r="WTH507" s="325"/>
      <c r="WTI507" s="325"/>
      <c r="WTJ507" s="325"/>
      <c r="WTK507" s="325"/>
      <c r="WTL507" s="325"/>
      <c r="WTM507" s="325"/>
      <c r="WTN507" s="325"/>
      <c r="WTO507" s="327"/>
      <c r="WTP507" s="28"/>
      <c r="WTQ507" s="324"/>
      <c r="WTR507" s="324"/>
      <c r="WTS507" s="324"/>
      <c r="WTT507" s="324"/>
      <c r="WTU507" s="324"/>
      <c r="WTV507" s="324"/>
      <c r="WTW507" s="256"/>
      <c r="WTX507" s="325"/>
      <c r="WTY507" s="311"/>
      <c r="WTZ507" s="325"/>
      <c r="WUA507" s="310"/>
      <c r="WUB507" s="325"/>
      <c r="WUC507" s="325"/>
      <c r="WUD507" s="325"/>
      <c r="WUE507" s="325"/>
      <c r="WUF507" s="325"/>
      <c r="WUG507" s="325"/>
      <c r="WUH507" s="325"/>
      <c r="WUI507" s="325"/>
      <c r="WUJ507" s="325"/>
      <c r="WUK507" s="325"/>
      <c r="WUL507" s="325"/>
      <c r="WUM507" s="325"/>
      <c r="WUN507" s="325"/>
      <c r="WUO507" s="325"/>
      <c r="WUP507" s="325"/>
      <c r="WUQ507" s="325"/>
      <c r="WUR507" s="325"/>
      <c r="WUS507" s="325"/>
      <c r="WUT507" s="325"/>
      <c r="WUU507" s="325"/>
      <c r="WUV507" s="325"/>
      <c r="WUW507" s="325"/>
      <c r="WUX507" s="325"/>
      <c r="WUY507" s="325"/>
      <c r="WUZ507" s="325"/>
      <c r="WVA507" s="325"/>
      <c r="WVB507" s="325"/>
      <c r="WVC507" s="325"/>
      <c r="WVD507" s="325"/>
      <c r="WVE507" s="325"/>
      <c r="WVF507" s="327"/>
      <c r="WVG507" s="28"/>
      <c r="WVH507" s="324"/>
      <c r="WVI507" s="324"/>
      <c r="WVJ507" s="324"/>
      <c r="WVK507" s="324"/>
      <c r="WVL507" s="324"/>
      <c r="WVM507" s="324"/>
      <c r="WVN507" s="256"/>
      <c r="WVO507" s="325"/>
      <c r="WVP507" s="311"/>
      <c r="WVQ507" s="325"/>
      <c r="WVR507" s="310"/>
      <c r="WVS507" s="325"/>
      <c r="WVT507" s="325"/>
      <c r="WVU507" s="325"/>
      <c r="WVV507" s="325"/>
      <c r="WVW507" s="325"/>
      <c r="WVX507" s="325"/>
      <c r="WVY507" s="325"/>
      <c r="WVZ507" s="325"/>
      <c r="WWA507" s="325"/>
      <c r="WWB507" s="325"/>
      <c r="WWC507" s="325"/>
      <c r="WWD507" s="325"/>
      <c r="WWE507" s="325"/>
      <c r="WWF507" s="325"/>
      <c r="WWG507" s="325"/>
      <c r="WWH507" s="325"/>
      <c r="WWI507" s="325"/>
      <c r="WWJ507" s="325"/>
      <c r="WWK507" s="325"/>
      <c r="WWL507" s="325"/>
      <c r="WWM507" s="325"/>
      <c r="WWN507" s="325"/>
      <c r="WWO507" s="325"/>
      <c r="WWP507" s="325"/>
      <c r="WWQ507" s="325"/>
      <c r="WWR507" s="325"/>
      <c r="WWS507" s="325"/>
      <c r="WWT507" s="325"/>
      <c r="WWU507" s="325"/>
      <c r="WWV507" s="325"/>
      <c r="WWW507" s="327"/>
      <c r="WWX507" s="28"/>
      <c r="WWY507" s="324"/>
      <c r="WWZ507" s="324"/>
      <c r="WXA507" s="324"/>
      <c r="WXB507" s="324"/>
      <c r="WXC507" s="324"/>
      <c r="WXD507" s="324"/>
      <c r="WXE507" s="256"/>
      <c r="WXF507" s="325"/>
      <c r="WXG507" s="311"/>
      <c r="WXH507" s="325"/>
      <c r="WXI507" s="310"/>
      <c r="WXJ507" s="325"/>
      <c r="WXK507" s="325"/>
      <c r="WXL507" s="325"/>
      <c r="WXM507" s="325"/>
      <c r="WXN507" s="325"/>
      <c r="WXO507" s="325"/>
      <c r="WXP507" s="325"/>
      <c r="WXQ507" s="325"/>
      <c r="WXR507" s="325"/>
      <c r="WXS507" s="325"/>
      <c r="WXT507" s="325"/>
      <c r="WXU507" s="325"/>
      <c r="WXV507" s="325"/>
      <c r="WXW507" s="325"/>
      <c r="WXX507" s="325"/>
      <c r="WXY507" s="325"/>
      <c r="WXZ507" s="325"/>
      <c r="WYA507" s="325"/>
      <c r="WYB507" s="325"/>
      <c r="WYC507" s="325"/>
      <c r="WYD507" s="325"/>
      <c r="WYE507" s="325"/>
      <c r="WYF507" s="325"/>
      <c r="WYG507" s="325"/>
      <c r="WYH507" s="325"/>
      <c r="WYI507" s="325"/>
      <c r="WYJ507" s="325"/>
      <c r="WYK507" s="325"/>
      <c r="WYL507" s="325"/>
      <c r="WYM507" s="325"/>
      <c r="WYN507" s="327"/>
      <c r="WYO507" s="28"/>
      <c r="WYP507" s="324"/>
      <c r="WYQ507" s="324"/>
      <c r="WYR507" s="324"/>
      <c r="WYS507" s="324"/>
      <c r="WYT507" s="324"/>
      <c r="WYU507" s="324"/>
      <c r="WYV507" s="256"/>
      <c r="WYW507" s="325"/>
      <c r="WYX507" s="311"/>
      <c r="WYY507" s="325"/>
      <c r="WYZ507" s="310"/>
      <c r="WZA507" s="325"/>
      <c r="WZB507" s="325"/>
      <c r="WZC507" s="325"/>
      <c r="WZD507" s="325"/>
      <c r="WZE507" s="325"/>
      <c r="WZF507" s="325"/>
      <c r="WZG507" s="325"/>
      <c r="WZH507" s="325"/>
      <c r="WZI507" s="325"/>
      <c r="WZJ507" s="325"/>
      <c r="WZK507" s="325"/>
      <c r="WZL507" s="325"/>
      <c r="WZM507" s="325"/>
      <c r="WZN507" s="325"/>
      <c r="WZO507" s="325"/>
      <c r="WZP507" s="325"/>
      <c r="WZQ507" s="325"/>
      <c r="WZR507" s="325"/>
      <c r="WZS507" s="325"/>
      <c r="WZT507" s="325"/>
      <c r="WZU507" s="325"/>
      <c r="WZV507" s="325"/>
      <c r="WZW507" s="325"/>
      <c r="WZX507" s="325"/>
      <c r="WZY507" s="325"/>
      <c r="WZZ507" s="325"/>
      <c r="XAA507" s="325"/>
      <c r="XAB507" s="325"/>
      <c r="XAC507" s="325"/>
      <c r="XAD507" s="325"/>
      <c r="XAE507" s="327"/>
      <c r="XAF507" s="28"/>
      <c r="XAG507" s="324"/>
      <c r="XAH507" s="324"/>
      <c r="XAI507" s="324"/>
      <c r="XAJ507" s="324"/>
      <c r="XAK507" s="324"/>
      <c r="XAL507" s="324"/>
      <c r="XAM507" s="256"/>
      <c r="XAN507" s="325"/>
      <c r="XAO507" s="311"/>
      <c r="XAP507" s="325"/>
      <c r="XAQ507" s="310"/>
      <c r="XAR507" s="325"/>
      <c r="XAS507" s="325"/>
      <c r="XAT507" s="325"/>
      <c r="XAU507" s="325"/>
      <c r="XAV507" s="325"/>
      <c r="XAW507" s="325"/>
      <c r="XAX507" s="325"/>
      <c r="XAY507" s="325"/>
      <c r="XAZ507" s="325"/>
      <c r="XBA507" s="325"/>
      <c r="XBB507" s="325"/>
      <c r="XBC507" s="325"/>
      <c r="XBD507" s="325"/>
      <c r="XBE507" s="325"/>
      <c r="XBF507" s="325"/>
      <c r="XBG507" s="325"/>
      <c r="XBH507" s="325"/>
      <c r="XBI507" s="325"/>
      <c r="XBJ507" s="325"/>
      <c r="XBK507" s="325"/>
      <c r="XBL507" s="325"/>
      <c r="XBM507" s="325"/>
      <c r="XBN507" s="325"/>
      <c r="XBO507" s="325"/>
      <c r="XBP507" s="325"/>
      <c r="XBQ507" s="325"/>
      <c r="XBR507" s="325"/>
      <c r="XBS507" s="325"/>
      <c r="XBT507" s="325"/>
      <c r="XBU507" s="325"/>
      <c r="XBV507" s="327"/>
      <c r="XBW507" s="28"/>
      <c r="XBX507" s="324"/>
      <c r="XBY507" s="324"/>
      <c r="XBZ507" s="324"/>
      <c r="XCA507" s="324"/>
      <c r="XCB507" s="324"/>
      <c r="XCC507" s="324"/>
      <c r="XCD507" s="256"/>
      <c r="XCE507" s="325"/>
      <c r="XCF507" s="311"/>
      <c r="XCG507" s="325"/>
      <c r="XCH507" s="310"/>
      <c r="XCI507" s="325"/>
      <c r="XCJ507" s="325"/>
      <c r="XCK507" s="325"/>
      <c r="XCL507" s="325"/>
      <c r="XCM507" s="325"/>
      <c r="XCN507" s="325"/>
      <c r="XCO507" s="325"/>
      <c r="XCP507" s="325"/>
      <c r="XCQ507" s="325"/>
      <c r="XCR507" s="325"/>
      <c r="XCS507" s="325"/>
      <c r="XCT507" s="325"/>
      <c r="XCU507" s="325"/>
      <c r="XCV507" s="325"/>
      <c r="XCW507" s="325"/>
      <c r="XCX507" s="325"/>
      <c r="XCY507" s="325"/>
      <c r="XCZ507" s="325"/>
      <c r="XDA507" s="325"/>
      <c r="XDB507" s="325"/>
      <c r="XDC507" s="325"/>
      <c r="XDD507" s="325"/>
      <c r="XDE507" s="325"/>
      <c r="XDF507" s="325"/>
      <c r="XDG507" s="325"/>
      <c r="XDH507" s="325"/>
      <c r="XDI507" s="325"/>
      <c r="XDJ507" s="325"/>
      <c r="XDK507" s="325"/>
      <c r="XDL507" s="325"/>
      <c r="XDM507" s="327"/>
      <c r="XDN507" s="28"/>
      <c r="XDO507" s="324"/>
      <c r="XDP507" s="324"/>
      <c r="XDQ507" s="324"/>
      <c r="XDR507" s="324"/>
      <c r="XDS507" s="324"/>
      <c r="XDT507" s="324"/>
      <c r="XDU507" s="256"/>
      <c r="XDV507" s="325"/>
      <c r="XDW507" s="311"/>
      <c r="XDX507" s="325"/>
      <c r="XDY507" s="310"/>
      <c r="XDZ507" s="325"/>
      <c r="XEA507" s="325"/>
      <c r="XEB507" s="325"/>
      <c r="XEC507" s="325"/>
      <c r="XED507" s="325"/>
      <c r="XEE507" s="325"/>
      <c r="XEF507" s="325"/>
      <c r="XEG507" s="325"/>
      <c r="XEH507" s="325"/>
      <c r="XEI507" s="325"/>
      <c r="XEJ507" s="325"/>
      <c r="XEK507" s="325"/>
      <c r="XEL507" s="325"/>
      <c r="XEM507" s="325"/>
      <c r="XEN507" s="325"/>
      <c r="XEO507" s="325"/>
      <c r="XEP507" s="325"/>
      <c r="XEQ507" s="325"/>
      <c r="XER507" s="325"/>
      <c r="XES507" s="325"/>
      <c r="XET507" s="325"/>
      <c r="XEU507" s="325"/>
      <c r="XEV507" s="325"/>
      <c r="XEW507" s="325"/>
      <c r="XEX507" s="325"/>
      <c r="XEY507" s="325"/>
      <c r="XEZ507" s="325"/>
      <c r="XFA507" s="325"/>
      <c r="XFB507" s="325"/>
      <c r="XFC507" s="325"/>
      <c r="XFD507" s="327"/>
    </row>
    <row r="508" spans="1:16384">
      <c r="E508" s="325"/>
      <c r="G508" s="39"/>
      <c r="H508" s="39"/>
      <c r="I508" s="39"/>
      <c r="J508" s="39"/>
      <c r="K508" s="39"/>
      <c r="R508" s="38">
        <f t="shared" ref="R508:AU508" si="356">ROUNDDOWN((R507-InServiceYr+1)/5,0)</f>
        <v>0</v>
      </c>
      <c r="S508" s="38">
        <f t="shared" si="356"/>
        <v>0</v>
      </c>
      <c r="T508" s="38">
        <f t="shared" si="356"/>
        <v>0</v>
      </c>
      <c r="U508" s="38">
        <f t="shared" si="356"/>
        <v>0</v>
      </c>
      <c r="V508" s="38">
        <f t="shared" si="356"/>
        <v>1</v>
      </c>
      <c r="W508" s="38">
        <f t="shared" si="356"/>
        <v>1</v>
      </c>
      <c r="X508" s="38">
        <f t="shared" si="356"/>
        <v>1</v>
      </c>
      <c r="Y508" s="38">
        <f t="shared" si="356"/>
        <v>1</v>
      </c>
      <c r="Z508" s="38">
        <f t="shared" si="356"/>
        <v>1</v>
      </c>
      <c r="AA508" s="38">
        <f t="shared" si="356"/>
        <v>2</v>
      </c>
      <c r="AB508" s="38">
        <f t="shared" si="356"/>
        <v>2</v>
      </c>
      <c r="AC508" s="38">
        <f t="shared" si="356"/>
        <v>2</v>
      </c>
      <c r="AD508" s="38">
        <f t="shared" si="356"/>
        <v>2</v>
      </c>
      <c r="AE508" s="38">
        <f t="shared" si="356"/>
        <v>2</v>
      </c>
      <c r="AF508" s="38">
        <f t="shared" si="356"/>
        <v>3</v>
      </c>
      <c r="AG508" s="38">
        <f t="shared" si="356"/>
        <v>3</v>
      </c>
      <c r="AH508" s="38">
        <f t="shared" si="356"/>
        <v>3</v>
      </c>
      <c r="AI508" s="38">
        <f t="shared" si="356"/>
        <v>3</v>
      </c>
      <c r="AJ508" s="38">
        <f t="shared" si="356"/>
        <v>3</v>
      </c>
      <c r="AK508" s="38">
        <f t="shared" si="356"/>
        <v>4</v>
      </c>
      <c r="AL508" s="38">
        <f t="shared" si="356"/>
        <v>4</v>
      </c>
      <c r="AM508" s="38">
        <f t="shared" si="356"/>
        <v>4</v>
      </c>
      <c r="AN508" s="38">
        <f t="shared" si="356"/>
        <v>4</v>
      </c>
      <c r="AO508" s="38">
        <f t="shared" si="356"/>
        <v>4</v>
      </c>
      <c r="AP508" s="38">
        <f t="shared" si="356"/>
        <v>5</v>
      </c>
      <c r="AQ508" s="38">
        <f t="shared" si="356"/>
        <v>5</v>
      </c>
      <c r="AR508" s="38">
        <f t="shared" si="356"/>
        <v>5</v>
      </c>
      <c r="AS508" s="38">
        <f t="shared" si="356"/>
        <v>5</v>
      </c>
      <c r="AT508" s="38">
        <f t="shared" si="356"/>
        <v>5</v>
      </c>
      <c r="AU508" s="38">
        <f t="shared" si="356"/>
        <v>6</v>
      </c>
    </row>
    <row r="509" spans="1:16384">
      <c r="E509" s="325"/>
      <c r="G509" s="38" t="s">
        <v>310</v>
      </c>
      <c r="N509" s="320"/>
      <c r="P509" s="320"/>
      <c r="R509" s="38">
        <f>R508-Q508</f>
        <v>0</v>
      </c>
      <c r="S509" s="38">
        <f t="shared" ref="S509:AU509" si="357">S508-R508</f>
        <v>0</v>
      </c>
      <c r="T509" s="38">
        <f t="shared" si="357"/>
        <v>0</v>
      </c>
      <c r="U509" s="38">
        <f t="shared" si="357"/>
        <v>0</v>
      </c>
      <c r="V509" s="38">
        <f t="shared" si="357"/>
        <v>1</v>
      </c>
      <c r="W509" s="38">
        <f t="shared" si="357"/>
        <v>0</v>
      </c>
      <c r="X509" s="38">
        <f t="shared" si="357"/>
        <v>0</v>
      </c>
      <c r="Y509" s="38">
        <f t="shared" si="357"/>
        <v>0</v>
      </c>
      <c r="Z509" s="38">
        <f t="shared" si="357"/>
        <v>0</v>
      </c>
      <c r="AA509" s="38">
        <f t="shared" si="357"/>
        <v>1</v>
      </c>
      <c r="AB509" s="38">
        <f t="shared" si="357"/>
        <v>0</v>
      </c>
      <c r="AC509" s="38">
        <f t="shared" si="357"/>
        <v>0</v>
      </c>
      <c r="AD509" s="38">
        <f t="shared" si="357"/>
        <v>0</v>
      </c>
      <c r="AE509" s="38">
        <f t="shared" si="357"/>
        <v>0</v>
      </c>
      <c r="AF509" s="38">
        <f t="shared" si="357"/>
        <v>1</v>
      </c>
      <c r="AG509" s="38">
        <f t="shared" si="357"/>
        <v>0</v>
      </c>
      <c r="AH509" s="38">
        <f t="shared" si="357"/>
        <v>0</v>
      </c>
      <c r="AI509" s="38">
        <f t="shared" si="357"/>
        <v>0</v>
      </c>
      <c r="AJ509" s="38">
        <f t="shared" si="357"/>
        <v>0</v>
      </c>
      <c r="AK509" s="38">
        <f t="shared" si="357"/>
        <v>1</v>
      </c>
      <c r="AL509" s="38">
        <f t="shared" si="357"/>
        <v>0</v>
      </c>
      <c r="AM509" s="38">
        <f t="shared" si="357"/>
        <v>0</v>
      </c>
      <c r="AN509" s="38">
        <f t="shared" si="357"/>
        <v>0</v>
      </c>
      <c r="AO509" s="38">
        <f t="shared" si="357"/>
        <v>0</v>
      </c>
      <c r="AP509" s="38">
        <f t="shared" si="357"/>
        <v>1</v>
      </c>
      <c r="AQ509" s="38">
        <f t="shared" si="357"/>
        <v>0</v>
      </c>
      <c r="AR509" s="38">
        <f t="shared" si="357"/>
        <v>0</v>
      </c>
      <c r="AS509" s="38">
        <f t="shared" si="357"/>
        <v>0</v>
      </c>
      <c r="AT509" s="38">
        <f t="shared" si="357"/>
        <v>0</v>
      </c>
      <c r="AU509" s="38">
        <f t="shared" si="357"/>
        <v>1</v>
      </c>
    </row>
    <row r="511" spans="1:16384">
      <c r="E511" s="327"/>
      <c r="F511" s="28"/>
      <c r="G511" s="324" t="s">
        <v>865</v>
      </c>
      <c r="H511" s="324"/>
      <c r="I511" s="324"/>
      <c r="J511" s="324"/>
      <c r="K511" s="324"/>
      <c r="L511" s="405"/>
      <c r="M511" s="256"/>
      <c r="N511" s="325"/>
      <c r="O511" s="311"/>
      <c r="P511" s="325"/>
      <c r="Q511" s="310"/>
      <c r="R511" s="325"/>
      <c r="S511" s="325"/>
      <c r="T511" s="325"/>
      <c r="U511" s="325"/>
      <c r="V511" s="325"/>
      <c r="W511" s="325"/>
      <c r="X511" s="325"/>
      <c r="Y511" s="325"/>
      <c r="Z511" s="325"/>
      <c r="AA511" s="325"/>
      <c r="AB511" s="325"/>
      <c r="AC511" s="325"/>
      <c r="AD511" s="325"/>
      <c r="AE511" s="325"/>
      <c r="AF511" s="325"/>
      <c r="AG511" s="325"/>
      <c r="AH511" s="325"/>
      <c r="AI511" s="325"/>
      <c r="AJ511" s="325"/>
      <c r="AK511" s="325"/>
      <c r="AL511" s="325"/>
      <c r="AM511" s="325"/>
      <c r="AN511" s="325"/>
      <c r="AO511" s="325"/>
      <c r="AP511" s="325"/>
      <c r="AQ511" s="325"/>
      <c r="AR511" s="325"/>
      <c r="AS511" s="325"/>
      <c r="AT511" s="325"/>
      <c r="AU511" s="325"/>
    </row>
    <row r="512" spans="1:16384">
      <c r="E512" s="325"/>
      <c r="G512" s="39"/>
      <c r="H512" s="39"/>
      <c r="I512" s="39"/>
      <c r="J512" s="39"/>
      <c r="K512" s="39"/>
    </row>
    <row r="513" spans="5:47">
      <c r="E513" s="325"/>
      <c r="G513" s="36" t="s">
        <v>865</v>
      </c>
      <c r="H513" s="39"/>
      <c r="I513" s="39"/>
      <c r="J513" s="70"/>
      <c r="K513" s="39"/>
      <c r="L513" s="43"/>
      <c r="N513" s="320"/>
      <c r="P513" s="320"/>
      <c r="Q513" s="52"/>
      <c r="R513" s="52">
        <f>Assumptions!M56</f>
        <v>0</v>
      </c>
      <c r="S513" s="52">
        <f>Assumptions!N56</f>
        <v>0</v>
      </c>
      <c r="T513" s="52">
        <f>Assumptions!O56</f>
        <v>0</v>
      </c>
      <c r="U513" s="52">
        <f>Assumptions!P56</f>
        <v>0</v>
      </c>
      <c r="V513" s="52">
        <f>Assumptions!Q56</f>
        <v>0</v>
      </c>
      <c r="W513" s="52">
        <f>Assumptions!R56</f>
        <v>0</v>
      </c>
      <c r="X513" s="52">
        <f>Assumptions!S56</f>
        <v>0</v>
      </c>
      <c r="Y513" s="52">
        <f>Assumptions!T56</f>
        <v>0</v>
      </c>
      <c r="Z513" s="52">
        <f>Assumptions!U56</f>
        <v>0</v>
      </c>
      <c r="AA513" s="52">
        <f>Assumptions!V56</f>
        <v>0</v>
      </c>
      <c r="AB513" s="52">
        <f>Assumptions!W56</f>
        <v>0</v>
      </c>
      <c r="AC513" s="52">
        <f>Assumptions!X56</f>
        <v>0</v>
      </c>
      <c r="AD513" s="52">
        <f>Assumptions!Y56</f>
        <v>0</v>
      </c>
      <c r="AE513" s="52">
        <f>Assumptions!Z56</f>
        <v>0</v>
      </c>
      <c r="AF513" s="52">
        <f>Assumptions!AA56</f>
        <v>0</v>
      </c>
      <c r="AG513" s="52">
        <f>Assumptions!AB56</f>
        <v>0</v>
      </c>
      <c r="AH513" s="52">
        <f>Assumptions!AC56</f>
        <v>0</v>
      </c>
      <c r="AI513" s="52">
        <f>Assumptions!AD56</f>
        <v>0</v>
      </c>
      <c r="AJ513" s="52">
        <f>Assumptions!AE56</f>
        <v>0</v>
      </c>
      <c r="AK513" s="52">
        <f>Assumptions!AF56</f>
        <v>0</v>
      </c>
      <c r="AL513" s="52">
        <f>Assumptions!AG56</f>
        <v>0</v>
      </c>
      <c r="AM513" s="52">
        <f>Assumptions!AH56</f>
        <v>0</v>
      </c>
      <c r="AN513" s="52">
        <f>Assumptions!AI56</f>
        <v>0</v>
      </c>
      <c r="AO513" s="52">
        <f>Assumptions!AJ56</f>
        <v>0</v>
      </c>
      <c r="AP513" s="52">
        <f>Assumptions!AK56</f>
        <v>0</v>
      </c>
      <c r="AQ513" s="52">
        <f>Assumptions!AL56</f>
        <v>0</v>
      </c>
      <c r="AR513" s="52">
        <f>Assumptions!AM56</f>
        <v>0</v>
      </c>
      <c r="AS513" s="52">
        <f>Assumptions!AN56</f>
        <v>0</v>
      </c>
      <c r="AT513" s="52">
        <f>Assumptions!AO56</f>
        <v>0</v>
      </c>
      <c r="AU513" s="52">
        <f>Assumptions!AP56</f>
        <v>0</v>
      </c>
    </row>
    <row r="525" spans="5:47">
      <c r="N525" s="200"/>
      <c r="O525" s="316"/>
      <c r="P525" s="200"/>
      <c r="Q525" s="316"/>
      <c r="R525" s="198"/>
      <c r="S525" s="199"/>
    </row>
    <row r="526" spans="5:47">
      <c r="N526" s="200"/>
      <c r="O526" s="316"/>
      <c r="P526" s="200"/>
      <c r="Q526" s="316"/>
      <c r="R526" s="198"/>
      <c r="S526" s="199"/>
    </row>
    <row r="527" spans="5:47">
      <c r="N527" s="200"/>
      <c r="O527" s="316"/>
      <c r="P527" s="200"/>
      <c r="Q527" s="316"/>
      <c r="R527" s="198"/>
      <c r="S527" s="199"/>
    </row>
    <row r="528" spans="5:47">
      <c r="N528" s="200"/>
      <c r="O528" s="316"/>
      <c r="P528" s="200"/>
      <c r="Q528" s="316"/>
      <c r="R528" s="198"/>
      <c r="S528" s="199"/>
    </row>
    <row r="529" spans="14:19">
      <c r="N529" s="200"/>
      <c r="O529" s="316"/>
      <c r="P529" s="200"/>
      <c r="Q529" s="316"/>
      <c r="R529" s="198"/>
      <c r="S529" s="199"/>
    </row>
    <row r="530" spans="14:19">
      <c r="N530" s="200"/>
      <c r="O530" s="316"/>
      <c r="P530" s="200"/>
      <c r="Q530" s="316"/>
      <c r="R530" s="198"/>
      <c r="S530" s="199"/>
    </row>
    <row r="531" spans="14:19">
      <c r="N531" s="200"/>
      <c r="O531" s="316"/>
      <c r="P531" s="200"/>
      <c r="Q531" s="316"/>
      <c r="R531" s="198"/>
      <c r="S531" s="199"/>
    </row>
    <row r="532" spans="14:19">
      <c r="N532" s="200"/>
      <c r="O532" s="316"/>
      <c r="P532" s="200"/>
      <c r="Q532" s="316"/>
      <c r="R532" s="198"/>
      <c r="S532" s="199"/>
    </row>
    <row r="533" spans="14:19">
      <c r="N533" s="200"/>
      <c r="O533" s="316"/>
      <c r="P533" s="200"/>
      <c r="Q533" s="316"/>
      <c r="R533" s="198"/>
      <c r="S533" s="199"/>
    </row>
    <row r="534" spans="14:19">
      <c r="N534" s="200"/>
      <c r="O534" s="316"/>
      <c r="P534" s="200"/>
      <c r="Q534" s="316"/>
      <c r="R534" s="198"/>
      <c r="S534" s="199"/>
    </row>
  </sheetData>
  <dataConsolidate/>
  <dataValidations count="1">
    <dataValidation type="list" allowBlank="1" showInputMessage="1" showErrorMessage="1" sqref="J4">
      <formula1>ConfigDropdown</formula1>
    </dataValidation>
  </dataValidations>
  <pageMargins left="0.75" right="0.75" top="1" bottom="1" header="0.5" footer="0.5"/>
  <pageSetup scale="60" pageOrder="overThenDown" orientation="landscape" r:id="rId1"/>
  <headerFooter alignWithMargins="0"/>
  <rowBreaks count="2" manualBreakCount="2">
    <brk id="39" min="17" max="46" man="1"/>
    <brk id="66" min="17" max="46" man="1"/>
  </rowBreaks>
</worksheet>
</file>

<file path=xl/worksheets/sheet19.xml><?xml version="1.0" encoding="utf-8"?>
<worksheet xmlns="http://schemas.openxmlformats.org/spreadsheetml/2006/main" xmlns:r="http://schemas.openxmlformats.org/officeDocument/2006/relationships">
  <sheetPr>
    <tabColor rgb="FFC00000"/>
  </sheetPr>
  <dimension ref="A1:XFD534"/>
  <sheetViews>
    <sheetView showGridLines="0" topLeftCell="E466" zoomScale="55" zoomScaleNormal="55" zoomScalePageLayoutView="85" workbookViewId="0">
      <selection activeCell="R508" sqref="R508:AU509"/>
    </sheetView>
  </sheetViews>
  <sheetFormatPr defaultColWidth="8.85546875" defaultRowHeight="15" outlineLevelCol="1"/>
  <cols>
    <col min="1" max="2" width="8.85546875" style="38" hidden="1" customWidth="1" outlineLevel="1"/>
    <col min="3" max="3" width="42.28515625" style="38" hidden="1" customWidth="1" outlineLevel="1"/>
    <col min="4" max="4" width="13" style="38" hidden="1" customWidth="1" outlineLevel="1"/>
    <col min="5" max="5" width="3.7109375" style="38" customWidth="1" collapsed="1"/>
    <col min="6" max="6" width="3.28515625" style="38" customWidth="1"/>
    <col min="7" max="7" width="7.140625" style="38" customWidth="1"/>
    <col min="8" max="8" width="28.42578125" style="38" customWidth="1"/>
    <col min="9" max="9" width="1.85546875" style="38" customWidth="1"/>
    <col min="10" max="10" width="10.140625" style="38" customWidth="1"/>
    <col min="11" max="11" width="1.42578125" style="38" customWidth="1"/>
    <col min="12" max="12" width="25.7109375" style="408" customWidth="1"/>
    <col min="13" max="13" width="0.85546875" style="38" customWidth="1"/>
    <col min="14" max="14" width="18.28515625" style="38" customWidth="1"/>
    <col min="15" max="15" width="1" style="42" customWidth="1"/>
    <col min="16" max="16" width="18.28515625" style="38" customWidth="1"/>
    <col min="17" max="17" width="1" style="42" customWidth="1"/>
    <col min="18" max="47" width="14.28515625" style="38" customWidth="1"/>
    <col min="48" max="68" width="9.42578125" style="38" customWidth="1"/>
    <col min="69" max="16384" width="8.85546875" style="38"/>
  </cols>
  <sheetData>
    <row r="1" spans="1:47" s="28" customFormat="1">
      <c r="L1" s="406"/>
      <c r="O1" s="197"/>
      <c r="Q1" s="197"/>
    </row>
    <row r="2" spans="1:47" s="28" customFormat="1" ht="18.75">
      <c r="H2" s="29" t="s">
        <v>17</v>
      </c>
      <c r="I2" s="29"/>
      <c r="J2" s="29" t="s">
        <v>294</v>
      </c>
      <c r="K2" s="29"/>
      <c r="L2" s="406"/>
      <c r="O2" s="197"/>
      <c r="Q2" s="197"/>
    </row>
    <row r="3" spans="1:47" s="28" customFormat="1" ht="18.75">
      <c r="H3" s="29" t="s">
        <v>18</v>
      </c>
      <c r="I3" s="29"/>
      <c r="J3" s="29" t="s">
        <v>295</v>
      </c>
      <c r="K3" s="29"/>
      <c r="L3" s="406"/>
      <c r="O3" s="197"/>
      <c r="Q3" s="197"/>
      <c r="R3" s="193"/>
    </row>
    <row r="4" spans="1:47" s="28" customFormat="1" ht="18.75">
      <c r="G4" s="968"/>
      <c r="H4" s="29" t="s">
        <v>297</v>
      </c>
      <c r="J4" s="29" t="s">
        <v>300</v>
      </c>
      <c r="L4" s="406"/>
      <c r="O4" s="197"/>
      <c r="Q4" s="197"/>
    </row>
    <row r="5" spans="1:47" s="28" customFormat="1">
      <c r="H5" s="31"/>
      <c r="I5" s="31"/>
      <c r="J5" s="31"/>
      <c r="K5" s="31"/>
      <c r="L5" s="406"/>
      <c r="O5" s="197"/>
      <c r="Q5" s="197"/>
    </row>
    <row r="6" spans="1:47" s="42" customFormat="1">
      <c r="A6" s="317"/>
      <c r="B6" s="317"/>
      <c r="C6" s="317"/>
      <c r="D6" s="317"/>
      <c r="E6" s="317"/>
      <c r="F6" s="317"/>
      <c r="G6" s="318" t="s">
        <v>505</v>
      </c>
      <c r="H6" s="317"/>
      <c r="I6" s="317"/>
      <c r="J6" s="317"/>
      <c r="K6" s="317"/>
      <c r="L6" s="40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row>
    <row r="7" spans="1:47" s="28" customFormat="1">
      <c r="L7" s="406"/>
      <c r="O7" s="197"/>
      <c r="Q7" s="197"/>
    </row>
    <row r="8" spans="1:47" s="28" customFormat="1">
      <c r="A8" s="40" t="s">
        <v>254</v>
      </c>
      <c r="B8" s="40" t="s">
        <v>44</v>
      </c>
      <c r="C8" s="40" t="s">
        <v>302</v>
      </c>
      <c r="D8" s="40" t="s">
        <v>298</v>
      </c>
      <c r="G8" s="324" t="s">
        <v>489</v>
      </c>
      <c r="H8" s="324"/>
      <c r="I8" s="324"/>
      <c r="J8" s="324"/>
      <c r="K8" s="324"/>
      <c r="L8" s="405"/>
      <c r="M8" s="256"/>
      <c r="N8" s="325" t="str">
        <f>"NPV "&amp;FirstYr-1&amp;" $"</f>
        <v>NPV 2013 $</v>
      </c>
      <c r="O8" s="311"/>
      <c r="P8" s="325" t="s">
        <v>491</v>
      </c>
      <c r="Q8" s="310"/>
      <c r="R8" s="325">
        <f>FirstYr</f>
        <v>2014</v>
      </c>
      <c r="S8" s="325">
        <f>R8+1</f>
        <v>2015</v>
      </c>
      <c r="T8" s="325">
        <f t="shared" ref="T8:AU8" si="0">S8+1</f>
        <v>2016</v>
      </c>
      <c r="U8" s="325">
        <f t="shared" si="0"/>
        <v>2017</v>
      </c>
      <c r="V8" s="325">
        <f t="shared" si="0"/>
        <v>2018</v>
      </c>
      <c r="W8" s="325">
        <f t="shared" si="0"/>
        <v>2019</v>
      </c>
      <c r="X8" s="325">
        <f t="shared" si="0"/>
        <v>2020</v>
      </c>
      <c r="Y8" s="325">
        <f t="shared" si="0"/>
        <v>2021</v>
      </c>
      <c r="Z8" s="325">
        <f t="shared" si="0"/>
        <v>2022</v>
      </c>
      <c r="AA8" s="325">
        <f t="shared" si="0"/>
        <v>2023</v>
      </c>
      <c r="AB8" s="325">
        <f t="shared" si="0"/>
        <v>2024</v>
      </c>
      <c r="AC8" s="325">
        <f t="shared" si="0"/>
        <v>2025</v>
      </c>
      <c r="AD8" s="325">
        <f t="shared" si="0"/>
        <v>2026</v>
      </c>
      <c r="AE8" s="325">
        <f t="shared" si="0"/>
        <v>2027</v>
      </c>
      <c r="AF8" s="325">
        <f t="shared" si="0"/>
        <v>2028</v>
      </c>
      <c r="AG8" s="325">
        <f t="shared" si="0"/>
        <v>2029</v>
      </c>
      <c r="AH8" s="325">
        <f t="shared" si="0"/>
        <v>2030</v>
      </c>
      <c r="AI8" s="325">
        <f t="shared" si="0"/>
        <v>2031</v>
      </c>
      <c r="AJ8" s="325">
        <f t="shared" si="0"/>
        <v>2032</v>
      </c>
      <c r="AK8" s="325">
        <f t="shared" si="0"/>
        <v>2033</v>
      </c>
      <c r="AL8" s="325">
        <f t="shared" si="0"/>
        <v>2034</v>
      </c>
      <c r="AM8" s="325">
        <f t="shared" si="0"/>
        <v>2035</v>
      </c>
      <c r="AN8" s="325">
        <f t="shared" si="0"/>
        <v>2036</v>
      </c>
      <c r="AO8" s="325">
        <f t="shared" si="0"/>
        <v>2037</v>
      </c>
      <c r="AP8" s="325">
        <f t="shared" si="0"/>
        <v>2038</v>
      </c>
      <c r="AQ8" s="325">
        <f t="shared" si="0"/>
        <v>2039</v>
      </c>
      <c r="AR8" s="325">
        <f t="shared" si="0"/>
        <v>2040</v>
      </c>
      <c r="AS8" s="325">
        <f t="shared" si="0"/>
        <v>2041</v>
      </c>
      <c r="AT8" s="325">
        <f t="shared" si="0"/>
        <v>2042</v>
      </c>
      <c r="AU8" s="325">
        <f t="shared" si="0"/>
        <v>2043</v>
      </c>
    </row>
    <row r="9" spans="1:47" s="28" customFormat="1">
      <c r="L9" s="406"/>
      <c r="O9" s="197"/>
      <c r="Q9" s="197"/>
    </row>
    <row r="10" spans="1:47" s="28" customFormat="1">
      <c r="B10" s="38" t="s">
        <v>306</v>
      </c>
      <c r="E10" s="254"/>
      <c r="G10" s="36" t="s">
        <v>8</v>
      </c>
      <c r="L10" s="43" t="str">
        <f>"["&amp;FirstYr-1&amp;" $]"</f>
        <v>[2013 $]</v>
      </c>
      <c r="N10" s="191">
        <f t="shared" ref="N10:N13" ca="1" si="1">NPV(DiscountRt,R10:AU10)</f>
        <v>32679179.245283019</v>
      </c>
      <c r="O10" s="189"/>
      <c r="P10" s="321"/>
      <c r="Q10" s="189"/>
      <c r="R10" s="190">
        <f t="shared" ref="R10:AU10" ca="1" si="2">IF($P10=0,SUMIF($B$96:$B$496,$B10,R$96:R$496),$P10*R$97)</f>
        <v>34639930</v>
      </c>
      <c r="S10" s="190">
        <f t="shared" ca="1" si="2"/>
        <v>0</v>
      </c>
      <c r="T10" s="190">
        <f t="shared" ca="1" si="2"/>
        <v>0</v>
      </c>
      <c r="U10" s="190">
        <f t="shared" ca="1" si="2"/>
        <v>0</v>
      </c>
      <c r="V10" s="190">
        <f t="shared" ca="1" si="2"/>
        <v>0</v>
      </c>
      <c r="W10" s="190">
        <f t="shared" ca="1" si="2"/>
        <v>0</v>
      </c>
      <c r="X10" s="190">
        <f t="shared" ca="1" si="2"/>
        <v>0</v>
      </c>
      <c r="Y10" s="190">
        <f t="shared" ca="1" si="2"/>
        <v>0</v>
      </c>
      <c r="Z10" s="190">
        <f t="shared" ca="1" si="2"/>
        <v>0</v>
      </c>
      <c r="AA10" s="190">
        <f t="shared" ca="1" si="2"/>
        <v>0</v>
      </c>
      <c r="AB10" s="190">
        <f t="shared" ca="1" si="2"/>
        <v>0</v>
      </c>
      <c r="AC10" s="190">
        <f t="shared" ca="1" si="2"/>
        <v>0</v>
      </c>
      <c r="AD10" s="190">
        <f t="shared" ca="1" si="2"/>
        <v>0</v>
      </c>
      <c r="AE10" s="190">
        <f t="shared" ca="1" si="2"/>
        <v>0</v>
      </c>
      <c r="AF10" s="190">
        <f t="shared" ca="1" si="2"/>
        <v>0</v>
      </c>
      <c r="AG10" s="190">
        <f t="shared" ca="1" si="2"/>
        <v>0</v>
      </c>
      <c r="AH10" s="190">
        <f t="shared" ca="1" si="2"/>
        <v>0</v>
      </c>
      <c r="AI10" s="190">
        <f t="shared" ca="1" si="2"/>
        <v>0</v>
      </c>
      <c r="AJ10" s="190">
        <f t="shared" ca="1" si="2"/>
        <v>0</v>
      </c>
      <c r="AK10" s="190">
        <f t="shared" ca="1" si="2"/>
        <v>0</v>
      </c>
      <c r="AL10" s="190">
        <f t="shared" ca="1" si="2"/>
        <v>0</v>
      </c>
      <c r="AM10" s="190">
        <f t="shared" ca="1" si="2"/>
        <v>0</v>
      </c>
      <c r="AN10" s="190">
        <f t="shared" ca="1" si="2"/>
        <v>0</v>
      </c>
      <c r="AO10" s="190">
        <f t="shared" ca="1" si="2"/>
        <v>0</v>
      </c>
      <c r="AP10" s="190">
        <f t="shared" ca="1" si="2"/>
        <v>0</v>
      </c>
      <c r="AQ10" s="190">
        <f t="shared" ca="1" si="2"/>
        <v>0</v>
      </c>
      <c r="AR10" s="190">
        <f t="shared" ca="1" si="2"/>
        <v>0</v>
      </c>
      <c r="AS10" s="190">
        <f t="shared" ca="1" si="2"/>
        <v>0</v>
      </c>
      <c r="AT10" s="190">
        <f t="shared" ca="1" si="2"/>
        <v>0</v>
      </c>
      <c r="AU10" s="190">
        <f t="shared" ca="1" si="2"/>
        <v>0</v>
      </c>
    </row>
    <row r="11" spans="1:47" s="28" customFormat="1">
      <c r="B11" s="38"/>
      <c r="E11" s="254"/>
      <c r="G11" s="36" t="s">
        <v>494</v>
      </c>
      <c r="L11" s="43" t="str">
        <f>"["&amp;FirstYr-1&amp;" $]"</f>
        <v>[2013 $]</v>
      </c>
      <c r="N11" s="191">
        <f t="shared" si="1"/>
        <v>0</v>
      </c>
      <c r="O11" s="189"/>
      <c r="P11" s="319"/>
      <c r="Q11" s="189"/>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row>
    <row r="12" spans="1:47" s="28" customFormat="1">
      <c r="B12" s="38"/>
      <c r="E12" s="254"/>
      <c r="G12" s="36" t="s">
        <v>495</v>
      </c>
      <c r="L12" s="43" t="str">
        <f>"["&amp;FirstYr-1&amp;" $]"</f>
        <v>[2013 $]</v>
      </c>
      <c r="N12" s="191">
        <f t="shared" si="1"/>
        <v>0</v>
      </c>
      <c r="O12" s="189"/>
      <c r="P12" s="319"/>
      <c r="Q12" s="189"/>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row>
    <row r="13" spans="1:47" s="28" customFormat="1">
      <c r="B13" s="38"/>
      <c r="E13" s="254"/>
      <c r="G13" s="36" t="s">
        <v>496</v>
      </c>
      <c r="L13" s="43" t="str">
        <f>"["&amp;FirstYr-1&amp;" $]"</f>
        <v>[2013 $]</v>
      </c>
      <c r="N13" s="191">
        <f t="shared" si="1"/>
        <v>0</v>
      </c>
      <c r="O13" s="189"/>
      <c r="P13" s="319"/>
      <c r="Q13" s="189"/>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row>
    <row r="14" spans="1:47">
      <c r="E14" s="49"/>
      <c r="G14" s="39" t="s">
        <v>114</v>
      </c>
      <c r="H14" s="42"/>
      <c r="I14" s="42"/>
      <c r="J14" s="42"/>
      <c r="K14" s="42"/>
      <c r="L14" s="43"/>
      <c r="M14" s="43"/>
      <c r="N14" s="189">
        <f ca="1">SUBTOTAL(9,N10:N13)</f>
        <v>32679179.245283019</v>
      </c>
      <c r="O14" s="189"/>
      <c r="P14" s="189"/>
      <c r="Q14" s="189"/>
      <c r="R14" s="189">
        <f t="shared" ref="R14:AU14" ca="1" si="3">SUBTOTAL(9,R10:R13)</f>
        <v>34639930</v>
      </c>
      <c r="S14" s="189">
        <f t="shared" ca="1" si="3"/>
        <v>0</v>
      </c>
      <c r="T14" s="189">
        <f t="shared" ca="1" si="3"/>
        <v>0</v>
      </c>
      <c r="U14" s="189">
        <f t="shared" ca="1" si="3"/>
        <v>0</v>
      </c>
      <c r="V14" s="189">
        <f t="shared" ca="1" si="3"/>
        <v>0</v>
      </c>
      <c r="W14" s="189">
        <f t="shared" ca="1" si="3"/>
        <v>0</v>
      </c>
      <c r="X14" s="189">
        <f t="shared" ca="1" si="3"/>
        <v>0</v>
      </c>
      <c r="Y14" s="189">
        <f t="shared" ca="1" si="3"/>
        <v>0</v>
      </c>
      <c r="Z14" s="189">
        <f t="shared" ca="1" si="3"/>
        <v>0</v>
      </c>
      <c r="AA14" s="189">
        <f t="shared" ca="1" si="3"/>
        <v>0</v>
      </c>
      <c r="AB14" s="189">
        <f t="shared" ca="1" si="3"/>
        <v>0</v>
      </c>
      <c r="AC14" s="189">
        <f t="shared" ca="1" si="3"/>
        <v>0</v>
      </c>
      <c r="AD14" s="189">
        <f t="shared" ca="1" si="3"/>
        <v>0</v>
      </c>
      <c r="AE14" s="189">
        <f t="shared" ca="1" si="3"/>
        <v>0</v>
      </c>
      <c r="AF14" s="189">
        <f t="shared" ca="1" si="3"/>
        <v>0</v>
      </c>
      <c r="AG14" s="189">
        <f t="shared" ca="1" si="3"/>
        <v>0</v>
      </c>
      <c r="AH14" s="189">
        <f t="shared" ca="1" si="3"/>
        <v>0</v>
      </c>
      <c r="AI14" s="189">
        <f t="shared" ca="1" si="3"/>
        <v>0</v>
      </c>
      <c r="AJ14" s="189">
        <f t="shared" ca="1" si="3"/>
        <v>0</v>
      </c>
      <c r="AK14" s="189">
        <f t="shared" ca="1" si="3"/>
        <v>0</v>
      </c>
      <c r="AL14" s="189">
        <f t="shared" ca="1" si="3"/>
        <v>0</v>
      </c>
      <c r="AM14" s="189">
        <f t="shared" ca="1" si="3"/>
        <v>0</v>
      </c>
      <c r="AN14" s="189">
        <f t="shared" ca="1" si="3"/>
        <v>0</v>
      </c>
      <c r="AO14" s="189">
        <f t="shared" ca="1" si="3"/>
        <v>0</v>
      </c>
      <c r="AP14" s="189">
        <f t="shared" ca="1" si="3"/>
        <v>0</v>
      </c>
      <c r="AQ14" s="189">
        <f t="shared" ca="1" si="3"/>
        <v>0</v>
      </c>
      <c r="AR14" s="189">
        <f t="shared" ca="1" si="3"/>
        <v>0</v>
      </c>
      <c r="AS14" s="189">
        <f t="shared" ca="1" si="3"/>
        <v>0</v>
      </c>
      <c r="AT14" s="189">
        <f t="shared" ca="1" si="3"/>
        <v>0</v>
      </c>
      <c r="AU14" s="189">
        <f t="shared" ca="1" si="3"/>
        <v>0</v>
      </c>
    </row>
    <row r="15" spans="1:47" s="28" customFormat="1">
      <c r="L15" s="406"/>
      <c r="O15" s="197"/>
      <c r="Q15" s="197"/>
    </row>
    <row r="16" spans="1:47" s="28" customFormat="1">
      <c r="A16" s="40"/>
      <c r="B16" s="40"/>
      <c r="C16" s="40"/>
      <c r="D16" s="40"/>
      <c r="G16" s="324" t="s">
        <v>400</v>
      </c>
      <c r="H16" s="324"/>
      <c r="I16" s="324"/>
      <c r="J16" s="324"/>
      <c r="K16" s="324"/>
      <c r="L16" s="405" t="s">
        <v>401</v>
      </c>
      <c r="M16" s="256"/>
      <c r="N16" s="325" t="str">
        <f>"NPV "&amp;FirstYr-1&amp;" $"</f>
        <v>NPV 2013 $</v>
      </c>
      <c r="O16" s="311"/>
      <c r="P16" s="325" t="s">
        <v>491</v>
      </c>
      <c r="Q16" s="310"/>
      <c r="R16" s="325">
        <f>R$8</f>
        <v>2014</v>
      </c>
      <c r="S16" s="325">
        <f t="shared" ref="S16:AU16" si="4">S$8</f>
        <v>2015</v>
      </c>
      <c r="T16" s="325">
        <f t="shared" si="4"/>
        <v>2016</v>
      </c>
      <c r="U16" s="325">
        <f t="shared" si="4"/>
        <v>2017</v>
      </c>
      <c r="V16" s="325">
        <f t="shared" si="4"/>
        <v>2018</v>
      </c>
      <c r="W16" s="325">
        <f t="shared" si="4"/>
        <v>2019</v>
      </c>
      <c r="X16" s="325">
        <f t="shared" si="4"/>
        <v>2020</v>
      </c>
      <c r="Y16" s="325">
        <f t="shared" si="4"/>
        <v>2021</v>
      </c>
      <c r="Z16" s="325">
        <f t="shared" si="4"/>
        <v>2022</v>
      </c>
      <c r="AA16" s="325">
        <f t="shared" si="4"/>
        <v>2023</v>
      </c>
      <c r="AB16" s="325">
        <f t="shared" si="4"/>
        <v>2024</v>
      </c>
      <c r="AC16" s="325">
        <f t="shared" si="4"/>
        <v>2025</v>
      </c>
      <c r="AD16" s="325">
        <f t="shared" si="4"/>
        <v>2026</v>
      </c>
      <c r="AE16" s="325">
        <f t="shared" si="4"/>
        <v>2027</v>
      </c>
      <c r="AF16" s="325">
        <f t="shared" si="4"/>
        <v>2028</v>
      </c>
      <c r="AG16" s="325">
        <f t="shared" si="4"/>
        <v>2029</v>
      </c>
      <c r="AH16" s="325">
        <f t="shared" si="4"/>
        <v>2030</v>
      </c>
      <c r="AI16" s="325">
        <f t="shared" si="4"/>
        <v>2031</v>
      </c>
      <c r="AJ16" s="325">
        <f t="shared" si="4"/>
        <v>2032</v>
      </c>
      <c r="AK16" s="325">
        <f t="shared" si="4"/>
        <v>2033</v>
      </c>
      <c r="AL16" s="325">
        <f t="shared" si="4"/>
        <v>2034</v>
      </c>
      <c r="AM16" s="325">
        <f t="shared" si="4"/>
        <v>2035</v>
      </c>
      <c r="AN16" s="325">
        <f t="shared" si="4"/>
        <v>2036</v>
      </c>
      <c r="AO16" s="325">
        <f t="shared" si="4"/>
        <v>2037</v>
      </c>
      <c r="AP16" s="325">
        <f t="shared" si="4"/>
        <v>2038</v>
      </c>
      <c r="AQ16" s="325">
        <f t="shared" si="4"/>
        <v>2039</v>
      </c>
      <c r="AR16" s="325">
        <f t="shared" si="4"/>
        <v>2040</v>
      </c>
      <c r="AS16" s="325">
        <f t="shared" si="4"/>
        <v>2041</v>
      </c>
      <c r="AT16" s="325">
        <f t="shared" si="4"/>
        <v>2042</v>
      </c>
      <c r="AU16" s="325">
        <f t="shared" si="4"/>
        <v>2043</v>
      </c>
    </row>
    <row r="17" spans="2:47">
      <c r="E17" s="49"/>
      <c r="G17" s="39"/>
      <c r="H17" s="28"/>
      <c r="I17" s="28"/>
      <c r="J17" s="28"/>
      <c r="K17" s="28"/>
      <c r="L17" s="406"/>
      <c r="M17" s="28"/>
      <c r="N17" s="28"/>
      <c r="O17" s="197"/>
      <c r="Q17" s="197"/>
    </row>
    <row r="18" spans="2:47">
      <c r="E18" s="49"/>
      <c r="G18" s="39" t="s">
        <v>23</v>
      </c>
      <c r="H18" s="28"/>
      <c r="I18" s="28"/>
      <c r="J18" s="28"/>
      <c r="K18" s="28"/>
      <c r="L18" s="406"/>
      <c r="M18" s="28"/>
      <c r="N18" s="28"/>
      <c r="O18" s="197"/>
      <c r="Q18" s="197"/>
    </row>
    <row r="19" spans="2:47">
      <c r="B19" s="38" t="s">
        <v>262</v>
      </c>
      <c r="E19" s="49"/>
      <c r="G19" s="36" t="s">
        <v>125</v>
      </c>
      <c r="H19" s="28"/>
      <c r="I19" s="28"/>
      <c r="J19" s="527"/>
      <c r="K19" s="28"/>
      <c r="L19" s="43" t="str">
        <f t="shared" ref="L19:L29" si="5">"["&amp;FirstYr-1&amp;" $]"</f>
        <v>[2013 $]</v>
      </c>
      <c r="M19" s="28"/>
      <c r="N19" s="191">
        <f t="shared" ref="N19:N29" ca="1" si="6">NPV(DiscountRt,R19:AU19)</f>
        <v>10402292.907414803</v>
      </c>
      <c r="O19" s="189"/>
      <c r="P19" s="321"/>
      <c r="Q19" s="189"/>
      <c r="R19" s="190">
        <f t="shared" ref="R19:AU19" ca="1" si="7">IF($P19=0,SUMIF($B$96:$B$496,$B19,R$96:R$496),IF(OR(S$99&lt;InServiceYr,S$99&gt;(InServiceYr+analysis_period)),0,$P19*(1+LaborEsc)^(R$16-FirstYr)))</f>
        <v>775314.75</v>
      </c>
      <c r="S19" s="190">
        <f t="shared" ca="1" si="7"/>
        <v>790821.04499999993</v>
      </c>
      <c r="T19" s="190">
        <f t="shared" ca="1" si="7"/>
        <v>806637.46590000007</v>
      </c>
      <c r="U19" s="190">
        <f t="shared" ca="1" si="7"/>
        <v>822770.215218</v>
      </c>
      <c r="V19" s="190">
        <f t="shared" ca="1" si="7"/>
        <v>839225.61952235992</v>
      </c>
      <c r="W19" s="190">
        <f t="shared" ca="1" si="7"/>
        <v>856010.13191280724</v>
      </c>
      <c r="X19" s="190">
        <f t="shared" ca="1" si="7"/>
        <v>873130.33455106325</v>
      </c>
      <c r="Y19" s="190">
        <f t="shared" ca="1" si="7"/>
        <v>890592.94124208449</v>
      </c>
      <c r="Z19" s="190">
        <f t="shared" ca="1" si="7"/>
        <v>908404.80006692617</v>
      </c>
      <c r="AA19" s="190">
        <f t="shared" ca="1" si="7"/>
        <v>926572.89606826485</v>
      </c>
      <c r="AB19" s="190">
        <f t="shared" ca="1" si="7"/>
        <v>945104.35398962977</v>
      </c>
      <c r="AC19" s="190">
        <f t="shared" ca="1" si="7"/>
        <v>964006.44106942276</v>
      </c>
      <c r="AD19" s="190">
        <f t="shared" ca="1" si="7"/>
        <v>983286.56989081099</v>
      </c>
      <c r="AE19" s="190">
        <f t="shared" ca="1" si="7"/>
        <v>1002952.3012886273</v>
      </c>
      <c r="AF19" s="190">
        <f t="shared" ca="1" si="7"/>
        <v>1023011.3473143997</v>
      </c>
      <c r="AG19" s="190">
        <f t="shared" ca="1" si="7"/>
        <v>1043471.5742606878</v>
      </c>
      <c r="AH19" s="190">
        <f t="shared" ca="1" si="7"/>
        <v>1064341.0057459017</v>
      </c>
      <c r="AI19" s="190">
        <f t="shared" ca="1" si="7"/>
        <v>1085627.8258608195</v>
      </c>
      <c r="AJ19" s="190">
        <f t="shared" ca="1" si="7"/>
        <v>1107340.3823780359</v>
      </c>
      <c r="AK19" s="190">
        <f t="shared" ca="1" si="7"/>
        <v>1129487.1900255966</v>
      </c>
      <c r="AL19" s="190">
        <f t="shared" si="7"/>
        <v>0</v>
      </c>
      <c r="AM19" s="190">
        <f t="shared" si="7"/>
        <v>0</v>
      </c>
      <c r="AN19" s="190">
        <f t="shared" si="7"/>
        <v>0</v>
      </c>
      <c r="AO19" s="190">
        <f t="shared" si="7"/>
        <v>0</v>
      </c>
      <c r="AP19" s="190">
        <f t="shared" si="7"/>
        <v>0</v>
      </c>
      <c r="AQ19" s="190">
        <f t="shared" si="7"/>
        <v>0</v>
      </c>
      <c r="AR19" s="190">
        <f t="shared" si="7"/>
        <v>0</v>
      </c>
      <c r="AS19" s="190">
        <f t="shared" si="7"/>
        <v>0</v>
      </c>
      <c r="AT19" s="190">
        <f t="shared" si="7"/>
        <v>0</v>
      </c>
      <c r="AU19" s="190">
        <f t="shared" si="7"/>
        <v>0</v>
      </c>
    </row>
    <row r="20" spans="2:47">
      <c r="B20" s="38" t="s">
        <v>270</v>
      </c>
      <c r="E20" s="49"/>
      <c r="G20" s="36" t="s">
        <v>126</v>
      </c>
      <c r="H20" s="28"/>
      <c r="I20" s="28"/>
      <c r="J20" s="527"/>
      <c r="K20" s="28"/>
      <c r="L20" s="43" t="str">
        <f t="shared" si="5"/>
        <v>[2013 $]</v>
      </c>
      <c r="M20" s="28"/>
      <c r="N20" s="191">
        <f t="shared" ca="1" si="6"/>
        <v>3640263.6627766779</v>
      </c>
      <c r="O20" s="189"/>
      <c r="P20" s="321"/>
      <c r="Q20" s="189"/>
      <c r="R20" s="190">
        <f t="shared" ref="R20:AU20" ca="1" si="8">IF($P20=0,SUMIF($B$96:$B$496,$B20,R$96:R$496),IF(OR(S$99&lt;InServiceYr,S$99&gt;(InServiceYr+analysis_period)),0,$P20*(1+LaborEsc)^(R$16-FirstYr)))</f>
        <v>271320</v>
      </c>
      <c r="S20" s="190">
        <f t="shared" ca="1" si="8"/>
        <v>276746.40000000002</v>
      </c>
      <c r="T20" s="190">
        <f t="shared" ca="1" si="8"/>
        <v>282281.32799999998</v>
      </c>
      <c r="U20" s="190">
        <f t="shared" ca="1" si="8"/>
        <v>287926.95456000004</v>
      </c>
      <c r="V20" s="190">
        <f t="shared" ca="1" si="8"/>
        <v>293685.49365120009</v>
      </c>
      <c r="W20" s="190">
        <f t="shared" ca="1" si="8"/>
        <v>299559.20352422405</v>
      </c>
      <c r="X20" s="190">
        <f t="shared" ca="1" si="8"/>
        <v>305550.38759470842</v>
      </c>
      <c r="Y20" s="190">
        <f t="shared" ca="1" si="8"/>
        <v>311661.39534660254</v>
      </c>
      <c r="Z20" s="190">
        <f t="shared" ca="1" si="8"/>
        <v>317894.62325353461</v>
      </c>
      <c r="AA20" s="190">
        <f t="shared" ca="1" si="8"/>
        <v>324252.51571860537</v>
      </c>
      <c r="AB20" s="190">
        <f t="shared" ca="1" si="8"/>
        <v>330737.56603297748</v>
      </c>
      <c r="AC20" s="190">
        <f t="shared" ca="1" si="8"/>
        <v>337352.31735363702</v>
      </c>
      <c r="AD20" s="190">
        <f t="shared" ca="1" si="8"/>
        <v>344099.36370070971</v>
      </c>
      <c r="AE20" s="190">
        <f t="shared" ca="1" si="8"/>
        <v>350981.35097472399</v>
      </c>
      <c r="AF20" s="190">
        <f t="shared" ca="1" si="8"/>
        <v>358000.97799421841</v>
      </c>
      <c r="AG20" s="190">
        <f t="shared" ca="1" si="8"/>
        <v>365160.9975541028</v>
      </c>
      <c r="AH20" s="190">
        <f t="shared" ca="1" si="8"/>
        <v>372464.21750518488</v>
      </c>
      <c r="AI20" s="190">
        <f t="shared" ca="1" si="8"/>
        <v>379913.50185528852</v>
      </c>
      <c r="AJ20" s="190">
        <f t="shared" ca="1" si="8"/>
        <v>387511.77189239429</v>
      </c>
      <c r="AK20" s="190">
        <f t="shared" ca="1" si="8"/>
        <v>395262.00733024225</v>
      </c>
      <c r="AL20" s="190">
        <f t="shared" si="8"/>
        <v>0</v>
      </c>
      <c r="AM20" s="190">
        <f t="shared" si="8"/>
        <v>0</v>
      </c>
      <c r="AN20" s="190">
        <f t="shared" si="8"/>
        <v>0</v>
      </c>
      <c r="AO20" s="190">
        <f t="shared" si="8"/>
        <v>0</v>
      </c>
      <c r="AP20" s="190">
        <f t="shared" si="8"/>
        <v>0</v>
      </c>
      <c r="AQ20" s="190">
        <f t="shared" si="8"/>
        <v>0</v>
      </c>
      <c r="AR20" s="190">
        <f t="shared" si="8"/>
        <v>0</v>
      </c>
      <c r="AS20" s="190">
        <f t="shared" si="8"/>
        <v>0</v>
      </c>
      <c r="AT20" s="190">
        <f t="shared" si="8"/>
        <v>0</v>
      </c>
      <c r="AU20" s="190">
        <f t="shared" si="8"/>
        <v>0</v>
      </c>
    </row>
    <row r="21" spans="2:47">
      <c r="B21" s="38" t="s">
        <v>263</v>
      </c>
      <c r="E21" s="49"/>
      <c r="G21" s="36" t="s">
        <v>127</v>
      </c>
      <c r="H21" s="28"/>
      <c r="I21" s="28"/>
      <c r="J21" s="527"/>
      <c r="K21" s="28"/>
      <c r="L21" s="43" t="str">
        <f t="shared" si="5"/>
        <v>[2013 $]</v>
      </c>
      <c r="M21" s="28"/>
      <c r="N21" s="191">
        <f t="shared" ca="1" si="6"/>
        <v>3599208.0575573919</v>
      </c>
      <c r="O21" s="189"/>
      <c r="P21" s="321"/>
      <c r="Q21" s="189"/>
      <c r="R21" s="190">
        <f t="shared" ref="R21:AU21" ca="1" si="9">IF($P21=0,SUMIF($B$96:$B$496,$B21,R$96:R$496),IF(OR(S$99&lt;InServiceYr,S$99&gt;(InServiceYr+analysis_period)),0,$P21*(1+LaborEsc)^(R$16-FirstYr)))</f>
        <v>268260</v>
      </c>
      <c r="S21" s="190">
        <f t="shared" ca="1" si="9"/>
        <v>273625.19999999995</v>
      </c>
      <c r="T21" s="190">
        <f t="shared" ca="1" si="9"/>
        <v>279097.70399999997</v>
      </c>
      <c r="U21" s="190">
        <f t="shared" ca="1" si="9"/>
        <v>284679.65807999996</v>
      </c>
      <c r="V21" s="190">
        <f t="shared" ca="1" si="9"/>
        <v>290373.25124160002</v>
      </c>
      <c r="W21" s="190">
        <f t="shared" ca="1" si="9"/>
        <v>296180.71626643196</v>
      </c>
      <c r="X21" s="190">
        <f t="shared" ca="1" si="9"/>
        <v>302104.33059176058</v>
      </c>
      <c r="Y21" s="190">
        <f t="shared" ca="1" si="9"/>
        <v>308146.41720359586</v>
      </c>
      <c r="Z21" s="190">
        <f t="shared" ca="1" si="9"/>
        <v>314309.34554766776</v>
      </c>
      <c r="AA21" s="190">
        <f t="shared" ca="1" si="9"/>
        <v>320595.53245862114</v>
      </c>
      <c r="AB21" s="190">
        <f t="shared" ca="1" si="9"/>
        <v>327007.44310779346</v>
      </c>
      <c r="AC21" s="190">
        <f t="shared" ca="1" si="9"/>
        <v>333547.59196994943</v>
      </c>
      <c r="AD21" s="190">
        <f t="shared" ca="1" si="9"/>
        <v>340218.54380934837</v>
      </c>
      <c r="AE21" s="190">
        <f t="shared" ca="1" si="9"/>
        <v>347022.91468553536</v>
      </c>
      <c r="AF21" s="190">
        <f t="shared" ca="1" si="9"/>
        <v>353963.37297924596</v>
      </c>
      <c r="AG21" s="190">
        <f t="shared" ca="1" si="9"/>
        <v>361042.64043883095</v>
      </c>
      <c r="AH21" s="190">
        <f t="shared" ca="1" si="9"/>
        <v>368263.49324760761</v>
      </c>
      <c r="AI21" s="190">
        <f t="shared" ca="1" si="9"/>
        <v>375628.76311255974</v>
      </c>
      <c r="AJ21" s="190">
        <f t="shared" ca="1" si="9"/>
        <v>383141.33837481093</v>
      </c>
      <c r="AK21" s="190">
        <f t="shared" ca="1" si="9"/>
        <v>390804.16514230717</v>
      </c>
      <c r="AL21" s="190">
        <f t="shared" si="9"/>
        <v>0</v>
      </c>
      <c r="AM21" s="190">
        <f t="shared" si="9"/>
        <v>0</v>
      </c>
      <c r="AN21" s="190">
        <f t="shared" si="9"/>
        <v>0</v>
      </c>
      <c r="AO21" s="190">
        <f t="shared" si="9"/>
        <v>0</v>
      </c>
      <c r="AP21" s="190">
        <f t="shared" si="9"/>
        <v>0</v>
      </c>
      <c r="AQ21" s="190">
        <f t="shared" si="9"/>
        <v>0</v>
      </c>
      <c r="AR21" s="190">
        <f t="shared" si="9"/>
        <v>0</v>
      </c>
      <c r="AS21" s="190">
        <f t="shared" si="9"/>
        <v>0</v>
      </c>
      <c r="AT21" s="190">
        <f t="shared" si="9"/>
        <v>0</v>
      </c>
      <c r="AU21" s="190">
        <f t="shared" si="9"/>
        <v>0</v>
      </c>
    </row>
    <row r="22" spans="2:47">
      <c r="B22" s="38" t="s">
        <v>277</v>
      </c>
      <c r="E22" s="49"/>
      <c r="G22" s="36" t="s">
        <v>276</v>
      </c>
      <c r="H22" s="28"/>
      <c r="I22" s="28"/>
      <c r="J22" s="527"/>
      <c r="K22" s="28"/>
      <c r="L22" s="43" t="str">
        <f t="shared" si="5"/>
        <v>[2013 $]</v>
      </c>
      <c r="M22" s="28"/>
      <c r="N22" s="191">
        <f t="shared" ca="1" si="6"/>
        <v>6527841.2298664488</v>
      </c>
      <c r="O22" s="189"/>
      <c r="P22" s="321"/>
      <c r="Q22" s="189"/>
      <c r="R22" s="190">
        <f t="shared" ref="R22:AU22" ca="1" si="10">IF($P22=0,SUMIF($B$96:$B$496,$B22,R$96:R$496),IF(OR(S$99&lt;InServiceYr,S$99&gt;(InServiceYr+analysis_period)),0,$P22*(1+LaborEsc)^(R$16-FirstYr)))</f>
        <v>486540</v>
      </c>
      <c r="S22" s="190">
        <f t="shared" ca="1" si="10"/>
        <v>496270.8</v>
      </c>
      <c r="T22" s="190">
        <f t="shared" ca="1" si="10"/>
        <v>506196.21599999996</v>
      </c>
      <c r="U22" s="190">
        <f t="shared" ca="1" si="10"/>
        <v>516320.14032000001</v>
      </c>
      <c r="V22" s="190">
        <f t="shared" ca="1" si="10"/>
        <v>526646.54312639998</v>
      </c>
      <c r="W22" s="190">
        <f t="shared" ca="1" si="10"/>
        <v>537179.47398892802</v>
      </c>
      <c r="X22" s="190">
        <f t="shared" ca="1" si="10"/>
        <v>547923.06346870644</v>
      </c>
      <c r="Y22" s="190">
        <f t="shared" ca="1" si="10"/>
        <v>558881.52473808068</v>
      </c>
      <c r="Z22" s="190">
        <f t="shared" ca="1" si="10"/>
        <v>570059.15523284231</v>
      </c>
      <c r="AA22" s="190">
        <f t="shared" ca="1" si="10"/>
        <v>581460.33833749907</v>
      </c>
      <c r="AB22" s="190">
        <f t="shared" ca="1" si="10"/>
        <v>593089.54510424903</v>
      </c>
      <c r="AC22" s="190">
        <f t="shared" ca="1" si="10"/>
        <v>604951.33600633405</v>
      </c>
      <c r="AD22" s="190">
        <f t="shared" ca="1" si="10"/>
        <v>617050.36272646079</v>
      </c>
      <c r="AE22" s="190">
        <f t="shared" ca="1" si="10"/>
        <v>629391.36998098996</v>
      </c>
      <c r="AF22" s="190">
        <f t="shared" ca="1" si="10"/>
        <v>641979.19738060969</v>
      </c>
      <c r="AG22" s="190">
        <f t="shared" ca="1" si="10"/>
        <v>654818.78132822202</v>
      </c>
      <c r="AH22" s="190">
        <f t="shared" ca="1" si="10"/>
        <v>667915.15695478639</v>
      </c>
      <c r="AI22" s="190">
        <f t="shared" ca="1" si="10"/>
        <v>681273.46009388217</v>
      </c>
      <c r="AJ22" s="190">
        <f t="shared" ca="1" si="10"/>
        <v>694898.92929575965</v>
      </c>
      <c r="AK22" s="190">
        <f t="shared" ca="1" si="10"/>
        <v>708796.90788167506</v>
      </c>
      <c r="AL22" s="190">
        <f t="shared" si="10"/>
        <v>0</v>
      </c>
      <c r="AM22" s="190">
        <f t="shared" si="10"/>
        <v>0</v>
      </c>
      <c r="AN22" s="190">
        <f t="shared" si="10"/>
        <v>0</v>
      </c>
      <c r="AO22" s="190">
        <f t="shared" si="10"/>
        <v>0</v>
      </c>
      <c r="AP22" s="190">
        <f t="shared" si="10"/>
        <v>0</v>
      </c>
      <c r="AQ22" s="190">
        <f t="shared" si="10"/>
        <v>0</v>
      </c>
      <c r="AR22" s="190">
        <f t="shared" si="10"/>
        <v>0</v>
      </c>
      <c r="AS22" s="190">
        <f t="shared" si="10"/>
        <v>0</v>
      </c>
      <c r="AT22" s="190">
        <f t="shared" si="10"/>
        <v>0</v>
      </c>
      <c r="AU22" s="190">
        <f t="shared" si="10"/>
        <v>0</v>
      </c>
    </row>
    <row r="23" spans="2:47">
      <c r="B23" s="38" t="s">
        <v>274</v>
      </c>
      <c r="E23" s="49"/>
      <c r="G23" s="36" t="s">
        <v>16</v>
      </c>
      <c r="H23" s="28"/>
      <c r="I23" s="28"/>
      <c r="J23" s="527"/>
      <c r="K23" s="28"/>
      <c r="L23" s="43" t="str">
        <f t="shared" si="5"/>
        <v>[2013 $]</v>
      </c>
      <c r="M23" s="28"/>
      <c r="N23" s="191">
        <f t="shared" ca="1" si="6"/>
        <v>0</v>
      </c>
      <c r="O23" s="189"/>
      <c r="P23" s="321"/>
      <c r="Q23" s="189"/>
      <c r="R23" s="190">
        <f t="shared" ref="R23:AU23" ca="1" si="11">IF($P23=0,SUMIF($B$96:$B$496,$B23,R$96:R$496),IF(OR(S$99&lt;InServiceYr,S$99&gt;(InServiceYr+analysis_period)),0,$P23*(1+LaborEsc)^(R$16-FirstYr)))</f>
        <v>0</v>
      </c>
      <c r="S23" s="190">
        <f t="shared" ca="1" si="11"/>
        <v>0</v>
      </c>
      <c r="T23" s="190">
        <f t="shared" ca="1" si="11"/>
        <v>0</v>
      </c>
      <c r="U23" s="190">
        <f t="shared" ca="1" si="11"/>
        <v>0</v>
      </c>
      <c r="V23" s="190">
        <f t="shared" ca="1" si="11"/>
        <v>0</v>
      </c>
      <c r="W23" s="190">
        <f t="shared" ca="1" si="11"/>
        <v>0</v>
      </c>
      <c r="X23" s="190">
        <f t="shared" ca="1" si="11"/>
        <v>0</v>
      </c>
      <c r="Y23" s="190">
        <f t="shared" ca="1" si="11"/>
        <v>0</v>
      </c>
      <c r="Z23" s="190">
        <f t="shared" ca="1" si="11"/>
        <v>0</v>
      </c>
      <c r="AA23" s="190">
        <f t="shared" ca="1" si="11"/>
        <v>0</v>
      </c>
      <c r="AB23" s="190">
        <f t="shared" ca="1" si="11"/>
        <v>0</v>
      </c>
      <c r="AC23" s="190">
        <f t="shared" ca="1" si="11"/>
        <v>0</v>
      </c>
      <c r="AD23" s="190">
        <f t="shared" ca="1" si="11"/>
        <v>0</v>
      </c>
      <c r="AE23" s="190">
        <f t="shared" ca="1" si="11"/>
        <v>0</v>
      </c>
      <c r="AF23" s="190">
        <f t="shared" ca="1" si="11"/>
        <v>0</v>
      </c>
      <c r="AG23" s="190">
        <f t="shared" ca="1" si="11"/>
        <v>0</v>
      </c>
      <c r="AH23" s="190">
        <f t="shared" ca="1" si="11"/>
        <v>0</v>
      </c>
      <c r="AI23" s="190">
        <f t="shared" ca="1" si="11"/>
        <v>0</v>
      </c>
      <c r="AJ23" s="190">
        <f t="shared" ca="1" si="11"/>
        <v>0</v>
      </c>
      <c r="AK23" s="190">
        <f t="shared" ca="1" si="11"/>
        <v>0</v>
      </c>
      <c r="AL23" s="190">
        <f t="shared" si="11"/>
        <v>0</v>
      </c>
      <c r="AM23" s="190">
        <f t="shared" si="11"/>
        <v>0</v>
      </c>
      <c r="AN23" s="190">
        <f t="shared" si="11"/>
        <v>0</v>
      </c>
      <c r="AO23" s="190">
        <f t="shared" si="11"/>
        <v>0</v>
      </c>
      <c r="AP23" s="190">
        <f t="shared" si="11"/>
        <v>0</v>
      </c>
      <c r="AQ23" s="190">
        <f t="shared" si="11"/>
        <v>0</v>
      </c>
      <c r="AR23" s="190">
        <f t="shared" si="11"/>
        <v>0</v>
      </c>
      <c r="AS23" s="190">
        <f t="shared" si="11"/>
        <v>0</v>
      </c>
      <c r="AT23" s="190">
        <f t="shared" si="11"/>
        <v>0</v>
      </c>
      <c r="AU23" s="190">
        <f t="shared" si="11"/>
        <v>0</v>
      </c>
    </row>
    <row r="24" spans="2:47">
      <c r="B24" s="38" t="s">
        <v>257</v>
      </c>
      <c r="E24" s="49"/>
      <c r="G24" s="36" t="s">
        <v>284</v>
      </c>
      <c r="H24" s="28"/>
      <c r="I24" s="28"/>
      <c r="J24" s="527"/>
      <c r="K24" s="28"/>
      <c r="L24" s="43" t="str">
        <f t="shared" si="5"/>
        <v>[2013 $]</v>
      </c>
      <c r="M24" s="28"/>
      <c r="N24" s="191">
        <f t="shared" ca="1" si="6"/>
        <v>894038.56354271842</v>
      </c>
      <c r="O24" s="189"/>
      <c r="P24" s="321"/>
      <c r="Q24" s="189"/>
      <c r="R24" s="190">
        <f t="shared" ref="R24:AU24" ca="1" si="12">IF($P24=0,SUMIF($B$96:$B$496,$B24,R$96:R$496),IF(OR(S$99&lt;InServiceYr,S$99&gt;(InServiceYr+analysis_period)),0,$P24*(1+LaborEsc)^(R$16-FirstYr)))</f>
        <v>65107.895744684974</v>
      </c>
      <c r="S24" s="190">
        <f t="shared" ca="1" si="12"/>
        <v>65513.747849413798</v>
      </c>
      <c r="T24" s="190">
        <f t="shared" ca="1" si="12"/>
        <v>68338.041686477067</v>
      </c>
      <c r="U24" s="190">
        <f t="shared" ca="1" si="12"/>
        <v>70388.01193148832</v>
      </c>
      <c r="V24" s="190">
        <f t="shared" ca="1" si="12"/>
        <v>72086.552813415081</v>
      </c>
      <c r="W24" s="190">
        <f t="shared" ca="1" si="12"/>
        <v>73008.776470361496</v>
      </c>
      <c r="X24" s="190">
        <f t="shared" ca="1" si="12"/>
        <v>74196.809830718368</v>
      </c>
      <c r="Y24" s="190">
        <f t="shared" ca="1" si="12"/>
        <v>76024.868107021321</v>
      </c>
      <c r="Z24" s="190">
        <f t="shared" ca="1" si="12"/>
        <v>77844.955288909259</v>
      </c>
      <c r="AA24" s="190">
        <f t="shared" ca="1" si="12"/>
        <v>79791.27037084171</v>
      </c>
      <c r="AB24" s="190">
        <f t="shared" ca="1" si="12"/>
        <v>81519.53356989086</v>
      </c>
      <c r="AC24" s="190">
        <f t="shared" ca="1" si="12"/>
        <v>83089.30295114046</v>
      </c>
      <c r="AD24" s="190">
        <f t="shared" ca="1" si="12"/>
        <v>85008.648991770475</v>
      </c>
      <c r="AE24" s="190">
        <f t="shared" ca="1" si="12"/>
        <v>86946.137092047953</v>
      </c>
      <c r="AF24" s="190">
        <f t="shared" ca="1" si="12"/>
        <v>89013.421007852026</v>
      </c>
      <c r="AG24" s="190">
        <f t="shared" ca="1" si="12"/>
        <v>91329.266264938618</v>
      </c>
      <c r="AH24" s="190">
        <f t="shared" ca="1" si="12"/>
        <v>93567.514516238516</v>
      </c>
      <c r="AI24" s="190">
        <f t="shared" ca="1" si="12"/>
        <v>95994.80385401682</v>
      </c>
      <c r="AJ24" s="190">
        <f t="shared" ca="1" si="12"/>
        <v>98564.442020173708</v>
      </c>
      <c r="AK24" s="190">
        <f t="shared" ca="1" si="12"/>
        <v>101245.71675571881</v>
      </c>
      <c r="AL24" s="190">
        <f t="shared" si="12"/>
        <v>0</v>
      </c>
      <c r="AM24" s="190">
        <f t="shared" si="12"/>
        <v>0</v>
      </c>
      <c r="AN24" s="190">
        <f t="shared" si="12"/>
        <v>0</v>
      </c>
      <c r="AO24" s="190">
        <f t="shared" si="12"/>
        <v>0</v>
      </c>
      <c r="AP24" s="190">
        <f t="shared" si="12"/>
        <v>0</v>
      </c>
      <c r="AQ24" s="190">
        <f t="shared" si="12"/>
        <v>0</v>
      </c>
      <c r="AR24" s="190">
        <f t="shared" si="12"/>
        <v>0</v>
      </c>
      <c r="AS24" s="190">
        <f t="shared" si="12"/>
        <v>0</v>
      </c>
      <c r="AT24" s="190">
        <f t="shared" si="12"/>
        <v>0</v>
      </c>
      <c r="AU24" s="190">
        <f t="shared" si="12"/>
        <v>0</v>
      </c>
    </row>
    <row r="25" spans="2:47">
      <c r="B25" s="38" t="s">
        <v>864</v>
      </c>
      <c r="E25" s="49"/>
      <c r="G25" s="36" t="s">
        <v>865</v>
      </c>
      <c r="H25" s="28"/>
      <c r="I25" s="28"/>
      <c r="J25" s="527"/>
      <c r="K25" s="28"/>
      <c r="L25" s="43" t="str">
        <f t="shared" si="5"/>
        <v>[2013 $]</v>
      </c>
      <c r="M25" s="28"/>
      <c r="N25" s="191">
        <f t="shared" ca="1" si="6"/>
        <v>0</v>
      </c>
      <c r="O25" s="189"/>
      <c r="P25" s="321"/>
      <c r="Q25" s="189"/>
      <c r="R25" s="190">
        <f t="shared" ref="R25:AU25" ca="1" si="13">IF($P25=0,SUMIF($B$96:$B$496,$B25,R$96:R$496),IF(OR(S$99&lt;InServiceYr,S$99&gt;(InServiceYr+analysis_period)),0,$P25*(1+LaborEsc)^(R$16-FirstYr)))</f>
        <v>0</v>
      </c>
      <c r="S25" s="190">
        <f t="shared" ca="1" si="13"/>
        <v>0</v>
      </c>
      <c r="T25" s="190">
        <f t="shared" ca="1" si="13"/>
        <v>0</v>
      </c>
      <c r="U25" s="190">
        <f t="shared" ca="1" si="13"/>
        <v>0</v>
      </c>
      <c r="V25" s="190">
        <f t="shared" ca="1" si="13"/>
        <v>0</v>
      </c>
      <c r="W25" s="190">
        <f t="shared" ca="1" si="13"/>
        <v>0</v>
      </c>
      <c r="X25" s="190">
        <f t="shared" ca="1" si="13"/>
        <v>0</v>
      </c>
      <c r="Y25" s="190">
        <f t="shared" ca="1" si="13"/>
        <v>0</v>
      </c>
      <c r="Z25" s="190">
        <f t="shared" ca="1" si="13"/>
        <v>0</v>
      </c>
      <c r="AA25" s="190">
        <f t="shared" ca="1" si="13"/>
        <v>0</v>
      </c>
      <c r="AB25" s="190">
        <f t="shared" ca="1" si="13"/>
        <v>0</v>
      </c>
      <c r="AC25" s="190">
        <f t="shared" ca="1" si="13"/>
        <v>0</v>
      </c>
      <c r="AD25" s="190">
        <f t="shared" ca="1" si="13"/>
        <v>0</v>
      </c>
      <c r="AE25" s="190">
        <f t="shared" ca="1" si="13"/>
        <v>0</v>
      </c>
      <c r="AF25" s="190">
        <f t="shared" ca="1" si="13"/>
        <v>0</v>
      </c>
      <c r="AG25" s="190">
        <f t="shared" ca="1" si="13"/>
        <v>0</v>
      </c>
      <c r="AH25" s="190">
        <f t="shared" ca="1" si="13"/>
        <v>0</v>
      </c>
      <c r="AI25" s="190">
        <f t="shared" ca="1" si="13"/>
        <v>0</v>
      </c>
      <c r="AJ25" s="190">
        <f t="shared" ca="1" si="13"/>
        <v>0</v>
      </c>
      <c r="AK25" s="190">
        <f t="shared" ca="1" si="13"/>
        <v>0</v>
      </c>
      <c r="AL25" s="190">
        <f t="shared" si="13"/>
        <v>0</v>
      </c>
      <c r="AM25" s="190">
        <f t="shared" si="13"/>
        <v>0</v>
      </c>
      <c r="AN25" s="190">
        <f t="shared" si="13"/>
        <v>0</v>
      </c>
      <c r="AO25" s="190">
        <f t="shared" si="13"/>
        <v>0</v>
      </c>
      <c r="AP25" s="190">
        <f t="shared" si="13"/>
        <v>0</v>
      </c>
      <c r="AQ25" s="190">
        <f t="shared" si="13"/>
        <v>0</v>
      </c>
      <c r="AR25" s="190">
        <f t="shared" si="13"/>
        <v>0</v>
      </c>
      <c r="AS25" s="190">
        <f t="shared" si="13"/>
        <v>0</v>
      </c>
      <c r="AT25" s="190">
        <f t="shared" si="13"/>
        <v>0</v>
      </c>
      <c r="AU25" s="190">
        <f t="shared" si="13"/>
        <v>0</v>
      </c>
    </row>
    <row r="26" spans="2:47">
      <c r="B26" s="38" t="s">
        <v>273</v>
      </c>
      <c r="E26" s="49"/>
      <c r="G26" s="36" t="s">
        <v>291</v>
      </c>
      <c r="H26" s="28"/>
      <c r="I26" s="28"/>
      <c r="J26" s="527"/>
      <c r="K26" s="28"/>
      <c r="L26" s="43" t="str">
        <f t="shared" si="5"/>
        <v>[2013 $]</v>
      </c>
      <c r="M26" s="28"/>
      <c r="N26" s="191">
        <f t="shared" ca="1" si="6"/>
        <v>0</v>
      </c>
      <c r="O26" s="189"/>
      <c r="P26" s="321"/>
      <c r="Q26" s="189"/>
      <c r="R26" s="190">
        <f t="shared" ref="R26:AU26" ca="1" si="14">IF($P26=0,SUMIF($B$96:$B$496,$B26,R$96:R$496),IF(OR(S$99&lt;InServiceYr,S$99&gt;(InServiceYr+analysis_period)),0,$P26*(1+LaborEsc)^(R$16-FirstYr)))</f>
        <v>0</v>
      </c>
      <c r="S26" s="190">
        <f t="shared" ca="1" si="14"/>
        <v>0</v>
      </c>
      <c r="T26" s="190">
        <f t="shared" ca="1" si="14"/>
        <v>0</v>
      </c>
      <c r="U26" s="190">
        <f t="shared" ca="1" si="14"/>
        <v>0</v>
      </c>
      <c r="V26" s="190">
        <f t="shared" ca="1" si="14"/>
        <v>0</v>
      </c>
      <c r="W26" s="190">
        <f t="shared" ca="1" si="14"/>
        <v>0</v>
      </c>
      <c r="X26" s="190">
        <f t="shared" ca="1" si="14"/>
        <v>0</v>
      </c>
      <c r="Y26" s="190">
        <f t="shared" ca="1" si="14"/>
        <v>0</v>
      </c>
      <c r="Z26" s="190">
        <f t="shared" ca="1" si="14"/>
        <v>0</v>
      </c>
      <c r="AA26" s="190">
        <f t="shared" ca="1" si="14"/>
        <v>0</v>
      </c>
      <c r="AB26" s="190">
        <f t="shared" ca="1" si="14"/>
        <v>0</v>
      </c>
      <c r="AC26" s="190">
        <f t="shared" ca="1" si="14"/>
        <v>0</v>
      </c>
      <c r="AD26" s="190">
        <f t="shared" ca="1" si="14"/>
        <v>0</v>
      </c>
      <c r="AE26" s="190">
        <f t="shared" ca="1" si="14"/>
        <v>0</v>
      </c>
      <c r="AF26" s="190">
        <f t="shared" ca="1" si="14"/>
        <v>0</v>
      </c>
      <c r="AG26" s="190">
        <f t="shared" ca="1" si="14"/>
        <v>0</v>
      </c>
      <c r="AH26" s="190">
        <f t="shared" ca="1" si="14"/>
        <v>0</v>
      </c>
      <c r="AI26" s="190">
        <f t="shared" ca="1" si="14"/>
        <v>0</v>
      </c>
      <c r="AJ26" s="190">
        <f t="shared" ca="1" si="14"/>
        <v>0</v>
      </c>
      <c r="AK26" s="190">
        <f t="shared" ca="1" si="14"/>
        <v>0</v>
      </c>
      <c r="AL26" s="190">
        <f t="shared" si="14"/>
        <v>0</v>
      </c>
      <c r="AM26" s="190">
        <f t="shared" si="14"/>
        <v>0</v>
      </c>
      <c r="AN26" s="190">
        <f t="shared" si="14"/>
        <v>0</v>
      </c>
      <c r="AO26" s="190">
        <f t="shared" si="14"/>
        <v>0</v>
      </c>
      <c r="AP26" s="190">
        <f t="shared" si="14"/>
        <v>0</v>
      </c>
      <c r="AQ26" s="190">
        <f t="shared" si="14"/>
        <v>0</v>
      </c>
      <c r="AR26" s="190">
        <f t="shared" si="14"/>
        <v>0</v>
      </c>
      <c r="AS26" s="190">
        <f t="shared" si="14"/>
        <v>0</v>
      </c>
      <c r="AT26" s="190">
        <f t="shared" si="14"/>
        <v>0</v>
      </c>
      <c r="AU26" s="190">
        <f t="shared" si="14"/>
        <v>0</v>
      </c>
    </row>
    <row r="27" spans="2:47">
      <c r="E27" s="49"/>
      <c r="G27" s="36" t="s">
        <v>497</v>
      </c>
      <c r="H27" s="28"/>
      <c r="I27" s="28"/>
      <c r="J27" s="527"/>
      <c r="K27" s="28"/>
      <c r="L27" s="43" t="str">
        <f t="shared" si="5"/>
        <v>[2013 $]</v>
      </c>
      <c r="M27" s="28"/>
      <c r="N27" s="191">
        <f t="shared" si="6"/>
        <v>0</v>
      </c>
      <c r="O27" s="189"/>
      <c r="P27" s="319"/>
      <c r="Q27" s="189"/>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row>
    <row r="28" spans="2:47">
      <c r="E28" s="49"/>
      <c r="G28" s="36" t="s">
        <v>498</v>
      </c>
      <c r="H28" s="28"/>
      <c r="I28" s="28"/>
      <c r="J28" s="527"/>
      <c r="K28" s="28"/>
      <c r="L28" s="43" t="str">
        <f t="shared" si="5"/>
        <v>[2013 $]</v>
      </c>
      <c r="M28" s="28"/>
      <c r="N28" s="191">
        <f t="shared" si="6"/>
        <v>0</v>
      </c>
      <c r="O28" s="189"/>
      <c r="P28" s="319"/>
      <c r="Q28" s="189"/>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row>
    <row r="29" spans="2:47">
      <c r="E29" s="49"/>
      <c r="G29" s="36" t="s">
        <v>499</v>
      </c>
      <c r="H29" s="28"/>
      <c r="I29" s="28"/>
      <c r="J29" s="527"/>
      <c r="K29" s="28"/>
      <c r="L29" s="43" t="str">
        <f t="shared" si="5"/>
        <v>[2013 $]</v>
      </c>
      <c r="M29" s="28"/>
      <c r="N29" s="191">
        <f t="shared" si="6"/>
        <v>0</v>
      </c>
      <c r="O29" s="189"/>
      <c r="P29" s="319"/>
      <c r="Q29" s="189"/>
      <c r="R29" s="321"/>
      <c r="S29" s="321"/>
      <c r="T29" s="321"/>
      <c r="U29" s="321"/>
      <c r="V29" s="321"/>
      <c r="W29" s="32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c r="AT29" s="321"/>
      <c r="AU29" s="321"/>
    </row>
    <row r="30" spans="2:47">
      <c r="E30" s="49"/>
      <c r="G30" s="39" t="s">
        <v>304</v>
      </c>
      <c r="H30" s="28"/>
      <c r="I30" s="28"/>
      <c r="J30" s="28"/>
      <c r="K30" s="28"/>
      <c r="L30" s="968"/>
      <c r="M30" s="28"/>
      <c r="N30" s="60"/>
      <c r="O30" s="312"/>
      <c r="Q30" s="312"/>
    </row>
    <row r="31" spans="2:47">
      <c r="B31" s="38" t="s">
        <v>265</v>
      </c>
      <c r="E31" s="49"/>
      <c r="G31" s="36" t="s">
        <v>108</v>
      </c>
      <c r="H31" s="28"/>
      <c r="I31" s="28"/>
      <c r="J31" s="28"/>
      <c r="K31" s="28"/>
      <c r="L31" s="43" t="str">
        <f>"["&amp;FirstYr-1&amp;" $]"</f>
        <v>[2013 $]</v>
      </c>
      <c r="M31" s="28"/>
      <c r="N31" s="191">
        <f t="shared" ref="N31:N36" ca="1" si="15">NPV(DiscountRt,R31:AU31)</f>
        <v>2220486.1967510907</v>
      </c>
      <c r="O31" s="189"/>
      <c r="P31" s="321"/>
      <c r="Q31" s="189"/>
      <c r="R31" s="190">
        <f t="shared" ref="R31:AU31" ca="1" si="16">IF($P31=0,SUMIF($B$96:$B$496,$B31,R$96:R$496),IF(OR(S$99&lt;InServiceYr,S$99&gt;(InServiceYr+analysis_period)),0,$P31*(1+LaborEsc)^(R$16-FirstYr)))</f>
        <v>161705.75822557823</v>
      </c>
      <c r="S31" s="190">
        <f t="shared" ca="1" si="16"/>
        <v>162713.75612770638</v>
      </c>
      <c r="T31" s="190">
        <f t="shared" ca="1" si="16"/>
        <v>169728.33663519312</v>
      </c>
      <c r="U31" s="190">
        <f t="shared" ca="1" si="16"/>
        <v>174819.7620148327</v>
      </c>
      <c r="V31" s="190">
        <f t="shared" ca="1" si="16"/>
        <v>179038.35698012201</v>
      </c>
      <c r="W31" s="190">
        <f t="shared" ca="1" si="16"/>
        <v>181328.84531482233</v>
      </c>
      <c r="X31" s="190">
        <f t="shared" ca="1" si="16"/>
        <v>184279.51409525934</v>
      </c>
      <c r="Y31" s="190">
        <f t="shared" ca="1" si="16"/>
        <v>188819.78599729275</v>
      </c>
      <c r="Z31" s="190">
        <f t="shared" ca="1" si="16"/>
        <v>193340.26042543261</v>
      </c>
      <c r="AA31" s="190">
        <f t="shared" ca="1" si="16"/>
        <v>198174.24181079262</v>
      </c>
      <c r="AB31" s="190">
        <f t="shared" ca="1" si="16"/>
        <v>202466.65685230342</v>
      </c>
      <c r="AC31" s="190">
        <f t="shared" ca="1" si="16"/>
        <v>206365.42742584</v>
      </c>
      <c r="AD31" s="190">
        <f t="shared" ca="1" si="16"/>
        <v>211132.4269310064</v>
      </c>
      <c r="AE31" s="190">
        <f t="shared" ca="1" si="16"/>
        <v>215944.48511112324</v>
      </c>
      <c r="AF31" s="190">
        <f t="shared" ca="1" si="16"/>
        <v>221078.9117309534</v>
      </c>
      <c r="AG31" s="190">
        <f t="shared" ca="1" si="16"/>
        <v>226830.67976072984</v>
      </c>
      <c r="AH31" s="190">
        <f t="shared" ca="1" si="16"/>
        <v>232389.72335189168</v>
      </c>
      <c r="AI31" s="190">
        <f t="shared" ca="1" si="16"/>
        <v>238418.28038493556</v>
      </c>
      <c r="AJ31" s="190">
        <f t="shared" ca="1" si="16"/>
        <v>244800.38325081873</v>
      </c>
      <c r="AK31" s="190">
        <f t="shared" ca="1" si="16"/>
        <v>251459.75319609611</v>
      </c>
      <c r="AL31" s="190">
        <f t="shared" si="16"/>
        <v>0</v>
      </c>
      <c r="AM31" s="190">
        <f t="shared" si="16"/>
        <v>0</v>
      </c>
      <c r="AN31" s="190">
        <f t="shared" si="16"/>
        <v>0</v>
      </c>
      <c r="AO31" s="190">
        <f t="shared" si="16"/>
        <v>0</v>
      </c>
      <c r="AP31" s="190">
        <f t="shared" si="16"/>
        <v>0</v>
      </c>
      <c r="AQ31" s="190">
        <f t="shared" si="16"/>
        <v>0</v>
      </c>
      <c r="AR31" s="190">
        <f t="shared" si="16"/>
        <v>0</v>
      </c>
      <c r="AS31" s="190">
        <f t="shared" si="16"/>
        <v>0</v>
      </c>
      <c r="AT31" s="190">
        <f t="shared" si="16"/>
        <v>0</v>
      </c>
      <c r="AU31" s="190">
        <f t="shared" si="16"/>
        <v>0</v>
      </c>
    </row>
    <row r="32" spans="2:47">
      <c r="B32" s="38" t="s">
        <v>289</v>
      </c>
      <c r="E32" s="49"/>
      <c r="G32" s="36" t="s">
        <v>292</v>
      </c>
      <c r="H32" s="28"/>
      <c r="I32" s="28"/>
      <c r="J32" s="28"/>
      <c r="K32" s="28"/>
      <c r="L32" s="43" t="str">
        <f>"["&amp;FirstYr-1&amp;" $]"</f>
        <v>[2013 $]</v>
      </c>
      <c r="M32" s="28"/>
      <c r="N32" s="191">
        <f t="shared" ca="1" si="15"/>
        <v>205278.02609642924</v>
      </c>
      <c r="O32" s="189"/>
      <c r="P32" s="321"/>
      <c r="Q32" s="189"/>
      <c r="R32" s="190">
        <f t="shared" ref="R32:AU32" ca="1" si="17">IF($P32=0,SUMIF($B$96:$B$496,$B32,R$96:R$496),IF(OR(S$99&lt;InServiceYr,S$99&gt;(InServiceYr+analysis_period)),0,$P32*(1+LaborEsc)^(R$16-FirstYr)))</f>
        <v>15300</v>
      </c>
      <c r="S32" s="190">
        <f t="shared" ca="1" si="17"/>
        <v>15606</v>
      </c>
      <c r="T32" s="190">
        <f t="shared" ca="1" si="17"/>
        <v>15918.119999999999</v>
      </c>
      <c r="U32" s="190">
        <f t="shared" ca="1" si="17"/>
        <v>16236.482399999999</v>
      </c>
      <c r="V32" s="190">
        <f t="shared" ca="1" si="17"/>
        <v>16561.212048000001</v>
      </c>
      <c r="W32" s="190">
        <f t="shared" ca="1" si="17"/>
        <v>16892.436288960002</v>
      </c>
      <c r="X32" s="190">
        <f t="shared" ca="1" si="17"/>
        <v>17230.285014739198</v>
      </c>
      <c r="Y32" s="190">
        <f t="shared" ca="1" si="17"/>
        <v>17574.890715033984</v>
      </c>
      <c r="Z32" s="190">
        <f t="shared" ca="1" si="17"/>
        <v>17926.388529334661</v>
      </c>
      <c r="AA32" s="190">
        <f t="shared" ca="1" si="17"/>
        <v>18284.916299921355</v>
      </c>
      <c r="AB32" s="190">
        <f t="shared" ca="1" si="17"/>
        <v>18650.614625919781</v>
      </c>
      <c r="AC32" s="190">
        <f t="shared" ca="1" si="17"/>
        <v>19023.626918438178</v>
      </c>
      <c r="AD32" s="190">
        <f t="shared" ca="1" si="17"/>
        <v>19404.09945680694</v>
      </c>
      <c r="AE32" s="190">
        <f t="shared" ca="1" si="17"/>
        <v>19792.181445943083</v>
      </c>
      <c r="AF32" s="190">
        <f t="shared" ca="1" si="17"/>
        <v>20188.02507486194</v>
      </c>
      <c r="AG32" s="190">
        <f t="shared" ca="1" si="17"/>
        <v>20591.78557635918</v>
      </c>
      <c r="AH32" s="190">
        <f t="shared" ca="1" si="17"/>
        <v>21003.621287886366</v>
      </c>
      <c r="AI32" s="190">
        <f t="shared" ca="1" si="17"/>
        <v>21423.69371364409</v>
      </c>
      <c r="AJ32" s="190">
        <f t="shared" ca="1" si="17"/>
        <v>21852.167587916971</v>
      </c>
      <c r="AK32" s="190">
        <f t="shared" ca="1" si="17"/>
        <v>22289.210939675315</v>
      </c>
      <c r="AL32" s="190">
        <f t="shared" si="17"/>
        <v>0</v>
      </c>
      <c r="AM32" s="190">
        <f t="shared" si="17"/>
        <v>0</v>
      </c>
      <c r="AN32" s="190">
        <f t="shared" si="17"/>
        <v>0</v>
      </c>
      <c r="AO32" s="190">
        <f t="shared" si="17"/>
        <v>0</v>
      </c>
      <c r="AP32" s="190">
        <f t="shared" si="17"/>
        <v>0</v>
      </c>
      <c r="AQ32" s="190">
        <f t="shared" si="17"/>
        <v>0</v>
      </c>
      <c r="AR32" s="190">
        <f t="shared" si="17"/>
        <v>0</v>
      </c>
      <c r="AS32" s="190">
        <f t="shared" si="17"/>
        <v>0</v>
      </c>
      <c r="AT32" s="190">
        <f t="shared" si="17"/>
        <v>0</v>
      </c>
      <c r="AU32" s="190">
        <f t="shared" si="17"/>
        <v>0</v>
      </c>
    </row>
    <row r="33" spans="1:47">
      <c r="E33" s="49"/>
      <c r="G33" s="36" t="s">
        <v>500</v>
      </c>
      <c r="H33" s="28"/>
      <c r="I33" s="28"/>
      <c r="J33" s="28"/>
      <c r="K33" s="28"/>
      <c r="L33" s="43" t="str">
        <f>"["&amp;FirstYr-1&amp;" $]"</f>
        <v>[2013 $]</v>
      </c>
      <c r="M33" s="28"/>
      <c r="N33" s="191">
        <f t="shared" si="15"/>
        <v>0</v>
      </c>
      <c r="O33" s="189"/>
      <c r="P33" s="319"/>
      <c r="Q33" s="189"/>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row>
    <row r="34" spans="1:47">
      <c r="E34" s="49"/>
      <c r="G34" s="36" t="s">
        <v>501</v>
      </c>
      <c r="H34" s="28"/>
      <c r="I34" s="28"/>
      <c r="J34" s="28"/>
      <c r="K34" s="28"/>
      <c r="L34" s="43" t="str">
        <f>"["&amp;FirstYr-1&amp;" $]"</f>
        <v>[2013 $]</v>
      </c>
      <c r="M34" s="28"/>
      <c r="N34" s="191">
        <f t="shared" si="15"/>
        <v>0</v>
      </c>
      <c r="O34" s="189"/>
      <c r="P34" s="319"/>
      <c r="Q34" s="189"/>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row>
    <row r="35" spans="1:47">
      <c r="E35" s="49"/>
      <c r="G35" s="36" t="s">
        <v>502</v>
      </c>
      <c r="H35" s="28"/>
      <c r="I35" s="28"/>
      <c r="J35" s="28"/>
      <c r="K35" s="28"/>
      <c r="L35" s="43" t="str">
        <f>"["&amp;FirstYr-1&amp;" $]"</f>
        <v>[2013 $]</v>
      </c>
      <c r="M35" s="28"/>
      <c r="N35" s="191">
        <f t="shared" si="15"/>
        <v>0</v>
      </c>
      <c r="O35" s="189"/>
      <c r="P35" s="319"/>
      <c r="Q35" s="189"/>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row>
    <row r="36" spans="1:47">
      <c r="E36" s="49"/>
      <c r="G36" s="39" t="s">
        <v>305</v>
      </c>
      <c r="H36" s="42"/>
      <c r="I36" s="42"/>
      <c r="J36" s="42"/>
      <c r="K36" s="42"/>
      <c r="L36" s="43"/>
      <c r="M36" s="43"/>
      <c r="N36" s="189">
        <f t="shared" ca="1" si="15"/>
        <v>22637880.19831052</v>
      </c>
      <c r="O36" s="189"/>
      <c r="P36" s="189"/>
      <c r="Q36" s="189"/>
      <c r="R36" s="189">
        <f t="shared" ref="R36:AU36" ca="1" si="18">SUM(R19:R29)-SUM(R31:R35)</f>
        <v>1689536.8875191067</v>
      </c>
      <c r="S36" s="189">
        <f t="shared" ca="1" si="18"/>
        <v>1724657.4367217072</v>
      </c>
      <c r="T36" s="189">
        <f t="shared" ca="1" si="18"/>
        <v>1756904.2989512838</v>
      </c>
      <c r="U36" s="189">
        <f t="shared" ca="1" si="18"/>
        <v>1791028.7356946557</v>
      </c>
      <c r="V36" s="189">
        <f t="shared" ca="1" si="18"/>
        <v>1826417.8913268531</v>
      </c>
      <c r="W36" s="189">
        <f t="shared" ca="1" si="18"/>
        <v>1863717.0205589705</v>
      </c>
      <c r="X36" s="189">
        <f t="shared" ca="1" si="18"/>
        <v>1901395.1269269581</v>
      </c>
      <c r="Y36" s="189">
        <f t="shared" ca="1" si="18"/>
        <v>1938912.4699250581</v>
      </c>
      <c r="Z36" s="189">
        <f t="shared" ca="1" si="18"/>
        <v>1977246.230435113</v>
      </c>
      <c r="AA36" s="189">
        <f t="shared" ca="1" si="18"/>
        <v>2016213.3948431178</v>
      </c>
      <c r="AB36" s="189">
        <f t="shared" ca="1" si="18"/>
        <v>2056341.1703263177</v>
      </c>
      <c r="AC36" s="189">
        <f t="shared" ca="1" si="18"/>
        <v>2097557.9350062055</v>
      </c>
      <c r="AD36" s="189">
        <f t="shared" ca="1" si="18"/>
        <v>2139126.9627312869</v>
      </c>
      <c r="AE36" s="189">
        <f t="shared" ca="1" si="18"/>
        <v>2181557.4074648581</v>
      </c>
      <c r="AF36" s="189">
        <f t="shared" ca="1" si="18"/>
        <v>2224701.3798705107</v>
      </c>
      <c r="AG36" s="189">
        <f t="shared" ca="1" si="18"/>
        <v>2268400.794509693</v>
      </c>
      <c r="AH36" s="189">
        <f t="shared" ca="1" si="18"/>
        <v>2313158.0433299411</v>
      </c>
      <c r="AI36" s="189">
        <f t="shared" ca="1" si="18"/>
        <v>2358596.3806779874</v>
      </c>
      <c r="AJ36" s="189">
        <f t="shared" ca="1" si="18"/>
        <v>2404804.3131224387</v>
      </c>
      <c r="AK36" s="189">
        <f t="shared" ca="1" si="18"/>
        <v>2451847.0229997681</v>
      </c>
      <c r="AL36" s="189">
        <f t="shared" si="18"/>
        <v>0</v>
      </c>
      <c r="AM36" s="189">
        <f t="shared" si="18"/>
        <v>0</v>
      </c>
      <c r="AN36" s="189">
        <f t="shared" si="18"/>
        <v>0</v>
      </c>
      <c r="AO36" s="189">
        <f t="shared" si="18"/>
        <v>0</v>
      </c>
      <c r="AP36" s="189">
        <f t="shared" si="18"/>
        <v>0</v>
      </c>
      <c r="AQ36" s="189">
        <f t="shared" si="18"/>
        <v>0</v>
      </c>
      <c r="AR36" s="189">
        <f t="shared" si="18"/>
        <v>0</v>
      </c>
      <c r="AS36" s="189">
        <f t="shared" si="18"/>
        <v>0</v>
      </c>
      <c r="AT36" s="189">
        <f t="shared" si="18"/>
        <v>0</v>
      </c>
      <c r="AU36" s="189">
        <f t="shared" si="18"/>
        <v>0</v>
      </c>
    </row>
    <row r="37" spans="1:47" s="28" customFormat="1">
      <c r="E37" s="254"/>
      <c r="L37" s="406"/>
      <c r="O37" s="197"/>
      <c r="Q37" s="197"/>
    </row>
    <row r="38" spans="1:47" s="39" customFormat="1">
      <c r="E38" s="254"/>
      <c r="G38" s="194" t="s">
        <v>488</v>
      </c>
      <c r="L38" s="174"/>
      <c r="N38" s="192">
        <f ca="1">SUM(N36,N14)</f>
        <v>55317059.443593539</v>
      </c>
      <c r="O38" s="189"/>
      <c r="P38" s="320"/>
      <c r="Q38" s="189"/>
      <c r="R38" s="192">
        <f t="shared" ref="R38:AU38" ca="1" si="19">SUM(R36,R14)</f>
        <v>36329466.887519106</v>
      </c>
      <c r="S38" s="192">
        <f t="shared" ca="1" si="19"/>
        <v>1724657.4367217072</v>
      </c>
      <c r="T38" s="192">
        <f t="shared" ca="1" si="19"/>
        <v>1756904.2989512838</v>
      </c>
      <c r="U38" s="192">
        <f t="shared" ca="1" si="19"/>
        <v>1791028.7356946557</v>
      </c>
      <c r="V38" s="192">
        <f t="shared" ca="1" si="19"/>
        <v>1826417.8913268531</v>
      </c>
      <c r="W38" s="192">
        <f t="shared" ca="1" si="19"/>
        <v>1863717.0205589705</v>
      </c>
      <c r="X38" s="192">
        <f t="shared" ca="1" si="19"/>
        <v>1901395.1269269581</v>
      </c>
      <c r="Y38" s="192">
        <f t="shared" ca="1" si="19"/>
        <v>1938912.4699250581</v>
      </c>
      <c r="Z38" s="192">
        <f t="shared" ca="1" si="19"/>
        <v>1977246.230435113</v>
      </c>
      <c r="AA38" s="192">
        <f t="shared" ca="1" si="19"/>
        <v>2016213.3948431178</v>
      </c>
      <c r="AB38" s="192">
        <f t="shared" ca="1" si="19"/>
        <v>2056341.1703263177</v>
      </c>
      <c r="AC38" s="192">
        <f t="shared" ca="1" si="19"/>
        <v>2097557.9350062055</v>
      </c>
      <c r="AD38" s="192">
        <f t="shared" ca="1" si="19"/>
        <v>2139126.9627312869</v>
      </c>
      <c r="AE38" s="192">
        <f t="shared" ca="1" si="19"/>
        <v>2181557.4074648581</v>
      </c>
      <c r="AF38" s="192">
        <f t="shared" ca="1" si="19"/>
        <v>2224701.3798705107</v>
      </c>
      <c r="AG38" s="192">
        <f t="shared" ca="1" si="19"/>
        <v>2268400.794509693</v>
      </c>
      <c r="AH38" s="192">
        <f t="shared" ca="1" si="19"/>
        <v>2313158.0433299411</v>
      </c>
      <c r="AI38" s="192">
        <f t="shared" ca="1" si="19"/>
        <v>2358596.3806779874</v>
      </c>
      <c r="AJ38" s="192">
        <f t="shared" ca="1" si="19"/>
        <v>2404804.3131224387</v>
      </c>
      <c r="AK38" s="192">
        <f t="shared" ca="1" si="19"/>
        <v>2451847.0229997681</v>
      </c>
      <c r="AL38" s="192">
        <f t="shared" ca="1" si="19"/>
        <v>0</v>
      </c>
      <c r="AM38" s="192">
        <f t="shared" ca="1" si="19"/>
        <v>0</v>
      </c>
      <c r="AN38" s="192">
        <f t="shared" ca="1" si="19"/>
        <v>0</v>
      </c>
      <c r="AO38" s="192">
        <f t="shared" ca="1" si="19"/>
        <v>0</v>
      </c>
      <c r="AP38" s="192">
        <f t="shared" ca="1" si="19"/>
        <v>0</v>
      </c>
      <c r="AQ38" s="192">
        <f t="shared" ca="1" si="19"/>
        <v>0</v>
      </c>
      <c r="AR38" s="192">
        <f t="shared" ca="1" si="19"/>
        <v>0</v>
      </c>
      <c r="AS38" s="192">
        <f t="shared" ca="1" si="19"/>
        <v>0</v>
      </c>
      <c r="AT38" s="192">
        <f t="shared" ca="1" si="19"/>
        <v>0</v>
      </c>
      <c r="AU38" s="192">
        <f t="shared" ca="1" si="19"/>
        <v>0</v>
      </c>
    </row>
    <row r="39" spans="1:47">
      <c r="G39" s="194" t="s">
        <v>537</v>
      </c>
      <c r="Q39" s="42">
        <v>0</v>
      </c>
      <c r="R39" s="198">
        <f ca="1">IF(OR(R$99&lt;InServiceYr,R$99&gt;(InServiceYr+analysis_period-1)),0,NPV(DiscountRt,$R38:R38))</f>
        <v>34273081.969357647</v>
      </c>
      <c r="S39" s="198">
        <f ca="1">IF(OR(S$99&lt;InServiceYr,S$99&gt;(InServiceYr+analysis_period-1)),0,NPV(DiscountRt,$R38:S38))</f>
        <v>35808020.948284045</v>
      </c>
      <c r="T39" s="198">
        <f ca="1">IF(OR(T$99&lt;InServiceYr,T$99&gt;(InServiceYr+analysis_period-1)),0,NPV(DiscountRt,$R38:T38))</f>
        <v>37283151.676125892</v>
      </c>
      <c r="U39" s="198">
        <f ca="1">IF(OR(U$99&lt;InServiceYr,U$99&gt;(InServiceYr+analysis_period-1)),0,NPV(DiscountRt,$R38:U38))</f>
        <v>38701814.188346833</v>
      </c>
      <c r="V39" s="198">
        <f ca="1">IF(OR(V$99&lt;InServiceYr,V$99&gt;(InServiceYr+analysis_period-1)),0,NPV(DiscountRt,$R38:V38))</f>
        <v>40066619.884709619</v>
      </c>
      <c r="W39" s="198">
        <f ca="1">IF(OR(W$99&lt;InServiceYr,W$99&gt;(InServiceYr+analysis_period-1)),0,NPV(DiscountRt,$R38:W38))</f>
        <v>41380466.842749491</v>
      </c>
      <c r="X39" s="198">
        <f ca="1">IF(OR(X$99&lt;InServiceYr,X$99&gt;(InServiceYr+analysis_period-1)),0,NPV(DiscountRt,$R38:X38))</f>
        <v>42645003.197719112</v>
      </c>
      <c r="Y39" s="198">
        <f ca="1">IF(OR(Y$99&lt;InServiceYr,Y$99&gt;(InServiceYr+analysis_period-1)),0,NPV(DiscountRt,$R38:Y38))</f>
        <v>43861500.86829903</v>
      </c>
      <c r="Z39" s="198">
        <f ca="1">IF(OR(Z$99&lt;InServiceYr,Z$99&gt;(InServiceYr+analysis_period-1)),0,NPV(DiscountRt,$R38:Z38))</f>
        <v>45031829.874114104</v>
      </c>
      <c r="AA39" s="198">
        <f ca="1">IF(OR(AA$99&lt;InServiceYr,AA$99&gt;(InServiceYr+analysis_period-1)),0,NPV(DiscountRt,$R38:AA38))</f>
        <v>46157672.902940802</v>
      </c>
      <c r="AB39" s="198">
        <f ca="1">IF(OR(AB$99&lt;InServiceYr,AB$99&gt;(InServiceYr+analysis_period-1)),0,NPV(DiscountRt,$R38:AB38))</f>
        <v>47240927.77941791</v>
      </c>
      <c r="AC39" s="198">
        <f ca="1">IF(OR(AC$99&lt;InServiceYr,AC$99&gt;(InServiceYr+analysis_period-1)),0,NPV(DiscountRt,$R38:AC38))</f>
        <v>48283349.811443828</v>
      </c>
      <c r="AD39" s="198">
        <f ca="1">IF(OR(AD$99&lt;InServiceYr,AD$99&gt;(InServiceYr+analysis_period-1)),0,NPV(DiscountRt,$R38:AD38))</f>
        <v>49286256.005103238</v>
      </c>
      <c r="AE39" s="198">
        <f ca="1">IF(OR(AE$99&lt;InServiceYr,AE$99&gt;(InServiceYr+analysis_period-1)),0,NPV(DiscountRt,$R38:AE38))</f>
        <v>50251160.950274564</v>
      </c>
      <c r="AF39" s="198">
        <f ca="1">IF(OR(AF$99&lt;InServiceYr,AF$99&gt;(InServiceYr+analysis_period-1)),0,NPV(DiscountRt,$R38:AF38))</f>
        <v>51179451.10666468</v>
      </c>
      <c r="AG39" s="198">
        <f ca="1">IF(OR(AG$99&lt;InServiceYr,AG$99&gt;(InServiceYr+analysis_period-1)),0,NPV(DiscountRt,$R38:AG38))</f>
        <v>52072398.649394527</v>
      </c>
      <c r="AH39" s="198">
        <f ca="1">IF(OR(AH$99&lt;InServiceYr,AH$99&gt;(InServiceYr+analysis_period-1)),0,NPV(DiscountRt,$R38:AH38))</f>
        <v>52931423.241278619</v>
      </c>
      <c r="AI39" s="198">
        <f ca="1">IF(OR(AI$99&lt;InServiceYr,AI$99&gt;(InServiceYr+analysis_period-1)),0,NPV(DiscountRt,$R38:AI38))</f>
        <v>53757742.839028962</v>
      </c>
      <c r="AJ39" s="198">
        <f ca="1">IF(OR(AJ$99&lt;InServiceYr,AJ$99&gt;(InServiceYr+analysis_period-1)),0,NPV(DiscountRt,$R38:AJ38))</f>
        <v>54552561.952220641</v>
      </c>
      <c r="AK39" s="198">
        <f ca="1">IF(OR(AK$99&lt;InServiceYr,AK$99&gt;(InServiceYr+analysis_period-1)),0,NPV(DiscountRt,$R38:AK38))</f>
        <v>55317059.443593539</v>
      </c>
      <c r="AL39" s="198">
        <f>IF(OR(AL$99&lt;InServiceYr,AL$99&gt;(InServiceYr+analysis_period-1)),0,NPV(DiscountRt,$R38:AL38))</f>
        <v>0</v>
      </c>
      <c r="AM39" s="198">
        <f>IF(OR(AM$99&lt;InServiceYr,AM$99&gt;(InServiceYr+analysis_period-1)),0,NPV(DiscountRt,$R38:AM38))</f>
        <v>0</v>
      </c>
      <c r="AN39" s="198">
        <f>IF(OR(AN$99&lt;InServiceYr,AN$99&gt;(InServiceYr+analysis_period-1)),0,NPV(DiscountRt,$R38:AN38))</f>
        <v>0</v>
      </c>
      <c r="AO39" s="198">
        <f>IF(OR(AO$99&lt;InServiceYr,AO$99&gt;(InServiceYr+analysis_period-1)),0,NPV(DiscountRt,$R38:AO38))</f>
        <v>0</v>
      </c>
      <c r="AP39" s="198">
        <f>IF(OR(AP$99&lt;InServiceYr,AP$99&gt;(InServiceYr+analysis_period-1)),0,NPV(DiscountRt,$R38:AP38))</f>
        <v>0</v>
      </c>
      <c r="AQ39" s="198">
        <f>IF(OR(AQ$99&lt;InServiceYr,AQ$99&gt;(InServiceYr+analysis_period-1)),0,NPV(DiscountRt,$R38:AQ38))</f>
        <v>0</v>
      </c>
      <c r="AR39" s="198">
        <f>IF(OR(AR$99&lt;InServiceYr,AR$99&gt;(InServiceYr+analysis_period-1)),0,NPV(DiscountRt,$R38:AR38))</f>
        <v>0</v>
      </c>
      <c r="AS39" s="198">
        <f>IF(OR(AS$99&lt;InServiceYr,AS$99&gt;(InServiceYr+analysis_period-1)),0,NPV(DiscountRt,$R38:AS38))</f>
        <v>0</v>
      </c>
      <c r="AT39" s="198">
        <f>IF(OR(AT$99&lt;InServiceYr,AT$99&gt;(InServiceYr+analysis_period-1)),0,NPV(DiscountRt,$R38:AT38))</f>
        <v>0</v>
      </c>
      <c r="AU39" s="198">
        <f>IF(OR(AU$99&lt;InServiceYr,AU$99&gt;(InServiceYr+analysis_period-1)),0,NPV(DiscountRt,$R38:AU38))</f>
        <v>0</v>
      </c>
    </row>
    <row r="40" spans="1:47" s="42" customFormat="1">
      <c r="A40" s="317"/>
      <c r="B40" s="317"/>
      <c r="C40" s="317"/>
      <c r="D40" s="317"/>
      <c r="E40" s="317"/>
      <c r="F40" s="317"/>
      <c r="G40" s="318" t="s">
        <v>504</v>
      </c>
      <c r="H40" s="317"/>
      <c r="I40" s="317"/>
      <c r="J40" s="317"/>
      <c r="K40" s="317"/>
      <c r="L40" s="407"/>
      <c r="M40" s="317"/>
      <c r="N40" s="317"/>
      <c r="O40" s="317"/>
      <c r="P40" s="317"/>
      <c r="Q40" s="317"/>
      <c r="R40" s="317">
        <f ca="1">R38/(1+DiscountRt)^(R$8-FirstYr)</f>
        <v>36329466.887519106</v>
      </c>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row>
    <row r="42" spans="1:47" s="28" customFormat="1">
      <c r="A42" s="40"/>
      <c r="B42" s="40"/>
      <c r="C42" s="40"/>
      <c r="D42" s="40"/>
      <c r="G42" s="324" t="s">
        <v>492</v>
      </c>
      <c r="H42" s="324"/>
      <c r="I42" s="324"/>
      <c r="J42" s="324"/>
      <c r="K42" s="324"/>
      <c r="L42" s="405" t="s">
        <v>11</v>
      </c>
      <c r="M42" s="256"/>
      <c r="N42" s="325" t="str">
        <f>"NPV "&amp;FirstYr-1&amp;" $"</f>
        <v>NPV 2013 $</v>
      </c>
      <c r="O42" s="311"/>
      <c r="P42" s="325"/>
      <c r="Q42" s="310"/>
      <c r="R42" s="325">
        <f>R$8</f>
        <v>2014</v>
      </c>
      <c r="S42" s="325">
        <f t="shared" ref="S42:AU42" si="20">S$8</f>
        <v>2015</v>
      </c>
      <c r="T42" s="325">
        <f t="shared" si="20"/>
        <v>2016</v>
      </c>
      <c r="U42" s="325">
        <f t="shared" si="20"/>
        <v>2017</v>
      </c>
      <c r="V42" s="325">
        <f t="shared" si="20"/>
        <v>2018</v>
      </c>
      <c r="W42" s="325">
        <f t="shared" si="20"/>
        <v>2019</v>
      </c>
      <c r="X42" s="325">
        <f t="shared" si="20"/>
        <v>2020</v>
      </c>
      <c r="Y42" s="325">
        <f t="shared" si="20"/>
        <v>2021</v>
      </c>
      <c r="Z42" s="325">
        <f t="shared" si="20"/>
        <v>2022</v>
      </c>
      <c r="AA42" s="325">
        <f t="shared" si="20"/>
        <v>2023</v>
      </c>
      <c r="AB42" s="325">
        <f t="shared" si="20"/>
        <v>2024</v>
      </c>
      <c r="AC42" s="325">
        <f t="shared" si="20"/>
        <v>2025</v>
      </c>
      <c r="AD42" s="325">
        <f t="shared" si="20"/>
        <v>2026</v>
      </c>
      <c r="AE42" s="325">
        <f t="shared" si="20"/>
        <v>2027</v>
      </c>
      <c r="AF42" s="325">
        <f t="shared" si="20"/>
        <v>2028</v>
      </c>
      <c r="AG42" s="325">
        <f t="shared" si="20"/>
        <v>2029</v>
      </c>
      <c r="AH42" s="325">
        <f t="shared" si="20"/>
        <v>2030</v>
      </c>
      <c r="AI42" s="325">
        <f t="shared" si="20"/>
        <v>2031</v>
      </c>
      <c r="AJ42" s="325">
        <f t="shared" si="20"/>
        <v>2032</v>
      </c>
      <c r="AK42" s="325">
        <f t="shared" si="20"/>
        <v>2033</v>
      </c>
      <c r="AL42" s="325">
        <f t="shared" si="20"/>
        <v>2034</v>
      </c>
      <c r="AM42" s="325">
        <f t="shared" si="20"/>
        <v>2035</v>
      </c>
      <c r="AN42" s="325">
        <f t="shared" si="20"/>
        <v>2036</v>
      </c>
      <c r="AO42" s="325">
        <f t="shared" si="20"/>
        <v>2037</v>
      </c>
      <c r="AP42" s="325">
        <f t="shared" si="20"/>
        <v>2038</v>
      </c>
      <c r="AQ42" s="325">
        <f t="shared" si="20"/>
        <v>2039</v>
      </c>
      <c r="AR42" s="325">
        <f t="shared" si="20"/>
        <v>2040</v>
      </c>
      <c r="AS42" s="325">
        <f t="shared" si="20"/>
        <v>2041</v>
      </c>
      <c r="AT42" s="325">
        <f t="shared" si="20"/>
        <v>2042</v>
      </c>
      <c r="AU42" s="325">
        <f t="shared" si="20"/>
        <v>2043</v>
      </c>
    </row>
    <row r="43" spans="1:47" s="28" customFormat="1">
      <c r="E43" s="254"/>
      <c r="L43" s="406"/>
      <c r="O43" s="197"/>
      <c r="Q43" s="197"/>
    </row>
    <row r="44" spans="1:47" s="28" customFormat="1">
      <c r="E44" s="254"/>
      <c r="G44" s="39" t="s">
        <v>19</v>
      </c>
      <c r="L44" s="406"/>
      <c r="O44" s="197"/>
      <c r="Q44" s="197"/>
    </row>
    <row r="45" spans="1:47" s="28" customFormat="1">
      <c r="E45" s="254"/>
      <c r="G45" s="36" t="s">
        <v>315</v>
      </c>
      <c r="L45" s="43" t="s">
        <v>12</v>
      </c>
      <c r="N45" s="189">
        <f t="shared" ref="N45:N64" ca="1" si="21">NPV(DiscountRt,R45:AU45)</f>
        <v>8102018.8679245282</v>
      </c>
      <c r="O45" s="189"/>
      <c r="P45" s="319"/>
      <c r="Q45" s="189"/>
      <c r="R45" s="190">
        <f t="shared" ref="R45:AU45" ca="1" si="22">R96</f>
        <v>8588140</v>
      </c>
      <c r="S45" s="190">
        <f t="shared" ca="1" si="22"/>
        <v>0</v>
      </c>
      <c r="T45" s="190">
        <f t="shared" ca="1" si="22"/>
        <v>0</v>
      </c>
      <c r="U45" s="190">
        <f t="shared" ca="1" si="22"/>
        <v>0</v>
      </c>
      <c r="V45" s="190">
        <f t="shared" ca="1" si="22"/>
        <v>0</v>
      </c>
      <c r="W45" s="190">
        <f t="shared" ca="1" si="22"/>
        <v>0</v>
      </c>
      <c r="X45" s="190">
        <f t="shared" ca="1" si="22"/>
        <v>0</v>
      </c>
      <c r="Y45" s="190">
        <f t="shared" ca="1" si="22"/>
        <v>0</v>
      </c>
      <c r="Z45" s="190">
        <f t="shared" ca="1" si="22"/>
        <v>0</v>
      </c>
      <c r="AA45" s="190">
        <f t="shared" ca="1" si="22"/>
        <v>0</v>
      </c>
      <c r="AB45" s="190">
        <f t="shared" ca="1" si="22"/>
        <v>0</v>
      </c>
      <c r="AC45" s="190">
        <f t="shared" ca="1" si="22"/>
        <v>0</v>
      </c>
      <c r="AD45" s="190">
        <f t="shared" ca="1" si="22"/>
        <v>0</v>
      </c>
      <c r="AE45" s="190">
        <f t="shared" ca="1" si="22"/>
        <v>0</v>
      </c>
      <c r="AF45" s="190">
        <f t="shared" ca="1" si="22"/>
        <v>0</v>
      </c>
      <c r="AG45" s="190">
        <f t="shared" ca="1" si="22"/>
        <v>0</v>
      </c>
      <c r="AH45" s="190">
        <f t="shared" ca="1" si="22"/>
        <v>0</v>
      </c>
      <c r="AI45" s="190">
        <f t="shared" ca="1" si="22"/>
        <v>0</v>
      </c>
      <c r="AJ45" s="190">
        <f t="shared" ca="1" si="22"/>
        <v>0</v>
      </c>
      <c r="AK45" s="190">
        <f t="shared" ca="1" si="22"/>
        <v>0</v>
      </c>
      <c r="AL45" s="190">
        <f t="shared" ca="1" si="22"/>
        <v>0</v>
      </c>
      <c r="AM45" s="190">
        <f t="shared" ca="1" si="22"/>
        <v>0</v>
      </c>
      <c r="AN45" s="190">
        <f t="shared" ca="1" si="22"/>
        <v>0</v>
      </c>
      <c r="AO45" s="190">
        <f t="shared" ca="1" si="22"/>
        <v>0</v>
      </c>
      <c r="AP45" s="190">
        <f t="shared" ca="1" si="22"/>
        <v>0</v>
      </c>
      <c r="AQ45" s="190">
        <f t="shared" ca="1" si="22"/>
        <v>0</v>
      </c>
      <c r="AR45" s="190">
        <f t="shared" ca="1" si="22"/>
        <v>0</v>
      </c>
      <c r="AS45" s="190">
        <f t="shared" ca="1" si="22"/>
        <v>0</v>
      </c>
      <c r="AT45" s="190">
        <f t="shared" ca="1" si="22"/>
        <v>0</v>
      </c>
      <c r="AU45" s="190">
        <f t="shared" ca="1" si="22"/>
        <v>0</v>
      </c>
    </row>
    <row r="46" spans="1:47" s="28" customFormat="1">
      <c r="E46" s="254"/>
      <c r="G46" s="36" t="s">
        <v>153</v>
      </c>
      <c r="L46" s="43" t="s">
        <v>12</v>
      </c>
      <c r="N46" s="189">
        <f t="shared" ca="1" si="21"/>
        <v>0</v>
      </c>
      <c r="O46" s="189"/>
      <c r="P46" s="319"/>
      <c r="Q46" s="189"/>
      <c r="R46" s="190">
        <f t="shared" ref="R46:AU46" ca="1" si="23">R117</f>
        <v>0</v>
      </c>
      <c r="S46" s="190">
        <f t="shared" ca="1" si="23"/>
        <v>0</v>
      </c>
      <c r="T46" s="190">
        <f t="shared" ca="1" si="23"/>
        <v>0</v>
      </c>
      <c r="U46" s="190">
        <f t="shared" ca="1" si="23"/>
        <v>0</v>
      </c>
      <c r="V46" s="190">
        <f t="shared" ca="1" si="23"/>
        <v>0</v>
      </c>
      <c r="W46" s="190">
        <f t="shared" ca="1" si="23"/>
        <v>0</v>
      </c>
      <c r="X46" s="190">
        <f t="shared" ca="1" si="23"/>
        <v>0</v>
      </c>
      <c r="Y46" s="190">
        <f t="shared" ca="1" si="23"/>
        <v>0</v>
      </c>
      <c r="Z46" s="190">
        <f t="shared" ca="1" si="23"/>
        <v>0</v>
      </c>
      <c r="AA46" s="190">
        <f t="shared" ca="1" si="23"/>
        <v>0</v>
      </c>
      <c r="AB46" s="190">
        <f t="shared" ca="1" si="23"/>
        <v>0</v>
      </c>
      <c r="AC46" s="190">
        <f t="shared" ca="1" si="23"/>
        <v>0</v>
      </c>
      <c r="AD46" s="190">
        <f t="shared" ca="1" si="23"/>
        <v>0</v>
      </c>
      <c r="AE46" s="190">
        <f t="shared" ca="1" si="23"/>
        <v>0</v>
      </c>
      <c r="AF46" s="190">
        <f t="shared" ca="1" si="23"/>
        <v>0</v>
      </c>
      <c r="AG46" s="190">
        <f t="shared" ca="1" si="23"/>
        <v>0</v>
      </c>
      <c r="AH46" s="190">
        <f t="shared" ca="1" si="23"/>
        <v>0</v>
      </c>
      <c r="AI46" s="190">
        <f t="shared" ca="1" si="23"/>
        <v>0</v>
      </c>
      <c r="AJ46" s="190">
        <f t="shared" ca="1" si="23"/>
        <v>0</v>
      </c>
      <c r="AK46" s="190">
        <f t="shared" ca="1" si="23"/>
        <v>0</v>
      </c>
      <c r="AL46" s="190">
        <f t="shared" ca="1" si="23"/>
        <v>0</v>
      </c>
      <c r="AM46" s="190">
        <f t="shared" ca="1" si="23"/>
        <v>0</v>
      </c>
      <c r="AN46" s="190">
        <f t="shared" ca="1" si="23"/>
        <v>0</v>
      </c>
      <c r="AO46" s="190">
        <f t="shared" ca="1" si="23"/>
        <v>0</v>
      </c>
      <c r="AP46" s="190">
        <f t="shared" ca="1" si="23"/>
        <v>0</v>
      </c>
      <c r="AQ46" s="190">
        <f t="shared" ca="1" si="23"/>
        <v>0</v>
      </c>
      <c r="AR46" s="190">
        <f t="shared" ca="1" si="23"/>
        <v>0</v>
      </c>
      <c r="AS46" s="190">
        <f t="shared" ca="1" si="23"/>
        <v>0</v>
      </c>
      <c r="AT46" s="190">
        <f t="shared" ca="1" si="23"/>
        <v>0</v>
      </c>
      <c r="AU46" s="190">
        <f t="shared" ca="1" si="23"/>
        <v>0</v>
      </c>
    </row>
    <row r="47" spans="1:47" s="28" customFormat="1">
      <c r="E47" s="254"/>
      <c r="G47" s="36" t="s">
        <v>143</v>
      </c>
      <c r="L47" s="43" t="s">
        <v>12</v>
      </c>
      <c r="N47" s="189">
        <f t="shared" ca="1" si="21"/>
        <v>2703264.1509433961</v>
      </c>
      <c r="O47" s="189"/>
      <c r="P47" s="319"/>
      <c r="Q47" s="189"/>
      <c r="R47" s="190">
        <f t="shared" ref="R47:AU47" ca="1" si="24">R138</f>
        <v>2865460</v>
      </c>
      <c r="S47" s="190">
        <f t="shared" ca="1" si="24"/>
        <v>0</v>
      </c>
      <c r="T47" s="190">
        <f t="shared" ca="1" si="24"/>
        <v>0</v>
      </c>
      <c r="U47" s="190">
        <f t="shared" ca="1" si="24"/>
        <v>0</v>
      </c>
      <c r="V47" s="190">
        <f t="shared" ca="1" si="24"/>
        <v>0</v>
      </c>
      <c r="W47" s="190">
        <f t="shared" ca="1" si="24"/>
        <v>0</v>
      </c>
      <c r="X47" s="190">
        <f t="shared" ca="1" si="24"/>
        <v>0</v>
      </c>
      <c r="Y47" s="190">
        <f t="shared" ca="1" si="24"/>
        <v>0</v>
      </c>
      <c r="Z47" s="190">
        <f t="shared" ca="1" si="24"/>
        <v>0</v>
      </c>
      <c r="AA47" s="190">
        <f t="shared" ca="1" si="24"/>
        <v>0</v>
      </c>
      <c r="AB47" s="190">
        <f t="shared" ca="1" si="24"/>
        <v>0</v>
      </c>
      <c r="AC47" s="190">
        <f t="shared" ca="1" si="24"/>
        <v>0</v>
      </c>
      <c r="AD47" s="190">
        <f t="shared" ca="1" si="24"/>
        <v>0</v>
      </c>
      <c r="AE47" s="190">
        <f t="shared" ca="1" si="24"/>
        <v>0</v>
      </c>
      <c r="AF47" s="190">
        <f t="shared" ca="1" si="24"/>
        <v>0</v>
      </c>
      <c r="AG47" s="190">
        <f t="shared" ca="1" si="24"/>
        <v>0</v>
      </c>
      <c r="AH47" s="190">
        <f t="shared" ca="1" si="24"/>
        <v>0</v>
      </c>
      <c r="AI47" s="190">
        <f t="shared" ca="1" si="24"/>
        <v>0</v>
      </c>
      <c r="AJ47" s="190">
        <f t="shared" ca="1" si="24"/>
        <v>0</v>
      </c>
      <c r="AK47" s="190">
        <f t="shared" ca="1" si="24"/>
        <v>0</v>
      </c>
      <c r="AL47" s="190">
        <f t="shared" ca="1" si="24"/>
        <v>0</v>
      </c>
      <c r="AM47" s="190">
        <f t="shared" ca="1" si="24"/>
        <v>0</v>
      </c>
      <c r="AN47" s="190">
        <f t="shared" ca="1" si="24"/>
        <v>0</v>
      </c>
      <c r="AO47" s="190">
        <f t="shared" ca="1" si="24"/>
        <v>0</v>
      </c>
      <c r="AP47" s="190">
        <f t="shared" ca="1" si="24"/>
        <v>0</v>
      </c>
      <c r="AQ47" s="190">
        <f t="shared" ca="1" si="24"/>
        <v>0</v>
      </c>
      <c r="AR47" s="190">
        <f t="shared" ca="1" si="24"/>
        <v>0</v>
      </c>
      <c r="AS47" s="190">
        <f t="shared" ca="1" si="24"/>
        <v>0</v>
      </c>
      <c r="AT47" s="190">
        <f t="shared" ca="1" si="24"/>
        <v>0</v>
      </c>
      <c r="AU47" s="190">
        <f t="shared" ca="1" si="24"/>
        <v>0</v>
      </c>
    </row>
    <row r="48" spans="1:47" s="28" customFormat="1">
      <c r="E48" s="254"/>
      <c r="G48" s="36" t="s">
        <v>316</v>
      </c>
      <c r="L48" s="43" t="s">
        <v>12</v>
      </c>
      <c r="N48" s="189">
        <f t="shared" ca="1" si="21"/>
        <v>0</v>
      </c>
      <c r="O48" s="189"/>
      <c r="P48" s="319"/>
      <c r="Q48" s="189"/>
      <c r="R48" s="190">
        <f t="shared" ref="R48:AU48" ca="1" si="25">R159</f>
        <v>0</v>
      </c>
      <c r="S48" s="190">
        <f t="shared" ca="1" si="25"/>
        <v>0</v>
      </c>
      <c r="T48" s="190">
        <f t="shared" ca="1" si="25"/>
        <v>0</v>
      </c>
      <c r="U48" s="190">
        <f t="shared" ca="1" si="25"/>
        <v>0</v>
      </c>
      <c r="V48" s="190">
        <f t="shared" ca="1" si="25"/>
        <v>0</v>
      </c>
      <c r="W48" s="190">
        <f t="shared" ca="1" si="25"/>
        <v>0</v>
      </c>
      <c r="X48" s="190">
        <f t="shared" ca="1" si="25"/>
        <v>0</v>
      </c>
      <c r="Y48" s="190">
        <f t="shared" ca="1" si="25"/>
        <v>0</v>
      </c>
      <c r="Z48" s="190">
        <f t="shared" ca="1" si="25"/>
        <v>0</v>
      </c>
      <c r="AA48" s="190">
        <f t="shared" ca="1" si="25"/>
        <v>0</v>
      </c>
      <c r="AB48" s="190">
        <f t="shared" ca="1" si="25"/>
        <v>0</v>
      </c>
      <c r="AC48" s="190">
        <f t="shared" ca="1" si="25"/>
        <v>0</v>
      </c>
      <c r="AD48" s="190">
        <f t="shared" ca="1" si="25"/>
        <v>0</v>
      </c>
      <c r="AE48" s="190">
        <f t="shared" ca="1" si="25"/>
        <v>0</v>
      </c>
      <c r="AF48" s="190">
        <f t="shared" ca="1" si="25"/>
        <v>0</v>
      </c>
      <c r="AG48" s="190">
        <f t="shared" ca="1" si="25"/>
        <v>0</v>
      </c>
      <c r="AH48" s="190">
        <f t="shared" ca="1" si="25"/>
        <v>0</v>
      </c>
      <c r="AI48" s="190">
        <f t="shared" ca="1" si="25"/>
        <v>0</v>
      </c>
      <c r="AJ48" s="190">
        <f t="shared" ca="1" si="25"/>
        <v>0</v>
      </c>
      <c r="AK48" s="190">
        <f t="shared" ca="1" si="25"/>
        <v>0</v>
      </c>
      <c r="AL48" s="190">
        <f t="shared" ca="1" si="25"/>
        <v>0</v>
      </c>
      <c r="AM48" s="190">
        <f t="shared" ca="1" si="25"/>
        <v>0</v>
      </c>
      <c r="AN48" s="190">
        <f t="shared" ca="1" si="25"/>
        <v>0</v>
      </c>
      <c r="AO48" s="190">
        <f t="shared" ca="1" si="25"/>
        <v>0</v>
      </c>
      <c r="AP48" s="190">
        <f t="shared" ca="1" si="25"/>
        <v>0</v>
      </c>
      <c r="AQ48" s="190">
        <f t="shared" ca="1" si="25"/>
        <v>0</v>
      </c>
      <c r="AR48" s="190">
        <f t="shared" ca="1" si="25"/>
        <v>0</v>
      </c>
      <c r="AS48" s="190">
        <f t="shared" ca="1" si="25"/>
        <v>0</v>
      </c>
      <c r="AT48" s="190">
        <f t="shared" ca="1" si="25"/>
        <v>0</v>
      </c>
      <c r="AU48" s="190">
        <f t="shared" ca="1" si="25"/>
        <v>0</v>
      </c>
    </row>
    <row r="49" spans="5:47" s="28" customFormat="1">
      <c r="E49" s="254"/>
      <c r="G49" s="36" t="s">
        <v>317</v>
      </c>
      <c r="L49" s="43" t="s">
        <v>12</v>
      </c>
      <c r="N49" s="189">
        <f t="shared" ca="1" si="21"/>
        <v>3230896.226415094</v>
      </c>
      <c r="O49" s="189"/>
      <c r="P49" s="319"/>
      <c r="Q49" s="189"/>
      <c r="R49" s="190">
        <f t="shared" ref="R49:AU49" ca="1" si="26">R180</f>
        <v>3424750</v>
      </c>
      <c r="S49" s="190">
        <f t="shared" ca="1" si="26"/>
        <v>0</v>
      </c>
      <c r="T49" s="190">
        <f t="shared" ca="1" si="26"/>
        <v>0</v>
      </c>
      <c r="U49" s="190">
        <f t="shared" ca="1" si="26"/>
        <v>0</v>
      </c>
      <c r="V49" s="190">
        <f t="shared" ca="1" si="26"/>
        <v>0</v>
      </c>
      <c r="W49" s="190">
        <f t="shared" ca="1" si="26"/>
        <v>0</v>
      </c>
      <c r="X49" s="190">
        <f t="shared" ca="1" si="26"/>
        <v>0</v>
      </c>
      <c r="Y49" s="190">
        <f t="shared" ca="1" si="26"/>
        <v>0</v>
      </c>
      <c r="Z49" s="190">
        <f t="shared" ca="1" si="26"/>
        <v>0</v>
      </c>
      <c r="AA49" s="190">
        <f t="shared" ca="1" si="26"/>
        <v>0</v>
      </c>
      <c r="AB49" s="190">
        <f t="shared" ca="1" si="26"/>
        <v>0</v>
      </c>
      <c r="AC49" s="190">
        <f t="shared" ca="1" si="26"/>
        <v>0</v>
      </c>
      <c r="AD49" s="190">
        <f t="shared" ca="1" si="26"/>
        <v>0</v>
      </c>
      <c r="AE49" s="190">
        <f t="shared" ca="1" si="26"/>
        <v>0</v>
      </c>
      <c r="AF49" s="190">
        <f t="shared" ca="1" si="26"/>
        <v>0</v>
      </c>
      <c r="AG49" s="190">
        <f t="shared" ca="1" si="26"/>
        <v>0</v>
      </c>
      <c r="AH49" s="190">
        <f t="shared" ca="1" si="26"/>
        <v>0</v>
      </c>
      <c r="AI49" s="190">
        <f t="shared" ca="1" si="26"/>
        <v>0</v>
      </c>
      <c r="AJ49" s="190">
        <f t="shared" ca="1" si="26"/>
        <v>0</v>
      </c>
      <c r="AK49" s="190">
        <f t="shared" ca="1" si="26"/>
        <v>0</v>
      </c>
      <c r="AL49" s="190">
        <f t="shared" ca="1" si="26"/>
        <v>0</v>
      </c>
      <c r="AM49" s="190">
        <f t="shared" ca="1" si="26"/>
        <v>0</v>
      </c>
      <c r="AN49" s="190">
        <f t="shared" ca="1" si="26"/>
        <v>0</v>
      </c>
      <c r="AO49" s="190">
        <f t="shared" ca="1" si="26"/>
        <v>0</v>
      </c>
      <c r="AP49" s="190">
        <f t="shared" ca="1" si="26"/>
        <v>0</v>
      </c>
      <c r="AQ49" s="190">
        <f t="shared" ca="1" si="26"/>
        <v>0</v>
      </c>
      <c r="AR49" s="190">
        <f t="shared" ca="1" si="26"/>
        <v>0</v>
      </c>
      <c r="AS49" s="190">
        <f t="shared" ca="1" si="26"/>
        <v>0</v>
      </c>
      <c r="AT49" s="190">
        <f t="shared" ca="1" si="26"/>
        <v>0</v>
      </c>
      <c r="AU49" s="190">
        <f t="shared" ca="1" si="26"/>
        <v>0</v>
      </c>
    </row>
    <row r="50" spans="5:47" s="28" customFormat="1">
      <c r="E50" s="254"/>
      <c r="G50" s="36" t="s">
        <v>318</v>
      </c>
      <c r="L50" s="43" t="s">
        <v>12</v>
      </c>
      <c r="N50" s="189">
        <f t="shared" ca="1" si="21"/>
        <v>720028.30188679241</v>
      </c>
      <c r="O50" s="189"/>
      <c r="P50" s="319"/>
      <c r="Q50" s="189"/>
      <c r="R50" s="190">
        <f t="shared" ref="R50:AU50" ca="1" si="27">R201</f>
        <v>763230</v>
      </c>
      <c r="S50" s="190">
        <f t="shared" ca="1" si="27"/>
        <v>0</v>
      </c>
      <c r="T50" s="190">
        <f t="shared" ca="1" si="27"/>
        <v>0</v>
      </c>
      <c r="U50" s="190">
        <f t="shared" ca="1" si="27"/>
        <v>0</v>
      </c>
      <c r="V50" s="190">
        <f t="shared" ca="1" si="27"/>
        <v>0</v>
      </c>
      <c r="W50" s="190">
        <f t="shared" ca="1" si="27"/>
        <v>0</v>
      </c>
      <c r="X50" s="190">
        <f t="shared" ca="1" si="27"/>
        <v>0</v>
      </c>
      <c r="Y50" s="190">
        <f t="shared" ca="1" si="27"/>
        <v>0</v>
      </c>
      <c r="Z50" s="190">
        <f t="shared" ca="1" si="27"/>
        <v>0</v>
      </c>
      <c r="AA50" s="190">
        <f t="shared" ca="1" si="27"/>
        <v>0</v>
      </c>
      <c r="AB50" s="190">
        <f t="shared" ca="1" si="27"/>
        <v>0</v>
      </c>
      <c r="AC50" s="190">
        <f t="shared" ca="1" si="27"/>
        <v>0</v>
      </c>
      <c r="AD50" s="190">
        <f t="shared" ca="1" si="27"/>
        <v>0</v>
      </c>
      <c r="AE50" s="190">
        <f t="shared" ca="1" si="27"/>
        <v>0</v>
      </c>
      <c r="AF50" s="190">
        <f t="shared" ca="1" si="27"/>
        <v>0</v>
      </c>
      <c r="AG50" s="190">
        <f t="shared" ca="1" si="27"/>
        <v>0</v>
      </c>
      <c r="AH50" s="190">
        <f t="shared" ca="1" si="27"/>
        <v>0</v>
      </c>
      <c r="AI50" s="190">
        <f t="shared" ca="1" si="27"/>
        <v>0</v>
      </c>
      <c r="AJ50" s="190">
        <f t="shared" ca="1" si="27"/>
        <v>0</v>
      </c>
      <c r="AK50" s="190">
        <f t="shared" ca="1" si="27"/>
        <v>0</v>
      </c>
      <c r="AL50" s="190">
        <f t="shared" ca="1" si="27"/>
        <v>0</v>
      </c>
      <c r="AM50" s="190">
        <f t="shared" ca="1" si="27"/>
        <v>0</v>
      </c>
      <c r="AN50" s="190">
        <f t="shared" ca="1" si="27"/>
        <v>0</v>
      </c>
      <c r="AO50" s="190">
        <f t="shared" ca="1" si="27"/>
        <v>0</v>
      </c>
      <c r="AP50" s="190">
        <f t="shared" ca="1" si="27"/>
        <v>0</v>
      </c>
      <c r="AQ50" s="190">
        <f t="shared" ca="1" si="27"/>
        <v>0</v>
      </c>
      <c r="AR50" s="190">
        <f t="shared" ca="1" si="27"/>
        <v>0</v>
      </c>
      <c r="AS50" s="190">
        <f t="shared" ca="1" si="27"/>
        <v>0</v>
      </c>
      <c r="AT50" s="190">
        <f t="shared" ca="1" si="27"/>
        <v>0</v>
      </c>
      <c r="AU50" s="190">
        <f t="shared" ca="1" si="27"/>
        <v>0</v>
      </c>
    </row>
    <row r="51" spans="5:47" s="28" customFormat="1">
      <c r="E51" s="254"/>
      <c r="G51" s="36" t="s">
        <v>319</v>
      </c>
      <c r="L51" s="43" t="s">
        <v>12</v>
      </c>
      <c r="N51" s="189">
        <f t="shared" ca="1" si="21"/>
        <v>0</v>
      </c>
      <c r="O51" s="189"/>
      <c r="P51" s="319"/>
      <c r="Q51" s="189"/>
      <c r="R51" s="190">
        <f t="shared" ref="R51:AU51" ca="1" si="28">R222</f>
        <v>0</v>
      </c>
      <c r="S51" s="190">
        <f t="shared" ca="1" si="28"/>
        <v>0</v>
      </c>
      <c r="T51" s="190">
        <f t="shared" ca="1" si="28"/>
        <v>0</v>
      </c>
      <c r="U51" s="190">
        <f t="shared" ca="1" si="28"/>
        <v>0</v>
      </c>
      <c r="V51" s="190">
        <f t="shared" ca="1" si="28"/>
        <v>0</v>
      </c>
      <c r="W51" s="190">
        <f t="shared" ca="1" si="28"/>
        <v>0</v>
      </c>
      <c r="X51" s="190">
        <f t="shared" ca="1" si="28"/>
        <v>0</v>
      </c>
      <c r="Y51" s="190">
        <f t="shared" ca="1" si="28"/>
        <v>0</v>
      </c>
      <c r="Z51" s="190">
        <f t="shared" ca="1" si="28"/>
        <v>0</v>
      </c>
      <c r="AA51" s="190">
        <f t="shared" ca="1" si="28"/>
        <v>0</v>
      </c>
      <c r="AB51" s="190">
        <f t="shared" ca="1" si="28"/>
        <v>0</v>
      </c>
      <c r="AC51" s="190">
        <f t="shared" ca="1" si="28"/>
        <v>0</v>
      </c>
      <c r="AD51" s="190">
        <f t="shared" ca="1" si="28"/>
        <v>0</v>
      </c>
      <c r="AE51" s="190">
        <f t="shared" ca="1" si="28"/>
        <v>0</v>
      </c>
      <c r="AF51" s="190">
        <f t="shared" ca="1" si="28"/>
        <v>0</v>
      </c>
      <c r="AG51" s="190">
        <f t="shared" ca="1" si="28"/>
        <v>0</v>
      </c>
      <c r="AH51" s="190">
        <f t="shared" ca="1" si="28"/>
        <v>0</v>
      </c>
      <c r="AI51" s="190">
        <f t="shared" ca="1" si="28"/>
        <v>0</v>
      </c>
      <c r="AJ51" s="190">
        <f t="shared" ca="1" si="28"/>
        <v>0</v>
      </c>
      <c r="AK51" s="190">
        <f t="shared" ca="1" si="28"/>
        <v>0</v>
      </c>
      <c r="AL51" s="190">
        <f t="shared" ca="1" si="28"/>
        <v>0</v>
      </c>
      <c r="AM51" s="190">
        <f t="shared" ca="1" si="28"/>
        <v>0</v>
      </c>
      <c r="AN51" s="190">
        <f t="shared" ca="1" si="28"/>
        <v>0</v>
      </c>
      <c r="AO51" s="190">
        <f t="shared" ca="1" si="28"/>
        <v>0</v>
      </c>
      <c r="AP51" s="190">
        <f t="shared" ca="1" si="28"/>
        <v>0</v>
      </c>
      <c r="AQ51" s="190">
        <f t="shared" ca="1" si="28"/>
        <v>0</v>
      </c>
      <c r="AR51" s="190">
        <f t="shared" ca="1" si="28"/>
        <v>0</v>
      </c>
      <c r="AS51" s="190">
        <f t="shared" ca="1" si="28"/>
        <v>0</v>
      </c>
      <c r="AT51" s="190">
        <f t="shared" ca="1" si="28"/>
        <v>0</v>
      </c>
      <c r="AU51" s="190">
        <f t="shared" ca="1" si="28"/>
        <v>0</v>
      </c>
    </row>
    <row r="52" spans="5:47" s="28" customFormat="1">
      <c r="E52" s="254"/>
      <c r="G52" s="36" t="s">
        <v>320</v>
      </c>
      <c r="L52" s="43" t="s">
        <v>12</v>
      </c>
      <c r="N52" s="189">
        <f t="shared" ca="1" si="21"/>
        <v>0</v>
      </c>
      <c r="O52" s="189"/>
      <c r="P52" s="319"/>
      <c r="Q52" s="189"/>
      <c r="R52" s="190">
        <f t="shared" ref="R52:AU52" ca="1" si="29">R243</f>
        <v>0</v>
      </c>
      <c r="S52" s="190">
        <f t="shared" ca="1" si="29"/>
        <v>0</v>
      </c>
      <c r="T52" s="190">
        <f t="shared" ca="1" si="29"/>
        <v>0</v>
      </c>
      <c r="U52" s="190">
        <f t="shared" ca="1" si="29"/>
        <v>0</v>
      </c>
      <c r="V52" s="190">
        <f t="shared" ca="1" si="29"/>
        <v>0</v>
      </c>
      <c r="W52" s="190">
        <f t="shared" ca="1" si="29"/>
        <v>0</v>
      </c>
      <c r="X52" s="190">
        <f t="shared" ca="1" si="29"/>
        <v>0</v>
      </c>
      <c r="Y52" s="190">
        <f t="shared" ca="1" si="29"/>
        <v>0</v>
      </c>
      <c r="Z52" s="190">
        <f t="shared" ca="1" si="29"/>
        <v>0</v>
      </c>
      <c r="AA52" s="190">
        <f t="shared" ca="1" si="29"/>
        <v>0</v>
      </c>
      <c r="AB52" s="190">
        <f t="shared" ca="1" si="29"/>
        <v>0</v>
      </c>
      <c r="AC52" s="190">
        <f t="shared" ca="1" si="29"/>
        <v>0</v>
      </c>
      <c r="AD52" s="190">
        <f t="shared" ca="1" si="29"/>
        <v>0</v>
      </c>
      <c r="AE52" s="190">
        <f t="shared" ca="1" si="29"/>
        <v>0</v>
      </c>
      <c r="AF52" s="190">
        <f t="shared" ca="1" si="29"/>
        <v>0</v>
      </c>
      <c r="AG52" s="190">
        <f t="shared" ca="1" si="29"/>
        <v>0</v>
      </c>
      <c r="AH52" s="190">
        <f t="shared" ca="1" si="29"/>
        <v>0</v>
      </c>
      <c r="AI52" s="190">
        <f t="shared" ca="1" si="29"/>
        <v>0</v>
      </c>
      <c r="AJ52" s="190">
        <f t="shared" ca="1" si="29"/>
        <v>0</v>
      </c>
      <c r="AK52" s="190">
        <f t="shared" ca="1" si="29"/>
        <v>0</v>
      </c>
      <c r="AL52" s="190">
        <f t="shared" ca="1" si="29"/>
        <v>0</v>
      </c>
      <c r="AM52" s="190">
        <f t="shared" ca="1" si="29"/>
        <v>0</v>
      </c>
      <c r="AN52" s="190">
        <f t="shared" ca="1" si="29"/>
        <v>0</v>
      </c>
      <c r="AO52" s="190">
        <f t="shared" ca="1" si="29"/>
        <v>0</v>
      </c>
      <c r="AP52" s="190">
        <f t="shared" ca="1" si="29"/>
        <v>0</v>
      </c>
      <c r="AQ52" s="190">
        <f t="shared" ca="1" si="29"/>
        <v>0</v>
      </c>
      <c r="AR52" s="190">
        <f t="shared" ca="1" si="29"/>
        <v>0</v>
      </c>
      <c r="AS52" s="190">
        <f t="shared" ca="1" si="29"/>
        <v>0</v>
      </c>
      <c r="AT52" s="190">
        <f t="shared" ca="1" si="29"/>
        <v>0</v>
      </c>
      <c r="AU52" s="190">
        <f t="shared" ca="1" si="29"/>
        <v>0</v>
      </c>
    </row>
    <row r="53" spans="5:47" s="28" customFormat="1">
      <c r="E53" s="254"/>
      <c r="G53" s="36" t="s">
        <v>321</v>
      </c>
      <c r="L53" s="43" t="s">
        <v>12</v>
      </c>
      <c r="N53" s="189">
        <f t="shared" ca="1" si="21"/>
        <v>0</v>
      </c>
      <c r="O53" s="189"/>
      <c r="P53" s="319"/>
      <c r="Q53" s="189"/>
      <c r="R53" s="190">
        <f t="shared" ref="R53:AU53" ca="1" si="30">R264</f>
        <v>0</v>
      </c>
      <c r="S53" s="190">
        <f t="shared" ca="1" si="30"/>
        <v>0</v>
      </c>
      <c r="T53" s="190">
        <f t="shared" ca="1" si="30"/>
        <v>0</v>
      </c>
      <c r="U53" s="190">
        <f t="shared" ca="1" si="30"/>
        <v>0</v>
      </c>
      <c r="V53" s="190">
        <f t="shared" ca="1" si="30"/>
        <v>0</v>
      </c>
      <c r="W53" s="190">
        <f t="shared" ca="1" si="30"/>
        <v>0</v>
      </c>
      <c r="X53" s="190">
        <f t="shared" ca="1" si="30"/>
        <v>0</v>
      </c>
      <c r="Y53" s="190">
        <f t="shared" ca="1" si="30"/>
        <v>0</v>
      </c>
      <c r="Z53" s="190">
        <f t="shared" ca="1" si="30"/>
        <v>0</v>
      </c>
      <c r="AA53" s="190">
        <f t="shared" ca="1" si="30"/>
        <v>0</v>
      </c>
      <c r="AB53" s="190">
        <f t="shared" ca="1" si="30"/>
        <v>0</v>
      </c>
      <c r="AC53" s="190">
        <f t="shared" ca="1" si="30"/>
        <v>0</v>
      </c>
      <c r="AD53" s="190">
        <f t="shared" ca="1" si="30"/>
        <v>0</v>
      </c>
      <c r="AE53" s="190">
        <f t="shared" ca="1" si="30"/>
        <v>0</v>
      </c>
      <c r="AF53" s="190">
        <f t="shared" ca="1" si="30"/>
        <v>0</v>
      </c>
      <c r="AG53" s="190">
        <f t="shared" ca="1" si="30"/>
        <v>0</v>
      </c>
      <c r="AH53" s="190">
        <f t="shared" ca="1" si="30"/>
        <v>0</v>
      </c>
      <c r="AI53" s="190">
        <f t="shared" ca="1" si="30"/>
        <v>0</v>
      </c>
      <c r="AJ53" s="190">
        <f t="shared" ca="1" si="30"/>
        <v>0</v>
      </c>
      <c r="AK53" s="190">
        <f t="shared" ca="1" si="30"/>
        <v>0</v>
      </c>
      <c r="AL53" s="190">
        <f t="shared" ca="1" si="30"/>
        <v>0</v>
      </c>
      <c r="AM53" s="190">
        <f t="shared" ca="1" si="30"/>
        <v>0</v>
      </c>
      <c r="AN53" s="190">
        <f t="shared" ca="1" si="30"/>
        <v>0</v>
      </c>
      <c r="AO53" s="190">
        <f t="shared" ca="1" si="30"/>
        <v>0</v>
      </c>
      <c r="AP53" s="190">
        <f t="shared" ca="1" si="30"/>
        <v>0</v>
      </c>
      <c r="AQ53" s="190">
        <f t="shared" ca="1" si="30"/>
        <v>0</v>
      </c>
      <c r="AR53" s="190">
        <f t="shared" ca="1" si="30"/>
        <v>0</v>
      </c>
      <c r="AS53" s="190">
        <f t="shared" ca="1" si="30"/>
        <v>0</v>
      </c>
      <c r="AT53" s="190">
        <f t="shared" ca="1" si="30"/>
        <v>0</v>
      </c>
      <c r="AU53" s="190">
        <f t="shared" ca="1" si="30"/>
        <v>0</v>
      </c>
    </row>
    <row r="54" spans="5:47" s="28" customFormat="1">
      <c r="E54" s="254"/>
      <c r="G54" s="36" t="s">
        <v>160</v>
      </c>
      <c r="L54" s="43" t="s">
        <v>12</v>
      </c>
      <c r="N54" s="189">
        <f t="shared" ca="1" si="21"/>
        <v>0</v>
      </c>
      <c r="O54" s="189"/>
      <c r="P54" s="319"/>
      <c r="Q54" s="189"/>
      <c r="R54" s="190">
        <f t="shared" ref="R54:AU54" ca="1" si="31">R285</f>
        <v>0</v>
      </c>
      <c r="S54" s="190">
        <f t="shared" ca="1" si="31"/>
        <v>0</v>
      </c>
      <c r="T54" s="190">
        <f t="shared" ca="1" si="31"/>
        <v>0</v>
      </c>
      <c r="U54" s="190">
        <f t="shared" ca="1" si="31"/>
        <v>0</v>
      </c>
      <c r="V54" s="190">
        <f t="shared" ca="1" si="31"/>
        <v>0</v>
      </c>
      <c r="W54" s="190">
        <f t="shared" ca="1" si="31"/>
        <v>0</v>
      </c>
      <c r="X54" s="190">
        <f t="shared" ca="1" si="31"/>
        <v>0</v>
      </c>
      <c r="Y54" s="190">
        <f t="shared" ca="1" si="31"/>
        <v>0</v>
      </c>
      <c r="Z54" s="190">
        <f t="shared" ca="1" si="31"/>
        <v>0</v>
      </c>
      <c r="AA54" s="190">
        <f t="shared" ca="1" si="31"/>
        <v>0</v>
      </c>
      <c r="AB54" s="190">
        <f t="shared" ca="1" si="31"/>
        <v>0</v>
      </c>
      <c r="AC54" s="190">
        <f t="shared" ca="1" si="31"/>
        <v>0</v>
      </c>
      <c r="AD54" s="190">
        <f t="shared" ca="1" si="31"/>
        <v>0</v>
      </c>
      <c r="AE54" s="190">
        <f t="shared" ca="1" si="31"/>
        <v>0</v>
      </c>
      <c r="AF54" s="190">
        <f t="shared" ca="1" si="31"/>
        <v>0</v>
      </c>
      <c r="AG54" s="190">
        <f t="shared" ca="1" si="31"/>
        <v>0</v>
      </c>
      <c r="AH54" s="190">
        <f t="shared" ca="1" si="31"/>
        <v>0</v>
      </c>
      <c r="AI54" s="190">
        <f t="shared" ca="1" si="31"/>
        <v>0</v>
      </c>
      <c r="AJ54" s="190">
        <f t="shared" ca="1" si="31"/>
        <v>0</v>
      </c>
      <c r="AK54" s="190">
        <f t="shared" ca="1" si="31"/>
        <v>0</v>
      </c>
      <c r="AL54" s="190">
        <f t="shared" ca="1" si="31"/>
        <v>0</v>
      </c>
      <c r="AM54" s="190">
        <f t="shared" ca="1" si="31"/>
        <v>0</v>
      </c>
      <c r="AN54" s="190">
        <f t="shared" ca="1" si="31"/>
        <v>0</v>
      </c>
      <c r="AO54" s="190">
        <f t="shared" ca="1" si="31"/>
        <v>0</v>
      </c>
      <c r="AP54" s="190">
        <f t="shared" ca="1" si="31"/>
        <v>0</v>
      </c>
      <c r="AQ54" s="190">
        <f t="shared" ca="1" si="31"/>
        <v>0</v>
      </c>
      <c r="AR54" s="190">
        <f t="shared" ca="1" si="31"/>
        <v>0</v>
      </c>
      <c r="AS54" s="190">
        <f t="shared" ca="1" si="31"/>
        <v>0</v>
      </c>
      <c r="AT54" s="190">
        <f t="shared" ca="1" si="31"/>
        <v>0</v>
      </c>
      <c r="AU54" s="190">
        <f t="shared" ca="1" si="31"/>
        <v>0</v>
      </c>
    </row>
    <row r="55" spans="5:47" s="28" customFormat="1">
      <c r="E55" s="254"/>
      <c r="G55" s="36" t="s">
        <v>161</v>
      </c>
      <c r="L55" s="43" t="s">
        <v>12</v>
      </c>
      <c r="N55" s="189">
        <f t="shared" ca="1" si="21"/>
        <v>583018.86792452831</v>
      </c>
      <c r="O55" s="189"/>
      <c r="P55" s="319"/>
      <c r="Q55" s="189"/>
      <c r="R55" s="190">
        <f t="shared" ref="R55:AU55" ca="1" si="32">R306</f>
        <v>618000</v>
      </c>
      <c r="S55" s="190">
        <f t="shared" ca="1" si="32"/>
        <v>0</v>
      </c>
      <c r="T55" s="190">
        <f t="shared" ca="1" si="32"/>
        <v>0</v>
      </c>
      <c r="U55" s="190">
        <f t="shared" ca="1" si="32"/>
        <v>0</v>
      </c>
      <c r="V55" s="190">
        <f t="shared" ca="1" si="32"/>
        <v>0</v>
      </c>
      <c r="W55" s="190">
        <f t="shared" ca="1" si="32"/>
        <v>0</v>
      </c>
      <c r="X55" s="190">
        <f t="shared" ca="1" si="32"/>
        <v>0</v>
      </c>
      <c r="Y55" s="190">
        <f t="shared" ca="1" si="32"/>
        <v>0</v>
      </c>
      <c r="Z55" s="190">
        <f t="shared" ca="1" si="32"/>
        <v>0</v>
      </c>
      <c r="AA55" s="190">
        <f t="shared" ca="1" si="32"/>
        <v>0</v>
      </c>
      <c r="AB55" s="190">
        <f t="shared" ca="1" si="32"/>
        <v>0</v>
      </c>
      <c r="AC55" s="190">
        <f t="shared" ca="1" si="32"/>
        <v>0</v>
      </c>
      <c r="AD55" s="190">
        <f t="shared" ca="1" si="32"/>
        <v>0</v>
      </c>
      <c r="AE55" s="190">
        <f t="shared" ca="1" si="32"/>
        <v>0</v>
      </c>
      <c r="AF55" s="190">
        <f t="shared" ca="1" si="32"/>
        <v>0</v>
      </c>
      <c r="AG55" s="190">
        <f t="shared" ca="1" si="32"/>
        <v>0</v>
      </c>
      <c r="AH55" s="190">
        <f t="shared" ca="1" si="32"/>
        <v>0</v>
      </c>
      <c r="AI55" s="190">
        <f t="shared" ca="1" si="32"/>
        <v>0</v>
      </c>
      <c r="AJ55" s="190">
        <f t="shared" ca="1" si="32"/>
        <v>0</v>
      </c>
      <c r="AK55" s="190">
        <f t="shared" ca="1" si="32"/>
        <v>0</v>
      </c>
      <c r="AL55" s="190">
        <f t="shared" ca="1" si="32"/>
        <v>0</v>
      </c>
      <c r="AM55" s="190">
        <f t="shared" ca="1" si="32"/>
        <v>0</v>
      </c>
      <c r="AN55" s="190">
        <f t="shared" ca="1" si="32"/>
        <v>0</v>
      </c>
      <c r="AO55" s="190">
        <f t="shared" ca="1" si="32"/>
        <v>0</v>
      </c>
      <c r="AP55" s="190">
        <f t="shared" ca="1" si="32"/>
        <v>0</v>
      </c>
      <c r="AQ55" s="190">
        <f t="shared" ca="1" si="32"/>
        <v>0</v>
      </c>
      <c r="AR55" s="190">
        <f t="shared" ca="1" si="32"/>
        <v>0</v>
      </c>
      <c r="AS55" s="190">
        <f t="shared" ca="1" si="32"/>
        <v>0</v>
      </c>
      <c r="AT55" s="190">
        <f t="shared" ca="1" si="32"/>
        <v>0</v>
      </c>
      <c r="AU55" s="190">
        <f t="shared" ca="1" si="32"/>
        <v>0</v>
      </c>
    </row>
    <row r="56" spans="5:47" s="28" customFormat="1">
      <c r="E56" s="254"/>
      <c r="G56" s="36" t="s">
        <v>162</v>
      </c>
      <c r="L56" s="43" t="s">
        <v>12</v>
      </c>
      <c r="N56" s="189">
        <f t="shared" ca="1" si="21"/>
        <v>676301.88679245277</v>
      </c>
      <c r="O56" s="189"/>
      <c r="P56" s="319"/>
      <c r="Q56" s="189"/>
      <c r="R56" s="190">
        <f t="shared" ref="R56:AU56" ca="1" si="33">R327</f>
        <v>716880</v>
      </c>
      <c r="S56" s="190">
        <f t="shared" ca="1" si="33"/>
        <v>0</v>
      </c>
      <c r="T56" s="190">
        <f t="shared" ca="1" si="33"/>
        <v>0</v>
      </c>
      <c r="U56" s="190">
        <f t="shared" ca="1" si="33"/>
        <v>0</v>
      </c>
      <c r="V56" s="190">
        <f t="shared" ca="1" si="33"/>
        <v>0</v>
      </c>
      <c r="W56" s="190">
        <f t="shared" ca="1" si="33"/>
        <v>0</v>
      </c>
      <c r="X56" s="190">
        <f t="shared" ca="1" si="33"/>
        <v>0</v>
      </c>
      <c r="Y56" s="190">
        <f t="shared" ca="1" si="33"/>
        <v>0</v>
      </c>
      <c r="Z56" s="190">
        <f t="shared" ca="1" si="33"/>
        <v>0</v>
      </c>
      <c r="AA56" s="190">
        <f t="shared" ca="1" si="33"/>
        <v>0</v>
      </c>
      <c r="AB56" s="190">
        <f t="shared" ca="1" si="33"/>
        <v>0</v>
      </c>
      <c r="AC56" s="190">
        <f t="shared" ca="1" si="33"/>
        <v>0</v>
      </c>
      <c r="AD56" s="190">
        <f t="shared" ca="1" si="33"/>
        <v>0</v>
      </c>
      <c r="AE56" s="190">
        <f t="shared" ca="1" si="33"/>
        <v>0</v>
      </c>
      <c r="AF56" s="190">
        <f t="shared" ca="1" si="33"/>
        <v>0</v>
      </c>
      <c r="AG56" s="190">
        <f t="shared" ca="1" si="33"/>
        <v>0</v>
      </c>
      <c r="AH56" s="190">
        <f t="shared" ca="1" si="33"/>
        <v>0</v>
      </c>
      <c r="AI56" s="190">
        <f t="shared" ca="1" si="33"/>
        <v>0</v>
      </c>
      <c r="AJ56" s="190">
        <f t="shared" ca="1" si="33"/>
        <v>0</v>
      </c>
      <c r="AK56" s="190">
        <f t="shared" ca="1" si="33"/>
        <v>0</v>
      </c>
      <c r="AL56" s="190">
        <f t="shared" ca="1" si="33"/>
        <v>0</v>
      </c>
      <c r="AM56" s="190">
        <f t="shared" ca="1" si="33"/>
        <v>0</v>
      </c>
      <c r="AN56" s="190">
        <f t="shared" ca="1" si="33"/>
        <v>0</v>
      </c>
      <c r="AO56" s="190">
        <f t="shared" ca="1" si="33"/>
        <v>0</v>
      </c>
      <c r="AP56" s="190">
        <f t="shared" ca="1" si="33"/>
        <v>0</v>
      </c>
      <c r="AQ56" s="190">
        <f t="shared" ca="1" si="33"/>
        <v>0</v>
      </c>
      <c r="AR56" s="190">
        <f t="shared" ca="1" si="33"/>
        <v>0</v>
      </c>
      <c r="AS56" s="190">
        <f t="shared" ca="1" si="33"/>
        <v>0</v>
      </c>
      <c r="AT56" s="190">
        <f t="shared" ca="1" si="33"/>
        <v>0</v>
      </c>
      <c r="AU56" s="190">
        <f t="shared" ca="1" si="33"/>
        <v>0</v>
      </c>
    </row>
    <row r="57" spans="5:47" s="28" customFormat="1">
      <c r="E57" s="254"/>
      <c r="G57" s="36" t="s">
        <v>135</v>
      </c>
      <c r="L57" s="43" t="s">
        <v>12</v>
      </c>
      <c r="N57" s="189">
        <f t="shared" ca="1" si="21"/>
        <v>1991981.1320754716</v>
      </c>
      <c r="O57" s="189"/>
      <c r="P57" s="319"/>
      <c r="Q57" s="189"/>
      <c r="R57" s="190">
        <f t="shared" ref="R57:AU57" ca="1" si="34">R348</f>
        <v>2111500</v>
      </c>
      <c r="S57" s="190">
        <f t="shared" ca="1" si="34"/>
        <v>0</v>
      </c>
      <c r="T57" s="190">
        <f t="shared" ca="1" si="34"/>
        <v>0</v>
      </c>
      <c r="U57" s="190">
        <f t="shared" ca="1" si="34"/>
        <v>0</v>
      </c>
      <c r="V57" s="190">
        <f t="shared" ca="1" si="34"/>
        <v>0</v>
      </c>
      <c r="W57" s="190">
        <f t="shared" ca="1" si="34"/>
        <v>0</v>
      </c>
      <c r="X57" s="190">
        <f t="shared" ca="1" si="34"/>
        <v>0</v>
      </c>
      <c r="Y57" s="190">
        <f t="shared" ca="1" si="34"/>
        <v>0</v>
      </c>
      <c r="Z57" s="190">
        <f t="shared" ca="1" si="34"/>
        <v>0</v>
      </c>
      <c r="AA57" s="190">
        <f t="shared" ca="1" si="34"/>
        <v>0</v>
      </c>
      <c r="AB57" s="190">
        <f t="shared" ca="1" si="34"/>
        <v>0</v>
      </c>
      <c r="AC57" s="190">
        <f t="shared" ca="1" si="34"/>
        <v>0</v>
      </c>
      <c r="AD57" s="190">
        <f t="shared" ca="1" si="34"/>
        <v>0</v>
      </c>
      <c r="AE57" s="190">
        <f t="shared" ca="1" si="34"/>
        <v>0</v>
      </c>
      <c r="AF57" s="190">
        <f t="shared" ca="1" si="34"/>
        <v>0</v>
      </c>
      <c r="AG57" s="190">
        <f t="shared" ca="1" si="34"/>
        <v>0</v>
      </c>
      <c r="AH57" s="190">
        <f t="shared" ca="1" si="34"/>
        <v>0</v>
      </c>
      <c r="AI57" s="190">
        <f t="shared" ca="1" si="34"/>
        <v>0</v>
      </c>
      <c r="AJ57" s="190">
        <f t="shared" ca="1" si="34"/>
        <v>0</v>
      </c>
      <c r="AK57" s="190">
        <f t="shared" ca="1" si="34"/>
        <v>0</v>
      </c>
      <c r="AL57" s="190">
        <f t="shared" ca="1" si="34"/>
        <v>0</v>
      </c>
      <c r="AM57" s="190">
        <f t="shared" ca="1" si="34"/>
        <v>0</v>
      </c>
      <c r="AN57" s="190">
        <f t="shared" ca="1" si="34"/>
        <v>0</v>
      </c>
      <c r="AO57" s="190">
        <f t="shared" ca="1" si="34"/>
        <v>0</v>
      </c>
      <c r="AP57" s="190">
        <f t="shared" ca="1" si="34"/>
        <v>0</v>
      </c>
      <c r="AQ57" s="190">
        <f t="shared" ca="1" si="34"/>
        <v>0</v>
      </c>
      <c r="AR57" s="190">
        <f t="shared" ca="1" si="34"/>
        <v>0</v>
      </c>
      <c r="AS57" s="190">
        <f t="shared" ca="1" si="34"/>
        <v>0</v>
      </c>
      <c r="AT57" s="190">
        <f t="shared" ca="1" si="34"/>
        <v>0</v>
      </c>
      <c r="AU57" s="190">
        <f t="shared" ca="1" si="34"/>
        <v>0</v>
      </c>
    </row>
    <row r="58" spans="5:47" s="28" customFormat="1">
      <c r="E58" s="254"/>
      <c r="G58" s="36" t="s">
        <v>29</v>
      </c>
      <c r="L58" s="43" t="s">
        <v>12</v>
      </c>
      <c r="N58" s="189">
        <f t="shared" ca="1" si="21"/>
        <v>999877.35849056602</v>
      </c>
      <c r="O58" s="189"/>
      <c r="P58" s="319"/>
      <c r="Q58" s="189"/>
      <c r="R58" s="190">
        <f t="shared" ref="R58:AU58" ca="1" si="35">R369</f>
        <v>1059870</v>
      </c>
      <c r="S58" s="190">
        <f t="shared" ca="1" si="35"/>
        <v>0</v>
      </c>
      <c r="T58" s="190">
        <f t="shared" ca="1" si="35"/>
        <v>0</v>
      </c>
      <c r="U58" s="190">
        <f t="shared" ca="1" si="35"/>
        <v>0</v>
      </c>
      <c r="V58" s="190">
        <f t="shared" ca="1" si="35"/>
        <v>0</v>
      </c>
      <c r="W58" s="190">
        <f t="shared" ca="1" si="35"/>
        <v>0</v>
      </c>
      <c r="X58" s="190">
        <f t="shared" ca="1" si="35"/>
        <v>0</v>
      </c>
      <c r="Y58" s="190">
        <f t="shared" ca="1" si="35"/>
        <v>0</v>
      </c>
      <c r="Z58" s="190">
        <f t="shared" ca="1" si="35"/>
        <v>0</v>
      </c>
      <c r="AA58" s="190">
        <f t="shared" ca="1" si="35"/>
        <v>0</v>
      </c>
      <c r="AB58" s="190">
        <f t="shared" ca="1" si="35"/>
        <v>0</v>
      </c>
      <c r="AC58" s="190">
        <f t="shared" ca="1" si="35"/>
        <v>0</v>
      </c>
      <c r="AD58" s="190">
        <f t="shared" ca="1" si="35"/>
        <v>0</v>
      </c>
      <c r="AE58" s="190">
        <f t="shared" ca="1" si="35"/>
        <v>0</v>
      </c>
      <c r="AF58" s="190">
        <f t="shared" ca="1" si="35"/>
        <v>0</v>
      </c>
      <c r="AG58" s="190">
        <f t="shared" ca="1" si="35"/>
        <v>0</v>
      </c>
      <c r="AH58" s="190">
        <f t="shared" ca="1" si="35"/>
        <v>0</v>
      </c>
      <c r="AI58" s="190">
        <f t="shared" ca="1" si="35"/>
        <v>0</v>
      </c>
      <c r="AJ58" s="190">
        <f t="shared" ca="1" si="35"/>
        <v>0</v>
      </c>
      <c r="AK58" s="190">
        <f t="shared" ca="1" si="35"/>
        <v>0</v>
      </c>
      <c r="AL58" s="190">
        <f t="shared" ca="1" si="35"/>
        <v>0</v>
      </c>
      <c r="AM58" s="190">
        <f t="shared" ca="1" si="35"/>
        <v>0</v>
      </c>
      <c r="AN58" s="190">
        <f t="shared" ca="1" si="35"/>
        <v>0</v>
      </c>
      <c r="AO58" s="190">
        <f t="shared" ca="1" si="35"/>
        <v>0</v>
      </c>
      <c r="AP58" s="190">
        <f t="shared" ca="1" si="35"/>
        <v>0</v>
      </c>
      <c r="AQ58" s="190">
        <f t="shared" ca="1" si="35"/>
        <v>0</v>
      </c>
      <c r="AR58" s="190">
        <f t="shared" ca="1" si="35"/>
        <v>0</v>
      </c>
      <c r="AS58" s="190">
        <f t="shared" ca="1" si="35"/>
        <v>0</v>
      </c>
      <c r="AT58" s="190">
        <f t="shared" ca="1" si="35"/>
        <v>0</v>
      </c>
      <c r="AU58" s="190">
        <f t="shared" ca="1" si="35"/>
        <v>0</v>
      </c>
    </row>
    <row r="59" spans="5:47" s="28" customFormat="1">
      <c r="E59" s="254"/>
      <c r="G59" s="36" t="s">
        <v>163</v>
      </c>
      <c r="L59" s="43" t="s">
        <v>12</v>
      </c>
      <c r="N59" s="189">
        <f t="shared" ca="1" si="21"/>
        <v>0</v>
      </c>
      <c r="O59" s="189"/>
      <c r="P59" s="319"/>
      <c r="Q59" s="189"/>
      <c r="R59" s="190">
        <f t="shared" ref="R59:AU59" ca="1" si="36">R390</f>
        <v>0</v>
      </c>
      <c r="S59" s="190">
        <f t="shared" ca="1" si="36"/>
        <v>0</v>
      </c>
      <c r="T59" s="190">
        <f t="shared" ca="1" si="36"/>
        <v>0</v>
      </c>
      <c r="U59" s="190">
        <f t="shared" ca="1" si="36"/>
        <v>0</v>
      </c>
      <c r="V59" s="190">
        <f t="shared" ca="1" si="36"/>
        <v>0</v>
      </c>
      <c r="W59" s="190">
        <f t="shared" ca="1" si="36"/>
        <v>0</v>
      </c>
      <c r="X59" s="190">
        <f t="shared" ca="1" si="36"/>
        <v>0</v>
      </c>
      <c r="Y59" s="190">
        <f t="shared" ca="1" si="36"/>
        <v>0</v>
      </c>
      <c r="Z59" s="190">
        <f t="shared" ca="1" si="36"/>
        <v>0</v>
      </c>
      <c r="AA59" s="190">
        <f t="shared" ca="1" si="36"/>
        <v>0</v>
      </c>
      <c r="AB59" s="190">
        <f t="shared" ca="1" si="36"/>
        <v>0</v>
      </c>
      <c r="AC59" s="190">
        <f t="shared" ca="1" si="36"/>
        <v>0</v>
      </c>
      <c r="AD59" s="190">
        <f t="shared" ca="1" si="36"/>
        <v>0</v>
      </c>
      <c r="AE59" s="190">
        <f t="shared" ca="1" si="36"/>
        <v>0</v>
      </c>
      <c r="AF59" s="190">
        <f t="shared" ca="1" si="36"/>
        <v>0</v>
      </c>
      <c r="AG59" s="190">
        <f t="shared" ca="1" si="36"/>
        <v>0</v>
      </c>
      <c r="AH59" s="190">
        <f t="shared" ca="1" si="36"/>
        <v>0</v>
      </c>
      <c r="AI59" s="190">
        <f t="shared" ca="1" si="36"/>
        <v>0</v>
      </c>
      <c r="AJ59" s="190">
        <f t="shared" ca="1" si="36"/>
        <v>0</v>
      </c>
      <c r="AK59" s="190">
        <f t="shared" ca="1" si="36"/>
        <v>0</v>
      </c>
      <c r="AL59" s="190">
        <f t="shared" ca="1" si="36"/>
        <v>0</v>
      </c>
      <c r="AM59" s="190">
        <f t="shared" ca="1" si="36"/>
        <v>0</v>
      </c>
      <c r="AN59" s="190">
        <f t="shared" ca="1" si="36"/>
        <v>0</v>
      </c>
      <c r="AO59" s="190">
        <f t="shared" ca="1" si="36"/>
        <v>0</v>
      </c>
      <c r="AP59" s="190">
        <f t="shared" ca="1" si="36"/>
        <v>0</v>
      </c>
      <c r="AQ59" s="190">
        <f t="shared" ca="1" si="36"/>
        <v>0</v>
      </c>
      <c r="AR59" s="190">
        <f t="shared" ca="1" si="36"/>
        <v>0</v>
      </c>
      <c r="AS59" s="190">
        <f t="shared" ca="1" si="36"/>
        <v>0</v>
      </c>
      <c r="AT59" s="190">
        <f t="shared" ca="1" si="36"/>
        <v>0</v>
      </c>
      <c r="AU59" s="190">
        <f t="shared" ca="1" si="36"/>
        <v>0</v>
      </c>
    </row>
    <row r="60" spans="5:47" s="28" customFormat="1">
      <c r="E60" s="254"/>
      <c r="G60" s="36" t="s">
        <v>138</v>
      </c>
      <c r="L60" s="43" t="s">
        <v>12</v>
      </c>
      <c r="N60" s="189">
        <f t="shared" ca="1" si="21"/>
        <v>0</v>
      </c>
      <c r="O60" s="189"/>
      <c r="P60" s="319"/>
      <c r="Q60" s="189"/>
      <c r="R60" s="190">
        <f t="shared" ref="R60:AU60" ca="1" si="37">R411</f>
        <v>0</v>
      </c>
      <c r="S60" s="190">
        <f t="shared" ca="1" si="37"/>
        <v>0</v>
      </c>
      <c r="T60" s="190">
        <f t="shared" ca="1" si="37"/>
        <v>0</v>
      </c>
      <c r="U60" s="190">
        <f t="shared" ca="1" si="37"/>
        <v>0</v>
      </c>
      <c r="V60" s="190">
        <f t="shared" ca="1" si="37"/>
        <v>0</v>
      </c>
      <c r="W60" s="190">
        <f t="shared" ca="1" si="37"/>
        <v>0</v>
      </c>
      <c r="X60" s="190">
        <f t="shared" ca="1" si="37"/>
        <v>0</v>
      </c>
      <c r="Y60" s="190">
        <f t="shared" ca="1" si="37"/>
        <v>0</v>
      </c>
      <c r="Z60" s="190">
        <f t="shared" ca="1" si="37"/>
        <v>0</v>
      </c>
      <c r="AA60" s="190">
        <f t="shared" ca="1" si="37"/>
        <v>0</v>
      </c>
      <c r="AB60" s="190">
        <f t="shared" ca="1" si="37"/>
        <v>0</v>
      </c>
      <c r="AC60" s="190">
        <f t="shared" ca="1" si="37"/>
        <v>0</v>
      </c>
      <c r="AD60" s="190">
        <f t="shared" ca="1" si="37"/>
        <v>0</v>
      </c>
      <c r="AE60" s="190">
        <f t="shared" ca="1" si="37"/>
        <v>0</v>
      </c>
      <c r="AF60" s="190">
        <f t="shared" ca="1" si="37"/>
        <v>0</v>
      </c>
      <c r="AG60" s="190">
        <f t="shared" ca="1" si="37"/>
        <v>0</v>
      </c>
      <c r="AH60" s="190">
        <f t="shared" ca="1" si="37"/>
        <v>0</v>
      </c>
      <c r="AI60" s="190">
        <f t="shared" ca="1" si="37"/>
        <v>0</v>
      </c>
      <c r="AJ60" s="190">
        <f t="shared" ca="1" si="37"/>
        <v>0</v>
      </c>
      <c r="AK60" s="190">
        <f t="shared" ca="1" si="37"/>
        <v>0</v>
      </c>
      <c r="AL60" s="190">
        <f t="shared" ca="1" si="37"/>
        <v>0</v>
      </c>
      <c r="AM60" s="190">
        <f t="shared" ca="1" si="37"/>
        <v>0</v>
      </c>
      <c r="AN60" s="190">
        <f t="shared" ca="1" si="37"/>
        <v>0</v>
      </c>
      <c r="AO60" s="190">
        <f t="shared" ca="1" si="37"/>
        <v>0</v>
      </c>
      <c r="AP60" s="190">
        <f t="shared" ca="1" si="37"/>
        <v>0</v>
      </c>
      <c r="AQ60" s="190">
        <f t="shared" ca="1" si="37"/>
        <v>0</v>
      </c>
      <c r="AR60" s="190">
        <f t="shared" ca="1" si="37"/>
        <v>0</v>
      </c>
      <c r="AS60" s="190">
        <f t="shared" ca="1" si="37"/>
        <v>0</v>
      </c>
      <c r="AT60" s="190">
        <f t="shared" ca="1" si="37"/>
        <v>0</v>
      </c>
      <c r="AU60" s="190">
        <f t="shared" ca="1" si="37"/>
        <v>0</v>
      </c>
    </row>
    <row r="61" spans="5:47" s="28" customFormat="1">
      <c r="E61" s="254"/>
      <c r="G61" s="36" t="s">
        <v>113</v>
      </c>
      <c r="L61" s="43" t="s">
        <v>12</v>
      </c>
      <c r="N61" s="189">
        <f t="shared" ca="1" si="21"/>
        <v>950320.75471698109</v>
      </c>
      <c r="O61" s="189"/>
      <c r="P61" s="319"/>
      <c r="Q61" s="189"/>
      <c r="R61" s="190">
        <f t="shared" ref="R61:AU61" ca="1" si="38">R432</f>
        <v>1007340</v>
      </c>
      <c r="S61" s="190">
        <f t="shared" ca="1" si="38"/>
        <v>0</v>
      </c>
      <c r="T61" s="190">
        <f t="shared" ca="1" si="38"/>
        <v>0</v>
      </c>
      <c r="U61" s="190">
        <f t="shared" ca="1" si="38"/>
        <v>0</v>
      </c>
      <c r="V61" s="190">
        <f t="shared" ca="1" si="38"/>
        <v>0</v>
      </c>
      <c r="W61" s="190">
        <f t="shared" ca="1" si="38"/>
        <v>0</v>
      </c>
      <c r="X61" s="190">
        <f t="shared" ca="1" si="38"/>
        <v>0</v>
      </c>
      <c r="Y61" s="190">
        <f t="shared" ca="1" si="38"/>
        <v>0</v>
      </c>
      <c r="Z61" s="190">
        <f t="shared" ca="1" si="38"/>
        <v>0</v>
      </c>
      <c r="AA61" s="190">
        <f t="shared" ca="1" si="38"/>
        <v>0</v>
      </c>
      <c r="AB61" s="190">
        <f t="shared" ca="1" si="38"/>
        <v>0</v>
      </c>
      <c r="AC61" s="190">
        <f t="shared" ca="1" si="38"/>
        <v>0</v>
      </c>
      <c r="AD61" s="190">
        <f t="shared" ca="1" si="38"/>
        <v>0</v>
      </c>
      <c r="AE61" s="190">
        <f t="shared" ca="1" si="38"/>
        <v>0</v>
      </c>
      <c r="AF61" s="190">
        <f t="shared" ca="1" si="38"/>
        <v>0</v>
      </c>
      <c r="AG61" s="190">
        <f t="shared" ca="1" si="38"/>
        <v>0</v>
      </c>
      <c r="AH61" s="190">
        <f t="shared" ca="1" si="38"/>
        <v>0</v>
      </c>
      <c r="AI61" s="190">
        <f t="shared" ca="1" si="38"/>
        <v>0</v>
      </c>
      <c r="AJ61" s="190">
        <f t="shared" ca="1" si="38"/>
        <v>0</v>
      </c>
      <c r="AK61" s="190">
        <f t="shared" ca="1" si="38"/>
        <v>0</v>
      </c>
      <c r="AL61" s="190">
        <f t="shared" ca="1" si="38"/>
        <v>0</v>
      </c>
      <c r="AM61" s="190">
        <f t="shared" ca="1" si="38"/>
        <v>0</v>
      </c>
      <c r="AN61" s="190">
        <f t="shared" ca="1" si="38"/>
        <v>0</v>
      </c>
      <c r="AO61" s="190">
        <f t="shared" ca="1" si="38"/>
        <v>0</v>
      </c>
      <c r="AP61" s="190">
        <f t="shared" ca="1" si="38"/>
        <v>0</v>
      </c>
      <c r="AQ61" s="190">
        <f t="shared" ca="1" si="38"/>
        <v>0</v>
      </c>
      <c r="AR61" s="190">
        <f t="shared" ca="1" si="38"/>
        <v>0</v>
      </c>
      <c r="AS61" s="190">
        <f t="shared" ca="1" si="38"/>
        <v>0</v>
      </c>
      <c r="AT61" s="190">
        <f t="shared" ca="1" si="38"/>
        <v>0</v>
      </c>
      <c r="AU61" s="190">
        <f t="shared" ca="1" si="38"/>
        <v>0</v>
      </c>
    </row>
    <row r="62" spans="5:47" s="28" customFormat="1">
      <c r="E62" s="254"/>
      <c r="G62" s="36" t="s">
        <v>115</v>
      </c>
      <c r="L62" s="43" t="s">
        <v>12</v>
      </c>
      <c r="N62" s="189">
        <f t="shared" ca="1" si="21"/>
        <v>1900641.5094339622</v>
      </c>
      <c r="O62" s="189"/>
      <c r="P62" s="319"/>
      <c r="Q62" s="189"/>
      <c r="R62" s="190">
        <f t="shared" ref="R62:AU62" ca="1" si="39">R437</f>
        <v>2014680</v>
      </c>
      <c r="S62" s="190">
        <f t="shared" ca="1" si="39"/>
        <v>0</v>
      </c>
      <c r="T62" s="190">
        <f t="shared" ca="1" si="39"/>
        <v>0</v>
      </c>
      <c r="U62" s="190">
        <f t="shared" ca="1" si="39"/>
        <v>0</v>
      </c>
      <c r="V62" s="190">
        <f t="shared" ca="1" si="39"/>
        <v>0</v>
      </c>
      <c r="W62" s="190">
        <f t="shared" ca="1" si="39"/>
        <v>0</v>
      </c>
      <c r="X62" s="190">
        <f t="shared" ca="1" si="39"/>
        <v>0</v>
      </c>
      <c r="Y62" s="190">
        <f t="shared" ca="1" si="39"/>
        <v>0</v>
      </c>
      <c r="Z62" s="190">
        <f t="shared" ca="1" si="39"/>
        <v>0</v>
      </c>
      <c r="AA62" s="190">
        <f t="shared" ca="1" si="39"/>
        <v>0</v>
      </c>
      <c r="AB62" s="190">
        <f t="shared" ca="1" si="39"/>
        <v>0</v>
      </c>
      <c r="AC62" s="190">
        <f t="shared" ca="1" si="39"/>
        <v>0</v>
      </c>
      <c r="AD62" s="190">
        <f t="shared" ca="1" si="39"/>
        <v>0</v>
      </c>
      <c r="AE62" s="190">
        <f t="shared" ca="1" si="39"/>
        <v>0</v>
      </c>
      <c r="AF62" s="190">
        <f t="shared" ca="1" si="39"/>
        <v>0</v>
      </c>
      <c r="AG62" s="190">
        <f t="shared" ca="1" si="39"/>
        <v>0</v>
      </c>
      <c r="AH62" s="190">
        <f t="shared" ca="1" si="39"/>
        <v>0</v>
      </c>
      <c r="AI62" s="190">
        <f t="shared" ca="1" si="39"/>
        <v>0</v>
      </c>
      <c r="AJ62" s="190">
        <f t="shared" ca="1" si="39"/>
        <v>0</v>
      </c>
      <c r="AK62" s="190">
        <f t="shared" ca="1" si="39"/>
        <v>0</v>
      </c>
      <c r="AL62" s="190">
        <f t="shared" ca="1" si="39"/>
        <v>0</v>
      </c>
      <c r="AM62" s="190">
        <f t="shared" ca="1" si="39"/>
        <v>0</v>
      </c>
      <c r="AN62" s="190">
        <f t="shared" ca="1" si="39"/>
        <v>0</v>
      </c>
      <c r="AO62" s="190">
        <f t="shared" ca="1" si="39"/>
        <v>0</v>
      </c>
      <c r="AP62" s="190">
        <f t="shared" ca="1" si="39"/>
        <v>0</v>
      </c>
      <c r="AQ62" s="190">
        <f t="shared" ca="1" si="39"/>
        <v>0</v>
      </c>
      <c r="AR62" s="190">
        <f t="shared" ca="1" si="39"/>
        <v>0</v>
      </c>
      <c r="AS62" s="190">
        <f t="shared" ca="1" si="39"/>
        <v>0</v>
      </c>
      <c r="AT62" s="190">
        <f t="shared" ca="1" si="39"/>
        <v>0</v>
      </c>
      <c r="AU62" s="190">
        <f t="shared" ca="1" si="39"/>
        <v>0</v>
      </c>
    </row>
    <row r="63" spans="5:47" s="28" customFormat="1">
      <c r="E63" s="254"/>
      <c r="G63" s="36" t="s">
        <v>146</v>
      </c>
      <c r="L63" s="43" t="s">
        <v>12</v>
      </c>
      <c r="N63" s="189">
        <f t="shared" ca="1" si="21"/>
        <v>6557990.5660377359</v>
      </c>
      <c r="O63" s="189"/>
      <c r="P63" s="319"/>
      <c r="Q63" s="189"/>
      <c r="R63" s="190">
        <f t="shared" ref="R63:AU63" ca="1" si="40">R442</f>
        <v>6951470</v>
      </c>
      <c r="S63" s="190">
        <f t="shared" ca="1" si="40"/>
        <v>0</v>
      </c>
      <c r="T63" s="190">
        <f t="shared" ca="1" si="40"/>
        <v>0</v>
      </c>
      <c r="U63" s="190">
        <f t="shared" ca="1" si="40"/>
        <v>0</v>
      </c>
      <c r="V63" s="190">
        <f t="shared" ca="1" si="40"/>
        <v>0</v>
      </c>
      <c r="W63" s="190">
        <f t="shared" ca="1" si="40"/>
        <v>0</v>
      </c>
      <c r="X63" s="190">
        <f t="shared" ca="1" si="40"/>
        <v>0</v>
      </c>
      <c r="Y63" s="190">
        <f t="shared" ca="1" si="40"/>
        <v>0</v>
      </c>
      <c r="Z63" s="190">
        <f t="shared" ca="1" si="40"/>
        <v>0</v>
      </c>
      <c r="AA63" s="190">
        <f t="shared" ca="1" si="40"/>
        <v>0</v>
      </c>
      <c r="AB63" s="190">
        <f t="shared" ca="1" si="40"/>
        <v>0</v>
      </c>
      <c r="AC63" s="190">
        <f t="shared" ca="1" si="40"/>
        <v>0</v>
      </c>
      <c r="AD63" s="190">
        <f t="shared" ca="1" si="40"/>
        <v>0</v>
      </c>
      <c r="AE63" s="190">
        <f t="shared" ca="1" si="40"/>
        <v>0</v>
      </c>
      <c r="AF63" s="190">
        <f t="shared" ca="1" si="40"/>
        <v>0</v>
      </c>
      <c r="AG63" s="190">
        <f t="shared" ca="1" si="40"/>
        <v>0</v>
      </c>
      <c r="AH63" s="190">
        <f t="shared" ca="1" si="40"/>
        <v>0</v>
      </c>
      <c r="AI63" s="190">
        <f t="shared" ca="1" si="40"/>
        <v>0</v>
      </c>
      <c r="AJ63" s="190">
        <f t="shared" ca="1" si="40"/>
        <v>0</v>
      </c>
      <c r="AK63" s="190">
        <f t="shared" ca="1" si="40"/>
        <v>0</v>
      </c>
      <c r="AL63" s="190">
        <f t="shared" ca="1" si="40"/>
        <v>0</v>
      </c>
      <c r="AM63" s="190">
        <f t="shared" ca="1" si="40"/>
        <v>0</v>
      </c>
      <c r="AN63" s="190">
        <f t="shared" ca="1" si="40"/>
        <v>0</v>
      </c>
      <c r="AO63" s="190">
        <f t="shared" ca="1" si="40"/>
        <v>0</v>
      </c>
      <c r="AP63" s="190">
        <f t="shared" ca="1" si="40"/>
        <v>0</v>
      </c>
      <c r="AQ63" s="190">
        <f t="shared" ca="1" si="40"/>
        <v>0</v>
      </c>
      <c r="AR63" s="190">
        <f t="shared" ca="1" si="40"/>
        <v>0</v>
      </c>
      <c r="AS63" s="190">
        <f t="shared" ca="1" si="40"/>
        <v>0</v>
      </c>
      <c r="AT63" s="190">
        <f t="shared" ca="1" si="40"/>
        <v>0</v>
      </c>
      <c r="AU63" s="190">
        <f t="shared" ca="1" si="40"/>
        <v>0</v>
      </c>
    </row>
    <row r="64" spans="5:47" s="28" customFormat="1">
      <c r="E64" s="254"/>
      <c r="G64" s="36" t="s">
        <v>147</v>
      </c>
      <c r="L64" s="43" t="s">
        <v>12</v>
      </c>
      <c r="N64" s="189">
        <f t="shared" ca="1" si="21"/>
        <v>4262839.6226415094</v>
      </c>
      <c r="O64" s="189"/>
      <c r="P64" s="319"/>
      <c r="Q64" s="189"/>
      <c r="R64" s="190">
        <f t="shared" ref="R64:AU64" ca="1" si="41">R447</f>
        <v>4518610</v>
      </c>
      <c r="S64" s="190">
        <f t="shared" ca="1" si="41"/>
        <v>0</v>
      </c>
      <c r="T64" s="190">
        <f t="shared" ca="1" si="41"/>
        <v>0</v>
      </c>
      <c r="U64" s="190">
        <f t="shared" ca="1" si="41"/>
        <v>0</v>
      </c>
      <c r="V64" s="190">
        <f t="shared" ca="1" si="41"/>
        <v>0</v>
      </c>
      <c r="W64" s="190">
        <f t="shared" ca="1" si="41"/>
        <v>0</v>
      </c>
      <c r="X64" s="190">
        <f t="shared" ca="1" si="41"/>
        <v>0</v>
      </c>
      <c r="Y64" s="190">
        <f t="shared" ca="1" si="41"/>
        <v>0</v>
      </c>
      <c r="Z64" s="190">
        <f t="shared" ca="1" si="41"/>
        <v>0</v>
      </c>
      <c r="AA64" s="190">
        <f t="shared" ca="1" si="41"/>
        <v>0</v>
      </c>
      <c r="AB64" s="190">
        <f t="shared" ca="1" si="41"/>
        <v>0</v>
      </c>
      <c r="AC64" s="190">
        <f t="shared" ca="1" si="41"/>
        <v>0</v>
      </c>
      <c r="AD64" s="190">
        <f t="shared" ca="1" si="41"/>
        <v>0</v>
      </c>
      <c r="AE64" s="190">
        <f t="shared" ca="1" si="41"/>
        <v>0</v>
      </c>
      <c r="AF64" s="190">
        <f t="shared" ca="1" si="41"/>
        <v>0</v>
      </c>
      <c r="AG64" s="190">
        <f t="shared" ca="1" si="41"/>
        <v>0</v>
      </c>
      <c r="AH64" s="190">
        <f t="shared" ca="1" si="41"/>
        <v>0</v>
      </c>
      <c r="AI64" s="190">
        <f t="shared" ca="1" si="41"/>
        <v>0</v>
      </c>
      <c r="AJ64" s="190">
        <f t="shared" ca="1" si="41"/>
        <v>0</v>
      </c>
      <c r="AK64" s="190">
        <f t="shared" ca="1" si="41"/>
        <v>0</v>
      </c>
      <c r="AL64" s="190">
        <f t="shared" ca="1" si="41"/>
        <v>0</v>
      </c>
      <c r="AM64" s="190">
        <f t="shared" ca="1" si="41"/>
        <v>0</v>
      </c>
      <c r="AN64" s="190">
        <f t="shared" ca="1" si="41"/>
        <v>0</v>
      </c>
      <c r="AO64" s="190">
        <f t="shared" ca="1" si="41"/>
        <v>0</v>
      </c>
      <c r="AP64" s="190">
        <f t="shared" ca="1" si="41"/>
        <v>0</v>
      </c>
      <c r="AQ64" s="190">
        <f t="shared" ca="1" si="41"/>
        <v>0</v>
      </c>
      <c r="AR64" s="190">
        <f t="shared" ca="1" si="41"/>
        <v>0</v>
      </c>
      <c r="AS64" s="190">
        <f t="shared" ca="1" si="41"/>
        <v>0</v>
      </c>
      <c r="AT64" s="190">
        <f t="shared" ca="1" si="41"/>
        <v>0</v>
      </c>
      <c r="AU64" s="190">
        <f t="shared" ca="1" si="41"/>
        <v>0</v>
      </c>
    </row>
    <row r="65" spans="1:47" s="39" customFormat="1">
      <c r="E65" s="254"/>
      <c r="G65" s="173" t="s">
        <v>114</v>
      </c>
      <c r="L65" s="174" t="s">
        <v>12</v>
      </c>
      <c r="N65" s="189">
        <f ca="1">SUBTOTAL(9,N45:N64)</f>
        <v>32679179.245283023</v>
      </c>
      <c r="O65" s="189"/>
      <c r="P65" s="320"/>
      <c r="Q65" s="189"/>
      <c r="R65" s="189">
        <f t="shared" ref="R65:AU65" ca="1" si="42">SUBTOTAL(9,R45:R64)</f>
        <v>34639930</v>
      </c>
      <c r="S65" s="189">
        <f t="shared" ca="1" si="42"/>
        <v>0</v>
      </c>
      <c r="T65" s="189">
        <f t="shared" ca="1" si="42"/>
        <v>0</v>
      </c>
      <c r="U65" s="189">
        <f t="shared" ca="1" si="42"/>
        <v>0</v>
      </c>
      <c r="V65" s="189">
        <f t="shared" ca="1" si="42"/>
        <v>0</v>
      </c>
      <c r="W65" s="189">
        <f t="shared" ca="1" si="42"/>
        <v>0</v>
      </c>
      <c r="X65" s="189">
        <f t="shared" ca="1" si="42"/>
        <v>0</v>
      </c>
      <c r="Y65" s="189">
        <f t="shared" ca="1" si="42"/>
        <v>0</v>
      </c>
      <c r="Z65" s="189">
        <f t="shared" ca="1" si="42"/>
        <v>0</v>
      </c>
      <c r="AA65" s="189">
        <f t="shared" ca="1" si="42"/>
        <v>0</v>
      </c>
      <c r="AB65" s="189">
        <f t="shared" ca="1" si="42"/>
        <v>0</v>
      </c>
      <c r="AC65" s="189">
        <f t="shared" ca="1" si="42"/>
        <v>0</v>
      </c>
      <c r="AD65" s="189">
        <f t="shared" ca="1" si="42"/>
        <v>0</v>
      </c>
      <c r="AE65" s="189">
        <f t="shared" ca="1" si="42"/>
        <v>0</v>
      </c>
      <c r="AF65" s="189">
        <f t="shared" ca="1" si="42"/>
        <v>0</v>
      </c>
      <c r="AG65" s="189">
        <f t="shared" ca="1" si="42"/>
        <v>0</v>
      </c>
      <c r="AH65" s="189">
        <f t="shared" ca="1" si="42"/>
        <v>0</v>
      </c>
      <c r="AI65" s="189">
        <f t="shared" ca="1" si="42"/>
        <v>0</v>
      </c>
      <c r="AJ65" s="189">
        <f t="shared" ca="1" si="42"/>
        <v>0</v>
      </c>
      <c r="AK65" s="189">
        <f t="shared" ca="1" si="42"/>
        <v>0</v>
      </c>
      <c r="AL65" s="189">
        <f t="shared" ca="1" si="42"/>
        <v>0</v>
      </c>
      <c r="AM65" s="189">
        <f t="shared" ca="1" si="42"/>
        <v>0</v>
      </c>
      <c r="AN65" s="189">
        <f t="shared" ca="1" si="42"/>
        <v>0</v>
      </c>
      <c r="AO65" s="189">
        <f t="shared" ca="1" si="42"/>
        <v>0</v>
      </c>
      <c r="AP65" s="189">
        <f t="shared" ca="1" si="42"/>
        <v>0</v>
      </c>
      <c r="AQ65" s="189">
        <f t="shared" ca="1" si="42"/>
        <v>0</v>
      </c>
      <c r="AR65" s="189">
        <f t="shared" ca="1" si="42"/>
        <v>0</v>
      </c>
      <c r="AS65" s="189">
        <f t="shared" ca="1" si="42"/>
        <v>0</v>
      </c>
      <c r="AT65" s="189">
        <f t="shared" ca="1" si="42"/>
        <v>0</v>
      </c>
      <c r="AU65" s="189">
        <f t="shared" ca="1" si="42"/>
        <v>0</v>
      </c>
    </row>
    <row r="66" spans="1:47" s="28" customFormat="1">
      <c r="E66" s="53"/>
      <c r="G66" s="36"/>
      <c r="L66" s="43"/>
      <c r="N66" s="189"/>
      <c r="O66" s="189"/>
      <c r="P66" s="190"/>
      <c r="Q66" s="189"/>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row>
    <row r="67" spans="1:47" s="28" customFormat="1">
      <c r="A67" s="40"/>
      <c r="B67" s="40"/>
      <c r="C67" s="40"/>
      <c r="D67" s="40"/>
      <c r="G67" s="324" t="s">
        <v>493</v>
      </c>
      <c r="H67" s="324"/>
      <c r="I67" s="324"/>
      <c r="J67" s="324"/>
      <c r="K67" s="324"/>
      <c r="L67" s="405"/>
      <c r="M67" s="256"/>
      <c r="N67" s="325"/>
      <c r="O67" s="311"/>
      <c r="P67" s="325"/>
      <c r="Q67" s="310"/>
      <c r="R67" s="325">
        <f>R42</f>
        <v>2014</v>
      </c>
      <c r="S67" s="325">
        <f t="shared" ref="S67:AU67" si="43">S42</f>
        <v>2015</v>
      </c>
      <c r="T67" s="325">
        <f t="shared" si="43"/>
        <v>2016</v>
      </c>
      <c r="U67" s="325">
        <f t="shared" si="43"/>
        <v>2017</v>
      </c>
      <c r="V67" s="325">
        <f t="shared" si="43"/>
        <v>2018</v>
      </c>
      <c r="W67" s="325">
        <f t="shared" si="43"/>
        <v>2019</v>
      </c>
      <c r="X67" s="325">
        <f t="shared" si="43"/>
        <v>2020</v>
      </c>
      <c r="Y67" s="325">
        <f t="shared" si="43"/>
        <v>2021</v>
      </c>
      <c r="Z67" s="325">
        <f t="shared" si="43"/>
        <v>2022</v>
      </c>
      <c r="AA67" s="325">
        <f t="shared" si="43"/>
        <v>2023</v>
      </c>
      <c r="AB67" s="325">
        <f t="shared" si="43"/>
        <v>2024</v>
      </c>
      <c r="AC67" s="325">
        <f t="shared" si="43"/>
        <v>2025</v>
      </c>
      <c r="AD67" s="325">
        <f t="shared" si="43"/>
        <v>2026</v>
      </c>
      <c r="AE67" s="325">
        <f t="shared" si="43"/>
        <v>2027</v>
      </c>
      <c r="AF67" s="325">
        <f t="shared" si="43"/>
        <v>2028</v>
      </c>
      <c r="AG67" s="325">
        <f t="shared" si="43"/>
        <v>2029</v>
      </c>
      <c r="AH67" s="325">
        <f t="shared" si="43"/>
        <v>2030</v>
      </c>
      <c r="AI67" s="325">
        <f t="shared" si="43"/>
        <v>2031</v>
      </c>
      <c r="AJ67" s="325">
        <f t="shared" si="43"/>
        <v>2032</v>
      </c>
      <c r="AK67" s="325">
        <f t="shared" si="43"/>
        <v>2033</v>
      </c>
      <c r="AL67" s="325">
        <f t="shared" si="43"/>
        <v>2034</v>
      </c>
      <c r="AM67" s="325">
        <f t="shared" si="43"/>
        <v>2035</v>
      </c>
      <c r="AN67" s="325">
        <f t="shared" si="43"/>
        <v>2036</v>
      </c>
      <c r="AO67" s="325">
        <f t="shared" si="43"/>
        <v>2037</v>
      </c>
      <c r="AP67" s="325">
        <f t="shared" si="43"/>
        <v>2038</v>
      </c>
      <c r="AQ67" s="325">
        <f t="shared" si="43"/>
        <v>2039</v>
      </c>
      <c r="AR67" s="325">
        <f t="shared" si="43"/>
        <v>2040</v>
      </c>
      <c r="AS67" s="325">
        <f t="shared" si="43"/>
        <v>2041</v>
      </c>
      <c r="AT67" s="325">
        <f t="shared" si="43"/>
        <v>2042</v>
      </c>
      <c r="AU67" s="325">
        <f t="shared" si="43"/>
        <v>2043</v>
      </c>
    </row>
    <row r="68" spans="1:47" s="28" customFormat="1">
      <c r="E68" s="254"/>
      <c r="G68" s="36"/>
      <c r="L68" s="43"/>
      <c r="N68" s="189"/>
      <c r="O68" s="189"/>
      <c r="P68" s="190"/>
      <c r="Q68" s="189"/>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row>
    <row r="69" spans="1:47" s="28" customFormat="1">
      <c r="E69" s="254"/>
      <c r="G69" s="36" t="s">
        <v>315</v>
      </c>
      <c r="L69" s="43" t="s">
        <v>12</v>
      </c>
      <c r="N69" s="189">
        <f t="shared" ref="N69:N87" ca="1" si="44">NPV(DiscountRt,R69:AU69)</f>
        <v>3033703.2692669816</v>
      </c>
      <c r="O69" s="189"/>
      <c r="P69" s="320"/>
      <c r="Q69" s="189"/>
      <c r="R69" s="190">
        <f t="shared" ref="R69:AU69" ca="1" si="45">R113</f>
        <v>225240.14494936715</v>
      </c>
      <c r="S69" s="190">
        <f t="shared" ca="1" si="45"/>
        <v>229233.84505199722</v>
      </c>
      <c r="T69" s="190">
        <f t="shared" ca="1" si="45"/>
        <v>234681.86488194409</v>
      </c>
      <c r="U69" s="190">
        <f t="shared" ca="1" si="45"/>
        <v>239765.09046144341</v>
      </c>
      <c r="V69" s="190">
        <f t="shared" ca="1" si="45"/>
        <v>244726.2048741724</v>
      </c>
      <c r="W69" s="190">
        <f t="shared" ca="1" si="45"/>
        <v>249324.48891440028</v>
      </c>
      <c r="X69" s="190">
        <f t="shared" ca="1" si="45"/>
        <v>254155.79435489755</v>
      </c>
      <c r="Y69" s="190">
        <f t="shared" ca="1" si="45"/>
        <v>259435.13987168498</v>
      </c>
      <c r="Z69" s="190">
        <f t="shared" ca="1" si="45"/>
        <v>264794.67855224758</v>
      </c>
      <c r="AA69" s="190">
        <f t="shared" ca="1" si="45"/>
        <v>270312.62980952137</v>
      </c>
      <c r="AB69" s="190">
        <f t="shared" ca="1" si="45"/>
        <v>275794.40275253868</v>
      </c>
      <c r="AC69" s="190">
        <f t="shared" ca="1" si="45"/>
        <v>281275.72257143375</v>
      </c>
      <c r="AD69" s="190">
        <f t="shared" ca="1" si="45"/>
        <v>287048.10612193134</v>
      </c>
      <c r="AE69" s="190">
        <f t="shared" ca="1" si="45"/>
        <v>292924.39306353359</v>
      </c>
      <c r="AF69" s="190">
        <f t="shared" ca="1" si="45"/>
        <v>298970.12317217601</v>
      </c>
      <c r="AG69" s="190">
        <f t="shared" ca="1" si="45"/>
        <v>305254.9290101314</v>
      </c>
      <c r="AH69" s="190">
        <f t="shared" ca="1" si="45"/>
        <v>311594.77121271112</v>
      </c>
      <c r="AI69" s="190">
        <f t="shared" ca="1" si="45"/>
        <v>318143.68120781303</v>
      </c>
      <c r="AJ69" s="190">
        <f t="shared" ca="1" si="45"/>
        <v>324877.05895553058</v>
      </c>
      <c r="AK69" s="190">
        <f t="shared" ca="1" si="45"/>
        <v>331779.45724062651</v>
      </c>
      <c r="AL69" s="190">
        <f t="shared" si="45"/>
        <v>0</v>
      </c>
      <c r="AM69" s="190">
        <f t="shared" si="45"/>
        <v>0</v>
      </c>
      <c r="AN69" s="190">
        <f t="shared" si="45"/>
        <v>0</v>
      </c>
      <c r="AO69" s="190">
        <f t="shared" si="45"/>
        <v>0</v>
      </c>
      <c r="AP69" s="190">
        <f t="shared" si="45"/>
        <v>0</v>
      </c>
      <c r="AQ69" s="190">
        <f t="shared" si="45"/>
        <v>0</v>
      </c>
      <c r="AR69" s="190">
        <f t="shared" si="45"/>
        <v>0</v>
      </c>
      <c r="AS69" s="190">
        <f t="shared" si="45"/>
        <v>0</v>
      </c>
      <c r="AT69" s="190">
        <f t="shared" si="45"/>
        <v>0</v>
      </c>
      <c r="AU69" s="190">
        <f t="shared" si="45"/>
        <v>0</v>
      </c>
    </row>
    <row r="70" spans="1:47" s="28" customFormat="1">
      <c r="E70" s="254"/>
      <c r="G70" s="36" t="s">
        <v>153</v>
      </c>
      <c r="L70" s="43" t="s">
        <v>12</v>
      </c>
      <c r="N70" s="189">
        <f t="shared" ca="1" si="44"/>
        <v>0</v>
      </c>
      <c r="O70" s="189"/>
      <c r="P70" s="320"/>
      <c r="Q70" s="189"/>
      <c r="R70" s="190">
        <f t="shared" ref="R70:AU70" ca="1" si="46">R134</f>
        <v>0</v>
      </c>
      <c r="S70" s="190">
        <f t="shared" ca="1" si="46"/>
        <v>0</v>
      </c>
      <c r="T70" s="190">
        <f t="shared" ca="1" si="46"/>
        <v>0</v>
      </c>
      <c r="U70" s="190">
        <f t="shared" ca="1" si="46"/>
        <v>0</v>
      </c>
      <c r="V70" s="190">
        <f t="shared" ca="1" si="46"/>
        <v>0</v>
      </c>
      <c r="W70" s="190">
        <f t="shared" ca="1" si="46"/>
        <v>0</v>
      </c>
      <c r="X70" s="190">
        <f t="shared" ca="1" si="46"/>
        <v>0</v>
      </c>
      <c r="Y70" s="190">
        <f t="shared" ca="1" si="46"/>
        <v>0</v>
      </c>
      <c r="Z70" s="190">
        <f t="shared" ca="1" si="46"/>
        <v>0</v>
      </c>
      <c r="AA70" s="190">
        <f t="shared" ca="1" si="46"/>
        <v>0</v>
      </c>
      <c r="AB70" s="190">
        <f t="shared" ca="1" si="46"/>
        <v>0</v>
      </c>
      <c r="AC70" s="190">
        <f t="shared" ca="1" si="46"/>
        <v>0</v>
      </c>
      <c r="AD70" s="190">
        <f t="shared" ca="1" si="46"/>
        <v>0</v>
      </c>
      <c r="AE70" s="190">
        <f t="shared" ca="1" si="46"/>
        <v>0</v>
      </c>
      <c r="AF70" s="190">
        <f t="shared" ca="1" si="46"/>
        <v>0</v>
      </c>
      <c r="AG70" s="190">
        <f t="shared" ca="1" si="46"/>
        <v>0</v>
      </c>
      <c r="AH70" s="190">
        <f t="shared" ca="1" si="46"/>
        <v>0</v>
      </c>
      <c r="AI70" s="190">
        <f t="shared" ca="1" si="46"/>
        <v>0</v>
      </c>
      <c r="AJ70" s="190">
        <f t="shared" ca="1" si="46"/>
        <v>0</v>
      </c>
      <c r="AK70" s="190">
        <f t="shared" ca="1" si="46"/>
        <v>0</v>
      </c>
      <c r="AL70" s="190">
        <f t="shared" si="46"/>
        <v>0</v>
      </c>
      <c r="AM70" s="190">
        <f t="shared" si="46"/>
        <v>0</v>
      </c>
      <c r="AN70" s="190">
        <f t="shared" si="46"/>
        <v>0</v>
      </c>
      <c r="AO70" s="190">
        <f t="shared" si="46"/>
        <v>0</v>
      </c>
      <c r="AP70" s="190">
        <f t="shared" si="46"/>
        <v>0</v>
      </c>
      <c r="AQ70" s="190">
        <f t="shared" si="46"/>
        <v>0</v>
      </c>
      <c r="AR70" s="190">
        <f t="shared" si="46"/>
        <v>0</v>
      </c>
      <c r="AS70" s="190">
        <f t="shared" si="46"/>
        <v>0</v>
      </c>
      <c r="AT70" s="190">
        <f t="shared" si="46"/>
        <v>0</v>
      </c>
      <c r="AU70" s="190">
        <f t="shared" si="46"/>
        <v>0</v>
      </c>
    </row>
    <row r="71" spans="1:47" s="28" customFormat="1">
      <c r="E71" s="254"/>
      <c r="G71" s="36" t="s">
        <v>143</v>
      </c>
      <c r="L71" s="43" t="s">
        <v>12</v>
      </c>
      <c r="N71" s="189">
        <f t="shared" ca="1" si="44"/>
        <v>4364968.6623703912</v>
      </c>
      <c r="O71" s="189"/>
      <c r="P71" s="320"/>
      <c r="Q71" s="189"/>
      <c r="R71" s="190">
        <f t="shared" ref="R71:AU71" ca="1" si="47">R155</f>
        <v>325285.25475647952</v>
      </c>
      <c r="S71" s="190">
        <f t="shared" ca="1" si="47"/>
        <v>331762.07429313834</v>
      </c>
      <c r="T71" s="190">
        <f t="shared" ca="1" si="47"/>
        <v>338446.108590997</v>
      </c>
      <c r="U71" s="190">
        <f t="shared" ca="1" si="47"/>
        <v>345237.04878967063</v>
      </c>
      <c r="V71" s="190">
        <f t="shared" ca="1" si="47"/>
        <v>352151.16085419169</v>
      </c>
      <c r="W71" s="190">
        <f t="shared" ca="1" si="47"/>
        <v>359177.44172598561</v>
      </c>
      <c r="X71" s="190">
        <f t="shared" ca="1" si="47"/>
        <v>366352.22014035704</v>
      </c>
      <c r="Y71" s="190">
        <f t="shared" ca="1" si="47"/>
        <v>373690.35468487832</v>
      </c>
      <c r="Z71" s="190">
        <f t="shared" ca="1" si="47"/>
        <v>381173.81676369079</v>
      </c>
      <c r="AA71" s="190">
        <f t="shared" ca="1" si="47"/>
        <v>388809.84294280258</v>
      </c>
      <c r="AB71" s="190">
        <f t="shared" ca="1" si="47"/>
        <v>396590.3079203415</v>
      </c>
      <c r="AC71" s="190">
        <f t="shared" ca="1" si="47"/>
        <v>404520.16041538783</v>
      </c>
      <c r="AD71" s="190">
        <f t="shared" ca="1" si="47"/>
        <v>412618.86409862729</v>
      </c>
      <c r="AE71" s="190">
        <f t="shared" ca="1" si="47"/>
        <v>420878.88941736339</v>
      </c>
      <c r="AF71" s="190">
        <f t="shared" ca="1" si="47"/>
        <v>429307.04941524495</v>
      </c>
      <c r="AG71" s="190">
        <f t="shared" ca="1" si="47"/>
        <v>437910.45062418358</v>
      </c>
      <c r="AH71" s="190">
        <f t="shared" ca="1" si="47"/>
        <v>446681.92644068034</v>
      </c>
      <c r="AI71" s="190">
        <f t="shared" ca="1" si="47"/>
        <v>455633.48141015432</v>
      </c>
      <c r="AJ71" s="190">
        <f t="shared" ca="1" si="47"/>
        <v>464767.09050220111</v>
      </c>
      <c r="AK71" s="190">
        <f t="shared" ca="1" si="47"/>
        <v>474085.3132741389</v>
      </c>
      <c r="AL71" s="190">
        <f t="shared" si="47"/>
        <v>0</v>
      </c>
      <c r="AM71" s="190">
        <f t="shared" si="47"/>
        <v>0</v>
      </c>
      <c r="AN71" s="190">
        <f t="shared" si="47"/>
        <v>0</v>
      </c>
      <c r="AO71" s="190">
        <f t="shared" si="47"/>
        <v>0</v>
      </c>
      <c r="AP71" s="190">
        <f t="shared" si="47"/>
        <v>0</v>
      </c>
      <c r="AQ71" s="190">
        <f t="shared" si="47"/>
        <v>0</v>
      </c>
      <c r="AR71" s="190">
        <f t="shared" si="47"/>
        <v>0</v>
      </c>
      <c r="AS71" s="190">
        <f t="shared" si="47"/>
        <v>0</v>
      </c>
      <c r="AT71" s="190">
        <f t="shared" si="47"/>
        <v>0</v>
      </c>
      <c r="AU71" s="190">
        <f t="shared" si="47"/>
        <v>0</v>
      </c>
    </row>
    <row r="72" spans="1:47" s="28" customFormat="1">
      <c r="E72" s="254"/>
      <c r="G72" s="36" t="s">
        <v>316</v>
      </c>
      <c r="L72" s="43" t="s">
        <v>12</v>
      </c>
      <c r="N72" s="189">
        <f t="shared" ca="1" si="44"/>
        <v>611899.58278910606</v>
      </c>
      <c r="O72" s="189"/>
      <c r="P72" s="320"/>
      <c r="Q72" s="189"/>
      <c r="R72" s="190">
        <f t="shared" ref="R72:AU72" ca="1" si="48">R176</f>
        <v>45606.75</v>
      </c>
      <c r="S72" s="190">
        <f t="shared" ca="1" si="48"/>
        <v>46518.885000000002</v>
      </c>
      <c r="T72" s="190">
        <f t="shared" ca="1" si="48"/>
        <v>47449.262699999999</v>
      </c>
      <c r="U72" s="190">
        <f t="shared" ca="1" si="48"/>
        <v>48398.247953999999</v>
      </c>
      <c r="V72" s="190">
        <f t="shared" ca="1" si="48"/>
        <v>49366.212913080002</v>
      </c>
      <c r="W72" s="190">
        <f t="shared" ca="1" si="48"/>
        <v>50353.537171341603</v>
      </c>
      <c r="X72" s="190">
        <f t="shared" ca="1" si="48"/>
        <v>51360.607914768421</v>
      </c>
      <c r="Y72" s="190">
        <f t="shared" ca="1" si="48"/>
        <v>52387.820073063798</v>
      </c>
      <c r="Z72" s="190">
        <f t="shared" ca="1" si="48"/>
        <v>53435.576474525071</v>
      </c>
      <c r="AA72" s="190">
        <f t="shared" ca="1" si="48"/>
        <v>54504.28800401558</v>
      </c>
      <c r="AB72" s="190">
        <f t="shared" ca="1" si="48"/>
        <v>55594.373764095879</v>
      </c>
      <c r="AC72" s="190">
        <f t="shared" ca="1" si="48"/>
        <v>56706.261239377804</v>
      </c>
      <c r="AD72" s="190">
        <f t="shared" ca="1" si="48"/>
        <v>57840.386464165356</v>
      </c>
      <c r="AE72" s="190">
        <f t="shared" ca="1" si="48"/>
        <v>58997.194193448668</v>
      </c>
      <c r="AF72" s="190">
        <f t="shared" ca="1" si="48"/>
        <v>60177.138077317628</v>
      </c>
      <c r="AG72" s="190">
        <f t="shared" ca="1" si="48"/>
        <v>61380.680838863991</v>
      </c>
      <c r="AH72" s="190">
        <f t="shared" ca="1" si="48"/>
        <v>62608.294455641277</v>
      </c>
      <c r="AI72" s="190">
        <f t="shared" ca="1" si="48"/>
        <v>63860.460344754094</v>
      </c>
      <c r="AJ72" s="190">
        <f t="shared" ca="1" si="48"/>
        <v>65137.669551649175</v>
      </c>
      <c r="AK72" s="190">
        <f t="shared" ca="1" si="48"/>
        <v>66440.422942682169</v>
      </c>
      <c r="AL72" s="190">
        <f t="shared" si="48"/>
        <v>0</v>
      </c>
      <c r="AM72" s="190">
        <f t="shared" si="48"/>
        <v>0</v>
      </c>
      <c r="AN72" s="190">
        <f t="shared" si="48"/>
        <v>0</v>
      </c>
      <c r="AO72" s="190">
        <f t="shared" si="48"/>
        <v>0</v>
      </c>
      <c r="AP72" s="190">
        <f t="shared" si="48"/>
        <v>0</v>
      </c>
      <c r="AQ72" s="190">
        <f t="shared" si="48"/>
        <v>0</v>
      </c>
      <c r="AR72" s="190">
        <f t="shared" si="48"/>
        <v>0</v>
      </c>
      <c r="AS72" s="190">
        <f t="shared" si="48"/>
        <v>0</v>
      </c>
      <c r="AT72" s="190">
        <f t="shared" si="48"/>
        <v>0</v>
      </c>
      <c r="AU72" s="190">
        <f t="shared" si="48"/>
        <v>0</v>
      </c>
    </row>
    <row r="73" spans="1:47" s="28" customFormat="1">
      <c r="E73" s="254"/>
      <c r="G73" s="36" t="s">
        <v>317</v>
      </c>
      <c r="L73" s="43" t="s">
        <v>12</v>
      </c>
      <c r="N73" s="189">
        <f t="shared" ca="1" si="44"/>
        <v>836558.64575201867</v>
      </c>
      <c r="O73" s="189"/>
      <c r="P73" s="320"/>
      <c r="Q73" s="189"/>
      <c r="R73" s="190">
        <f t="shared" ref="R73:AU73" ca="1" si="49">R197</f>
        <v>62301.504116662109</v>
      </c>
      <c r="S73" s="190">
        <f t="shared" ca="1" si="49"/>
        <v>63518.328578934925</v>
      </c>
      <c r="T73" s="190">
        <f t="shared" ca="1" si="49"/>
        <v>64838.028603085622</v>
      </c>
      <c r="U73" s="190">
        <f t="shared" ca="1" si="49"/>
        <v>66157.051169057566</v>
      </c>
      <c r="V73" s="190">
        <f t="shared" ca="1" si="49"/>
        <v>67489.667115944452</v>
      </c>
      <c r="W73" s="190">
        <f t="shared" ca="1" si="49"/>
        <v>68822.53260222236</v>
      </c>
      <c r="X73" s="190">
        <f t="shared" ca="1" si="49"/>
        <v>70190.115654947935</v>
      </c>
      <c r="Y73" s="190">
        <f t="shared" ca="1" si="49"/>
        <v>71605.130992217673</v>
      </c>
      <c r="Z73" s="190">
        <f t="shared" ca="1" si="49"/>
        <v>73046.995577621434</v>
      </c>
      <c r="AA73" s="190">
        <f t="shared" ca="1" si="49"/>
        <v>74520.624389453253</v>
      </c>
      <c r="AB73" s="190">
        <f t="shared" ca="1" si="49"/>
        <v>76015.352288098948</v>
      </c>
      <c r="AC73" s="190">
        <f t="shared" ca="1" si="49"/>
        <v>77533.684023260968</v>
      </c>
      <c r="AD73" s="190">
        <f t="shared" ca="1" si="49"/>
        <v>79092.750150679291</v>
      </c>
      <c r="AE73" s="190">
        <f t="shared" ca="1" si="49"/>
        <v>80682.337933246061</v>
      </c>
      <c r="AF73" s="190">
        <f t="shared" ca="1" si="49"/>
        <v>82306.684155844589</v>
      </c>
      <c r="AG73" s="190">
        <f t="shared" ca="1" si="49"/>
        <v>83970.269308577263</v>
      </c>
      <c r="AH73" s="190">
        <f t="shared" ca="1" si="49"/>
        <v>85663.088499360369</v>
      </c>
      <c r="AI73" s="190">
        <f t="shared" ca="1" si="49"/>
        <v>87394.465230126065</v>
      </c>
      <c r="AJ73" s="190">
        <f t="shared" ca="1" si="49"/>
        <v>89163.526014792224</v>
      </c>
      <c r="AK73" s="190">
        <f t="shared" ca="1" si="49"/>
        <v>90969.931025645434</v>
      </c>
      <c r="AL73" s="190">
        <f t="shared" si="49"/>
        <v>0</v>
      </c>
      <c r="AM73" s="190">
        <f t="shared" si="49"/>
        <v>0</v>
      </c>
      <c r="AN73" s="190">
        <f t="shared" si="49"/>
        <v>0</v>
      </c>
      <c r="AO73" s="190">
        <f t="shared" si="49"/>
        <v>0</v>
      </c>
      <c r="AP73" s="190">
        <f t="shared" si="49"/>
        <v>0</v>
      </c>
      <c r="AQ73" s="190">
        <f t="shared" si="49"/>
        <v>0</v>
      </c>
      <c r="AR73" s="190">
        <f t="shared" si="49"/>
        <v>0</v>
      </c>
      <c r="AS73" s="190">
        <f t="shared" si="49"/>
        <v>0</v>
      </c>
      <c r="AT73" s="190">
        <f t="shared" si="49"/>
        <v>0</v>
      </c>
      <c r="AU73" s="190">
        <f t="shared" si="49"/>
        <v>0</v>
      </c>
    </row>
    <row r="74" spans="1:47" s="28" customFormat="1">
      <c r="E74" s="254"/>
      <c r="G74" s="36" t="s">
        <v>318</v>
      </c>
      <c r="L74" s="43" t="s">
        <v>12</v>
      </c>
      <c r="N74" s="189">
        <f t="shared" ca="1" si="44"/>
        <v>-1315894.3617528258</v>
      </c>
      <c r="O74" s="189"/>
      <c r="P74" s="320"/>
      <c r="Q74" s="189"/>
      <c r="R74" s="190">
        <f t="shared" ref="R74:AU74" ca="1" si="50">R218</f>
        <v>-94283.758225578233</v>
      </c>
      <c r="S74" s="190">
        <f t="shared" ca="1" si="50"/>
        <v>-93943.316127706377</v>
      </c>
      <c r="T74" s="190">
        <f t="shared" ca="1" si="50"/>
        <v>-99582.487835193126</v>
      </c>
      <c r="U74" s="190">
        <f t="shared" ca="1" si="50"/>
        <v>-103270.9962388327</v>
      </c>
      <c r="V74" s="190">
        <f t="shared" ca="1" si="50"/>
        <v>-106058.61588860201</v>
      </c>
      <c r="W74" s="190">
        <f t="shared" ca="1" si="50"/>
        <v>-106889.50940147194</v>
      </c>
      <c r="X74" s="190">
        <f t="shared" ca="1" si="50"/>
        <v>-108351.39146364194</v>
      </c>
      <c r="Y74" s="190">
        <f t="shared" ca="1" si="50"/>
        <v>-111373.100913043</v>
      </c>
      <c r="Z74" s="190">
        <f t="shared" ca="1" si="50"/>
        <v>-114344.64163949786</v>
      </c>
      <c r="AA74" s="190">
        <f t="shared" ca="1" si="50"/>
        <v>-117598.71064913918</v>
      </c>
      <c r="AB74" s="190">
        <f t="shared" ca="1" si="50"/>
        <v>-120279.61506741692</v>
      </c>
      <c r="AC74" s="190">
        <f t="shared" ca="1" si="50"/>
        <v>-122534.64480525575</v>
      </c>
      <c r="AD74" s="190">
        <f t="shared" ca="1" si="50"/>
        <v>-125625.02865801047</v>
      </c>
      <c r="AE74" s="190">
        <f t="shared" ca="1" si="50"/>
        <v>-128726.93887266738</v>
      </c>
      <c r="AF74" s="190">
        <f t="shared" ca="1" si="50"/>
        <v>-132117.01456772845</v>
      </c>
      <c r="AG74" s="190">
        <f t="shared" ca="1" si="50"/>
        <v>-136089.54465424037</v>
      </c>
      <c r="AH74" s="190">
        <f t="shared" ca="1" si="50"/>
        <v>-139833.76554327243</v>
      </c>
      <c r="AI74" s="190">
        <f t="shared" ca="1" si="50"/>
        <v>-144011.20342014392</v>
      </c>
      <c r="AJ74" s="190">
        <f t="shared" ca="1" si="50"/>
        <v>-148505.16474673129</v>
      </c>
      <c r="AK74" s="190">
        <f t="shared" ca="1" si="50"/>
        <v>-153238.6303219269</v>
      </c>
      <c r="AL74" s="190">
        <f t="shared" si="50"/>
        <v>0</v>
      </c>
      <c r="AM74" s="190">
        <f t="shared" si="50"/>
        <v>0</v>
      </c>
      <c r="AN74" s="190">
        <f t="shared" si="50"/>
        <v>0</v>
      </c>
      <c r="AO74" s="190">
        <f t="shared" si="50"/>
        <v>0</v>
      </c>
      <c r="AP74" s="190">
        <f t="shared" si="50"/>
        <v>0</v>
      </c>
      <c r="AQ74" s="190">
        <f t="shared" si="50"/>
        <v>0</v>
      </c>
      <c r="AR74" s="190">
        <f t="shared" si="50"/>
        <v>0</v>
      </c>
      <c r="AS74" s="190">
        <f t="shared" si="50"/>
        <v>0</v>
      </c>
      <c r="AT74" s="190">
        <f t="shared" si="50"/>
        <v>0</v>
      </c>
      <c r="AU74" s="190">
        <f t="shared" si="50"/>
        <v>0</v>
      </c>
    </row>
    <row r="75" spans="1:47" s="28" customFormat="1">
      <c r="E75" s="254"/>
      <c r="G75" s="36" t="s">
        <v>319</v>
      </c>
      <c r="L75" s="43" t="s">
        <v>12</v>
      </c>
      <c r="N75" s="189">
        <f t="shared" ca="1" si="44"/>
        <v>0</v>
      </c>
      <c r="O75" s="189"/>
      <c r="P75" s="320"/>
      <c r="Q75" s="189"/>
      <c r="R75" s="190">
        <f t="shared" ref="R75:AU75" ca="1" si="51">R239</f>
        <v>0</v>
      </c>
      <c r="S75" s="190">
        <f t="shared" ca="1" si="51"/>
        <v>0</v>
      </c>
      <c r="T75" s="190">
        <f t="shared" ca="1" si="51"/>
        <v>0</v>
      </c>
      <c r="U75" s="190">
        <f t="shared" ca="1" si="51"/>
        <v>0</v>
      </c>
      <c r="V75" s="190">
        <f t="shared" ca="1" si="51"/>
        <v>0</v>
      </c>
      <c r="W75" s="190">
        <f t="shared" ca="1" si="51"/>
        <v>0</v>
      </c>
      <c r="X75" s="190">
        <f t="shared" ca="1" si="51"/>
        <v>0</v>
      </c>
      <c r="Y75" s="190">
        <f t="shared" ca="1" si="51"/>
        <v>0</v>
      </c>
      <c r="Z75" s="190">
        <f t="shared" ca="1" si="51"/>
        <v>0</v>
      </c>
      <c r="AA75" s="190">
        <f t="shared" ca="1" si="51"/>
        <v>0</v>
      </c>
      <c r="AB75" s="190">
        <f t="shared" ca="1" si="51"/>
        <v>0</v>
      </c>
      <c r="AC75" s="190">
        <f t="shared" ca="1" si="51"/>
        <v>0</v>
      </c>
      <c r="AD75" s="190">
        <f t="shared" ca="1" si="51"/>
        <v>0</v>
      </c>
      <c r="AE75" s="190">
        <f t="shared" ca="1" si="51"/>
        <v>0</v>
      </c>
      <c r="AF75" s="190">
        <f t="shared" ca="1" si="51"/>
        <v>0</v>
      </c>
      <c r="AG75" s="190">
        <f t="shared" ca="1" si="51"/>
        <v>0</v>
      </c>
      <c r="AH75" s="190">
        <f t="shared" ca="1" si="51"/>
        <v>0</v>
      </c>
      <c r="AI75" s="190">
        <f t="shared" ca="1" si="51"/>
        <v>0</v>
      </c>
      <c r="AJ75" s="190">
        <f t="shared" ca="1" si="51"/>
        <v>0</v>
      </c>
      <c r="AK75" s="190">
        <f t="shared" ca="1" si="51"/>
        <v>0</v>
      </c>
      <c r="AL75" s="190">
        <f t="shared" si="51"/>
        <v>0</v>
      </c>
      <c r="AM75" s="190">
        <f t="shared" si="51"/>
        <v>0</v>
      </c>
      <c r="AN75" s="190">
        <f t="shared" si="51"/>
        <v>0</v>
      </c>
      <c r="AO75" s="190">
        <f t="shared" si="51"/>
        <v>0</v>
      </c>
      <c r="AP75" s="190">
        <f t="shared" si="51"/>
        <v>0</v>
      </c>
      <c r="AQ75" s="190">
        <f t="shared" si="51"/>
        <v>0</v>
      </c>
      <c r="AR75" s="190">
        <f t="shared" si="51"/>
        <v>0</v>
      </c>
      <c r="AS75" s="190">
        <f t="shared" si="51"/>
        <v>0</v>
      </c>
      <c r="AT75" s="190">
        <f t="shared" si="51"/>
        <v>0</v>
      </c>
      <c r="AU75" s="190">
        <f t="shared" si="51"/>
        <v>0</v>
      </c>
    </row>
    <row r="76" spans="1:47" s="28" customFormat="1">
      <c r="E76" s="254"/>
      <c r="G76" s="36" t="s">
        <v>320</v>
      </c>
      <c r="L76" s="43" t="s">
        <v>12</v>
      </c>
      <c r="N76" s="189">
        <f t="shared" ca="1" si="44"/>
        <v>0</v>
      </c>
      <c r="O76" s="189"/>
      <c r="P76" s="320"/>
      <c r="Q76" s="189"/>
      <c r="R76" s="190">
        <f t="shared" ref="R76:AU76" ca="1" si="52">R260</f>
        <v>0</v>
      </c>
      <c r="S76" s="190">
        <f t="shared" ca="1" si="52"/>
        <v>0</v>
      </c>
      <c r="T76" s="190">
        <f t="shared" ca="1" si="52"/>
        <v>0</v>
      </c>
      <c r="U76" s="190">
        <f t="shared" ca="1" si="52"/>
        <v>0</v>
      </c>
      <c r="V76" s="190">
        <f t="shared" ca="1" si="52"/>
        <v>0</v>
      </c>
      <c r="W76" s="190">
        <f t="shared" ca="1" si="52"/>
        <v>0</v>
      </c>
      <c r="X76" s="190">
        <f t="shared" ca="1" si="52"/>
        <v>0</v>
      </c>
      <c r="Y76" s="190">
        <f t="shared" ca="1" si="52"/>
        <v>0</v>
      </c>
      <c r="Z76" s="190">
        <f t="shared" ca="1" si="52"/>
        <v>0</v>
      </c>
      <c r="AA76" s="190">
        <f t="shared" ca="1" si="52"/>
        <v>0</v>
      </c>
      <c r="AB76" s="190">
        <f t="shared" ca="1" si="52"/>
        <v>0</v>
      </c>
      <c r="AC76" s="190">
        <f t="shared" ca="1" si="52"/>
        <v>0</v>
      </c>
      <c r="AD76" s="190">
        <f t="shared" ca="1" si="52"/>
        <v>0</v>
      </c>
      <c r="AE76" s="190">
        <f t="shared" ca="1" si="52"/>
        <v>0</v>
      </c>
      <c r="AF76" s="190">
        <f t="shared" ca="1" si="52"/>
        <v>0</v>
      </c>
      <c r="AG76" s="190">
        <f t="shared" ca="1" si="52"/>
        <v>0</v>
      </c>
      <c r="AH76" s="190">
        <f t="shared" ca="1" si="52"/>
        <v>0</v>
      </c>
      <c r="AI76" s="190">
        <f t="shared" ca="1" si="52"/>
        <v>0</v>
      </c>
      <c r="AJ76" s="190">
        <f t="shared" ca="1" si="52"/>
        <v>0</v>
      </c>
      <c r="AK76" s="190">
        <f t="shared" ca="1" si="52"/>
        <v>0</v>
      </c>
      <c r="AL76" s="190">
        <f t="shared" si="52"/>
        <v>0</v>
      </c>
      <c r="AM76" s="190">
        <f t="shared" si="52"/>
        <v>0</v>
      </c>
      <c r="AN76" s="190">
        <f t="shared" si="52"/>
        <v>0</v>
      </c>
      <c r="AO76" s="190">
        <f t="shared" si="52"/>
        <v>0</v>
      </c>
      <c r="AP76" s="190">
        <f t="shared" si="52"/>
        <v>0</v>
      </c>
      <c r="AQ76" s="190">
        <f t="shared" si="52"/>
        <v>0</v>
      </c>
      <c r="AR76" s="190">
        <f t="shared" si="52"/>
        <v>0</v>
      </c>
      <c r="AS76" s="190">
        <f t="shared" si="52"/>
        <v>0</v>
      </c>
      <c r="AT76" s="190">
        <f t="shared" si="52"/>
        <v>0</v>
      </c>
      <c r="AU76" s="190">
        <f t="shared" si="52"/>
        <v>0</v>
      </c>
    </row>
    <row r="77" spans="1:47" s="28" customFormat="1">
      <c r="E77" s="254"/>
      <c r="G77" s="36" t="s">
        <v>321</v>
      </c>
      <c r="L77" s="43" t="s">
        <v>12</v>
      </c>
      <c r="N77" s="189">
        <f t="shared" ca="1" si="44"/>
        <v>0</v>
      </c>
      <c r="O77" s="189"/>
      <c r="P77" s="320"/>
      <c r="Q77" s="189"/>
      <c r="R77" s="190">
        <f t="shared" ref="R77:AU77" ca="1" si="53">R281</f>
        <v>0</v>
      </c>
      <c r="S77" s="190">
        <f t="shared" ca="1" si="53"/>
        <v>0</v>
      </c>
      <c r="T77" s="190">
        <f t="shared" ca="1" si="53"/>
        <v>0</v>
      </c>
      <c r="U77" s="190">
        <f t="shared" ca="1" si="53"/>
        <v>0</v>
      </c>
      <c r="V77" s="190">
        <f t="shared" ca="1" si="53"/>
        <v>0</v>
      </c>
      <c r="W77" s="190">
        <f t="shared" ca="1" si="53"/>
        <v>0</v>
      </c>
      <c r="X77" s="190">
        <f t="shared" ca="1" si="53"/>
        <v>0</v>
      </c>
      <c r="Y77" s="190">
        <f t="shared" ca="1" si="53"/>
        <v>0</v>
      </c>
      <c r="Z77" s="190">
        <f t="shared" ca="1" si="53"/>
        <v>0</v>
      </c>
      <c r="AA77" s="190">
        <f t="shared" ca="1" si="53"/>
        <v>0</v>
      </c>
      <c r="AB77" s="190">
        <f t="shared" ca="1" si="53"/>
        <v>0</v>
      </c>
      <c r="AC77" s="190">
        <f t="shared" ca="1" si="53"/>
        <v>0</v>
      </c>
      <c r="AD77" s="190">
        <f t="shared" ca="1" si="53"/>
        <v>0</v>
      </c>
      <c r="AE77" s="190">
        <f t="shared" ca="1" si="53"/>
        <v>0</v>
      </c>
      <c r="AF77" s="190">
        <f t="shared" ca="1" si="53"/>
        <v>0</v>
      </c>
      <c r="AG77" s="190">
        <f t="shared" ca="1" si="53"/>
        <v>0</v>
      </c>
      <c r="AH77" s="190">
        <f t="shared" ca="1" si="53"/>
        <v>0</v>
      </c>
      <c r="AI77" s="190">
        <f t="shared" ca="1" si="53"/>
        <v>0</v>
      </c>
      <c r="AJ77" s="190">
        <f t="shared" ca="1" si="53"/>
        <v>0</v>
      </c>
      <c r="AK77" s="190">
        <f t="shared" ca="1" si="53"/>
        <v>0</v>
      </c>
      <c r="AL77" s="190">
        <f t="shared" si="53"/>
        <v>0</v>
      </c>
      <c r="AM77" s="190">
        <f t="shared" si="53"/>
        <v>0</v>
      </c>
      <c r="AN77" s="190">
        <f t="shared" si="53"/>
        <v>0</v>
      </c>
      <c r="AO77" s="190">
        <f t="shared" si="53"/>
        <v>0</v>
      </c>
      <c r="AP77" s="190">
        <f t="shared" si="53"/>
        <v>0</v>
      </c>
      <c r="AQ77" s="190">
        <f t="shared" si="53"/>
        <v>0</v>
      </c>
      <c r="AR77" s="190">
        <f t="shared" si="53"/>
        <v>0</v>
      </c>
      <c r="AS77" s="190">
        <f t="shared" si="53"/>
        <v>0</v>
      </c>
      <c r="AT77" s="190">
        <f t="shared" si="53"/>
        <v>0</v>
      </c>
      <c r="AU77" s="190">
        <f t="shared" si="53"/>
        <v>0</v>
      </c>
    </row>
    <row r="78" spans="1:47" s="28" customFormat="1">
      <c r="E78" s="254"/>
      <c r="G78" s="36" t="s">
        <v>160</v>
      </c>
      <c r="L78" s="43" t="s">
        <v>12</v>
      </c>
      <c r="N78" s="189">
        <f t="shared" ca="1" si="44"/>
        <v>0</v>
      </c>
      <c r="O78" s="189"/>
      <c r="P78" s="320"/>
      <c r="Q78" s="189"/>
      <c r="R78" s="190">
        <f t="shared" ref="R78:AU78" ca="1" si="54">R302</f>
        <v>0</v>
      </c>
      <c r="S78" s="190">
        <f t="shared" ca="1" si="54"/>
        <v>0</v>
      </c>
      <c r="T78" s="190">
        <f t="shared" ca="1" si="54"/>
        <v>0</v>
      </c>
      <c r="U78" s="190">
        <f t="shared" ca="1" si="54"/>
        <v>0</v>
      </c>
      <c r="V78" s="190">
        <f t="shared" ca="1" si="54"/>
        <v>0</v>
      </c>
      <c r="W78" s="190">
        <f t="shared" ca="1" si="54"/>
        <v>0</v>
      </c>
      <c r="X78" s="190">
        <f t="shared" ca="1" si="54"/>
        <v>0</v>
      </c>
      <c r="Y78" s="190">
        <f t="shared" ca="1" si="54"/>
        <v>0</v>
      </c>
      <c r="Z78" s="190">
        <f t="shared" ca="1" si="54"/>
        <v>0</v>
      </c>
      <c r="AA78" s="190">
        <f t="shared" ca="1" si="54"/>
        <v>0</v>
      </c>
      <c r="AB78" s="190">
        <f t="shared" ca="1" si="54"/>
        <v>0</v>
      </c>
      <c r="AC78" s="190">
        <f t="shared" ca="1" si="54"/>
        <v>0</v>
      </c>
      <c r="AD78" s="190">
        <f t="shared" ca="1" si="54"/>
        <v>0</v>
      </c>
      <c r="AE78" s="190">
        <f t="shared" ca="1" si="54"/>
        <v>0</v>
      </c>
      <c r="AF78" s="190">
        <f t="shared" ca="1" si="54"/>
        <v>0</v>
      </c>
      <c r="AG78" s="190">
        <f t="shared" ca="1" si="54"/>
        <v>0</v>
      </c>
      <c r="AH78" s="190">
        <f t="shared" ca="1" si="54"/>
        <v>0</v>
      </c>
      <c r="AI78" s="190">
        <f t="shared" ca="1" si="54"/>
        <v>0</v>
      </c>
      <c r="AJ78" s="190">
        <f t="shared" ca="1" si="54"/>
        <v>0</v>
      </c>
      <c r="AK78" s="190">
        <f t="shared" ca="1" si="54"/>
        <v>0</v>
      </c>
      <c r="AL78" s="190">
        <f t="shared" si="54"/>
        <v>0</v>
      </c>
      <c r="AM78" s="190">
        <f t="shared" si="54"/>
        <v>0</v>
      </c>
      <c r="AN78" s="190">
        <f t="shared" si="54"/>
        <v>0</v>
      </c>
      <c r="AO78" s="190">
        <f t="shared" si="54"/>
        <v>0</v>
      </c>
      <c r="AP78" s="190">
        <f t="shared" si="54"/>
        <v>0</v>
      </c>
      <c r="AQ78" s="190">
        <f t="shared" si="54"/>
        <v>0</v>
      </c>
      <c r="AR78" s="190">
        <f t="shared" si="54"/>
        <v>0</v>
      </c>
      <c r="AS78" s="190">
        <f t="shared" si="54"/>
        <v>0</v>
      </c>
      <c r="AT78" s="190">
        <f t="shared" si="54"/>
        <v>0</v>
      </c>
      <c r="AU78" s="190">
        <f t="shared" si="54"/>
        <v>0</v>
      </c>
    </row>
    <row r="79" spans="1:47" s="28" customFormat="1">
      <c r="E79" s="254"/>
      <c r="G79" s="36" t="s">
        <v>161</v>
      </c>
      <c r="L79" s="43" t="s">
        <v>12</v>
      </c>
      <c r="N79" s="189">
        <f t="shared" ca="1" si="44"/>
        <v>1626269.4148182722</v>
      </c>
      <c r="O79" s="189"/>
      <c r="P79" s="320"/>
      <c r="Q79" s="189"/>
      <c r="R79" s="190">
        <f t="shared" ref="R79:AU79" ca="1" si="55">R323</f>
        <v>121050.45770924457</v>
      </c>
      <c r="S79" s="190">
        <f t="shared" ca="1" si="55"/>
        <v>123377.35986545699</v>
      </c>
      <c r="T79" s="190">
        <f t="shared" ca="1" si="55"/>
        <v>126003.87040994255</v>
      </c>
      <c r="U79" s="190">
        <f t="shared" ca="1" si="55"/>
        <v>128595.68090962995</v>
      </c>
      <c r="V79" s="190">
        <f t="shared" ca="1" si="55"/>
        <v>131198.1248368966</v>
      </c>
      <c r="W79" s="190">
        <f t="shared" ca="1" si="55"/>
        <v>133767.54201972467</v>
      </c>
      <c r="X79" s="190">
        <f t="shared" ca="1" si="55"/>
        <v>136414.31948453616</v>
      </c>
      <c r="Y79" s="190">
        <f t="shared" ca="1" si="55"/>
        <v>139178.73672988827</v>
      </c>
      <c r="Z79" s="190">
        <f t="shared" ca="1" si="55"/>
        <v>141993.76668684412</v>
      </c>
      <c r="AA79" s="190">
        <f t="shared" ca="1" si="55"/>
        <v>144874.52847703683</v>
      </c>
      <c r="AB79" s="190">
        <f t="shared" ca="1" si="55"/>
        <v>147785.92425933777</v>
      </c>
      <c r="AC79" s="190">
        <f t="shared" ca="1" si="55"/>
        <v>150735.27785481355</v>
      </c>
      <c r="AD79" s="190">
        <f t="shared" ca="1" si="55"/>
        <v>153777.02574098101</v>
      </c>
      <c r="AE79" s="190">
        <f t="shared" ca="1" si="55"/>
        <v>156877.4829899164</v>
      </c>
      <c r="AF79" s="190">
        <f t="shared" ca="1" si="55"/>
        <v>160049.50870016747</v>
      </c>
      <c r="AG79" s="190">
        <f t="shared" ca="1" si="55"/>
        <v>163306.73138737719</v>
      </c>
      <c r="AH79" s="190">
        <f t="shared" ca="1" si="55"/>
        <v>166616.08827442865</v>
      </c>
      <c r="AI79" s="190">
        <f t="shared" ca="1" si="55"/>
        <v>170006.78046909242</v>
      </c>
      <c r="AJ79" s="190">
        <f t="shared" ca="1" si="55"/>
        <v>173475.13529201262</v>
      </c>
      <c r="AK79" s="190">
        <f t="shared" ca="1" si="55"/>
        <v>177019.18246742664</v>
      </c>
      <c r="AL79" s="190">
        <f t="shared" si="55"/>
        <v>0</v>
      </c>
      <c r="AM79" s="190">
        <f t="shared" si="55"/>
        <v>0</v>
      </c>
      <c r="AN79" s="190">
        <f t="shared" si="55"/>
        <v>0</v>
      </c>
      <c r="AO79" s="190">
        <f t="shared" si="55"/>
        <v>0</v>
      </c>
      <c r="AP79" s="190">
        <f t="shared" si="55"/>
        <v>0</v>
      </c>
      <c r="AQ79" s="190">
        <f t="shared" si="55"/>
        <v>0</v>
      </c>
      <c r="AR79" s="190">
        <f t="shared" si="55"/>
        <v>0</v>
      </c>
      <c r="AS79" s="190">
        <f t="shared" si="55"/>
        <v>0</v>
      </c>
      <c r="AT79" s="190">
        <f t="shared" si="55"/>
        <v>0</v>
      </c>
      <c r="AU79" s="190">
        <f t="shared" si="55"/>
        <v>0</v>
      </c>
    </row>
    <row r="80" spans="1:47" s="28" customFormat="1">
      <c r="E80" s="254"/>
      <c r="G80" s="36" t="s">
        <v>162</v>
      </c>
      <c r="L80" s="43" t="s">
        <v>12</v>
      </c>
      <c r="N80" s="189">
        <f t="shared" ca="1" si="44"/>
        <v>1461601.3182997147</v>
      </c>
      <c r="O80" s="189"/>
      <c r="P80" s="320"/>
      <c r="Q80" s="189"/>
      <c r="R80" s="190">
        <f t="shared" ref="R80:AU80" ca="1" si="56">R344</f>
        <v>108640.6308038642</v>
      </c>
      <c r="S80" s="190">
        <f t="shared" ca="1" si="56"/>
        <v>110639.17877494777</v>
      </c>
      <c r="T80" s="190">
        <f t="shared" ca="1" si="56"/>
        <v>113146.32612635657</v>
      </c>
      <c r="U80" s="190">
        <f t="shared" ca="1" si="56"/>
        <v>115542.08593431277</v>
      </c>
      <c r="V80" s="190">
        <f t="shared" ca="1" si="56"/>
        <v>117909.46280539961</v>
      </c>
      <c r="W80" s="190">
        <f t="shared" ca="1" si="56"/>
        <v>120166.6466105915</v>
      </c>
      <c r="X80" s="190">
        <f t="shared" ca="1" si="56"/>
        <v>122517.06818382343</v>
      </c>
      <c r="Y80" s="190">
        <f t="shared" ca="1" si="56"/>
        <v>125034.31563175299</v>
      </c>
      <c r="Z80" s="190">
        <f t="shared" ca="1" si="56"/>
        <v>127593.24982473197</v>
      </c>
      <c r="AA80" s="190">
        <f t="shared" ca="1" si="56"/>
        <v>130220.82719089978</v>
      </c>
      <c r="AB80" s="190">
        <f t="shared" ca="1" si="56"/>
        <v>132850.99300966476</v>
      </c>
      <c r="AC80" s="190">
        <f t="shared" ca="1" si="56"/>
        <v>135496.22654928878</v>
      </c>
      <c r="AD80" s="190">
        <f t="shared" ca="1" si="56"/>
        <v>138256.22729115075</v>
      </c>
      <c r="AE80" s="190">
        <f t="shared" ca="1" si="56"/>
        <v>141067.49193195751</v>
      </c>
      <c r="AF80" s="190">
        <f t="shared" ca="1" si="56"/>
        <v>143952.68353393392</v>
      </c>
      <c r="AG80" s="190">
        <f t="shared" ca="1" si="56"/>
        <v>146935.86696288924</v>
      </c>
      <c r="AH80" s="190">
        <f t="shared" ca="1" si="56"/>
        <v>149954.62204467092</v>
      </c>
      <c r="AI80" s="190">
        <f t="shared" ca="1" si="56"/>
        <v>153061.80317543331</v>
      </c>
      <c r="AJ80" s="190">
        <f t="shared" ca="1" si="56"/>
        <v>156249.36562576919</v>
      </c>
      <c r="AK80" s="190">
        <f t="shared" ca="1" si="56"/>
        <v>159512.39225317491</v>
      </c>
      <c r="AL80" s="190">
        <f t="shared" si="56"/>
        <v>0</v>
      </c>
      <c r="AM80" s="190">
        <f t="shared" si="56"/>
        <v>0</v>
      </c>
      <c r="AN80" s="190">
        <f t="shared" si="56"/>
        <v>0</v>
      </c>
      <c r="AO80" s="190">
        <f t="shared" si="56"/>
        <v>0</v>
      </c>
      <c r="AP80" s="190">
        <f t="shared" si="56"/>
        <v>0</v>
      </c>
      <c r="AQ80" s="190">
        <f t="shared" si="56"/>
        <v>0</v>
      </c>
      <c r="AR80" s="190">
        <f t="shared" si="56"/>
        <v>0</v>
      </c>
      <c r="AS80" s="190">
        <f t="shared" si="56"/>
        <v>0</v>
      </c>
      <c r="AT80" s="190">
        <f t="shared" si="56"/>
        <v>0</v>
      </c>
      <c r="AU80" s="190">
        <f t="shared" si="56"/>
        <v>0</v>
      </c>
    </row>
    <row r="81" spans="1:47" s="28" customFormat="1">
      <c r="E81" s="254"/>
      <c r="G81" s="36" t="s">
        <v>135</v>
      </c>
      <c r="L81" s="43" t="s">
        <v>12</v>
      </c>
      <c r="N81" s="189">
        <f t="shared" ca="1" si="44"/>
        <v>3251426.8202961991</v>
      </c>
      <c r="O81" s="189"/>
      <c r="P81" s="320"/>
      <c r="Q81" s="189"/>
      <c r="R81" s="190">
        <f t="shared" ref="R81:AU81" ca="1" si="57">R365</f>
        <v>242251.41833814015</v>
      </c>
      <c r="S81" s="190">
        <f t="shared" ca="1" si="57"/>
        <v>247045.17461635242</v>
      </c>
      <c r="T81" s="190">
        <f t="shared" ca="1" si="57"/>
        <v>252072.68572541696</v>
      </c>
      <c r="U81" s="190">
        <f t="shared" ca="1" si="57"/>
        <v>257153.22160701218</v>
      </c>
      <c r="V81" s="190">
        <f t="shared" ca="1" si="57"/>
        <v>262312.91979375138</v>
      </c>
      <c r="W81" s="190">
        <f t="shared" ca="1" si="57"/>
        <v>267529.46039791004</v>
      </c>
      <c r="X81" s="190">
        <f t="shared" ca="1" si="57"/>
        <v>272864.48204261949</v>
      </c>
      <c r="Y81" s="190">
        <f t="shared" ca="1" si="57"/>
        <v>278341.45677034953</v>
      </c>
      <c r="Z81" s="190">
        <f t="shared" ca="1" si="57"/>
        <v>283925.42357862747</v>
      </c>
      <c r="AA81" s="190">
        <f t="shared" ca="1" si="57"/>
        <v>289626.20811957942</v>
      </c>
      <c r="AB81" s="190">
        <f t="shared" ca="1" si="57"/>
        <v>295426.30822547479</v>
      </c>
      <c r="AC81" s="190">
        <f t="shared" ca="1" si="57"/>
        <v>301331.36662248662</v>
      </c>
      <c r="AD81" s="190">
        <f t="shared" ca="1" si="57"/>
        <v>307372.72736180958</v>
      </c>
      <c r="AE81" s="190">
        <f t="shared" ca="1" si="57"/>
        <v>313533.75723315025</v>
      </c>
      <c r="AF81" s="190">
        <f t="shared" ca="1" si="57"/>
        <v>319823.21588116331</v>
      </c>
      <c r="AG81" s="190">
        <f t="shared" ca="1" si="57"/>
        <v>326250.31722322316</v>
      </c>
      <c r="AH81" s="190">
        <f t="shared" ca="1" si="57"/>
        <v>332798.87224689469</v>
      </c>
      <c r="AI81" s="190">
        <f t="shared" ca="1" si="57"/>
        <v>339486.65151186584</v>
      </c>
      <c r="AJ81" s="190">
        <f t="shared" ca="1" si="57"/>
        <v>346313.55225154827</v>
      </c>
      <c r="AK81" s="190">
        <f t="shared" ca="1" si="57"/>
        <v>353280.43718000216</v>
      </c>
      <c r="AL81" s="190">
        <f t="shared" si="57"/>
        <v>0</v>
      </c>
      <c r="AM81" s="190">
        <f t="shared" si="57"/>
        <v>0</v>
      </c>
      <c r="AN81" s="190">
        <f t="shared" si="57"/>
        <v>0</v>
      </c>
      <c r="AO81" s="190">
        <f t="shared" si="57"/>
        <v>0</v>
      </c>
      <c r="AP81" s="190">
        <f t="shared" si="57"/>
        <v>0</v>
      </c>
      <c r="AQ81" s="190">
        <f t="shared" si="57"/>
        <v>0</v>
      </c>
      <c r="AR81" s="190">
        <f t="shared" si="57"/>
        <v>0</v>
      </c>
      <c r="AS81" s="190">
        <f t="shared" si="57"/>
        <v>0</v>
      </c>
      <c r="AT81" s="190">
        <f t="shared" si="57"/>
        <v>0</v>
      </c>
      <c r="AU81" s="190">
        <f t="shared" si="57"/>
        <v>0</v>
      </c>
    </row>
    <row r="82" spans="1:47" s="28" customFormat="1">
      <c r="E82" s="254"/>
      <c r="G82" s="36" t="s">
        <v>29</v>
      </c>
      <c r="L82" s="43" t="s">
        <v>12</v>
      </c>
      <c r="N82" s="189">
        <f t="shared" ca="1" si="44"/>
        <v>843615.03914849437</v>
      </c>
      <c r="O82" s="189"/>
      <c r="P82" s="320"/>
      <c r="Q82" s="189"/>
      <c r="R82" s="190">
        <f t="shared" ref="R82:AU82" ca="1" si="58">R386</f>
        <v>62864.485070927294</v>
      </c>
      <c r="S82" s="190">
        <f t="shared" ca="1" si="58"/>
        <v>64114.306668586105</v>
      </c>
      <c r="T82" s="190">
        <f t="shared" ca="1" si="58"/>
        <v>65409.207748734225</v>
      </c>
      <c r="U82" s="190">
        <f t="shared" ca="1" si="58"/>
        <v>66723.084468361762</v>
      </c>
      <c r="V82" s="190">
        <f t="shared" ca="1" si="58"/>
        <v>68059.968969219044</v>
      </c>
      <c r="W82" s="190">
        <f t="shared" ca="1" si="58"/>
        <v>69416.839764410295</v>
      </c>
      <c r="X82" s="190">
        <f t="shared" ca="1" si="58"/>
        <v>70802.909045717402</v>
      </c>
      <c r="Y82" s="190">
        <f t="shared" ca="1" si="58"/>
        <v>72221.834483953964</v>
      </c>
      <c r="Z82" s="190">
        <f t="shared" ca="1" si="58"/>
        <v>73668.767384004415</v>
      </c>
      <c r="AA82" s="190">
        <f t="shared" ca="1" si="58"/>
        <v>75145.387381984241</v>
      </c>
      <c r="AB82" s="190">
        <f t="shared" ca="1" si="58"/>
        <v>76649.398613678582</v>
      </c>
      <c r="AC82" s="190">
        <f t="shared" ca="1" si="58"/>
        <v>78181.881483698293</v>
      </c>
      <c r="AD82" s="190">
        <f t="shared" ca="1" si="58"/>
        <v>79747.665127205022</v>
      </c>
      <c r="AE82" s="190">
        <f t="shared" ca="1" si="58"/>
        <v>81344.595761507022</v>
      </c>
      <c r="AF82" s="190">
        <f t="shared" ca="1" si="58"/>
        <v>82974.223612720161</v>
      </c>
      <c r="AG82" s="190">
        <f t="shared" ca="1" si="58"/>
        <v>84638.170561223364</v>
      </c>
      <c r="AH82" s="190">
        <f t="shared" ca="1" si="58"/>
        <v>86334.363986412427</v>
      </c>
      <c r="AI82" s="190">
        <f t="shared" ca="1" si="58"/>
        <v>88065.683402230148</v>
      </c>
      <c r="AJ82" s="190">
        <f t="shared" ca="1" si="58"/>
        <v>89832.410782071849</v>
      </c>
      <c r="AK82" s="190">
        <f t="shared" ca="1" si="58"/>
        <v>91634.974666531605</v>
      </c>
      <c r="AL82" s="190">
        <f t="shared" si="58"/>
        <v>0</v>
      </c>
      <c r="AM82" s="190">
        <f t="shared" si="58"/>
        <v>0</v>
      </c>
      <c r="AN82" s="190">
        <f t="shared" si="58"/>
        <v>0</v>
      </c>
      <c r="AO82" s="190">
        <f t="shared" si="58"/>
        <v>0</v>
      </c>
      <c r="AP82" s="190">
        <f t="shared" si="58"/>
        <v>0</v>
      </c>
      <c r="AQ82" s="190">
        <f t="shared" si="58"/>
        <v>0</v>
      </c>
      <c r="AR82" s="190">
        <f t="shared" si="58"/>
        <v>0</v>
      </c>
      <c r="AS82" s="190">
        <f t="shared" si="58"/>
        <v>0</v>
      </c>
      <c r="AT82" s="190">
        <f t="shared" si="58"/>
        <v>0</v>
      </c>
      <c r="AU82" s="190">
        <f t="shared" si="58"/>
        <v>0</v>
      </c>
    </row>
    <row r="83" spans="1:47" s="28" customFormat="1">
      <c r="E83" s="254"/>
      <c r="G83" s="36" t="s">
        <v>163</v>
      </c>
      <c r="L83" s="43" t="s">
        <v>12</v>
      </c>
      <c r="N83" s="189">
        <f t="shared" ca="1" si="44"/>
        <v>0</v>
      </c>
      <c r="O83" s="189"/>
      <c r="P83" s="320"/>
      <c r="Q83" s="189"/>
      <c r="R83" s="190">
        <f t="shared" ref="R83:AU83" ca="1" si="59">R407</f>
        <v>0</v>
      </c>
      <c r="S83" s="190">
        <f t="shared" ca="1" si="59"/>
        <v>0</v>
      </c>
      <c r="T83" s="190">
        <f t="shared" ca="1" si="59"/>
        <v>0</v>
      </c>
      <c r="U83" s="190">
        <f t="shared" ca="1" si="59"/>
        <v>0</v>
      </c>
      <c r="V83" s="190">
        <f t="shared" ca="1" si="59"/>
        <v>0</v>
      </c>
      <c r="W83" s="190">
        <f t="shared" ca="1" si="59"/>
        <v>0</v>
      </c>
      <c r="X83" s="190">
        <f t="shared" ca="1" si="59"/>
        <v>0</v>
      </c>
      <c r="Y83" s="190">
        <f t="shared" ca="1" si="59"/>
        <v>0</v>
      </c>
      <c r="Z83" s="190">
        <f t="shared" ca="1" si="59"/>
        <v>0</v>
      </c>
      <c r="AA83" s="190">
        <f t="shared" ca="1" si="59"/>
        <v>0</v>
      </c>
      <c r="AB83" s="190">
        <f t="shared" ca="1" si="59"/>
        <v>0</v>
      </c>
      <c r="AC83" s="190">
        <f t="shared" ca="1" si="59"/>
        <v>0</v>
      </c>
      <c r="AD83" s="190">
        <f t="shared" ca="1" si="59"/>
        <v>0</v>
      </c>
      <c r="AE83" s="190">
        <f t="shared" ca="1" si="59"/>
        <v>0</v>
      </c>
      <c r="AF83" s="190">
        <f t="shared" ca="1" si="59"/>
        <v>0</v>
      </c>
      <c r="AG83" s="190">
        <f t="shared" ca="1" si="59"/>
        <v>0</v>
      </c>
      <c r="AH83" s="190">
        <f t="shared" ca="1" si="59"/>
        <v>0</v>
      </c>
      <c r="AI83" s="190">
        <f t="shared" ca="1" si="59"/>
        <v>0</v>
      </c>
      <c r="AJ83" s="190">
        <f t="shared" ca="1" si="59"/>
        <v>0</v>
      </c>
      <c r="AK83" s="190">
        <f t="shared" ca="1" si="59"/>
        <v>0</v>
      </c>
      <c r="AL83" s="190">
        <f t="shared" si="59"/>
        <v>0</v>
      </c>
      <c r="AM83" s="190">
        <f t="shared" si="59"/>
        <v>0</v>
      </c>
      <c r="AN83" s="190">
        <f t="shared" si="59"/>
        <v>0</v>
      </c>
      <c r="AO83" s="190">
        <f t="shared" si="59"/>
        <v>0</v>
      </c>
      <c r="AP83" s="190">
        <f t="shared" si="59"/>
        <v>0</v>
      </c>
      <c r="AQ83" s="190">
        <f t="shared" si="59"/>
        <v>0</v>
      </c>
      <c r="AR83" s="190">
        <f t="shared" si="59"/>
        <v>0</v>
      </c>
      <c r="AS83" s="190">
        <f t="shared" si="59"/>
        <v>0</v>
      </c>
      <c r="AT83" s="190">
        <f t="shared" si="59"/>
        <v>0</v>
      </c>
      <c r="AU83" s="190">
        <f t="shared" si="59"/>
        <v>0</v>
      </c>
    </row>
    <row r="84" spans="1:47" s="28" customFormat="1">
      <c r="E84" s="254"/>
      <c r="G84" s="36" t="s">
        <v>138</v>
      </c>
      <c r="L84" s="43" t="s">
        <v>12</v>
      </c>
      <c r="N84" s="189">
        <f t="shared" ca="1" si="44"/>
        <v>0</v>
      </c>
      <c r="O84" s="189"/>
      <c r="P84" s="320"/>
      <c r="Q84" s="189"/>
      <c r="R84" s="190">
        <f t="shared" ref="R84:AU84" ca="1" si="60">R428</f>
        <v>0</v>
      </c>
      <c r="S84" s="190">
        <f t="shared" ca="1" si="60"/>
        <v>0</v>
      </c>
      <c r="T84" s="190">
        <f t="shared" ca="1" si="60"/>
        <v>0</v>
      </c>
      <c r="U84" s="190">
        <f t="shared" ca="1" si="60"/>
        <v>0</v>
      </c>
      <c r="V84" s="190">
        <f t="shared" ca="1" si="60"/>
        <v>0</v>
      </c>
      <c r="W84" s="190">
        <f t="shared" ca="1" si="60"/>
        <v>0</v>
      </c>
      <c r="X84" s="190">
        <f t="shared" ca="1" si="60"/>
        <v>0</v>
      </c>
      <c r="Y84" s="190">
        <f t="shared" ca="1" si="60"/>
        <v>0</v>
      </c>
      <c r="Z84" s="190">
        <f t="shared" ca="1" si="60"/>
        <v>0</v>
      </c>
      <c r="AA84" s="190">
        <f t="shared" ca="1" si="60"/>
        <v>0</v>
      </c>
      <c r="AB84" s="190">
        <f t="shared" ca="1" si="60"/>
        <v>0</v>
      </c>
      <c r="AC84" s="190">
        <f t="shared" ca="1" si="60"/>
        <v>0</v>
      </c>
      <c r="AD84" s="190">
        <f t="shared" ca="1" si="60"/>
        <v>0</v>
      </c>
      <c r="AE84" s="190">
        <f t="shared" ca="1" si="60"/>
        <v>0</v>
      </c>
      <c r="AF84" s="190">
        <f t="shared" ca="1" si="60"/>
        <v>0</v>
      </c>
      <c r="AG84" s="190">
        <f t="shared" ca="1" si="60"/>
        <v>0</v>
      </c>
      <c r="AH84" s="190">
        <f t="shared" ca="1" si="60"/>
        <v>0</v>
      </c>
      <c r="AI84" s="190">
        <f t="shared" ca="1" si="60"/>
        <v>0</v>
      </c>
      <c r="AJ84" s="190">
        <f t="shared" ca="1" si="60"/>
        <v>0</v>
      </c>
      <c r="AK84" s="190">
        <f t="shared" ca="1" si="60"/>
        <v>0</v>
      </c>
      <c r="AL84" s="190">
        <f t="shared" si="60"/>
        <v>0</v>
      </c>
      <c r="AM84" s="190">
        <f t="shared" si="60"/>
        <v>0</v>
      </c>
      <c r="AN84" s="190">
        <f t="shared" si="60"/>
        <v>0</v>
      </c>
      <c r="AO84" s="190">
        <f t="shared" si="60"/>
        <v>0</v>
      </c>
      <c r="AP84" s="190">
        <f t="shared" si="60"/>
        <v>0</v>
      </c>
      <c r="AQ84" s="190">
        <f t="shared" si="60"/>
        <v>0</v>
      </c>
      <c r="AR84" s="190">
        <f t="shared" si="60"/>
        <v>0</v>
      </c>
      <c r="AS84" s="190">
        <f t="shared" si="60"/>
        <v>0</v>
      </c>
      <c r="AT84" s="190">
        <f t="shared" si="60"/>
        <v>0</v>
      </c>
      <c r="AU84" s="190">
        <f t="shared" si="60"/>
        <v>0</v>
      </c>
    </row>
    <row r="85" spans="1:47" s="28" customFormat="1">
      <c r="E85" s="254"/>
      <c r="G85" s="36" t="s">
        <v>312</v>
      </c>
      <c r="L85" s="43" t="s">
        <v>12</v>
      </c>
      <c r="N85" s="189">
        <f t="shared" ca="1" si="44"/>
        <v>6117285.1776735904</v>
      </c>
      <c r="O85" s="189"/>
      <c r="P85" s="320"/>
      <c r="Q85" s="189"/>
      <c r="R85" s="190">
        <f t="shared" ref="R85:AU85" ca="1" si="61">R464</f>
        <v>455940</v>
      </c>
      <c r="S85" s="190">
        <f t="shared" ca="1" si="61"/>
        <v>465058.8</v>
      </c>
      <c r="T85" s="190">
        <f t="shared" ca="1" si="61"/>
        <v>474359.97599999997</v>
      </c>
      <c r="U85" s="190">
        <f t="shared" ca="1" si="61"/>
        <v>483847.17551999999</v>
      </c>
      <c r="V85" s="190">
        <f t="shared" ca="1" si="61"/>
        <v>493524.1190304</v>
      </c>
      <c r="W85" s="190">
        <f t="shared" ca="1" si="61"/>
        <v>503394.60141100804</v>
      </c>
      <c r="X85" s="190">
        <f t="shared" ca="1" si="61"/>
        <v>513462.4934392281</v>
      </c>
      <c r="Y85" s="190">
        <f t="shared" ca="1" si="61"/>
        <v>523731.74330801266</v>
      </c>
      <c r="Z85" s="190">
        <f t="shared" ca="1" si="61"/>
        <v>534206.37817417295</v>
      </c>
      <c r="AA85" s="190">
        <f t="shared" ca="1" si="61"/>
        <v>544890.50573765638</v>
      </c>
      <c r="AB85" s="190">
        <f t="shared" ca="1" si="61"/>
        <v>555788.31585240946</v>
      </c>
      <c r="AC85" s="190">
        <f t="shared" ca="1" si="61"/>
        <v>566904.08216945769</v>
      </c>
      <c r="AD85" s="190">
        <f t="shared" ca="1" si="61"/>
        <v>578242.16381284688</v>
      </c>
      <c r="AE85" s="190">
        <f t="shared" ca="1" si="61"/>
        <v>589807.0070891038</v>
      </c>
      <c r="AF85" s="190">
        <f t="shared" ca="1" si="61"/>
        <v>601603.14723088581</v>
      </c>
      <c r="AG85" s="190">
        <f t="shared" ca="1" si="61"/>
        <v>613635.21017550363</v>
      </c>
      <c r="AH85" s="190">
        <f t="shared" ca="1" si="61"/>
        <v>625907.9143790137</v>
      </c>
      <c r="AI85" s="190">
        <f t="shared" ca="1" si="61"/>
        <v>638426.07266659394</v>
      </c>
      <c r="AJ85" s="190">
        <f t="shared" ca="1" si="61"/>
        <v>651194.59411992575</v>
      </c>
      <c r="AK85" s="190">
        <f t="shared" ca="1" si="61"/>
        <v>664218.48600232438</v>
      </c>
      <c r="AL85" s="190">
        <f t="shared" si="61"/>
        <v>0</v>
      </c>
      <c r="AM85" s="190">
        <f t="shared" si="61"/>
        <v>0</v>
      </c>
      <c r="AN85" s="190">
        <f t="shared" si="61"/>
        <v>0</v>
      </c>
      <c r="AO85" s="190">
        <f t="shared" si="61"/>
        <v>0</v>
      </c>
      <c r="AP85" s="190">
        <f t="shared" si="61"/>
        <v>0</v>
      </c>
      <c r="AQ85" s="190">
        <f t="shared" si="61"/>
        <v>0</v>
      </c>
      <c r="AR85" s="190">
        <f t="shared" si="61"/>
        <v>0</v>
      </c>
      <c r="AS85" s="190">
        <f t="shared" si="61"/>
        <v>0</v>
      </c>
      <c r="AT85" s="190">
        <f t="shared" si="61"/>
        <v>0</v>
      </c>
      <c r="AU85" s="190">
        <f t="shared" si="61"/>
        <v>0</v>
      </c>
    </row>
    <row r="86" spans="1:47" s="28" customFormat="1">
      <c r="E86" s="254"/>
      <c r="G86" s="36" t="s">
        <v>313</v>
      </c>
      <c r="L86" s="43" t="s">
        <v>12</v>
      </c>
      <c r="N86" s="189">
        <f t="shared" ca="1" si="44"/>
        <v>0</v>
      </c>
      <c r="O86" s="189"/>
      <c r="P86" s="320"/>
      <c r="Q86" s="189"/>
      <c r="R86" s="190">
        <f t="shared" ref="R86:AU86" ca="1" si="62">R480</f>
        <v>0</v>
      </c>
      <c r="S86" s="190">
        <f t="shared" ca="1" si="62"/>
        <v>0</v>
      </c>
      <c r="T86" s="190">
        <f t="shared" ca="1" si="62"/>
        <v>0</v>
      </c>
      <c r="U86" s="190">
        <f t="shared" ca="1" si="62"/>
        <v>0</v>
      </c>
      <c r="V86" s="190">
        <f t="shared" ca="1" si="62"/>
        <v>0</v>
      </c>
      <c r="W86" s="190">
        <f t="shared" ca="1" si="62"/>
        <v>0</v>
      </c>
      <c r="X86" s="190">
        <f t="shared" ca="1" si="62"/>
        <v>0</v>
      </c>
      <c r="Y86" s="190">
        <f t="shared" ca="1" si="62"/>
        <v>0</v>
      </c>
      <c r="Z86" s="190">
        <f t="shared" ca="1" si="62"/>
        <v>0</v>
      </c>
      <c r="AA86" s="190">
        <f t="shared" ca="1" si="62"/>
        <v>0</v>
      </c>
      <c r="AB86" s="190">
        <f t="shared" ca="1" si="62"/>
        <v>0</v>
      </c>
      <c r="AC86" s="190">
        <f t="shared" ca="1" si="62"/>
        <v>0</v>
      </c>
      <c r="AD86" s="190">
        <f t="shared" ca="1" si="62"/>
        <v>0</v>
      </c>
      <c r="AE86" s="190">
        <f t="shared" ca="1" si="62"/>
        <v>0</v>
      </c>
      <c r="AF86" s="190">
        <f t="shared" ca="1" si="62"/>
        <v>0</v>
      </c>
      <c r="AG86" s="190">
        <f t="shared" ca="1" si="62"/>
        <v>0</v>
      </c>
      <c r="AH86" s="190">
        <f t="shared" ca="1" si="62"/>
        <v>0</v>
      </c>
      <c r="AI86" s="190">
        <f t="shared" ca="1" si="62"/>
        <v>0</v>
      </c>
      <c r="AJ86" s="190">
        <f t="shared" ca="1" si="62"/>
        <v>0</v>
      </c>
      <c r="AK86" s="190">
        <f t="shared" ca="1" si="62"/>
        <v>0</v>
      </c>
      <c r="AL86" s="190">
        <f t="shared" si="62"/>
        <v>0</v>
      </c>
      <c r="AM86" s="190">
        <f t="shared" si="62"/>
        <v>0</v>
      </c>
      <c r="AN86" s="190">
        <f t="shared" si="62"/>
        <v>0</v>
      </c>
      <c r="AO86" s="190">
        <f t="shared" si="62"/>
        <v>0</v>
      </c>
      <c r="AP86" s="190">
        <f t="shared" si="62"/>
        <v>0</v>
      </c>
      <c r="AQ86" s="190">
        <f t="shared" si="62"/>
        <v>0</v>
      </c>
      <c r="AR86" s="190">
        <f t="shared" si="62"/>
        <v>0</v>
      </c>
      <c r="AS86" s="190">
        <f t="shared" si="62"/>
        <v>0</v>
      </c>
      <c r="AT86" s="190">
        <f t="shared" si="62"/>
        <v>0</v>
      </c>
      <c r="AU86" s="190">
        <f t="shared" si="62"/>
        <v>0</v>
      </c>
    </row>
    <row r="87" spans="1:47" s="28" customFormat="1">
      <c r="E87" s="254"/>
      <c r="G87" s="36" t="s">
        <v>314</v>
      </c>
      <c r="L87" s="43" t="s">
        <v>12</v>
      </c>
      <c r="N87" s="189">
        <f t="shared" ca="1" si="44"/>
        <v>1806446.6296485772</v>
      </c>
      <c r="O87" s="189"/>
      <c r="P87" s="320"/>
      <c r="Q87" s="189"/>
      <c r="R87" s="190">
        <f t="shared" ref="R87:AU87" ca="1" si="63">R496</f>
        <v>134640</v>
      </c>
      <c r="S87" s="190">
        <f t="shared" ca="1" si="63"/>
        <v>137332.79999999999</v>
      </c>
      <c r="T87" s="190">
        <f t="shared" ca="1" si="63"/>
        <v>140079.45599999998</v>
      </c>
      <c r="U87" s="190">
        <f t="shared" ca="1" si="63"/>
        <v>142881.04512</v>
      </c>
      <c r="V87" s="190">
        <f t="shared" ca="1" si="63"/>
        <v>145738.66602239999</v>
      </c>
      <c r="W87" s="190">
        <f t="shared" ca="1" si="63"/>
        <v>148653.439342848</v>
      </c>
      <c r="X87" s="190">
        <f t="shared" ca="1" si="63"/>
        <v>151626.50812970495</v>
      </c>
      <c r="Y87" s="190">
        <f t="shared" ca="1" si="63"/>
        <v>154659.03829229905</v>
      </c>
      <c r="Z87" s="190">
        <f t="shared" ca="1" si="63"/>
        <v>157752.21905814504</v>
      </c>
      <c r="AA87" s="190">
        <f t="shared" ca="1" si="63"/>
        <v>160907.26343930795</v>
      </c>
      <c r="AB87" s="190">
        <f t="shared" ca="1" si="63"/>
        <v>164125.40870809407</v>
      </c>
      <c r="AC87" s="190">
        <f t="shared" ca="1" si="63"/>
        <v>167407.91688225599</v>
      </c>
      <c r="AD87" s="190">
        <f t="shared" ca="1" si="63"/>
        <v>170756.07521990107</v>
      </c>
      <c r="AE87" s="190">
        <f t="shared" ca="1" si="63"/>
        <v>174171.19672429914</v>
      </c>
      <c r="AF87" s="190">
        <f t="shared" ca="1" si="63"/>
        <v>177654.62065878505</v>
      </c>
      <c r="AG87" s="190">
        <f t="shared" ca="1" si="63"/>
        <v>181207.71307196078</v>
      </c>
      <c r="AH87" s="190">
        <f t="shared" ca="1" si="63"/>
        <v>184831.86733340003</v>
      </c>
      <c r="AI87" s="190">
        <f t="shared" ca="1" si="63"/>
        <v>188528.504680068</v>
      </c>
      <c r="AJ87" s="190">
        <f t="shared" ca="1" si="63"/>
        <v>192299.07477366936</v>
      </c>
      <c r="AK87" s="190">
        <f t="shared" ca="1" si="63"/>
        <v>196145.05626914275</v>
      </c>
      <c r="AL87" s="190">
        <f t="shared" si="63"/>
        <v>0</v>
      </c>
      <c r="AM87" s="190">
        <f t="shared" si="63"/>
        <v>0</v>
      </c>
      <c r="AN87" s="190">
        <f t="shared" si="63"/>
        <v>0</v>
      </c>
      <c r="AO87" s="190">
        <f t="shared" si="63"/>
        <v>0</v>
      </c>
      <c r="AP87" s="190">
        <f t="shared" si="63"/>
        <v>0</v>
      </c>
      <c r="AQ87" s="190">
        <f t="shared" si="63"/>
        <v>0</v>
      </c>
      <c r="AR87" s="190">
        <f t="shared" si="63"/>
        <v>0</v>
      </c>
      <c r="AS87" s="190">
        <f t="shared" si="63"/>
        <v>0</v>
      </c>
      <c r="AT87" s="190">
        <f t="shared" si="63"/>
        <v>0</v>
      </c>
      <c r="AU87" s="190">
        <f t="shared" si="63"/>
        <v>0</v>
      </c>
    </row>
    <row r="88" spans="1:47" s="39" customFormat="1">
      <c r="E88" s="254"/>
      <c r="G88" s="173" t="s">
        <v>252</v>
      </c>
      <c r="L88" s="174" t="s">
        <v>12</v>
      </c>
      <c r="N88" s="189">
        <f ca="1">SUBTOTAL(9,N69:N87)</f>
        <v>22637880.19831052</v>
      </c>
      <c r="O88" s="189"/>
      <c r="P88" s="320"/>
      <c r="Q88" s="189"/>
      <c r="R88" s="189">
        <f ca="1">SUBTOTAL(9,R69:R87)</f>
        <v>1689536.8875191067</v>
      </c>
      <c r="S88" s="189">
        <f t="shared" ref="S88:AU88" ca="1" si="64">SUBTOTAL(9,S69:S87)</f>
        <v>1724657.4367217075</v>
      </c>
      <c r="T88" s="189">
        <f t="shared" ca="1" si="64"/>
        <v>1756904.2989512838</v>
      </c>
      <c r="U88" s="189">
        <f t="shared" ca="1" si="64"/>
        <v>1791028.7356946555</v>
      </c>
      <c r="V88" s="189">
        <f t="shared" ca="1" si="64"/>
        <v>1826417.8913268531</v>
      </c>
      <c r="W88" s="189">
        <f t="shared" ca="1" si="64"/>
        <v>1863717.0205589707</v>
      </c>
      <c r="X88" s="189">
        <f t="shared" ca="1" si="64"/>
        <v>1901395.1269269586</v>
      </c>
      <c r="Y88" s="189">
        <f t="shared" ca="1" si="64"/>
        <v>1938912.4699250581</v>
      </c>
      <c r="Z88" s="189">
        <f t="shared" ca="1" si="64"/>
        <v>1977246.230435113</v>
      </c>
      <c r="AA88" s="189">
        <f t="shared" ca="1" si="64"/>
        <v>2016213.3948431183</v>
      </c>
      <c r="AB88" s="189">
        <f t="shared" ca="1" si="64"/>
        <v>2056341.1703263174</v>
      </c>
      <c r="AC88" s="189">
        <f t="shared" ca="1" si="64"/>
        <v>2097557.9350062055</v>
      </c>
      <c r="AD88" s="189">
        <f t="shared" ca="1" si="64"/>
        <v>2139126.9627312869</v>
      </c>
      <c r="AE88" s="189">
        <f t="shared" ca="1" si="64"/>
        <v>2181557.4074648586</v>
      </c>
      <c r="AF88" s="189">
        <f t="shared" ca="1" si="64"/>
        <v>2224701.3798705107</v>
      </c>
      <c r="AG88" s="189">
        <f t="shared" ca="1" si="64"/>
        <v>2268400.794509693</v>
      </c>
      <c r="AH88" s="189">
        <f t="shared" ca="1" si="64"/>
        <v>2313158.0433299411</v>
      </c>
      <c r="AI88" s="189">
        <f t="shared" ca="1" si="64"/>
        <v>2358596.3806779869</v>
      </c>
      <c r="AJ88" s="189">
        <f t="shared" ca="1" si="64"/>
        <v>2404804.3131224387</v>
      </c>
      <c r="AK88" s="189">
        <f t="shared" ca="1" si="64"/>
        <v>2451847.0229997691</v>
      </c>
      <c r="AL88" s="189">
        <f t="shared" si="64"/>
        <v>0</v>
      </c>
      <c r="AM88" s="189">
        <f t="shared" si="64"/>
        <v>0</v>
      </c>
      <c r="AN88" s="189">
        <f t="shared" si="64"/>
        <v>0</v>
      </c>
      <c r="AO88" s="189">
        <f t="shared" si="64"/>
        <v>0</v>
      </c>
      <c r="AP88" s="189">
        <f t="shared" si="64"/>
        <v>0</v>
      </c>
      <c r="AQ88" s="189">
        <f t="shared" si="64"/>
        <v>0</v>
      </c>
      <c r="AR88" s="189">
        <f t="shared" si="64"/>
        <v>0</v>
      </c>
      <c r="AS88" s="189">
        <f t="shared" si="64"/>
        <v>0</v>
      </c>
      <c r="AT88" s="189">
        <f t="shared" si="64"/>
        <v>0</v>
      </c>
      <c r="AU88" s="189">
        <f t="shared" si="64"/>
        <v>0</v>
      </c>
    </row>
    <row r="89" spans="1:47" s="28" customFormat="1">
      <c r="E89" s="254"/>
      <c r="G89" s="36"/>
      <c r="L89" s="43"/>
      <c r="N89" s="189"/>
      <c r="O89" s="189"/>
      <c r="P89" s="190"/>
      <c r="Q89" s="189"/>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row>
    <row r="90" spans="1:47" s="39" customFormat="1">
      <c r="E90" s="254"/>
      <c r="G90" s="194" t="s">
        <v>13</v>
      </c>
      <c r="L90" s="174" t="s">
        <v>12</v>
      </c>
      <c r="N90" s="192">
        <f ca="1">NPV(DiscountRt,R90:AU90)</f>
        <v>55344924.172319695</v>
      </c>
      <c r="O90" s="189"/>
      <c r="P90" s="320"/>
      <c r="Q90" s="189"/>
      <c r="R90" s="195">
        <f t="shared" ref="R90:AU90" ca="1" si="65">SUBTOTAL(9,R45:R89)</f>
        <v>36331480.887519114</v>
      </c>
      <c r="S90" s="195">
        <f t="shared" ca="1" si="65"/>
        <v>1726672.4367217075</v>
      </c>
      <c r="T90" s="195">
        <f t="shared" ca="1" si="65"/>
        <v>1758920.2989512838</v>
      </c>
      <c r="U90" s="195">
        <f t="shared" ca="1" si="65"/>
        <v>1793045.7356946555</v>
      </c>
      <c r="V90" s="195">
        <f t="shared" ca="1" si="65"/>
        <v>1828435.8913268531</v>
      </c>
      <c r="W90" s="195">
        <f t="shared" ca="1" si="65"/>
        <v>1865736.0205589707</v>
      </c>
      <c r="X90" s="195">
        <f t="shared" ca="1" si="65"/>
        <v>1903415.1269269586</v>
      </c>
      <c r="Y90" s="195">
        <f t="shared" ca="1" si="65"/>
        <v>1940933.4699250581</v>
      </c>
      <c r="Z90" s="195">
        <f t="shared" ca="1" si="65"/>
        <v>1979268.230435113</v>
      </c>
      <c r="AA90" s="195">
        <f t="shared" ca="1" si="65"/>
        <v>2018236.3948431183</v>
      </c>
      <c r="AB90" s="195">
        <f t="shared" ca="1" si="65"/>
        <v>2058365.1703263174</v>
      </c>
      <c r="AC90" s="195">
        <f t="shared" ca="1" si="65"/>
        <v>2099582.9350062055</v>
      </c>
      <c r="AD90" s="195">
        <f t="shared" ca="1" si="65"/>
        <v>2141152.9627312869</v>
      </c>
      <c r="AE90" s="195">
        <f t="shared" ca="1" si="65"/>
        <v>2183584.4074648586</v>
      </c>
      <c r="AF90" s="195">
        <f t="shared" ca="1" si="65"/>
        <v>2226729.3798705107</v>
      </c>
      <c r="AG90" s="195">
        <f t="shared" ca="1" si="65"/>
        <v>2270429.794509693</v>
      </c>
      <c r="AH90" s="195">
        <f t="shared" ca="1" si="65"/>
        <v>2315188.0433299411</v>
      </c>
      <c r="AI90" s="195">
        <f t="shared" ca="1" si="65"/>
        <v>2360627.3806779869</v>
      </c>
      <c r="AJ90" s="195">
        <f t="shared" ca="1" si="65"/>
        <v>2406836.3131224387</v>
      </c>
      <c r="AK90" s="195">
        <f t="shared" ca="1" si="65"/>
        <v>2453880.0229997691</v>
      </c>
      <c r="AL90" s="195">
        <f t="shared" ca="1" si="65"/>
        <v>2034</v>
      </c>
      <c r="AM90" s="195">
        <f t="shared" ca="1" si="65"/>
        <v>2035</v>
      </c>
      <c r="AN90" s="195">
        <f t="shared" ca="1" si="65"/>
        <v>2036</v>
      </c>
      <c r="AO90" s="195">
        <f t="shared" ca="1" si="65"/>
        <v>2037</v>
      </c>
      <c r="AP90" s="195">
        <f t="shared" ca="1" si="65"/>
        <v>2038</v>
      </c>
      <c r="AQ90" s="195">
        <f t="shared" ca="1" si="65"/>
        <v>2039</v>
      </c>
      <c r="AR90" s="195">
        <f t="shared" ca="1" si="65"/>
        <v>2040</v>
      </c>
      <c r="AS90" s="195">
        <f t="shared" ca="1" si="65"/>
        <v>2041</v>
      </c>
      <c r="AT90" s="195">
        <f t="shared" ca="1" si="65"/>
        <v>2042</v>
      </c>
      <c r="AU90" s="195">
        <f t="shared" ca="1" si="65"/>
        <v>2043</v>
      </c>
    </row>
    <row r="91" spans="1:47">
      <c r="G91" s="194"/>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row>
    <row r="92" spans="1:47" s="317" customFormat="1">
      <c r="G92" s="318" t="s">
        <v>503</v>
      </c>
      <c r="L92" s="407"/>
    </row>
    <row r="94" spans="1:47" s="28" customFormat="1">
      <c r="A94" s="40"/>
      <c r="B94" s="40"/>
      <c r="C94" s="40"/>
      <c r="D94" s="40"/>
      <c r="E94" s="327"/>
      <c r="G94" s="324" t="str">
        <f>C96&amp;" Capital Costs"</f>
        <v>Anaerobic Digestion Capital Costs</v>
      </c>
      <c r="H94" s="324"/>
      <c r="I94" s="324"/>
      <c r="J94" s="324"/>
      <c r="K94" s="324"/>
      <c r="L94" s="405" t="s">
        <v>79</v>
      </c>
      <c r="M94" s="256"/>
      <c r="N94" s="325" t="s">
        <v>490</v>
      </c>
      <c r="O94" s="311"/>
      <c r="P94" s="325" t="s">
        <v>491</v>
      </c>
      <c r="Q94" s="310"/>
      <c r="R94" s="325">
        <f>R$8</f>
        <v>2014</v>
      </c>
      <c r="S94" s="325">
        <f t="shared" ref="S94:AU94" si="66">S$8</f>
        <v>2015</v>
      </c>
      <c r="T94" s="325">
        <f t="shared" si="66"/>
        <v>2016</v>
      </c>
      <c r="U94" s="325">
        <f t="shared" si="66"/>
        <v>2017</v>
      </c>
      <c r="V94" s="325">
        <f t="shared" si="66"/>
        <v>2018</v>
      </c>
      <c r="W94" s="325">
        <f t="shared" si="66"/>
        <v>2019</v>
      </c>
      <c r="X94" s="325">
        <f t="shared" si="66"/>
        <v>2020</v>
      </c>
      <c r="Y94" s="325">
        <f t="shared" si="66"/>
        <v>2021</v>
      </c>
      <c r="Z94" s="325">
        <f t="shared" si="66"/>
        <v>2022</v>
      </c>
      <c r="AA94" s="325">
        <f t="shared" si="66"/>
        <v>2023</v>
      </c>
      <c r="AB94" s="325">
        <f t="shared" si="66"/>
        <v>2024</v>
      </c>
      <c r="AC94" s="325">
        <f t="shared" si="66"/>
        <v>2025</v>
      </c>
      <c r="AD94" s="325">
        <f t="shared" si="66"/>
        <v>2026</v>
      </c>
      <c r="AE94" s="325">
        <f t="shared" si="66"/>
        <v>2027</v>
      </c>
      <c r="AF94" s="325">
        <f t="shared" si="66"/>
        <v>2028</v>
      </c>
      <c r="AG94" s="325">
        <f t="shared" si="66"/>
        <v>2029</v>
      </c>
      <c r="AH94" s="325">
        <f t="shared" si="66"/>
        <v>2030</v>
      </c>
      <c r="AI94" s="325">
        <f t="shared" si="66"/>
        <v>2031</v>
      </c>
      <c r="AJ94" s="325">
        <f t="shared" si="66"/>
        <v>2032</v>
      </c>
      <c r="AK94" s="325">
        <f t="shared" si="66"/>
        <v>2033</v>
      </c>
      <c r="AL94" s="325">
        <f t="shared" si="66"/>
        <v>2034</v>
      </c>
      <c r="AM94" s="325">
        <f t="shared" si="66"/>
        <v>2035</v>
      </c>
      <c r="AN94" s="325">
        <f t="shared" si="66"/>
        <v>2036</v>
      </c>
      <c r="AO94" s="325">
        <f t="shared" si="66"/>
        <v>2037</v>
      </c>
      <c r="AP94" s="325">
        <f t="shared" si="66"/>
        <v>2038</v>
      </c>
      <c r="AQ94" s="325">
        <f t="shared" si="66"/>
        <v>2039</v>
      </c>
      <c r="AR94" s="325">
        <f t="shared" si="66"/>
        <v>2040</v>
      </c>
      <c r="AS94" s="325">
        <f t="shared" si="66"/>
        <v>2041</v>
      </c>
      <c r="AT94" s="325">
        <f t="shared" si="66"/>
        <v>2042</v>
      </c>
      <c r="AU94" s="325">
        <f t="shared" si="66"/>
        <v>2043</v>
      </c>
    </row>
    <row r="95" spans="1:47">
      <c r="E95" s="325"/>
      <c r="G95" s="39"/>
      <c r="H95" s="39"/>
      <c r="I95" s="39"/>
      <c r="J95" s="39"/>
      <c r="K95" s="39"/>
    </row>
    <row r="96" spans="1:47">
      <c r="A96" s="38" t="str">
        <f>$J$4&amp;"-"</f>
        <v>2X-</v>
      </c>
      <c r="B96" s="38" t="s">
        <v>306</v>
      </c>
      <c r="C96" s="38" t="s">
        <v>315</v>
      </c>
      <c r="D96" s="186">
        <f>CapExEsc</f>
        <v>0.03</v>
      </c>
      <c r="E96" s="325"/>
      <c r="G96" s="36" t="s">
        <v>8</v>
      </c>
      <c r="H96" s="39"/>
      <c r="I96" s="39"/>
      <c r="J96" s="70"/>
      <c r="K96" s="39"/>
      <c r="L96" s="43" t="str">
        <f>"["&amp;CostBaseYr&amp;" $]"</f>
        <v>[2013 $]</v>
      </c>
      <c r="N96" s="52">
        <f ca="1">SUMIFS(OFFSET(Assumptions!$I$65,0,MATCH($A96,Configurations,0)-1,COUNT(Assumptions!$A$65:$A$84),1),Assumptions!$E$65:$E$84,$C96)</f>
        <v>8338000</v>
      </c>
      <c r="O96" s="52"/>
      <c r="P96" s="322"/>
      <c r="Q96" s="52"/>
      <c r="R96" s="52">
        <f t="shared" ref="R96:AU96" ca="1" si="67">R97*IF($P96=0,$N96,$P96)*(1+$D96)^(R$8-CostBaseYr)</f>
        <v>8588140</v>
      </c>
      <c r="S96" s="52">
        <f t="shared" ca="1" si="67"/>
        <v>0</v>
      </c>
      <c r="T96" s="52">
        <f t="shared" ca="1" si="67"/>
        <v>0</v>
      </c>
      <c r="U96" s="52">
        <f t="shared" ca="1" si="67"/>
        <v>0</v>
      </c>
      <c r="V96" s="52">
        <f t="shared" ca="1" si="67"/>
        <v>0</v>
      </c>
      <c r="W96" s="52">
        <f t="shared" ca="1" si="67"/>
        <v>0</v>
      </c>
      <c r="X96" s="52">
        <f t="shared" ca="1" si="67"/>
        <v>0</v>
      </c>
      <c r="Y96" s="52">
        <f t="shared" ca="1" si="67"/>
        <v>0</v>
      </c>
      <c r="Z96" s="52">
        <f t="shared" ca="1" si="67"/>
        <v>0</v>
      </c>
      <c r="AA96" s="52">
        <f t="shared" ca="1" si="67"/>
        <v>0</v>
      </c>
      <c r="AB96" s="52">
        <f t="shared" ca="1" si="67"/>
        <v>0</v>
      </c>
      <c r="AC96" s="52">
        <f t="shared" ca="1" si="67"/>
        <v>0</v>
      </c>
      <c r="AD96" s="52">
        <f t="shared" ca="1" si="67"/>
        <v>0</v>
      </c>
      <c r="AE96" s="52">
        <f t="shared" ca="1" si="67"/>
        <v>0</v>
      </c>
      <c r="AF96" s="52">
        <f t="shared" ca="1" si="67"/>
        <v>0</v>
      </c>
      <c r="AG96" s="52">
        <f t="shared" ca="1" si="67"/>
        <v>0</v>
      </c>
      <c r="AH96" s="52">
        <f t="shared" ca="1" si="67"/>
        <v>0</v>
      </c>
      <c r="AI96" s="52">
        <f t="shared" ca="1" si="67"/>
        <v>0</v>
      </c>
      <c r="AJ96" s="52">
        <f t="shared" ca="1" si="67"/>
        <v>0</v>
      </c>
      <c r="AK96" s="52">
        <f t="shared" ca="1" si="67"/>
        <v>0</v>
      </c>
      <c r="AL96" s="52">
        <f t="shared" ca="1" si="67"/>
        <v>0</v>
      </c>
      <c r="AM96" s="52">
        <f t="shared" ca="1" si="67"/>
        <v>0</v>
      </c>
      <c r="AN96" s="52">
        <f t="shared" ca="1" si="67"/>
        <v>0</v>
      </c>
      <c r="AO96" s="52">
        <f t="shared" ca="1" si="67"/>
        <v>0</v>
      </c>
      <c r="AP96" s="52">
        <f t="shared" ca="1" si="67"/>
        <v>0</v>
      </c>
      <c r="AQ96" s="52">
        <f t="shared" ca="1" si="67"/>
        <v>0</v>
      </c>
      <c r="AR96" s="52">
        <f t="shared" ca="1" si="67"/>
        <v>0</v>
      </c>
      <c r="AS96" s="52">
        <f t="shared" ca="1" si="67"/>
        <v>0</v>
      </c>
      <c r="AT96" s="52">
        <f t="shared" ca="1" si="67"/>
        <v>0</v>
      </c>
      <c r="AU96" s="52">
        <f t="shared" ca="1" si="67"/>
        <v>0</v>
      </c>
    </row>
    <row r="97" spans="1:47">
      <c r="E97" s="325"/>
      <c r="G97" s="36" t="s">
        <v>10</v>
      </c>
      <c r="H97" s="39"/>
      <c r="I97" s="39"/>
      <c r="J97" s="39"/>
      <c r="K97" s="39"/>
      <c r="L97" s="43"/>
      <c r="R97" s="54">
        <f>Assumptions!M$60</f>
        <v>1</v>
      </c>
      <c r="S97" s="54">
        <f>Assumptions!N$60</f>
        <v>0</v>
      </c>
      <c r="T97" s="54">
        <f>Assumptions!O$60</f>
        <v>0</v>
      </c>
      <c r="U97" s="54">
        <f>Assumptions!P$60</f>
        <v>0</v>
      </c>
      <c r="V97" s="54">
        <f>Assumptions!Q$60</f>
        <v>0</v>
      </c>
      <c r="W97" s="54">
        <f>Assumptions!R$60</f>
        <v>0</v>
      </c>
      <c r="X97" s="54">
        <f>Assumptions!S$60</f>
        <v>0</v>
      </c>
      <c r="Y97" s="54">
        <f>Assumptions!T$60</f>
        <v>0</v>
      </c>
      <c r="Z97" s="54">
        <f>Assumptions!U$60</f>
        <v>0</v>
      </c>
      <c r="AA97" s="54">
        <f>Assumptions!V$60</f>
        <v>0</v>
      </c>
      <c r="AB97" s="54">
        <f>Assumptions!W$60</f>
        <v>0</v>
      </c>
      <c r="AC97" s="54">
        <f>Assumptions!X$60</f>
        <v>0</v>
      </c>
      <c r="AD97" s="54">
        <f>Assumptions!Y$60</f>
        <v>0</v>
      </c>
      <c r="AE97" s="54">
        <f>Assumptions!Z$60</f>
        <v>0</v>
      </c>
      <c r="AF97" s="54">
        <f>Assumptions!AA$60</f>
        <v>0</v>
      </c>
      <c r="AG97" s="54">
        <f>Assumptions!AB$60</f>
        <v>0</v>
      </c>
      <c r="AH97" s="54">
        <f>Assumptions!AC$60</f>
        <v>0</v>
      </c>
      <c r="AI97" s="54">
        <f>Assumptions!AD$60</f>
        <v>0</v>
      </c>
      <c r="AJ97" s="54">
        <f>Assumptions!AE$60</f>
        <v>0</v>
      </c>
      <c r="AK97" s="54">
        <f>Assumptions!AF$60</f>
        <v>0</v>
      </c>
      <c r="AL97" s="54">
        <f>Assumptions!AG$60</f>
        <v>0</v>
      </c>
      <c r="AM97" s="54">
        <f>Assumptions!AH$60</f>
        <v>0</v>
      </c>
      <c r="AN97" s="54">
        <f>Assumptions!AI$60</f>
        <v>0</v>
      </c>
      <c r="AO97" s="54">
        <f>Assumptions!AJ$60</f>
        <v>0</v>
      </c>
      <c r="AP97" s="54">
        <f>Assumptions!AK$60</f>
        <v>0</v>
      </c>
      <c r="AQ97" s="54">
        <f>Assumptions!AL$60</f>
        <v>0</v>
      </c>
      <c r="AR97" s="54">
        <f>Assumptions!AM$60</f>
        <v>0</v>
      </c>
      <c r="AS97" s="54">
        <f>Assumptions!AN$60</f>
        <v>0</v>
      </c>
      <c r="AT97" s="54">
        <f>Assumptions!AO$60</f>
        <v>0</v>
      </c>
      <c r="AU97" s="54">
        <f>Assumptions!AP$60</f>
        <v>0</v>
      </c>
    </row>
    <row r="98" spans="1:47">
      <c r="E98" s="326"/>
      <c r="G98" s="39"/>
      <c r="H98" s="39"/>
      <c r="I98" s="39"/>
      <c r="J98" s="39"/>
      <c r="K98" s="39"/>
    </row>
    <row r="99" spans="1:47" s="28" customFormat="1">
      <c r="A99" s="40"/>
      <c r="B99" s="40"/>
      <c r="C99" s="40"/>
      <c r="D99" s="40"/>
      <c r="E99" s="327"/>
      <c r="G99" s="324" t="str">
        <f>C96&amp;" O&amp;M"</f>
        <v>Anaerobic Digestion O&amp;M</v>
      </c>
      <c r="H99" s="324"/>
      <c r="I99" s="324"/>
      <c r="J99" s="324"/>
      <c r="K99" s="324"/>
      <c r="L99" s="405" t="s">
        <v>79</v>
      </c>
      <c r="M99" s="256"/>
      <c r="N99" s="325" t="s">
        <v>490</v>
      </c>
      <c r="O99" s="311"/>
      <c r="P99" s="325" t="s">
        <v>491</v>
      </c>
      <c r="Q99" s="310"/>
      <c r="R99" s="325">
        <f>R$8</f>
        <v>2014</v>
      </c>
      <c r="S99" s="325">
        <f t="shared" ref="S99:AU99" si="68">S$8</f>
        <v>2015</v>
      </c>
      <c r="T99" s="325">
        <f t="shared" si="68"/>
        <v>2016</v>
      </c>
      <c r="U99" s="325">
        <f t="shared" si="68"/>
        <v>2017</v>
      </c>
      <c r="V99" s="325">
        <f t="shared" si="68"/>
        <v>2018</v>
      </c>
      <c r="W99" s="325">
        <f t="shared" si="68"/>
        <v>2019</v>
      </c>
      <c r="X99" s="325">
        <f t="shared" si="68"/>
        <v>2020</v>
      </c>
      <c r="Y99" s="325">
        <f t="shared" si="68"/>
        <v>2021</v>
      </c>
      <c r="Z99" s="325">
        <f t="shared" si="68"/>
        <v>2022</v>
      </c>
      <c r="AA99" s="325">
        <f t="shared" si="68"/>
        <v>2023</v>
      </c>
      <c r="AB99" s="325">
        <f t="shared" si="68"/>
        <v>2024</v>
      </c>
      <c r="AC99" s="325">
        <f t="shared" si="68"/>
        <v>2025</v>
      </c>
      <c r="AD99" s="325">
        <f t="shared" si="68"/>
        <v>2026</v>
      </c>
      <c r="AE99" s="325">
        <f t="shared" si="68"/>
        <v>2027</v>
      </c>
      <c r="AF99" s="325">
        <f t="shared" si="68"/>
        <v>2028</v>
      </c>
      <c r="AG99" s="325">
        <f t="shared" si="68"/>
        <v>2029</v>
      </c>
      <c r="AH99" s="325">
        <f t="shared" si="68"/>
        <v>2030</v>
      </c>
      <c r="AI99" s="325">
        <f t="shared" si="68"/>
        <v>2031</v>
      </c>
      <c r="AJ99" s="325">
        <f t="shared" si="68"/>
        <v>2032</v>
      </c>
      <c r="AK99" s="325">
        <f t="shared" si="68"/>
        <v>2033</v>
      </c>
      <c r="AL99" s="325">
        <f t="shared" si="68"/>
        <v>2034</v>
      </c>
      <c r="AM99" s="325">
        <f t="shared" si="68"/>
        <v>2035</v>
      </c>
      <c r="AN99" s="325">
        <f t="shared" si="68"/>
        <v>2036</v>
      </c>
      <c r="AO99" s="325">
        <f t="shared" si="68"/>
        <v>2037</v>
      </c>
      <c r="AP99" s="325">
        <f t="shared" si="68"/>
        <v>2038</v>
      </c>
      <c r="AQ99" s="325">
        <f t="shared" si="68"/>
        <v>2039</v>
      </c>
      <c r="AR99" s="325">
        <f t="shared" si="68"/>
        <v>2040</v>
      </c>
      <c r="AS99" s="325">
        <f t="shared" si="68"/>
        <v>2041</v>
      </c>
      <c r="AT99" s="325">
        <f t="shared" si="68"/>
        <v>2042</v>
      </c>
      <c r="AU99" s="325">
        <f t="shared" si="68"/>
        <v>2043</v>
      </c>
    </row>
    <row r="100" spans="1:47">
      <c r="E100" s="325"/>
      <c r="G100" s="39"/>
      <c r="H100" s="39"/>
      <c r="I100" s="39"/>
      <c r="J100" s="39"/>
      <c r="K100" s="39"/>
    </row>
    <row r="101" spans="1:47">
      <c r="E101" s="325"/>
      <c r="G101" s="39" t="s">
        <v>23</v>
      </c>
      <c r="H101" s="39"/>
      <c r="I101" s="39"/>
      <c r="J101" s="39"/>
      <c r="K101" s="39"/>
    </row>
    <row r="102" spans="1:47">
      <c r="A102" s="38" t="str">
        <f t="shared" ref="A102:A109" si="69">$J$4&amp;"-"</f>
        <v>2X-</v>
      </c>
      <c r="B102" s="38" t="s">
        <v>262</v>
      </c>
      <c r="C102" s="38" t="str">
        <f>C96</f>
        <v>Anaerobic Digestion</v>
      </c>
      <c r="D102" s="186">
        <f>LaborEsc</f>
        <v>0.02</v>
      </c>
      <c r="E102" s="325"/>
      <c r="G102" s="36" t="s">
        <v>125</v>
      </c>
      <c r="I102" s="39"/>
      <c r="K102" s="39"/>
      <c r="L102" s="43" t="s">
        <v>266</v>
      </c>
      <c r="N102" s="70">
        <f ca="1">SUMIFS(OFFSET(Assumptions!$I$90,0,MATCH($A102,Configurations,0)-1,COUNT(Assumptions!$A$90:$A$183),1),Assumptions!$D$90:$D$183,$B102&amp;$C102)</f>
        <v>2555</v>
      </c>
      <c r="O102" s="313"/>
      <c r="P102" s="323"/>
      <c r="Q102" s="313"/>
      <c r="R102" s="50">
        <f t="shared" ref="R102:AU102" ca="1" si="70">IF(OR(R$99&lt;InServiceYr,R$99&gt;(InServiceYr+analysis_period-1)),0,IF($P102=0,$N102,$P102)*LaborCost*(1+$D102)^(R$99-CostBaseYr))</f>
        <v>91213.5</v>
      </c>
      <c r="S102" s="50">
        <f t="shared" ca="1" si="70"/>
        <v>93037.77</v>
      </c>
      <c r="T102" s="50">
        <f t="shared" ca="1" si="70"/>
        <v>94898.525399999999</v>
      </c>
      <c r="U102" s="50">
        <f t="shared" ca="1" si="70"/>
        <v>96796.495907999997</v>
      </c>
      <c r="V102" s="50">
        <f t="shared" ca="1" si="70"/>
        <v>98732.425826160004</v>
      </c>
      <c r="W102" s="50">
        <f t="shared" ca="1" si="70"/>
        <v>100707.07434268321</v>
      </c>
      <c r="X102" s="50">
        <f t="shared" ca="1" si="70"/>
        <v>102721.21582953684</v>
      </c>
      <c r="Y102" s="50">
        <f t="shared" ca="1" si="70"/>
        <v>104775.6401461276</v>
      </c>
      <c r="Z102" s="50">
        <f t="shared" ca="1" si="70"/>
        <v>106871.15294905014</v>
      </c>
      <c r="AA102" s="50">
        <f t="shared" ca="1" si="70"/>
        <v>109008.57600803116</v>
      </c>
      <c r="AB102" s="50">
        <f t="shared" ca="1" si="70"/>
        <v>111188.74752819176</v>
      </c>
      <c r="AC102" s="50">
        <f t="shared" ca="1" si="70"/>
        <v>113412.52247875561</v>
      </c>
      <c r="AD102" s="50">
        <f t="shared" ca="1" si="70"/>
        <v>115680.77292833071</v>
      </c>
      <c r="AE102" s="50">
        <f t="shared" ca="1" si="70"/>
        <v>117994.38838689734</v>
      </c>
      <c r="AF102" s="50">
        <f t="shared" ca="1" si="70"/>
        <v>120354.27615463526</v>
      </c>
      <c r="AG102" s="50">
        <f t="shared" ca="1" si="70"/>
        <v>122761.36167772798</v>
      </c>
      <c r="AH102" s="50">
        <f t="shared" ca="1" si="70"/>
        <v>125216.58891128255</v>
      </c>
      <c r="AI102" s="50">
        <f t="shared" ca="1" si="70"/>
        <v>127720.92068950819</v>
      </c>
      <c r="AJ102" s="50">
        <f t="shared" ca="1" si="70"/>
        <v>130275.33910329835</v>
      </c>
      <c r="AK102" s="50">
        <f t="shared" ca="1" si="70"/>
        <v>132880.84588536434</v>
      </c>
      <c r="AL102" s="50">
        <f t="shared" si="70"/>
        <v>0</v>
      </c>
      <c r="AM102" s="50">
        <f t="shared" si="70"/>
        <v>0</v>
      </c>
      <c r="AN102" s="50">
        <f t="shared" si="70"/>
        <v>0</v>
      </c>
      <c r="AO102" s="50">
        <f t="shared" si="70"/>
        <v>0</v>
      </c>
      <c r="AP102" s="50">
        <f t="shared" si="70"/>
        <v>0</v>
      </c>
      <c r="AQ102" s="50">
        <f t="shared" si="70"/>
        <v>0</v>
      </c>
      <c r="AR102" s="50">
        <f t="shared" si="70"/>
        <v>0</v>
      </c>
      <c r="AS102" s="50">
        <f t="shared" si="70"/>
        <v>0</v>
      </c>
      <c r="AT102" s="50">
        <f t="shared" si="70"/>
        <v>0</v>
      </c>
      <c r="AU102" s="50">
        <f t="shared" si="70"/>
        <v>0</v>
      </c>
    </row>
    <row r="103" spans="1:47">
      <c r="A103" s="38" t="str">
        <f t="shared" si="69"/>
        <v>2X-</v>
      </c>
      <c r="B103" s="38" t="s">
        <v>270</v>
      </c>
      <c r="C103" s="38" t="str">
        <f>C102</f>
        <v>Anaerobic Digestion</v>
      </c>
      <c r="D103" s="186">
        <f>OMEsc</f>
        <v>0.02</v>
      </c>
      <c r="E103" s="325"/>
      <c r="G103" s="36" t="s">
        <v>126</v>
      </c>
      <c r="I103" s="39"/>
      <c r="K103" s="39"/>
      <c r="L103" s="43" t="str">
        <f>"["&amp;CostBaseYr&amp;" $]"</f>
        <v>[2013 $]</v>
      </c>
      <c r="N103" s="70">
        <f ca="1">SUMIFS(OFFSET(Assumptions!$I$90,0,MATCH($A103,Configurations,0)-1,COUNT(Assumptions!$A$90:$A$183),1),Assumptions!$D$90:$D$183,$B103&amp;$C103)</f>
        <v>95000</v>
      </c>
      <c r="O103" s="313"/>
      <c r="P103" s="323"/>
      <c r="Q103" s="313"/>
      <c r="R103" s="50">
        <f t="shared" ref="R103:AG105" ca="1" si="71">IF(OR(R$99&lt;InServiceYr,R$99&gt;(InServiceYr+analysis_period-1)),0,IF($P103=0,$N103,$P103)*(1+$D103)^(R$99-CostBaseYr))</f>
        <v>96900</v>
      </c>
      <c r="S103" s="50">
        <f t="shared" ca="1" si="71"/>
        <v>98838</v>
      </c>
      <c r="T103" s="50">
        <f t="shared" ca="1" si="71"/>
        <v>100814.76</v>
      </c>
      <c r="U103" s="50">
        <f t="shared" ca="1" si="71"/>
        <v>102831.0552</v>
      </c>
      <c r="V103" s="50">
        <f t="shared" ca="1" si="71"/>
        <v>104887.67630400001</v>
      </c>
      <c r="W103" s="50">
        <f t="shared" ca="1" si="71"/>
        <v>106985.42983008</v>
      </c>
      <c r="X103" s="50">
        <f t="shared" ca="1" si="71"/>
        <v>109125.13842668159</v>
      </c>
      <c r="Y103" s="50">
        <f t="shared" ca="1" si="71"/>
        <v>111307.64119521523</v>
      </c>
      <c r="Z103" s="50">
        <f t="shared" ca="1" si="71"/>
        <v>113533.79401911952</v>
      </c>
      <c r="AA103" s="50">
        <f t="shared" ca="1" si="71"/>
        <v>115804.46989950193</v>
      </c>
      <c r="AB103" s="50">
        <f t="shared" ca="1" si="71"/>
        <v>118120.55929749194</v>
      </c>
      <c r="AC103" s="50">
        <f t="shared" ca="1" si="71"/>
        <v>120482.97048344179</v>
      </c>
      <c r="AD103" s="50">
        <f t="shared" ca="1" si="71"/>
        <v>122892.62989311063</v>
      </c>
      <c r="AE103" s="50">
        <f t="shared" ca="1" si="71"/>
        <v>125350.48249097285</v>
      </c>
      <c r="AF103" s="50">
        <f t="shared" ca="1" si="71"/>
        <v>127857.49214079228</v>
      </c>
      <c r="AG103" s="50">
        <f t="shared" ca="1" si="71"/>
        <v>130414.64198360815</v>
      </c>
      <c r="AH103" s="50">
        <f t="shared" ref="S103:AU105" ca="1" si="72">IF(OR(AH$99&lt;InServiceYr,AH$99&gt;(InServiceYr+analysis_period-1)),0,IF($P103=0,$N103,$P103)*(1+$D103)^(AH$99-CostBaseYr))</f>
        <v>133022.93482328032</v>
      </c>
      <c r="AI103" s="50">
        <f t="shared" ca="1" si="72"/>
        <v>135683.39351974591</v>
      </c>
      <c r="AJ103" s="50">
        <f t="shared" ca="1" si="72"/>
        <v>138397.06139014082</v>
      </c>
      <c r="AK103" s="50">
        <f t="shared" ca="1" si="72"/>
        <v>141165.00261794365</v>
      </c>
      <c r="AL103" s="50">
        <f t="shared" si="72"/>
        <v>0</v>
      </c>
      <c r="AM103" s="50">
        <f t="shared" si="72"/>
        <v>0</v>
      </c>
      <c r="AN103" s="50">
        <f t="shared" si="72"/>
        <v>0</v>
      </c>
      <c r="AO103" s="50">
        <f t="shared" si="72"/>
        <v>0</v>
      </c>
      <c r="AP103" s="50">
        <f t="shared" si="72"/>
        <v>0</v>
      </c>
      <c r="AQ103" s="50">
        <f t="shared" si="72"/>
        <v>0</v>
      </c>
      <c r="AR103" s="50">
        <f t="shared" si="72"/>
        <v>0</v>
      </c>
      <c r="AS103" s="50">
        <f t="shared" si="72"/>
        <v>0</v>
      </c>
      <c r="AT103" s="50">
        <f t="shared" si="72"/>
        <v>0</v>
      </c>
      <c r="AU103" s="50">
        <f t="shared" si="72"/>
        <v>0</v>
      </c>
    </row>
    <row r="104" spans="1:47">
      <c r="A104" s="38" t="str">
        <f t="shared" si="69"/>
        <v>2X-</v>
      </c>
      <c r="B104" s="38" t="s">
        <v>263</v>
      </c>
      <c r="C104" s="38" t="str">
        <f t="shared" ref="C104:C108" si="73">C103</f>
        <v>Anaerobic Digestion</v>
      </c>
      <c r="D104" s="186">
        <f>OMEsc</f>
        <v>0.02</v>
      </c>
      <c r="E104" s="325"/>
      <c r="G104" s="36" t="s">
        <v>127</v>
      </c>
      <c r="I104" s="39"/>
      <c r="K104" s="39"/>
      <c r="L104" s="43" t="str">
        <f>"["&amp;CostBaseYr&amp;" $]"</f>
        <v>[2013 $]</v>
      </c>
      <c r="N104" s="70">
        <f ca="1">SUMIFS(OFFSET(Assumptions!$I$90,0,MATCH($A104,Configurations,0)-1,COUNT(Assumptions!$A$90:$A$183),1),Assumptions!$D$90:$D$183,$B104&amp;$C104)</f>
        <v>0</v>
      </c>
      <c r="O104" s="313"/>
      <c r="P104" s="323"/>
      <c r="Q104" s="313"/>
      <c r="R104" s="50">
        <f t="shared" ca="1" si="71"/>
        <v>0</v>
      </c>
      <c r="S104" s="50">
        <f t="shared" ca="1" si="72"/>
        <v>0</v>
      </c>
      <c r="T104" s="50">
        <f t="shared" ca="1" si="72"/>
        <v>0</v>
      </c>
      <c r="U104" s="50">
        <f t="shared" ca="1" si="72"/>
        <v>0</v>
      </c>
      <c r="V104" s="50">
        <f t="shared" ca="1" si="72"/>
        <v>0</v>
      </c>
      <c r="W104" s="50">
        <f t="shared" ca="1" si="72"/>
        <v>0</v>
      </c>
      <c r="X104" s="50">
        <f t="shared" ca="1" si="72"/>
        <v>0</v>
      </c>
      <c r="Y104" s="50">
        <f t="shared" ca="1" si="72"/>
        <v>0</v>
      </c>
      <c r="Z104" s="50">
        <f t="shared" ca="1" si="72"/>
        <v>0</v>
      </c>
      <c r="AA104" s="50">
        <f t="shared" ca="1" si="72"/>
        <v>0</v>
      </c>
      <c r="AB104" s="50">
        <f t="shared" ca="1" si="72"/>
        <v>0</v>
      </c>
      <c r="AC104" s="50">
        <f t="shared" ca="1" si="72"/>
        <v>0</v>
      </c>
      <c r="AD104" s="50">
        <f t="shared" ca="1" si="72"/>
        <v>0</v>
      </c>
      <c r="AE104" s="50">
        <f t="shared" ca="1" si="72"/>
        <v>0</v>
      </c>
      <c r="AF104" s="50">
        <f t="shared" ca="1" si="72"/>
        <v>0</v>
      </c>
      <c r="AG104" s="50">
        <f t="shared" ca="1" si="72"/>
        <v>0</v>
      </c>
      <c r="AH104" s="50">
        <f t="shared" ca="1" si="72"/>
        <v>0</v>
      </c>
      <c r="AI104" s="50">
        <f t="shared" ca="1" si="72"/>
        <v>0</v>
      </c>
      <c r="AJ104" s="50">
        <f t="shared" ca="1" si="72"/>
        <v>0</v>
      </c>
      <c r="AK104" s="50">
        <f t="shared" ca="1" si="72"/>
        <v>0</v>
      </c>
      <c r="AL104" s="50">
        <f t="shared" si="72"/>
        <v>0</v>
      </c>
      <c r="AM104" s="50">
        <f t="shared" si="72"/>
        <v>0</v>
      </c>
      <c r="AN104" s="50">
        <f t="shared" si="72"/>
        <v>0</v>
      </c>
      <c r="AO104" s="50">
        <f t="shared" si="72"/>
        <v>0</v>
      </c>
      <c r="AP104" s="50">
        <f t="shared" si="72"/>
        <v>0</v>
      </c>
      <c r="AQ104" s="50">
        <f t="shared" si="72"/>
        <v>0</v>
      </c>
      <c r="AR104" s="50">
        <f t="shared" si="72"/>
        <v>0</v>
      </c>
      <c r="AS104" s="50">
        <f t="shared" si="72"/>
        <v>0</v>
      </c>
      <c r="AT104" s="50">
        <f t="shared" si="72"/>
        <v>0</v>
      </c>
      <c r="AU104" s="50">
        <f t="shared" si="72"/>
        <v>0</v>
      </c>
    </row>
    <row r="105" spans="1:47">
      <c r="A105" s="38" t="str">
        <f t="shared" si="69"/>
        <v>2X-</v>
      </c>
      <c r="B105" s="38" t="s">
        <v>277</v>
      </c>
      <c r="C105" s="38" t="str">
        <f t="shared" si="73"/>
        <v>Anaerobic Digestion</v>
      </c>
      <c r="D105" s="186">
        <f>OMEsc</f>
        <v>0.02</v>
      </c>
      <c r="E105" s="325"/>
      <c r="G105" s="36" t="s">
        <v>276</v>
      </c>
      <c r="I105" s="39"/>
      <c r="K105" s="39"/>
      <c r="L105" s="43" t="str">
        <f>"["&amp;CostBaseYr&amp;" $]"</f>
        <v>[2013 $]</v>
      </c>
      <c r="N105" s="70">
        <f ca="1">SUMIFS(OFFSET(Assumptions!$I$90,0,MATCH($A105,Configurations,0)-1,COUNT(Assumptions!$A$90:$A$183),1),Assumptions!$D$90:$D$183,$B105&amp;$C105)</f>
        <v>0</v>
      </c>
      <c r="O105" s="313"/>
      <c r="P105" s="323"/>
      <c r="Q105" s="313"/>
      <c r="R105" s="50">
        <f t="shared" ca="1" si="71"/>
        <v>0</v>
      </c>
      <c r="S105" s="50">
        <f t="shared" ca="1" si="72"/>
        <v>0</v>
      </c>
      <c r="T105" s="50">
        <f t="shared" ca="1" si="72"/>
        <v>0</v>
      </c>
      <c r="U105" s="50">
        <f t="shared" ca="1" si="72"/>
        <v>0</v>
      </c>
      <c r="V105" s="50">
        <f t="shared" ca="1" si="72"/>
        <v>0</v>
      </c>
      <c r="W105" s="50">
        <f t="shared" ca="1" si="72"/>
        <v>0</v>
      </c>
      <c r="X105" s="50">
        <f t="shared" ca="1" si="72"/>
        <v>0</v>
      </c>
      <c r="Y105" s="50">
        <f t="shared" ca="1" si="72"/>
        <v>0</v>
      </c>
      <c r="Z105" s="50">
        <f t="shared" ca="1" si="72"/>
        <v>0</v>
      </c>
      <c r="AA105" s="50">
        <f t="shared" ca="1" si="72"/>
        <v>0</v>
      </c>
      <c r="AB105" s="50">
        <f t="shared" ca="1" si="72"/>
        <v>0</v>
      </c>
      <c r="AC105" s="50">
        <f t="shared" ca="1" si="72"/>
        <v>0</v>
      </c>
      <c r="AD105" s="50">
        <f t="shared" ca="1" si="72"/>
        <v>0</v>
      </c>
      <c r="AE105" s="50">
        <f t="shared" ca="1" si="72"/>
        <v>0</v>
      </c>
      <c r="AF105" s="50">
        <f t="shared" ca="1" si="72"/>
        <v>0</v>
      </c>
      <c r="AG105" s="50">
        <f t="shared" ca="1" si="72"/>
        <v>0</v>
      </c>
      <c r="AH105" s="50">
        <f t="shared" ca="1" si="72"/>
        <v>0</v>
      </c>
      <c r="AI105" s="50">
        <f t="shared" ca="1" si="72"/>
        <v>0</v>
      </c>
      <c r="AJ105" s="50">
        <f t="shared" ca="1" si="72"/>
        <v>0</v>
      </c>
      <c r="AK105" s="50">
        <f t="shared" ca="1" si="72"/>
        <v>0</v>
      </c>
      <c r="AL105" s="50">
        <f t="shared" si="72"/>
        <v>0</v>
      </c>
      <c r="AM105" s="50">
        <f t="shared" si="72"/>
        <v>0</v>
      </c>
      <c r="AN105" s="50">
        <f t="shared" si="72"/>
        <v>0</v>
      </c>
      <c r="AO105" s="50">
        <f t="shared" si="72"/>
        <v>0</v>
      </c>
      <c r="AP105" s="50">
        <f t="shared" si="72"/>
        <v>0</v>
      </c>
      <c r="AQ105" s="50">
        <f t="shared" si="72"/>
        <v>0</v>
      </c>
      <c r="AR105" s="50">
        <f t="shared" si="72"/>
        <v>0</v>
      </c>
      <c r="AS105" s="50">
        <f t="shared" si="72"/>
        <v>0</v>
      </c>
      <c r="AT105" s="50">
        <f t="shared" si="72"/>
        <v>0</v>
      </c>
      <c r="AU105" s="50">
        <f t="shared" si="72"/>
        <v>0</v>
      </c>
    </row>
    <row r="106" spans="1:47">
      <c r="A106" s="38" t="str">
        <f t="shared" si="69"/>
        <v>2X-</v>
      </c>
      <c r="B106" s="38" t="s">
        <v>274</v>
      </c>
      <c r="C106" s="38" t="str">
        <f t="shared" si="73"/>
        <v>Anaerobic Digestion</v>
      </c>
      <c r="D106" s="186"/>
      <c r="E106" s="325"/>
      <c r="G106" s="36" t="s">
        <v>16</v>
      </c>
      <c r="I106" s="39"/>
      <c r="K106" s="39"/>
      <c r="L106" s="43" t="s">
        <v>275</v>
      </c>
      <c r="N106" s="70">
        <f ca="1">SUMIFS(OFFSET(Assumptions!$I$90,0,MATCH($A106,Configurations,0)-1,COUNT(Assumptions!$A$90:$A$183),1),Assumptions!$D$90:$D$183,$B106&amp;$C106)</f>
        <v>0</v>
      </c>
      <c r="O106" s="313"/>
      <c r="P106" s="323"/>
      <c r="Q106" s="313"/>
      <c r="R106" s="50">
        <f t="shared" ref="R106:AU106" ca="1" si="74">IF(OR(R$99&lt;InServiceYr,R$99&gt;(InServiceYr+analysis_period-1)),0,IF($P106=0,$N106,$P106)*R$505)</f>
        <v>0</v>
      </c>
      <c r="S106" s="50">
        <f t="shared" ca="1" si="74"/>
        <v>0</v>
      </c>
      <c r="T106" s="50">
        <f t="shared" ca="1" si="74"/>
        <v>0</v>
      </c>
      <c r="U106" s="50">
        <f t="shared" ca="1" si="74"/>
        <v>0</v>
      </c>
      <c r="V106" s="50">
        <f t="shared" ca="1" si="74"/>
        <v>0</v>
      </c>
      <c r="W106" s="50">
        <f t="shared" ca="1" si="74"/>
        <v>0</v>
      </c>
      <c r="X106" s="50">
        <f t="shared" ca="1" si="74"/>
        <v>0</v>
      </c>
      <c r="Y106" s="50">
        <f t="shared" ca="1" si="74"/>
        <v>0</v>
      </c>
      <c r="Z106" s="50">
        <f t="shared" ca="1" si="74"/>
        <v>0</v>
      </c>
      <c r="AA106" s="50">
        <f t="shared" ca="1" si="74"/>
        <v>0</v>
      </c>
      <c r="AB106" s="50">
        <f t="shared" ca="1" si="74"/>
        <v>0</v>
      </c>
      <c r="AC106" s="50">
        <f t="shared" ca="1" si="74"/>
        <v>0</v>
      </c>
      <c r="AD106" s="50">
        <f t="shared" ca="1" si="74"/>
        <v>0</v>
      </c>
      <c r="AE106" s="50">
        <f t="shared" ca="1" si="74"/>
        <v>0</v>
      </c>
      <c r="AF106" s="50">
        <f t="shared" ca="1" si="74"/>
        <v>0</v>
      </c>
      <c r="AG106" s="50">
        <f t="shared" ca="1" si="74"/>
        <v>0</v>
      </c>
      <c r="AH106" s="50">
        <f t="shared" ca="1" si="74"/>
        <v>0</v>
      </c>
      <c r="AI106" s="50">
        <f t="shared" ca="1" si="74"/>
        <v>0</v>
      </c>
      <c r="AJ106" s="50">
        <f t="shared" ca="1" si="74"/>
        <v>0</v>
      </c>
      <c r="AK106" s="50">
        <f t="shared" ca="1" si="74"/>
        <v>0</v>
      </c>
      <c r="AL106" s="50">
        <f t="shared" si="74"/>
        <v>0</v>
      </c>
      <c r="AM106" s="50">
        <f t="shared" si="74"/>
        <v>0</v>
      </c>
      <c r="AN106" s="50">
        <f t="shared" si="74"/>
        <v>0</v>
      </c>
      <c r="AO106" s="50">
        <f t="shared" si="74"/>
        <v>0</v>
      </c>
      <c r="AP106" s="50">
        <f t="shared" si="74"/>
        <v>0</v>
      </c>
      <c r="AQ106" s="50">
        <f t="shared" si="74"/>
        <v>0</v>
      </c>
      <c r="AR106" s="50">
        <f t="shared" si="74"/>
        <v>0</v>
      </c>
      <c r="AS106" s="50">
        <f t="shared" si="74"/>
        <v>0</v>
      </c>
      <c r="AT106" s="50">
        <f t="shared" si="74"/>
        <v>0</v>
      </c>
      <c r="AU106" s="50">
        <f t="shared" si="74"/>
        <v>0</v>
      </c>
    </row>
    <row r="107" spans="1:47">
      <c r="A107" s="38" t="str">
        <f t="shared" si="69"/>
        <v>2X-</v>
      </c>
      <c r="B107" s="38" t="s">
        <v>257</v>
      </c>
      <c r="C107" s="38" t="str">
        <f t="shared" si="73"/>
        <v>Anaerobic Digestion</v>
      </c>
      <c r="D107" s="186"/>
      <c r="E107" s="325"/>
      <c r="G107" s="36" t="s">
        <v>284</v>
      </c>
      <c r="I107" s="39"/>
      <c r="K107" s="39"/>
      <c r="L107" s="43" t="s">
        <v>293</v>
      </c>
      <c r="N107" s="70">
        <f ca="1">SUMIFS(OFFSET(Assumptions!$I$90,0,MATCH($A107,Configurations,0)-1,COUNT(Assumptions!$A$90:$A$183),1),Assumptions!$D$90:$D$183,$B107&amp;$C107)</f>
        <v>574880</v>
      </c>
      <c r="O107" s="313"/>
      <c r="P107" s="323"/>
      <c r="Q107" s="313"/>
      <c r="R107" s="50">
        <f t="shared" ref="R107:AU107" ca="1" si="75">IF(OR(R$99&lt;InServiceYr,R$99&gt;(InServiceYr+analysis_period-1)),0,IF($P107=0,$N107,$P107)*R$501)</f>
        <v>37126.644949367153</v>
      </c>
      <c r="S107" s="50">
        <f t="shared" ca="1" si="75"/>
        <v>37358.075051997221</v>
      </c>
      <c r="T107" s="50">
        <f t="shared" ca="1" si="75"/>
        <v>38968.5794819441</v>
      </c>
      <c r="U107" s="50">
        <f t="shared" ca="1" si="75"/>
        <v>40137.539353443441</v>
      </c>
      <c r="V107" s="50">
        <f t="shared" ca="1" si="75"/>
        <v>41106.102744012358</v>
      </c>
      <c r="W107" s="50">
        <f t="shared" ca="1" si="75"/>
        <v>41631.984741637069</v>
      </c>
      <c r="X107" s="50">
        <f t="shared" ca="1" si="75"/>
        <v>42309.440098679137</v>
      </c>
      <c r="Y107" s="50">
        <f t="shared" ca="1" si="75"/>
        <v>43351.858530342135</v>
      </c>
      <c r="Z107" s="50">
        <f t="shared" ca="1" si="75"/>
        <v>44389.731584077919</v>
      </c>
      <c r="AA107" s="50">
        <f t="shared" ca="1" si="75"/>
        <v>45499.583901988284</v>
      </c>
      <c r="AB107" s="50">
        <f t="shared" ca="1" si="75"/>
        <v>46485.095926854985</v>
      </c>
      <c r="AC107" s="50">
        <f t="shared" ca="1" si="75"/>
        <v>47380.229609236347</v>
      </c>
      <c r="AD107" s="50">
        <f t="shared" ca="1" si="75"/>
        <v>48474.703300490015</v>
      </c>
      <c r="AE107" s="50">
        <f t="shared" ca="1" si="75"/>
        <v>49579.52218566338</v>
      </c>
      <c r="AF107" s="50">
        <f t="shared" ca="1" si="75"/>
        <v>50758.354876748468</v>
      </c>
      <c r="AG107" s="50">
        <f t="shared" ca="1" si="75"/>
        <v>52078.92534879523</v>
      </c>
      <c r="AH107" s="50">
        <f t="shared" ca="1" si="75"/>
        <v>53355.247478148282</v>
      </c>
      <c r="AI107" s="50">
        <f t="shared" ca="1" si="75"/>
        <v>54739.366998558944</v>
      </c>
      <c r="AJ107" s="50">
        <f t="shared" ca="1" si="75"/>
        <v>56204.658462091407</v>
      </c>
      <c r="AK107" s="50">
        <f t="shared" ca="1" si="75"/>
        <v>57733.608737318478</v>
      </c>
      <c r="AL107" s="50">
        <f t="shared" si="75"/>
        <v>0</v>
      </c>
      <c r="AM107" s="50">
        <f t="shared" si="75"/>
        <v>0</v>
      </c>
      <c r="AN107" s="50">
        <f t="shared" si="75"/>
        <v>0</v>
      </c>
      <c r="AO107" s="50">
        <f t="shared" si="75"/>
        <v>0</v>
      </c>
      <c r="AP107" s="50">
        <f t="shared" si="75"/>
        <v>0</v>
      </c>
      <c r="AQ107" s="50">
        <f t="shared" si="75"/>
        <v>0</v>
      </c>
      <c r="AR107" s="50">
        <f t="shared" si="75"/>
        <v>0</v>
      </c>
      <c r="AS107" s="50">
        <f t="shared" si="75"/>
        <v>0</v>
      </c>
      <c r="AT107" s="50">
        <f t="shared" si="75"/>
        <v>0</v>
      </c>
      <c r="AU107" s="50">
        <f t="shared" si="75"/>
        <v>0</v>
      </c>
    </row>
    <row r="108" spans="1:47">
      <c r="A108" s="38" t="str">
        <f t="shared" si="69"/>
        <v>2X-</v>
      </c>
      <c r="B108" s="38" t="s">
        <v>864</v>
      </c>
      <c r="C108" s="38" t="str">
        <f t="shared" si="73"/>
        <v>Anaerobic Digestion</v>
      </c>
      <c r="D108" s="186">
        <f>GHGEsc</f>
        <v>0.02</v>
      </c>
      <c r="E108" s="325"/>
      <c r="G108" s="36" t="s">
        <v>865</v>
      </c>
      <c r="I108" s="39"/>
      <c r="K108" s="39"/>
      <c r="L108" s="43" t="s">
        <v>866</v>
      </c>
      <c r="N108" s="70">
        <f ca="1">SUMIFS(OFFSET(Assumptions!$I$90,0,MATCH($A108,Configurations,0)-1,COUNT(Assumptions!$A$90:$A$183),1),Assumptions!$D$90:$D$183,$B108&amp;$C108)</f>
        <v>0</v>
      </c>
      <c r="O108" s="313"/>
      <c r="P108" s="323"/>
      <c r="Q108" s="313"/>
      <c r="R108" s="50">
        <f t="shared" ref="R108:AU108" ca="1" si="76">IF(OR(R$99&lt;InServiceYr,R$99&gt;(InServiceYr+analysis_period-1)),0,IF($P108=0,$N108,$P108)*R$513)</f>
        <v>0</v>
      </c>
      <c r="S108" s="50">
        <f t="shared" ca="1" si="76"/>
        <v>0</v>
      </c>
      <c r="T108" s="50">
        <f t="shared" ca="1" si="76"/>
        <v>0</v>
      </c>
      <c r="U108" s="50">
        <f t="shared" ca="1" si="76"/>
        <v>0</v>
      </c>
      <c r="V108" s="50">
        <f t="shared" ca="1" si="76"/>
        <v>0</v>
      </c>
      <c r="W108" s="50">
        <f t="shared" ca="1" si="76"/>
        <v>0</v>
      </c>
      <c r="X108" s="50">
        <f t="shared" ca="1" si="76"/>
        <v>0</v>
      </c>
      <c r="Y108" s="50">
        <f t="shared" ca="1" si="76"/>
        <v>0</v>
      </c>
      <c r="Z108" s="50">
        <f t="shared" ca="1" si="76"/>
        <v>0</v>
      </c>
      <c r="AA108" s="50">
        <f t="shared" ca="1" si="76"/>
        <v>0</v>
      </c>
      <c r="AB108" s="50">
        <f t="shared" ca="1" si="76"/>
        <v>0</v>
      </c>
      <c r="AC108" s="50">
        <f t="shared" ca="1" si="76"/>
        <v>0</v>
      </c>
      <c r="AD108" s="50">
        <f t="shared" ca="1" si="76"/>
        <v>0</v>
      </c>
      <c r="AE108" s="50">
        <f t="shared" ca="1" si="76"/>
        <v>0</v>
      </c>
      <c r="AF108" s="50">
        <f t="shared" ca="1" si="76"/>
        <v>0</v>
      </c>
      <c r="AG108" s="50">
        <f t="shared" ca="1" si="76"/>
        <v>0</v>
      </c>
      <c r="AH108" s="50">
        <f t="shared" ca="1" si="76"/>
        <v>0</v>
      </c>
      <c r="AI108" s="50">
        <f t="shared" ca="1" si="76"/>
        <v>0</v>
      </c>
      <c r="AJ108" s="50">
        <f t="shared" ca="1" si="76"/>
        <v>0</v>
      </c>
      <c r="AK108" s="50">
        <f t="shared" ca="1" si="76"/>
        <v>0</v>
      </c>
      <c r="AL108" s="50">
        <f t="shared" si="76"/>
        <v>0</v>
      </c>
      <c r="AM108" s="50">
        <f t="shared" si="76"/>
        <v>0</v>
      </c>
      <c r="AN108" s="50">
        <f t="shared" si="76"/>
        <v>0</v>
      </c>
      <c r="AO108" s="50">
        <f t="shared" si="76"/>
        <v>0</v>
      </c>
      <c r="AP108" s="50">
        <f t="shared" si="76"/>
        <v>0</v>
      </c>
      <c r="AQ108" s="50">
        <f t="shared" si="76"/>
        <v>0</v>
      </c>
      <c r="AR108" s="50">
        <f t="shared" si="76"/>
        <v>0</v>
      </c>
      <c r="AS108" s="50">
        <f t="shared" si="76"/>
        <v>0</v>
      </c>
      <c r="AT108" s="50">
        <f t="shared" si="76"/>
        <v>0</v>
      </c>
      <c r="AU108" s="50">
        <f t="shared" si="76"/>
        <v>0</v>
      </c>
    </row>
    <row r="109" spans="1:47">
      <c r="A109" s="38" t="str">
        <f t="shared" si="69"/>
        <v>2X-</v>
      </c>
      <c r="B109" s="38" t="s">
        <v>273</v>
      </c>
      <c r="C109" s="38" t="str">
        <f>C107</f>
        <v>Anaerobic Digestion</v>
      </c>
      <c r="D109" s="186">
        <f>LaborEsc</f>
        <v>0.02</v>
      </c>
      <c r="E109" s="325"/>
      <c r="G109" s="36" t="s">
        <v>291</v>
      </c>
      <c r="I109" s="39"/>
      <c r="K109" s="39"/>
      <c r="L109" s="43" t="str">
        <f>"["&amp;CostBaseYr&amp;" $]"</f>
        <v>[2013 $]</v>
      </c>
      <c r="N109" s="70">
        <f ca="1">SUMIFS(OFFSET(Assumptions!$I$90,0,MATCH($A109,Configurations,0)-1,COUNT(Assumptions!$A$90:$A$183),1),Assumptions!$D$90:$D$183,$B109&amp;$C109)</f>
        <v>0</v>
      </c>
      <c r="O109" s="313"/>
      <c r="P109" s="323"/>
      <c r="Q109" s="313"/>
      <c r="R109" s="50">
        <f t="shared" ref="R109:AU109" ca="1" si="77">IF(OR(R$99&lt;InServiceYr,R$99&gt;(InServiceYr+analysis_period-1)),0,IF($P109=0,$N109,$P109)*(1+$D109)^(R$99-CostBaseYr))*R$509</f>
        <v>0</v>
      </c>
      <c r="S109" s="50">
        <f t="shared" ca="1" si="77"/>
        <v>0</v>
      </c>
      <c r="T109" s="50">
        <f t="shared" ca="1" si="77"/>
        <v>0</v>
      </c>
      <c r="U109" s="50">
        <f t="shared" ca="1" si="77"/>
        <v>0</v>
      </c>
      <c r="V109" s="50">
        <f t="shared" ca="1" si="77"/>
        <v>0</v>
      </c>
      <c r="W109" s="50">
        <f t="shared" ca="1" si="77"/>
        <v>0</v>
      </c>
      <c r="X109" s="50">
        <f t="shared" ca="1" si="77"/>
        <v>0</v>
      </c>
      <c r="Y109" s="50">
        <f t="shared" ca="1" si="77"/>
        <v>0</v>
      </c>
      <c r="Z109" s="50">
        <f t="shared" ca="1" si="77"/>
        <v>0</v>
      </c>
      <c r="AA109" s="50">
        <f t="shared" ca="1" si="77"/>
        <v>0</v>
      </c>
      <c r="AB109" s="50">
        <f t="shared" ca="1" si="77"/>
        <v>0</v>
      </c>
      <c r="AC109" s="50">
        <f t="shared" ca="1" si="77"/>
        <v>0</v>
      </c>
      <c r="AD109" s="50">
        <f t="shared" ca="1" si="77"/>
        <v>0</v>
      </c>
      <c r="AE109" s="50">
        <f t="shared" ca="1" si="77"/>
        <v>0</v>
      </c>
      <c r="AF109" s="50">
        <f t="shared" ca="1" si="77"/>
        <v>0</v>
      </c>
      <c r="AG109" s="50">
        <f t="shared" ca="1" si="77"/>
        <v>0</v>
      </c>
      <c r="AH109" s="50">
        <f t="shared" ca="1" si="77"/>
        <v>0</v>
      </c>
      <c r="AI109" s="50">
        <f t="shared" ca="1" si="77"/>
        <v>0</v>
      </c>
      <c r="AJ109" s="50">
        <f t="shared" ca="1" si="77"/>
        <v>0</v>
      </c>
      <c r="AK109" s="50">
        <f t="shared" ca="1" si="77"/>
        <v>0</v>
      </c>
      <c r="AL109" s="50">
        <f t="shared" si="77"/>
        <v>0</v>
      </c>
      <c r="AM109" s="50">
        <f t="shared" si="77"/>
        <v>0</v>
      </c>
      <c r="AN109" s="50">
        <f t="shared" si="77"/>
        <v>0</v>
      </c>
      <c r="AO109" s="50">
        <f t="shared" si="77"/>
        <v>0</v>
      </c>
      <c r="AP109" s="50">
        <f t="shared" si="77"/>
        <v>0</v>
      </c>
      <c r="AQ109" s="50">
        <f t="shared" si="77"/>
        <v>0</v>
      </c>
      <c r="AR109" s="50">
        <f t="shared" si="77"/>
        <v>0</v>
      </c>
      <c r="AS109" s="50">
        <f t="shared" si="77"/>
        <v>0</v>
      </c>
      <c r="AT109" s="50">
        <f t="shared" si="77"/>
        <v>0</v>
      </c>
      <c r="AU109" s="50">
        <f t="shared" si="77"/>
        <v>0</v>
      </c>
    </row>
    <row r="110" spans="1:47">
      <c r="D110" s="186"/>
      <c r="E110" s="325"/>
      <c r="G110" s="39" t="s">
        <v>304</v>
      </c>
      <c r="I110" s="39"/>
      <c r="K110" s="39"/>
      <c r="L110" s="43"/>
      <c r="N110" s="70"/>
      <c r="O110" s="313"/>
      <c r="P110" s="70"/>
      <c r="Q110" s="313"/>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row>
    <row r="111" spans="1:47">
      <c r="A111" s="38" t="str">
        <f>$J$4&amp;"-"</f>
        <v>2X-</v>
      </c>
      <c r="B111" s="38" t="s">
        <v>265</v>
      </c>
      <c r="C111" s="38" t="str">
        <f>C102</f>
        <v>Anaerobic Digestion</v>
      </c>
      <c r="D111" s="186"/>
      <c r="E111" s="325"/>
      <c r="G111" s="36" t="s">
        <v>108</v>
      </c>
      <c r="I111" s="39"/>
      <c r="K111" s="39"/>
      <c r="L111" s="43" t="s">
        <v>293</v>
      </c>
      <c r="N111" s="70">
        <f ca="1">SUMIFS(OFFSET(Assumptions!$I$90,0,MATCH($A111,Configurations,0)-1,COUNT(Assumptions!$A$90:$A$183),1),Assumptions!$D$90:$D$183,$B111&amp;$C111)</f>
        <v>0</v>
      </c>
      <c r="O111" s="313"/>
      <c r="P111" s="323"/>
      <c r="Q111" s="313"/>
      <c r="R111" s="50">
        <f t="shared" ref="R111:AU111" ca="1" si="78">IF(OR(R$99&lt;InServiceYr,R$99&gt;(InServiceYr+analysis_period-1)),0,IF($P111=0,$N111,$P111)*R$501)</f>
        <v>0</v>
      </c>
      <c r="S111" s="50">
        <f t="shared" ca="1" si="78"/>
        <v>0</v>
      </c>
      <c r="T111" s="50">
        <f t="shared" ca="1" si="78"/>
        <v>0</v>
      </c>
      <c r="U111" s="50">
        <f t="shared" ca="1" si="78"/>
        <v>0</v>
      </c>
      <c r="V111" s="50">
        <f t="shared" ca="1" si="78"/>
        <v>0</v>
      </c>
      <c r="W111" s="50">
        <f t="shared" ca="1" si="78"/>
        <v>0</v>
      </c>
      <c r="X111" s="50">
        <f t="shared" ca="1" si="78"/>
        <v>0</v>
      </c>
      <c r="Y111" s="50">
        <f t="shared" ca="1" si="78"/>
        <v>0</v>
      </c>
      <c r="Z111" s="50">
        <f t="shared" ca="1" si="78"/>
        <v>0</v>
      </c>
      <c r="AA111" s="50">
        <f t="shared" ca="1" si="78"/>
        <v>0</v>
      </c>
      <c r="AB111" s="50">
        <f t="shared" ca="1" si="78"/>
        <v>0</v>
      </c>
      <c r="AC111" s="50">
        <f t="shared" ca="1" si="78"/>
        <v>0</v>
      </c>
      <c r="AD111" s="50">
        <f t="shared" ca="1" si="78"/>
        <v>0</v>
      </c>
      <c r="AE111" s="50">
        <f t="shared" ca="1" si="78"/>
        <v>0</v>
      </c>
      <c r="AF111" s="50">
        <f t="shared" ca="1" si="78"/>
        <v>0</v>
      </c>
      <c r="AG111" s="50">
        <f t="shared" ca="1" si="78"/>
        <v>0</v>
      </c>
      <c r="AH111" s="50">
        <f t="shared" ca="1" si="78"/>
        <v>0</v>
      </c>
      <c r="AI111" s="50">
        <f t="shared" ca="1" si="78"/>
        <v>0</v>
      </c>
      <c r="AJ111" s="50">
        <f t="shared" ca="1" si="78"/>
        <v>0</v>
      </c>
      <c r="AK111" s="50">
        <f t="shared" ca="1" si="78"/>
        <v>0</v>
      </c>
      <c r="AL111" s="50">
        <f t="shared" si="78"/>
        <v>0</v>
      </c>
      <c r="AM111" s="50">
        <f t="shared" si="78"/>
        <v>0</v>
      </c>
      <c r="AN111" s="50">
        <f t="shared" si="78"/>
        <v>0</v>
      </c>
      <c r="AO111" s="50">
        <f t="shared" si="78"/>
        <v>0</v>
      </c>
      <c r="AP111" s="50">
        <f t="shared" si="78"/>
        <v>0</v>
      </c>
      <c r="AQ111" s="50">
        <f t="shared" si="78"/>
        <v>0</v>
      </c>
      <c r="AR111" s="50">
        <f t="shared" si="78"/>
        <v>0</v>
      </c>
      <c r="AS111" s="50">
        <f t="shared" si="78"/>
        <v>0</v>
      </c>
      <c r="AT111" s="50">
        <f t="shared" si="78"/>
        <v>0</v>
      </c>
      <c r="AU111" s="50">
        <f t="shared" si="78"/>
        <v>0</v>
      </c>
    </row>
    <row r="112" spans="1:47">
      <c r="A112" s="38" t="str">
        <f>$J$4&amp;"-"</f>
        <v>2X-</v>
      </c>
      <c r="B112" s="38" t="s">
        <v>289</v>
      </c>
      <c r="C112" s="38" t="str">
        <f>C102</f>
        <v>Anaerobic Digestion</v>
      </c>
      <c r="D112" s="186">
        <f>LaborEsc</f>
        <v>0.02</v>
      </c>
      <c r="E112" s="325"/>
      <c r="G112" s="36" t="s">
        <v>292</v>
      </c>
      <c r="I112" s="39"/>
      <c r="K112" s="39"/>
      <c r="L112" s="43" t="str">
        <f>"["&amp;CostBaseYr&amp;" $]"</f>
        <v>[2013 $]</v>
      </c>
      <c r="N112" s="70">
        <f ca="1">SUMIFS(OFFSET(Assumptions!$I$90,0,MATCH($A112,Configurations,0)-1,COUNT(Assumptions!$A$90:$A$183),1),Assumptions!$D$90:$D$183,$B112&amp;$C112)</f>
        <v>0</v>
      </c>
      <c r="O112" s="313"/>
      <c r="P112" s="323"/>
      <c r="Q112" s="313"/>
      <c r="R112" s="50">
        <f t="shared" ref="R112:AU112" ca="1" si="79">IF(OR(R$99&lt;InServiceYr,R$99&gt;(InServiceYr+analysis_period-1)),0,IF($P112=0,$N112,$P112)*(1+$D112)^(R$99-CostBaseYr))</f>
        <v>0</v>
      </c>
      <c r="S112" s="50">
        <f t="shared" ca="1" si="79"/>
        <v>0</v>
      </c>
      <c r="T112" s="50">
        <f t="shared" ca="1" si="79"/>
        <v>0</v>
      </c>
      <c r="U112" s="50">
        <f t="shared" ca="1" si="79"/>
        <v>0</v>
      </c>
      <c r="V112" s="50">
        <f t="shared" ca="1" si="79"/>
        <v>0</v>
      </c>
      <c r="W112" s="50">
        <f t="shared" ca="1" si="79"/>
        <v>0</v>
      </c>
      <c r="X112" s="50">
        <f t="shared" ca="1" si="79"/>
        <v>0</v>
      </c>
      <c r="Y112" s="50">
        <f t="shared" ca="1" si="79"/>
        <v>0</v>
      </c>
      <c r="Z112" s="50">
        <f t="shared" ca="1" si="79"/>
        <v>0</v>
      </c>
      <c r="AA112" s="50">
        <f t="shared" ca="1" si="79"/>
        <v>0</v>
      </c>
      <c r="AB112" s="50">
        <f t="shared" ca="1" si="79"/>
        <v>0</v>
      </c>
      <c r="AC112" s="50">
        <f t="shared" ca="1" si="79"/>
        <v>0</v>
      </c>
      <c r="AD112" s="50">
        <f t="shared" ca="1" si="79"/>
        <v>0</v>
      </c>
      <c r="AE112" s="50">
        <f t="shared" ca="1" si="79"/>
        <v>0</v>
      </c>
      <c r="AF112" s="50">
        <f t="shared" ca="1" si="79"/>
        <v>0</v>
      </c>
      <c r="AG112" s="50">
        <f t="shared" ca="1" si="79"/>
        <v>0</v>
      </c>
      <c r="AH112" s="50">
        <f t="shared" ca="1" si="79"/>
        <v>0</v>
      </c>
      <c r="AI112" s="50">
        <f t="shared" ca="1" si="79"/>
        <v>0</v>
      </c>
      <c r="AJ112" s="50">
        <f t="shared" ca="1" si="79"/>
        <v>0</v>
      </c>
      <c r="AK112" s="50">
        <f t="shared" ca="1" si="79"/>
        <v>0</v>
      </c>
      <c r="AL112" s="50">
        <f t="shared" si="79"/>
        <v>0</v>
      </c>
      <c r="AM112" s="50">
        <f t="shared" si="79"/>
        <v>0</v>
      </c>
      <c r="AN112" s="50">
        <f t="shared" si="79"/>
        <v>0</v>
      </c>
      <c r="AO112" s="50">
        <f t="shared" si="79"/>
        <v>0</v>
      </c>
      <c r="AP112" s="50">
        <f t="shared" si="79"/>
        <v>0</v>
      </c>
      <c r="AQ112" s="50">
        <f t="shared" si="79"/>
        <v>0</v>
      </c>
      <c r="AR112" s="50">
        <f t="shared" si="79"/>
        <v>0</v>
      </c>
      <c r="AS112" s="50">
        <f t="shared" si="79"/>
        <v>0</v>
      </c>
      <c r="AT112" s="50">
        <f t="shared" si="79"/>
        <v>0</v>
      </c>
      <c r="AU112" s="50">
        <f t="shared" si="79"/>
        <v>0</v>
      </c>
    </row>
    <row r="113" spans="1:47" s="60" customFormat="1">
      <c r="D113" s="187"/>
      <c r="E113" s="325"/>
      <c r="G113" s="39" t="s">
        <v>305</v>
      </c>
      <c r="I113" s="39"/>
      <c r="K113" s="39"/>
      <c r="L113" s="174"/>
      <c r="N113" s="188"/>
      <c r="O113" s="314"/>
      <c r="P113" s="185"/>
      <c r="Q113" s="314"/>
      <c r="R113" s="185">
        <f ca="1">SUM(R102:R109)-SUM(R111:R112)</f>
        <v>225240.14494936715</v>
      </c>
      <c r="S113" s="185">
        <f t="shared" ref="S113:AU113" ca="1" si="80">SUM(S102:S109)-SUM(S111:S112)</f>
        <v>229233.84505199722</v>
      </c>
      <c r="T113" s="185">
        <f t="shared" ca="1" si="80"/>
        <v>234681.86488194409</v>
      </c>
      <c r="U113" s="185">
        <f t="shared" ca="1" si="80"/>
        <v>239765.09046144341</v>
      </c>
      <c r="V113" s="185">
        <f t="shared" ca="1" si="80"/>
        <v>244726.2048741724</v>
      </c>
      <c r="W113" s="185">
        <f t="shared" ca="1" si="80"/>
        <v>249324.48891440028</v>
      </c>
      <c r="X113" s="185">
        <f t="shared" ca="1" si="80"/>
        <v>254155.79435489755</v>
      </c>
      <c r="Y113" s="185">
        <f t="shared" ca="1" si="80"/>
        <v>259435.13987168498</v>
      </c>
      <c r="Z113" s="185">
        <f t="shared" ca="1" si="80"/>
        <v>264794.67855224758</v>
      </c>
      <c r="AA113" s="185">
        <f t="shared" ca="1" si="80"/>
        <v>270312.62980952137</v>
      </c>
      <c r="AB113" s="185">
        <f t="shared" ca="1" si="80"/>
        <v>275794.40275253868</v>
      </c>
      <c r="AC113" s="185">
        <f t="shared" ca="1" si="80"/>
        <v>281275.72257143375</v>
      </c>
      <c r="AD113" s="185">
        <f t="shared" ca="1" si="80"/>
        <v>287048.10612193134</v>
      </c>
      <c r="AE113" s="185">
        <f t="shared" ca="1" si="80"/>
        <v>292924.39306353359</v>
      </c>
      <c r="AF113" s="185">
        <f t="shared" ca="1" si="80"/>
        <v>298970.12317217601</v>
      </c>
      <c r="AG113" s="185">
        <f t="shared" ca="1" si="80"/>
        <v>305254.9290101314</v>
      </c>
      <c r="AH113" s="185">
        <f t="shared" ca="1" si="80"/>
        <v>311594.77121271112</v>
      </c>
      <c r="AI113" s="185">
        <f t="shared" ca="1" si="80"/>
        <v>318143.68120781303</v>
      </c>
      <c r="AJ113" s="185">
        <f t="shared" ca="1" si="80"/>
        <v>324877.05895553058</v>
      </c>
      <c r="AK113" s="185">
        <f t="shared" ca="1" si="80"/>
        <v>331779.45724062651</v>
      </c>
      <c r="AL113" s="185">
        <f t="shared" si="80"/>
        <v>0</v>
      </c>
      <c r="AM113" s="185">
        <f t="shared" si="80"/>
        <v>0</v>
      </c>
      <c r="AN113" s="185">
        <f t="shared" si="80"/>
        <v>0</v>
      </c>
      <c r="AO113" s="185">
        <f t="shared" si="80"/>
        <v>0</v>
      </c>
      <c r="AP113" s="185">
        <f t="shared" si="80"/>
        <v>0</v>
      </c>
      <c r="AQ113" s="185">
        <f t="shared" si="80"/>
        <v>0</v>
      </c>
      <c r="AR113" s="185">
        <f t="shared" si="80"/>
        <v>0</v>
      </c>
      <c r="AS113" s="185">
        <f t="shared" si="80"/>
        <v>0</v>
      </c>
      <c r="AT113" s="185">
        <f t="shared" si="80"/>
        <v>0</v>
      </c>
      <c r="AU113" s="185">
        <f t="shared" si="80"/>
        <v>0</v>
      </c>
    </row>
    <row r="114" spans="1:47">
      <c r="G114" s="28"/>
      <c r="H114" s="28"/>
      <c r="I114" s="28"/>
      <c r="J114" s="28"/>
      <c r="K114" s="28"/>
      <c r="L114" s="409"/>
      <c r="M114" s="46"/>
      <c r="N114" s="46"/>
      <c r="O114" s="315"/>
      <c r="P114" s="46"/>
      <c r="Q114" s="315"/>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row>
    <row r="115" spans="1:47" s="28" customFormat="1">
      <c r="A115" s="40"/>
      <c r="B115" s="40"/>
      <c r="C115" s="40"/>
      <c r="D115" s="40"/>
      <c r="E115" s="327"/>
      <c r="G115" s="324" t="str">
        <f>C117&amp;" Capital Costs"</f>
        <v>Ash Conveyance &amp; Storage Capital Costs</v>
      </c>
      <c r="H115" s="324"/>
      <c r="I115" s="324"/>
      <c r="J115" s="324"/>
      <c r="K115" s="324"/>
      <c r="L115" s="405" t="s">
        <v>79</v>
      </c>
      <c r="M115" s="256"/>
      <c r="N115" s="325" t="s">
        <v>490</v>
      </c>
      <c r="O115" s="311"/>
      <c r="P115" s="325" t="s">
        <v>491</v>
      </c>
      <c r="Q115" s="310"/>
      <c r="R115" s="325">
        <f>R$8</f>
        <v>2014</v>
      </c>
      <c r="S115" s="325">
        <f t="shared" ref="S115:AU115" si="81">S$8</f>
        <v>2015</v>
      </c>
      <c r="T115" s="325">
        <f t="shared" si="81"/>
        <v>2016</v>
      </c>
      <c r="U115" s="325">
        <f t="shared" si="81"/>
        <v>2017</v>
      </c>
      <c r="V115" s="325">
        <f t="shared" si="81"/>
        <v>2018</v>
      </c>
      <c r="W115" s="325">
        <f t="shared" si="81"/>
        <v>2019</v>
      </c>
      <c r="X115" s="325">
        <f t="shared" si="81"/>
        <v>2020</v>
      </c>
      <c r="Y115" s="325">
        <f t="shared" si="81"/>
        <v>2021</v>
      </c>
      <c r="Z115" s="325">
        <f t="shared" si="81"/>
        <v>2022</v>
      </c>
      <c r="AA115" s="325">
        <f t="shared" si="81"/>
        <v>2023</v>
      </c>
      <c r="AB115" s="325">
        <f t="shared" si="81"/>
        <v>2024</v>
      </c>
      <c r="AC115" s="325">
        <f t="shared" si="81"/>
        <v>2025</v>
      </c>
      <c r="AD115" s="325">
        <f t="shared" si="81"/>
        <v>2026</v>
      </c>
      <c r="AE115" s="325">
        <f t="shared" si="81"/>
        <v>2027</v>
      </c>
      <c r="AF115" s="325">
        <f t="shared" si="81"/>
        <v>2028</v>
      </c>
      <c r="AG115" s="325">
        <f t="shared" si="81"/>
        <v>2029</v>
      </c>
      <c r="AH115" s="325">
        <f t="shared" si="81"/>
        <v>2030</v>
      </c>
      <c r="AI115" s="325">
        <f t="shared" si="81"/>
        <v>2031</v>
      </c>
      <c r="AJ115" s="325">
        <f t="shared" si="81"/>
        <v>2032</v>
      </c>
      <c r="AK115" s="325">
        <f t="shared" si="81"/>
        <v>2033</v>
      </c>
      <c r="AL115" s="325">
        <f t="shared" si="81"/>
        <v>2034</v>
      </c>
      <c r="AM115" s="325">
        <f t="shared" si="81"/>
        <v>2035</v>
      </c>
      <c r="AN115" s="325">
        <f t="shared" si="81"/>
        <v>2036</v>
      </c>
      <c r="AO115" s="325">
        <f t="shared" si="81"/>
        <v>2037</v>
      </c>
      <c r="AP115" s="325">
        <f t="shared" si="81"/>
        <v>2038</v>
      </c>
      <c r="AQ115" s="325">
        <f t="shared" si="81"/>
        <v>2039</v>
      </c>
      <c r="AR115" s="325">
        <f t="shared" si="81"/>
        <v>2040</v>
      </c>
      <c r="AS115" s="325">
        <f t="shared" si="81"/>
        <v>2041</v>
      </c>
      <c r="AT115" s="325">
        <f t="shared" si="81"/>
        <v>2042</v>
      </c>
      <c r="AU115" s="325">
        <f t="shared" si="81"/>
        <v>2043</v>
      </c>
    </row>
    <row r="116" spans="1:47">
      <c r="E116" s="325"/>
      <c r="G116" s="39"/>
      <c r="H116" s="39"/>
      <c r="I116" s="39"/>
      <c r="J116" s="39"/>
      <c r="K116" s="39"/>
    </row>
    <row r="117" spans="1:47">
      <c r="A117" s="38" t="str">
        <f>$J$4&amp;"-"</f>
        <v>2X-</v>
      </c>
      <c r="B117" s="38" t="s">
        <v>306</v>
      </c>
      <c r="C117" s="38" t="s">
        <v>153</v>
      </c>
      <c r="D117" s="186">
        <f>CapExEsc</f>
        <v>0.03</v>
      </c>
      <c r="E117" s="325"/>
      <c r="G117" s="36" t="s">
        <v>8</v>
      </c>
      <c r="H117" s="39"/>
      <c r="I117" s="39"/>
      <c r="J117" s="70"/>
      <c r="K117" s="39"/>
      <c r="L117" s="43" t="str">
        <f>"["&amp;CostBaseYr&amp;" $]"</f>
        <v>[2013 $]</v>
      </c>
      <c r="N117" s="52">
        <f ca="1">SUMIFS(OFFSET(Assumptions!$I$65,0,MATCH($A117,Configurations,0)-1,COUNT(Assumptions!$A$65:$A$84),1),Assumptions!$E$65:$E$84,$C117)</f>
        <v>0</v>
      </c>
      <c r="O117" s="52"/>
      <c r="P117" s="322"/>
      <c r="Q117" s="52"/>
      <c r="R117" s="52">
        <f t="shared" ref="R117:AU117" ca="1" si="82">R118*IF($P117=0,$N117,$P117)*(1+$D117)^(R$8-CostBaseYr)</f>
        <v>0</v>
      </c>
      <c r="S117" s="52">
        <f t="shared" ca="1" si="82"/>
        <v>0</v>
      </c>
      <c r="T117" s="52">
        <f t="shared" ca="1" si="82"/>
        <v>0</v>
      </c>
      <c r="U117" s="52">
        <f t="shared" ca="1" si="82"/>
        <v>0</v>
      </c>
      <c r="V117" s="52">
        <f t="shared" ca="1" si="82"/>
        <v>0</v>
      </c>
      <c r="W117" s="52">
        <f t="shared" ca="1" si="82"/>
        <v>0</v>
      </c>
      <c r="X117" s="52">
        <f t="shared" ca="1" si="82"/>
        <v>0</v>
      </c>
      <c r="Y117" s="52">
        <f t="shared" ca="1" si="82"/>
        <v>0</v>
      </c>
      <c r="Z117" s="52">
        <f t="shared" ca="1" si="82"/>
        <v>0</v>
      </c>
      <c r="AA117" s="52">
        <f t="shared" ca="1" si="82"/>
        <v>0</v>
      </c>
      <c r="AB117" s="52">
        <f t="shared" ca="1" si="82"/>
        <v>0</v>
      </c>
      <c r="AC117" s="52">
        <f t="shared" ca="1" si="82"/>
        <v>0</v>
      </c>
      <c r="AD117" s="52">
        <f t="shared" ca="1" si="82"/>
        <v>0</v>
      </c>
      <c r="AE117" s="52">
        <f t="shared" ca="1" si="82"/>
        <v>0</v>
      </c>
      <c r="AF117" s="52">
        <f t="shared" ca="1" si="82"/>
        <v>0</v>
      </c>
      <c r="AG117" s="52">
        <f t="shared" ca="1" si="82"/>
        <v>0</v>
      </c>
      <c r="AH117" s="52">
        <f t="shared" ca="1" si="82"/>
        <v>0</v>
      </c>
      <c r="AI117" s="52">
        <f t="shared" ca="1" si="82"/>
        <v>0</v>
      </c>
      <c r="AJ117" s="52">
        <f t="shared" ca="1" si="82"/>
        <v>0</v>
      </c>
      <c r="AK117" s="52">
        <f t="shared" ca="1" si="82"/>
        <v>0</v>
      </c>
      <c r="AL117" s="52">
        <f t="shared" ca="1" si="82"/>
        <v>0</v>
      </c>
      <c r="AM117" s="52">
        <f t="shared" ca="1" si="82"/>
        <v>0</v>
      </c>
      <c r="AN117" s="52">
        <f t="shared" ca="1" si="82"/>
        <v>0</v>
      </c>
      <c r="AO117" s="52">
        <f t="shared" ca="1" si="82"/>
        <v>0</v>
      </c>
      <c r="AP117" s="52">
        <f t="shared" ca="1" si="82"/>
        <v>0</v>
      </c>
      <c r="AQ117" s="52">
        <f t="shared" ca="1" si="82"/>
        <v>0</v>
      </c>
      <c r="AR117" s="52">
        <f t="shared" ca="1" si="82"/>
        <v>0</v>
      </c>
      <c r="AS117" s="52">
        <f t="shared" ca="1" si="82"/>
        <v>0</v>
      </c>
      <c r="AT117" s="52">
        <f t="shared" ca="1" si="82"/>
        <v>0</v>
      </c>
      <c r="AU117" s="52">
        <f t="shared" ca="1" si="82"/>
        <v>0</v>
      </c>
    </row>
    <row r="118" spans="1:47">
      <c r="E118" s="325"/>
      <c r="G118" s="36" t="s">
        <v>10</v>
      </c>
      <c r="H118" s="39"/>
      <c r="I118" s="39"/>
      <c r="J118" s="39"/>
      <c r="K118" s="39"/>
      <c r="L118" s="43"/>
      <c r="R118" s="54">
        <f>Assumptions!M$60</f>
        <v>1</v>
      </c>
      <c r="S118" s="54">
        <f>Assumptions!N$60</f>
        <v>0</v>
      </c>
      <c r="T118" s="54">
        <f>Assumptions!O$60</f>
        <v>0</v>
      </c>
      <c r="U118" s="54">
        <f>Assumptions!P$60</f>
        <v>0</v>
      </c>
      <c r="V118" s="54">
        <f>Assumptions!Q$60</f>
        <v>0</v>
      </c>
      <c r="W118" s="54">
        <f>Assumptions!R$60</f>
        <v>0</v>
      </c>
      <c r="X118" s="54">
        <f>Assumptions!S$60</f>
        <v>0</v>
      </c>
      <c r="Y118" s="54">
        <f>Assumptions!T$60</f>
        <v>0</v>
      </c>
      <c r="Z118" s="54">
        <f>Assumptions!U$60</f>
        <v>0</v>
      </c>
      <c r="AA118" s="54">
        <f>Assumptions!V$60</f>
        <v>0</v>
      </c>
      <c r="AB118" s="54">
        <f>Assumptions!W$60</f>
        <v>0</v>
      </c>
      <c r="AC118" s="54">
        <f>Assumptions!X$60</f>
        <v>0</v>
      </c>
      <c r="AD118" s="54">
        <f>Assumptions!Y$60</f>
        <v>0</v>
      </c>
      <c r="AE118" s="54">
        <f>Assumptions!Z$60</f>
        <v>0</v>
      </c>
      <c r="AF118" s="54">
        <f>Assumptions!AA$60</f>
        <v>0</v>
      </c>
      <c r="AG118" s="54">
        <f>Assumptions!AB$60</f>
        <v>0</v>
      </c>
      <c r="AH118" s="54">
        <f>Assumptions!AC$60</f>
        <v>0</v>
      </c>
      <c r="AI118" s="54">
        <f>Assumptions!AD$60</f>
        <v>0</v>
      </c>
      <c r="AJ118" s="54">
        <f>Assumptions!AE$60</f>
        <v>0</v>
      </c>
      <c r="AK118" s="54">
        <f>Assumptions!AF$60</f>
        <v>0</v>
      </c>
      <c r="AL118" s="54">
        <f>Assumptions!AG$60</f>
        <v>0</v>
      </c>
      <c r="AM118" s="54">
        <f>Assumptions!AH$60</f>
        <v>0</v>
      </c>
      <c r="AN118" s="54">
        <f>Assumptions!AI$60</f>
        <v>0</v>
      </c>
      <c r="AO118" s="54">
        <f>Assumptions!AJ$60</f>
        <v>0</v>
      </c>
      <c r="AP118" s="54">
        <f>Assumptions!AK$60</f>
        <v>0</v>
      </c>
      <c r="AQ118" s="54">
        <f>Assumptions!AL$60</f>
        <v>0</v>
      </c>
      <c r="AR118" s="54">
        <f>Assumptions!AM$60</f>
        <v>0</v>
      </c>
      <c r="AS118" s="54">
        <f>Assumptions!AN$60</f>
        <v>0</v>
      </c>
      <c r="AT118" s="54">
        <f>Assumptions!AO$60</f>
        <v>0</v>
      </c>
      <c r="AU118" s="54">
        <f>Assumptions!AP$60</f>
        <v>0</v>
      </c>
    </row>
    <row r="119" spans="1:47">
      <c r="E119" s="326"/>
      <c r="G119" s="39"/>
      <c r="H119" s="39"/>
      <c r="I119" s="39"/>
      <c r="J119" s="39"/>
      <c r="K119" s="39"/>
    </row>
    <row r="120" spans="1:47" s="255" customFormat="1">
      <c r="E120" s="327"/>
      <c r="F120" s="28"/>
      <c r="G120" s="324" t="str">
        <f>C117&amp;" O&amp;M"</f>
        <v>Ash Conveyance &amp; Storage O&amp;M</v>
      </c>
      <c r="H120" s="324"/>
      <c r="I120" s="324"/>
      <c r="J120" s="324"/>
      <c r="K120" s="324"/>
      <c r="L120" s="405" t="s">
        <v>79</v>
      </c>
      <c r="M120" s="256"/>
      <c r="N120" s="325" t="s">
        <v>490</v>
      </c>
      <c r="O120" s="311"/>
      <c r="P120" s="325" t="s">
        <v>491</v>
      </c>
      <c r="Q120" s="310"/>
      <c r="R120" s="325">
        <f>R$8</f>
        <v>2014</v>
      </c>
      <c r="S120" s="325">
        <f t="shared" ref="S120:AU120" si="83">S$8</f>
        <v>2015</v>
      </c>
      <c r="T120" s="325">
        <f t="shared" si="83"/>
        <v>2016</v>
      </c>
      <c r="U120" s="325">
        <f t="shared" si="83"/>
        <v>2017</v>
      </c>
      <c r="V120" s="325">
        <f t="shared" si="83"/>
        <v>2018</v>
      </c>
      <c r="W120" s="325">
        <f t="shared" si="83"/>
        <v>2019</v>
      </c>
      <c r="X120" s="325">
        <f t="shared" si="83"/>
        <v>2020</v>
      </c>
      <c r="Y120" s="325">
        <f t="shared" si="83"/>
        <v>2021</v>
      </c>
      <c r="Z120" s="325">
        <f t="shared" si="83"/>
        <v>2022</v>
      </c>
      <c r="AA120" s="325">
        <f t="shared" si="83"/>
        <v>2023</v>
      </c>
      <c r="AB120" s="325">
        <f t="shared" si="83"/>
        <v>2024</v>
      </c>
      <c r="AC120" s="325">
        <f t="shared" si="83"/>
        <v>2025</v>
      </c>
      <c r="AD120" s="325">
        <f t="shared" si="83"/>
        <v>2026</v>
      </c>
      <c r="AE120" s="325">
        <f t="shared" si="83"/>
        <v>2027</v>
      </c>
      <c r="AF120" s="325">
        <f t="shared" si="83"/>
        <v>2028</v>
      </c>
      <c r="AG120" s="325">
        <f t="shared" si="83"/>
        <v>2029</v>
      </c>
      <c r="AH120" s="325">
        <f t="shared" si="83"/>
        <v>2030</v>
      </c>
      <c r="AI120" s="325">
        <f t="shared" si="83"/>
        <v>2031</v>
      </c>
      <c r="AJ120" s="325">
        <f t="shared" si="83"/>
        <v>2032</v>
      </c>
      <c r="AK120" s="325">
        <f t="shared" si="83"/>
        <v>2033</v>
      </c>
      <c r="AL120" s="325">
        <f t="shared" si="83"/>
        <v>2034</v>
      </c>
      <c r="AM120" s="325">
        <f t="shared" si="83"/>
        <v>2035</v>
      </c>
      <c r="AN120" s="325">
        <f t="shared" si="83"/>
        <v>2036</v>
      </c>
      <c r="AO120" s="325">
        <f t="shared" si="83"/>
        <v>2037</v>
      </c>
      <c r="AP120" s="325">
        <f t="shared" si="83"/>
        <v>2038</v>
      </c>
      <c r="AQ120" s="325">
        <f t="shared" si="83"/>
        <v>2039</v>
      </c>
      <c r="AR120" s="325">
        <f t="shared" si="83"/>
        <v>2040</v>
      </c>
      <c r="AS120" s="325">
        <f t="shared" si="83"/>
        <v>2041</v>
      </c>
      <c r="AT120" s="325">
        <f t="shared" si="83"/>
        <v>2042</v>
      </c>
      <c r="AU120" s="325">
        <f t="shared" si="83"/>
        <v>2043</v>
      </c>
    </row>
    <row r="121" spans="1:47">
      <c r="E121" s="325"/>
      <c r="G121" s="39"/>
      <c r="H121" s="39"/>
      <c r="I121" s="39"/>
      <c r="J121" s="39"/>
      <c r="K121" s="39"/>
    </row>
    <row r="122" spans="1:47">
      <c r="E122" s="325"/>
      <c r="G122" s="39" t="s">
        <v>23</v>
      </c>
      <c r="H122" s="39"/>
      <c r="I122" s="39"/>
      <c r="J122" s="39"/>
      <c r="K122" s="39"/>
    </row>
    <row r="123" spans="1:47">
      <c r="A123" s="38" t="str">
        <f t="shared" ref="A123:A130" si="84">$J$4&amp;"-"</f>
        <v>2X-</v>
      </c>
      <c r="B123" s="38" t="s">
        <v>262</v>
      </c>
      <c r="C123" s="38" t="str">
        <f>C117</f>
        <v>Ash Conveyance &amp; Storage</v>
      </c>
      <c r="D123" s="186">
        <f>LaborEsc</f>
        <v>0.02</v>
      </c>
      <c r="E123" s="325"/>
      <c r="G123" s="36" t="s">
        <v>125</v>
      </c>
      <c r="I123" s="39"/>
      <c r="K123" s="39"/>
      <c r="L123" s="43" t="s">
        <v>266</v>
      </c>
      <c r="N123" s="70">
        <f ca="1">SUMIFS(OFFSET(Assumptions!$I$90,0,MATCH($A123,Configurations,0)-1,COUNT(Assumptions!$A$90:$A$183),1),Assumptions!$D$90:$D$183,$B123&amp;$C123)</f>
        <v>0</v>
      </c>
      <c r="O123" s="313"/>
      <c r="P123" s="323"/>
      <c r="Q123" s="313"/>
      <c r="R123" s="50">
        <f t="shared" ref="R123:AU123" ca="1" si="85">IF(OR(R$99&lt;InServiceYr,R$99&gt;(InServiceYr+analysis_period-1)),0,IF($P123=0,$N123,$P123)*LaborCost*(1+$D123)^(R$99-CostBaseYr))</f>
        <v>0</v>
      </c>
      <c r="S123" s="50">
        <f t="shared" ca="1" si="85"/>
        <v>0</v>
      </c>
      <c r="T123" s="50">
        <f t="shared" ca="1" si="85"/>
        <v>0</v>
      </c>
      <c r="U123" s="50">
        <f t="shared" ca="1" si="85"/>
        <v>0</v>
      </c>
      <c r="V123" s="50">
        <f t="shared" ca="1" si="85"/>
        <v>0</v>
      </c>
      <c r="W123" s="50">
        <f t="shared" ca="1" si="85"/>
        <v>0</v>
      </c>
      <c r="X123" s="50">
        <f t="shared" ca="1" si="85"/>
        <v>0</v>
      </c>
      <c r="Y123" s="50">
        <f t="shared" ca="1" si="85"/>
        <v>0</v>
      </c>
      <c r="Z123" s="50">
        <f t="shared" ca="1" si="85"/>
        <v>0</v>
      </c>
      <c r="AA123" s="50">
        <f t="shared" ca="1" si="85"/>
        <v>0</v>
      </c>
      <c r="AB123" s="50">
        <f t="shared" ca="1" si="85"/>
        <v>0</v>
      </c>
      <c r="AC123" s="50">
        <f t="shared" ca="1" si="85"/>
        <v>0</v>
      </c>
      <c r="AD123" s="50">
        <f t="shared" ca="1" si="85"/>
        <v>0</v>
      </c>
      <c r="AE123" s="50">
        <f t="shared" ca="1" si="85"/>
        <v>0</v>
      </c>
      <c r="AF123" s="50">
        <f t="shared" ca="1" si="85"/>
        <v>0</v>
      </c>
      <c r="AG123" s="50">
        <f t="shared" ca="1" si="85"/>
        <v>0</v>
      </c>
      <c r="AH123" s="50">
        <f t="shared" ca="1" si="85"/>
        <v>0</v>
      </c>
      <c r="AI123" s="50">
        <f t="shared" ca="1" si="85"/>
        <v>0</v>
      </c>
      <c r="AJ123" s="50">
        <f t="shared" ca="1" si="85"/>
        <v>0</v>
      </c>
      <c r="AK123" s="50">
        <f t="shared" ca="1" si="85"/>
        <v>0</v>
      </c>
      <c r="AL123" s="50">
        <f t="shared" si="85"/>
        <v>0</v>
      </c>
      <c r="AM123" s="50">
        <f t="shared" si="85"/>
        <v>0</v>
      </c>
      <c r="AN123" s="50">
        <f t="shared" si="85"/>
        <v>0</v>
      </c>
      <c r="AO123" s="50">
        <f t="shared" si="85"/>
        <v>0</v>
      </c>
      <c r="AP123" s="50">
        <f t="shared" si="85"/>
        <v>0</v>
      </c>
      <c r="AQ123" s="50">
        <f t="shared" si="85"/>
        <v>0</v>
      </c>
      <c r="AR123" s="50">
        <f t="shared" si="85"/>
        <v>0</v>
      </c>
      <c r="AS123" s="50">
        <f t="shared" si="85"/>
        <v>0</v>
      </c>
      <c r="AT123" s="50">
        <f t="shared" si="85"/>
        <v>0</v>
      </c>
      <c r="AU123" s="50">
        <f t="shared" si="85"/>
        <v>0</v>
      </c>
    </row>
    <row r="124" spans="1:47">
      <c r="A124" s="38" t="str">
        <f t="shared" si="84"/>
        <v>2X-</v>
      </c>
      <c r="B124" s="38" t="s">
        <v>270</v>
      </c>
      <c r="C124" s="38" t="str">
        <f>C123</f>
        <v>Ash Conveyance &amp; Storage</v>
      </c>
      <c r="D124" s="186">
        <f>OMEsc</f>
        <v>0.02</v>
      </c>
      <c r="E124" s="325"/>
      <c r="G124" s="36" t="s">
        <v>126</v>
      </c>
      <c r="I124" s="39"/>
      <c r="K124" s="39"/>
      <c r="L124" s="43" t="str">
        <f>"["&amp;CostBaseYr&amp;" $]"</f>
        <v>[2013 $]</v>
      </c>
      <c r="N124" s="70">
        <f ca="1">SUMIFS(OFFSET(Assumptions!$I$90,0,MATCH($A124,Configurations,0)-1,COUNT(Assumptions!$A$90:$A$183),1),Assumptions!$D$90:$D$183,$B124&amp;$C124)</f>
        <v>0</v>
      </c>
      <c r="O124" s="313"/>
      <c r="P124" s="323"/>
      <c r="Q124" s="313"/>
      <c r="R124" s="50">
        <f t="shared" ref="R124:AG126" ca="1" si="86">IF(OR(R$99&lt;InServiceYr,R$99&gt;(InServiceYr+analysis_period-1)),0,IF($P124=0,$N124,$P124)*(1+$D124)^(R$99-CostBaseYr))</f>
        <v>0</v>
      </c>
      <c r="S124" s="50">
        <f t="shared" ca="1" si="86"/>
        <v>0</v>
      </c>
      <c r="T124" s="50">
        <f t="shared" ca="1" si="86"/>
        <v>0</v>
      </c>
      <c r="U124" s="50">
        <f t="shared" ca="1" si="86"/>
        <v>0</v>
      </c>
      <c r="V124" s="50">
        <f t="shared" ca="1" si="86"/>
        <v>0</v>
      </c>
      <c r="W124" s="50">
        <f t="shared" ca="1" si="86"/>
        <v>0</v>
      </c>
      <c r="X124" s="50">
        <f t="shared" ca="1" si="86"/>
        <v>0</v>
      </c>
      <c r="Y124" s="50">
        <f t="shared" ca="1" si="86"/>
        <v>0</v>
      </c>
      <c r="Z124" s="50">
        <f t="shared" ca="1" si="86"/>
        <v>0</v>
      </c>
      <c r="AA124" s="50">
        <f t="shared" ca="1" si="86"/>
        <v>0</v>
      </c>
      <c r="AB124" s="50">
        <f t="shared" ca="1" si="86"/>
        <v>0</v>
      </c>
      <c r="AC124" s="50">
        <f t="shared" ca="1" si="86"/>
        <v>0</v>
      </c>
      <c r="AD124" s="50">
        <f t="shared" ca="1" si="86"/>
        <v>0</v>
      </c>
      <c r="AE124" s="50">
        <f t="shared" ca="1" si="86"/>
        <v>0</v>
      </c>
      <c r="AF124" s="50">
        <f t="shared" ca="1" si="86"/>
        <v>0</v>
      </c>
      <c r="AG124" s="50">
        <f t="shared" ca="1" si="86"/>
        <v>0</v>
      </c>
      <c r="AH124" s="50">
        <f t="shared" ref="S124:AU126" ca="1" si="87">IF(OR(AH$99&lt;InServiceYr,AH$99&gt;(InServiceYr+analysis_period-1)),0,IF($P124=0,$N124,$P124)*(1+$D124)^(AH$99-CostBaseYr))</f>
        <v>0</v>
      </c>
      <c r="AI124" s="50">
        <f t="shared" ca="1" si="87"/>
        <v>0</v>
      </c>
      <c r="AJ124" s="50">
        <f t="shared" ca="1" si="87"/>
        <v>0</v>
      </c>
      <c r="AK124" s="50">
        <f t="shared" ca="1" si="87"/>
        <v>0</v>
      </c>
      <c r="AL124" s="50">
        <f t="shared" si="87"/>
        <v>0</v>
      </c>
      <c r="AM124" s="50">
        <f t="shared" si="87"/>
        <v>0</v>
      </c>
      <c r="AN124" s="50">
        <f t="shared" si="87"/>
        <v>0</v>
      </c>
      <c r="AO124" s="50">
        <f t="shared" si="87"/>
        <v>0</v>
      </c>
      <c r="AP124" s="50">
        <f t="shared" si="87"/>
        <v>0</v>
      </c>
      <c r="AQ124" s="50">
        <f t="shared" si="87"/>
        <v>0</v>
      </c>
      <c r="AR124" s="50">
        <f t="shared" si="87"/>
        <v>0</v>
      </c>
      <c r="AS124" s="50">
        <f t="shared" si="87"/>
        <v>0</v>
      </c>
      <c r="AT124" s="50">
        <f t="shared" si="87"/>
        <v>0</v>
      </c>
      <c r="AU124" s="50">
        <f t="shared" si="87"/>
        <v>0</v>
      </c>
    </row>
    <row r="125" spans="1:47">
      <c r="A125" s="38" t="str">
        <f t="shared" si="84"/>
        <v>2X-</v>
      </c>
      <c r="B125" s="38" t="s">
        <v>263</v>
      </c>
      <c r="C125" s="38" t="str">
        <f t="shared" ref="C125:C129" si="88">C124</f>
        <v>Ash Conveyance &amp; Storage</v>
      </c>
      <c r="D125" s="186">
        <f>OMEsc</f>
        <v>0.02</v>
      </c>
      <c r="E125" s="325"/>
      <c r="G125" s="36" t="s">
        <v>127</v>
      </c>
      <c r="I125" s="39"/>
      <c r="K125" s="39"/>
      <c r="L125" s="43" t="str">
        <f>"["&amp;CostBaseYr&amp;" $]"</f>
        <v>[2013 $]</v>
      </c>
      <c r="N125" s="70">
        <f ca="1">SUMIFS(OFFSET(Assumptions!$I$90,0,MATCH($A125,Configurations,0)-1,COUNT(Assumptions!$A$90:$A$183),1),Assumptions!$D$90:$D$183,$B125&amp;$C125)</f>
        <v>0</v>
      </c>
      <c r="O125" s="313"/>
      <c r="P125" s="323"/>
      <c r="Q125" s="313"/>
      <c r="R125" s="50">
        <f t="shared" ca="1" si="86"/>
        <v>0</v>
      </c>
      <c r="S125" s="50">
        <f t="shared" ca="1" si="87"/>
        <v>0</v>
      </c>
      <c r="T125" s="50">
        <f t="shared" ca="1" si="87"/>
        <v>0</v>
      </c>
      <c r="U125" s="50">
        <f t="shared" ca="1" si="87"/>
        <v>0</v>
      </c>
      <c r="V125" s="50">
        <f t="shared" ca="1" si="87"/>
        <v>0</v>
      </c>
      <c r="W125" s="50">
        <f t="shared" ca="1" si="87"/>
        <v>0</v>
      </c>
      <c r="X125" s="50">
        <f t="shared" ca="1" si="87"/>
        <v>0</v>
      </c>
      <c r="Y125" s="50">
        <f t="shared" ca="1" si="87"/>
        <v>0</v>
      </c>
      <c r="Z125" s="50">
        <f t="shared" ca="1" si="87"/>
        <v>0</v>
      </c>
      <c r="AA125" s="50">
        <f t="shared" ca="1" si="87"/>
        <v>0</v>
      </c>
      <c r="AB125" s="50">
        <f t="shared" ca="1" si="87"/>
        <v>0</v>
      </c>
      <c r="AC125" s="50">
        <f t="shared" ca="1" si="87"/>
        <v>0</v>
      </c>
      <c r="AD125" s="50">
        <f t="shared" ca="1" si="87"/>
        <v>0</v>
      </c>
      <c r="AE125" s="50">
        <f t="shared" ca="1" si="87"/>
        <v>0</v>
      </c>
      <c r="AF125" s="50">
        <f t="shared" ca="1" si="87"/>
        <v>0</v>
      </c>
      <c r="AG125" s="50">
        <f t="shared" ca="1" si="87"/>
        <v>0</v>
      </c>
      <c r="AH125" s="50">
        <f t="shared" ca="1" si="87"/>
        <v>0</v>
      </c>
      <c r="AI125" s="50">
        <f t="shared" ca="1" si="87"/>
        <v>0</v>
      </c>
      <c r="AJ125" s="50">
        <f t="shared" ca="1" si="87"/>
        <v>0</v>
      </c>
      <c r="AK125" s="50">
        <f t="shared" ca="1" si="87"/>
        <v>0</v>
      </c>
      <c r="AL125" s="50">
        <f t="shared" si="87"/>
        <v>0</v>
      </c>
      <c r="AM125" s="50">
        <f t="shared" si="87"/>
        <v>0</v>
      </c>
      <c r="AN125" s="50">
        <f t="shared" si="87"/>
        <v>0</v>
      </c>
      <c r="AO125" s="50">
        <f t="shared" si="87"/>
        <v>0</v>
      </c>
      <c r="AP125" s="50">
        <f t="shared" si="87"/>
        <v>0</v>
      </c>
      <c r="AQ125" s="50">
        <f t="shared" si="87"/>
        <v>0</v>
      </c>
      <c r="AR125" s="50">
        <f t="shared" si="87"/>
        <v>0</v>
      </c>
      <c r="AS125" s="50">
        <f t="shared" si="87"/>
        <v>0</v>
      </c>
      <c r="AT125" s="50">
        <f t="shared" si="87"/>
        <v>0</v>
      </c>
      <c r="AU125" s="50">
        <f t="shared" si="87"/>
        <v>0</v>
      </c>
    </row>
    <row r="126" spans="1:47">
      <c r="A126" s="38" t="str">
        <f t="shared" si="84"/>
        <v>2X-</v>
      </c>
      <c r="B126" s="38" t="s">
        <v>277</v>
      </c>
      <c r="C126" s="38" t="str">
        <f t="shared" si="88"/>
        <v>Ash Conveyance &amp; Storage</v>
      </c>
      <c r="D126" s="186">
        <f>OMEsc</f>
        <v>0.02</v>
      </c>
      <c r="E126" s="325"/>
      <c r="G126" s="36" t="s">
        <v>276</v>
      </c>
      <c r="I126" s="39"/>
      <c r="K126" s="39"/>
      <c r="L126" s="43" t="str">
        <f>"["&amp;CostBaseYr&amp;" $]"</f>
        <v>[2013 $]</v>
      </c>
      <c r="N126" s="70">
        <f ca="1">SUMIFS(OFFSET(Assumptions!$I$90,0,MATCH($A126,Configurations,0)-1,COUNT(Assumptions!$A$90:$A$183),1),Assumptions!$D$90:$D$183,$B126&amp;$C126)</f>
        <v>0</v>
      </c>
      <c r="O126" s="313"/>
      <c r="P126" s="323"/>
      <c r="Q126" s="313"/>
      <c r="R126" s="50">
        <f t="shared" ca="1" si="86"/>
        <v>0</v>
      </c>
      <c r="S126" s="50">
        <f t="shared" ca="1" si="87"/>
        <v>0</v>
      </c>
      <c r="T126" s="50">
        <f t="shared" ca="1" si="87"/>
        <v>0</v>
      </c>
      <c r="U126" s="50">
        <f t="shared" ca="1" si="87"/>
        <v>0</v>
      </c>
      <c r="V126" s="50">
        <f t="shared" ca="1" si="87"/>
        <v>0</v>
      </c>
      <c r="W126" s="50">
        <f t="shared" ca="1" si="87"/>
        <v>0</v>
      </c>
      <c r="X126" s="50">
        <f t="shared" ca="1" si="87"/>
        <v>0</v>
      </c>
      <c r="Y126" s="50">
        <f t="shared" ca="1" si="87"/>
        <v>0</v>
      </c>
      <c r="Z126" s="50">
        <f t="shared" ca="1" si="87"/>
        <v>0</v>
      </c>
      <c r="AA126" s="50">
        <f t="shared" ca="1" si="87"/>
        <v>0</v>
      </c>
      <c r="AB126" s="50">
        <f t="shared" ca="1" si="87"/>
        <v>0</v>
      </c>
      <c r="AC126" s="50">
        <f t="shared" ca="1" si="87"/>
        <v>0</v>
      </c>
      <c r="AD126" s="50">
        <f t="shared" ca="1" si="87"/>
        <v>0</v>
      </c>
      <c r="AE126" s="50">
        <f t="shared" ca="1" si="87"/>
        <v>0</v>
      </c>
      <c r="AF126" s="50">
        <f t="shared" ca="1" si="87"/>
        <v>0</v>
      </c>
      <c r="AG126" s="50">
        <f t="shared" ca="1" si="87"/>
        <v>0</v>
      </c>
      <c r="AH126" s="50">
        <f t="shared" ca="1" si="87"/>
        <v>0</v>
      </c>
      <c r="AI126" s="50">
        <f t="shared" ca="1" si="87"/>
        <v>0</v>
      </c>
      <c r="AJ126" s="50">
        <f t="shared" ca="1" si="87"/>
        <v>0</v>
      </c>
      <c r="AK126" s="50">
        <f t="shared" ca="1" si="87"/>
        <v>0</v>
      </c>
      <c r="AL126" s="50">
        <f t="shared" si="87"/>
        <v>0</v>
      </c>
      <c r="AM126" s="50">
        <f t="shared" si="87"/>
        <v>0</v>
      </c>
      <c r="AN126" s="50">
        <f t="shared" si="87"/>
        <v>0</v>
      </c>
      <c r="AO126" s="50">
        <f t="shared" si="87"/>
        <v>0</v>
      </c>
      <c r="AP126" s="50">
        <f t="shared" si="87"/>
        <v>0</v>
      </c>
      <c r="AQ126" s="50">
        <f t="shared" si="87"/>
        <v>0</v>
      </c>
      <c r="AR126" s="50">
        <f t="shared" si="87"/>
        <v>0</v>
      </c>
      <c r="AS126" s="50">
        <f t="shared" si="87"/>
        <v>0</v>
      </c>
      <c r="AT126" s="50">
        <f t="shared" si="87"/>
        <v>0</v>
      </c>
      <c r="AU126" s="50">
        <f t="shared" si="87"/>
        <v>0</v>
      </c>
    </row>
    <row r="127" spans="1:47">
      <c r="A127" s="38" t="str">
        <f t="shared" si="84"/>
        <v>2X-</v>
      </c>
      <c r="B127" s="38" t="s">
        <v>274</v>
      </c>
      <c r="C127" s="38" t="str">
        <f t="shared" si="88"/>
        <v>Ash Conveyance &amp; Storage</v>
      </c>
      <c r="D127" s="186"/>
      <c r="E127" s="325"/>
      <c r="G127" s="36" t="s">
        <v>16</v>
      </c>
      <c r="I127" s="39"/>
      <c r="K127" s="39"/>
      <c r="L127" s="43" t="s">
        <v>275</v>
      </c>
      <c r="N127" s="70">
        <f ca="1">SUMIFS(OFFSET(Assumptions!$I$90,0,MATCH($A127,Configurations,0)-1,COUNT(Assumptions!$A$90:$A$183),1),Assumptions!$D$90:$D$183,$B127&amp;$C127)</f>
        <v>0</v>
      </c>
      <c r="O127" s="313"/>
      <c r="P127" s="323"/>
      <c r="Q127" s="313"/>
      <c r="R127" s="50">
        <f t="shared" ref="R127:AU127" ca="1" si="89">IF(OR(R$99&lt;InServiceYr,R$99&gt;(InServiceYr+analysis_period-1)),0,IF($P127=0,$N127,$P127)*R$505)</f>
        <v>0</v>
      </c>
      <c r="S127" s="50">
        <f t="shared" ca="1" si="89"/>
        <v>0</v>
      </c>
      <c r="T127" s="50">
        <f t="shared" ca="1" si="89"/>
        <v>0</v>
      </c>
      <c r="U127" s="50">
        <f t="shared" ca="1" si="89"/>
        <v>0</v>
      </c>
      <c r="V127" s="50">
        <f t="shared" ca="1" si="89"/>
        <v>0</v>
      </c>
      <c r="W127" s="50">
        <f t="shared" ca="1" si="89"/>
        <v>0</v>
      </c>
      <c r="X127" s="50">
        <f t="shared" ca="1" si="89"/>
        <v>0</v>
      </c>
      <c r="Y127" s="50">
        <f t="shared" ca="1" si="89"/>
        <v>0</v>
      </c>
      <c r="Z127" s="50">
        <f t="shared" ca="1" si="89"/>
        <v>0</v>
      </c>
      <c r="AA127" s="50">
        <f t="shared" ca="1" si="89"/>
        <v>0</v>
      </c>
      <c r="AB127" s="50">
        <f t="shared" ca="1" si="89"/>
        <v>0</v>
      </c>
      <c r="AC127" s="50">
        <f t="shared" ca="1" si="89"/>
        <v>0</v>
      </c>
      <c r="AD127" s="50">
        <f t="shared" ca="1" si="89"/>
        <v>0</v>
      </c>
      <c r="AE127" s="50">
        <f t="shared" ca="1" si="89"/>
        <v>0</v>
      </c>
      <c r="AF127" s="50">
        <f t="shared" ca="1" si="89"/>
        <v>0</v>
      </c>
      <c r="AG127" s="50">
        <f t="shared" ca="1" si="89"/>
        <v>0</v>
      </c>
      <c r="AH127" s="50">
        <f t="shared" ca="1" si="89"/>
        <v>0</v>
      </c>
      <c r="AI127" s="50">
        <f t="shared" ca="1" si="89"/>
        <v>0</v>
      </c>
      <c r="AJ127" s="50">
        <f t="shared" ca="1" si="89"/>
        <v>0</v>
      </c>
      <c r="AK127" s="50">
        <f t="shared" ca="1" si="89"/>
        <v>0</v>
      </c>
      <c r="AL127" s="50">
        <f t="shared" si="89"/>
        <v>0</v>
      </c>
      <c r="AM127" s="50">
        <f t="shared" si="89"/>
        <v>0</v>
      </c>
      <c r="AN127" s="50">
        <f t="shared" si="89"/>
        <v>0</v>
      </c>
      <c r="AO127" s="50">
        <f t="shared" si="89"/>
        <v>0</v>
      </c>
      <c r="AP127" s="50">
        <f t="shared" si="89"/>
        <v>0</v>
      </c>
      <c r="AQ127" s="50">
        <f t="shared" si="89"/>
        <v>0</v>
      </c>
      <c r="AR127" s="50">
        <f t="shared" si="89"/>
        <v>0</v>
      </c>
      <c r="AS127" s="50">
        <f t="shared" si="89"/>
        <v>0</v>
      </c>
      <c r="AT127" s="50">
        <f t="shared" si="89"/>
        <v>0</v>
      </c>
      <c r="AU127" s="50">
        <f t="shared" si="89"/>
        <v>0</v>
      </c>
    </row>
    <row r="128" spans="1:47">
      <c r="A128" s="38" t="str">
        <f t="shared" si="84"/>
        <v>2X-</v>
      </c>
      <c r="B128" s="38" t="s">
        <v>257</v>
      </c>
      <c r="C128" s="38" t="str">
        <f t="shared" si="88"/>
        <v>Ash Conveyance &amp; Storage</v>
      </c>
      <c r="D128" s="186"/>
      <c r="E128" s="325"/>
      <c r="G128" s="36" t="s">
        <v>284</v>
      </c>
      <c r="I128" s="39"/>
      <c r="K128" s="39"/>
      <c r="L128" s="43" t="s">
        <v>293</v>
      </c>
      <c r="N128" s="70">
        <f ca="1">SUMIFS(OFFSET(Assumptions!$I$90,0,MATCH($A128,Configurations,0)-1,COUNT(Assumptions!$A$90:$A$183),1),Assumptions!$D$90:$D$183,$B128&amp;$C128)</f>
        <v>0</v>
      </c>
      <c r="O128" s="313"/>
      <c r="P128" s="323"/>
      <c r="Q128" s="313"/>
      <c r="R128" s="50">
        <f t="shared" ref="R128:AU128" ca="1" si="90">IF(OR(R$99&lt;InServiceYr,R$99&gt;(InServiceYr+analysis_period-1)),0,IF($P128=0,$N128,$P128)*R$501)</f>
        <v>0</v>
      </c>
      <c r="S128" s="50">
        <f t="shared" ca="1" si="90"/>
        <v>0</v>
      </c>
      <c r="T128" s="50">
        <f t="shared" ca="1" si="90"/>
        <v>0</v>
      </c>
      <c r="U128" s="50">
        <f t="shared" ca="1" si="90"/>
        <v>0</v>
      </c>
      <c r="V128" s="50">
        <f t="shared" ca="1" si="90"/>
        <v>0</v>
      </c>
      <c r="W128" s="50">
        <f t="shared" ca="1" si="90"/>
        <v>0</v>
      </c>
      <c r="X128" s="50">
        <f t="shared" ca="1" si="90"/>
        <v>0</v>
      </c>
      <c r="Y128" s="50">
        <f t="shared" ca="1" si="90"/>
        <v>0</v>
      </c>
      <c r="Z128" s="50">
        <f t="shared" ca="1" si="90"/>
        <v>0</v>
      </c>
      <c r="AA128" s="50">
        <f t="shared" ca="1" si="90"/>
        <v>0</v>
      </c>
      <c r="AB128" s="50">
        <f t="shared" ca="1" si="90"/>
        <v>0</v>
      </c>
      <c r="AC128" s="50">
        <f t="shared" ca="1" si="90"/>
        <v>0</v>
      </c>
      <c r="AD128" s="50">
        <f t="shared" ca="1" si="90"/>
        <v>0</v>
      </c>
      <c r="AE128" s="50">
        <f t="shared" ca="1" si="90"/>
        <v>0</v>
      </c>
      <c r="AF128" s="50">
        <f t="shared" ca="1" si="90"/>
        <v>0</v>
      </c>
      <c r="AG128" s="50">
        <f t="shared" ca="1" si="90"/>
        <v>0</v>
      </c>
      <c r="AH128" s="50">
        <f t="shared" ca="1" si="90"/>
        <v>0</v>
      </c>
      <c r="AI128" s="50">
        <f t="shared" ca="1" si="90"/>
        <v>0</v>
      </c>
      <c r="AJ128" s="50">
        <f t="shared" ca="1" si="90"/>
        <v>0</v>
      </c>
      <c r="AK128" s="50">
        <f t="shared" ca="1" si="90"/>
        <v>0</v>
      </c>
      <c r="AL128" s="50">
        <f t="shared" si="90"/>
        <v>0</v>
      </c>
      <c r="AM128" s="50">
        <f t="shared" si="90"/>
        <v>0</v>
      </c>
      <c r="AN128" s="50">
        <f t="shared" si="90"/>
        <v>0</v>
      </c>
      <c r="AO128" s="50">
        <f t="shared" si="90"/>
        <v>0</v>
      </c>
      <c r="AP128" s="50">
        <f t="shared" si="90"/>
        <v>0</v>
      </c>
      <c r="AQ128" s="50">
        <f t="shared" si="90"/>
        <v>0</v>
      </c>
      <c r="AR128" s="50">
        <f t="shared" si="90"/>
        <v>0</v>
      </c>
      <c r="AS128" s="50">
        <f t="shared" si="90"/>
        <v>0</v>
      </c>
      <c r="AT128" s="50">
        <f t="shared" si="90"/>
        <v>0</v>
      </c>
      <c r="AU128" s="50">
        <f t="shared" si="90"/>
        <v>0</v>
      </c>
    </row>
    <row r="129" spans="1:47">
      <c r="A129" s="38" t="str">
        <f t="shared" si="84"/>
        <v>2X-</v>
      </c>
      <c r="B129" s="38" t="s">
        <v>864</v>
      </c>
      <c r="C129" s="38" t="str">
        <f t="shared" si="88"/>
        <v>Ash Conveyance &amp; Storage</v>
      </c>
      <c r="D129" s="186">
        <f>GHGEsc</f>
        <v>0.02</v>
      </c>
      <c r="E129" s="325"/>
      <c r="G129" s="36" t="s">
        <v>865</v>
      </c>
      <c r="I129" s="39"/>
      <c r="K129" s="39"/>
      <c r="L129" s="43" t="s">
        <v>866</v>
      </c>
      <c r="N129" s="70">
        <f ca="1">SUMIFS(OFFSET(Assumptions!$I$90,0,MATCH($A129,Configurations,0)-1,COUNT(Assumptions!$A$90:$A$183),1),Assumptions!$D$90:$D$183,$B129&amp;$C129)</f>
        <v>0</v>
      </c>
      <c r="O129" s="313"/>
      <c r="P129" s="323"/>
      <c r="Q129" s="313"/>
      <c r="R129" s="50">
        <f t="shared" ref="R129:AU129" ca="1" si="91">IF(OR(R$99&lt;InServiceYr,R$99&gt;(InServiceYr+analysis_period-1)),0,IF($P129=0,$N129,$P129)*R$513)</f>
        <v>0</v>
      </c>
      <c r="S129" s="50">
        <f t="shared" ca="1" si="91"/>
        <v>0</v>
      </c>
      <c r="T129" s="50">
        <f t="shared" ca="1" si="91"/>
        <v>0</v>
      </c>
      <c r="U129" s="50">
        <f t="shared" ca="1" si="91"/>
        <v>0</v>
      </c>
      <c r="V129" s="50">
        <f t="shared" ca="1" si="91"/>
        <v>0</v>
      </c>
      <c r="W129" s="50">
        <f t="shared" ca="1" si="91"/>
        <v>0</v>
      </c>
      <c r="X129" s="50">
        <f t="shared" ca="1" si="91"/>
        <v>0</v>
      </c>
      <c r="Y129" s="50">
        <f t="shared" ca="1" si="91"/>
        <v>0</v>
      </c>
      <c r="Z129" s="50">
        <f t="shared" ca="1" si="91"/>
        <v>0</v>
      </c>
      <c r="AA129" s="50">
        <f t="shared" ca="1" si="91"/>
        <v>0</v>
      </c>
      <c r="AB129" s="50">
        <f t="shared" ca="1" si="91"/>
        <v>0</v>
      </c>
      <c r="AC129" s="50">
        <f t="shared" ca="1" si="91"/>
        <v>0</v>
      </c>
      <c r="AD129" s="50">
        <f t="shared" ca="1" si="91"/>
        <v>0</v>
      </c>
      <c r="AE129" s="50">
        <f t="shared" ca="1" si="91"/>
        <v>0</v>
      </c>
      <c r="AF129" s="50">
        <f t="shared" ca="1" si="91"/>
        <v>0</v>
      </c>
      <c r="AG129" s="50">
        <f t="shared" ca="1" si="91"/>
        <v>0</v>
      </c>
      <c r="AH129" s="50">
        <f t="shared" ca="1" si="91"/>
        <v>0</v>
      </c>
      <c r="AI129" s="50">
        <f t="shared" ca="1" si="91"/>
        <v>0</v>
      </c>
      <c r="AJ129" s="50">
        <f t="shared" ca="1" si="91"/>
        <v>0</v>
      </c>
      <c r="AK129" s="50">
        <f t="shared" ca="1" si="91"/>
        <v>0</v>
      </c>
      <c r="AL129" s="50">
        <f t="shared" si="91"/>
        <v>0</v>
      </c>
      <c r="AM129" s="50">
        <f t="shared" si="91"/>
        <v>0</v>
      </c>
      <c r="AN129" s="50">
        <f t="shared" si="91"/>
        <v>0</v>
      </c>
      <c r="AO129" s="50">
        <f t="shared" si="91"/>
        <v>0</v>
      </c>
      <c r="AP129" s="50">
        <f t="shared" si="91"/>
        <v>0</v>
      </c>
      <c r="AQ129" s="50">
        <f t="shared" si="91"/>
        <v>0</v>
      </c>
      <c r="AR129" s="50">
        <f t="shared" si="91"/>
        <v>0</v>
      </c>
      <c r="AS129" s="50">
        <f t="shared" si="91"/>
        <v>0</v>
      </c>
      <c r="AT129" s="50">
        <f t="shared" si="91"/>
        <v>0</v>
      </c>
      <c r="AU129" s="50">
        <f t="shared" si="91"/>
        <v>0</v>
      </c>
    </row>
    <row r="130" spans="1:47">
      <c r="A130" s="38" t="str">
        <f t="shared" si="84"/>
        <v>2X-</v>
      </c>
      <c r="B130" s="38" t="s">
        <v>273</v>
      </c>
      <c r="C130" s="38" t="str">
        <f>C128</f>
        <v>Ash Conveyance &amp; Storage</v>
      </c>
      <c r="D130" s="186">
        <f>LaborEsc</f>
        <v>0.02</v>
      </c>
      <c r="E130" s="325"/>
      <c r="G130" s="36" t="s">
        <v>291</v>
      </c>
      <c r="I130" s="39"/>
      <c r="K130" s="39"/>
      <c r="L130" s="43" t="str">
        <f>"["&amp;CostBaseYr&amp;" $]"</f>
        <v>[2013 $]</v>
      </c>
      <c r="N130" s="70">
        <f ca="1">SUMIFS(OFFSET(Assumptions!$I$90,0,MATCH($A130,Configurations,0)-1,COUNT(Assumptions!$A$90:$A$183),1),Assumptions!$D$90:$D$183,$B130&amp;$C130)</f>
        <v>0</v>
      </c>
      <c r="O130" s="313"/>
      <c r="P130" s="323"/>
      <c r="Q130" s="313"/>
      <c r="R130" s="50">
        <f t="shared" ref="R130:AU130" ca="1" si="92">IF(OR(R$99&lt;InServiceYr,R$99&gt;(InServiceYr+analysis_period-1)),0,IF($P130=0,$N130,$P130)*(1+$D130)^(R$99-CostBaseYr))*R$509</f>
        <v>0</v>
      </c>
      <c r="S130" s="50">
        <f t="shared" ca="1" si="92"/>
        <v>0</v>
      </c>
      <c r="T130" s="50">
        <f t="shared" ca="1" si="92"/>
        <v>0</v>
      </c>
      <c r="U130" s="50">
        <f t="shared" ca="1" si="92"/>
        <v>0</v>
      </c>
      <c r="V130" s="50">
        <f t="shared" ca="1" si="92"/>
        <v>0</v>
      </c>
      <c r="W130" s="50">
        <f t="shared" ca="1" si="92"/>
        <v>0</v>
      </c>
      <c r="X130" s="50">
        <f t="shared" ca="1" si="92"/>
        <v>0</v>
      </c>
      <c r="Y130" s="50">
        <f t="shared" ca="1" si="92"/>
        <v>0</v>
      </c>
      <c r="Z130" s="50">
        <f t="shared" ca="1" si="92"/>
        <v>0</v>
      </c>
      <c r="AA130" s="50">
        <f t="shared" ca="1" si="92"/>
        <v>0</v>
      </c>
      <c r="AB130" s="50">
        <f t="shared" ca="1" si="92"/>
        <v>0</v>
      </c>
      <c r="AC130" s="50">
        <f t="shared" ca="1" si="92"/>
        <v>0</v>
      </c>
      <c r="AD130" s="50">
        <f t="shared" ca="1" si="92"/>
        <v>0</v>
      </c>
      <c r="AE130" s="50">
        <f t="shared" ca="1" si="92"/>
        <v>0</v>
      </c>
      <c r="AF130" s="50">
        <f t="shared" ca="1" si="92"/>
        <v>0</v>
      </c>
      <c r="AG130" s="50">
        <f t="shared" ca="1" si="92"/>
        <v>0</v>
      </c>
      <c r="AH130" s="50">
        <f t="shared" ca="1" si="92"/>
        <v>0</v>
      </c>
      <c r="AI130" s="50">
        <f t="shared" ca="1" si="92"/>
        <v>0</v>
      </c>
      <c r="AJ130" s="50">
        <f t="shared" ca="1" si="92"/>
        <v>0</v>
      </c>
      <c r="AK130" s="50">
        <f t="shared" ca="1" si="92"/>
        <v>0</v>
      </c>
      <c r="AL130" s="50">
        <f t="shared" si="92"/>
        <v>0</v>
      </c>
      <c r="AM130" s="50">
        <f t="shared" si="92"/>
        <v>0</v>
      </c>
      <c r="AN130" s="50">
        <f t="shared" si="92"/>
        <v>0</v>
      </c>
      <c r="AO130" s="50">
        <f t="shared" si="92"/>
        <v>0</v>
      </c>
      <c r="AP130" s="50">
        <f t="shared" si="92"/>
        <v>0</v>
      </c>
      <c r="AQ130" s="50">
        <f t="shared" si="92"/>
        <v>0</v>
      </c>
      <c r="AR130" s="50">
        <f t="shared" si="92"/>
        <v>0</v>
      </c>
      <c r="AS130" s="50">
        <f t="shared" si="92"/>
        <v>0</v>
      </c>
      <c r="AT130" s="50">
        <f t="shared" si="92"/>
        <v>0</v>
      </c>
      <c r="AU130" s="50">
        <f t="shared" si="92"/>
        <v>0</v>
      </c>
    </row>
    <row r="131" spans="1:47">
      <c r="D131" s="186"/>
      <c r="E131" s="325"/>
      <c r="G131" s="39" t="s">
        <v>304</v>
      </c>
      <c r="I131" s="39"/>
      <c r="K131" s="39"/>
      <c r="L131" s="43"/>
      <c r="N131" s="70"/>
      <c r="O131" s="313"/>
      <c r="P131" s="70"/>
      <c r="Q131" s="313"/>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row>
    <row r="132" spans="1:47">
      <c r="A132" s="38" t="str">
        <f>$J$4&amp;"-"</f>
        <v>2X-</v>
      </c>
      <c r="B132" s="38" t="s">
        <v>265</v>
      </c>
      <c r="C132" s="38" t="str">
        <f>C123</f>
        <v>Ash Conveyance &amp; Storage</v>
      </c>
      <c r="D132" s="186"/>
      <c r="E132" s="325"/>
      <c r="G132" s="36" t="s">
        <v>108</v>
      </c>
      <c r="I132" s="39"/>
      <c r="K132" s="39"/>
      <c r="L132" s="43" t="s">
        <v>293</v>
      </c>
      <c r="N132" s="70">
        <f ca="1">SUMIFS(OFFSET(Assumptions!$I$90,0,MATCH($A132,Configurations,0)-1,COUNT(Assumptions!$A$90:$A$183),1),Assumptions!$D$90:$D$183,$B132&amp;$C132)</f>
        <v>0</v>
      </c>
      <c r="O132" s="313"/>
      <c r="P132" s="323"/>
      <c r="Q132" s="313"/>
      <c r="R132" s="50">
        <f t="shared" ref="R132:AU132" ca="1" si="93">IF(OR(R$99&lt;InServiceYr,R$99&gt;(InServiceYr+analysis_period-1)),0,IF($P132=0,$N132,$P132)*R$501)</f>
        <v>0</v>
      </c>
      <c r="S132" s="50">
        <f t="shared" ca="1" si="93"/>
        <v>0</v>
      </c>
      <c r="T132" s="50">
        <f t="shared" ca="1" si="93"/>
        <v>0</v>
      </c>
      <c r="U132" s="50">
        <f t="shared" ca="1" si="93"/>
        <v>0</v>
      </c>
      <c r="V132" s="50">
        <f t="shared" ca="1" si="93"/>
        <v>0</v>
      </c>
      <c r="W132" s="50">
        <f t="shared" ca="1" si="93"/>
        <v>0</v>
      </c>
      <c r="X132" s="50">
        <f t="shared" ca="1" si="93"/>
        <v>0</v>
      </c>
      <c r="Y132" s="50">
        <f t="shared" ca="1" si="93"/>
        <v>0</v>
      </c>
      <c r="Z132" s="50">
        <f t="shared" ca="1" si="93"/>
        <v>0</v>
      </c>
      <c r="AA132" s="50">
        <f t="shared" ca="1" si="93"/>
        <v>0</v>
      </c>
      <c r="AB132" s="50">
        <f t="shared" ca="1" si="93"/>
        <v>0</v>
      </c>
      <c r="AC132" s="50">
        <f t="shared" ca="1" si="93"/>
        <v>0</v>
      </c>
      <c r="AD132" s="50">
        <f t="shared" ca="1" si="93"/>
        <v>0</v>
      </c>
      <c r="AE132" s="50">
        <f t="shared" ca="1" si="93"/>
        <v>0</v>
      </c>
      <c r="AF132" s="50">
        <f t="shared" ca="1" si="93"/>
        <v>0</v>
      </c>
      <c r="AG132" s="50">
        <f t="shared" ca="1" si="93"/>
        <v>0</v>
      </c>
      <c r="AH132" s="50">
        <f t="shared" ca="1" si="93"/>
        <v>0</v>
      </c>
      <c r="AI132" s="50">
        <f t="shared" ca="1" si="93"/>
        <v>0</v>
      </c>
      <c r="AJ132" s="50">
        <f t="shared" ca="1" si="93"/>
        <v>0</v>
      </c>
      <c r="AK132" s="50">
        <f t="shared" ca="1" si="93"/>
        <v>0</v>
      </c>
      <c r="AL132" s="50">
        <f t="shared" si="93"/>
        <v>0</v>
      </c>
      <c r="AM132" s="50">
        <f t="shared" si="93"/>
        <v>0</v>
      </c>
      <c r="AN132" s="50">
        <f t="shared" si="93"/>
        <v>0</v>
      </c>
      <c r="AO132" s="50">
        <f t="shared" si="93"/>
        <v>0</v>
      </c>
      <c r="AP132" s="50">
        <f t="shared" si="93"/>
        <v>0</v>
      </c>
      <c r="AQ132" s="50">
        <f t="shared" si="93"/>
        <v>0</v>
      </c>
      <c r="AR132" s="50">
        <f t="shared" si="93"/>
        <v>0</v>
      </c>
      <c r="AS132" s="50">
        <f t="shared" si="93"/>
        <v>0</v>
      </c>
      <c r="AT132" s="50">
        <f t="shared" si="93"/>
        <v>0</v>
      </c>
      <c r="AU132" s="50">
        <f t="shared" si="93"/>
        <v>0</v>
      </c>
    </row>
    <row r="133" spans="1:47">
      <c r="A133" s="38" t="str">
        <f>$J$4&amp;"-"</f>
        <v>2X-</v>
      </c>
      <c r="B133" s="38" t="s">
        <v>289</v>
      </c>
      <c r="C133" s="38" t="str">
        <f>C123</f>
        <v>Ash Conveyance &amp; Storage</v>
      </c>
      <c r="D133" s="186">
        <f>LaborEsc</f>
        <v>0.02</v>
      </c>
      <c r="E133" s="325"/>
      <c r="G133" s="36" t="s">
        <v>292</v>
      </c>
      <c r="I133" s="39"/>
      <c r="K133" s="39"/>
      <c r="L133" s="43" t="str">
        <f>"["&amp;CostBaseYr&amp;" $]"</f>
        <v>[2013 $]</v>
      </c>
      <c r="N133" s="70">
        <f ca="1">SUMIFS(OFFSET(Assumptions!$I$90,0,MATCH($A133,Configurations,0)-1,COUNT(Assumptions!$A$90:$A$183),1),Assumptions!$D$90:$D$183,$B133&amp;$C133)</f>
        <v>0</v>
      </c>
      <c r="O133" s="313"/>
      <c r="P133" s="323"/>
      <c r="Q133" s="313"/>
      <c r="R133" s="50">
        <f t="shared" ref="R133:AU133" ca="1" si="94">IF(OR(R$99&lt;InServiceYr,R$99&gt;(InServiceYr+analysis_period-1)),0,IF($P133=0,$N133,$P133)*(1+$D133)^(R$99-CostBaseYr))</f>
        <v>0</v>
      </c>
      <c r="S133" s="50">
        <f t="shared" ca="1" si="94"/>
        <v>0</v>
      </c>
      <c r="T133" s="50">
        <f t="shared" ca="1" si="94"/>
        <v>0</v>
      </c>
      <c r="U133" s="50">
        <f t="shared" ca="1" si="94"/>
        <v>0</v>
      </c>
      <c r="V133" s="50">
        <f t="shared" ca="1" si="94"/>
        <v>0</v>
      </c>
      <c r="W133" s="50">
        <f t="shared" ca="1" si="94"/>
        <v>0</v>
      </c>
      <c r="X133" s="50">
        <f t="shared" ca="1" si="94"/>
        <v>0</v>
      </c>
      <c r="Y133" s="50">
        <f t="shared" ca="1" si="94"/>
        <v>0</v>
      </c>
      <c r="Z133" s="50">
        <f t="shared" ca="1" si="94"/>
        <v>0</v>
      </c>
      <c r="AA133" s="50">
        <f t="shared" ca="1" si="94"/>
        <v>0</v>
      </c>
      <c r="AB133" s="50">
        <f t="shared" ca="1" si="94"/>
        <v>0</v>
      </c>
      <c r="AC133" s="50">
        <f t="shared" ca="1" si="94"/>
        <v>0</v>
      </c>
      <c r="AD133" s="50">
        <f t="shared" ca="1" si="94"/>
        <v>0</v>
      </c>
      <c r="AE133" s="50">
        <f t="shared" ca="1" si="94"/>
        <v>0</v>
      </c>
      <c r="AF133" s="50">
        <f t="shared" ca="1" si="94"/>
        <v>0</v>
      </c>
      <c r="AG133" s="50">
        <f t="shared" ca="1" si="94"/>
        <v>0</v>
      </c>
      <c r="AH133" s="50">
        <f t="shared" ca="1" si="94"/>
        <v>0</v>
      </c>
      <c r="AI133" s="50">
        <f t="shared" ca="1" si="94"/>
        <v>0</v>
      </c>
      <c r="AJ133" s="50">
        <f t="shared" ca="1" si="94"/>
        <v>0</v>
      </c>
      <c r="AK133" s="50">
        <f t="shared" ca="1" si="94"/>
        <v>0</v>
      </c>
      <c r="AL133" s="50">
        <f t="shared" si="94"/>
        <v>0</v>
      </c>
      <c r="AM133" s="50">
        <f t="shared" si="94"/>
        <v>0</v>
      </c>
      <c r="AN133" s="50">
        <f t="shared" si="94"/>
        <v>0</v>
      </c>
      <c r="AO133" s="50">
        <f t="shared" si="94"/>
        <v>0</v>
      </c>
      <c r="AP133" s="50">
        <f t="shared" si="94"/>
        <v>0</v>
      </c>
      <c r="AQ133" s="50">
        <f t="shared" si="94"/>
        <v>0</v>
      </c>
      <c r="AR133" s="50">
        <f t="shared" si="94"/>
        <v>0</v>
      </c>
      <c r="AS133" s="50">
        <f t="shared" si="94"/>
        <v>0</v>
      </c>
      <c r="AT133" s="50">
        <f t="shared" si="94"/>
        <v>0</v>
      </c>
      <c r="AU133" s="50">
        <f t="shared" si="94"/>
        <v>0</v>
      </c>
    </row>
    <row r="134" spans="1:47">
      <c r="D134" s="186"/>
      <c r="E134" s="325"/>
      <c r="F134" s="60"/>
      <c r="G134" s="39" t="s">
        <v>305</v>
      </c>
      <c r="H134" s="60"/>
      <c r="I134" s="39"/>
      <c r="J134" s="60"/>
      <c r="K134" s="39"/>
      <c r="L134" s="174"/>
      <c r="M134" s="60"/>
      <c r="N134" s="188"/>
      <c r="O134" s="314"/>
      <c r="P134" s="185"/>
      <c r="Q134" s="314"/>
      <c r="R134" s="185">
        <f ca="1">SUM(R123:R130)-SUM(R132:R133)</f>
        <v>0</v>
      </c>
      <c r="S134" s="185">
        <f t="shared" ref="S134:AU134" ca="1" si="95">SUM(S123:S130)-SUM(S132:S133)</f>
        <v>0</v>
      </c>
      <c r="T134" s="185">
        <f t="shared" ca="1" si="95"/>
        <v>0</v>
      </c>
      <c r="U134" s="185">
        <f t="shared" ca="1" si="95"/>
        <v>0</v>
      </c>
      <c r="V134" s="185">
        <f t="shared" ca="1" si="95"/>
        <v>0</v>
      </c>
      <c r="W134" s="185">
        <f t="shared" ca="1" si="95"/>
        <v>0</v>
      </c>
      <c r="X134" s="185">
        <f t="shared" ca="1" si="95"/>
        <v>0</v>
      </c>
      <c r="Y134" s="185">
        <f t="shared" ca="1" si="95"/>
        <v>0</v>
      </c>
      <c r="Z134" s="185">
        <f t="shared" ca="1" si="95"/>
        <v>0</v>
      </c>
      <c r="AA134" s="185">
        <f t="shared" ca="1" si="95"/>
        <v>0</v>
      </c>
      <c r="AB134" s="185">
        <f t="shared" ca="1" si="95"/>
        <v>0</v>
      </c>
      <c r="AC134" s="185">
        <f t="shared" ca="1" si="95"/>
        <v>0</v>
      </c>
      <c r="AD134" s="185">
        <f t="shared" ca="1" si="95"/>
        <v>0</v>
      </c>
      <c r="AE134" s="185">
        <f t="shared" ca="1" si="95"/>
        <v>0</v>
      </c>
      <c r="AF134" s="185">
        <f t="shared" ca="1" si="95"/>
        <v>0</v>
      </c>
      <c r="AG134" s="185">
        <f t="shared" ca="1" si="95"/>
        <v>0</v>
      </c>
      <c r="AH134" s="185">
        <f t="shared" ca="1" si="95"/>
        <v>0</v>
      </c>
      <c r="AI134" s="185">
        <f t="shared" ca="1" si="95"/>
        <v>0</v>
      </c>
      <c r="AJ134" s="185">
        <f t="shared" ca="1" si="95"/>
        <v>0</v>
      </c>
      <c r="AK134" s="185">
        <f t="shared" ca="1" si="95"/>
        <v>0</v>
      </c>
      <c r="AL134" s="185">
        <f t="shared" si="95"/>
        <v>0</v>
      </c>
      <c r="AM134" s="185">
        <f t="shared" si="95"/>
        <v>0</v>
      </c>
      <c r="AN134" s="185">
        <f t="shared" si="95"/>
        <v>0</v>
      </c>
      <c r="AO134" s="185">
        <f t="shared" si="95"/>
        <v>0</v>
      </c>
      <c r="AP134" s="185">
        <f t="shared" si="95"/>
        <v>0</v>
      </c>
      <c r="AQ134" s="185">
        <f t="shared" si="95"/>
        <v>0</v>
      </c>
      <c r="AR134" s="185">
        <f t="shared" si="95"/>
        <v>0</v>
      </c>
      <c r="AS134" s="185">
        <f t="shared" si="95"/>
        <v>0</v>
      </c>
      <c r="AT134" s="185">
        <f t="shared" si="95"/>
        <v>0</v>
      </c>
      <c r="AU134" s="185">
        <f t="shared" si="95"/>
        <v>0</v>
      </c>
    </row>
    <row r="135" spans="1:47">
      <c r="G135" s="28"/>
      <c r="H135" s="28"/>
      <c r="I135" s="28"/>
      <c r="J135" s="28"/>
      <c r="K135" s="28"/>
      <c r="L135" s="409"/>
      <c r="M135" s="46"/>
      <c r="N135" s="46"/>
      <c r="O135" s="315"/>
      <c r="P135" s="46"/>
      <c r="Q135" s="315"/>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row>
    <row r="136" spans="1:47" s="255" customFormat="1">
      <c r="E136" s="327"/>
      <c r="F136" s="28"/>
      <c r="G136" s="324" t="str">
        <f>C138&amp;" Capital Costs"</f>
        <v>Belt Filter Press Dewatering Capital Costs</v>
      </c>
      <c r="H136" s="324"/>
      <c r="I136" s="324"/>
      <c r="J136" s="324"/>
      <c r="K136" s="324"/>
      <c r="L136" s="405" t="s">
        <v>79</v>
      </c>
      <c r="M136" s="256"/>
      <c r="N136" s="325" t="s">
        <v>490</v>
      </c>
      <c r="O136" s="311"/>
      <c r="P136" s="325" t="s">
        <v>491</v>
      </c>
      <c r="Q136" s="310"/>
      <c r="R136" s="325">
        <f>R$8</f>
        <v>2014</v>
      </c>
      <c r="S136" s="325">
        <f t="shared" ref="S136:AU136" si="96">S$8</f>
        <v>2015</v>
      </c>
      <c r="T136" s="325">
        <f t="shared" si="96"/>
        <v>2016</v>
      </c>
      <c r="U136" s="325">
        <f t="shared" si="96"/>
        <v>2017</v>
      </c>
      <c r="V136" s="325">
        <f t="shared" si="96"/>
        <v>2018</v>
      </c>
      <c r="W136" s="325">
        <f t="shared" si="96"/>
        <v>2019</v>
      </c>
      <c r="X136" s="325">
        <f t="shared" si="96"/>
        <v>2020</v>
      </c>
      <c r="Y136" s="325">
        <f t="shared" si="96"/>
        <v>2021</v>
      </c>
      <c r="Z136" s="325">
        <f t="shared" si="96"/>
        <v>2022</v>
      </c>
      <c r="AA136" s="325">
        <f t="shared" si="96"/>
        <v>2023</v>
      </c>
      <c r="AB136" s="325">
        <f t="shared" si="96"/>
        <v>2024</v>
      </c>
      <c r="AC136" s="325">
        <f t="shared" si="96"/>
        <v>2025</v>
      </c>
      <c r="AD136" s="325">
        <f t="shared" si="96"/>
        <v>2026</v>
      </c>
      <c r="AE136" s="325">
        <f t="shared" si="96"/>
        <v>2027</v>
      </c>
      <c r="AF136" s="325">
        <f t="shared" si="96"/>
        <v>2028</v>
      </c>
      <c r="AG136" s="325">
        <f t="shared" si="96"/>
        <v>2029</v>
      </c>
      <c r="AH136" s="325">
        <f t="shared" si="96"/>
        <v>2030</v>
      </c>
      <c r="AI136" s="325">
        <f t="shared" si="96"/>
        <v>2031</v>
      </c>
      <c r="AJ136" s="325">
        <f t="shared" si="96"/>
        <v>2032</v>
      </c>
      <c r="AK136" s="325">
        <f t="shared" si="96"/>
        <v>2033</v>
      </c>
      <c r="AL136" s="325">
        <f t="shared" si="96"/>
        <v>2034</v>
      </c>
      <c r="AM136" s="325">
        <f t="shared" si="96"/>
        <v>2035</v>
      </c>
      <c r="AN136" s="325">
        <f t="shared" si="96"/>
        <v>2036</v>
      </c>
      <c r="AO136" s="325">
        <f t="shared" si="96"/>
        <v>2037</v>
      </c>
      <c r="AP136" s="325">
        <f t="shared" si="96"/>
        <v>2038</v>
      </c>
      <c r="AQ136" s="325">
        <f t="shared" si="96"/>
        <v>2039</v>
      </c>
      <c r="AR136" s="325">
        <f t="shared" si="96"/>
        <v>2040</v>
      </c>
      <c r="AS136" s="325">
        <f t="shared" si="96"/>
        <v>2041</v>
      </c>
      <c r="AT136" s="325">
        <f t="shared" si="96"/>
        <v>2042</v>
      </c>
      <c r="AU136" s="325">
        <f t="shared" si="96"/>
        <v>2043</v>
      </c>
    </row>
    <row r="137" spans="1:47">
      <c r="E137" s="325"/>
      <c r="G137" s="39"/>
      <c r="H137" s="39"/>
      <c r="I137" s="39"/>
      <c r="J137" s="39"/>
      <c r="K137" s="39"/>
    </row>
    <row r="138" spans="1:47">
      <c r="A138" s="38" t="str">
        <f>$J$4&amp;"-"</f>
        <v>2X-</v>
      </c>
      <c r="B138" s="38" t="s">
        <v>306</v>
      </c>
      <c r="C138" s="38" t="s">
        <v>143</v>
      </c>
      <c r="D138" s="186">
        <f>CapExEsc</f>
        <v>0.03</v>
      </c>
      <c r="E138" s="325"/>
      <c r="G138" s="36" t="s">
        <v>8</v>
      </c>
      <c r="H138" s="39"/>
      <c r="I138" s="39"/>
      <c r="J138" s="70"/>
      <c r="K138" s="39"/>
      <c r="L138" s="43" t="str">
        <f>"["&amp;CostBaseYr&amp;" $]"</f>
        <v>[2013 $]</v>
      </c>
      <c r="N138" s="52">
        <f ca="1">SUMIFS(OFFSET(Assumptions!$I$65,0,MATCH($A138,Configurations,0)-1,COUNT(Assumptions!$A$65:$A$84),1),Assumptions!$E$65:$E$84,$C138)</f>
        <v>2782000</v>
      </c>
      <c r="O138" s="52"/>
      <c r="P138" s="322"/>
      <c r="Q138" s="52"/>
      <c r="R138" s="52">
        <f t="shared" ref="R138:AU138" ca="1" si="97">R139*IF($P138=0,$N138,$P138)*(1+$D138)^(R$8-CostBaseYr)</f>
        <v>2865460</v>
      </c>
      <c r="S138" s="52">
        <f t="shared" ca="1" si="97"/>
        <v>0</v>
      </c>
      <c r="T138" s="52">
        <f t="shared" ca="1" si="97"/>
        <v>0</v>
      </c>
      <c r="U138" s="52">
        <f t="shared" ca="1" si="97"/>
        <v>0</v>
      </c>
      <c r="V138" s="52">
        <f t="shared" ca="1" si="97"/>
        <v>0</v>
      </c>
      <c r="W138" s="52">
        <f t="shared" ca="1" si="97"/>
        <v>0</v>
      </c>
      <c r="X138" s="52">
        <f t="shared" ca="1" si="97"/>
        <v>0</v>
      </c>
      <c r="Y138" s="52">
        <f t="shared" ca="1" si="97"/>
        <v>0</v>
      </c>
      <c r="Z138" s="52">
        <f t="shared" ca="1" si="97"/>
        <v>0</v>
      </c>
      <c r="AA138" s="52">
        <f t="shared" ca="1" si="97"/>
        <v>0</v>
      </c>
      <c r="AB138" s="52">
        <f t="shared" ca="1" si="97"/>
        <v>0</v>
      </c>
      <c r="AC138" s="52">
        <f t="shared" ca="1" si="97"/>
        <v>0</v>
      </c>
      <c r="AD138" s="52">
        <f t="shared" ca="1" si="97"/>
        <v>0</v>
      </c>
      <c r="AE138" s="52">
        <f t="shared" ca="1" si="97"/>
        <v>0</v>
      </c>
      <c r="AF138" s="52">
        <f t="shared" ca="1" si="97"/>
        <v>0</v>
      </c>
      <c r="AG138" s="52">
        <f t="shared" ca="1" si="97"/>
        <v>0</v>
      </c>
      <c r="AH138" s="52">
        <f t="shared" ca="1" si="97"/>
        <v>0</v>
      </c>
      <c r="AI138" s="52">
        <f t="shared" ca="1" si="97"/>
        <v>0</v>
      </c>
      <c r="AJ138" s="52">
        <f t="shared" ca="1" si="97"/>
        <v>0</v>
      </c>
      <c r="AK138" s="52">
        <f t="shared" ca="1" si="97"/>
        <v>0</v>
      </c>
      <c r="AL138" s="52">
        <f t="shared" ca="1" si="97"/>
        <v>0</v>
      </c>
      <c r="AM138" s="52">
        <f t="shared" ca="1" si="97"/>
        <v>0</v>
      </c>
      <c r="AN138" s="52">
        <f t="shared" ca="1" si="97"/>
        <v>0</v>
      </c>
      <c r="AO138" s="52">
        <f t="shared" ca="1" si="97"/>
        <v>0</v>
      </c>
      <c r="AP138" s="52">
        <f t="shared" ca="1" si="97"/>
        <v>0</v>
      </c>
      <c r="AQ138" s="52">
        <f t="shared" ca="1" si="97"/>
        <v>0</v>
      </c>
      <c r="AR138" s="52">
        <f t="shared" ca="1" si="97"/>
        <v>0</v>
      </c>
      <c r="AS138" s="52">
        <f t="shared" ca="1" si="97"/>
        <v>0</v>
      </c>
      <c r="AT138" s="52">
        <f t="shared" ca="1" si="97"/>
        <v>0</v>
      </c>
      <c r="AU138" s="52">
        <f t="shared" ca="1" si="97"/>
        <v>0</v>
      </c>
    </row>
    <row r="139" spans="1:47">
      <c r="E139" s="325"/>
      <c r="G139" s="36" t="s">
        <v>10</v>
      </c>
      <c r="H139" s="39"/>
      <c r="I139" s="39"/>
      <c r="J139" s="39"/>
      <c r="K139" s="39"/>
      <c r="L139" s="43"/>
      <c r="R139" s="54">
        <f>Assumptions!M$60</f>
        <v>1</v>
      </c>
      <c r="S139" s="54">
        <f>Assumptions!N$60</f>
        <v>0</v>
      </c>
      <c r="T139" s="54">
        <f>Assumptions!O$60</f>
        <v>0</v>
      </c>
      <c r="U139" s="54">
        <f>Assumptions!P$60</f>
        <v>0</v>
      </c>
      <c r="V139" s="54">
        <f>Assumptions!Q$60</f>
        <v>0</v>
      </c>
      <c r="W139" s="54">
        <f>Assumptions!R$60</f>
        <v>0</v>
      </c>
      <c r="X139" s="54">
        <f>Assumptions!S$60</f>
        <v>0</v>
      </c>
      <c r="Y139" s="54">
        <f>Assumptions!T$60</f>
        <v>0</v>
      </c>
      <c r="Z139" s="54">
        <f>Assumptions!U$60</f>
        <v>0</v>
      </c>
      <c r="AA139" s="54">
        <f>Assumptions!V$60</f>
        <v>0</v>
      </c>
      <c r="AB139" s="54">
        <f>Assumptions!W$60</f>
        <v>0</v>
      </c>
      <c r="AC139" s="54">
        <f>Assumptions!X$60</f>
        <v>0</v>
      </c>
      <c r="AD139" s="54">
        <f>Assumptions!Y$60</f>
        <v>0</v>
      </c>
      <c r="AE139" s="54">
        <f>Assumptions!Z$60</f>
        <v>0</v>
      </c>
      <c r="AF139" s="54">
        <f>Assumptions!AA$60</f>
        <v>0</v>
      </c>
      <c r="AG139" s="54">
        <f>Assumptions!AB$60</f>
        <v>0</v>
      </c>
      <c r="AH139" s="54">
        <f>Assumptions!AC$60</f>
        <v>0</v>
      </c>
      <c r="AI139" s="54">
        <f>Assumptions!AD$60</f>
        <v>0</v>
      </c>
      <c r="AJ139" s="54">
        <f>Assumptions!AE$60</f>
        <v>0</v>
      </c>
      <c r="AK139" s="54">
        <f>Assumptions!AF$60</f>
        <v>0</v>
      </c>
      <c r="AL139" s="54">
        <f>Assumptions!AG$60</f>
        <v>0</v>
      </c>
      <c r="AM139" s="54">
        <f>Assumptions!AH$60</f>
        <v>0</v>
      </c>
      <c r="AN139" s="54">
        <f>Assumptions!AI$60</f>
        <v>0</v>
      </c>
      <c r="AO139" s="54">
        <f>Assumptions!AJ$60</f>
        <v>0</v>
      </c>
      <c r="AP139" s="54">
        <f>Assumptions!AK$60</f>
        <v>0</v>
      </c>
      <c r="AQ139" s="54">
        <f>Assumptions!AL$60</f>
        <v>0</v>
      </c>
      <c r="AR139" s="54">
        <f>Assumptions!AM$60</f>
        <v>0</v>
      </c>
      <c r="AS139" s="54">
        <f>Assumptions!AN$60</f>
        <v>0</v>
      </c>
      <c r="AT139" s="54">
        <f>Assumptions!AO$60</f>
        <v>0</v>
      </c>
      <c r="AU139" s="54">
        <f>Assumptions!AP$60</f>
        <v>0</v>
      </c>
    </row>
    <row r="140" spans="1:47">
      <c r="E140" s="326"/>
      <c r="G140" s="39"/>
      <c r="H140" s="39"/>
      <c r="I140" s="39"/>
      <c r="J140" s="39"/>
      <c r="K140" s="39"/>
    </row>
    <row r="141" spans="1:47">
      <c r="E141" s="327"/>
      <c r="F141" s="28"/>
      <c r="G141" s="324" t="str">
        <f>C138&amp;" O&amp;M"</f>
        <v>Belt Filter Press Dewatering O&amp;M</v>
      </c>
      <c r="H141" s="324"/>
      <c r="I141" s="324"/>
      <c r="J141" s="324"/>
      <c r="K141" s="324"/>
      <c r="L141" s="405" t="s">
        <v>79</v>
      </c>
      <c r="M141" s="256"/>
      <c r="N141" s="325" t="s">
        <v>490</v>
      </c>
      <c r="O141" s="311"/>
      <c r="P141" s="325" t="s">
        <v>491</v>
      </c>
      <c r="Q141" s="310"/>
      <c r="R141" s="325">
        <f>R$8</f>
        <v>2014</v>
      </c>
      <c r="S141" s="325">
        <f t="shared" ref="S141:AU141" si="98">S$8</f>
        <v>2015</v>
      </c>
      <c r="T141" s="325">
        <f t="shared" si="98"/>
        <v>2016</v>
      </c>
      <c r="U141" s="325">
        <f t="shared" si="98"/>
        <v>2017</v>
      </c>
      <c r="V141" s="325">
        <f t="shared" si="98"/>
        <v>2018</v>
      </c>
      <c r="W141" s="325">
        <f t="shared" si="98"/>
        <v>2019</v>
      </c>
      <c r="X141" s="325">
        <f t="shared" si="98"/>
        <v>2020</v>
      </c>
      <c r="Y141" s="325">
        <f t="shared" si="98"/>
        <v>2021</v>
      </c>
      <c r="Z141" s="325">
        <f t="shared" si="98"/>
        <v>2022</v>
      </c>
      <c r="AA141" s="325">
        <f t="shared" si="98"/>
        <v>2023</v>
      </c>
      <c r="AB141" s="325">
        <f t="shared" si="98"/>
        <v>2024</v>
      </c>
      <c r="AC141" s="325">
        <f t="shared" si="98"/>
        <v>2025</v>
      </c>
      <c r="AD141" s="325">
        <f t="shared" si="98"/>
        <v>2026</v>
      </c>
      <c r="AE141" s="325">
        <f t="shared" si="98"/>
        <v>2027</v>
      </c>
      <c r="AF141" s="325">
        <f t="shared" si="98"/>
        <v>2028</v>
      </c>
      <c r="AG141" s="325">
        <f t="shared" si="98"/>
        <v>2029</v>
      </c>
      <c r="AH141" s="325">
        <f t="shared" si="98"/>
        <v>2030</v>
      </c>
      <c r="AI141" s="325">
        <f t="shared" si="98"/>
        <v>2031</v>
      </c>
      <c r="AJ141" s="325">
        <f t="shared" si="98"/>
        <v>2032</v>
      </c>
      <c r="AK141" s="325">
        <f t="shared" si="98"/>
        <v>2033</v>
      </c>
      <c r="AL141" s="325">
        <f t="shared" si="98"/>
        <v>2034</v>
      </c>
      <c r="AM141" s="325">
        <f t="shared" si="98"/>
        <v>2035</v>
      </c>
      <c r="AN141" s="325">
        <f t="shared" si="98"/>
        <v>2036</v>
      </c>
      <c r="AO141" s="325">
        <f t="shared" si="98"/>
        <v>2037</v>
      </c>
      <c r="AP141" s="325">
        <f t="shared" si="98"/>
        <v>2038</v>
      </c>
      <c r="AQ141" s="325">
        <f t="shared" si="98"/>
        <v>2039</v>
      </c>
      <c r="AR141" s="325">
        <f t="shared" si="98"/>
        <v>2040</v>
      </c>
      <c r="AS141" s="325">
        <f t="shared" si="98"/>
        <v>2041</v>
      </c>
      <c r="AT141" s="325">
        <f t="shared" si="98"/>
        <v>2042</v>
      </c>
      <c r="AU141" s="325">
        <f t="shared" si="98"/>
        <v>2043</v>
      </c>
    </row>
    <row r="142" spans="1:47">
      <c r="E142" s="325"/>
      <c r="G142" s="39"/>
      <c r="H142" s="39"/>
      <c r="I142" s="39"/>
      <c r="J142" s="39"/>
      <c r="K142" s="39"/>
    </row>
    <row r="143" spans="1:47">
      <c r="E143" s="325"/>
      <c r="G143" s="39" t="s">
        <v>23</v>
      </c>
      <c r="H143" s="39"/>
      <c r="I143" s="39"/>
      <c r="J143" s="39"/>
      <c r="K143" s="39"/>
    </row>
    <row r="144" spans="1:47">
      <c r="A144" s="38" t="str">
        <f t="shared" ref="A144:A151" si="99">$J$4&amp;"-"</f>
        <v>2X-</v>
      </c>
      <c r="B144" s="38" t="s">
        <v>262</v>
      </c>
      <c r="C144" s="38" t="str">
        <f>C138</f>
        <v>Belt Filter Press Dewatering</v>
      </c>
      <c r="D144" s="186">
        <f>LaborEsc</f>
        <v>0.02</v>
      </c>
      <c r="E144" s="325"/>
      <c r="G144" s="36" t="s">
        <v>125</v>
      </c>
      <c r="I144" s="39"/>
      <c r="K144" s="39"/>
      <c r="L144" s="43" t="s">
        <v>266</v>
      </c>
      <c r="N144" s="70">
        <f ca="1">SUMIFS(OFFSET(Assumptions!$I$90,0,MATCH($A144,Configurations,0)-1,COUNT(Assumptions!$A$90:$A$183),1),Assumptions!$D$90:$D$183,$B144&amp;$C144)</f>
        <v>5110</v>
      </c>
      <c r="O144" s="313"/>
      <c r="P144" s="323"/>
      <c r="Q144" s="313"/>
      <c r="R144" s="50">
        <f t="shared" ref="R144:AU144" ca="1" si="100">IF(OR(R$99&lt;InServiceYr,R$99&gt;(InServiceYr+analysis_period-1)),0,IF($P144=0,$N144,$P144)*LaborCost*(1+$D144)^(R$99-CostBaseYr))</f>
        <v>182427</v>
      </c>
      <c r="S144" s="50">
        <f t="shared" ca="1" si="100"/>
        <v>186075.54</v>
      </c>
      <c r="T144" s="50">
        <f t="shared" ca="1" si="100"/>
        <v>189797.0508</v>
      </c>
      <c r="U144" s="50">
        <f t="shared" ca="1" si="100"/>
        <v>193592.99181599999</v>
      </c>
      <c r="V144" s="50">
        <f t="shared" ca="1" si="100"/>
        <v>197464.85165232001</v>
      </c>
      <c r="W144" s="50">
        <f t="shared" ca="1" si="100"/>
        <v>201414.14868536641</v>
      </c>
      <c r="X144" s="50">
        <f t="shared" ca="1" si="100"/>
        <v>205442.43165907369</v>
      </c>
      <c r="Y144" s="50">
        <f t="shared" ca="1" si="100"/>
        <v>209551.28029225519</v>
      </c>
      <c r="Z144" s="50">
        <f t="shared" ca="1" si="100"/>
        <v>213742.30589810028</v>
      </c>
      <c r="AA144" s="50">
        <f t="shared" ca="1" si="100"/>
        <v>218017.15201606232</v>
      </c>
      <c r="AB144" s="50">
        <f t="shared" ca="1" si="100"/>
        <v>222377.49505638352</v>
      </c>
      <c r="AC144" s="50">
        <f t="shared" ca="1" si="100"/>
        <v>226825.04495751121</v>
      </c>
      <c r="AD144" s="50">
        <f t="shared" ca="1" si="100"/>
        <v>231361.54585666143</v>
      </c>
      <c r="AE144" s="50">
        <f t="shared" ca="1" si="100"/>
        <v>235988.77677379467</v>
      </c>
      <c r="AF144" s="50">
        <f t="shared" ca="1" si="100"/>
        <v>240708.55230927051</v>
      </c>
      <c r="AG144" s="50">
        <f t="shared" ca="1" si="100"/>
        <v>245522.72335545596</v>
      </c>
      <c r="AH144" s="50">
        <f t="shared" ca="1" si="100"/>
        <v>250433.17782256511</v>
      </c>
      <c r="AI144" s="50">
        <f t="shared" ca="1" si="100"/>
        <v>255441.84137901638</v>
      </c>
      <c r="AJ144" s="50">
        <f t="shared" ca="1" si="100"/>
        <v>260550.6782065967</v>
      </c>
      <c r="AK144" s="50">
        <f t="shared" ca="1" si="100"/>
        <v>265761.69177072868</v>
      </c>
      <c r="AL144" s="50">
        <f t="shared" si="100"/>
        <v>0</v>
      </c>
      <c r="AM144" s="50">
        <f t="shared" si="100"/>
        <v>0</v>
      </c>
      <c r="AN144" s="50">
        <f t="shared" si="100"/>
        <v>0</v>
      </c>
      <c r="AO144" s="50">
        <f t="shared" si="100"/>
        <v>0</v>
      </c>
      <c r="AP144" s="50">
        <f t="shared" si="100"/>
        <v>0</v>
      </c>
      <c r="AQ144" s="50">
        <f t="shared" si="100"/>
        <v>0</v>
      </c>
      <c r="AR144" s="50">
        <f t="shared" si="100"/>
        <v>0</v>
      </c>
      <c r="AS144" s="50">
        <f t="shared" si="100"/>
        <v>0</v>
      </c>
      <c r="AT144" s="50">
        <f t="shared" si="100"/>
        <v>0</v>
      </c>
      <c r="AU144" s="50">
        <f t="shared" si="100"/>
        <v>0</v>
      </c>
    </row>
    <row r="145" spans="1:47">
      <c r="A145" s="38" t="str">
        <f t="shared" si="99"/>
        <v>2X-</v>
      </c>
      <c r="B145" s="38" t="s">
        <v>270</v>
      </c>
      <c r="C145" s="38" t="str">
        <f>C144</f>
        <v>Belt Filter Press Dewatering</v>
      </c>
      <c r="D145" s="186">
        <f>OMEsc</f>
        <v>0.02</v>
      </c>
      <c r="E145" s="325"/>
      <c r="G145" s="36" t="s">
        <v>126</v>
      </c>
      <c r="I145" s="39"/>
      <c r="K145" s="39"/>
      <c r="L145" s="43" t="str">
        <f>"["&amp;CostBaseYr&amp;" $]"</f>
        <v>[2013 $]</v>
      </c>
      <c r="N145" s="70">
        <f ca="1">SUMIFS(OFFSET(Assumptions!$I$90,0,MATCH($A145,Configurations,0)-1,COUNT(Assumptions!$A$90:$A$183),1),Assumptions!$D$90:$D$183,$B145&amp;$C145)</f>
        <v>37000</v>
      </c>
      <c r="O145" s="313"/>
      <c r="P145" s="323"/>
      <c r="Q145" s="313"/>
      <c r="R145" s="50">
        <f t="shared" ref="R145:AG147" ca="1" si="101">IF(OR(R$99&lt;InServiceYr,R$99&gt;(InServiceYr+analysis_period-1)),0,IF($P145=0,$N145,$P145)*(1+$D145)^(R$99-CostBaseYr))</f>
        <v>37740</v>
      </c>
      <c r="S145" s="50">
        <f t="shared" ca="1" si="101"/>
        <v>38494.800000000003</v>
      </c>
      <c r="T145" s="50">
        <f t="shared" ca="1" si="101"/>
        <v>39264.695999999996</v>
      </c>
      <c r="U145" s="50">
        <f t="shared" ca="1" si="101"/>
        <v>40049.98992</v>
      </c>
      <c r="V145" s="50">
        <f t="shared" ca="1" si="101"/>
        <v>40850.9897184</v>
      </c>
      <c r="W145" s="50">
        <f t="shared" ca="1" si="101"/>
        <v>41668.009512768003</v>
      </c>
      <c r="X145" s="50">
        <f t="shared" ca="1" si="101"/>
        <v>42501.369703023352</v>
      </c>
      <c r="Y145" s="50">
        <f t="shared" ca="1" si="101"/>
        <v>43351.397097083827</v>
      </c>
      <c r="Z145" s="50">
        <f t="shared" ca="1" si="101"/>
        <v>44218.425039025504</v>
      </c>
      <c r="AA145" s="50">
        <f t="shared" ca="1" si="101"/>
        <v>45102.793539806014</v>
      </c>
      <c r="AB145" s="50">
        <f t="shared" ca="1" si="101"/>
        <v>46004.849410602124</v>
      </c>
      <c r="AC145" s="50">
        <f t="shared" ca="1" si="101"/>
        <v>46924.946398814172</v>
      </c>
      <c r="AD145" s="50">
        <f t="shared" ca="1" si="101"/>
        <v>47863.445326790454</v>
      </c>
      <c r="AE145" s="50">
        <f t="shared" ca="1" si="101"/>
        <v>48820.714233326267</v>
      </c>
      <c r="AF145" s="50">
        <f t="shared" ca="1" si="101"/>
        <v>49797.12851799278</v>
      </c>
      <c r="AG145" s="50">
        <f t="shared" ca="1" si="101"/>
        <v>50793.071088352648</v>
      </c>
      <c r="AH145" s="50">
        <f t="shared" ref="S145:AU147" ca="1" si="102">IF(OR(AH$99&lt;InServiceYr,AH$99&gt;(InServiceYr+analysis_period-1)),0,IF($P145=0,$N145,$P145)*(1+$D145)^(AH$99-CostBaseYr))</f>
        <v>51808.932510119703</v>
      </c>
      <c r="AI145" s="50">
        <f t="shared" ca="1" si="102"/>
        <v>52845.111160322092</v>
      </c>
      <c r="AJ145" s="50">
        <f t="shared" ca="1" si="102"/>
        <v>53902.013383528531</v>
      </c>
      <c r="AK145" s="50">
        <f t="shared" ca="1" si="102"/>
        <v>54980.053651199109</v>
      </c>
      <c r="AL145" s="50">
        <f t="shared" si="102"/>
        <v>0</v>
      </c>
      <c r="AM145" s="50">
        <f t="shared" si="102"/>
        <v>0</v>
      </c>
      <c r="AN145" s="50">
        <f t="shared" si="102"/>
        <v>0</v>
      </c>
      <c r="AO145" s="50">
        <f t="shared" si="102"/>
        <v>0</v>
      </c>
      <c r="AP145" s="50">
        <f t="shared" si="102"/>
        <v>0</v>
      </c>
      <c r="AQ145" s="50">
        <f t="shared" si="102"/>
        <v>0</v>
      </c>
      <c r="AR145" s="50">
        <f t="shared" si="102"/>
        <v>0</v>
      </c>
      <c r="AS145" s="50">
        <f t="shared" si="102"/>
        <v>0</v>
      </c>
      <c r="AT145" s="50">
        <f t="shared" si="102"/>
        <v>0</v>
      </c>
      <c r="AU145" s="50">
        <f t="shared" si="102"/>
        <v>0</v>
      </c>
    </row>
    <row r="146" spans="1:47">
      <c r="A146" s="38" t="str">
        <f t="shared" si="99"/>
        <v>2X-</v>
      </c>
      <c r="B146" s="38" t="s">
        <v>263</v>
      </c>
      <c r="C146" s="38" t="str">
        <f t="shared" ref="C146:C150" si="103">C145</f>
        <v>Belt Filter Press Dewatering</v>
      </c>
      <c r="D146" s="186">
        <f>OMEsc</f>
        <v>0.02</v>
      </c>
      <c r="E146" s="325"/>
      <c r="G146" s="36" t="s">
        <v>127</v>
      </c>
      <c r="I146" s="39"/>
      <c r="K146" s="39"/>
      <c r="L146" s="43" t="str">
        <f>"["&amp;CostBaseYr&amp;" $]"</f>
        <v>[2013 $]</v>
      </c>
      <c r="N146" s="70">
        <f ca="1">SUMIFS(OFFSET(Assumptions!$I$90,0,MATCH($A146,Configurations,0)-1,COUNT(Assumptions!$A$90:$A$183),1),Assumptions!$D$90:$D$183,$B146&amp;$C146)</f>
        <v>101000</v>
      </c>
      <c r="O146" s="313"/>
      <c r="P146" s="323"/>
      <c r="Q146" s="313"/>
      <c r="R146" s="50">
        <f t="shared" ca="1" si="101"/>
        <v>103020</v>
      </c>
      <c r="S146" s="50">
        <f t="shared" ca="1" si="102"/>
        <v>105080.4</v>
      </c>
      <c r="T146" s="50">
        <f t="shared" ca="1" si="102"/>
        <v>107182.00799999999</v>
      </c>
      <c r="U146" s="50">
        <f t="shared" ca="1" si="102"/>
        <v>109325.64816</v>
      </c>
      <c r="V146" s="50">
        <f t="shared" ca="1" si="102"/>
        <v>111512.1611232</v>
      </c>
      <c r="W146" s="50">
        <f t="shared" ca="1" si="102"/>
        <v>113742.40434566401</v>
      </c>
      <c r="X146" s="50">
        <f t="shared" ca="1" si="102"/>
        <v>116017.25243257727</v>
      </c>
      <c r="Y146" s="50">
        <f t="shared" ca="1" si="102"/>
        <v>118337.59748122882</v>
      </c>
      <c r="Z146" s="50">
        <f t="shared" ca="1" si="102"/>
        <v>120704.3494308534</v>
      </c>
      <c r="AA146" s="50">
        <f t="shared" ca="1" si="102"/>
        <v>123118.43641947047</v>
      </c>
      <c r="AB146" s="50">
        <f t="shared" ca="1" si="102"/>
        <v>125580.80514785985</v>
      </c>
      <c r="AC146" s="50">
        <f t="shared" ca="1" si="102"/>
        <v>128092.42125081707</v>
      </c>
      <c r="AD146" s="50">
        <f t="shared" ca="1" si="102"/>
        <v>130654.26967583341</v>
      </c>
      <c r="AE146" s="50">
        <f t="shared" ca="1" si="102"/>
        <v>133267.35506935007</v>
      </c>
      <c r="AF146" s="50">
        <f t="shared" ca="1" si="102"/>
        <v>135932.70217073706</v>
      </c>
      <c r="AG146" s="50">
        <f t="shared" ca="1" si="102"/>
        <v>138651.35621415181</v>
      </c>
      <c r="AH146" s="50">
        <f t="shared" ca="1" si="102"/>
        <v>141424.38333843485</v>
      </c>
      <c r="AI146" s="50">
        <f t="shared" ca="1" si="102"/>
        <v>144252.87100520355</v>
      </c>
      <c r="AJ146" s="50">
        <f t="shared" ca="1" si="102"/>
        <v>147137.92842530762</v>
      </c>
      <c r="AK146" s="50">
        <f t="shared" ca="1" si="102"/>
        <v>150080.68699381378</v>
      </c>
      <c r="AL146" s="50">
        <f t="shared" si="102"/>
        <v>0</v>
      </c>
      <c r="AM146" s="50">
        <f t="shared" si="102"/>
        <v>0</v>
      </c>
      <c r="AN146" s="50">
        <f t="shared" si="102"/>
        <v>0</v>
      </c>
      <c r="AO146" s="50">
        <f t="shared" si="102"/>
        <v>0</v>
      </c>
      <c r="AP146" s="50">
        <f t="shared" si="102"/>
        <v>0</v>
      </c>
      <c r="AQ146" s="50">
        <f t="shared" si="102"/>
        <v>0</v>
      </c>
      <c r="AR146" s="50">
        <f t="shared" si="102"/>
        <v>0</v>
      </c>
      <c r="AS146" s="50">
        <f t="shared" si="102"/>
        <v>0</v>
      </c>
      <c r="AT146" s="50">
        <f t="shared" si="102"/>
        <v>0</v>
      </c>
      <c r="AU146" s="50">
        <f t="shared" si="102"/>
        <v>0</v>
      </c>
    </row>
    <row r="147" spans="1:47">
      <c r="A147" s="38" t="str">
        <f t="shared" si="99"/>
        <v>2X-</v>
      </c>
      <c r="B147" s="38" t="s">
        <v>277</v>
      </c>
      <c r="C147" s="38" t="str">
        <f t="shared" si="103"/>
        <v>Belt Filter Press Dewatering</v>
      </c>
      <c r="D147" s="186">
        <f>OMEsc</f>
        <v>0.02</v>
      </c>
      <c r="E147" s="325"/>
      <c r="G147" s="36" t="s">
        <v>276</v>
      </c>
      <c r="I147" s="39"/>
      <c r="K147" s="39"/>
      <c r="L147" s="43" t="str">
        <f>"["&amp;CostBaseYr&amp;" $]"</f>
        <v>[2013 $]</v>
      </c>
      <c r="N147" s="70">
        <f ca="1">SUMIFS(OFFSET(Assumptions!$I$90,0,MATCH($A147,Configurations,0)-1,COUNT(Assumptions!$A$90:$A$183),1),Assumptions!$D$90:$D$183,$B147&amp;$C147)</f>
        <v>0</v>
      </c>
      <c r="O147" s="313"/>
      <c r="P147" s="323"/>
      <c r="Q147" s="313"/>
      <c r="R147" s="50">
        <f t="shared" ca="1" si="101"/>
        <v>0</v>
      </c>
      <c r="S147" s="50">
        <f t="shared" ca="1" si="102"/>
        <v>0</v>
      </c>
      <c r="T147" s="50">
        <f t="shared" ca="1" si="102"/>
        <v>0</v>
      </c>
      <c r="U147" s="50">
        <f t="shared" ca="1" si="102"/>
        <v>0</v>
      </c>
      <c r="V147" s="50">
        <f t="shared" ca="1" si="102"/>
        <v>0</v>
      </c>
      <c r="W147" s="50">
        <f t="shared" ca="1" si="102"/>
        <v>0</v>
      </c>
      <c r="X147" s="50">
        <f t="shared" ca="1" si="102"/>
        <v>0</v>
      </c>
      <c r="Y147" s="50">
        <f t="shared" ca="1" si="102"/>
        <v>0</v>
      </c>
      <c r="Z147" s="50">
        <f t="shared" ca="1" si="102"/>
        <v>0</v>
      </c>
      <c r="AA147" s="50">
        <f t="shared" ca="1" si="102"/>
        <v>0</v>
      </c>
      <c r="AB147" s="50">
        <f t="shared" ca="1" si="102"/>
        <v>0</v>
      </c>
      <c r="AC147" s="50">
        <f t="shared" ca="1" si="102"/>
        <v>0</v>
      </c>
      <c r="AD147" s="50">
        <f t="shared" ca="1" si="102"/>
        <v>0</v>
      </c>
      <c r="AE147" s="50">
        <f t="shared" ca="1" si="102"/>
        <v>0</v>
      </c>
      <c r="AF147" s="50">
        <f t="shared" ca="1" si="102"/>
        <v>0</v>
      </c>
      <c r="AG147" s="50">
        <f t="shared" ca="1" si="102"/>
        <v>0</v>
      </c>
      <c r="AH147" s="50">
        <f t="shared" ca="1" si="102"/>
        <v>0</v>
      </c>
      <c r="AI147" s="50">
        <f t="shared" ca="1" si="102"/>
        <v>0</v>
      </c>
      <c r="AJ147" s="50">
        <f t="shared" ca="1" si="102"/>
        <v>0</v>
      </c>
      <c r="AK147" s="50">
        <f t="shared" ca="1" si="102"/>
        <v>0</v>
      </c>
      <c r="AL147" s="50">
        <f t="shared" si="102"/>
        <v>0</v>
      </c>
      <c r="AM147" s="50">
        <f t="shared" si="102"/>
        <v>0</v>
      </c>
      <c r="AN147" s="50">
        <f t="shared" si="102"/>
        <v>0</v>
      </c>
      <c r="AO147" s="50">
        <f t="shared" si="102"/>
        <v>0</v>
      </c>
      <c r="AP147" s="50">
        <f t="shared" si="102"/>
        <v>0</v>
      </c>
      <c r="AQ147" s="50">
        <f t="shared" si="102"/>
        <v>0</v>
      </c>
      <c r="AR147" s="50">
        <f t="shared" si="102"/>
        <v>0</v>
      </c>
      <c r="AS147" s="50">
        <f t="shared" si="102"/>
        <v>0</v>
      </c>
      <c r="AT147" s="50">
        <f t="shared" si="102"/>
        <v>0</v>
      </c>
      <c r="AU147" s="50">
        <f t="shared" si="102"/>
        <v>0</v>
      </c>
    </row>
    <row r="148" spans="1:47">
      <c r="A148" s="38" t="str">
        <f t="shared" si="99"/>
        <v>2X-</v>
      </c>
      <c r="B148" s="38" t="s">
        <v>274</v>
      </c>
      <c r="C148" s="38" t="str">
        <f t="shared" si="103"/>
        <v>Belt Filter Press Dewatering</v>
      </c>
      <c r="D148" s="186"/>
      <c r="E148" s="325"/>
      <c r="G148" s="36" t="s">
        <v>16</v>
      </c>
      <c r="I148" s="39"/>
      <c r="K148" s="39"/>
      <c r="L148" s="43" t="s">
        <v>275</v>
      </c>
      <c r="N148" s="70">
        <f ca="1">SUMIFS(OFFSET(Assumptions!$I$90,0,MATCH($A148,Configurations,0)-1,COUNT(Assumptions!$A$90:$A$183),1),Assumptions!$D$90:$D$183,$B148&amp;$C148)</f>
        <v>0</v>
      </c>
      <c r="O148" s="313"/>
      <c r="P148" s="323"/>
      <c r="Q148" s="313"/>
      <c r="R148" s="50">
        <f t="shared" ref="R148:AU148" ca="1" si="104">IF(OR(R$99&lt;InServiceYr,R$99&gt;(InServiceYr+analysis_period-1)),0,IF($P148=0,$N148,$P148)*R$505)</f>
        <v>0</v>
      </c>
      <c r="S148" s="50">
        <f t="shared" ca="1" si="104"/>
        <v>0</v>
      </c>
      <c r="T148" s="50">
        <f t="shared" ca="1" si="104"/>
        <v>0</v>
      </c>
      <c r="U148" s="50">
        <f t="shared" ca="1" si="104"/>
        <v>0</v>
      </c>
      <c r="V148" s="50">
        <f t="shared" ca="1" si="104"/>
        <v>0</v>
      </c>
      <c r="W148" s="50">
        <f t="shared" ca="1" si="104"/>
        <v>0</v>
      </c>
      <c r="X148" s="50">
        <f t="shared" ca="1" si="104"/>
        <v>0</v>
      </c>
      <c r="Y148" s="50">
        <f t="shared" ca="1" si="104"/>
        <v>0</v>
      </c>
      <c r="Z148" s="50">
        <f t="shared" ca="1" si="104"/>
        <v>0</v>
      </c>
      <c r="AA148" s="50">
        <f t="shared" ca="1" si="104"/>
        <v>0</v>
      </c>
      <c r="AB148" s="50">
        <f t="shared" ca="1" si="104"/>
        <v>0</v>
      </c>
      <c r="AC148" s="50">
        <f t="shared" ca="1" si="104"/>
        <v>0</v>
      </c>
      <c r="AD148" s="50">
        <f t="shared" ca="1" si="104"/>
        <v>0</v>
      </c>
      <c r="AE148" s="50">
        <f t="shared" ca="1" si="104"/>
        <v>0</v>
      </c>
      <c r="AF148" s="50">
        <f t="shared" ca="1" si="104"/>
        <v>0</v>
      </c>
      <c r="AG148" s="50">
        <f t="shared" ca="1" si="104"/>
        <v>0</v>
      </c>
      <c r="AH148" s="50">
        <f t="shared" ca="1" si="104"/>
        <v>0</v>
      </c>
      <c r="AI148" s="50">
        <f t="shared" ca="1" si="104"/>
        <v>0</v>
      </c>
      <c r="AJ148" s="50">
        <f t="shared" ca="1" si="104"/>
        <v>0</v>
      </c>
      <c r="AK148" s="50">
        <f t="shared" ca="1" si="104"/>
        <v>0</v>
      </c>
      <c r="AL148" s="50">
        <f t="shared" si="104"/>
        <v>0</v>
      </c>
      <c r="AM148" s="50">
        <f t="shared" si="104"/>
        <v>0</v>
      </c>
      <c r="AN148" s="50">
        <f t="shared" si="104"/>
        <v>0</v>
      </c>
      <c r="AO148" s="50">
        <f t="shared" si="104"/>
        <v>0</v>
      </c>
      <c r="AP148" s="50">
        <f t="shared" si="104"/>
        <v>0</v>
      </c>
      <c r="AQ148" s="50">
        <f t="shared" si="104"/>
        <v>0</v>
      </c>
      <c r="AR148" s="50">
        <f t="shared" si="104"/>
        <v>0</v>
      </c>
      <c r="AS148" s="50">
        <f t="shared" si="104"/>
        <v>0</v>
      </c>
      <c r="AT148" s="50">
        <f t="shared" si="104"/>
        <v>0</v>
      </c>
      <c r="AU148" s="50">
        <f t="shared" si="104"/>
        <v>0</v>
      </c>
    </row>
    <row r="149" spans="1:47">
      <c r="A149" s="38" t="str">
        <f t="shared" si="99"/>
        <v>2X-</v>
      </c>
      <c r="B149" s="38" t="s">
        <v>257</v>
      </c>
      <c r="C149" s="38" t="str">
        <f t="shared" si="103"/>
        <v>Belt Filter Press Dewatering</v>
      </c>
      <c r="D149" s="186"/>
      <c r="E149" s="325"/>
      <c r="G149" s="36" t="s">
        <v>284</v>
      </c>
      <c r="I149" s="39"/>
      <c r="K149" s="39"/>
      <c r="L149" s="43" t="s">
        <v>293</v>
      </c>
      <c r="N149" s="70">
        <f ca="1">SUMIFS(OFFSET(Assumptions!$I$90,0,MATCH($A149,Configurations,0)-1,COUNT(Assumptions!$A$90:$A$183),1),Assumptions!$D$90:$D$183,$B149&amp;$C149)</f>
        <v>32490</v>
      </c>
      <c r="O149" s="313"/>
      <c r="P149" s="323"/>
      <c r="Q149" s="313"/>
      <c r="R149" s="50">
        <f t="shared" ref="R149:AU149" ca="1" si="105">IF(OR(R$99&lt;InServiceYr,R$99&gt;(InServiceYr+analysis_period-1)),0,IF($P149=0,$N149,$P149)*R$501)</f>
        <v>2098.2547564795068</v>
      </c>
      <c r="S149" s="50">
        <f t="shared" ca="1" si="105"/>
        <v>2111.3342931383763</v>
      </c>
      <c r="T149" s="50">
        <f t="shared" ca="1" si="105"/>
        <v>2202.3537909970146</v>
      </c>
      <c r="U149" s="50">
        <f t="shared" ca="1" si="105"/>
        <v>2268.4188936706396</v>
      </c>
      <c r="V149" s="50">
        <f t="shared" ca="1" si="105"/>
        <v>2323.1583602716419</v>
      </c>
      <c r="W149" s="50">
        <f t="shared" ca="1" si="105"/>
        <v>2352.8791821872192</v>
      </c>
      <c r="X149" s="50">
        <f t="shared" ca="1" si="105"/>
        <v>2391.166345682725</v>
      </c>
      <c r="Y149" s="50">
        <f t="shared" ca="1" si="105"/>
        <v>2450.0798143104926</v>
      </c>
      <c r="Z149" s="50">
        <f t="shared" ca="1" si="105"/>
        <v>2508.7363957116122</v>
      </c>
      <c r="AA149" s="50">
        <f t="shared" ca="1" si="105"/>
        <v>2571.4609674638173</v>
      </c>
      <c r="AB149" s="50">
        <f t="shared" ca="1" si="105"/>
        <v>2627.1583054959615</v>
      </c>
      <c r="AC149" s="50">
        <f t="shared" ca="1" si="105"/>
        <v>2677.7478082453536</v>
      </c>
      <c r="AD149" s="50">
        <f t="shared" ca="1" si="105"/>
        <v>2739.6032393419855</v>
      </c>
      <c r="AE149" s="50">
        <f t="shared" ca="1" si="105"/>
        <v>2802.0433408923659</v>
      </c>
      <c r="AF149" s="50">
        <f t="shared" ca="1" si="105"/>
        <v>2868.6664172445689</v>
      </c>
      <c r="AG149" s="50">
        <f t="shared" ca="1" si="105"/>
        <v>2943.2999662231368</v>
      </c>
      <c r="AH149" s="50">
        <f t="shared" ca="1" si="105"/>
        <v>3015.4327695606694</v>
      </c>
      <c r="AI149" s="50">
        <f t="shared" ca="1" si="105"/>
        <v>3093.657865612267</v>
      </c>
      <c r="AJ149" s="50">
        <f t="shared" ca="1" si="105"/>
        <v>3176.4704867682817</v>
      </c>
      <c r="AK149" s="50">
        <f t="shared" ca="1" si="105"/>
        <v>3262.880858397365</v>
      </c>
      <c r="AL149" s="50">
        <f t="shared" si="105"/>
        <v>0</v>
      </c>
      <c r="AM149" s="50">
        <f t="shared" si="105"/>
        <v>0</v>
      </c>
      <c r="AN149" s="50">
        <f t="shared" si="105"/>
        <v>0</v>
      </c>
      <c r="AO149" s="50">
        <f t="shared" si="105"/>
        <v>0</v>
      </c>
      <c r="AP149" s="50">
        <f t="shared" si="105"/>
        <v>0</v>
      </c>
      <c r="AQ149" s="50">
        <f t="shared" si="105"/>
        <v>0</v>
      </c>
      <c r="AR149" s="50">
        <f t="shared" si="105"/>
        <v>0</v>
      </c>
      <c r="AS149" s="50">
        <f t="shared" si="105"/>
        <v>0</v>
      </c>
      <c r="AT149" s="50">
        <f t="shared" si="105"/>
        <v>0</v>
      </c>
      <c r="AU149" s="50">
        <f t="shared" si="105"/>
        <v>0</v>
      </c>
    </row>
    <row r="150" spans="1:47">
      <c r="A150" s="38" t="str">
        <f t="shared" si="99"/>
        <v>2X-</v>
      </c>
      <c r="B150" s="38" t="s">
        <v>864</v>
      </c>
      <c r="C150" s="38" t="str">
        <f t="shared" si="103"/>
        <v>Belt Filter Press Dewatering</v>
      </c>
      <c r="D150" s="186">
        <f>GHGEsc</f>
        <v>0.02</v>
      </c>
      <c r="E150" s="325"/>
      <c r="G150" s="36" t="s">
        <v>865</v>
      </c>
      <c r="I150" s="39"/>
      <c r="K150" s="39"/>
      <c r="L150" s="43" t="s">
        <v>866</v>
      </c>
      <c r="N150" s="70">
        <f ca="1">SUMIFS(OFFSET(Assumptions!$I$90,0,MATCH($A150,Configurations,0)-1,COUNT(Assumptions!$A$90:$A$183),1),Assumptions!$D$90:$D$183,$B150&amp;$C150)</f>
        <v>0</v>
      </c>
      <c r="O150" s="313"/>
      <c r="P150" s="323"/>
      <c r="Q150" s="313"/>
      <c r="R150" s="50">
        <f t="shared" ref="R150:AU150" ca="1" si="106">IF(OR(R$99&lt;InServiceYr,R$99&gt;(InServiceYr+analysis_period-1)),0,IF($P150=0,$N150,$P150)*R$513)</f>
        <v>0</v>
      </c>
      <c r="S150" s="50">
        <f t="shared" ca="1" si="106"/>
        <v>0</v>
      </c>
      <c r="T150" s="50">
        <f t="shared" ca="1" si="106"/>
        <v>0</v>
      </c>
      <c r="U150" s="50">
        <f t="shared" ca="1" si="106"/>
        <v>0</v>
      </c>
      <c r="V150" s="50">
        <f t="shared" ca="1" si="106"/>
        <v>0</v>
      </c>
      <c r="W150" s="50">
        <f t="shared" ca="1" si="106"/>
        <v>0</v>
      </c>
      <c r="X150" s="50">
        <f t="shared" ca="1" si="106"/>
        <v>0</v>
      </c>
      <c r="Y150" s="50">
        <f t="shared" ca="1" si="106"/>
        <v>0</v>
      </c>
      <c r="Z150" s="50">
        <f t="shared" ca="1" si="106"/>
        <v>0</v>
      </c>
      <c r="AA150" s="50">
        <f t="shared" ca="1" si="106"/>
        <v>0</v>
      </c>
      <c r="AB150" s="50">
        <f t="shared" ca="1" si="106"/>
        <v>0</v>
      </c>
      <c r="AC150" s="50">
        <f t="shared" ca="1" si="106"/>
        <v>0</v>
      </c>
      <c r="AD150" s="50">
        <f t="shared" ca="1" si="106"/>
        <v>0</v>
      </c>
      <c r="AE150" s="50">
        <f t="shared" ca="1" si="106"/>
        <v>0</v>
      </c>
      <c r="AF150" s="50">
        <f t="shared" ca="1" si="106"/>
        <v>0</v>
      </c>
      <c r="AG150" s="50">
        <f t="shared" ca="1" si="106"/>
        <v>0</v>
      </c>
      <c r="AH150" s="50">
        <f t="shared" ca="1" si="106"/>
        <v>0</v>
      </c>
      <c r="AI150" s="50">
        <f t="shared" ca="1" si="106"/>
        <v>0</v>
      </c>
      <c r="AJ150" s="50">
        <f t="shared" ca="1" si="106"/>
        <v>0</v>
      </c>
      <c r="AK150" s="50">
        <f t="shared" ca="1" si="106"/>
        <v>0</v>
      </c>
      <c r="AL150" s="50">
        <f t="shared" si="106"/>
        <v>0</v>
      </c>
      <c r="AM150" s="50">
        <f t="shared" si="106"/>
        <v>0</v>
      </c>
      <c r="AN150" s="50">
        <f t="shared" si="106"/>
        <v>0</v>
      </c>
      <c r="AO150" s="50">
        <f t="shared" si="106"/>
        <v>0</v>
      </c>
      <c r="AP150" s="50">
        <f t="shared" si="106"/>
        <v>0</v>
      </c>
      <c r="AQ150" s="50">
        <f t="shared" si="106"/>
        <v>0</v>
      </c>
      <c r="AR150" s="50">
        <f t="shared" si="106"/>
        <v>0</v>
      </c>
      <c r="AS150" s="50">
        <f t="shared" si="106"/>
        <v>0</v>
      </c>
      <c r="AT150" s="50">
        <f t="shared" si="106"/>
        <v>0</v>
      </c>
      <c r="AU150" s="50">
        <f t="shared" si="106"/>
        <v>0</v>
      </c>
    </row>
    <row r="151" spans="1:47">
      <c r="A151" s="38" t="str">
        <f t="shared" si="99"/>
        <v>2X-</v>
      </c>
      <c r="B151" s="38" t="s">
        <v>273</v>
      </c>
      <c r="C151" s="38" t="str">
        <f>C149</f>
        <v>Belt Filter Press Dewatering</v>
      </c>
      <c r="D151" s="186">
        <f>LaborEsc</f>
        <v>0.02</v>
      </c>
      <c r="E151" s="325"/>
      <c r="G151" s="36" t="s">
        <v>291</v>
      </c>
      <c r="I151" s="39"/>
      <c r="K151" s="39"/>
      <c r="L151" s="43" t="str">
        <f>"["&amp;CostBaseYr&amp;" $]"</f>
        <v>[2013 $]</v>
      </c>
      <c r="N151" s="70">
        <f ca="1">SUMIFS(OFFSET(Assumptions!$I$90,0,MATCH($A151,Configurations,0)-1,COUNT(Assumptions!$A$90:$A$183),1),Assumptions!$D$90:$D$183,$B151&amp;$C151)</f>
        <v>0</v>
      </c>
      <c r="O151" s="313"/>
      <c r="P151" s="323"/>
      <c r="Q151" s="313"/>
      <c r="R151" s="50">
        <f t="shared" ref="R151:AU151" ca="1" si="107">IF(OR(R$99&lt;InServiceYr,R$99&gt;(InServiceYr+analysis_period-1)),0,IF($P151=0,$N151,$P151)*(1+$D151)^(R$99-CostBaseYr))*R$509</f>
        <v>0</v>
      </c>
      <c r="S151" s="50">
        <f t="shared" ca="1" si="107"/>
        <v>0</v>
      </c>
      <c r="T151" s="50">
        <f t="shared" ca="1" si="107"/>
        <v>0</v>
      </c>
      <c r="U151" s="50">
        <f t="shared" ca="1" si="107"/>
        <v>0</v>
      </c>
      <c r="V151" s="50">
        <f t="shared" ca="1" si="107"/>
        <v>0</v>
      </c>
      <c r="W151" s="50">
        <f t="shared" ca="1" si="107"/>
        <v>0</v>
      </c>
      <c r="X151" s="50">
        <f t="shared" ca="1" si="107"/>
        <v>0</v>
      </c>
      <c r="Y151" s="50">
        <f t="shared" ca="1" si="107"/>
        <v>0</v>
      </c>
      <c r="Z151" s="50">
        <f t="shared" ca="1" si="107"/>
        <v>0</v>
      </c>
      <c r="AA151" s="50">
        <f t="shared" ca="1" si="107"/>
        <v>0</v>
      </c>
      <c r="AB151" s="50">
        <f t="shared" ca="1" si="107"/>
        <v>0</v>
      </c>
      <c r="AC151" s="50">
        <f t="shared" ca="1" si="107"/>
        <v>0</v>
      </c>
      <c r="AD151" s="50">
        <f t="shared" ca="1" si="107"/>
        <v>0</v>
      </c>
      <c r="AE151" s="50">
        <f t="shared" ca="1" si="107"/>
        <v>0</v>
      </c>
      <c r="AF151" s="50">
        <f t="shared" ca="1" si="107"/>
        <v>0</v>
      </c>
      <c r="AG151" s="50">
        <f t="shared" ca="1" si="107"/>
        <v>0</v>
      </c>
      <c r="AH151" s="50">
        <f t="shared" ca="1" si="107"/>
        <v>0</v>
      </c>
      <c r="AI151" s="50">
        <f t="shared" ca="1" si="107"/>
        <v>0</v>
      </c>
      <c r="AJ151" s="50">
        <f t="shared" ca="1" si="107"/>
        <v>0</v>
      </c>
      <c r="AK151" s="50">
        <f t="shared" ca="1" si="107"/>
        <v>0</v>
      </c>
      <c r="AL151" s="50">
        <f t="shared" si="107"/>
        <v>0</v>
      </c>
      <c r="AM151" s="50">
        <f t="shared" si="107"/>
        <v>0</v>
      </c>
      <c r="AN151" s="50">
        <f t="shared" si="107"/>
        <v>0</v>
      </c>
      <c r="AO151" s="50">
        <f t="shared" si="107"/>
        <v>0</v>
      </c>
      <c r="AP151" s="50">
        <f t="shared" si="107"/>
        <v>0</v>
      </c>
      <c r="AQ151" s="50">
        <f t="shared" si="107"/>
        <v>0</v>
      </c>
      <c r="AR151" s="50">
        <f t="shared" si="107"/>
        <v>0</v>
      </c>
      <c r="AS151" s="50">
        <f t="shared" si="107"/>
        <v>0</v>
      </c>
      <c r="AT151" s="50">
        <f t="shared" si="107"/>
        <v>0</v>
      </c>
      <c r="AU151" s="50">
        <f t="shared" si="107"/>
        <v>0</v>
      </c>
    </row>
    <row r="152" spans="1:47">
      <c r="D152" s="186"/>
      <c r="E152" s="325"/>
      <c r="G152" s="39" t="s">
        <v>304</v>
      </c>
      <c r="I152" s="39"/>
      <c r="K152" s="39"/>
      <c r="L152" s="43"/>
      <c r="N152" s="70"/>
      <c r="O152" s="313"/>
      <c r="P152" s="70"/>
      <c r="Q152" s="313"/>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row>
    <row r="153" spans="1:47">
      <c r="A153" s="38" t="str">
        <f>$J$4&amp;"-"</f>
        <v>2X-</v>
      </c>
      <c r="B153" s="38" t="s">
        <v>265</v>
      </c>
      <c r="C153" s="38" t="str">
        <f>C144</f>
        <v>Belt Filter Press Dewatering</v>
      </c>
      <c r="D153" s="186"/>
      <c r="E153" s="325"/>
      <c r="G153" s="36" t="s">
        <v>108</v>
      </c>
      <c r="I153" s="39"/>
      <c r="K153" s="39"/>
      <c r="L153" s="43" t="s">
        <v>293</v>
      </c>
      <c r="N153" s="70">
        <f ca="1">SUMIFS(OFFSET(Assumptions!$I$90,0,MATCH($A153,Configurations,0)-1,COUNT(Assumptions!$A$90:$A$183),1),Assumptions!$D$90:$D$183,$B153&amp;$C153)</f>
        <v>0</v>
      </c>
      <c r="O153" s="313"/>
      <c r="P153" s="323"/>
      <c r="Q153" s="313"/>
      <c r="R153" s="50">
        <f t="shared" ref="R153:AU153" ca="1" si="108">IF(OR(R$99&lt;InServiceYr,R$99&gt;(InServiceYr+analysis_period-1)),0,IF($P153=0,$N153,$P153)*R$501)</f>
        <v>0</v>
      </c>
      <c r="S153" s="50">
        <f t="shared" ca="1" si="108"/>
        <v>0</v>
      </c>
      <c r="T153" s="50">
        <f t="shared" ca="1" si="108"/>
        <v>0</v>
      </c>
      <c r="U153" s="50">
        <f t="shared" ca="1" si="108"/>
        <v>0</v>
      </c>
      <c r="V153" s="50">
        <f t="shared" ca="1" si="108"/>
        <v>0</v>
      </c>
      <c r="W153" s="50">
        <f t="shared" ca="1" si="108"/>
        <v>0</v>
      </c>
      <c r="X153" s="50">
        <f t="shared" ca="1" si="108"/>
        <v>0</v>
      </c>
      <c r="Y153" s="50">
        <f t="shared" ca="1" si="108"/>
        <v>0</v>
      </c>
      <c r="Z153" s="50">
        <f t="shared" ca="1" si="108"/>
        <v>0</v>
      </c>
      <c r="AA153" s="50">
        <f t="shared" ca="1" si="108"/>
        <v>0</v>
      </c>
      <c r="AB153" s="50">
        <f t="shared" ca="1" si="108"/>
        <v>0</v>
      </c>
      <c r="AC153" s="50">
        <f t="shared" ca="1" si="108"/>
        <v>0</v>
      </c>
      <c r="AD153" s="50">
        <f t="shared" ca="1" si="108"/>
        <v>0</v>
      </c>
      <c r="AE153" s="50">
        <f t="shared" ca="1" si="108"/>
        <v>0</v>
      </c>
      <c r="AF153" s="50">
        <f t="shared" ca="1" si="108"/>
        <v>0</v>
      </c>
      <c r="AG153" s="50">
        <f t="shared" ca="1" si="108"/>
        <v>0</v>
      </c>
      <c r="AH153" s="50">
        <f t="shared" ca="1" si="108"/>
        <v>0</v>
      </c>
      <c r="AI153" s="50">
        <f t="shared" ca="1" si="108"/>
        <v>0</v>
      </c>
      <c r="AJ153" s="50">
        <f t="shared" ca="1" si="108"/>
        <v>0</v>
      </c>
      <c r="AK153" s="50">
        <f t="shared" ca="1" si="108"/>
        <v>0</v>
      </c>
      <c r="AL153" s="50">
        <f t="shared" si="108"/>
        <v>0</v>
      </c>
      <c r="AM153" s="50">
        <f t="shared" si="108"/>
        <v>0</v>
      </c>
      <c r="AN153" s="50">
        <f t="shared" si="108"/>
        <v>0</v>
      </c>
      <c r="AO153" s="50">
        <f t="shared" si="108"/>
        <v>0</v>
      </c>
      <c r="AP153" s="50">
        <f t="shared" si="108"/>
        <v>0</v>
      </c>
      <c r="AQ153" s="50">
        <f t="shared" si="108"/>
        <v>0</v>
      </c>
      <c r="AR153" s="50">
        <f t="shared" si="108"/>
        <v>0</v>
      </c>
      <c r="AS153" s="50">
        <f t="shared" si="108"/>
        <v>0</v>
      </c>
      <c r="AT153" s="50">
        <f t="shared" si="108"/>
        <v>0</v>
      </c>
      <c r="AU153" s="50">
        <f t="shared" si="108"/>
        <v>0</v>
      </c>
    </row>
    <row r="154" spans="1:47">
      <c r="A154" s="38" t="str">
        <f>$J$4&amp;"-"</f>
        <v>2X-</v>
      </c>
      <c r="B154" s="38" t="s">
        <v>289</v>
      </c>
      <c r="C154" s="38" t="str">
        <f>C144</f>
        <v>Belt Filter Press Dewatering</v>
      </c>
      <c r="D154" s="186">
        <f>LaborEsc</f>
        <v>0.02</v>
      </c>
      <c r="E154" s="325"/>
      <c r="G154" s="36" t="s">
        <v>292</v>
      </c>
      <c r="I154" s="39"/>
      <c r="K154" s="39"/>
      <c r="L154" s="43" t="str">
        <f>"["&amp;CostBaseYr&amp;" $]"</f>
        <v>[2013 $]</v>
      </c>
      <c r="N154" s="70">
        <f ca="1">SUMIFS(OFFSET(Assumptions!$I$90,0,MATCH($A154,Configurations,0)-1,COUNT(Assumptions!$A$90:$A$183),1),Assumptions!$D$90:$D$183,$B154&amp;$C154)</f>
        <v>0</v>
      </c>
      <c r="O154" s="313"/>
      <c r="P154" s="323"/>
      <c r="Q154" s="313"/>
      <c r="R154" s="50">
        <f t="shared" ref="R154:AU154" ca="1" si="109">IF(OR(R$99&lt;InServiceYr,R$99&gt;(InServiceYr+analysis_period-1)),0,IF($P154=0,$N154,$P154)*(1+$D154)^(R$99-CostBaseYr))</f>
        <v>0</v>
      </c>
      <c r="S154" s="50">
        <f t="shared" ca="1" si="109"/>
        <v>0</v>
      </c>
      <c r="T154" s="50">
        <f t="shared" ca="1" si="109"/>
        <v>0</v>
      </c>
      <c r="U154" s="50">
        <f t="shared" ca="1" si="109"/>
        <v>0</v>
      </c>
      <c r="V154" s="50">
        <f t="shared" ca="1" si="109"/>
        <v>0</v>
      </c>
      <c r="W154" s="50">
        <f t="shared" ca="1" si="109"/>
        <v>0</v>
      </c>
      <c r="X154" s="50">
        <f t="shared" ca="1" si="109"/>
        <v>0</v>
      </c>
      <c r="Y154" s="50">
        <f t="shared" ca="1" si="109"/>
        <v>0</v>
      </c>
      <c r="Z154" s="50">
        <f t="shared" ca="1" si="109"/>
        <v>0</v>
      </c>
      <c r="AA154" s="50">
        <f t="shared" ca="1" si="109"/>
        <v>0</v>
      </c>
      <c r="AB154" s="50">
        <f t="shared" ca="1" si="109"/>
        <v>0</v>
      </c>
      <c r="AC154" s="50">
        <f t="shared" ca="1" si="109"/>
        <v>0</v>
      </c>
      <c r="AD154" s="50">
        <f t="shared" ca="1" si="109"/>
        <v>0</v>
      </c>
      <c r="AE154" s="50">
        <f t="shared" ca="1" si="109"/>
        <v>0</v>
      </c>
      <c r="AF154" s="50">
        <f t="shared" ca="1" si="109"/>
        <v>0</v>
      </c>
      <c r="AG154" s="50">
        <f t="shared" ca="1" si="109"/>
        <v>0</v>
      </c>
      <c r="AH154" s="50">
        <f t="shared" ca="1" si="109"/>
        <v>0</v>
      </c>
      <c r="AI154" s="50">
        <f t="shared" ca="1" si="109"/>
        <v>0</v>
      </c>
      <c r="AJ154" s="50">
        <f t="shared" ca="1" si="109"/>
        <v>0</v>
      </c>
      <c r="AK154" s="50">
        <f t="shared" ca="1" si="109"/>
        <v>0</v>
      </c>
      <c r="AL154" s="50">
        <f t="shared" si="109"/>
        <v>0</v>
      </c>
      <c r="AM154" s="50">
        <f t="shared" si="109"/>
        <v>0</v>
      </c>
      <c r="AN154" s="50">
        <f t="shared" si="109"/>
        <v>0</v>
      </c>
      <c r="AO154" s="50">
        <f t="shared" si="109"/>
        <v>0</v>
      </c>
      <c r="AP154" s="50">
        <f t="shared" si="109"/>
        <v>0</v>
      </c>
      <c r="AQ154" s="50">
        <f t="shared" si="109"/>
        <v>0</v>
      </c>
      <c r="AR154" s="50">
        <f t="shared" si="109"/>
        <v>0</v>
      </c>
      <c r="AS154" s="50">
        <f t="shared" si="109"/>
        <v>0</v>
      </c>
      <c r="AT154" s="50">
        <f t="shared" si="109"/>
        <v>0</v>
      </c>
      <c r="AU154" s="50">
        <f t="shared" si="109"/>
        <v>0</v>
      </c>
    </row>
    <row r="155" spans="1:47" s="60" customFormat="1">
      <c r="D155" s="187"/>
      <c r="E155" s="325"/>
      <c r="G155" s="39" t="s">
        <v>305</v>
      </c>
      <c r="I155" s="39"/>
      <c r="K155" s="39"/>
      <c r="L155" s="174"/>
      <c r="N155" s="188"/>
      <c r="O155" s="314"/>
      <c r="P155" s="185"/>
      <c r="Q155" s="314"/>
      <c r="R155" s="185">
        <f ca="1">SUM(R144:R151)-SUM(R153:R154)</f>
        <v>325285.25475647952</v>
      </c>
      <c r="S155" s="185">
        <f t="shared" ref="S155:AU155" ca="1" si="110">SUM(S144:S151)-SUM(S153:S154)</f>
        <v>331762.07429313834</v>
      </c>
      <c r="T155" s="185">
        <f t="shared" ca="1" si="110"/>
        <v>338446.108590997</v>
      </c>
      <c r="U155" s="185">
        <f t="shared" ca="1" si="110"/>
        <v>345237.04878967063</v>
      </c>
      <c r="V155" s="185">
        <f t="shared" ca="1" si="110"/>
        <v>352151.16085419169</v>
      </c>
      <c r="W155" s="185">
        <f t="shared" ca="1" si="110"/>
        <v>359177.44172598561</v>
      </c>
      <c r="X155" s="185">
        <f t="shared" ca="1" si="110"/>
        <v>366352.22014035704</v>
      </c>
      <c r="Y155" s="185">
        <f t="shared" ca="1" si="110"/>
        <v>373690.35468487832</v>
      </c>
      <c r="Z155" s="185">
        <f t="shared" ca="1" si="110"/>
        <v>381173.81676369079</v>
      </c>
      <c r="AA155" s="185">
        <f t="shared" ca="1" si="110"/>
        <v>388809.84294280258</v>
      </c>
      <c r="AB155" s="185">
        <f t="shared" ca="1" si="110"/>
        <v>396590.3079203415</v>
      </c>
      <c r="AC155" s="185">
        <f t="shared" ca="1" si="110"/>
        <v>404520.16041538783</v>
      </c>
      <c r="AD155" s="185">
        <f t="shared" ca="1" si="110"/>
        <v>412618.86409862729</v>
      </c>
      <c r="AE155" s="185">
        <f t="shared" ca="1" si="110"/>
        <v>420878.88941736339</v>
      </c>
      <c r="AF155" s="185">
        <f t="shared" ca="1" si="110"/>
        <v>429307.04941524495</v>
      </c>
      <c r="AG155" s="185">
        <f t="shared" ca="1" si="110"/>
        <v>437910.45062418358</v>
      </c>
      <c r="AH155" s="185">
        <f t="shared" ca="1" si="110"/>
        <v>446681.92644068034</v>
      </c>
      <c r="AI155" s="185">
        <f t="shared" ca="1" si="110"/>
        <v>455633.48141015432</v>
      </c>
      <c r="AJ155" s="185">
        <f t="shared" ca="1" si="110"/>
        <v>464767.09050220111</v>
      </c>
      <c r="AK155" s="185">
        <f t="shared" ca="1" si="110"/>
        <v>474085.3132741389</v>
      </c>
      <c r="AL155" s="185">
        <f t="shared" si="110"/>
        <v>0</v>
      </c>
      <c r="AM155" s="185">
        <f t="shared" si="110"/>
        <v>0</v>
      </c>
      <c r="AN155" s="185">
        <f t="shared" si="110"/>
        <v>0</v>
      </c>
      <c r="AO155" s="185">
        <f t="shared" si="110"/>
        <v>0</v>
      </c>
      <c r="AP155" s="185">
        <f t="shared" si="110"/>
        <v>0</v>
      </c>
      <c r="AQ155" s="185">
        <f t="shared" si="110"/>
        <v>0</v>
      </c>
      <c r="AR155" s="185">
        <f t="shared" si="110"/>
        <v>0</v>
      </c>
      <c r="AS155" s="185">
        <f t="shared" si="110"/>
        <v>0</v>
      </c>
      <c r="AT155" s="185">
        <f t="shared" si="110"/>
        <v>0</v>
      </c>
      <c r="AU155" s="185">
        <f t="shared" si="110"/>
        <v>0</v>
      </c>
    </row>
    <row r="156" spans="1:47">
      <c r="G156" s="28"/>
      <c r="H156" s="28"/>
      <c r="I156" s="28"/>
      <c r="J156" s="28"/>
      <c r="K156" s="28"/>
      <c r="L156" s="409"/>
      <c r="M156" s="46"/>
      <c r="N156" s="46"/>
      <c r="O156" s="315"/>
      <c r="P156" s="46"/>
      <c r="Q156" s="315"/>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row>
    <row r="157" spans="1:47">
      <c r="E157" s="327"/>
      <c r="F157" s="28"/>
      <c r="G157" s="324" t="str">
        <f>C159&amp;" Capital Costs"</f>
        <v>Cake Storage/Load Out Capital Costs</v>
      </c>
      <c r="H157" s="324"/>
      <c r="I157" s="324"/>
      <c r="J157" s="324"/>
      <c r="K157" s="324"/>
      <c r="L157" s="405" t="s">
        <v>79</v>
      </c>
      <c r="M157" s="256"/>
      <c r="N157" s="325" t="s">
        <v>490</v>
      </c>
      <c r="O157" s="311"/>
      <c r="P157" s="325" t="s">
        <v>491</v>
      </c>
      <c r="Q157" s="310"/>
      <c r="R157" s="325">
        <f>R$8</f>
        <v>2014</v>
      </c>
      <c r="S157" s="325">
        <f t="shared" ref="S157:AU157" si="111">S$8</f>
        <v>2015</v>
      </c>
      <c r="T157" s="325">
        <f t="shared" si="111"/>
        <v>2016</v>
      </c>
      <c r="U157" s="325">
        <f t="shared" si="111"/>
        <v>2017</v>
      </c>
      <c r="V157" s="325">
        <f t="shared" si="111"/>
        <v>2018</v>
      </c>
      <c r="W157" s="325">
        <f t="shared" si="111"/>
        <v>2019</v>
      </c>
      <c r="X157" s="325">
        <f t="shared" si="111"/>
        <v>2020</v>
      </c>
      <c r="Y157" s="325">
        <f t="shared" si="111"/>
        <v>2021</v>
      </c>
      <c r="Z157" s="325">
        <f t="shared" si="111"/>
        <v>2022</v>
      </c>
      <c r="AA157" s="325">
        <f t="shared" si="111"/>
        <v>2023</v>
      </c>
      <c r="AB157" s="325">
        <f t="shared" si="111"/>
        <v>2024</v>
      </c>
      <c r="AC157" s="325">
        <f t="shared" si="111"/>
        <v>2025</v>
      </c>
      <c r="AD157" s="325">
        <f t="shared" si="111"/>
        <v>2026</v>
      </c>
      <c r="AE157" s="325">
        <f t="shared" si="111"/>
        <v>2027</v>
      </c>
      <c r="AF157" s="325">
        <f t="shared" si="111"/>
        <v>2028</v>
      </c>
      <c r="AG157" s="325">
        <f t="shared" si="111"/>
        <v>2029</v>
      </c>
      <c r="AH157" s="325">
        <f t="shared" si="111"/>
        <v>2030</v>
      </c>
      <c r="AI157" s="325">
        <f t="shared" si="111"/>
        <v>2031</v>
      </c>
      <c r="AJ157" s="325">
        <f t="shared" si="111"/>
        <v>2032</v>
      </c>
      <c r="AK157" s="325">
        <f t="shared" si="111"/>
        <v>2033</v>
      </c>
      <c r="AL157" s="325">
        <f t="shared" si="111"/>
        <v>2034</v>
      </c>
      <c r="AM157" s="325">
        <f t="shared" si="111"/>
        <v>2035</v>
      </c>
      <c r="AN157" s="325">
        <f t="shared" si="111"/>
        <v>2036</v>
      </c>
      <c r="AO157" s="325">
        <f t="shared" si="111"/>
        <v>2037</v>
      </c>
      <c r="AP157" s="325">
        <f t="shared" si="111"/>
        <v>2038</v>
      </c>
      <c r="AQ157" s="325">
        <f t="shared" si="111"/>
        <v>2039</v>
      </c>
      <c r="AR157" s="325">
        <f t="shared" si="111"/>
        <v>2040</v>
      </c>
      <c r="AS157" s="325">
        <f t="shared" si="111"/>
        <v>2041</v>
      </c>
      <c r="AT157" s="325">
        <f t="shared" si="111"/>
        <v>2042</v>
      </c>
      <c r="AU157" s="325">
        <f t="shared" si="111"/>
        <v>2043</v>
      </c>
    </row>
    <row r="158" spans="1:47">
      <c r="E158" s="325"/>
      <c r="G158" s="39"/>
      <c r="H158" s="39"/>
      <c r="I158" s="39"/>
      <c r="J158" s="39"/>
      <c r="K158" s="39"/>
    </row>
    <row r="159" spans="1:47">
      <c r="A159" s="38" t="str">
        <f>$J$4&amp;"-"</f>
        <v>2X-</v>
      </c>
      <c r="B159" s="38" t="s">
        <v>306</v>
      </c>
      <c r="C159" s="38" t="s">
        <v>316</v>
      </c>
      <c r="D159" s="186">
        <f>CapExEsc</f>
        <v>0.03</v>
      </c>
      <c r="E159" s="325"/>
      <c r="G159" s="36" t="s">
        <v>8</v>
      </c>
      <c r="H159" s="39"/>
      <c r="I159" s="39"/>
      <c r="J159" s="70"/>
      <c r="K159" s="39"/>
      <c r="L159" s="43" t="str">
        <f>"["&amp;CostBaseYr&amp;" $]"</f>
        <v>[2013 $]</v>
      </c>
      <c r="N159" s="52">
        <f ca="1">SUMIFS(OFFSET(Assumptions!$I$65,0,MATCH($A159,Configurations,0)-1,COUNT(Assumptions!$A$65:$A$84),1),Assumptions!$E$65:$E$84,$C159)</f>
        <v>0</v>
      </c>
      <c r="O159" s="52"/>
      <c r="P159" s="322"/>
      <c r="Q159" s="52"/>
      <c r="R159" s="52">
        <f t="shared" ref="R159:AU159" ca="1" si="112">R160*IF($P159=0,$N159,$P159)*(1+$D159)^(R$8-CostBaseYr)</f>
        <v>0</v>
      </c>
      <c r="S159" s="52">
        <f t="shared" ca="1" si="112"/>
        <v>0</v>
      </c>
      <c r="T159" s="52">
        <f t="shared" ca="1" si="112"/>
        <v>0</v>
      </c>
      <c r="U159" s="52">
        <f t="shared" ca="1" si="112"/>
        <v>0</v>
      </c>
      <c r="V159" s="52">
        <f t="shared" ca="1" si="112"/>
        <v>0</v>
      </c>
      <c r="W159" s="52">
        <f t="shared" ca="1" si="112"/>
        <v>0</v>
      </c>
      <c r="X159" s="52">
        <f t="shared" ca="1" si="112"/>
        <v>0</v>
      </c>
      <c r="Y159" s="52">
        <f t="shared" ca="1" si="112"/>
        <v>0</v>
      </c>
      <c r="Z159" s="52">
        <f t="shared" ca="1" si="112"/>
        <v>0</v>
      </c>
      <c r="AA159" s="52">
        <f t="shared" ca="1" si="112"/>
        <v>0</v>
      </c>
      <c r="AB159" s="52">
        <f t="shared" ca="1" si="112"/>
        <v>0</v>
      </c>
      <c r="AC159" s="52">
        <f t="shared" ca="1" si="112"/>
        <v>0</v>
      </c>
      <c r="AD159" s="52">
        <f t="shared" ca="1" si="112"/>
        <v>0</v>
      </c>
      <c r="AE159" s="52">
        <f t="shared" ca="1" si="112"/>
        <v>0</v>
      </c>
      <c r="AF159" s="52">
        <f t="shared" ca="1" si="112"/>
        <v>0</v>
      </c>
      <c r="AG159" s="52">
        <f t="shared" ca="1" si="112"/>
        <v>0</v>
      </c>
      <c r="AH159" s="52">
        <f t="shared" ca="1" si="112"/>
        <v>0</v>
      </c>
      <c r="AI159" s="52">
        <f t="shared" ca="1" si="112"/>
        <v>0</v>
      </c>
      <c r="AJ159" s="52">
        <f t="shared" ca="1" si="112"/>
        <v>0</v>
      </c>
      <c r="AK159" s="52">
        <f t="shared" ca="1" si="112"/>
        <v>0</v>
      </c>
      <c r="AL159" s="52">
        <f t="shared" ca="1" si="112"/>
        <v>0</v>
      </c>
      <c r="AM159" s="52">
        <f t="shared" ca="1" si="112"/>
        <v>0</v>
      </c>
      <c r="AN159" s="52">
        <f t="shared" ca="1" si="112"/>
        <v>0</v>
      </c>
      <c r="AO159" s="52">
        <f t="shared" ca="1" si="112"/>
        <v>0</v>
      </c>
      <c r="AP159" s="52">
        <f t="shared" ca="1" si="112"/>
        <v>0</v>
      </c>
      <c r="AQ159" s="52">
        <f t="shared" ca="1" si="112"/>
        <v>0</v>
      </c>
      <c r="AR159" s="52">
        <f t="shared" ca="1" si="112"/>
        <v>0</v>
      </c>
      <c r="AS159" s="52">
        <f t="shared" ca="1" si="112"/>
        <v>0</v>
      </c>
      <c r="AT159" s="52">
        <f t="shared" ca="1" si="112"/>
        <v>0</v>
      </c>
      <c r="AU159" s="52">
        <f t="shared" ca="1" si="112"/>
        <v>0</v>
      </c>
    </row>
    <row r="160" spans="1:47">
      <c r="E160" s="325"/>
      <c r="G160" s="36" t="s">
        <v>10</v>
      </c>
      <c r="H160" s="39"/>
      <c r="I160" s="39"/>
      <c r="J160" s="39"/>
      <c r="K160" s="39"/>
      <c r="L160" s="43"/>
      <c r="R160" s="54">
        <f>Assumptions!M$60</f>
        <v>1</v>
      </c>
      <c r="S160" s="54">
        <f>Assumptions!N$60</f>
        <v>0</v>
      </c>
      <c r="T160" s="54">
        <f>Assumptions!O$60</f>
        <v>0</v>
      </c>
      <c r="U160" s="54">
        <f>Assumptions!P$60</f>
        <v>0</v>
      </c>
      <c r="V160" s="54">
        <f>Assumptions!Q$60</f>
        <v>0</v>
      </c>
      <c r="W160" s="54">
        <f>Assumptions!R$60</f>
        <v>0</v>
      </c>
      <c r="X160" s="54">
        <f>Assumptions!S$60</f>
        <v>0</v>
      </c>
      <c r="Y160" s="54">
        <f>Assumptions!T$60</f>
        <v>0</v>
      </c>
      <c r="Z160" s="54">
        <f>Assumptions!U$60</f>
        <v>0</v>
      </c>
      <c r="AA160" s="54">
        <f>Assumptions!V$60</f>
        <v>0</v>
      </c>
      <c r="AB160" s="54">
        <f>Assumptions!W$60</f>
        <v>0</v>
      </c>
      <c r="AC160" s="54">
        <f>Assumptions!X$60</f>
        <v>0</v>
      </c>
      <c r="AD160" s="54">
        <f>Assumptions!Y$60</f>
        <v>0</v>
      </c>
      <c r="AE160" s="54">
        <f>Assumptions!Z$60</f>
        <v>0</v>
      </c>
      <c r="AF160" s="54">
        <f>Assumptions!AA$60</f>
        <v>0</v>
      </c>
      <c r="AG160" s="54">
        <f>Assumptions!AB$60</f>
        <v>0</v>
      </c>
      <c r="AH160" s="54">
        <f>Assumptions!AC$60</f>
        <v>0</v>
      </c>
      <c r="AI160" s="54">
        <f>Assumptions!AD$60</f>
        <v>0</v>
      </c>
      <c r="AJ160" s="54">
        <f>Assumptions!AE$60</f>
        <v>0</v>
      </c>
      <c r="AK160" s="54">
        <f>Assumptions!AF$60</f>
        <v>0</v>
      </c>
      <c r="AL160" s="54">
        <f>Assumptions!AG$60</f>
        <v>0</v>
      </c>
      <c r="AM160" s="54">
        <f>Assumptions!AH$60</f>
        <v>0</v>
      </c>
      <c r="AN160" s="54">
        <f>Assumptions!AI$60</f>
        <v>0</v>
      </c>
      <c r="AO160" s="54">
        <f>Assumptions!AJ$60</f>
        <v>0</v>
      </c>
      <c r="AP160" s="54">
        <f>Assumptions!AK$60</f>
        <v>0</v>
      </c>
      <c r="AQ160" s="54">
        <f>Assumptions!AL$60</f>
        <v>0</v>
      </c>
      <c r="AR160" s="54">
        <f>Assumptions!AM$60</f>
        <v>0</v>
      </c>
      <c r="AS160" s="54">
        <f>Assumptions!AN$60</f>
        <v>0</v>
      </c>
      <c r="AT160" s="54">
        <f>Assumptions!AO$60</f>
        <v>0</v>
      </c>
      <c r="AU160" s="54">
        <f>Assumptions!AP$60</f>
        <v>0</v>
      </c>
    </row>
    <row r="161" spans="1:47">
      <c r="E161" s="326"/>
      <c r="G161" s="39"/>
      <c r="H161" s="39"/>
      <c r="I161" s="39"/>
      <c r="J161" s="39"/>
      <c r="K161" s="39"/>
    </row>
    <row r="162" spans="1:47">
      <c r="E162" s="327"/>
      <c r="F162" s="28"/>
      <c r="G162" s="324" t="str">
        <f>C159&amp;" O&amp;M"</f>
        <v>Cake Storage/Load Out O&amp;M</v>
      </c>
      <c r="H162" s="324"/>
      <c r="I162" s="324"/>
      <c r="J162" s="324"/>
      <c r="K162" s="324"/>
      <c r="L162" s="405" t="s">
        <v>79</v>
      </c>
      <c r="M162" s="256"/>
      <c r="N162" s="325" t="s">
        <v>490</v>
      </c>
      <c r="O162" s="311"/>
      <c r="P162" s="325" t="s">
        <v>491</v>
      </c>
      <c r="Q162" s="310"/>
      <c r="R162" s="325">
        <f>R$8</f>
        <v>2014</v>
      </c>
      <c r="S162" s="325">
        <f t="shared" ref="S162:AU162" si="113">S$8</f>
        <v>2015</v>
      </c>
      <c r="T162" s="325">
        <f t="shared" si="113"/>
        <v>2016</v>
      </c>
      <c r="U162" s="325">
        <f t="shared" si="113"/>
        <v>2017</v>
      </c>
      <c r="V162" s="325">
        <f t="shared" si="113"/>
        <v>2018</v>
      </c>
      <c r="W162" s="325">
        <f t="shared" si="113"/>
        <v>2019</v>
      </c>
      <c r="X162" s="325">
        <f t="shared" si="113"/>
        <v>2020</v>
      </c>
      <c r="Y162" s="325">
        <f t="shared" si="113"/>
        <v>2021</v>
      </c>
      <c r="Z162" s="325">
        <f t="shared" si="113"/>
        <v>2022</v>
      </c>
      <c r="AA162" s="325">
        <f t="shared" si="113"/>
        <v>2023</v>
      </c>
      <c r="AB162" s="325">
        <f t="shared" si="113"/>
        <v>2024</v>
      </c>
      <c r="AC162" s="325">
        <f t="shared" si="113"/>
        <v>2025</v>
      </c>
      <c r="AD162" s="325">
        <f t="shared" si="113"/>
        <v>2026</v>
      </c>
      <c r="AE162" s="325">
        <f t="shared" si="113"/>
        <v>2027</v>
      </c>
      <c r="AF162" s="325">
        <f t="shared" si="113"/>
        <v>2028</v>
      </c>
      <c r="AG162" s="325">
        <f t="shared" si="113"/>
        <v>2029</v>
      </c>
      <c r="AH162" s="325">
        <f t="shared" si="113"/>
        <v>2030</v>
      </c>
      <c r="AI162" s="325">
        <f t="shared" si="113"/>
        <v>2031</v>
      </c>
      <c r="AJ162" s="325">
        <f t="shared" si="113"/>
        <v>2032</v>
      </c>
      <c r="AK162" s="325">
        <f t="shared" si="113"/>
        <v>2033</v>
      </c>
      <c r="AL162" s="325">
        <f t="shared" si="113"/>
        <v>2034</v>
      </c>
      <c r="AM162" s="325">
        <f t="shared" si="113"/>
        <v>2035</v>
      </c>
      <c r="AN162" s="325">
        <f t="shared" si="113"/>
        <v>2036</v>
      </c>
      <c r="AO162" s="325">
        <f t="shared" si="113"/>
        <v>2037</v>
      </c>
      <c r="AP162" s="325">
        <f t="shared" si="113"/>
        <v>2038</v>
      </c>
      <c r="AQ162" s="325">
        <f t="shared" si="113"/>
        <v>2039</v>
      </c>
      <c r="AR162" s="325">
        <f t="shared" si="113"/>
        <v>2040</v>
      </c>
      <c r="AS162" s="325">
        <f t="shared" si="113"/>
        <v>2041</v>
      </c>
      <c r="AT162" s="325">
        <f t="shared" si="113"/>
        <v>2042</v>
      </c>
      <c r="AU162" s="325">
        <f t="shared" si="113"/>
        <v>2043</v>
      </c>
    </row>
    <row r="163" spans="1:47">
      <c r="E163" s="325"/>
      <c r="G163" s="39"/>
      <c r="H163" s="39"/>
      <c r="I163" s="39"/>
      <c r="J163" s="39"/>
      <c r="K163" s="39"/>
    </row>
    <row r="164" spans="1:47">
      <c r="E164" s="325"/>
      <c r="G164" s="39" t="s">
        <v>23</v>
      </c>
      <c r="H164" s="39"/>
      <c r="I164" s="39"/>
      <c r="J164" s="39"/>
      <c r="K164" s="39"/>
    </row>
    <row r="165" spans="1:47">
      <c r="A165" s="38" t="str">
        <f t="shared" ref="A165:A172" si="114">$J$4&amp;"-"</f>
        <v>2X-</v>
      </c>
      <c r="B165" s="38" t="s">
        <v>262</v>
      </c>
      <c r="C165" s="38" t="str">
        <f>C159</f>
        <v>Cake Storage/Load Out</v>
      </c>
      <c r="D165" s="186">
        <f>LaborEsc</f>
        <v>0.02</v>
      </c>
      <c r="E165" s="325"/>
      <c r="G165" s="36" t="s">
        <v>125</v>
      </c>
      <c r="I165" s="39"/>
      <c r="K165" s="39"/>
      <c r="L165" s="43" t="s">
        <v>266</v>
      </c>
      <c r="N165" s="70">
        <f ca="1">SUMIFS(OFFSET(Assumptions!$I$90,0,MATCH($A165,Configurations,0)-1,COUNT(Assumptions!$A$90:$A$183),1),Assumptions!$D$90:$D$183,$B165&amp;$C165)</f>
        <v>1277.5</v>
      </c>
      <c r="O165" s="313"/>
      <c r="P165" s="323"/>
      <c r="Q165" s="313"/>
      <c r="R165" s="50">
        <f t="shared" ref="R165:AU165" ca="1" si="115">IF(OR(R$99&lt;InServiceYr,R$99&gt;(InServiceYr+analysis_period-1)),0,IF($P165=0,$N165,$P165)*LaborCost*(1+$D165)^(R$99-CostBaseYr))</f>
        <v>45606.75</v>
      </c>
      <c r="S165" s="50">
        <f t="shared" ca="1" si="115"/>
        <v>46518.885000000002</v>
      </c>
      <c r="T165" s="50">
        <f t="shared" ca="1" si="115"/>
        <v>47449.262699999999</v>
      </c>
      <c r="U165" s="50">
        <f t="shared" ca="1" si="115"/>
        <v>48398.247953999999</v>
      </c>
      <c r="V165" s="50">
        <f t="shared" ca="1" si="115"/>
        <v>49366.212913080002</v>
      </c>
      <c r="W165" s="50">
        <f t="shared" ca="1" si="115"/>
        <v>50353.537171341603</v>
      </c>
      <c r="X165" s="50">
        <f t="shared" ca="1" si="115"/>
        <v>51360.607914768421</v>
      </c>
      <c r="Y165" s="50">
        <f t="shared" ca="1" si="115"/>
        <v>52387.820073063798</v>
      </c>
      <c r="Z165" s="50">
        <f t="shared" ca="1" si="115"/>
        <v>53435.576474525071</v>
      </c>
      <c r="AA165" s="50">
        <f t="shared" ca="1" si="115"/>
        <v>54504.28800401558</v>
      </c>
      <c r="AB165" s="50">
        <f t="shared" ca="1" si="115"/>
        <v>55594.373764095879</v>
      </c>
      <c r="AC165" s="50">
        <f t="shared" ca="1" si="115"/>
        <v>56706.261239377804</v>
      </c>
      <c r="AD165" s="50">
        <f t="shared" ca="1" si="115"/>
        <v>57840.386464165356</v>
      </c>
      <c r="AE165" s="50">
        <f t="shared" ca="1" si="115"/>
        <v>58997.194193448668</v>
      </c>
      <c r="AF165" s="50">
        <f t="shared" ca="1" si="115"/>
        <v>60177.138077317628</v>
      </c>
      <c r="AG165" s="50">
        <f t="shared" ca="1" si="115"/>
        <v>61380.680838863991</v>
      </c>
      <c r="AH165" s="50">
        <f t="shared" ca="1" si="115"/>
        <v>62608.294455641277</v>
      </c>
      <c r="AI165" s="50">
        <f t="shared" ca="1" si="115"/>
        <v>63860.460344754094</v>
      </c>
      <c r="AJ165" s="50">
        <f t="shared" ca="1" si="115"/>
        <v>65137.669551649175</v>
      </c>
      <c r="AK165" s="50">
        <f t="shared" ca="1" si="115"/>
        <v>66440.422942682169</v>
      </c>
      <c r="AL165" s="50">
        <f t="shared" si="115"/>
        <v>0</v>
      </c>
      <c r="AM165" s="50">
        <f t="shared" si="115"/>
        <v>0</v>
      </c>
      <c r="AN165" s="50">
        <f t="shared" si="115"/>
        <v>0</v>
      </c>
      <c r="AO165" s="50">
        <f t="shared" si="115"/>
        <v>0</v>
      </c>
      <c r="AP165" s="50">
        <f t="shared" si="115"/>
        <v>0</v>
      </c>
      <c r="AQ165" s="50">
        <f t="shared" si="115"/>
        <v>0</v>
      </c>
      <c r="AR165" s="50">
        <f t="shared" si="115"/>
        <v>0</v>
      </c>
      <c r="AS165" s="50">
        <f t="shared" si="115"/>
        <v>0</v>
      </c>
      <c r="AT165" s="50">
        <f t="shared" si="115"/>
        <v>0</v>
      </c>
      <c r="AU165" s="50">
        <f t="shared" si="115"/>
        <v>0</v>
      </c>
    </row>
    <row r="166" spans="1:47">
      <c r="A166" s="38" t="str">
        <f t="shared" si="114"/>
        <v>2X-</v>
      </c>
      <c r="B166" s="38" t="s">
        <v>270</v>
      </c>
      <c r="C166" s="38" t="str">
        <f>C165</f>
        <v>Cake Storage/Load Out</v>
      </c>
      <c r="D166" s="186">
        <f>OMEsc</f>
        <v>0.02</v>
      </c>
      <c r="E166" s="325"/>
      <c r="G166" s="36" t="s">
        <v>126</v>
      </c>
      <c r="I166" s="39"/>
      <c r="K166" s="39"/>
      <c r="L166" s="43" t="str">
        <f>"["&amp;CostBaseYr&amp;" $]"</f>
        <v>[2013 $]</v>
      </c>
      <c r="N166" s="70">
        <f ca="1">SUMIFS(OFFSET(Assumptions!$I$90,0,MATCH($A166,Configurations,0)-1,COUNT(Assumptions!$A$90:$A$183),1),Assumptions!$D$90:$D$183,$B166&amp;$C166)</f>
        <v>0</v>
      </c>
      <c r="O166" s="313"/>
      <c r="P166" s="323"/>
      <c r="Q166" s="313"/>
      <c r="R166" s="50">
        <f t="shared" ref="R166:AG168" ca="1" si="116">IF(OR(R$99&lt;InServiceYr,R$99&gt;(InServiceYr+analysis_period-1)),0,IF($P166=0,$N166,$P166)*(1+$D166)^(R$99-CostBaseYr))</f>
        <v>0</v>
      </c>
      <c r="S166" s="50">
        <f t="shared" ca="1" si="116"/>
        <v>0</v>
      </c>
      <c r="T166" s="50">
        <f t="shared" ca="1" si="116"/>
        <v>0</v>
      </c>
      <c r="U166" s="50">
        <f t="shared" ca="1" si="116"/>
        <v>0</v>
      </c>
      <c r="V166" s="50">
        <f t="shared" ca="1" si="116"/>
        <v>0</v>
      </c>
      <c r="W166" s="50">
        <f t="shared" ca="1" si="116"/>
        <v>0</v>
      </c>
      <c r="X166" s="50">
        <f t="shared" ca="1" si="116"/>
        <v>0</v>
      </c>
      <c r="Y166" s="50">
        <f t="shared" ca="1" si="116"/>
        <v>0</v>
      </c>
      <c r="Z166" s="50">
        <f t="shared" ca="1" si="116"/>
        <v>0</v>
      </c>
      <c r="AA166" s="50">
        <f t="shared" ca="1" si="116"/>
        <v>0</v>
      </c>
      <c r="AB166" s="50">
        <f t="shared" ca="1" si="116"/>
        <v>0</v>
      </c>
      <c r="AC166" s="50">
        <f t="shared" ca="1" si="116"/>
        <v>0</v>
      </c>
      <c r="AD166" s="50">
        <f t="shared" ca="1" si="116"/>
        <v>0</v>
      </c>
      <c r="AE166" s="50">
        <f t="shared" ca="1" si="116"/>
        <v>0</v>
      </c>
      <c r="AF166" s="50">
        <f t="shared" ca="1" si="116"/>
        <v>0</v>
      </c>
      <c r="AG166" s="50">
        <f t="shared" ca="1" si="116"/>
        <v>0</v>
      </c>
      <c r="AH166" s="50">
        <f t="shared" ref="S166:AU168" ca="1" si="117">IF(OR(AH$99&lt;InServiceYr,AH$99&gt;(InServiceYr+analysis_period-1)),0,IF($P166=0,$N166,$P166)*(1+$D166)^(AH$99-CostBaseYr))</f>
        <v>0</v>
      </c>
      <c r="AI166" s="50">
        <f t="shared" ca="1" si="117"/>
        <v>0</v>
      </c>
      <c r="AJ166" s="50">
        <f t="shared" ca="1" si="117"/>
        <v>0</v>
      </c>
      <c r="AK166" s="50">
        <f t="shared" ca="1" si="117"/>
        <v>0</v>
      </c>
      <c r="AL166" s="50">
        <f t="shared" si="117"/>
        <v>0</v>
      </c>
      <c r="AM166" s="50">
        <f t="shared" si="117"/>
        <v>0</v>
      </c>
      <c r="AN166" s="50">
        <f t="shared" si="117"/>
        <v>0</v>
      </c>
      <c r="AO166" s="50">
        <f t="shared" si="117"/>
        <v>0</v>
      </c>
      <c r="AP166" s="50">
        <f t="shared" si="117"/>
        <v>0</v>
      </c>
      <c r="AQ166" s="50">
        <f t="shared" si="117"/>
        <v>0</v>
      </c>
      <c r="AR166" s="50">
        <f t="shared" si="117"/>
        <v>0</v>
      </c>
      <c r="AS166" s="50">
        <f t="shared" si="117"/>
        <v>0</v>
      </c>
      <c r="AT166" s="50">
        <f t="shared" si="117"/>
        <v>0</v>
      </c>
      <c r="AU166" s="50">
        <f t="shared" si="117"/>
        <v>0</v>
      </c>
    </row>
    <row r="167" spans="1:47">
      <c r="A167" s="38" t="str">
        <f t="shared" si="114"/>
        <v>2X-</v>
      </c>
      <c r="B167" s="38" t="s">
        <v>263</v>
      </c>
      <c r="C167" s="38" t="str">
        <f t="shared" ref="C167:C171" si="118">C166</f>
        <v>Cake Storage/Load Out</v>
      </c>
      <c r="D167" s="186">
        <f>OMEsc</f>
        <v>0.02</v>
      </c>
      <c r="E167" s="325"/>
      <c r="G167" s="36" t="s">
        <v>127</v>
      </c>
      <c r="I167" s="39"/>
      <c r="K167" s="39"/>
      <c r="L167" s="43" t="str">
        <f>"["&amp;CostBaseYr&amp;" $]"</f>
        <v>[2013 $]</v>
      </c>
      <c r="N167" s="70">
        <f ca="1">SUMIFS(OFFSET(Assumptions!$I$90,0,MATCH($A167,Configurations,0)-1,COUNT(Assumptions!$A$90:$A$183),1),Assumptions!$D$90:$D$183,$B167&amp;$C167)</f>
        <v>0</v>
      </c>
      <c r="O167" s="313"/>
      <c r="P167" s="323"/>
      <c r="Q167" s="313"/>
      <c r="R167" s="50">
        <f t="shared" ca="1" si="116"/>
        <v>0</v>
      </c>
      <c r="S167" s="50">
        <f t="shared" ca="1" si="117"/>
        <v>0</v>
      </c>
      <c r="T167" s="50">
        <f t="shared" ca="1" si="117"/>
        <v>0</v>
      </c>
      <c r="U167" s="50">
        <f t="shared" ca="1" si="117"/>
        <v>0</v>
      </c>
      <c r="V167" s="50">
        <f t="shared" ca="1" si="117"/>
        <v>0</v>
      </c>
      <c r="W167" s="50">
        <f t="shared" ca="1" si="117"/>
        <v>0</v>
      </c>
      <c r="X167" s="50">
        <f t="shared" ca="1" si="117"/>
        <v>0</v>
      </c>
      <c r="Y167" s="50">
        <f t="shared" ca="1" si="117"/>
        <v>0</v>
      </c>
      <c r="Z167" s="50">
        <f t="shared" ca="1" si="117"/>
        <v>0</v>
      </c>
      <c r="AA167" s="50">
        <f t="shared" ca="1" si="117"/>
        <v>0</v>
      </c>
      <c r="AB167" s="50">
        <f t="shared" ca="1" si="117"/>
        <v>0</v>
      </c>
      <c r="AC167" s="50">
        <f t="shared" ca="1" si="117"/>
        <v>0</v>
      </c>
      <c r="AD167" s="50">
        <f t="shared" ca="1" si="117"/>
        <v>0</v>
      </c>
      <c r="AE167" s="50">
        <f t="shared" ca="1" si="117"/>
        <v>0</v>
      </c>
      <c r="AF167" s="50">
        <f t="shared" ca="1" si="117"/>
        <v>0</v>
      </c>
      <c r="AG167" s="50">
        <f t="shared" ca="1" si="117"/>
        <v>0</v>
      </c>
      <c r="AH167" s="50">
        <f t="shared" ca="1" si="117"/>
        <v>0</v>
      </c>
      <c r="AI167" s="50">
        <f t="shared" ca="1" si="117"/>
        <v>0</v>
      </c>
      <c r="AJ167" s="50">
        <f t="shared" ca="1" si="117"/>
        <v>0</v>
      </c>
      <c r="AK167" s="50">
        <f t="shared" ca="1" si="117"/>
        <v>0</v>
      </c>
      <c r="AL167" s="50">
        <f t="shared" si="117"/>
        <v>0</v>
      </c>
      <c r="AM167" s="50">
        <f t="shared" si="117"/>
        <v>0</v>
      </c>
      <c r="AN167" s="50">
        <f t="shared" si="117"/>
        <v>0</v>
      </c>
      <c r="AO167" s="50">
        <f t="shared" si="117"/>
        <v>0</v>
      </c>
      <c r="AP167" s="50">
        <f t="shared" si="117"/>
        <v>0</v>
      </c>
      <c r="AQ167" s="50">
        <f t="shared" si="117"/>
        <v>0</v>
      </c>
      <c r="AR167" s="50">
        <f t="shared" si="117"/>
        <v>0</v>
      </c>
      <c r="AS167" s="50">
        <f t="shared" si="117"/>
        <v>0</v>
      </c>
      <c r="AT167" s="50">
        <f t="shared" si="117"/>
        <v>0</v>
      </c>
      <c r="AU167" s="50">
        <f t="shared" si="117"/>
        <v>0</v>
      </c>
    </row>
    <row r="168" spans="1:47">
      <c r="A168" s="38" t="str">
        <f t="shared" si="114"/>
        <v>2X-</v>
      </c>
      <c r="B168" s="38" t="s">
        <v>277</v>
      </c>
      <c r="C168" s="38" t="str">
        <f t="shared" si="118"/>
        <v>Cake Storage/Load Out</v>
      </c>
      <c r="D168" s="186">
        <f>OMEsc</f>
        <v>0.02</v>
      </c>
      <c r="E168" s="325"/>
      <c r="G168" s="36" t="s">
        <v>276</v>
      </c>
      <c r="I168" s="39"/>
      <c r="K168" s="39"/>
      <c r="L168" s="43" t="str">
        <f>"["&amp;CostBaseYr&amp;" $]"</f>
        <v>[2013 $]</v>
      </c>
      <c r="N168" s="70">
        <f ca="1">SUMIFS(OFFSET(Assumptions!$I$90,0,MATCH($A168,Configurations,0)-1,COUNT(Assumptions!$A$90:$A$183),1),Assumptions!$D$90:$D$183,$B168&amp;$C168)</f>
        <v>0</v>
      </c>
      <c r="O168" s="313"/>
      <c r="P168" s="323"/>
      <c r="Q168" s="313"/>
      <c r="R168" s="50">
        <f t="shared" ca="1" si="116"/>
        <v>0</v>
      </c>
      <c r="S168" s="50">
        <f t="shared" ca="1" si="117"/>
        <v>0</v>
      </c>
      <c r="T168" s="50">
        <f t="shared" ca="1" si="117"/>
        <v>0</v>
      </c>
      <c r="U168" s="50">
        <f t="shared" ca="1" si="117"/>
        <v>0</v>
      </c>
      <c r="V168" s="50">
        <f t="shared" ca="1" si="117"/>
        <v>0</v>
      </c>
      <c r="W168" s="50">
        <f t="shared" ca="1" si="117"/>
        <v>0</v>
      </c>
      <c r="X168" s="50">
        <f t="shared" ca="1" si="117"/>
        <v>0</v>
      </c>
      <c r="Y168" s="50">
        <f t="shared" ca="1" si="117"/>
        <v>0</v>
      </c>
      <c r="Z168" s="50">
        <f t="shared" ca="1" si="117"/>
        <v>0</v>
      </c>
      <c r="AA168" s="50">
        <f t="shared" ca="1" si="117"/>
        <v>0</v>
      </c>
      <c r="AB168" s="50">
        <f t="shared" ca="1" si="117"/>
        <v>0</v>
      </c>
      <c r="AC168" s="50">
        <f t="shared" ca="1" si="117"/>
        <v>0</v>
      </c>
      <c r="AD168" s="50">
        <f t="shared" ca="1" si="117"/>
        <v>0</v>
      </c>
      <c r="AE168" s="50">
        <f t="shared" ca="1" si="117"/>
        <v>0</v>
      </c>
      <c r="AF168" s="50">
        <f t="shared" ca="1" si="117"/>
        <v>0</v>
      </c>
      <c r="AG168" s="50">
        <f t="shared" ca="1" si="117"/>
        <v>0</v>
      </c>
      <c r="AH168" s="50">
        <f t="shared" ca="1" si="117"/>
        <v>0</v>
      </c>
      <c r="AI168" s="50">
        <f t="shared" ca="1" si="117"/>
        <v>0</v>
      </c>
      <c r="AJ168" s="50">
        <f t="shared" ca="1" si="117"/>
        <v>0</v>
      </c>
      <c r="AK168" s="50">
        <f t="shared" ca="1" si="117"/>
        <v>0</v>
      </c>
      <c r="AL168" s="50">
        <f t="shared" si="117"/>
        <v>0</v>
      </c>
      <c r="AM168" s="50">
        <f t="shared" si="117"/>
        <v>0</v>
      </c>
      <c r="AN168" s="50">
        <f t="shared" si="117"/>
        <v>0</v>
      </c>
      <c r="AO168" s="50">
        <f t="shared" si="117"/>
        <v>0</v>
      </c>
      <c r="AP168" s="50">
        <f t="shared" si="117"/>
        <v>0</v>
      </c>
      <c r="AQ168" s="50">
        <f t="shared" si="117"/>
        <v>0</v>
      </c>
      <c r="AR168" s="50">
        <f t="shared" si="117"/>
        <v>0</v>
      </c>
      <c r="AS168" s="50">
        <f t="shared" si="117"/>
        <v>0</v>
      </c>
      <c r="AT168" s="50">
        <f t="shared" si="117"/>
        <v>0</v>
      </c>
      <c r="AU168" s="50">
        <f t="shared" si="117"/>
        <v>0</v>
      </c>
    </row>
    <row r="169" spans="1:47">
      <c r="A169" s="38" t="str">
        <f t="shared" si="114"/>
        <v>2X-</v>
      </c>
      <c r="B169" s="38" t="s">
        <v>274</v>
      </c>
      <c r="C169" s="38" t="str">
        <f t="shared" si="118"/>
        <v>Cake Storage/Load Out</v>
      </c>
      <c r="D169" s="186"/>
      <c r="E169" s="325"/>
      <c r="G169" s="36" t="s">
        <v>16</v>
      </c>
      <c r="I169" s="39"/>
      <c r="K169" s="39"/>
      <c r="L169" s="43" t="s">
        <v>275</v>
      </c>
      <c r="N169" s="70">
        <f ca="1">SUMIFS(OFFSET(Assumptions!$I$90,0,MATCH($A169,Configurations,0)-1,COUNT(Assumptions!$A$90:$A$183),1),Assumptions!$D$90:$D$183,$B169&amp;$C169)</f>
        <v>0</v>
      </c>
      <c r="O169" s="313"/>
      <c r="P169" s="323"/>
      <c r="Q169" s="313"/>
      <c r="R169" s="50">
        <f t="shared" ref="R169:AU169" ca="1" si="119">IF(OR(R$99&lt;InServiceYr,R$99&gt;(InServiceYr+analysis_period-1)),0,IF($P169=0,$N169,$P169)*R$505)</f>
        <v>0</v>
      </c>
      <c r="S169" s="50">
        <f t="shared" ca="1" si="119"/>
        <v>0</v>
      </c>
      <c r="T169" s="50">
        <f t="shared" ca="1" si="119"/>
        <v>0</v>
      </c>
      <c r="U169" s="50">
        <f t="shared" ca="1" si="119"/>
        <v>0</v>
      </c>
      <c r="V169" s="50">
        <f t="shared" ca="1" si="119"/>
        <v>0</v>
      </c>
      <c r="W169" s="50">
        <f t="shared" ca="1" si="119"/>
        <v>0</v>
      </c>
      <c r="X169" s="50">
        <f t="shared" ca="1" si="119"/>
        <v>0</v>
      </c>
      <c r="Y169" s="50">
        <f t="shared" ca="1" si="119"/>
        <v>0</v>
      </c>
      <c r="Z169" s="50">
        <f t="shared" ca="1" si="119"/>
        <v>0</v>
      </c>
      <c r="AA169" s="50">
        <f t="shared" ca="1" si="119"/>
        <v>0</v>
      </c>
      <c r="AB169" s="50">
        <f t="shared" ca="1" si="119"/>
        <v>0</v>
      </c>
      <c r="AC169" s="50">
        <f t="shared" ca="1" si="119"/>
        <v>0</v>
      </c>
      <c r="AD169" s="50">
        <f t="shared" ca="1" si="119"/>
        <v>0</v>
      </c>
      <c r="AE169" s="50">
        <f t="shared" ca="1" si="119"/>
        <v>0</v>
      </c>
      <c r="AF169" s="50">
        <f t="shared" ca="1" si="119"/>
        <v>0</v>
      </c>
      <c r="AG169" s="50">
        <f t="shared" ca="1" si="119"/>
        <v>0</v>
      </c>
      <c r="AH169" s="50">
        <f t="shared" ca="1" si="119"/>
        <v>0</v>
      </c>
      <c r="AI169" s="50">
        <f t="shared" ca="1" si="119"/>
        <v>0</v>
      </c>
      <c r="AJ169" s="50">
        <f t="shared" ca="1" si="119"/>
        <v>0</v>
      </c>
      <c r="AK169" s="50">
        <f t="shared" ca="1" si="119"/>
        <v>0</v>
      </c>
      <c r="AL169" s="50">
        <f t="shared" si="119"/>
        <v>0</v>
      </c>
      <c r="AM169" s="50">
        <f t="shared" si="119"/>
        <v>0</v>
      </c>
      <c r="AN169" s="50">
        <f t="shared" si="119"/>
        <v>0</v>
      </c>
      <c r="AO169" s="50">
        <f t="shared" si="119"/>
        <v>0</v>
      </c>
      <c r="AP169" s="50">
        <f t="shared" si="119"/>
        <v>0</v>
      </c>
      <c r="AQ169" s="50">
        <f t="shared" si="119"/>
        <v>0</v>
      </c>
      <c r="AR169" s="50">
        <f t="shared" si="119"/>
        <v>0</v>
      </c>
      <c r="AS169" s="50">
        <f t="shared" si="119"/>
        <v>0</v>
      </c>
      <c r="AT169" s="50">
        <f t="shared" si="119"/>
        <v>0</v>
      </c>
      <c r="AU169" s="50">
        <f t="shared" si="119"/>
        <v>0</v>
      </c>
    </row>
    <row r="170" spans="1:47">
      <c r="A170" s="38" t="str">
        <f t="shared" si="114"/>
        <v>2X-</v>
      </c>
      <c r="B170" s="38" t="s">
        <v>257</v>
      </c>
      <c r="C170" s="38" t="str">
        <f t="shared" si="118"/>
        <v>Cake Storage/Load Out</v>
      </c>
      <c r="D170" s="186"/>
      <c r="E170" s="325"/>
      <c r="G170" s="36" t="s">
        <v>284</v>
      </c>
      <c r="I170" s="39"/>
      <c r="K170" s="39"/>
      <c r="L170" s="43" t="s">
        <v>293</v>
      </c>
      <c r="N170" s="70">
        <f ca="1">SUMIFS(OFFSET(Assumptions!$I$90,0,MATCH($A170,Configurations,0)-1,COUNT(Assumptions!$A$90:$A$183),1),Assumptions!$D$90:$D$183,$B170&amp;$C170)</f>
        <v>0</v>
      </c>
      <c r="O170" s="313"/>
      <c r="P170" s="323"/>
      <c r="Q170" s="313"/>
      <c r="R170" s="50">
        <f t="shared" ref="R170:AU170" ca="1" si="120">IF(OR(R$99&lt;InServiceYr,R$99&gt;(InServiceYr+analysis_period-1)),0,IF($P170=0,$N170,$P170)*R$501)</f>
        <v>0</v>
      </c>
      <c r="S170" s="50">
        <f t="shared" ca="1" si="120"/>
        <v>0</v>
      </c>
      <c r="T170" s="50">
        <f t="shared" ca="1" si="120"/>
        <v>0</v>
      </c>
      <c r="U170" s="50">
        <f t="shared" ca="1" si="120"/>
        <v>0</v>
      </c>
      <c r="V170" s="50">
        <f t="shared" ca="1" si="120"/>
        <v>0</v>
      </c>
      <c r="W170" s="50">
        <f t="shared" ca="1" si="120"/>
        <v>0</v>
      </c>
      <c r="X170" s="50">
        <f t="shared" ca="1" si="120"/>
        <v>0</v>
      </c>
      <c r="Y170" s="50">
        <f t="shared" ca="1" si="120"/>
        <v>0</v>
      </c>
      <c r="Z170" s="50">
        <f t="shared" ca="1" si="120"/>
        <v>0</v>
      </c>
      <c r="AA170" s="50">
        <f t="shared" ca="1" si="120"/>
        <v>0</v>
      </c>
      <c r="AB170" s="50">
        <f t="shared" ca="1" si="120"/>
        <v>0</v>
      </c>
      <c r="AC170" s="50">
        <f t="shared" ca="1" si="120"/>
        <v>0</v>
      </c>
      <c r="AD170" s="50">
        <f t="shared" ca="1" si="120"/>
        <v>0</v>
      </c>
      <c r="AE170" s="50">
        <f t="shared" ca="1" si="120"/>
        <v>0</v>
      </c>
      <c r="AF170" s="50">
        <f t="shared" ca="1" si="120"/>
        <v>0</v>
      </c>
      <c r="AG170" s="50">
        <f t="shared" ca="1" si="120"/>
        <v>0</v>
      </c>
      <c r="AH170" s="50">
        <f t="shared" ca="1" si="120"/>
        <v>0</v>
      </c>
      <c r="AI170" s="50">
        <f t="shared" ca="1" si="120"/>
        <v>0</v>
      </c>
      <c r="AJ170" s="50">
        <f t="shared" ca="1" si="120"/>
        <v>0</v>
      </c>
      <c r="AK170" s="50">
        <f t="shared" ca="1" si="120"/>
        <v>0</v>
      </c>
      <c r="AL170" s="50">
        <f t="shared" si="120"/>
        <v>0</v>
      </c>
      <c r="AM170" s="50">
        <f t="shared" si="120"/>
        <v>0</v>
      </c>
      <c r="AN170" s="50">
        <f t="shared" si="120"/>
        <v>0</v>
      </c>
      <c r="AO170" s="50">
        <f t="shared" si="120"/>
        <v>0</v>
      </c>
      <c r="AP170" s="50">
        <f t="shared" si="120"/>
        <v>0</v>
      </c>
      <c r="AQ170" s="50">
        <f t="shared" si="120"/>
        <v>0</v>
      </c>
      <c r="AR170" s="50">
        <f t="shared" si="120"/>
        <v>0</v>
      </c>
      <c r="AS170" s="50">
        <f t="shared" si="120"/>
        <v>0</v>
      </c>
      <c r="AT170" s="50">
        <f t="shared" si="120"/>
        <v>0</v>
      </c>
      <c r="AU170" s="50">
        <f t="shared" si="120"/>
        <v>0</v>
      </c>
    </row>
    <row r="171" spans="1:47">
      <c r="A171" s="38" t="str">
        <f t="shared" si="114"/>
        <v>2X-</v>
      </c>
      <c r="B171" s="38" t="s">
        <v>864</v>
      </c>
      <c r="C171" s="38" t="str">
        <f t="shared" si="118"/>
        <v>Cake Storage/Load Out</v>
      </c>
      <c r="D171" s="186">
        <f>GHGEsc</f>
        <v>0.02</v>
      </c>
      <c r="E171" s="325"/>
      <c r="G171" s="36" t="s">
        <v>865</v>
      </c>
      <c r="I171" s="39"/>
      <c r="K171" s="39"/>
      <c r="L171" s="43" t="s">
        <v>866</v>
      </c>
      <c r="N171" s="70">
        <f ca="1">SUMIFS(OFFSET(Assumptions!$I$90,0,MATCH($A171,Configurations,0)-1,COUNT(Assumptions!$A$90:$A$183),1),Assumptions!$D$90:$D$183,$B171&amp;$C171)</f>
        <v>0</v>
      </c>
      <c r="O171" s="313"/>
      <c r="P171" s="323"/>
      <c r="Q171" s="313"/>
      <c r="R171" s="50">
        <f t="shared" ref="R171:AU171" ca="1" si="121">IF(OR(R$99&lt;InServiceYr,R$99&gt;(InServiceYr+analysis_period-1)),0,IF($P171=0,$N171,$P171)*R$513)</f>
        <v>0</v>
      </c>
      <c r="S171" s="50">
        <f t="shared" ca="1" si="121"/>
        <v>0</v>
      </c>
      <c r="T171" s="50">
        <f t="shared" ca="1" si="121"/>
        <v>0</v>
      </c>
      <c r="U171" s="50">
        <f t="shared" ca="1" si="121"/>
        <v>0</v>
      </c>
      <c r="V171" s="50">
        <f t="shared" ca="1" si="121"/>
        <v>0</v>
      </c>
      <c r="W171" s="50">
        <f t="shared" ca="1" si="121"/>
        <v>0</v>
      </c>
      <c r="X171" s="50">
        <f t="shared" ca="1" si="121"/>
        <v>0</v>
      </c>
      <c r="Y171" s="50">
        <f t="shared" ca="1" si="121"/>
        <v>0</v>
      </c>
      <c r="Z171" s="50">
        <f t="shared" ca="1" si="121"/>
        <v>0</v>
      </c>
      <c r="AA171" s="50">
        <f t="shared" ca="1" si="121"/>
        <v>0</v>
      </c>
      <c r="AB171" s="50">
        <f t="shared" ca="1" si="121"/>
        <v>0</v>
      </c>
      <c r="AC171" s="50">
        <f t="shared" ca="1" si="121"/>
        <v>0</v>
      </c>
      <c r="AD171" s="50">
        <f t="shared" ca="1" si="121"/>
        <v>0</v>
      </c>
      <c r="AE171" s="50">
        <f t="shared" ca="1" si="121"/>
        <v>0</v>
      </c>
      <c r="AF171" s="50">
        <f t="shared" ca="1" si="121"/>
        <v>0</v>
      </c>
      <c r="AG171" s="50">
        <f t="shared" ca="1" si="121"/>
        <v>0</v>
      </c>
      <c r="AH171" s="50">
        <f t="shared" ca="1" si="121"/>
        <v>0</v>
      </c>
      <c r="AI171" s="50">
        <f t="shared" ca="1" si="121"/>
        <v>0</v>
      </c>
      <c r="AJ171" s="50">
        <f t="shared" ca="1" si="121"/>
        <v>0</v>
      </c>
      <c r="AK171" s="50">
        <f t="shared" ca="1" si="121"/>
        <v>0</v>
      </c>
      <c r="AL171" s="50">
        <f t="shared" si="121"/>
        <v>0</v>
      </c>
      <c r="AM171" s="50">
        <f t="shared" si="121"/>
        <v>0</v>
      </c>
      <c r="AN171" s="50">
        <f t="shared" si="121"/>
        <v>0</v>
      </c>
      <c r="AO171" s="50">
        <f t="shared" si="121"/>
        <v>0</v>
      </c>
      <c r="AP171" s="50">
        <f t="shared" si="121"/>
        <v>0</v>
      </c>
      <c r="AQ171" s="50">
        <f t="shared" si="121"/>
        <v>0</v>
      </c>
      <c r="AR171" s="50">
        <f t="shared" si="121"/>
        <v>0</v>
      </c>
      <c r="AS171" s="50">
        <f t="shared" si="121"/>
        <v>0</v>
      </c>
      <c r="AT171" s="50">
        <f t="shared" si="121"/>
        <v>0</v>
      </c>
      <c r="AU171" s="50">
        <f t="shared" si="121"/>
        <v>0</v>
      </c>
    </row>
    <row r="172" spans="1:47">
      <c r="A172" s="38" t="str">
        <f t="shared" si="114"/>
        <v>2X-</v>
      </c>
      <c r="B172" s="38" t="s">
        <v>273</v>
      </c>
      <c r="C172" s="38" t="str">
        <f>C170</f>
        <v>Cake Storage/Load Out</v>
      </c>
      <c r="D172" s="186">
        <f>LaborEsc</f>
        <v>0.02</v>
      </c>
      <c r="E172" s="325"/>
      <c r="G172" s="36" t="s">
        <v>291</v>
      </c>
      <c r="I172" s="39"/>
      <c r="K172" s="39"/>
      <c r="L172" s="43" t="str">
        <f>"["&amp;CostBaseYr&amp;" $]"</f>
        <v>[2013 $]</v>
      </c>
      <c r="N172" s="70">
        <f ca="1">SUMIFS(OFFSET(Assumptions!$I$90,0,MATCH($A172,Configurations,0)-1,COUNT(Assumptions!$A$90:$A$183),1),Assumptions!$D$90:$D$183,$B172&amp;$C172)</f>
        <v>0</v>
      </c>
      <c r="O172" s="313"/>
      <c r="P172" s="323"/>
      <c r="Q172" s="313"/>
      <c r="R172" s="50">
        <f t="shared" ref="R172:AU172" ca="1" si="122">IF(OR(R$99&lt;InServiceYr,R$99&gt;(InServiceYr+analysis_period-1)),0,IF($P172=0,$N172,$P172)*(1+$D172)^(R$99-CostBaseYr))*R$509</f>
        <v>0</v>
      </c>
      <c r="S172" s="50">
        <f t="shared" ca="1" si="122"/>
        <v>0</v>
      </c>
      <c r="T172" s="50">
        <f t="shared" ca="1" si="122"/>
        <v>0</v>
      </c>
      <c r="U172" s="50">
        <f t="shared" ca="1" si="122"/>
        <v>0</v>
      </c>
      <c r="V172" s="50">
        <f t="shared" ca="1" si="122"/>
        <v>0</v>
      </c>
      <c r="W172" s="50">
        <f t="shared" ca="1" si="122"/>
        <v>0</v>
      </c>
      <c r="X172" s="50">
        <f t="shared" ca="1" si="122"/>
        <v>0</v>
      </c>
      <c r="Y172" s="50">
        <f t="shared" ca="1" si="122"/>
        <v>0</v>
      </c>
      <c r="Z172" s="50">
        <f t="shared" ca="1" si="122"/>
        <v>0</v>
      </c>
      <c r="AA172" s="50">
        <f t="shared" ca="1" si="122"/>
        <v>0</v>
      </c>
      <c r="AB172" s="50">
        <f t="shared" ca="1" si="122"/>
        <v>0</v>
      </c>
      <c r="AC172" s="50">
        <f t="shared" ca="1" si="122"/>
        <v>0</v>
      </c>
      <c r="AD172" s="50">
        <f t="shared" ca="1" si="122"/>
        <v>0</v>
      </c>
      <c r="AE172" s="50">
        <f t="shared" ca="1" si="122"/>
        <v>0</v>
      </c>
      <c r="AF172" s="50">
        <f t="shared" ca="1" si="122"/>
        <v>0</v>
      </c>
      <c r="AG172" s="50">
        <f t="shared" ca="1" si="122"/>
        <v>0</v>
      </c>
      <c r="AH172" s="50">
        <f t="shared" ca="1" si="122"/>
        <v>0</v>
      </c>
      <c r="AI172" s="50">
        <f t="shared" ca="1" si="122"/>
        <v>0</v>
      </c>
      <c r="AJ172" s="50">
        <f t="shared" ca="1" si="122"/>
        <v>0</v>
      </c>
      <c r="AK172" s="50">
        <f t="shared" ca="1" si="122"/>
        <v>0</v>
      </c>
      <c r="AL172" s="50">
        <f t="shared" si="122"/>
        <v>0</v>
      </c>
      <c r="AM172" s="50">
        <f t="shared" si="122"/>
        <v>0</v>
      </c>
      <c r="AN172" s="50">
        <f t="shared" si="122"/>
        <v>0</v>
      </c>
      <c r="AO172" s="50">
        <f t="shared" si="122"/>
        <v>0</v>
      </c>
      <c r="AP172" s="50">
        <f t="shared" si="122"/>
        <v>0</v>
      </c>
      <c r="AQ172" s="50">
        <f t="shared" si="122"/>
        <v>0</v>
      </c>
      <c r="AR172" s="50">
        <f t="shared" si="122"/>
        <v>0</v>
      </c>
      <c r="AS172" s="50">
        <f t="shared" si="122"/>
        <v>0</v>
      </c>
      <c r="AT172" s="50">
        <f t="shared" si="122"/>
        <v>0</v>
      </c>
      <c r="AU172" s="50">
        <f t="shared" si="122"/>
        <v>0</v>
      </c>
    </row>
    <row r="173" spans="1:47">
      <c r="D173" s="186"/>
      <c r="E173" s="325"/>
      <c r="G173" s="39" t="s">
        <v>304</v>
      </c>
      <c r="I173" s="39"/>
      <c r="K173" s="39"/>
      <c r="L173" s="43"/>
      <c r="N173" s="70"/>
      <c r="O173" s="313"/>
      <c r="P173" s="70"/>
      <c r="Q173" s="313"/>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row>
    <row r="174" spans="1:47">
      <c r="A174" s="38" t="str">
        <f>$J$4&amp;"-"</f>
        <v>2X-</v>
      </c>
      <c r="B174" s="38" t="s">
        <v>265</v>
      </c>
      <c r="C174" s="38" t="str">
        <f>C165</f>
        <v>Cake Storage/Load Out</v>
      </c>
      <c r="D174" s="186"/>
      <c r="E174" s="325"/>
      <c r="G174" s="36" t="s">
        <v>108</v>
      </c>
      <c r="I174" s="39"/>
      <c r="K174" s="39"/>
      <c r="L174" s="43" t="s">
        <v>293</v>
      </c>
      <c r="N174" s="70">
        <f ca="1">SUMIFS(OFFSET(Assumptions!$I$90,0,MATCH($A174,Configurations,0)-1,COUNT(Assumptions!$A$90:$A$183),1),Assumptions!$D$90:$D$183,$B174&amp;$C174)</f>
        <v>0</v>
      </c>
      <c r="O174" s="313"/>
      <c r="P174" s="323"/>
      <c r="Q174" s="313"/>
      <c r="R174" s="50">
        <f t="shared" ref="R174:AU174" ca="1" si="123">IF(OR(R$99&lt;InServiceYr,R$99&gt;(InServiceYr+analysis_period-1)),0,IF($P174=0,$N174,$P174)*R$501)</f>
        <v>0</v>
      </c>
      <c r="S174" s="50">
        <f t="shared" ca="1" si="123"/>
        <v>0</v>
      </c>
      <c r="T174" s="50">
        <f t="shared" ca="1" si="123"/>
        <v>0</v>
      </c>
      <c r="U174" s="50">
        <f t="shared" ca="1" si="123"/>
        <v>0</v>
      </c>
      <c r="V174" s="50">
        <f t="shared" ca="1" si="123"/>
        <v>0</v>
      </c>
      <c r="W174" s="50">
        <f t="shared" ca="1" si="123"/>
        <v>0</v>
      </c>
      <c r="X174" s="50">
        <f t="shared" ca="1" si="123"/>
        <v>0</v>
      </c>
      <c r="Y174" s="50">
        <f t="shared" ca="1" si="123"/>
        <v>0</v>
      </c>
      <c r="Z174" s="50">
        <f t="shared" ca="1" si="123"/>
        <v>0</v>
      </c>
      <c r="AA174" s="50">
        <f t="shared" ca="1" si="123"/>
        <v>0</v>
      </c>
      <c r="AB174" s="50">
        <f t="shared" ca="1" si="123"/>
        <v>0</v>
      </c>
      <c r="AC174" s="50">
        <f t="shared" ca="1" si="123"/>
        <v>0</v>
      </c>
      <c r="AD174" s="50">
        <f t="shared" ca="1" si="123"/>
        <v>0</v>
      </c>
      <c r="AE174" s="50">
        <f t="shared" ca="1" si="123"/>
        <v>0</v>
      </c>
      <c r="AF174" s="50">
        <f t="shared" ca="1" si="123"/>
        <v>0</v>
      </c>
      <c r="AG174" s="50">
        <f t="shared" ca="1" si="123"/>
        <v>0</v>
      </c>
      <c r="AH174" s="50">
        <f t="shared" ca="1" si="123"/>
        <v>0</v>
      </c>
      <c r="AI174" s="50">
        <f t="shared" ca="1" si="123"/>
        <v>0</v>
      </c>
      <c r="AJ174" s="50">
        <f t="shared" ca="1" si="123"/>
        <v>0</v>
      </c>
      <c r="AK174" s="50">
        <f t="shared" ca="1" si="123"/>
        <v>0</v>
      </c>
      <c r="AL174" s="50">
        <f t="shared" si="123"/>
        <v>0</v>
      </c>
      <c r="AM174" s="50">
        <f t="shared" si="123"/>
        <v>0</v>
      </c>
      <c r="AN174" s="50">
        <f t="shared" si="123"/>
        <v>0</v>
      </c>
      <c r="AO174" s="50">
        <f t="shared" si="123"/>
        <v>0</v>
      </c>
      <c r="AP174" s="50">
        <f t="shared" si="123"/>
        <v>0</v>
      </c>
      <c r="AQ174" s="50">
        <f t="shared" si="123"/>
        <v>0</v>
      </c>
      <c r="AR174" s="50">
        <f t="shared" si="123"/>
        <v>0</v>
      </c>
      <c r="AS174" s="50">
        <f t="shared" si="123"/>
        <v>0</v>
      </c>
      <c r="AT174" s="50">
        <f t="shared" si="123"/>
        <v>0</v>
      </c>
      <c r="AU174" s="50">
        <f t="shared" si="123"/>
        <v>0</v>
      </c>
    </row>
    <row r="175" spans="1:47">
      <c r="A175" s="38" t="str">
        <f>$J$4&amp;"-"</f>
        <v>2X-</v>
      </c>
      <c r="B175" s="38" t="s">
        <v>289</v>
      </c>
      <c r="C175" s="38" t="str">
        <f>C165</f>
        <v>Cake Storage/Load Out</v>
      </c>
      <c r="D175" s="186">
        <f>LaborEsc</f>
        <v>0.02</v>
      </c>
      <c r="E175" s="325"/>
      <c r="G175" s="36" t="s">
        <v>292</v>
      </c>
      <c r="I175" s="39"/>
      <c r="K175" s="39"/>
      <c r="L175" s="43" t="str">
        <f>"["&amp;CostBaseYr&amp;" $]"</f>
        <v>[2013 $]</v>
      </c>
      <c r="N175" s="70">
        <f ca="1">SUMIFS(OFFSET(Assumptions!$I$90,0,MATCH($A175,Configurations,0)-1,COUNT(Assumptions!$A$90:$A$183),1),Assumptions!$D$90:$D$183,$B175&amp;$C175)</f>
        <v>0</v>
      </c>
      <c r="O175" s="313"/>
      <c r="P175" s="323"/>
      <c r="Q175" s="313"/>
      <c r="R175" s="50">
        <f t="shared" ref="R175:AU175" ca="1" si="124">IF(OR(R$99&lt;InServiceYr,R$99&gt;(InServiceYr+analysis_period-1)),0,IF($P175=0,$N175,$P175)*(1+$D175)^(R$99-CostBaseYr))</f>
        <v>0</v>
      </c>
      <c r="S175" s="50">
        <f t="shared" ca="1" si="124"/>
        <v>0</v>
      </c>
      <c r="T175" s="50">
        <f t="shared" ca="1" si="124"/>
        <v>0</v>
      </c>
      <c r="U175" s="50">
        <f t="shared" ca="1" si="124"/>
        <v>0</v>
      </c>
      <c r="V175" s="50">
        <f t="shared" ca="1" si="124"/>
        <v>0</v>
      </c>
      <c r="W175" s="50">
        <f t="shared" ca="1" si="124"/>
        <v>0</v>
      </c>
      <c r="X175" s="50">
        <f t="shared" ca="1" si="124"/>
        <v>0</v>
      </c>
      <c r="Y175" s="50">
        <f t="shared" ca="1" si="124"/>
        <v>0</v>
      </c>
      <c r="Z175" s="50">
        <f t="shared" ca="1" si="124"/>
        <v>0</v>
      </c>
      <c r="AA175" s="50">
        <f t="shared" ca="1" si="124"/>
        <v>0</v>
      </c>
      <c r="AB175" s="50">
        <f t="shared" ca="1" si="124"/>
        <v>0</v>
      </c>
      <c r="AC175" s="50">
        <f t="shared" ca="1" si="124"/>
        <v>0</v>
      </c>
      <c r="AD175" s="50">
        <f t="shared" ca="1" si="124"/>
        <v>0</v>
      </c>
      <c r="AE175" s="50">
        <f t="shared" ca="1" si="124"/>
        <v>0</v>
      </c>
      <c r="AF175" s="50">
        <f t="shared" ca="1" si="124"/>
        <v>0</v>
      </c>
      <c r="AG175" s="50">
        <f t="shared" ca="1" si="124"/>
        <v>0</v>
      </c>
      <c r="AH175" s="50">
        <f t="shared" ca="1" si="124"/>
        <v>0</v>
      </c>
      <c r="AI175" s="50">
        <f t="shared" ca="1" si="124"/>
        <v>0</v>
      </c>
      <c r="AJ175" s="50">
        <f t="shared" ca="1" si="124"/>
        <v>0</v>
      </c>
      <c r="AK175" s="50">
        <f t="shared" ca="1" si="124"/>
        <v>0</v>
      </c>
      <c r="AL175" s="50">
        <f t="shared" si="124"/>
        <v>0</v>
      </c>
      <c r="AM175" s="50">
        <f t="shared" si="124"/>
        <v>0</v>
      </c>
      <c r="AN175" s="50">
        <f t="shared" si="124"/>
        <v>0</v>
      </c>
      <c r="AO175" s="50">
        <f t="shared" si="124"/>
        <v>0</v>
      </c>
      <c r="AP175" s="50">
        <f t="shared" si="124"/>
        <v>0</v>
      </c>
      <c r="AQ175" s="50">
        <f t="shared" si="124"/>
        <v>0</v>
      </c>
      <c r="AR175" s="50">
        <f t="shared" si="124"/>
        <v>0</v>
      </c>
      <c r="AS175" s="50">
        <f t="shared" si="124"/>
        <v>0</v>
      </c>
      <c r="AT175" s="50">
        <f t="shared" si="124"/>
        <v>0</v>
      </c>
      <c r="AU175" s="50">
        <f t="shared" si="124"/>
        <v>0</v>
      </c>
    </row>
    <row r="176" spans="1:47" s="60" customFormat="1">
      <c r="D176" s="187"/>
      <c r="E176" s="325"/>
      <c r="G176" s="39" t="s">
        <v>305</v>
      </c>
      <c r="I176" s="39"/>
      <c r="K176" s="39"/>
      <c r="L176" s="174"/>
      <c r="N176" s="188"/>
      <c r="O176" s="314"/>
      <c r="P176" s="185"/>
      <c r="Q176" s="314"/>
      <c r="R176" s="185">
        <f ca="1">SUM(R165:R172)-SUM(R174:R175)</f>
        <v>45606.75</v>
      </c>
      <c r="S176" s="185">
        <f t="shared" ref="S176:AU176" ca="1" si="125">SUM(S165:S172)-SUM(S174:S175)</f>
        <v>46518.885000000002</v>
      </c>
      <c r="T176" s="185">
        <f t="shared" ca="1" si="125"/>
        <v>47449.262699999999</v>
      </c>
      <c r="U176" s="185">
        <f t="shared" ca="1" si="125"/>
        <v>48398.247953999999</v>
      </c>
      <c r="V176" s="185">
        <f t="shared" ca="1" si="125"/>
        <v>49366.212913080002</v>
      </c>
      <c r="W176" s="185">
        <f t="shared" ca="1" si="125"/>
        <v>50353.537171341603</v>
      </c>
      <c r="X176" s="185">
        <f t="shared" ca="1" si="125"/>
        <v>51360.607914768421</v>
      </c>
      <c r="Y176" s="185">
        <f t="shared" ca="1" si="125"/>
        <v>52387.820073063798</v>
      </c>
      <c r="Z176" s="185">
        <f t="shared" ca="1" si="125"/>
        <v>53435.576474525071</v>
      </c>
      <c r="AA176" s="185">
        <f t="shared" ca="1" si="125"/>
        <v>54504.28800401558</v>
      </c>
      <c r="AB176" s="185">
        <f t="shared" ca="1" si="125"/>
        <v>55594.373764095879</v>
      </c>
      <c r="AC176" s="185">
        <f t="shared" ca="1" si="125"/>
        <v>56706.261239377804</v>
      </c>
      <c r="AD176" s="185">
        <f t="shared" ca="1" si="125"/>
        <v>57840.386464165356</v>
      </c>
      <c r="AE176" s="185">
        <f t="shared" ca="1" si="125"/>
        <v>58997.194193448668</v>
      </c>
      <c r="AF176" s="185">
        <f t="shared" ca="1" si="125"/>
        <v>60177.138077317628</v>
      </c>
      <c r="AG176" s="185">
        <f t="shared" ca="1" si="125"/>
        <v>61380.680838863991</v>
      </c>
      <c r="AH176" s="185">
        <f t="shared" ca="1" si="125"/>
        <v>62608.294455641277</v>
      </c>
      <c r="AI176" s="185">
        <f t="shared" ca="1" si="125"/>
        <v>63860.460344754094</v>
      </c>
      <c r="AJ176" s="185">
        <f t="shared" ca="1" si="125"/>
        <v>65137.669551649175</v>
      </c>
      <c r="AK176" s="185">
        <f t="shared" ca="1" si="125"/>
        <v>66440.422942682169</v>
      </c>
      <c r="AL176" s="185">
        <f t="shared" si="125"/>
        <v>0</v>
      </c>
      <c r="AM176" s="185">
        <f t="shared" si="125"/>
        <v>0</v>
      </c>
      <c r="AN176" s="185">
        <f t="shared" si="125"/>
        <v>0</v>
      </c>
      <c r="AO176" s="185">
        <f t="shared" si="125"/>
        <v>0</v>
      </c>
      <c r="AP176" s="185">
        <f t="shared" si="125"/>
        <v>0</v>
      </c>
      <c r="AQ176" s="185">
        <f t="shared" si="125"/>
        <v>0</v>
      </c>
      <c r="AR176" s="185">
        <f t="shared" si="125"/>
        <v>0</v>
      </c>
      <c r="AS176" s="185">
        <f t="shared" si="125"/>
        <v>0</v>
      </c>
      <c r="AT176" s="185">
        <f t="shared" si="125"/>
        <v>0</v>
      </c>
      <c r="AU176" s="185">
        <f t="shared" si="125"/>
        <v>0</v>
      </c>
    </row>
    <row r="177" spans="1:47">
      <c r="G177" s="28"/>
      <c r="H177" s="28"/>
      <c r="I177" s="28"/>
      <c r="J177" s="28"/>
      <c r="K177" s="28"/>
      <c r="L177" s="409"/>
      <c r="M177" s="46"/>
      <c r="N177" s="46"/>
      <c r="O177" s="315"/>
      <c r="P177" s="46"/>
      <c r="Q177" s="315"/>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row>
    <row r="178" spans="1:47">
      <c r="E178" s="327"/>
      <c r="F178" s="28"/>
      <c r="G178" s="324" t="str">
        <f>C180&amp;" Capital Costs"</f>
        <v>Cake Storage Capital Costs</v>
      </c>
      <c r="H178" s="324"/>
      <c r="I178" s="324"/>
      <c r="J178" s="324"/>
      <c r="K178" s="324"/>
      <c r="L178" s="405" t="s">
        <v>79</v>
      </c>
      <c r="M178" s="256"/>
      <c r="N178" s="325" t="s">
        <v>490</v>
      </c>
      <c r="O178" s="311"/>
      <c r="P178" s="325" t="s">
        <v>491</v>
      </c>
      <c r="Q178" s="310"/>
      <c r="R178" s="325">
        <f>R$8</f>
        <v>2014</v>
      </c>
      <c r="S178" s="325">
        <f t="shared" ref="S178:AU178" si="126">S$8</f>
        <v>2015</v>
      </c>
      <c r="T178" s="325">
        <f t="shared" si="126"/>
        <v>2016</v>
      </c>
      <c r="U178" s="325">
        <f t="shared" si="126"/>
        <v>2017</v>
      </c>
      <c r="V178" s="325">
        <f t="shared" si="126"/>
        <v>2018</v>
      </c>
      <c r="W178" s="325">
        <f t="shared" si="126"/>
        <v>2019</v>
      </c>
      <c r="X178" s="325">
        <f t="shared" si="126"/>
        <v>2020</v>
      </c>
      <c r="Y178" s="325">
        <f t="shared" si="126"/>
        <v>2021</v>
      </c>
      <c r="Z178" s="325">
        <f t="shared" si="126"/>
        <v>2022</v>
      </c>
      <c r="AA178" s="325">
        <f t="shared" si="126"/>
        <v>2023</v>
      </c>
      <c r="AB178" s="325">
        <f t="shared" si="126"/>
        <v>2024</v>
      </c>
      <c r="AC178" s="325">
        <f t="shared" si="126"/>
        <v>2025</v>
      </c>
      <c r="AD178" s="325">
        <f t="shared" si="126"/>
        <v>2026</v>
      </c>
      <c r="AE178" s="325">
        <f t="shared" si="126"/>
        <v>2027</v>
      </c>
      <c r="AF178" s="325">
        <f t="shared" si="126"/>
        <v>2028</v>
      </c>
      <c r="AG178" s="325">
        <f t="shared" si="126"/>
        <v>2029</v>
      </c>
      <c r="AH178" s="325">
        <f t="shared" si="126"/>
        <v>2030</v>
      </c>
      <c r="AI178" s="325">
        <f t="shared" si="126"/>
        <v>2031</v>
      </c>
      <c r="AJ178" s="325">
        <f t="shared" si="126"/>
        <v>2032</v>
      </c>
      <c r="AK178" s="325">
        <f t="shared" si="126"/>
        <v>2033</v>
      </c>
      <c r="AL178" s="325">
        <f t="shared" si="126"/>
        <v>2034</v>
      </c>
      <c r="AM178" s="325">
        <f t="shared" si="126"/>
        <v>2035</v>
      </c>
      <c r="AN178" s="325">
        <f t="shared" si="126"/>
        <v>2036</v>
      </c>
      <c r="AO178" s="325">
        <f t="shared" si="126"/>
        <v>2037</v>
      </c>
      <c r="AP178" s="325">
        <f t="shared" si="126"/>
        <v>2038</v>
      </c>
      <c r="AQ178" s="325">
        <f t="shared" si="126"/>
        <v>2039</v>
      </c>
      <c r="AR178" s="325">
        <f t="shared" si="126"/>
        <v>2040</v>
      </c>
      <c r="AS178" s="325">
        <f t="shared" si="126"/>
        <v>2041</v>
      </c>
      <c r="AT178" s="325">
        <f t="shared" si="126"/>
        <v>2042</v>
      </c>
      <c r="AU178" s="325">
        <f t="shared" si="126"/>
        <v>2043</v>
      </c>
    </row>
    <row r="179" spans="1:47">
      <c r="E179" s="325"/>
      <c r="G179" s="39"/>
      <c r="H179" s="39"/>
      <c r="I179" s="39"/>
      <c r="J179" s="39"/>
      <c r="K179" s="39"/>
    </row>
    <row r="180" spans="1:47">
      <c r="A180" s="38" t="str">
        <f>$J$4&amp;"-"</f>
        <v>2X-</v>
      </c>
      <c r="B180" s="38" t="s">
        <v>306</v>
      </c>
      <c r="C180" s="38" t="s">
        <v>317</v>
      </c>
      <c r="D180" s="186">
        <f>CapExEsc</f>
        <v>0.03</v>
      </c>
      <c r="E180" s="325"/>
      <c r="G180" s="36" t="s">
        <v>8</v>
      </c>
      <c r="H180" s="39"/>
      <c r="I180" s="39"/>
      <c r="J180" s="70"/>
      <c r="K180" s="39"/>
      <c r="L180" s="43" t="str">
        <f>"["&amp;CostBaseYr&amp;" $]"</f>
        <v>[2013 $]</v>
      </c>
      <c r="N180" s="52">
        <f ca="1">SUMIFS(OFFSET(Assumptions!$I$65,0,MATCH($A180,Configurations,0)-1,COUNT(Assumptions!$A$65:$A$84),1),Assumptions!$E$65:$E$84,$C180)</f>
        <v>3325000</v>
      </c>
      <c r="O180" s="52"/>
      <c r="P180" s="322"/>
      <c r="Q180" s="52"/>
      <c r="R180" s="52">
        <f t="shared" ref="R180:AU180" ca="1" si="127">R181*IF($P180=0,$N180,$P180)*(1+$D180)^(R$8-CostBaseYr)</f>
        <v>3424750</v>
      </c>
      <c r="S180" s="52">
        <f t="shared" ca="1" si="127"/>
        <v>0</v>
      </c>
      <c r="T180" s="52">
        <f t="shared" ca="1" si="127"/>
        <v>0</v>
      </c>
      <c r="U180" s="52">
        <f t="shared" ca="1" si="127"/>
        <v>0</v>
      </c>
      <c r="V180" s="52">
        <f t="shared" ca="1" si="127"/>
        <v>0</v>
      </c>
      <c r="W180" s="52">
        <f t="shared" ca="1" si="127"/>
        <v>0</v>
      </c>
      <c r="X180" s="52">
        <f t="shared" ca="1" si="127"/>
        <v>0</v>
      </c>
      <c r="Y180" s="52">
        <f t="shared" ca="1" si="127"/>
        <v>0</v>
      </c>
      <c r="Z180" s="52">
        <f t="shared" ca="1" si="127"/>
        <v>0</v>
      </c>
      <c r="AA180" s="52">
        <f t="shared" ca="1" si="127"/>
        <v>0</v>
      </c>
      <c r="AB180" s="52">
        <f t="shared" ca="1" si="127"/>
        <v>0</v>
      </c>
      <c r="AC180" s="52">
        <f t="shared" ca="1" si="127"/>
        <v>0</v>
      </c>
      <c r="AD180" s="52">
        <f t="shared" ca="1" si="127"/>
        <v>0</v>
      </c>
      <c r="AE180" s="52">
        <f t="shared" ca="1" si="127"/>
        <v>0</v>
      </c>
      <c r="AF180" s="52">
        <f t="shared" ca="1" si="127"/>
        <v>0</v>
      </c>
      <c r="AG180" s="52">
        <f t="shared" ca="1" si="127"/>
        <v>0</v>
      </c>
      <c r="AH180" s="52">
        <f t="shared" ca="1" si="127"/>
        <v>0</v>
      </c>
      <c r="AI180" s="52">
        <f t="shared" ca="1" si="127"/>
        <v>0</v>
      </c>
      <c r="AJ180" s="52">
        <f t="shared" ca="1" si="127"/>
        <v>0</v>
      </c>
      <c r="AK180" s="52">
        <f t="shared" ca="1" si="127"/>
        <v>0</v>
      </c>
      <c r="AL180" s="52">
        <f t="shared" ca="1" si="127"/>
        <v>0</v>
      </c>
      <c r="AM180" s="52">
        <f t="shared" ca="1" si="127"/>
        <v>0</v>
      </c>
      <c r="AN180" s="52">
        <f t="shared" ca="1" si="127"/>
        <v>0</v>
      </c>
      <c r="AO180" s="52">
        <f t="shared" ca="1" si="127"/>
        <v>0</v>
      </c>
      <c r="AP180" s="52">
        <f t="shared" ca="1" si="127"/>
        <v>0</v>
      </c>
      <c r="AQ180" s="52">
        <f t="shared" ca="1" si="127"/>
        <v>0</v>
      </c>
      <c r="AR180" s="52">
        <f t="shared" ca="1" si="127"/>
        <v>0</v>
      </c>
      <c r="AS180" s="52">
        <f t="shared" ca="1" si="127"/>
        <v>0</v>
      </c>
      <c r="AT180" s="52">
        <f t="shared" ca="1" si="127"/>
        <v>0</v>
      </c>
      <c r="AU180" s="52">
        <f t="shared" ca="1" si="127"/>
        <v>0</v>
      </c>
    </row>
    <row r="181" spans="1:47">
      <c r="E181" s="325"/>
      <c r="G181" s="36" t="s">
        <v>10</v>
      </c>
      <c r="H181" s="39"/>
      <c r="I181" s="39"/>
      <c r="J181" s="39"/>
      <c r="K181" s="39"/>
      <c r="L181" s="43"/>
      <c r="R181" s="54">
        <f>Assumptions!M$60</f>
        <v>1</v>
      </c>
      <c r="S181" s="54">
        <f>Assumptions!N$60</f>
        <v>0</v>
      </c>
      <c r="T181" s="54">
        <f>Assumptions!O$60</f>
        <v>0</v>
      </c>
      <c r="U181" s="54">
        <f>Assumptions!P$60</f>
        <v>0</v>
      </c>
      <c r="V181" s="54">
        <f>Assumptions!Q$60</f>
        <v>0</v>
      </c>
      <c r="W181" s="54">
        <f>Assumptions!R$60</f>
        <v>0</v>
      </c>
      <c r="X181" s="54">
        <f>Assumptions!S$60</f>
        <v>0</v>
      </c>
      <c r="Y181" s="54">
        <f>Assumptions!T$60</f>
        <v>0</v>
      </c>
      <c r="Z181" s="54">
        <f>Assumptions!U$60</f>
        <v>0</v>
      </c>
      <c r="AA181" s="54">
        <f>Assumptions!V$60</f>
        <v>0</v>
      </c>
      <c r="AB181" s="54">
        <f>Assumptions!W$60</f>
        <v>0</v>
      </c>
      <c r="AC181" s="54">
        <f>Assumptions!X$60</f>
        <v>0</v>
      </c>
      <c r="AD181" s="54">
        <f>Assumptions!Y$60</f>
        <v>0</v>
      </c>
      <c r="AE181" s="54">
        <f>Assumptions!Z$60</f>
        <v>0</v>
      </c>
      <c r="AF181" s="54">
        <f>Assumptions!AA$60</f>
        <v>0</v>
      </c>
      <c r="AG181" s="54">
        <f>Assumptions!AB$60</f>
        <v>0</v>
      </c>
      <c r="AH181" s="54">
        <f>Assumptions!AC$60</f>
        <v>0</v>
      </c>
      <c r="AI181" s="54">
        <f>Assumptions!AD$60</f>
        <v>0</v>
      </c>
      <c r="AJ181" s="54">
        <f>Assumptions!AE$60</f>
        <v>0</v>
      </c>
      <c r="AK181" s="54">
        <f>Assumptions!AF$60</f>
        <v>0</v>
      </c>
      <c r="AL181" s="54">
        <f>Assumptions!AG$60</f>
        <v>0</v>
      </c>
      <c r="AM181" s="54">
        <f>Assumptions!AH$60</f>
        <v>0</v>
      </c>
      <c r="AN181" s="54">
        <f>Assumptions!AI$60</f>
        <v>0</v>
      </c>
      <c r="AO181" s="54">
        <f>Assumptions!AJ$60</f>
        <v>0</v>
      </c>
      <c r="AP181" s="54">
        <f>Assumptions!AK$60</f>
        <v>0</v>
      </c>
      <c r="AQ181" s="54">
        <f>Assumptions!AL$60</f>
        <v>0</v>
      </c>
      <c r="AR181" s="54">
        <f>Assumptions!AM$60</f>
        <v>0</v>
      </c>
      <c r="AS181" s="54">
        <f>Assumptions!AN$60</f>
        <v>0</v>
      </c>
      <c r="AT181" s="54">
        <f>Assumptions!AO$60</f>
        <v>0</v>
      </c>
      <c r="AU181" s="54">
        <f>Assumptions!AP$60</f>
        <v>0</v>
      </c>
    </row>
    <row r="182" spans="1:47">
      <c r="E182" s="326"/>
      <c r="G182" s="39"/>
      <c r="H182" s="39"/>
      <c r="I182" s="39"/>
      <c r="J182" s="39"/>
      <c r="K182" s="39"/>
    </row>
    <row r="183" spans="1:47">
      <c r="E183" s="327"/>
      <c r="F183" s="28"/>
      <c r="G183" s="324" t="str">
        <f>C180&amp;" O&amp;M"</f>
        <v>Cake Storage O&amp;M</v>
      </c>
      <c r="H183" s="324"/>
      <c r="I183" s="324"/>
      <c r="J183" s="324"/>
      <c r="K183" s="324"/>
      <c r="L183" s="405" t="s">
        <v>79</v>
      </c>
      <c r="M183" s="256"/>
      <c r="N183" s="325" t="s">
        <v>490</v>
      </c>
      <c r="O183" s="311"/>
      <c r="P183" s="325" t="s">
        <v>491</v>
      </c>
      <c r="Q183" s="310"/>
      <c r="R183" s="325">
        <f>R$8</f>
        <v>2014</v>
      </c>
      <c r="S183" s="325">
        <f t="shared" ref="S183:AU183" si="128">S$8</f>
        <v>2015</v>
      </c>
      <c r="T183" s="325">
        <f t="shared" si="128"/>
        <v>2016</v>
      </c>
      <c r="U183" s="325">
        <f t="shared" si="128"/>
        <v>2017</v>
      </c>
      <c r="V183" s="325">
        <f t="shared" si="128"/>
        <v>2018</v>
      </c>
      <c r="W183" s="325">
        <f t="shared" si="128"/>
        <v>2019</v>
      </c>
      <c r="X183" s="325">
        <f t="shared" si="128"/>
        <v>2020</v>
      </c>
      <c r="Y183" s="325">
        <f t="shared" si="128"/>
        <v>2021</v>
      </c>
      <c r="Z183" s="325">
        <f t="shared" si="128"/>
        <v>2022</v>
      </c>
      <c r="AA183" s="325">
        <f t="shared" si="128"/>
        <v>2023</v>
      </c>
      <c r="AB183" s="325">
        <f t="shared" si="128"/>
        <v>2024</v>
      </c>
      <c r="AC183" s="325">
        <f t="shared" si="128"/>
        <v>2025</v>
      </c>
      <c r="AD183" s="325">
        <f t="shared" si="128"/>
        <v>2026</v>
      </c>
      <c r="AE183" s="325">
        <f t="shared" si="128"/>
        <v>2027</v>
      </c>
      <c r="AF183" s="325">
        <f t="shared" si="128"/>
        <v>2028</v>
      </c>
      <c r="AG183" s="325">
        <f t="shared" si="128"/>
        <v>2029</v>
      </c>
      <c r="AH183" s="325">
        <f t="shared" si="128"/>
        <v>2030</v>
      </c>
      <c r="AI183" s="325">
        <f t="shared" si="128"/>
        <v>2031</v>
      </c>
      <c r="AJ183" s="325">
        <f t="shared" si="128"/>
        <v>2032</v>
      </c>
      <c r="AK183" s="325">
        <f t="shared" si="128"/>
        <v>2033</v>
      </c>
      <c r="AL183" s="325">
        <f t="shared" si="128"/>
        <v>2034</v>
      </c>
      <c r="AM183" s="325">
        <f t="shared" si="128"/>
        <v>2035</v>
      </c>
      <c r="AN183" s="325">
        <f t="shared" si="128"/>
        <v>2036</v>
      </c>
      <c r="AO183" s="325">
        <f t="shared" si="128"/>
        <v>2037</v>
      </c>
      <c r="AP183" s="325">
        <f t="shared" si="128"/>
        <v>2038</v>
      </c>
      <c r="AQ183" s="325">
        <f t="shared" si="128"/>
        <v>2039</v>
      </c>
      <c r="AR183" s="325">
        <f t="shared" si="128"/>
        <v>2040</v>
      </c>
      <c r="AS183" s="325">
        <f t="shared" si="128"/>
        <v>2041</v>
      </c>
      <c r="AT183" s="325">
        <f t="shared" si="128"/>
        <v>2042</v>
      </c>
      <c r="AU183" s="325">
        <f t="shared" si="128"/>
        <v>2043</v>
      </c>
    </row>
    <row r="184" spans="1:47">
      <c r="E184" s="325"/>
      <c r="G184" s="39"/>
      <c r="H184" s="39"/>
      <c r="I184" s="39"/>
      <c r="J184" s="39"/>
      <c r="K184" s="39"/>
    </row>
    <row r="185" spans="1:47">
      <c r="E185" s="325"/>
      <c r="G185" s="39" t="s">
        <v>23</v>
      </c>
      <c r="H185" s="39"/>
      <c r="I185" s="39"/>
      <c r="J185" s="39"/>
      <c r="K185" s="39"/>
    </row>
    <row r="186" spans="1:47">
      <c r="A186" s="38" t="str">
        <f t="shared" ref="A186:A193" si="129">$J$4&amp;"-"</f>
        <v>2X-</v>
      </c>
      <c r="B186" s="38" t="s">
        <v>262</v>
      </c>
      <c r="C186" s="38" t="str">
        <f>C180</f>
        <v>Cake Storage</v>
      </c>
      <c r="D186" s="186">
        <f>LaborEsc</f>
        <v>0.02</v>
      </c>
      <c r="E186" s="325"/>
      <c r="G186" s="36" t="s">
        <v>125</v>
      </c>
      <c r="I186" s="39"/>
      <c r="K186" s="39"/>
      <c r="L186" s="43" t="s">
        <v>266</v>
      </c>
      <c r="N186" s="70">
        <f ca="1">SUMIFS(OFFSET(Assumptions!$I$90,0,MATCH($A186,Configurations,0)-1,COUNT(Assumptions!$A$90:$A$183),1),Assumptions!$D$90:$D$183,$B186&amp;$C186)</f>
        <v>0</v>
      </c>
      <c r="O186" s="313"/>
      <c r="P186" s="323"/>
      <c r="Q186" s="313"/>
      <c r="R186" s="50">
        <f t="shared" ref="R186:AU186" ca="1" si="130">IF(OR(R$99&lt;InServiceYr,R$99&gt;(InServiceYr+analysis_period-1)),0,IF($P186=0,$N186,$P186)*LaborCost*(1+$D186)^(R$99-CostBaseYr))</f>
        <v>0</v>
      </c>
      <c r="S186" s="50">
        <f t="shared" ca="1" si="130"/>
        <v>0</v>
      </c>
      <c r="T186" s="50">
        <f t="shared" ca="1" si="130"/>
        <v>0</v>
      </c>
      <c r="U186" s="50">
        <f t="shared" ca="1" si="130"/>
        <v>0</v>
      </c>
      <c r="V186" s="50">
        <f t="shared" ca="1" si="130"/>
        <v>0</v>
      </c>
      <c r="W186" s="50">
        <f t="shared" ca="1" si="130"/>
        <v>0</v>
      </c>
      <c r="X186" s="50">
        <f t="shared" ca="1" si="130"/>
        <v>0</v>
      </c>
      <c r="Y186" s="50">
        <f t="shared" ca="1" si="130"/>
        <v>0</v>
      </c>
      <c r="Z186" s="50">
        <f t="shared" ca="1" si="130"/>
        <v>0</v>
      </c>
      <c r="AA186" s="50">
        <f t="shared" ca="1" si="130"/>
        <v>0</v>
      </c>
      <c r="AB186" s="50">
        <f t="shared" ca="1" si="130"/>
        <v>0</v>
      </c>
      <c r="AC186" s="50">
        <f t="shared" ca="1" si="130"/>
        <v>0</v>
      </c>
      <c r="AD186" s="50">
        <f t="shared" ca="1" si="130"/>
        <v>0</v>
      </c>
      <c r="AE186" s="50">
        <f t="shared" ca="1" si="130"/>
        <v>0</v>
      </c>
      <c r="AF186" s="50">
        <f t="shared" ca="1" si="130"/>
        <v>0</v>
      </c>
      <c r="AG186" s="50">
        <f t="shared" ca="1" si="130"/>
        <v>0</v>
      </c>
      <c r="AH186" s="50">
        <f t="shared" ca="1" si="130"/>
        <v>0</v>
      </c>
      <c r="AI186" s="50">
        <f t="shared" ca="1" si="130"/>
        <v>0</v>
      </c>
      <c r="AJ186" s="50">
        <f t="shared" ca="1" si="130"/>
        <v>0</v>
      </c>
      <c r="AK186" s="50">
        <f t="shared" ca="1" si="130"/>
        <v>0</v>
      </c>
      <c r="AL186" s="50">
        <f t="shared" si="130"/>
        <v>0</v>
      </c>
      <c r="AM186" s="50">
        <f t="shared" si="130"/>
        <v>0</v>
      </c>
      <c r="AN186" s="50">
        <f t="shared" si="130"/>
        <v>0</v>
      </c>
      <c r="AO186" s="50">
        <f t="shared" si="130"/>
        <v>0</v>
      </c>
      <c r="AP186" s="50">
        <f t="shared" si="130"/>
        <v>0</v>
      </c>
      <c r="AQ186" s="50">
        <f t="shared" si="130"/>
        <v>0</v>
      </c>
      <c r="AR186" s="50">
        <f t="shared" si="130"/>
        <v>0</v>
      </c>
      <c r="AS186" s="50">
        <f t="shared" si="130"/>
        <v>0</v>
      </c>
      <c r="AT186" s="50">
        <f t="shared" si="130"/>
        <v>0</v>
      </c>
      <c r="AU186" s="50">
        <f t="shared" si="130"/>
        <v>0</v>
      </c>
    </row>
    <row r="187" spans="1:47">
      <c r="A187" s="38" t="str">
        <f t="shared" si="129"/>
        <v>2X-</v>
      </c>
      <c r="B187" s="38" t="s">
        <v>270</v>
      </c>
      <c r="C187" s="38" t="str">
        <f>C186</f>
        <v>Cake Storage</v>
      </c>
      <c r="D187" s="186">
        <f>OMEsc</f>
        <v>0.02</v>
      </c>
      <c r="E187" s="325"/>
      <c r="G187" s="36" t="s">
        <v>126</v>
      </c>
      <c r="I187" s="39"/>
      <c r="K187" s="39"/>
      <c r="L187" s="43" t="str">
        <f>"["&amp;CostBaseYr&amp;" $]"</f>
        <v>[2013 $]</v>
      </c>
      <c r="N187" s="70">
        <f ca="1">SUMIFS(OFFSET(Assumptions!$I$90,0,MATCH($A187,Configurations,0)-1,COUNT(Assumptions!$A$90:$A$183),1),Assumptions!$D$90:$D$183,$B187&amp;$C187)</f>
        <v>59000</v>
      </c>
      <c r="O187" s="313"/>
      <c r="P187" s="323"/>
      <c r="Q187" s="313"/>
      <c r="R187" s="50">
        <f t="shared" ref="R187:AG189" ca="1" si="131">IF(OR(R$99&lt;InServiceYr,R$99&gt;(InServiceYr+analysis_period-1)),0,IF($P187=0,$N187,$P187)*(1+$D187)^(R$99-CostBaseYr))</f>
        <v>60180</v>
      </c>
      <c r="S187" s="50">
        <f t="shared" ca="1" si="131"/>
        <v>61383.6</v>
      </c>
      <c r="T187" s="50">
        <f t="shared" ca="1" si="131"/>
        <v>62611.271999999997</v>
      </c>
      <c r="U187" s="50">
        <f t="shared" ca="1" si="131"/>
        <v>63863.497439999999</v>
      </c>
      <c r="V187" s="50">
        <f t="shared" ca="1" si="131"/>
        <v>65140.767388799999</v>
      </c>
      <c r="W187" s="50">
        <f t="shared" ca="1" si="131"/>
        <v>66443.582736576005</v>
      </c>
      <c r="X187" s="50">
        <f t="shared" ca="1" si="131"/>
        <v>67772.454391307503</v>
      </c>
      <c r="Y187" s="50">
        <f t="shared" ca="1" si="131"/>
        <v>69127.90347913366</v>
      </c>
      <c r="Z187" s="50">
        <f t="shared" ca="1" si="131"/>
        <v>70510.461548716339</v>
      </c>
      <c r="AA187" s="50">
        <f t="shared" ca="1" si="131"/>
        <v>71920.67077969067</v>
      </c>
      <c r="AB187" s="50">
        <f t="shared" ca="1" si="131"/>
        <v>73359.084195284464</v>
      </c>
      <c r="AC187" s="50">
        <f t="shared" ca="1" si="131"/>
        <v>74826.265879190178</v>
      </c>
      <c r="AD187" s="50">
        <f t="shared" ca="1" si="131"/>
        <v>76322.791196773964</v>
      </c>
      <c r="AE187" s="50">
        <f t="shared" ca="1" si="131"/>
        <v>77849.247020709459</v>
      </c>
      <c r="AF187" s="50">
        <f t="shared" ca="1" si="131"/>
        <v>79406.231961123631</v>
      </c>
      <c r="AG187" s="50">
        <f t="shared" ca="1" si="131"/>
        <v>80994.356600346116</v>
      </c>
      <c r="AH187" s="50">
        <f t="shared" ref="S187:AU189" ca="1" si="132">IF(OR(AH$99&lt;InServiceYr,AH$99&gt;(InServiceYr+analysis_period-1)),0,IF($P187=0,$N187,$P187)*(1+$D187)^(AH$99-CostBaseYr))</f>
        <v>82614.243732353047</v>
      </c>
      <c r="AI187" s="50">
        <f t="shared" ca="1" si="132"/>
        <v>84266.528607000088</v>
      </c>
      <c r="AJ187" s="50">
        <f t="shared" ca="1" si="132"/>
        <v>85951.859179140083</v>
      </c>
      <c r="AK187" s="50">
        <f t="shared" ca="1" si="132"/>
        <v>87670.896362722895</v>
      </c>
      <c r="AL187" s="50">
        <f t="shared" si="132"/>
        <v>0</v>
      </c>
      <c r="AM187" s="50">
        <f t="shared" si="132"/>
        <v>0</v>
      </c>
      <c r="AN187" s="50">
        <f t="shared" si="132"/>
        <v>0</v>
      </c>
      <c r="AO187" s="50">
        <f t="shared" si="132"/>
        <v>0</v>
      </c>
      <c r="AP187" s="50">
        <f t="shared" si="132"/>
        <v>0</v>
      </c>
      <c r="AQ187" s="50">
        <f t="shared" si="132"/>
        <v>0</v>
      </c>
      <c r="AR187" s="50">
        <f t="shared" si="132"/>
        <v>0</v>
      </c>
      <c r="AS187" s="50">
        <f t="shared" si="132"/>
        <v>0</v>
      </c>
      <c r="AT187" s="50">
        <f t="shared" si="132"/>
        <v>0</v>
      </c>
      <c r="AU187" s="50">
        <f t="shared" si="132"/>
        <v>0</v>
      </c>
    </row>
    <row r="188" spans="1:47">
      <c r="A188" s="38" t="str">
        <f t="shared" si="129"/>
        <v>2X-</v>
      </c>
      <c r="B188" s="38" t="s">
        <v>263</v>
      </c>
      <c r="C188" s="38" t="str">
        <f t="shared" ref="C188:C192" si="133">C187</f>
        <v>Cake Storage</v>
      </c>
      <c r="D188" s="186">
        <f>OMEsc</f>
        <v>0.02</v>
      </c>
      <c r="E188" s="325"/>
      <c r="G188" s="36" t="s">
        <v>127</v>
      </c>
      <c r="I188" s="39"/>
      <c r="K188" s="39"/>
      <c r="L188" s="43" t="str">
        <f>"["&amp;CostBaseYr&amp;" $]"</f>
        <v>[2013 $]</v>
      </c>
      <c r="N188" s="70">
        <f ca="1">SUMIFS(OFFSET(Assumptions!$I$90,0,MATCH($A188,Configurations,0)-1,COUNT(Assumptions!$A$90:$A$183),1),Assumptions!$D$90:$D$183,$B188&amp;$C188)</f>
        <v>0</v>
      </c>
      <c r="O188" s="313"/>
      <c r="P188" s="323"/>
      <c r="Q188" s="313"/>
      <c r="R188" s="50">
        <f t="shared" ca="1" si="131"/>
        <v>0</v>
      </c>
      <c r="S188" s="50">
        <f t="shared" ca="1" si="132"/>
        <v>0</v>
      </c>
      <c r="T188" s="50">
        <f t="shared" ca="1" si="132"/>
        <v>0</v>
      </c>
      <c r="U188" s="50">
        <f t="shared" ca="1" si="132"/>
        <v>0</v>
      </c>
      <c r="V188" s="50">
        <f t="shared" ca="1" si="132"/>
        <v>0</v>
      </c>
      <c r="W188" s="50">
        <f t="shared" ca="1" si="132"/>
        <v>0</v>
      </c>
      <c r="X188" s="50">
        <f t="shared" ca="1" si="132"/>
        <v>0</v>
      </c>
      <c r="Y188" s="50">
        <f t="shared" ca="1" si="132"/>
        <v>0</v>
      </c>
      <c r="Z188" s="50">
        <f t="shared" ca="1" si="132"/>
        <v>0</v>
      </c>
      <c r="AA188" s="50">
        <f t="shared" ca="1" si="132"/>
        <v>0</v>
      </c>
      <c r="AB188" s="50">
        <f t="shared" ca="1" si="132"/>
        <v>0</v>
      </c>
      <c r="AC188" s="50">
        <f t="shared" ca="1" si="132"/>
        <v>0</v>
      </c>
      <c r="AD188" s="50">
        <f t="shared" ca="1" si="132"/>
        <v>0</v>
      </c>
      <c r="AE188" s="50">
        <f t="shared" ca="1" si="132"/>
        <v>0</v>
      </c>
      <c r="AF188" s="50">
        <f t="shared" ca="1" si="132"/>
        <v>0</v>
      </c>
      <c r="AG188" s="50">
        <f t="shared" ca="1" si="132"/>
        <v>0</v>
      </c>
      <c r="AH188" s="50">
        <f t="shared" ca="1" si="132"/>
        <v>0</v>
      </c>
      <c r="AI188" s="50">
        <f t="shared" ca="1" si="132"/>
        <v>0</v>
      </c>
      <c r="AJ188" s="50">
        <f t="shared" ca="1" si="132"/>
        <v>0</v>
      </c>
      <c r="AK188" s="50">
        <f t="shared" ca="1" si="132"/>
        <v>0</v>
      </c>
      <c r="AL188" s="50">
        <f t="shared" si="132"/>
        <v>0</v>
      </c>
      <c r="AM188" s="50">
        <f t="shared" si="132"/>
        <v>0</v>
      </c>
      <c r="AN188" s="50">
        <f t="shared" si="132"/>
        <v>0</v>
      </c>
      <c r="AO188" s="50">
        <f t="shared" si="132"/>
        <v>0</v>
      </c>
      <c r="AP188" s="50">
        <f t="shared" si="132"/>
        <v>0</v>
      </c>
      <c r="AQ188" s="50">
        <f t="shared" si="132"/>
        <v>0</v>
      </c>
      <c r="AR188" s="50">
        <f t="shared" si="132"/>
        <v>0</v>
      </c>
      <c r="AS188" s="50">
        <f t="shared" si="132"/>
        <v>0</v>
      </c>
      <c r="AT188" s="50">
        <f t="shared" si="132"/>
        <v>0</v>
      </c>
      <c r="AU188" s="50">
        <f t="shared" si="132"/>
        <v>0</v>
      </c>
    </row>
    <row r="189" spans="1:47">
      <c r="A189" s="38" t="str">
        <f t="shared" si="129"/>
        <v>2X-</v>
      </c>
      <c r="B189" s="38" t="s">
        <v>277</v>
      </c>
      <c r="C189" s="38" t="str">
        <f t="shared" si="133"/>
        <v>Cake Storage</v>
      </c>
      <c r="D189" s="186">
        <f>OMEsc</f>
        <v>0.02</v>
      </c>
      <c r="E189" s="325"/>
      <c r="G189" s="36" t="s">
        <v>276</v>
      </c>
      <c r="I189" s="39"/>
      <c r="K189" s="39"/>
      <c r="L189" s="43" t="str">
        <f>"["&amp;CostBaseYr&amp;" $]"</f>
        <v>[2013 $]</v>
      </c>
      <c r="N189" s="70">
        <f ca="1">SUMIFS(OFFSET(Assumptions!$I$90,0,MATCH($A189,Configurations,0)-1,COUNT(Assumptions!$A$90:$A$183),1),Assumptions!$D$90:$D$183,$B189&amp;$C189)</f>
        <v>0</v>
      </c>
      <c r="O189" s="313"/>
      <c r="P189" s="323"/>
      <c r="Q189" s="313"/>
      <c r="R189" s="50">
        <f t="shared" ca="1" si="131"/>
        <v>0</v>
      </c>
      <c r="S189" s="50">
        <f t="shared" ca="1" si="132"/>
        <v>0</v>
      </c>
      <c r="T189" s="50">
        <f t="shared" ca="1" si="132"/>
        <v>0</v>
      </c>
      <c r="U189" s="50">
        <f t="shared" ca="1" si="132"/>
        <v>0</v>
      </c>
      <c r="V189" s="50">
        <f t="shared" ca="1" si="132"/>
        <v>0</v>
      </c>
      <c r="W189" s="50">
        <f t="shared" ca="1" si="132"/>
        <v>0</v>
      </c>
      <c r="X189" s="50">
        <f t="shared" ca="1" si="132"/>
        <v>0</v>
      </c>
      <c r="Y189" s="50">
        <f t="shared" ca="1" si="132"/>
        <v>0</v>
      </c>
      <c r="Z189" s="50">
        <f t="shared" ca="1" si="132"/>
        <v>0</v>
      </c>
      <c r="AA189" s="50">
        <f t="shared" ca="1" si="132"/>
        <v>0</v>
      </c>
      <c r="AB189" s="50">
        <f t="shared" ca="1" si="132"/>
        <v>0</v>
      </c>
      <c r="AC189" s="50">
        <f t="shared" ca="1" si="132"/>
        <v>0</v>
      </c>
      <c r="AD189" s="50">
        <f t="shared" ca="1" si="132"/>
        <v>0</v>
      </c>
      <c r="AE189" s="50">
        <f t="shared" ca="1" si="132"/>
        <v>0</v>
      </c>
      <c r="AF189" s="50">
        <f t="shared" ca="1" si="132"/>
        <v>0</v>
      </c>
      <c r="AG189" s="50">
        <f t="shared" ca="1" si="132"/>
        <v>0</v>
      </c>
      <c r="AH189" s="50">
        <f t="shared" ca="1" si="132"/>
        <v>0</v>
      </c>
      <c r="AI189" s="50">
        <f t="shared" ca="1" si="132"/>
        <v>0</v>
      </c>
      <c r="AJ189" s="50">
        <f t="shared" ca="1" si="132"/>
        <v>0</v>
      </c>
      <c r="AK189" s="50">
        <f t="shared" ca="1" si="132"/>
        <v>0</v>
      </c>
      <c r="AL189" s="50">
        <f t="shared" si="132"/>
        <v>0</v>
      </c>
      <c r="AM189" s="50">
        <f t="shared" si="132"/>
        <v>0</v>
      </c>
      <c r="AN189" s="50">
        <f t="shared" si="132"/>
        <v>0</v>
      </c>
      <c r="AO189" s="50">
        <f t="shared" si="132"/>
        <v>0</v>
      </c>
      <c r="AP189" s="50">
        <f t="shared" si="132"/>
        <v>0</v>
      </c>
      <c r="AQ189" s="50">
        <f t="shared" si="132"/>
        <v>0</v>
      </c>
      <c r="AR189" s="50">
        <f t="shared" si="132"/>
        <v>0</v>
      </c>
      <c r="AS189" s="50">
        <f t="shared" si="132"/>
        <v>0</v>
      </c>
      <c r="AT189" s="50">
        <f t="shared" si="132"/>
        <v>0</v>
      </c>
      <c r="AU189" s="50">
        <f t="shared" si="132"/>
        <v>0</v>
      </c>
    </row>
    <row r="190" spans="1:47">
      <c r="A190" s="38" t="str">
        <f t="shared" si="129"/>
        <v>2X-</v>
      </c>
      <c r="B190" s="38" t="s">
        <v>274</v>
      </c>
      <c r="C190" s="38" t="str">
        <f t="shared" si="133"/>
        <v>Cake Storage</v>
      </c>
      <c r="D190" s="186"/>
      <c r="E190" s="325"/>
      <c r="G190" s="36" t="s">
        <v>16</v>
      </c>
      <c r="I190" s="39"/>
      <c r="K190" s="39"/>
      <c r="L190" s="43" t="s">
        <v>275</v>
      </c>
      <c r="N190" s="70">
        <f ca="1">SUMIFS(OFFSET(Assumptions!$I$90,0,MATCH($A190,Configurations,0)-1,COUNT(Assumptions!$A$90:$A$183),1),Assumptions!$D$90:$D$183,$B190&amp;$C190)</f>
        <v>0</v>
      </c>
      <c r="O190" s="313"/>
      <c r="P190" s="323"/>
      <c r="Q190" s="313"/>
      <c r="R190" s="50">
        <f t="shared" ref="R190:AU190" ca="1" si="134">IF(OR(R$99&lt;InServiceYr,R$99&gt;(InServiceYr+analysis_period-1)),0,IF($P190=0,$N190,$P190)*R$505)</f>
        <v>0</v>
      </c>
      <c r="S190" s="50">
        <f t="shared" ca="1" si="134"/>
        <v>0</v>
      </c>
      <c r="T190" s="50">
        <f t="shared" ca="1" si="134"/>
        <v>0</v>
      </c>
      <c r="U190" s="50">
        <f t="shared" ca="1" si="134"/>
        <v>0</v>
      </c>
      <c r="V190" s="50">
        <f t="shared" ca="1" si="134"/>
        <v>0</v>
      </c>
      <c r="W190" s="50">
        <f t="shared" ca="1" si="134"/>
        <v>0</v>
      </c>
      <c r="X190" s="50">
        <f t="shared" ca="1" si="134"/>
        <v>0</v>
      </c>
      <c r="Y190" s="50">
        <f t="shared" ca="1" si="134"/>
        <v>0</v>
      </c>
      <c r="Z190" s="50">
        <f t="shared" ca="1" si="134"/>
        <v>0</v>
      </c>
      <c r="AA190" s="50">
        <f t="shared" ca="1" si="134"/>
        <v>0</v>
      </c>
      <c r="AB190" s="50">
        <f t="shared" ca="1" si="134"/>
        <v>0</v>
      </c>
      <c r="AC190" s="50">
        <f t="shared" ca="1" si="134"/>
        <v>0</v>
      </c>
      <c r="AD190" s="50">
        <f t="shared" ca="1" si="134"/>
        <v>0</v>
      </c>
      <c r="AE190" s="50">
        <f t="shared" ca="1" si="134"/>
        <v>0</v>
      </c>
      <c r="AF190" s="50">
        <f t="shared" ca="1" si="134"/>
        <v>0</v>
      </c>
      <c r="AG190" s="50">
        <f t="shared" ca="1" si="134"/>
        <v>0</v>
      </c>
      <c r="AH190" s="50">
        <f t="shared" ca="1" si="134"/>
        <v>0</v>
      </c>
      <c r="AI190" s="50">
        <f t="shared" ca="1" si="134"/>
        <v>0</v>
      </c>
      <c r="AJ190" s="50">
        <f t="shared" ca="1" si="134"/>
        <v>0</v>
      </c>
      <c r="AK190" s="50">
        <f t="shared" ca="1" si="134"/>
        <v>0</v>
      </c>
      <c r="AL190" s="50">
        <f t="shared" si="134"/>
        <v>0</v>
      </c>
      <c r="AM190" s="50">
        <f t="shared" si="134"/>
        <v>0</v>
      </c>
      <c r="AN190" s="50">
        <f t="shared" si="134"/>
        <v>0</v>
      </c>
      <c r="AO190" s="50">
        <f t="shared" si="134"/>
        <v>0</v>
      </c>
      <c r="AP190" s="50">
        <f t="shared" si="134"/>
        <v>0</v>
      </c>
      <c r="AQ190" s="50">
        <f t="shared" si="134"/>
        <v>0</v>
      </c>
      <c r="AR190" s="50">
        <f t="shared" si="134"/>
        <v>0</v>
      </c>
      <c r="AS190" s="50">
        <f t="shared" si="134"/>
        <v>0</v>
      </c>
      <c r="AT190" s="50">
        <f t="shared" si="134"/>
        <v>0</v>
      </c>
      <c r="AU190" s="50">
        <f t="shared" si="134"/>
        <v>0</v>
      </c>
    </row>
    <row r="191" spans="1:47">
      <c r="A191" s="38" t="str">
        <f t="shared" si="129"/>
        <v>2X-</v>
      </c>
      <c r="B191" s="38" t="s">
        <v>257</v>
      </c>
      <c r="C191" s="38" t="str">
        <f t="shared" si="133"/>
        <v>Cake Storage</v>
      </c>
      <c r="D191" s="186"/>
      <c r="E191" s="325"/>
      <c r="G191" s="36" t="s">
        <v>284</v>
      </c>
      <c r="I191" s="39"/>
      <c r="K191" s="39"/>
      <c r="L191" s="43" t="s">
        <v>293</v>
      </c>
      <c r="N191" s="70">
        <f ca="1">SUMIFS(OFFSET(Assumptions!$I$90,0,MATCH($A191,Configurations,0)-1,COUNT(Assumptions!$A$90:$A$183),1),Assumptions!$D$90:$D$183,$B191&amp;$C191)</f>
        <v>32850</v>
      </c>
      <c r="O191" s="313"/>
      <c r="P191" s="323"/>
      <c r="Q191" s="313"/>
      <c r="R191" s="50">
        <f t="shared" ref="R191:AU191" ca="1" si="135">IF(OR(R$99&lt;InServiceYr,R$99&gt;(InServiceYr+analysis_period-1)),0,IF($P191=0,$N191,$P191)*R$501)</f>
        <v>2121.5041166621049</v>
      </c>
      <c r="S191" s="50">
        <f t="shared" ca="1" si="135"/>
        <v>2134.7285789349235</v>
      </c>
      <c r="T191" s="50">
        <f t="shared" ca="1" si="135"/>
        <v>2226.7566030856242</v>
      </c>
      <c r="U191" s="50">
        <f t="shared" ca="1" si="135"/>
        <v>2293.5537290575717</v>
      </c>
      <c r="V191" s="50">
        <f t="shared" ca="1" si="135"/>
        <v>2348.8997271444578</v>
      </c>
      <c r="W191" s="50">
        <f t="shared" ca="1" si="135"/>
        <v>2378.949865646357</v>
      </c>
      <c r="X191" s="50">
        <f t="shared" ca="1" si="135"/>
        <v>2417.6612636404284</v>
      </c>
      <c r="Y191" s="50">
        <f t="shared" ca="1" si="135"/>
        <v>2477.2275130840158</v>
      </c>
      <c r="Z191" s="50">
        <f t="shared" ca="1" si="135"/>
        <v>2536.5340289050928</v>
      </c>
      <c r="AA191" s="50">
        <f t="shared" ca="1" si="135"/>
        <v>2599.9536097625855</v>
      </c>
      <c r="AB191" s="50">
        <f t="shared" ca="1" si="135"/>
        <v>2656.2680928144764</v>
      </c>
      <c r="AC191" s="50">
        <f t="shared" ca="1" si="135"/>
        <v>2707.4181440707871</v>
      </c>
      <c r="AD191" s="50">
        <f t="shared" ca="1" si="135"/>
        <v>2769.9589539053318</v>
      </c>
      <c r="AE191" s="50">
        <f t="shared" ca="1" si="135"/>
        <v>2833.0909125366024</v>
      </c>
      <c r="AF191" s="50">
        <f t="shared" ca="1" si="135"/>
        <v>2900.4521947209632</v>
      </c>
      <c r="AG191" s="50">
        <f t="shared" ca="1" si="135"/>
        <v>2975.9127082311493</v>
      </c>
      <c r="AH191" s="50">
        <f t="shared" ca="1" si="135"/>
        <v>3048.8447670073251</v>
      </c>
      <c r="AI191" s="50">
        <f t="shared" ca="1" si="135"/>
        <v>3127.9366231259764</v>
      </c>
      <c r="AJ191" s="50">
        <f t="shared" ca="1" si="135"/>
        <v>3211.6668356521409</v>
      </c>
      <c r="AK191" s="50">
        <f t="shared" ca="1" si="135"/>
        <v>3299.0346629225437</v>
      </c>
      <c r="AL191" s="50">
        <f t="shared" si="135"/>
        <v>0</v>
      </c>
      <c r="AM191" s="50">
        <f t="shared" si="135"/>
        <v>0</v>
      </c>
      <c r="AN191" s="50">
        <f t="shared" si="135"/>
        <v>0</v>
      </c>
      <c r="AO191" s="50">
        <f t="shared" si="135"/>
        <v>0</v>
      </c>
      <c r="AP191" s="50">
        <f t="shared" si="135"/>
        <v>0</v>
      </c>
      <c r="AQ191" s="50">
        <f t="shared" si="135"/>
        <v>0</v>
      </c>
      <c r="AR191" s="50">
        <f t="shared" si="135"/>
        <v>0</v>
      </c>
      <c r="AS191" s="50">
        <f t="shared" si="135"/>
        <v>0</v>
      </c>
      <c r="AT191" s="50">
        <f t="shared" si="135"/>
        <v>0</v>
      </c>
      <c r="AU191" s="50">
        <f t="shared" si="135"/>
        <v>0</v>
      </c>
    </row>
    <row r="192" spans="1:47">
      <c r="A192" s="38" t="str">
        <f t="shared" si="129"/>
        <v>2X-</v>
      </c>
      <c r="B192" s="38" t="s">
        <v>864</v>
      </c>
      <c r="C192" s="38" t="str">
        <f t="shared" si="133"/>
        <v>Cake Storage</v>
      </c>
      <c r="D192" s="186">
        <f>GHGEsc</f>
        <v>0.02</v>
      </c>
      <c r="E192" s="325"/>
      <c r="G192" s="36" t="s">
        <v>865</v>
      </c>
      <c r="I192" s="39"/>
      <c r="K192" s="39"/>
      <c r="L192" s="43" t="s">
        <v>866</v>
      </c>
      <c r="N192" s="70">
        <f ca="1">SUMIFS(OFFSET(Assumptions!$I$90,0,MATCH($A192,Configurations,0)-1,COUNT(Assumptions!$A$90:$A$183),1),Assumptions!$D$90:$D$183,$B192&amp;$C192)</f>
        <v>0</v>
      </c>
      <c r="O192" s="313"/>
      <c r="P192" s="323"/>
      <c r="Q192" s="313"/>
      <c r="R192" s="50">
        <f t="shared" ref="R192:AU192" ca="1" si="136">IF(OR(R$99&lt;InServiceYr,R$99&gt;(InServiceYr+analysis_period-1)),0,IF($P192=0,$N192,$P192)*R$513)</f>
        <v>0</v>
      </c>
      <c r="S192" s="50">
        <f t="shared" ca="1" si="136"/>
        <v>0</v>
      </c>
      <c r="T192" s="50">
        <f t="shared" ca="1" si="136"/>
        <v>0</v>
      </c>
      <c r="U192" s="50">
        <f t="shared" ca="1" si="136"/>
        <v>0</v>
      </c>
      <c r="V192" s="50">
        <f t="shared" ca="1" si="136"/>
        <v>0</v>
      </c>
      <c r="W192" s="50">
        <f t="shared" ca="1" si="136"/>
        <v>0</v>
      </c>
      <c r="X192" s="50">
        <f t="shared" ca="1" si="136"/>
        <v>0</v>
      </c>
      <c r="Y192" s="50">
        <f t="shared" ca="1" si="136"/>
        <v>0</v>
      </c>
      <c r="Z192" s="50">
        <f t="shared" ca="1" si="136"/>
        <v>0</v>
      </c>
      <c r="AA192" s="50">
        <f t="shared" ca="1" si="136"/>
        <v>0</v>
      </c>
      <c r="AB192" s="50">
        <f t="shared" ca="1" si="136"/>
        <v>0</v>
      </c>
      <c r="AC192" s="50">
        <f t="shared" ca="1" si="136"/>
        <v>0</v>
      </c>
      <c r="AD192" s="50">
        <f t="shared" ca="1" si="136"/>
        <v>0</v>
      </c>
      <c r="AE192" s="50">
        <f t="shared" ca="1" si="136"/>
        <v>0</v>
      </c>
      <c r="AF192" s="50">
        <f t="shared" ca="1" si="136"/>
        <v>0</v>
      </c>
      <c r="AG192" s="50">
        <f t="shared" ca="1" si="136"/>
        <v>0</v>
      </c>
      <c r="AH192" s="50">
        <f t="shared" ca="1" si="136"/>
        <v>0</v>
      </c>
      <c r="AI192" s="50">
        <f t="shared" ca="1" si="136"/>
        <v>0</v>
      </c>
      <c r="AJ192" s="50">
        <f t="shared" ca="1" si="136"/>
        <v>0</v>
      </c>
      <c r="AK192" s="50">
        <f t="shared" ca="1" si="136"/>
        <v>0</v>
      </c>
      <c r="AL192" s="50">
        <f t="shared" si="136"/>
        <v>0</v>
      </c>
      <c r="AM192" s="50">
        <f t="shared" si="136"/>
        <v>0</v>
      </c>
      <c r="AN192" s="50">
        <f t="shared" si="136"/>
        <v>0</v>
      </c>
      <c r="AO192" s="50">
        <f t="shared" si="136"/>
        <v>0</v>
      </c>
      <c r="AP192" s="50">
        <f t="shared" si="136"/>
        <v>0</v>
      </c>
      <c r="AQ192" s="50">
        <f t="shared" si="136"/>
        <v>0</v>
      </c>
      <c r="AR192" s="50">
        <f t="shared" si="136"/>
        <v>0</v>
      </c>
      <c r="AS192" s="50">
        <f t="shared" si="136"/>
        <v>0</v>
      </c>
      <c r="AT192" s="50">
        <f t="shared" si="136"/>
        <v>0</v>
      </c>
      <c r="AU192" s="50">
        <f t="shared" si="136"/>
        <v>0</v>
      </c>
    </row>
    <row r="193" spans="1:47">
      <c r="A193" s="38" t="str">
        <f t="shared" si="129"/>
        <v>2X-</v>
      </c>
      <c r="B193" s="38" t="s">
        <v>273</v>
      </c>
      <c r="C193" s="38" t="str">
        <f>C191</f>
        <v>Cake Storage</v>
      </c>
      <c r="D193" s="186">
        <f>LaborEsc</f>
        <v>0.02</v>
      </c>
      <c r="E193" s="325"/>
      <c r="G193" s="36" t="s">
        <v>291</v>
      </c>
      <c r="I193" s="39"/>
      <c r="K193" s="39"/>
      <c r="L193" s="43" t="str">
        <f>"["&amp;CostBaseYr&amp;" $]"</f>
        <v>[2013 $]</v>
      </c>
      <c r="N193" s="70">
        <f ca="1">SUMIFS(OFFSET(Assumptions!$I$90,0,MATCH($A193,Configurations,0)-1,COUNT(Assumptions!$A$90:$A$183),1),Assumptions!$D$90:$D$183,$B193&amp;$C193)</f>
        <v>0</v>
      </c>
      <c r="O193" s="313"/>
      <c r="P193" s="323"/>
      <c r="Q193" s="313"/>
      <c r="R193" s="50">
        <f t="shared" ref="R193:AU193" ca="1" si="137">IF(OR(R$99&lt;InServiceYr,R$99&gt;(InServiceYr+analysis_period-1)),0,IF($P193=0,$N193,$P193)*(1+$D193)^(R$99-CostBaseYr))*R$509</f>
        <v>0</v>
      </c>
      <c r="S193" s="50">
        <f t="shared" ca="1" si="137"/>
        <v>0</v>
      </c>
      <c r="T193" s="50">
        <f t="shared" ca="1" si="137"/>
        <v>0</v>
      </c>
      <c r="U193" s="50">
        <f t="shared" ca="1" si="137"/>
        <v>0</v>
      </c>
      <c r="V193" s="50">
        <f t="shared" ca="1" si="137"/>
        <v>0</v>
      </c>
      <c r="W193" s="50">
        <f t="shared" ca="1" si="137"/>
        <v>0</v>
      </c>
      <c r="X193" s="50">
        <f t="shared" ca="1" si="137"/>
        <v>0</v>
      </c>
      <c r="Y193" s="50">
        <f t="shared" ca="1" si="137"/>
        <v>0</v>
      </c>
      <c r="Z193" s="50">
        <f t="shared" ca="1" si="137"/>
        <v>0</v>
      </c>
      <c r="AA193" s="50">
        <f t="shared" ca="1" si="137"/>
        <v>0</v>
      </c>
      <c r="AB193" s="50">
        <f t="shared" ca="1" si="137"/>
        <v>0</v>
      </c>
      <c r="AC193" s="50">
        <f t="shared" ca="1" si="137"/>
        <v>0</v>
      </c>
      <c r="AD193" s="50">
        <f t="shared" ca="1" si="137"/>
        <v>0</v>
      </c>
      <c r="AE193" s="50">
        <f t="shared" ca="1" si="137"/>
        <v>0</v>
      </c>
      <c r="AF193" s="50">
        <f t="shared" ca="1" si="137"/>
        <v>0</v>
      </c>
      <c r="AG193" s="50">
        <f t="shared" ca="1" si="137"/>
        <v>0</v>
      </c>
      <c r="AH193" s="50">
        <f t="shared" ca="1" si="137"/>
        <v>0</v>
      </c>
      <c r="AI193" s="50">
        <f t="shared" ca="1" si="137"/>
        <v>0</v>
      </c>
      <c r="AJ193" s="50">
        <f t="shared" ca="1" si="137"/>
        <v>0</v>
      </c>
      <c r="AK193" s="50">
        <f t="shared" ca="1" si="137"/>
        <v>0</v>
      </c>
      <c r="AL193" s="50">
        <f t="shared" si="137"/>
        <v>0</v>
      </c>
      <c r="AM193" s="50">
        <f t="shared" si="137"/>
        <v>0</v>
      </c>
      <c r="AN193" s="50">
        <f t="shared" si="137"/>
        <v>0</v>
      </c>
      <c r="AO193" s="50">
        <f t="shared" si="137"/>
        <v>0</v>
      </c>
      <c r="AP193" s="50">
        <f t="shared" si="137"/>
        <v>0</v>
      </c>
      <c r="AQ193" s="50">
        <f t="shared" si="137"/>
        <v>0</v>
      </c>
      <c r="AR193" s="50">
        <f t="shared" si="137"/>
        <v>0</v>
      </c>
      <c r="AS193" s="50">
        <f t="shared" si="137"/>
        <v>0</v>
      </c>
      <c r="AT193" s="50">
        <f t="shared" si="137"/>
        <v>0</v>
      </c>
      <c r="AU193" s="50">
        <f t="shared" si="137"/>
        <v>0</v>
      </c>
    </row>
    <row r="194" spans="1:47">
      <c r="D194" s="186"/>
      <c r="E194" s="325"/>
      <c r="G194" s="39" t="s">
        <v>304</v>
      </c>
      <c r="I194" s="39"/>
      <c r="K194" s="39"/>
      <c r="L194" s="43"/>
      <c r="N194" s="70"/>
      <c r="O194" s="313"/>
      <c r="P194" s="70"/>
      <c r="Q194" s="313"/>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row>
    <row r="195" spans="1:47">
      <c r="A195" s="38" t="str">
        <f>$J$4&amp;"-"</f>
        <v>2X-</v>
      </c>
      <c r="B195" s="38" t="s">
        <v>265</v>
      </c>
      <c r="C195" s="38" t="str">
        <f>C186</f>
        <v>Cake Storage</v>
      </c>
      <c r="D195" s="186"/>
      <c r="E195" s="325"/>
      <c r="G195" s="36" t="s">
        <v>108</v>
      </c>
      <c r="I195" s="39"/>
      <c r="K195" s="39"/>
      <c r="L195" s="43" t="s">
        <v>293</v>
      </c>
      <c r="N195" s="70">
        <f ca="1">SUMIFS(OFFSET(Assumptions!$I$90,0,MATCH($A195,Configurations,0)-1,COUNT(Assumptions!$A$90:$A$183),1),Assumptions!$D$90:$D$183,$B195&amp;$C195)</f>
        <v>0</v>
      </c>
      <c r="O195" s="313"/>
      <c r="P195" s="323"/>
      <c r="Q195" s="313"/>
      <c r="R195" s="50">
        <f t="shared" ref="R195:AU195" ca="1" si="138">IF(OR(R$99&lt;InServiceYr,R$99&gt;(InServiceYr+analysis_period-1)),0,IF($P195=0,$N195,$P195)*R$501)</f>
        <v>0</v>
      </c>
      <c r="S195" s="50">
        <f t="shared" ca="1" si="138"/>
        <v>0</v>
      </c>
      <c r="T195" s="50">
        <f t="shared" ca="1" si="138"/>
        <v>0</v>
      </c>
      <c r="U195" s="50">
        <f t="shared" ca="1" si="138"/>
        <v>0</v>
      </c>
      <c r="V195" s="50">
        <f t="shared" ca="1" si="138"/>
        <v>0</v>
      </c>
      <c r="W195" s="50">
        <f t="shared" ca="1" si="138"/>
        <v>0</v>
      </c>
      <c r="X195" s="50">
        <f t="shared" ca="1" si="138"/>
        <v>0</v>
      </c>
      <c r="Y195" s="50">
        <f t="shared" ca="1" si="138"/>
        <v>0</v>
      </c>
      <c r="Z195" s="50">
        <f t="shared" ca="1" si="138"/>
        <v>0</v>
      </c>
      <c r="AA195" s="50">
        <f t="shared" ca="1" si="138"/>
        <v>0</v>
      </c>
      <c r="AB195" s="50">
        <f t="shared" ca="1" si="138"/>
        <v>0</v>
      </c>
      <c r="AC195" s="50">
        <f t="shared" ca="1" si="138"/>
        <v>0</v>
      </c>
      <c r="AD195" s="50">
        <f t="shared" ca="1" si="138"/>
        <v>0</v>
      </c>
      <c r="AE195" s="50">
        <f t="shared" ca="1" si="138"/>
        <v>0</v>
      </c>
      <c r="AF195" s="50">
        <f t="shared" ca="1" si="138"/>
        <v>0</v>
      </c>
      <c r="AG195" s="50">
        <f t="shared" ca="1" si="138"/>
        <v>0</v>
      </c>
      <c r="AH195" s="50">
        <f t="shared" ca="1" si="138"/>
        <v>0</v>
      </c>
      <c r="AI195" s="50">
        <f t="shared" ca="1" si="138"/>
        <v>0</v>
      </c>
      <c r="AJ195" s="50">
        <f t="shared" ca="1" si="138"/>
        <v>0</v>
      </c>
      <c r="AK195" s="50">
        <f t="shared" ca="1" si="138"/>
        <v>0</v>
      </c>
      <c r="AL195" s="50">
        <f t="shared" si="138"/>
        <v>0</v>
      </c>
      <c r="AM195" s="50">
        <f t="shared" si="138"/>
        <v>0</v>
      </c>
      <c r="AN195" s="50">
        <f t="shared" si="138"/>
        <v>0</v>
      </c>
      <c r="AO195" s="50">
        <f t="shared" si="138"/>
        <v>0</v>
      </c>
      <c r="AP195" s="50">
        <f t="shared" si="138"/>
        <v>0</v>
      </c>
      <c r="AQ195" s="50">
        <f t="shared" si="138"/>
        <v>0</v>
      </c>
      <c r="AR195" s="50">
        <f t="shared" si="138"/>
        <v>0</v>
      </c>
      <c r="AS195" s="50">
        <f t="shared" si="138"/>
        <v>0</v>
      </c>
      <c r="AT195" s="50">
        <f t="shared" si="138"/>
        <v>0</v>
      </c>
      <c r="AU195" s="50">
        <f t="shared" si="138"/>
        <v>0</v>
      </c>
    </row>
    <row r="196" spans="1:47">
      <c r="A196" s="38" t="str">
        <f>$J$4&amp;"-"</f>
        <v>2X-</v>
      </c>
      <c r="B196" s="38" t="s">
        <v>289</v>
      </c>
      <c r="C196" s="38" t="str">
        <f>C186</f>
        <v>Cake Storage</v>
      </c>
      <c r="D196" s="186">
        <f>LaborEsc</f>
        <v>0.02</v>
      </c>
      <c r="E196" s="325"/>
      <c r="G196" s="36" t="s">
        <v>292</v>
      </c>
      <c r="I196" s="39"/>
      <c r="K196" s="39"/>
      <c r="L196" s="43" t="str">
        <f>"["&amp;CostBaseYr&amp;" $]"</f>
        <v>[2013 $]</v>
      </c>
      <c r="N196" s="70">
        <f ca="1">SUMIFS(OFFSET(Assumptions!$I$90,0,MATCH($A196,Configurations,0)-1,COUNT(Assumptions!$A$90:$A$183),1),Assumptions!$D$90:$D$183,$B196&amp;$C196)</f>
        <v>0</v>
      </c>
      <c r="O196" s="313"/>
      <c r="P196" s="323"/>
      <c r="Q196" s="313"/>
      <c r="R196" s="50">
        <f t="shared" ref="R196:AU196" ca="1" si="139">IF(OR(R$99&lt;InServiceYr,R$99&gt;(InServiceYr+analysis_period-1)),0,IF($P196=0,$N196,$P196)*(1+$D196)^(R$99-CostBaseYr))</f>
        <v>0</v>
      </c>
      <c r="S196" s="50">
        <f t="shared" ca="1" si="139"/>
        <v>0</v>
      </c>
      <c r="T196" s="50">
        <f t="shared" ca="1" si="139"/>
        <v>0</v>
      </c>
      <c r="U196" s="50">
        <f t="shared" ca="1" si="139"/>
        <v>0</v>
      </c>
      <c r="V196" s="50">
        <f t="shared" ca="1" si="139"/>
        <v>0</v>
      </c>
      <c r="W196" s="50">
        <f t="shared" ca="1" si="139"/>
        <v>0</v>
      </c>
      <c r="X196" s="50">
        <f t="shared" ca="1" si="139"/>
        <v>0</v>
      </c>
      <c r="Y196" s="50">
        <f t="shared" ca="1" si="139"/>
        <v>0</v>
      </c>
      <c r="Z196" s="50">
        <f t="shared" ca="1" si="139"/>
        <v>0</v>
      </c>
      <c r="AA196" s="50">
        <f t="shared" ca="1" si="139"/>
        <v>0</v>
      </c>
      <c r="AB196" s="50">
        <f t="shared" ca="1" si="139"/>
        <v>0</v>
      </c>
      <c r="AC196" s="50">
        <f t="shared" ca="1" si="139"/>
        <v>0</v>
      </c>
      <c r="AD196" s="50">
        <f t="shared" ca="1" si="139"/>
        <v>0</v>
      </c>
      <c r="AE196" s="50">
        <f t="shared" ca="1" si="139"/>
        <v>0</v>
      </c>
      <c r="AF196" s="50">
        <f t="shared" ca="1" si="139"/>
        <v>0</v>
      </c>
      <c r="AG196" s="50">
        <f t="shared" ca="1" si="139"/>
        <v>0</v>
      </c>
      <c r="AH196" s="50">
        <f t="shared" ca="1" si="139"/>
        <v>0</v>
      </c>
      <c r="AI196" s="50">
        <f t="shared" ca="1" si="139"/>
        <v>0</v>
      </c>
      <c r="AJ196" s="50">
        <f t="shared" ca="1" si="139"/>
        <v>0</v>
      </c>
      <c r="AK196" s="50">
        <f t="shared" ca="1" si="139"/>
        <v>0</v>
      </c>
      <c r="AL196" s="50">
        <f t="shared" si="139"/>
        <v>0</v>
      </c>
      <c r="AM196" s="50">
        <f t="shared" si="139"/>
        <v>0</v>
      </c>
      <c r="AN196" s="50">
        <f t="shared" si="139"/>
        <v>0</v>
      </c>
      <c r="AO196" s="50">
        <f t="shared" si="139"/>
        <v>0</v>
      </c>
      <c r="AP196" s="50">
        <f t="shared" si="139"/>
        <v>0</v>
      </c>
      <c r="AQ196" s="50">
        <f t="shared" si="139"/>
        <v>0</v>
      </c>
      <c r="AR196" s="50">
        <f t="shared" si="139"/>
        <v>0</v>
      </c>
      <c r="AS196" s="50">
        <f t="shared" si="139"/>
        <v>0</v>
      </c>
      <c r="AT196" s="50">
        <f t="shared" si="139"/>
        <v>0</v>
      </c>
      <c r="AU196" s="50">
        <f t="shared" si="139"/>
        <v>0</v>
      </c>
    </row>
    <row r="197" spans="1:47" s="60" customFormat="1">
      <c r="D197" s="187"/>
      <c r="E197" s="325"/>
      <c r="G197" s="39" t="s">
        <v>305</v>
      </c>
      <c r="I197" s="39"/>
      <c r="K197" s="39"/>
      <c r="L197" s="174"/>
      <c r="N197" s="188"/>
      <c r="O197" s="314"/>
      <c r="P197" s="185"/>
      <c r="Q197" s="314"/>
      <c r="R197" s="185">
        <f ca="1">SUM(R186:R193)-SUM(R195:R196)</f>
        <v>62301.504116662109</v>
      </c>
      <c r="S197" s="185">
        <f t="shared" ref="S197:AU197" ca="1" si="140">SUM(S186:S193)-SUM(S195:S196)</f>
        <v>63518.328578934925</v>
      </c>
      <c r="T197" s="185">
        <f t="shared" ca="1" si="140"/>
        <v>64838.028603085622</v>
      </c>
      <c r="U197" s="185">
        <f t="shared" ca="1" si="140"/>
        <v>66157.051169057566</v>
      </c>
      <c r="V197" s="185">
        <f t="shared" ca="1" si="140"/>
        <v>67489.667115944452</v>
      </c>
      <c r="W197" s="185">
        <f t="shared" ca="1" si="140"/>
        <v>68822.53260222236</v>
      </c>
      <c r="X197" s="185">
        <f t="shared" ca="1" si="140"/>
        <v>70190.115654947935</v>
      </c>
      <c r="Y197" s="185">
        <f t="shared" ca="1" si="140"/>
        <v>71605.130992217673</v>
      </c>
      <c r="Z197" s="185">
        <f t="shared" ca="1" si="140"/>
        <v>73046.995577621434</v>
      </c>
      <c r="AA197" s="185">
        <f t="shared" ca="1" si="140"/>
        <v>74520.624389453253</v>
      </c>
      <c r="AB197" s="185">
        <f t="shared" ca="1" si="140"/>
        <v>76015.352288098948</v>
      </c>
      <c r="AC197" s="185">
        <f t="shared" ca="1" si="140"/>
        <v>77533.684023260968</v>
      </c>
      <c r="AD197" s="185">
        <f t="shared" ca="1" si="140"/>
        <v>79092.750150679291</v>
      </c>
      <c r="AE197" s="185">
        <f t="shared" ca="1" si="140"/>
        <v>80682.337933246061</v>
      </c>
      <c r="AF197" s="185">
        <f t="shared" ca="1" si="140"/>
        <v>82306.684155844589</v>
      </c>
      <c r="AG197" s="185">
        <f t="shared" ca="1" si="140"/>
        <v>83970.269308577263</v>
      </c>
      <c r="AH197" s="185">
        <f t="shared" ca="1" si="140"/>
        <v>85663.088499360369</v>
      </c>
      <c r="AI197" s="185">
        <f t="shared" ca="1" si="140"/>
        <v>87394.465230126065</v>
      </c>
      <c r="AJ197" s="185">
        <f t="shared" ca="1" si="140"/>
        <v>89163.526014792224</v>
      </c>
      <c r="AK197" s="185">
        <f t="shared" ca="1" si="140"/>
        <v>90969.931025645434</v>
      </c>
      <c r="AL197" s="185">
        <f t="shared" si="140"/>
        <v>0</v>
      </c>
      <c r="AM197" s="185">
        <f t="shared" si="140"/>
        <v>0</v>
      </c>
      <c r="AN197" s="185">
        <f t="shared" si="140"/>
        <v>0</v>
      </c>
      <c r="AO197" s="185">
        <f t="shared" si="140"/>
        <v>0</v>
      </c>
      <c r="AP197" s="185">
        <f t="shared" si="140"/>
        <v>0</v>
      </c>
      <c r="AQ197" s="185">
        <f t="shared" si="140"/>
        <v>0</v>
      </c>
      <c r="AR197" s="185">
        <f t="shared" si="140"/>
        <v>0</v>
      </c>
      <c r="AS197" s="185">
        <f t="shared" si="140"/>
        <v>0</v>
      </c>
      <c r="AT197" s="185">
        <f t="shared" si="140"/>
        <v>0</v>
      </c>
      <c r="AU197" s="185">
        <f t="shared" si="140"/>
        <v>0</v>
      </c>
    </row>
    <row r="198" spans="1:47">
      <c r="G198" s="28"/>
      <c r="H198" s="28"/>
      <c r="I198" s="28"/>
      <c r="J198" s="28"/>
      <c r="K198" s="28"/>
      <c r="L198" s="409"/>
      <c r="M198" s="46"/>
      <c r="N198" s="46"/>
      <c r="O198" s="315"/>
      <c r="P198" s="46"/>
      <c r="Q198" s="315"/>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row>
    <row r="199" spans="1:47">
      <c r="E199" s="327"/>
      <c r="F199" s="28"/>
      <c r="G199" s="324" t="str">
        <f>C201&amp;" Capital Costs"</f>
        <v>CHP Capital Costs</v>
      </c>
      <c r="H199" s="324"/>
      <c r="I199" s="324"/>
      <c r="J199" s="324"/>
      <c r="K199" s="324"/>
      <c r="L199" s="405" t="s">
        <v>79</v>
      </c>
      <c r="M199" s="256"/>
      <c r="N199" s="325" t="s">
        <v>490</v>
      </c>
      <c r="O199" s="311"/>
      <c r="P199" s="325" t="s">
        <v>491</v>
      </c>
      <c r="Q199" s="310"/>
      <c r="R199" s="325">
        <f>R$8</f>
        <v>2014</v>
      </c>
      <c r="S199" s="325">
        <f t="shared" ref="S199:AU199" si="141">S$8</f>
        <v>2015</v>
      </c>
      <c r="T199" s="325">
        <f t="shared" si="141"/>
        <v>2016</v>
      </c>
      <c r="U199" s="325">
        <f t="shared" si="141"/>
        <v>2017</v>
      </c>
      <c r="V199" s="325">
        <f t="shared" si="141"/>
        <v>2018</v>
      </c>
      <c r="W199" s="325">
        <f t="shared" si="141"/>
        <v>2019</v>
      </c>
      <c r="X199" s="325">
        <f t="shared" si="141"/>
        <v>2020</v>
      </c>
      <c r="Y199" s="325">
        <f t="shared" si="141"/>
        <v>2021</v>
      </c>
      <c r="Z199" s="325">
        <f t="shared" si="141"/>
        <v>2022</v>
      </c>
      <c r="AA199" s="325">
        <f t="shared" si="141"/>
        <v>2023</v>
      </c>
      <c r="AB199" s="325">
        <f t="shared" si="141"/>
        <v>2024</v>
      </c>
      <c r="AC199" s="325">
        <f t="shared" si="141"/>
        <v>2025</v>
      </c>
      <c r="AD199" s="325">
        <f t="shared" si="141"/>
        <v>2026</v>
      </c>
      <c r="AE199" s="325">
        <f t="shared" si="141"/>
        <v>2027</v>
      </c>
      <c r="AF199" s="325">
        <f t="shared" si="141"/>
        <v>2028</v>
      </c>
      <c r="AG199" s="325">
        <f t="shared" si="141"/>
        <v>2029</v>
      </c>
      <c r="AH199" s="325">
        <f t="shared" si="141"/>
        <v>2030</v>
      </c>
      <c r="AI199" s="325">
        <f t="shared" si="141"/>
        <v>2031</v>
      </c>
      <c r="AJ199" s="325">
        <f t="shared" si="141"/>
        <v>2032</v>
      </c>
      <c r="AK199" s="325">
        <f t="shared" si="141"/>
        <v>2033</v>
      </c>
      <c r="AL199" s="325">
        <f t="shared" si="141"/>
        <v>2034</v>
      </c>
      <c r="AM199" s="325">
        <f t="shared" si="141"/>
        <v>2035</v>
      </c>
      <c r="AN199" s="325">
        <f t="shared" si="141"/>
        <v>2036</v>
      </c>
      <c r="AO199" s="325">
        <f t="shared" si="141"/>
        <v>2037</v>
      </c>
      <c r="AP199" s="325">
        <f t="shared" si="141"/>
        <v>2038</v>
      </c>
      <c r="AQ199" s="325">
        <f t="shared" si="141"/>
        <v>2039</v>
      </c>
      <c r="AR199" s="325">
        <f t="shared" si="141"/>
        <v>2040</v>
      </c>
      <c r="AS199" s="325">
        <f t="shared" si="141"/>
        <v>2041</v>
      </c>
      <c r="AT199" s="325">
        <f t="shared" si="141"/>
        <v>2042</v>
      </c>
      <c r="AU199" s="325">
        <f t="shared" si="141"/>
        <v>2043</v>
      </c>
    </row>
    <row r="200" spans="1:47">
      <c r="E200" s="325"/>
      <c r="G200" s="39"/>
      <c r="H200" s="39"/>
      <c r="I200" s="39"/>
      <c r="J200" s="39"/>
      <c r="K200" s="39"/>
    </row>
    <row r="201" spans="1:47">
      <c r="A201" s="38" t="str">
        <f>$J$4&amp;"-"</f>
        <v>2X-</v>
      </c>
      <c r="B201" s="38" t="s">
        <v>306</v>
      </c>
      <c r="C201" s="38" t="s">
        <v>318</v>
      </c>
      <c r="D201" s="186">
        <f>CapExEsc</f>
        <v>0.03</v>
      </c>
      <c r="E201" s="325"/>
      <c r="G201" s="36" t="s">
        <v>8</v>
      </c>
      <c r="H201" s="39"/>
      <c r="I201" s="39"/>
      <c r="J201" s="70"/>
      <c r="K201" s="39"/>
      <c r="L201" s="43" t="str">
        <f>"["&amp;CostBaseYr&amp;" $]"</f>
        <v>[2013 $]</v>
      </c>
      <c r="N201" s="52">
        <f ca="1">SUMIFS(OFFSET(Assumptions!$I$65,0,MATCH($A201,Configurations,0)-1,COUNT(Assumptions!$A$65:$A$84),1),Assumptions!$E$65:$E$84,$C201)</f>
        <v>741000</v>
      </c>
      <c r="O201" s="52"/>
      <c r="P201" s="322"/>
      <c r="Q201" s="52"/>
      <c r="R201" s="52">
        <f t="shared" ref="R201:AU201" ca="1" si="142">R202*IF($P201=0,$N201,$P201)*(1+$D201)^(R$8-CostBaseYr)</f>
        <v>763230</v>
      </c>
      <c r="S201" s="52">
        <f t="shared" ca="1" si="142"/>
        <v>0</v>
      </c>
      <c r="T201" s="52">
        <f t="shared" ca="1" si="142"/>
        <v>0</v>
      </c>
      <c r="U201" s="52">
        <f t="shared" ca="1" si="142"/>
        <v>0</v>
      </c>
      <c r="V201" s="52">
        <f t="shared" ca="1" si="142"/>
        <v>0</v>
      </c>
      <c r="W201" s="52">
        <f t="shared" ca="1" si="142"/>
        <v>0</v>
      </c>
      <c r="X201" s="52">
        <f t="shared" ca="1" si="142"/>
        <v>0</v>
      </c>
      <c r="Y201" s="52">
        <f t="shared" ca="1" si="142"/>
        <v>0</v>
      </c>
      <c r="Z201" s="52">
        <f t="shared" ca="1" si="142"/>
        <v>0</v>
      </c>
      <c r="AA201" s="52">
        <f t="shared" ca="1" si="142"/>
        <v>0</v>
      </c>
      <c r="AB201" s="52">
        <f t="shared" ca="1" si="142"/>
        <v>0</v>
      </c>
      <c r="AC201" s="52">
        <f t="shared" ca="1" si="142"/>
        <v>0</v>
      </c>
      <c r="AD201" s="52">
        <f t="shared" ca="1" si="142"/>
        <v>0</v>
      </c>
      <c r="AE201" s="52">
        <f t="shared" ca="1" si="142"/>
        <v>0</v>
      </c>
      <c r="AF201" s="52">
        <f t="shared" ca="1" si="142"/>
        <v>0</v>
      </c>
      <c r="AG201" s="52">
        <f t="shared" ca="1" si="142"/>
        <v>0</v>
      </c>
      <c r="AH201" s="52">
        <f t="shared" ca="1" si="142"/>
        <v>0</v>
      </c>
      <c r="AI201" s="52">
        <f t="shared" ca="1" si="142"/>
        <v>0</v>
      </c>
      <c r="AJ201" s="52">
        <f t="shared" ca="1" si="142"/>
        <v>0</v>
      </c>
      <c r="AK201" s="52">
        <f t="shared" ca="1" si="142"/>
        <v>0</v>
      </c>
      <c r="AL201" s="52">
        <f t="shared" ca="1" si="142"/>
        <v>0</v>
      </c>
      <c r="AM201" s="52">
        <f t="shared" ca="1" si="142"/>
        <v>0</v>
      </c>
      <c r="AN201" s="52">
        <f t="shared" ca="1" si="142"/>
        <v>0</v>
      </c>
      <c r="AO201" s="52">
        <f t="shared" ca="1" si="142"/>
        <v>0</v>
      </c>
      <c r="AP201" s="52">
        <f t="shared" ca="1" si="142"/>
        <v>0</v>
      </c>
      <c r="AQ201" s="52">
        <f t="shared" ca="1" si="142"/>
        <v>0</v>
      </c>
      <c r="AR201" s="52">
        <f t="shared" ca="1" si="142"/>
        <v>0</v>
      </c>
      <c r="AS201" s="52">
        <f t="shared" ca="1" si="142"/>
        <v>0</v>
      </c>
      <c r="AT201" s="52">
        <f t="shared" ca="1" si="142"/>
        <v>0</v>
      </c>
      <c r="AU201" s="52">
        <f t="shared" ca="1" si="142"/>
        <v>0</v>
      </c>
    </row>
    <row r="202" spans="1:47">
      <c r="E202" s="325"/>
      <c r="G202" s="36" t="s">
        <v>10</v>
      </c>
      <c r="H202" s="39"/>
      <c r="I202" s="39"/>
      <c r="J202" s="39"/>
      <c r="K202" s="39"/>
      <c r="L202" s="43"/>
      <c r="R202" s="54">
        <f>Assumptions!M$60</f>
        <v>1</v>
      </c>
      <c r="S202" s="54">
        <f>Assumptions!N$60</f>
        <v>0</v>
      </c>
      <c r="T202" s="54">
        <f>Assumptions!O$60</f>
        <v>0</v>
      </c>
      <c r="U202" s="54">
        <f>Assumptions!P$60</f>
        <v>0</v>
      </c>
      <c r="V202" s="54">
        <f>Assumptions!Q$60</f>
        <v>0</v>
      </c>
      <c r="W202" s="54">
        <f>Assumptions!R$60</f>
        <v>0</v>
      </c>
      <c r="X202" s="54">
        <f>Assumptions!S$60</f>
        <v>0</v>
      </c>
      <c r="Y202" s="54">
        <f>Assumptions!T$60</f>
        <v>0</v>
      </c>
      <c r="Z202" s="54">
        <f>Assumptions!U$60</f>
        <v>0</v>
      </c>
      <c r="AA202" s="54">
        <f>Assumptions!V$60</f>
        <v>0</v>
      </c>
      <c r="AB202" s="54">
        <f>Assumptions!W$60</f>
        <v>0</v>
      </c>
      <c r="AC202" s="54">
        <f>Assumptions!X$60</f>
        <v>0</v>
      </c>
      <c r="AD202" s="54">
        <f>Assumptions!Y$60</f>
        <v>0</v>
      </c>
      <c r="AE202" s="54">
        <f>Assumptions!Z$60</f>
        <v>0</v>
      </c>
      <c r="AF202" s="54">
        <f>Assumptions!AA$60</f>
        <v>0</v>
      </c>
      <c r="AG202" s="54">
        <f>Assumptions!AB$60</f>
        <v>0</v>
      </c>
      <c r="AH202" s="54">
        <f>Assumptions!AC$60</f>
        <v>0</v>
      </c>
      <c r="AI202" s="54">
        <f>Assumptions!AD$60</f>
        <v>0</v>
      </c>
      <c r="AJ202" s="54">
        <f>Assumptions!AE$60</f>
        <v>0</v>
      </c>
      <c r="AK202" s="54">
        <f>Assumptions!AF$60</f>
        <v>0</v>
      </c>
      <c r="AL202" s="54">
        <f>Assumptions!AG$60</f>
        <v>0</v>
      </c>
      <c r="AM202" s="54">
        <f>Assumptions!AH$60</f>
        <v>0</v>
      </c>
      <c r="AN202" s="54">
        <f>Assumptions!AI$60</f>
        <v>0</v>
      </c>
      <c r="AO202" s="54">
        <f>Assumptions!AJ$60</f>
        <v>0</v>
      </c>
      <c r="AP202" s="54">
        <f>Assumptions!AK$60</f>
        <v>0</v>
      </c>
      <c r="AQ202" s="54">
        <f>Assumptions!AL$60</f>
        <v>0</v>
      </c>
      <c r="AR202" s="54">
        <f>Assumptions!AM$60</f>
        <v>0</v>
      </c>
      <c r="AS202" s="54">
        <f>Assumptions!AN$60</f>
        <v>0</v>
      </c>
      <c r="AT202" s="54">
        <f>Assumptions!AO$60</f>
        <v>0</v>
      </c>
      <c r="AU202" s="54">
        <f>Assumptions!AP$60</f>
        <v>0</v>
      </c>
    </row>
    <row r="203" spans="1:47">
      <c r="E203" s="326"/>
      <c r="G203" s="39"/>
      <c r="H203" s="39"/>
      <c r="I203" s="39"/>
      <c r="J203" s="39"/>
      <c r="K203" s="39"/>
    </row>
    <row r="204" spans="1:47">
      <c r="E204" s="327"/>
      <c r="F204" s="28"/>
      <c r="G204" s="324" t="str">
        <f>C201&amp;" O&amp;M"</f>
        <v>CHP O&amp;M</v>
      </c>
      <c r="H204" s="324"/>
      <c r="I204" s="324"/>
      <c r="J204" s="324"/>
      <c r="K204" s="324"/>
      <c r="L204" s="405" t="s">
        <v>79</v>
      </c>
      <c r="M204" s="256"/>
      <c r="N204" s="325" t="s">
        <v>490</v>
      </c>
      <c r="O204" s="311"/>
      <c r="P204" s="325" t="s">
        <v>491</v>
      </c>
      <c r="Q204" s="310"/>
      <c r="R204" s="325">
        <f>R$8</f>
        <v>2014</v>
      </c>
      <c r="S204" s="325">
        <f t="shared" ref="S204:AU204" si="143">S$8</f>
        <v>2015</v>
      </c>
      <c r="T204" s="325">
        <f t="shared" si="143"/>
        <v>2016</v>
      </c>
      <c r="U204" s="325">
        <f t="shared" si="143"/>
        <v>2017</v>
      </c>
      <c r="V204" s="325">
        <f t="shared" si="143"/>
        <v>2018</v>
      </c>
      <c r="W204" s="325">
        <f t="shared" si="143"/>
        <v>2019</v>
      </c>
      <c r="X204" s="325">
        <f t="shared" si="143"/>
        <v>2020</v>
      </c>
      <c r="Y204" s="325">
        <f t="shared" si="143"/>
        <v>2021</v>
      </c>
      <c r="Z204" s="325">
        <f t="shared" si="143"/>
        <v>2022</v>
      </c>
      <c r="AA204" s="325">
        <f t="shared" si="143"/>
        <v>2023</v>
      </c>
      <c r="AB204" s="325">
        <f t="shared" si="143"/>
        <v>2024</v>
      </c>
      <c r="AC204" s="325">
        <f t="shared" si="143"/>
        <v>2025</v>
      </c>
      <c r="AD204" s="325">
        <f t="shared" si="143"/>
        <v>2026</v>
      </c>
      <c r="AE204" s="325">
        <f t="shared" si="143"/>
        <v>2027</v>
      </c>
      <c r="AF204" s="325">
        <f t="shared" si="143"/>
        <v>2028</v>
      </c>
      <c r="AG204" s="325">
        <f t="shared" si="143"/>
        <v>2029</v>
      </c>
      <c r="AH204" s="325">
        <f t="shared" si="143"/>
        <v>2030</v>
      </c>
      <c r="AI204" s="325">
        <f t="shared" si="143"/>
        <v>2031</v>
      </c>
      <c r="AJ204" s="325">
        <f t="shared" si="143"/>
        <v>2032</v>
      </c>
      <c r="AK204" s="325">
        <f t="shared" si="143"/>
        <v>2033</v>
      </c>
      <c r="AL204" s="325">
        <f t="shared" si="143"/>
        <v>2034</v>
      </c>
      <c r="AM204" s="325">
        <f t="shared" si="143"/>
        <v>2035</v>
      </c>
      <c r="AN204" s="325">
        <f t="shared" si="143"/>
        <v>2036</v>
      </c>
      <c r="AO204" s="325">
        <f t="shared" si="143"/>
        <v>2037</v>
      </c>
      <c r="AP204" s="325">
        <f t="shared" si="143"/>
        <v>2038</v>
      </c>
      <c r="AQ204" s="325">
        <f t="shared" si="143"/>
        <v>2039</v>
      </c>
      <c r="AR204" s="325">
        <f t="shared" si="143"/>
        <v>2040</v>
      </c>
      <c r="AS204" s="325">
        <f t="shared" si="143"/>
        <v>2041</v>
      </c>
      <c r="AT204" s="325">
        <f t="shared" si="143"/>
        <v>2042</v>
      </c>
      <c r="AU204" s="325">
        <f t="shared" si="143"/>
        <v>2043</v>
      </c>
    </row>
    <row r="205" spans="1:47">
      <c r="E205" s="325"/>
      <c r="G205" s="39"/>
      <c r="H205" s="39"/>
      <c r="I205" s="39"/>
      <c r="J205" s="39"/>
      <c r="K205" s="39"/>
    </row>
    <row r="206" spans="1:47">
      <c r="E206" s="325"/>
      <c r="G206" s="39" t="s">
        <v>23</v>
      </c>
      <c r="H206" s="39"/>
      <c r="I206" s="39"/>
      <c r="J206" s="39"/>
      <c r="K206" s="39"/>
    </row>
    <row r="207" spans="1:47">
      <c r="A207" s="38" t="str">
        <f t="shared" ref="A207:A214" si="144">$J$4&amp;"-"</f>
        <v>2X-</v>
      </c>
      <c r="B207" s="38" t="s">
        <v>262</v>
      </c>
      <c r="C207" s="38" t="str">
        <f>C201</f>
        <v>CHP</v>
      </c>
      <c r="D207" s="186">
        <f>LaborEsc</f>
        <v>0.02</v>
      </c>
      <c r="E207" s="325"/>
      <c r="G207" s="36" t="s">
        <v>125</v>
      </c>
      <c r="I207" s="39"/>
      <c r="K207" s="39"/>
      <c r="L207" s="43" t="s">
        <v>266</v>
      </c>
      <c r="N207" s="70">
        <f ca="1">SUMIFS(OFFSET(Assumptions!$I$90,0,MATCH($A207,Configurations,0)-1,COUNT(Assumptions!$A$90:$A$183),1),Assumptions!$D$90:$D$183,$B207&amp;$C207)</f>
        <v>1460</v>
      </c>
      <c r="O207" s="313"/>
      <c r="P207" s="323"/>
      <c r="Q207" s="313"/>
      <c r="R207" s="50">
        <f t="shared" ref="R207:AU207" ca="1" si="145">IF(OR(R$99&lt;InServiceYr,R$99&gt;(InServiceYr+analysis_period-1)),0,IF($P207=0,$N207,$P207)*LaborCost*(1+$D207)^(R$99-CostBaseYr))</f>
        <v>52122</v>
      </c>
      <c r="S207" s="50">
        <f t="shared" ca="1" si="145"/>
        <v>53164.44</v>
      </c>
      <c r="T207" s="50">
        <f t="shared" ca="1" si="145"/>
        <v>54227.728799999997</v>
      </c>
      <c r="U207" s="50">
        <f t="shared" ca="1" si="145"/>
        <v>55312.283375999999</v>
      </c>
      <c r="V207" s="50">
        <f t="shared" ca="1" si="145"/>
        <v>56418.52904352</v>
      </c>
      <c r="W207" s="50">
        <f t="shared" ca="1" si="145"/>
        <v>57546.899624390404</v>
      </c>
      <c r="X207" s="50">
        <f t="shared" ca="1" si="145"/>
        <v>58697.837616878198</v>
      </c>
      <c r="Y207" s="50">
        <f t="shared" ca="1" si="145"/>
        <v>59871.794369215771</v>
      </c>
      <c r="Z207" s="50">
        <f t="shared" ca="1" si="145"/>
        <v>61069.230256600087</v>
      </c>
      <c r="AA207" s="50">
        <f t="shared" ca="1" si="145"/>
        <v>62290.614861732087</v>
      </c>
      <c r="AB207" s="50">
        <f t="shared" ca="1" si="145"/>
        <v>63536.427158966719</v>
      </c>
      <c r="AC207" s="50">
        <f t="shared" ca="1" si="145"/>
        <v>64807.155702146061</v>
      </c>
      <c r="AD207" s="50">
        <f t="shared" ca="1" si="145"/>
        <v>66103.298816188981</v>
      </c>
      <c r="AE207" s="50">
        <f t="shared" ca="1" si="145"/>
        <v>67425.364792512773</v>
      </c>
      <c r="AF207" s="50">
        <f t="shared" ca="1" si="145"/>
        <v>68773.872088363001</v>
      </c>
      <c r="AG207" s="50">
        <f t="shared" ca="1" si="145"/>
        <v>70149.349530130276</v>
      </c>
      <c r="AH207" s="50">
        <f t="shared" ca="1" si="145"/>
        <v>71552.33652073289</v>
      </c>
      <c r="AI207" s="50">
        <f t="shared" ca="1" si="145"/>
        <v>72983.383251147534</v>
      </c>
      <c r="AJ207" s="50">
        <f t="shared" ca="1" si="145"/>
        <v>74443.050916170483</v>
      </c>
      <c r="AK207" s="50">
        <f t="shared" ca="1" si="145"/>
        <v>75931.911934493895</v>
      </c>
      <c r="AL207" s="50">
        <f t="shared" si="145"/>
        <v>0</v>
      </c>
      <c r="AM207" s="50">
        <f t="shared" si="145"/>
        <v>0</v>
      </c>
      <c r="AN207" s="50">
        <f t="shared" si="145"/>
        <v>0</v>
      </c>
      <c r="AO207" s="50">
        <f t="shared" si="145"/>
        <v>0</v>
      </c>
      <c r="AP207" s="50">
        <f t="shared" si="145"/>
        <v>0</v>
      </c>
      <c r="AQ207" s="50">
        <f t="shared" si="145"/>
        <v>0</v>
      </c>
      <c r="AR207" s="50">
        <f t="shared" si="145"/>
        <v>0</v>
      </c>
      <c r="AS207" s="50">
        <f t="shared" si="145"/>
        <v>0</v>
      </c>
      <c r="AT207" s="50">
        <f t="shared" si="145"/>
        <v>0</v>
      </c>
      <c r="AU207" s="50">
        <f t="shared" si="145"/>
        <v>0</v>
      </c>
    </row>
    <row r="208" spans="1:47">
      <c r="A208" s="38" t="str">
        <f t="shared" si="144"/>
        <v>2X-</v>
      </c>
      <c r="B208" s="38" t="s">
        <v>270</v>
      </c>
      <c r="C208" s="38" t="str">
        <f>C207</f>
        <v>CHP</v>
      </c>
      <c r="D208" s="186">
        <f>OMEsc</f>
        <v>0.02</v>
      </c>
      <c r="E208" s="325"/>
      <c r="G208" s="36" t="s">
        <v>126</v>
      </c>
      <c r="I208" s="39"/>
      <c r="K208" s="39"/>
      <c r="L208" s="43" t="str">
        <f>"["&amp;CostBaseYr&amp;" $]"</f>
        <v>[2013 $]</v>
      </c>
      <c r="N208" s="70">
        <f ca="1">SUMIFS(OFFSET(Assumptions!$I$90,0,MATCH($A208,Configurations,0)-1,COUNT(Assumptions!$A$90:$A$183),1),Assumptions!$D$90:$D$183,$B208&amp;$C208)</f>
        <v>15000</v>
      </c>
      <c r="O208" s="313"/>
      <c r="P208" s="323"/>
      <c r="Q208" s="313"/>
      <c r="R208" s="50">
        <f t="shared" ref="R208:AG210" ca="1" si="146">IF(OR(R$99&lt;InServiceYr,R$99&gt;(InServiceYr+analysis_period-1)),0,IF($P208=0,$N208,$P208)*(1+$D208)^(R$99-CostBaseYr))</f>
        <v>15300</v>
      </c>
      <c r="S208" s="50">
        <f t="shared" ca="1" si="146"/>
        <v>15606</v>
      </c>
      <c r="T208" s="50">
        <f t="shared" ca="1" si="146"/>
        <v>15918.119999999999</v>
      </c>
      <c r="U208" s="50">
        <f t="shared" ca="1" si="146"/>
        <v>16236.482399999999</v>
      </c>
      <c r="V208" s="50">
        <f t="shared" ca="1" si="146"/>
        <v>16561.212048000001</v>
      </c>
      <c r="W208" s="50">
        <f t="shared" ca="1" si="146"/>
        <v>16892.436288960002</v>
      </c>
      <c r="X208" s="50">
        <f t="shared" ca="1" si="146"/>
        <v>17230.285014739198</v>
      </c>
      <c r="Y208" s="50">
        <f t="shared" ca="1" si="146"/>
        <v>17574.890715033984</v>
      </c>
      <c r="Z208" s="50">
        <f t="shared" ca="1" si="146"/>
        <v>17926.388529334661</v>
      </c>
      <c r="AA208" s="50">
        <f t="shared" ca="1" si="146"/>
        <v>18284.916299921355</v>
      </c>
      <c r="AB208" s="50">
        <f t="shared" ca="1" si="146"/>
        <v>18650.614625919781</v>
      </c>
      <c r="AC208" s="50">
        <f t="shared" ca="1" si="146"/>
        <v>19023.626918438178</v>
      </c>
      <c r="AD208" s="50">
        <f t="shared" ca="1" si="146"/>
        <v>19404.09945680694</v>
      </c>
      <c r="AE208" s="50">
        <f t="shared" ca="1" si="146"/>
        <v>19792.181445943083</v>
      </c>
      <c r="AF208" s="50">
        <f t="shared" ca="1" si="146"/>
        <v>20188.02507486194</v>
      </c>
      <c r="AG208" s="50">
        <f t="shared" ca="1" si="146"/>
        <v>20591.78557635918</v>
      </c>
      <c r="AH208" s="50">
        <f t="shared" ref="S208:AU210" ca="1" si="147">IF(OR(AH$99&lt;InServiceYr,AH$99&gt;(InServiceYr+analysis_period-1)),0,IF($P208=0,$N208,$P208)*(1+$D208)^(AH$99-CostBaseYr))</f>
        <v>21003.621287886366</v>
      </c>
      <c r="AI208" s="50">
        <f t="shared" ca="1" si="147"/>
        <v>21423.69371364409</v>
      </c>
      <c r="AJ208" s="50">
        <f t="shared" ca="1" si="147"/>
        <v>21852.167587916971</v>
      </c>
      <c r="AK208" s="50">
        <f t="shared" ca="1" si="147"/>
        <v>22289.210939675315</v>
      </c>
      <c r="AL208" s="50">
        <f t="shared" si="147"/>
        <v>0</v>
      </c>
      <c r="AM208" s="50">
        <f t="shared" si="147"/>
        <v>0</v>
      </c>
      <c r="AN208" s="50">
        <f t="shared" si="147"/>
        <v>0</v>
      </c>
      <c r="AO208" s="50">
        <f t="shared" si="147"/>
        <v>0</v>
      </c>
      <c r="AP208" s="50">
        <f t="shared" si="147"/>
        <v>0</v>
      </c>
      <c r="AQ208" s="50">
        <f t="shared" si="147"/>
        <v>0</v>
      </c>
      <c r="AR208" s="50">
        <f t="shared" si="147"/>
        <v>0</v>
      </c>
      <c r="AS208" s="50">
        <f t="shared" si="147"/>
        <v>0</v>
      </c>
      <c r="AT208" s="50">
        <f t="shared" si="147"/>
        <v>0</v>
      </c>
      <c r="AU208" s="50">
        <f t="shared" si="147"/>
        <v>0</v>
      </c>
    </row>
    <row r="209" spans="1:47">
      <c r="A209" s="38" t="str">
        <f t="shared" si="144"/>
        <v>2X-</v>
      </c>
      <c r="B209" s="38" t="s">
        <v>263</v>
      </c>
      <c r="C209" s="38" t="str">
        <f t="shared" ref="C209:C213" si="148">C208</f>
        <v>CHP</v>
      </c>
      <c r="D209" s="186">
        <f>OMEsc</f>
        <v>0.02</v>
      </c>
      <c r="E209" s="325"/>
      <c r="G209" s="36" t="s">
        <v>127</v>
      </c>
      <c r="I209" s="39"/>
      <c r="K209" s="39"/>
      <c r="L209" s="43" t="str">
        <f>"["&amp;CostBaseYr&amp;" $]"</f>
        <v>[2013 $]</v>
      </c>
      <c r="N209" s="70">
        <f ca="1">SUMIFS(OFFSET(Assumptions!$I$90,0,MATCH($A209,Configurations,0)-1,COUNT(Assumptions!$A$90:$A$183),1),Assumptions!$D$90:$D$183,$B209&amp;$C209)</f>
        <v>0</v>
      </c>
      <c r="O209" s="313"/>
      <c r="P209" s="323"/>
      <c r="Q209" s="313"/>
      <c r="R209" s="50">
        <f t="shared" ca="1" si="146"/>
        <v>0</v>
      </c>
      <c r="S209" s="50">
        <f t="shared" ca="1" si="147"/>
        <v>0</v>
      </c>
      <c r="T209" s="50">
        <f t="shared" ca="1" si="147"/>
        <v>0</v>
      </c>
      <c r="U209" s="50">
        <f t="shared" ca="1" si="147"/>
        <v>0</v>
      </c>
      <c r="V209" s="50">
        <f t="shared" ca="1" si="147"/>
        <v>0</v>
      </c>
      <c r="W209" s="50">
        <f t="shared" ca="1" si="147"/>
        <v>0</v>
      </c>
      <c r="X209" s="50">
        <f t="shared" ca="1" si="147"/>
        <v>0</v>
      </c>
      <c r="Y209" s="50">
        <f t="shared" ca="1" si="147"/>
        <v>0</v>
      </c>
      <c r="Z209" s="50">
        <f t="shared" ca="1" si="147"/>
        <v>0</v>
      </c>
      <c r="AA209" s="50">
        <f t="shared" ca="1" si="147"/>
        <v>0</v>
      </c>
      <c r="AB209" s="50">
        <f t="shared" ca="1" si="147"/>
        <v>0</v>
      </c>
      <c r="AC209" s="50">
        <f t="shared" ca="1" si="147"/>
        <v>0</v>
      </c>
      <c r="AD209" s="50">
        <f t="shared" ca="1" si="147"/>
        <v>0</v>
      </c>
      <c r="AE209" s="50">
        <f t="shared" ca="1" si="147"/>
        <v>0</v>
      </c>
      <c r="AF209" s="50">
        <f t="shared" ca="1" si="147"/>
        <v>0</v>
      </c>
      <c r="AG209" s="50">
        <f t="shared" ca="1" si="147"/>
        <v>0</v>
      </c>
      <c r="AH209" s="50">
        <f t="shared" ca="1" si="147"/>
        <v>0</v>
      </c>
      <c r="AI209" s="50">
        <f t="shared" ca="1" si="147"/>
        <v>0</v>
      </c>
      <c r="AJ209" s="50">
        <f t="shared" ca="1" si="147"/>
        <v>0</v>
      </c>
      <c r="AK209" s="50">
        <f t="shared" ca="1" si="147"/>
        <v>0</v>
      </c>
      <c r="AL209" s="50">
        <f t="shared" si="147"/>
        <v>0</v>
      </c>
      <c r="AM209" s="50">
        <f t="shared" si="147"/>
        <v>0</v>
      </c>
      <c r="AN209" s="50">
        <f t="shared" si="147"/>
        <v>0</v>
      </c>
      <c r="AO209" s="50">
        <f t="shared" si="147"/>
        <v>0</v>
      </c>
      <c r="AP209" s="50">
        <f t="shared" si="147"/>
        <v>0</v>
      </c>
      <c r="AQ209" s="50">
        <f t="shared" si="147"/>
        <v>0</v>
      </c>
      <c r="AR209" s="50">
        <f t="shared" si="147"/>
        <v>0</v>
      </c>
      <c r="AS209" s="50">
        <f t="shared" si="147"/>
        <v>0</v>
      </c>
      <c r="AT209" s="50">
        <f t="shared" si="147"/>
        <v>0</v>
      </c>
      <c r="AU209" s="50">
        <f t="shared" si="147"/>
        <v>0</v>
      </c>
    </row>
    <row r="210" spans="1:47">
      <c r="A210" s="38" t="str">
        <f t="shared" si="144"/>
        <v>2X-</v>
      </c>
      <c r="B210" s="38" t="s">
        <v>277</v>
      </c>
      <c r="C210" s="38" t="str">
        <f t="shared" si="148"/>
        <v>CHP</v>
      </c>
      <c r="D210" s="186">
        <f>OMEsc</f>
        <v>0.02</v>
      </c>
      <c r="E210" s="325"/>
      <c r="G210" s="36" t="s">
        <v>276</v>
      </c>
      <c r="I210" s="39"/>
      <c r="K210" s="39"/>
      <c r="L210" s="43" t="str">
        <f>"["&amp;CostBaseYr&amp;" $]"</f>
        <v>[2013 $]</v>
      </c>
      <c r="N210" s="70">
        <f ca="1">SUMIFS(OFFSET(Assumptions!$I$90,0,MATCH($A210,Configurations,0)-1,COUNT(Assumptions!$A$90:$A$183),1),Assumptions!$D$90:$D$183,$B210&amp;$C210)</f>
        <v>0</v>
      </c>
      <c r="O210" s="313"/>
      <c r="P210" s="323"/>
      <c r="Q210" s="313"/>
      <c r="R210" s="50">
        <f t="shared" ca="1" si="146"/>
        <v>0</v>
      </c>
      <c r="S210" s="50">
        <f t="shared" ca="1" si="147"/>
        <v>0</v>
      </c>
      <c r="T210" s="50">
        <f t="shared" ca="1" si="147"/>
        <v>0</v>
      </c>
      <c r="U210" s="50">
        <f t="shared" ca="1" si="147"/>
        <v>0</v>
      </c>
      <c r="V210" s="50">
        <f t="shared" ca="1" si="147"/>
        <v>0</v>
      </c>
      <c r="W210" s="50">
        <f t="shared" ca="1" si="147"/>
        <v>0</v>
      </c>
      <c r="X210" s="50">
        <f t="shared" ca="1" si="147"/>
        <v>0</v>
      </c>
      <c r="Y210" s="50">
        <f t="shared" ca="1" si="147"/>
        <v>0</v>
      </c>
      <c r="Z210" s="50">
        <f t="shared" ca="1" si="147"/>
        <v>0</v>
      </c>
      <c r="AA210" s="50">
        <f t="shared" ca="1" si="147"/>
        <v>0</v>
      </c>
      <c r="AB210" s="50">
        <f t="shared" ca="1" si="147"/>
        <v>0</v>
      </c>
      <c r="AC210" s="50">
        <f t="shared" ca="1" si="147"/>
        <v>0</v>
      </c>
      <c r="AD210" s="50">
        <f t="shared" ca="1" si="147"/>
        <v>0</v>
      </c>
      <c r="AE210" s="50">
        <f t="shared" ca="1" si="147"/>
        <v>0</v>
      </c>
      <c r="AF210" s="50">
        <f t="shared" ca="1" si="147"/>
        <v>0</v>
      </c>
      <c r="AG210" s="50">
        <f t="shared" ca="1" si="147"/>
        <v>0</v>
      </c>
      <c r="AH210" s="50">
        <f t="shared" ca="1" si="147"/>
        <v>0</v>
      </c>
      <c r="AI210" s="50">
        <f t="shared" ca="1" si="147"/>
        <v>0</v>
      </c>
      <c r="AJ210" s="50">
        <f t="shared" ca="1" si="147"/>
        <v>0</v>
      </c>
      <c r="AK210" s="50">
        <f t="shared" ca="1" si="147"/>
        <v>0</v>
      </c>
      <c r="AL210" s="50">
        <f t="shared" si="147"/>
        <v>0</v>
      </c>
      <c r="AM210" s="50">
        <f t="shared" si="147"/>
        <v>0</v>
      </c>
      <c r="AN210" s="50">
        <f t="shared" si="147"/>
        <v>0</v>
      </c>
      <c r="AO210" s="50">
        <f t="shared" si="147"/>
        <v>0</v>
      </c>
      <c r="AP210" s="50">
        <f t="shared" si="147"/>
        <v>0</v>
      </c>
      <c r="AQ210" s="50">
        <f t="shared" si="147"/>
        <v>0</v>
      </c>
      <c r="AR210" s="50">
        <f t="shared" si="147"/>
        <v>0</v>
      </c>
      <c r="AS210" s="50">
        <f t="shared" si="147"/>
        <v>0</v>
      </c>
      <c r="AT210" s="50">
        <f t="shared" si="147"/>
        <v>0</v>
      </c>
      <c r="AU210" s="50">
        <f t="shared" si="147"/>
        <v>0</v>
      </c>
    </row>
    <row r="211" spans="1:47">
      <c r="A211" s="38" t="str">
        <f t="shared" si="144"/>
        <v>2X-</v>
      </c>
      <c r="B211" s="38" t="s">
        <v>274</v>
      </c>
      <c r="C211" s="38" t="str">
        <f t="shared" si="148"/>
        <v>CHP</v>
      </c>
      <c r="D211" s="186"/>
      <c r="E211" s="325"/>
      <c r="G211" s="36" t="s">
        <v>16</v>
      </c>
      <c r="I211" s="39"/>
      <c r="K211" s="39"/>
      <c r="L211" s="43" t="s">
        <v>275</v>
      </c>
      <c r="N211" s="70">
        <f ca="1">SUMIFS(OFFSET(Assumptions!$I$90,0,MATCH($A211,Configurations,0)-1,COUNT(Assumptions!$A$90:$A$183),1),Assumptions!$D$90:$D$183,$B211&amp;$C211)</f>
        <v>0</v>
      </c>
      <c r="O211" s="313"/>
      <c r="P211" s="323"/>
      <c r="Q211" s="313"/>
      <c r="R211" s="50">
        <f t="shared" ref="R211:AU211" ca="1" si="149">IF(OR(R$99&lt;InServiceYr,R$99&gt;(InServiceYr+analysis_period-1)),0,IF($P211=0,$N211,$P211)*R$505)</f>
        <v>0</v>
      </c>
      <c r="S211" s="50">
        <f t="shared" ca="1" si="149"/>
        <v>0</v>
      </c>
      <c r="T211" s="50">
        <f t="shared" ca="1" si="149"/>
        <v>0</v>
      </c>
      <c r="U211" s="50">
        <f t="shared" ca="1" si="149"/>
        <v>0</v>
      </c>
      <c r="V211" s="50">
        <f t="shared" ca="1" si="149"/>
        <v>0</v>
      </c>
      <c r="W211" s="50">
        <f t="shared" ca="1" si="149"/>
        <v>0</v>
      </c>
      <c r="X211" s="50">
        <f t="shared" ca="1" si="149"/>
        <v>0</v>
      </c>
      <c r="Y211" s="50">
        <f t="shared" ca="1" si="149"/>
        <v>0</v>
      </c>
      <c r="Z211" s="50">
        <f t="shared" ca="1" si="149"/>
        <v>0</v>
      </c>
      <c r="AA211" s="50">
        <f t="shared" ca="1" si="149"/>
        <v>0</v>
      </c>
      <c r="AB211" s="50">
        <f t="shared" ca="1" si="149"/>
        <v>0</v>
      </c>
      <c r="AC211" s="50">
        <f t="shared" ca="1" si="149"/>
        <v>0</v>
      </c>
      <c r="AD211" s="50">
        <f t="shared" ca="1" si="149"/>
        <v>0</v>
      </c>
      <c r="AE211" s="50">
        <f t="shared" ca="1" si="149"/>
        <v>0</v>
      </c>
      <c r="AF211" s="50">
        <f t="shared" ca="1" si="149"/>
        <v>0</v>
      </c>
      <c r="AG211" s="50">
        <f t="shared" ca="1" si="149"/>
        <v>0</v>
      </c>
      <c r="AH211" s="50">
        <f t="shared" ca="1" si="149"/>
        <v>0</v>
      </c>
      <c r="AI211" s="50">
        <f t="shared" ca="1" si="149"/>
        <v>0</v>
      </c>
      <c r="AJ211" s="50">
        <f t="shared" ca="1" si="149"/>
        <v>0</v>
      </c>
      <c r="AK211" s="50">
        <f t="shared" ca="1" si="149"/>
        <v>0</v>
      </c>
      <c r="AL211" s="50">
        <f t="shared" si="149"/>
        <v>0</v>
      </c>
      <c r="AM211" s="50">
        <f t="shared" si="149"/>
        <v>0</v>
      </c>
      <c r="AN211" s="50">
        <f t="shared" si="149"/>
        <v>0</v>
      </c>
      <c r="AO211" s="50">
        <f t="shared" si="149"/>
        <v>0</v>
      </c>
      <c r="AP211" s="50">
        <f t="shared" si="149"/>
        <v>0</v>
      </c>
      <c r="AQ211" s="50">
        <f t="shared" si="149"/>
        <v>0</v>
      </c>
      <c r="AR211" s="50">
        <f t="shared" si="149"/>
        <v>0</v>
      </c>
      <c r="AS211" s="50">
        <f t="shared" si="149"/>
        <v>0</v>
      </c>
      <c r="AT211" s="50">
        <f t="shared" si="149"/>
        <v>0</v>
      </c>
      <c r="AU211" s="50">
        <f t="shared" si="149"/>
        <v>0</v>
      </c>
    </row>
    <row r="212" spans="1:47">
      <c r="A212" s="38" t="str">
        <f t="shared" si="144"/>
        <v>2X-</v>
      </c>
      <c r="B212" s="38" t="s">
        <v>257</v>
      </c>
      <c r="C212" s="38" t="str">
        <f t="shared" si="148"/>
        <v>CHP</v>
      </c>
      <c r="D212" s="186"/>
      <c r="E212" s="325"/>
      <c r="G212" s="36" t="s">
        <v>284</v>
      </c>
      <c r="I212" s="39"/>
      <c r="K212" s="39"/>
      <c r="L212" s="43" t="s">
        <v>293</v>
      </c>
      <c r="N212" s="70">
        <f ca="1">SUMIFS(OFFSET(Assumptions!$I$90,0,MATCH($A212,Configurations,0)-1,COUNT(Assumptions!$A$90:$A$183),1),Assumptions!$D$90:$D$183,$B212&amp;$C212)</f>
        <v>0</v>
      </c>
      <c r="O212" s="313"/>
      <c r="P212" s="323"/>
      <c r="Q212" s="313"/>
      <c r="R212" s="50">
        <f t="shared" ref="R212:AU212" ca="1" si="150">IF(OR(R$99&lt;InServiceYr,R$99&gt;(InServiceYr+analysis_period-1)),0,IF($P212=0,$N212,$P212)*R$501)</f>
        <v>0</v>
      </c>
      <c r="S212" s="50">
        <f t="shared" ca="1" si="150"/>
        <v>0</v>
      </c>
      <c r="T212" s="50">
        <f t="shared" ca="1" si="150"/>
        <v>0</v>
      </c>
      <c r="U212" s="50">
        <f t="shared" ca="1" si="150"/>
        <v>0</v>
      </c>
      <c r="V212" s="50">
        <f t="shared" ca="1" si="150"/>
        <v>0</v>
      </c>
      <c r="W212" s="50">
        <f t="shared" ca="1" si="150"/>
        <v>0</v>
      </c>
      <c r="X212" s="50">
        <f t="shared" ca="1" si="150"/>
        <v>0</v>
      </c>
      <c r="Y212" s="50">
        <f t="shared" ca="1" si="150"/>
        <v>0</v>
      </c>
      <c r="Z212" s="50">
        <f t="shared" ca="1" si="150"/>
        <v>0</v>
      </c>
      <c r="AA212" s="50">
        <f t="shared" ca="1" si="150"/>
        <v>0</v>
      </c>
      <c r="AB212" s="50">
        <f t="shared" ca="1" si="150"/>
        <v>0</v>
      </c>
      <c r="AC212" s="50">
        <f t="shared" ca="1" si="150"/>
        <v>0</v>
      </c>
      <c r="AD212" s="50">
        <f t="shared" ca="1" si="150"/>
        <v>0</v>
      </c>
      <c r="AE212" s="50">
        <f t="shared" ca="1" si="150"/>
        <v>0</v>
      </c>
      <c r="AF212" s="50">
        <f t="shared" ca="1" si="150"/>
        <v>0</v>
      </c>
      <c r="AG212" s="50">
        <f t="shared" ca="1" si="150"/>
        <v>0</v>
      </c>
      <c r="AH212" s="50">
        <f t="shared" ca="1" si="150"/>
        <v>0</v>
      </c>
      <c r="AI212" s="50">
        <f t="shared" ca="1" si="150"/>
        <v>0</v>
      </c>
      <c r="AJ212" s="50">
        <f t="shared" ca="1" si="150"/>
        <v>0</v>
      </c>
      <c r="AK212" s="50">
        <f t="shared" ca="1" si="150"/>
        <v>0</v>
      </c>
      <c r="AL212" s="50">
        <f t="shared" si="150"/>
        <v>0</v>
      </c>
      <c r="AM212" s="50">
        <f t="shared" si="150"/>
        <v>0</v>
      </c>
      <c r="AN212" s="50">
        <f t="shared" si="150"/>
        <v>0</v>
      </c>
      <c r="AO212" s="50">
        <f t="shared" si="150"/>
        <v>0</v>
      </c>
      <c r="AP212" s="50">
        <f t="shared" si="150"/>
        <v>0</v>
      </c>
      <c r="AQ212" s="50">
        <f t="shared" si="150"/>
        <v>0</v>
      </c>
      <c r="AR212" s="50">
        <f t="shared" si="150"/>
        <v>0</v>
      </c>
      <c r="AS212" s="50">
        <f t="shared" si="150"/>
        <v>0</v>
      </c>
      <c r="AT212" s="50">
        <f t="shared" si="150"/>
        <v>0</v>
      </c>
      <c r="AU212" s="50">
        <f t="shared" si="150"/>
        <v>0</v>
      </c>
    </row>
    <row r="213" spans="1:47">
      <c r="A213" s="38" t="str">
        <f t="shared" si="144"/>
        <v>2X-</v>
      </c>
      <c r="B213" s="38" t="s">
        <v>864</v>
      </c>
      <c r="C213" s="38" t="str">
        <f t="shared" si="148"/>
        <v>CHP</v>
      </c>
      <c r="D213" s="186">
        <f>GHGEsc</f>
        <v>0.02</v>
      </c>
      <c r="E213" s="325"/>
      <c r="G213" s="36" t="s">
        <v>865</v>
      </c>
      <c r="I213" s="39"/>
      <c r="K213" s="39"/>
      <c r="L213" s="43" t="s">
        <v>866</v>
      </c>
      <c r="N213" s="70">
        <f ca="1">SUMIFS(OFFSET(Assumptions!$I$90,0,MATCH($A213,Configurations,0)-1,COUNT(Assumptions!$A$90:$A$183),1),Assumptions!$D$90:$D$183,$B213&amp;$C213)</f>
        <v>-2152.1869488536154</v>
      </c>
      <c r="O213" s="313"/>
      <c r="P213" s="323"/>
      <c r="Q213" s="313"/>
      <c r="R213" s="50">
        <f t="shared" ref="R213:AU213" ca="1" si="151">IF(OR(R$99&lt;InServiceYr,R$99&gt;(InServiceYr+analysis_period-1)),0,IF($P213=0,$N213,$P213)*R$513)</f>
        <v>0</v>
      </c>
      <c r="S213" s="50">
        <f t="shared" ca="1" si="151"/>
        <v>0</v>
      </c>
      <c r="T213" s="50">
        <f t="shared" ca="1" si="151"/>
        <v>0</v>
      </c>
      <c r="U213" s="50">
        <f t="shared" ca="1" si="151"/>
        <v>0</v>
      </c>
      <c r="V213" s="50">
        <f t="shared" ca="1" si="151"/>
        <v>0</v>
      </c>
      <c r="W213" s="50">
        <f t="shared" ca="1" si="151"/>
        <v>0</v>
      </c>
      <c r="X213" s="50">
        <f t="shared" ca="1" si="151"/>
        <v>0</v>
      </c>
      <c r="Y213" s="50">
        <f t="shared" ca="1" si="151"/>
        <v>0</v>
      </c>
      <c r="Z213" s="50">
        <f t="shared" ca="1" si="151"/>
        <v>0</v>
      </c>
      <c r="AA213" s="50">
        <f t="shared" ca="1" si="151"/>
        <v>0</v>
      </c>
      <c r="AB213" s="50">
        <f t="shared" ca="1" si="151"/>
        <v>0</v>
      </c>
      <c r="AC213" s="50">
        <f t="shared" ca="1" si="151"/>
        <v>0</v>
      </c>
      <c r="AD213" s="50">
        <f t="shared" ca="1" si="151"/>
        <v>0</v>
      </c>
      <c r="AE213" s="50">
        <f t="shared" ca="1" si="151"/>
        <v>0</v>
      </c>
      <c r="AF213" s="50">
        <f t="shared" ca="1" si="151"/>
        <v>0</v>
      </c>
      <c r="AG213" s="50">
        <f t="shared" ca="1" si="151"/>
        <v>0</v>
      </c>
      <c r="AH213" s="50">
        <f t="shared" ca="1" si="151"/>
        <v>0</v>
      </c>
      <c r="AI213" s="50">
        <f t="shared" ca="1" si="151"/>
        <v>0</v>
      </c>
      <c r="AJ213" s="50">
        <f t="shared" ca="1" si="151"/>
        <v>0</v>
      </c>
      <c r="AK213" s="50">
        <f t="shared" ca="1" si="151"/>
        <v>0</v>
      </c>
      <c r="AL213" s="50">
        <f t="shared" si="151"/>
        <v>0</v>
      </c>
      <c r="AM213" s="50">
        <f t="shared" si="151"/>
        <v>0</v>
      </c>
      <c r="AN213" s="50">
        <f t="shared" si="151"/>
        <v>0</v>
      </c>
      <c r="AO213" s="50">
        <f t="shared" si="151"/>
        <v>0</v>
      </c>
      <c r="AP213" s="50">
        <f t="shared" si="151"/>
        <v>0</v>
      </c>
      <c r="AQ213" s="50">
        <f t="shared" si="151"/>
        <v>0</v>
      </c>
      <c r="AR213" s="50">
        <f t="shared" si="151"/>
        <v>0</v>
      </c>
      <c r="AS213" s="50">
        <f t="shared" si="151"/>
        <v>0</v>
      </c>
      <c r="AT213" s="50">
        <f t="shared" si="151"/>
        <v>0</v>
      </c>
      <c r="AU213" s="50">
        <f t="shared" si="151"/>
        <v>0</v>
      </c>
    </row>
    <row r="214" spans="1:47">
      <c r="A214" s="38" t="str">
        <f t="shared" si="144"/>
        <v>2X-</v>
      </c>
      <c r="B214" s="38" t="s">
        <v>273</v>
      </c>
      <c r="C214" s="38" t="str">
        <f>C212</f>
        <v>CHP</v>
      </c>
      <c r="D214" s="186">
        <f>LaborEsc</f>
        <v>0.02</v>
      </c>
      <c r="E214" s="325"/>
      <c r="G214" s="36" t="s">
        <v>291</v>
      </c>
      <c r="I214" s="39"/>
      <c r="K214" s="39"/>
      <c r="L214" s="43" t="str">
        <f>"["&amp;CostBaseYr&amp;" $]"</f>
        <v>[2013 $]</v>
      </c>
      <c r="N214" s="70">
        <f ca="1">SUMIFS(OFFSET(Assumptions!$I$90,0,MATCH($A214,Configurations,0)-1,COUNT(Assumptions!$A$90:$A$183),1),Assumptions!$D$90:$D$183,$B214&amp;$C214)</f>
        <v>0</v>
      </c>
      <c r="O214" s="313"/>
      <c r="P214" s="323"/>
      <c r="Q214" s="313"/>
      <c r="R214" s="50">
        <f t="shared" ref="R214:AU214" ca="1" si="152">IF(OR(R$99&lt;InServiceYr,R$99&gt;(InServiceYr+analysis_period-1)),0,IF($P214=0,$N214,$P214)*(1+$D214)^(R$99-CostBaseYr))*R$509</f>
        <v>0</v>
      </c>
      <c r="S214" s="50">
        <f t="shared" ca="1" si="152"/>
        <v>0</v>
      </c>
      <c r="T214" s="50">
        <f t="shared" ca="1" si="152"/>
        <v>0</v>
      </c>
      <c r="U214" s="50">
        <f t="shared" ca="1" si="152"/>
        <v>0</v>
      </c>
      <c r="V214" s="50">
        <f t="shared" ca="1" si="152"/>
        <v>0</v>
      </c>
      <c r="W214" s="50">
        <f t="shared" ca="1" si="152"/>
        <v>0</v>
      </c>
      <c r="X214" s="50">
        <f t="shared" ca="1" si="152"/>
        <v>0</v>
      </c>
      <c r="Y214" s="50">
        <f t="shared" ca="1" si="152"/>
        <v>0</v>
      </c>
      <c r="Z214" s="50">
        <f t="shared" ca="1" si="152"/>
        <v>0</v>
      </c>
      <c r="AA214" s="50">
        <f t="shared" ca="1" si="152"/>
        <v>0</v>
      </c>
      <c r="AB214" s="50">
        <f t="shared" ca="1" si="152"/>
        <v>0</v>
      </c>
      <c r="AC214" s="50">
        <f t="shared" ca="1" si="152"/>
        <v>0</v>
      </c>
      <c r="AD214" s="50">
        <f t="shared" ca="1" si="152"/>
        <v>0</v>
      </c>
      <c r="AE214" s="50">
        <f t="shared" ca="1" si="152"/>
        <v>0</v>
      </c>
      <c r="AF214" s="50">
        <f t="shared" ca="1" si="152"/>
        <v>0</v>
      </c>
      <c r="AG214" s="50">
        <f t="shared" ca="1" si="152"/>
        <v>0</v>
      </c>
      <c r="AH214" s="50">
        <f t="shared" ca="1" si="152"/>
        <v>0</v>
      </c>
      <c r="AI214" s="50">
        <f t="shared" ca="1" si="152"/>
        <v>0</v>
      </c>
      <c r="AJ214" s="50">
        <f t="shared" ca="1" si="152"/>
        <v>0</v>
      </c>
      <c r="AK214" s="50">
        <f t="shared" ca="1" si="152"/>
        <v>0</v>
      </c>
      <c r="AL214" s="50">
        <f t="shared" si="152"/>
        <v>0</v>
      </c>
      <c r="AM214" s="50">
        <f t="shared" si="152"/>
        <v>0</v>
      </c>
      <c r="AN214" s="50">
        <f t="shared" si="152"/>
        <v>0</v>
      </c>
      <c r="AO214" s="50">
        <f t="shared" si="152"/>
        <v>0</v>
      </c>
      <c r="AP214" s="50">
        <f t="shared" si="152"/>
        <v>0</v>
      </c>
      <c r="AQ214" s="50">
        <f t="shared" si="152"/>
        <v>0</v>
      </c>
      <c r="AR214" s="50">
        <f t="shared" si="152"/>
        <v>0</v>
      </c>
      <c r="AS214" s="50">
        <f t="shared" si="152"/>
        <v>0</v>
      </c>
      <c r="AT214" s="50">
        <f t="shared" si="152"/>
        <v>0</v>
      </c>
      <c r="AU214" s="50">
        <f t="shared" si="152"/>
        <v>0</v>
      </c>
    </row>
    <row r="215" spans="1:47">
      <c r="D215" s="186"/>
      <c r="E215" s="325"/>
      <c r="G215" s="39" t="s">
        <v>304</v>
      </c>
      <c r="I215" s="39"/>
      <c r="K215" s="39"/>
      <c r="L215" s="43"/>
      <c r="N215" s="70"/>
      <c r="O215" s="313"/>
      <c r="P215" s="70"/>
      <c r="Q215" s="313"/>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row>
    <row r="216" spans="1:47">
      <c r="A216" s="38" t="str">
        <f>$J$4&amp;"-"</f>
        <v>2X-</v>
      </c>
      <c r="B216" s="38" t="s">
        <v>265</v>
      </c>
      <c r="C216" s="38" t="str">
        <f>C207</f>
        <v>CHP</v>
      </c>
      <c r="D216" s="186"/>
      <c r="E216" s="325"/>
      <c r="G216" s="36" t="s">
        <v>108</v>
      </c>
      <c r="I216" s="39"/>
      <c r="K216" s="39"/>
      <c r="L216" s="43" t="s">
        <v>293</v>
      </c>
      <c r="N216" s="70">
        <f ca="1">SUMIFS(OFFSET(Assumptions!$I$90,0,MATCH($A216,Configurations,0)-1,COUNT(Assumptions!$A$90:$A$183),1),Assumptions!$D$90:$D$183,$B216&amp;$C216)</f>
        <v>2503900</v>
      </c>
      <c r="O216" s="313"/>
      <c r="P216" s="323"/>
      <c r="Q216" s="313"/>
      <c r="R216" s="50">
        <f t="shared" ref="R216:AU216" ca="1" si="153">IF(OR(R$99&lt;InServiceYr,R$99&gt;(InServiceYr+analysis_period-1)),0,IF($P216=0,$N216,$P216)*R$501)</f>
        <v>161705.75822557823</v>
      </c>
      <c r="S216" s="50">
        <f t="shared" ca="1" si="153"/>
        <v>162713.75612770638</v>
      </c>
      <c r="T216" s="50">
        <f t="shared" ca="1" si="153"/>
        <v>169728.33663519312</v>
      </c>
      <c r="U216" s="50">
        <f t="shared" ca="1" si="153"/>
        <v>174819.7620148327</v>
      </c>
      <c r="V216" s="50">
        <f t="shared" ca="1" si="153"/>
        <v>179038.35698012201</v>
      </c>
      <c r="W216" s="50">
        <f t="shared" ca="1" si="153"/>
        <v>181328.84531482233</v>
      </c>
      <c r="X216" s="50">
        <f t="shared" ca="1" si="153"/>
        <v>184279.51409525934</v>
      </c>
      <c r="Y216" s="50">
        <f t="shared" ca="1" si="153"/>
        <v>188819.78599729275</v>
      </c>
      <c r="Z216" s="50">
        <f t="shared" ca="1" si="153"/>
        <v>193340.26042543261</v>
      </c>
      <c r="AA216" s="50">
        <f t="shared" ca="1" si="153"/>
        <v>198174.24181079262</v>
      </c>
      <c r="AB216" s="50">
        <f t="shared" ca="1" si="153"/>
        <v>202466.65685230342</v>
      </c>
      <c r="AC216" s="50">
        <f t="shared" ca="1" si="153"/>
        <v>206365.42742584</v>
      </c>
      <c r="AD216" s="50">
        <f t="shared" ca="1" si="153"/>
        <v>211132.4269310064</v>
      </c>
      <c r="AE216" s="50">
        <f t="shared" ca="1" si="153"/>
        <v>215944.48511112324</v>
      </c>
      <c r="AF216" s="50">
        <f t="shared" ca="1" si="153"/>
        <v>221078.9117309534</v>
      </c>
      <c r="AG216" s="50">
        <f t="shared" ca="1" si="153"/>
        <v>226830.67976072984</v>
      </c>
      <c r="AH216" s="50">
        <f t="shared" ca="1" si="153"/>
        <v>232389.72335189168</v>
      </c>
      <c r="AI216" s="50">
        <f t="shared" ca="1" si="153"/>
        <v>238418.28038493556</v>
      </c>
      <c r="AJ216" s="50">
        <f t="shared" ca="1" si="153"/>
        <v>244800.38325081873</v>
      </c>
      <c r="AK216" s="50">
        <f t="shared" ca="1" si="153"/>
        <v>251459.75319609611</v>
      </c>
      <c r="AL216" s="50">
        <f t="shared" si="153"/>
        <v>0</v>
      </c>
      <c r="AM216" s="50">
        <f t="shared" si="153"/>
        <v>0</v>
      </c>
      <c r="AN216" s="50">
        <f t="shared" si="153"/>
        <v>0</v>
      </c>
      <c r="AO216" s="50">
        <f t="shared" si="153"/>
        <v>0</v>
      </c>
      <c r="AP216" s="50">
        <f t="shared" si="153"/>
        <v>0</v>
      </c>
      <c r="AQ216" s="50">
        <f t="shared" si="153"/>
        <v>0</v>
      </c>
      <c r="AR216" s="50">
        <f t="shared" si="153"/>
        <v>0</v>
      </c>
      <c r="AS216" s="50">
        <f t="shared" si="153"/>
        <v>0</v>
      </c>
      <c r="AT216" s="50">
        <f t="shared" si="153"/>
        <v>0</v>
      </c>
      <c r="AU216" s="50">
        <f t="shared" si="153"/>
        <v>0</v>
      </c>
    </row>
    <row r="217" spans="1:47">
      <c r="A217" s="38" t="str">
        <f>$J$4&amp;"-"</f>
        <v>2X-</v>
      </c>
      <c r="B217" s="38" t="s">
        <v>289</v>
      </c>
      <c r="C217" s="38" t="str">
        <f>C207</f>
        <v>CHP</v>
      </c>
      <c r="D217" s="186">
        <f>LaborEsc</f>
        <v>0.02</v>
      </c>
      <c r="E217" s="325"/>
      <c r="G217" s="36" t="s">
        <v>292</v>
      </c>
      <c r="I217" s="39"/>
      <c r="K217" s="39"/>
      <c r="L217" s="43" t="str">
        <f>"["&amp;CostBaseYr&amp;" $]"</f>
        <v>[2013 $]</v>
      </c>
      <c r="N217" s="70">
        <f ca="1">SUMIFS(OFFSET(Assumptions!$I$90,0,MATCH($A217,Configurations,0)-1,COUNT(Assumptions!$A$90:$A$183),1),Assumptions!$D$90:$D$183,$B217&amp;$C217)</f>
        <v>0</v>
      </c>
      <c r="O217" s="313"/>
      <c r="P217" s="323"/>
      <c r="Q217" s="313"/>
      <c r="R217" s="50">
        <f t="shared" ref="R217:AU217" ca="1" si="154">IF(OR(R$99&lt;InServiceYr,R$99&gt;(InServiceYr+analysis_period-1)),0,IF($P217=0,$N217,$P217)*(1+$D217)^(R$99-CostBaseYr))</f>
        <v>0</v>
      </c>
      <c r="S217" s="50">
        <f t="shared" ca="1" si="154"/>
        <v>0</v>
      </c>
      <c r="T217" s="50">
        <f t="shared" ca="1" si="154"/>
        <v>0</v>
      </c>
      <c r="U217" s="50">
        <f t="shared" ca="1" si="154"/>
        <v>0</v>
      </c>
      <c r="V217" s="50">
        <f t="shared" ca="1" si="154"/>
        <v>0</v>
      </c>
      <c r="W217" s="50">
        <f t="shared" ca="1" si="154"/>
        <v>0</v>
      </c>
      <c r="X217" s="50">
        <f t="shared" ca="1" si="154"/>
        <v>0</v>
      </c>
      <c r="Y217" s="50">
        <f t="shared" ca="1" si="154"/>
        <v>0</v>
      </c>
      <c r="Z217" s="50">
        <f t="shared" ca="1" si="154"/>
        <v>0</v>
      </c>
      <c r="AA217" s="50">
        <f t="shared" ca="1" si="154"/>
        <v>0</v>
      </c>
      <c r="AB217" s="50">
        <f t="shared" ca="1" si="154"/>
        <v>0</v>
      </c>
      <c r="AC217" s="50">
        <f t="shared" ca="1" si="154"/>
        <v>0</v>
      </c>
      <c r="AD217" s="50">
        <f t="shared" ca="1" si="154"/>
        <v>0</v>
      </c>
      <c r="AE217" s="50">
        <f t="shared" ca="1" si="154"/>
        <v>0</v>
      </c>
      <c r="AF217" s="50">
        <f t="shared" ca="1" si="154"/>
        <v>0</v>
      </c>
      <c r="AG217" s="50">
        <f t="shared" ca="1" si="154"/>
        <v>0</v>
      </c>
      <c r="AH217" s="50">
        <f t="shared" ca="1" si="154"/>
        <v>0</v>
      </c>
      <c r="AI217" s="50">
        <f t="shared" ca="1" si="154"/>
        <v>0</v>
      </c>
      <c r="AJ217" s="50">
        <f t="shared" ca="1" si="154"/>
        <v>0</v>
      </c>
      <c r="AK217" s="50">
        <f t="shared" ca="1" si="154"/>
        <v>0</v>
      </c>
      <c r="AL217" s="50">
        <f t="shared" si="154"/>
        <v>0</v>
      </c>
      <c r="AM217" s="50">
        <f t="shared" si="154"/>
        <v>0</v>
      </c>
      <c r="AN217" s="50">
        <f t="shared" si="154"/>
        <v>0</v>
      </c>
      <c r="AO217" s="50">
        <f t="shared" si="154"/>
        <v>0</v>
      </c>
      <c r="AP217" s="50">
        <f t="shared" si="154"/>
        <v>0</v>
      </c>
      <c r="AQ217" s="50">
        <f t="shared" si="154"/>
        <v>0</v>
      </c>
      <c r="AR217" s="50">
        <f t="shared" si="154"/>
        <v>0</v>
      </c>
      <c r="AS217" s="50">
        <f t="shared" si="154"/>
        <v>0</v>
      </c>
      <c r="AT217" s="50">
        <f t="shared" si="154"/>
        <v>0</v>
      </c>
      <c r="AU217" s="50">
        <f t="shared" si="154"/>
        <v>0</v>
      </c>
    </row>
    <row r="218" spans="1:47" s="60" customFormat="1">
      <c r="D218" s="187"/>
      <c r="E218" s="325"/>
      <c r="G218" s="39" t="s">
        <v>305</v>
      </c>
      <c r="I218" s="39"/>
      <c r="K218" s="39"/>
      <c r="L218" s="174"/>
      <c r="N218" s="188"/>
      <c r="O218" s="314"/>
      <c r="P218" s="185"/>
      <c r="Q218" s="314"/>
      <c r="R218" s="185">
        <f ca="1">SUM(R207:R214)-SUM(R216:R217)</f>
        <v>-94283.758225578233</v>
      </c>
      <c r="S218" s="185">
        <f t="shared" ref="S218:AU218" ca="1" si="155">SUM(S207:S214)-SUM(S216:S217)</f>
        <v>-93943.316127706377</v>
      </c>
      <c r="T218" s="185">
        <f t="shared" ca="1" si="155"/>
        <v>-99582.487835193126</v>
      </c>
      <c r="U218" s="185">
        <f t="shared" ca="1" si="155"/>
        <v>-103270.9962388327</v>
      </c>
      <c r="V218" s="185">
        <f t="shared" ca="1" si="155"/>
        <v>-106058.61588860201</v>
      </c>
      <c r="W218" s="185">
        <f t="shared" ca="1" si="155"/>
        <v>-106889.50940147194</v>
      </c>
      <c r="X218" s="185">
        <f t="shared" ca="1" si="155"/>
        <v>-108351.39146364194</v>
      </c>
      <c r="Y218" s="185">
        <f t="shared" ca="1" si="155"/>
        <v>-111373.100913043</v>
      </c>
      <c r="Z218" s="185">
        <f t="shared" ca="1" si="155"/>
        <v>-114344.64163949786</v>
      </c>
      <c r="AA218" s="185">
        <f t="shared" ca="1" si="155"/>
        <v>-117598.71064913918</v>
      </c>
      <c r="AB218" s="185">
        <f t="shared" ca="1" si="155"/>
        <v>-120279.61506741692</v>
      </c>
      <c r="AC218" s="185">
        <f t="shared" ca="1" si="155"/>
        <v>-122534.64480525575</v>
      </c>
      <c r="AD218" s="185">
        <f t="shared" ca="1" si="155"/>
        <v>-125625.02865801047</v>
      </c>
      <c r="AE218" s="185">
        <f t="shared" ca="1" si="155"/>
        <v>-128726.93887266738</v>
      </c>
      <c r="AF218" s="185">
        <f t="shared" ca="1" si="155"/>
        <v>-132117.01456772845</v>
      </c>
      <c r="AG218" s="185">
        <f t="shared" ca="1" si="155"/>
        <v>-136089.54465424037</v>
      </c>
      <c r="AH218" s="185">
        <f t="shared" ca="1" si="155"/>
        <v>-139833.76554327243</v>
      </c>
      <c r="AI218" s="185">
        <f t="shared" ca="1" si="155"/>
        <v>-144011.20342014392</v>
      </c>
      <c r="AJ218" s="185">
        <f t="shared" ca="1" si="155"/>
        <v>-148505.16474673129</v>
      </c>
      <c r="AK218" s="185">
        <f t="shared" ca="1" si="155"/>
        <v>-153238.6303219269</v>
      </c>
      <c r="AL218" s="185">
        <f t="shared" si="155"/>
        <v>0</v>
      </c>
      <c r="AM218" s="185">
        <f t="shared" si="155"/>
        <v>0</v>
      </c>
      <c r="AN218" s="185">
        <f t="shared" si="155"/>
        <v>0</v>
      </c>
      <c r="AO218" s="185">
        <f t="shared" si="155"/>
        <v>0</v>
      </c>
      <c r="AP218" s="185">
        <f t="shared" si="155"/>
        <v>0</v>
      </c>
      <c r="AQ218" s="185">
        <f t="shared" si="155"/>
        <v>0</v>
      </c>
      <c r="AR218" s="185">
        <f t="shared" si="155"/>
        <v>0</v>
      </c>
      <c r="AS218" s="185">
        <f t="shared" si="155"/>
        <v>0</v>
      </c>
      <c r="AT218" s="185">
        <f t="shared" si="155"/>
        <v>0</v>
      </c>
      <c r="AU218" s="185">
        <f t="shared" si="155"/>
        <v>0</v>
      </c>
    </row>
    <row r="219" spans="1:47">
      <c r="E219" s="36"/>
      <c r="G219" s="39"/>
      <c r="H219" s="39"/>
      <c r="I219" s="39"/>
      <c r="J219" s="39"/>
      <c r="K219" s="39"/>
    </row>
    <row r="220" spans="1:47">
      <c r="E220" s="327"/>
      <c r="F220" s="28"/>
      <c r="G220" s="324" t="str">
        <f>C222&amp;" Capital Costs"</f>
        <v>Dewatering Capital Costs</v>
      </c>
      <c r="H220" s="324"/>
      <c r="I220" s="324"/>
      <c r="J220" s="324"/>
      <c r="K220" s="324"/>
      <c r="L220" s="405" t="s">
        <v>79</v>
      </c>
      <c r="M220" s="256"/>
      <c r="N220" s="325" t="s">
        <v>490</v>
      </c>
      <c r="O220" s="311"/>
      <c r="P220" s="325" t="s">
        <v>491</v>
      </c>
      <c r="Q220" s="310"/>
      <c r="R220" s="325">
        <f>R$8</f>
        <v>2014</v>
      </c>
      <c r="S220" s="325">
        <f t="shared" ref="S220:AU220" si="156">S$8</f>
        <v>2015</v>
      </c>
      <c r="T220" s="325">
        <f t="shared" si="156"/>
        <v>2016</v>
      </c>
      <c r="U220" s="325">
        <f t="shared" si="156"/>
        <v>2017</v>
      </c>
      <c r="V220" s="325">
        <f t="shared" si="156"/>
        <v>2018</v>
      </c>
      <c r="W220" s="325">
        <f t="shared" si="156"/>
        <v>2019</v>
      </c>
      <c r="X220" s="325">
        <f t="shared" si="156"/>
        <v>2020</v>
      </c>
      <c r="Y220" s="325">
        <f t="shared" si="156"/>
        <v>2021</v>
      </c>
      <c r="Z220" s="325">
        <f t="shared" si="156"/>
        <v>2022</v>
      </c>
      <c r="AA220" s="325">
        <f t="shared" si="156"/>
        <v>2023</v>
      </c>
      <c r="AB220" s="325">
        <f t="shared" si="156"/>
        <v>2024</v>
      </c>
      <c r="AC220" s="325">
        <f t="shared" si="156"/>
        <v>2025</v>
      </c>
      <c r="AD220" s="325">
        <f t="shared" si="156"/>
        <v>2026</v>
      </c>
      <c r="AE220" s="325">
        <f t="shared" si="156"/>
        <v>2027</v>
      </c>
      <c r="AF220" s="325">
        <f t="shared" si="156"/>
        <v>2028</v>
      </c>
      <c r="AG220" s="325">
        <f t="shared" si="156"/>
        <v>2029</v>
      </c>
      <c r="AH220" s="325">
        <f t="shared" si="156"/>
        <v>2030</v>
      </c>
      <c r="AI220" s="325">
        <f t="shared" si="156"/>
        <v>2031</v>
      </c>
      <c r="AJ220" s="325">
        <f t="shared" si="156"/>
        <v>2032</v>
      </c>
      <c r="AK220" s="325">
        <f t="shared" si="156"/>
        <v>2033</v>
      </c>
      <c r="AL220" s="325">
        <f t="shared" si="156"/>
        <v>2034</v>
      </c>
      <c r="AM220" s="325">
        <f t="shared" si="156"/>
        <v>2035</v>
      </c>
      <c r="AN220" s="325">
        <f t="shared" si="156"/>
        <v>2036</v>
      </c>
      <c r="AO220" s="325">
        <f t="shared" si="156"/>
        <v>2037</v>
      </c>
      <c r="AP220" s="325">
        <f t="shared" si="156"/>
        <v>2038</v>
      </c>
      <c r="AQ220" s="325">
        <f t="shared" si="156"/>
        <v>2039</v>
      </c>
      <c r="AR220" s="325">
        <f t="shared" si="156"/>
        <v>2040</v>
      </c>
      <c r="AS220" s="325">
        <f t="shared" si="156"/>
        <v>2041</v>
      </c>
      <c r="AT220" s="325">
        <f t="shared" si="156"/>
        <v>2042</v>
      </c>
      <c r="AU220" s="325">
        <f t="shared" si="156"/>
        <v>2043</v>
      </c>
    </row>
    <row r="221" spans="1:47">
      <c r="E221" s="325"/>
      <c r="G221" s="39"/>
      <c r="H221" s="39"/>
      <c r="I221" s="39"/>
      <c r="J221" s="39"/>
      <c r="K221" s="39"/>
    </row>
    <row r="222" spans="1:47">
      <c r="A222" s="38" t="str">
        <f>$J$4&amp;"-"</f>
        <v>2X-</v>
      </c>
      <c r="B222" s="38" t="s">
        <v>306</v>
      </c>
      <c r="C222" s="38" t="s">
        <v>319</v>
      </c>
      <c r="D222" s="186">
        <f>CapExEsc</f>
        <v>0.03</v>
      </c>
      <c r="E222" s="325"/>
      <c r="G222" s="36" t="s">
        <v>8</v>
      </c>
      <c r="H222" s="39"/>
      <c r="I222" s="39"/>
      <c r="J222" s="70"/>
      <c r="K222" s="39"/>
      <c r="L222" s="43" t="str">
        <f>"["&amp;CostBaseYr&amp;" $]"</f>
        <v>[2013 $]</v>
      </c>
      <c r="N222" s="52">
        <f ca="1">SUMIFS(OFFSET(Assumptions!$I$65,0,MATCH($A222,Configurations,0)-1,COUNT(Assumptions!$A$65:$A$84),1),Assumptions!$E$65:$E$84,$C222)</f>
        <v>0</v>
      </c>
      <c r="O222" s="52"/>
      <c r="P222" s="322"/>
      <c r="Q222" s="52"/>
      <c r="R222" s="52">
        <f t="shared" ref="R222:AU222" ca="1" si="157">R223*IF($P222=0,$N222,$P222)*(1+$D222)^(R$8-CostBaseYr)</f>
        <v>0</v>
      </c>
      <c r="S222" s="52">
        <f t="shared" ca="1" si="157"/>
        <v>0</v>
      </c>
      <c r="T222" s="52">
        <f t="shared" ca="1" si="157"/>
        <v>0</v>
      </c>
      <c r="U222" s="52">
        <f t="shared" ca="1" si="157"/>
        <v>0</v>
      </c>
      <c r="V222" s="52">
        <f t="shared" ca="1" si="157"/>
        <v>0</v>
      </c>
      <c r="W222" s="52">
        <f t="shared" ca="1" si="157"/>
        <v>0</v>
      </c>
      <c r="X222" s="52">
        <f t="shared" ca="1" si="157"/>
        <v>0</v>
      </c>
      <c r="Y222" s="52">
        <f t="shared" ca="1" si="157"/>
        <v>0</v>
      </c>
      <c r="Z222" s="52">
        <f t="shared" ca="1" si="157"/>
        <v>0</v>
      </c>
      <c r="AA222" s="52">
        <f t="shared" ca="1" si="157"/>
        <v>0</v>
      </c>
      <c r="AB222" s="52">
        <f t="shared" ca="1" si="157"/>
        <v>0</v>
      </c>
      <c r="AC222" s="52">
        <f t="shared" ca="1" si="157"/>
        <v>0</v>
      </c>
      <c r="AD222" s="52">
        <f t="shared" ca="1" si="157"/>
        <v>0</v>
      </c>
      <c r="AE222" s="52">
        <f t="shared" ca="1" si="157"/>
        <v>0</v>
      </c>
      <c r="AF222" s="52">
        <f t="shared" ca="1" si="157"/>
        <v>0</v>
      </c>
      <c r="AG222" s="52">
        <f t="shared" ca="1" si="157"/>
        <v>0</v>
      </c>
      <c r="AH222" s="52">
        <f t="shared" ca="1" si="157"/>
        <v>0</v>
      </c>
      <c r="AI222" s="52">
        <f t="shared" ca="1" si="157"/>
        <v>0</v>
      </c>
      <c r="AJ222" s="52">
        <f t="shared" ca="1" si="157"/>
        <v>0</v>
      </c>
      <c r="AK222" s="52">
        <f t="shared" ca="1" si="157"/>
        <v>0</v>
      </c>
      <c r="AL222" s="52">
        <f t="shared" ca="1" si="157"/>
        <v>0</v>
      </c>
      <c r="AM222" s="52">
        <f t="shared" ca="1" si="157"/>
        <v>0</v>
      </c>
      <c r="AN222" s="52">
        <f t="shared" ca="1" si="157"/>
        <v>0</v>
      </c>
      <c r="AO222" s="52">
        <f t="shared" ca="1" si="157"/>
        <v>0</v>
      </c>
      <c r="AP222" s="52">
        <f t="shared" ca="1" si="157"/>
        <v>0</v>
      </c>
      <c r="AQ222" s="52">
        <f t="shared" ca="1" si="157"/>
        <v>0</v>
      </c>
      <c r="AR222" s="52">
        <f t="shared" ca="1" si="157"/>
        <v>0</v>
      </c>
      <c r="AS222" s="52">
        <f t="shared" ca="1" si="157"/>
        <v>0</v>
      </c>
      <c r="AT222" s="52">
        <f t="shared" ca="1" si="157"/>
        <v>0</v>
      </c>
      <c r="AU222" s="52">
        <f t="shared" ca="1" si="157"/>
        <v>0</v>
      </c>
    </row>
    <row r="223" spans="1:47">
      <c r="E223" s="325"/>
      <c r="G223" s="36" t="s">
        <v>10</v>
      </c>
      <c r="H223" s="39"/>
      <c r="I223" s="39"/>
      <c r="J223" s="39"/>
      <c r="K223" s="39"/>
      <c r="L223" s="43"/>
      <c r="R223" s="54">
        <f>Assumptions!M$60</f>
        <v>1</v>
      </c>
      <c r="S223" s="54">
        <f>Assumptions!N$60</f>
        <v>0</v>
      </c>
      <c r="T223" s="54">
        <f>Assumptions!O$60</f>
        <v>0</v>
      </c>
      <c r="U223" s="54">
        <f>Assumptions!P$60</f>
        <v>0</v>
      </c>
      <c r="V223" s="54">
        <f>Assumptions!Q$60</f>
        <v>0</v>
      </c>
      <c r="W223" s="54">
        <f>Assumptions!R$60</f>
        <v>0</v>
      </c>
      <c r="X223" s="54">
        <f>Assumptions!S$60</f>
        <v>0</v>
      </c>
      <c r="Y223" s="54">
        <f>Assumptions!T$60</f>
        <v>0</v>
      </c>
      <c r="Z223" s="54">
        <f>Assumptions!U$60</f>
        <v>0</v>
      </c>
      <c r="AA223" s="54">
        <f>Assumptions!V$60</f>
        <v>0</v>
      </c>
      <c r="AB223" s="54">
        <f>Assumptions!W$60</f>
        <v>0</v>
      </c>
      <c r="AC223" s="54">
        <f>Assumptions!X$60</f>
        <v>0</v>
      </c>
      <c r="AD223" s="54">
        <f>Assumptions!Y$60</f>
        <v>0</v>
      </c>
      <c r="AE223" s="54">
        <f>Assumptions!Z$60</f>
        <v>0</v>
      </c>
      <c r="AF223" s="54">
        <f>Assumptions!AA$60</f>
        <v>0</v>
      </c>
      <c r="AG223" s="54">
        <f>Assumptions!AB$60</f>
        <v>0</v>
      </c>
      <c r="AH223" s="54">
        <f>Assumptions!AC$60</f>
        <v>0</v>
      </c>
      <c r="AI223" s="54">
        <f>Assumptions!AD$60</f>
        <v>0</v>
      </c>
      <c r="AJ223" s="54">
        <f>Assumptions!AE$60</f>
        <v>0</v>
      </c>
      <c r="AK223" s="54">
        <f>Assumptions!AF$60</f>
        <v>0</v>
      </c>
      <c r="AL223" s="54">
        <f>Assumptions!AG$60</f>
        <v>0</v>
      </c>
      <c r="AM223" s="54">
        <f>Assumptions!AH$60</f>
        <v>0</v>
      </c>
      <c r="AN223" s="54">
        <f>Assumptions!AI$60</f>
        <v>0</v>
      </c>
      <c r="AO223" s="54">
        <f>Assumptions!AJ$60</f>
        <v>0</v>
      </c>
      <c r="AP223" s="54">
        <f>Assumptions!AK$60</f>
        <v>0</v>
      </c>
      <c r="AQ223" s="54">
        <f>Assumptions!AL$60</f>
        <v>0</v>
      </c>
      <c r="AR223" s="54">
        <f>Assumptions!AM$60</f>
        <v>0</v>
      </c>
      <c r="AS223" s="54">
        <f>Assumptions!AN$60</f>
        <v>0</v>
      </c>
      <c r="AT223" s="54">
        <f>Assumptions!AO$60</f>
        <v>0</v>
      </c>
      <c r="AU223" s="54">
        <f>Assumptions!AP$60</f>
        <v>0</v>
      </c>
    </row>
    <row r="224" spans="1:47">
      <c r="E224" s="326"/>
      <c r="G224" s="39"/>
      <c r="H224" s="39"/>
      <c r="I224" s="39"/>
      <c r="J224" s="39"/>
      <c r="K224" s="39"/>
    </row>
    <row r="225" spans="1:47">
      <c r="E225" s="327"/>
      <c r="F225" s="28"/>
      <c r="G225" s="324" t="str">
        <f>C222&amp;" O&amp;M"</f>
        <v>Dewatering O&amp;M</v>
      </c>
      <c r="H225" s="324"/>
      <c r="I225" s="324"/>
      <c r="J225" s="324"/>
      <c r="K225" s="324"/>
      <c r="L225" s="405" t="s">
        <v>79</v>
      </c>
      <c r="M225" s="256"/>
      <c r="N225" s="325" t="s">
        <v>490</v>
      </c>
      <c r="O225" s="311"/>
      <c r="P225" s="325" t="s">
        <v>491</v>
      </c>
      <c r="Q225" s="310"/>
      <c r="R225" s="325">
        <f>R$8</f>
        <v>2014</v>
      </c>
      <c r="S225" s="325">
        <f t="shared" ref="S225:AU225" si="158">S$8</f>
        <v>2015</v>
      </c>
      <c r="T225" s="325">
        <f t="shared" si="158"/>
        <v>2016</v>
      </c>
      <c r="U225" s="325">
        <f t="shared" si="158"/>
        <v>2017</v>
      </c>
      <c r="V225" s="325">
        <f t="shared" si="158"/>
        <v>2018</v>
      </c>
      <c r="W225" s="325">
        <f t="shared" si="158"/>
        <v>2019</v>
      </c>
      <c r="X225" s="325">
        <f t="shared" si="158"/>
        <v>2020</v>
      </c>
      <c r="Y225" s="325">
        <f t="shared" si="158"/>
        <v>2021</v>
      </c>
      <c r="Z225" s="325">
        <f t="shared" si="158"/>
        <v>2022</v>
      </c>
      <c r="AA225" s="325">
        <f t="shared" si="158"/>
        <v>2023</v>
      </c>
      <c r="AB225" s="325">
        <f t="shared" si="158"/>
        <v>2024</v>
      </c>
      <c r="AC225" s="325">
        <f t="shared" si="158"/>
        <v>2025</v>
      </c>
      <c r="AD225" s="325">
        <f t="shared" si="158"/>
        <v>2026</v>
      </c>
      <c r="AE225" s="325">
        <f t="shared" si="158"/>
        <v>2027</v>
      </c>
      <c r="AF225" s="325">
        <f t="shared" si="158"/>
        <v>2028</v>
      </c>
      <c r="AG225" s="325">
        <f t="shared" si="158"/>
        <v>2029</v>
      </c>
      <c r="AH225" s="325">
        <f t="shared" si="158"/>
        <v>2030</v>
      </c>
      <c r="AI225" s="325">
        <f t="shared" si="158"/>
        <v>2031</v>
      </c>
      <c r="AJ225" s="325">
        <f t="shared" si="158"/>
        <v>2032</v>
      </c>
      <c r="AK225" s="325">
        <f t="shared" si="158"/>
        <v>2033</v>
      </c>
      <c r="AL225" s="325">
        <f t="shared" si="158"/>
        <v>2034</v>
      </c>
      <c r="AM225" s="325">
        <f t="shared" si="158"/>
        <v>2035</v>
      </c>
      <c r="AN225" s="325">
        <f t="shared" si="158"/>
        <v>2036</v>
      </c>
      <c r="AO225" s="325">
        <f t="shared" si="158"/>
        <v>2037</v>
      </c>
      <c r="AP225" s="325">
        <f t="shared" si="158"/>
        <v>2038</v>
      </c>
      <c r="AQ225" s="325">
        <f t="shared" si="158"/>
        <v>2039</v>
      </c>
      <c r="AR225" s="325">
        <f t="shared" si="158"/>
        <v>2040</v>
      </c>
      <c r="AS225" s="325">
        <f t="shared" si="158"/>
        <v>2041</v>
      </c>
      <c r="AT225" s="325">
        <f t="shared" si="158"/>
        <v>2042</v>
      </c>
      <c r="AU225" s="325">
        <f t="shared" si="158"/>
        <v>2043</v>
      </c>
    </row>
    <row r="226" spans="1:47">
      <c r="E226" s="325"/>
      <c r="G226" s="39"/>
      <c r="H226" s="39"/>
      <c r="I226" s="39"/>
      <c r="J226" s="39"/>
      <c r="K226" s="39"/>
    </row>
    <row r="227" spans="1:47">
      <c r="E227" s="325"/>
      <c r="G227" s="39" t="s">
        <v>23</v>
      </c>
      <c r="H227" s="39"/>
      <c r="I227" s="39"/>
      <c r="J227" s="39"/>
      <c r="K227" s="39"/>
    </row>
    <row r="228" spans="1:47">
      <c r="A228" s="38" t="str">
        <f t="shared" ref="A228:A235" si="159">$J$4&amp;"-"</f>
        <v>2X-</v>
      </c>
      <c r="B228" s="38" t="s">
        <v>262</v>
      </c>
      <c r="C228" s="38" t="str">
        <f>C222</f>
        <v>Dewatering</v>
      </c>
      <c r="D228" s="186">
        <f>LaborEsc</f>
        <v>0.02</v>
      </c>
      <c r="E228" s="325"/>
      <c r="G228" s="36" t="s">
        <v>125</v>
      </c>
      <c r="I228" s="39"/>
      <c r="K228" s="39"/>
      <c r="L228" s="43" t="s">
        <v>266</v>
      </c>
      <c r="N228" s="70">
        <f ca="1">SUMIFS(OFFSET(Assumptions!$I$90,0,MATCH($A228,Configurations,0)-1,COUNT(Assumptions!$A$90:$A$183),1),Assumptions!$D$90:$D$183,$B228&amp;$C228)</f>
        <v>0</v>
      </c>
      <c r="O228" s="313"/>
      <c r="P228" s="323"/>
      <c r="Q228" s="313"/>
      <c r="R228" s="50">
        <f t="shared" ref="R228:AU228" ca="1" si="160">IF(OR(R$99&lt;InServiceYr,R$99&gt;(InServiceYr+analysis_period-1)),0,IF($P228=0,$N228,$P228)*LaborCost*(1+$D228)^(R$99-CostBaseYr))</f>
        <v>0</v>
      </c>
      <c r="S228" s="50">
        <f t="shared" ca="1" si="160"/>
        <v>0</v>
      </c>
      <c r="T228" s="50">
        <f t="shared" ca="1" si="160"/>
        <v>0</v>
      </c>
      <c r="U228" s="50">
        <f t="shared" ca="1" si="160"/>
        <v>0</v>
      </c>
      <c r="V228" s="50">
        <f t="shared" ca="1" si="160"/>
        <v>0</v>
      </c>
      <c r="W228" s="50">
        <f t="shared" ca="1" si="160"/>
        <v>0</v>
      </c>
      <c r="X228" s="50">
        <f t="shared" ca="1" si="160"/>
        <v>0</v>
      </c>
      <c r="Y228" s="50">
        <f t="shared" ca="1" si="160"/>
        <v>0</v>
      </c>
      <c r="Z228" s="50">
        <f t="shared" ca="1" si="160"/>
        <v>0</v>
      </c>
      <c r="AA228" s="50">
        <f t="shared" ca="1" si="160"/>
        <v>0</v>
      </c>
      <c r="AB228" s="50">
        <f t="shared" ca="1" si="160"/>
        <v>0</v>
      </c>
      <c r="AC228" s="50">
        <f t="shared" ca="1" si="160"/>
        <v>0</v>
      </c>
      <c r="AD228" s="50">
        <f t="shared" ca="1" si="160"/>
        <v>0</v>
      </c>
      <c r="AE228" s="50">
        <f t="shared" ca="1" si="160"/>
        <v>0</v>
      </c>
      <c r="AF228" s="50">
        <f t="shared" ca="1" si="160"/>
        <v>0</v>
      </c>
      <c r="AG228" s="50">
        <f t="shared" ca="1" si="160"/>
        <v>0</v>
      </c>
      <c r="AH228" s="50">
        <f t="shared" ca="1" si="160"/>
        <v>0</v>
      </c>
      <c r="AI228" s="50">
        <f t="shared" ca="1" si="160"/>
        <v>0</v>
      </c>
      <c r="AJ228" s="50">
        <f t="shared" ca="1" si="160"/>
        <v>0</v>
      </c>
      <c r="AK228" s="50">
        <f t="shared" ca="1" si="160"/>
        <v>0</v>
      </c>
      <c r="AL228" s="50">
        <f t="shared" si="160"/>
        <v>0</v>
      </c>
      <c r="AM228" s="50">
        <f t="shared" si="160"/>
        <v>0</v>
      </c>
      <c r="AN228" s="50">
        <f t="shared" si="160"/>
        <v>0</v>
      </c>
      <c r="AO228" s="50">
        <f t="shared" si="160"/>
        <v>0</v>
      </c>
      <c r="AP228" s="50">
        <f t="shared" si="160"/>
        <v>0</v>
      </c>
      <c r="AQ228" s="50">
        <f t="shared" si="160"/>
        <v>0</v>
      </c>
      <c r="AR228" s="50">
        <f t="shared" si="160"/>
        <v>0</v>
      </c>
      <c r="AS228" s="50">
        <f t="shared" si="160"/>
        <v>0</v>
      </c>
      <c r="AT228" s="50">
        <f t="shared" si="160"/>
        <v>0</v>
      </c>
      <c r="AU228" s="50">
        <f t="shared" si="160"/>
        <v>0</v>
      </c>
    </row>
    <row r="229" spans="1:47">
      <c r="A229" s="38" t="str">
        <f t="shared" si="159"/>
        <v>2X-</v>
      </c>
      <c r="B229" s="38" t="s">
        <v>270</v>
      </c>
      <c r="C229" s="38" t="str">
        <f>C228</f>
        <v>Dewatering</v>
      </c>
      <c r="D229" s="186">
        <f>OMEsc</f>
        <v>0.02</v>
      </c>
      <c r="E229" s="325"/>
      <c r="G229" s="36" t="s">
        <v>126</v>
      </c>
      <c r="I229" s="39"/>
      <c r="K229" s="39"/>
      <c r="L229" s="43" t="str">
        <f>"["&amp;CostBaseYr&amp;" $]"</f>
        <v>[2013 $]</v>
      </c>
      <c r="N229" s="70">
        <f ca="1">SUMIFS(OFFSET(Assumptions!$I$90,0,MATCH($A229,Configurations,0)-1,COUNT(Assumptions!$A$90:$A$183),1),Assumptions!$D$90:$D$183,$B229&amp;$C229)</f>
        <v>0</v>
      </c>
      <c r="O229" s="313"/>
      <c r="P229" s="323"/>
      <c r="Q229" s="313"/>
      <c r="R229" s="50">
        <f t="shared" ref="R229:AG231" ca="1" si="161">IF(OR(R$99&lt;InServiceYr,R$99&gt;(InServiceYr+analysis_period-1)),0,IF($P229=0,$N229,$P229)*(1+$D229)^(R$99-CostBaseYr))</f>
        <v>0</v>
      </c>
      <c r="S229" s="50">
        <f t="shared" ca="1" si="161"/>
        <v>0</v>
      </c>
      <c r="T229" s="50">
        <f t="shared" ca="1" si="161"/>
        <v>0</v>
      </c>
      <c r="U229" s="50">
        <f t="shared" ca="1" si="161"/>
        <v>0</v>
      </c>
      <c r="V229" s="50">
        <f t="shared" ca="1" si="161"/>
        <v>0</v>
      </c>
      <c r="W229" s="50">
        <f t="shared" ca="1" si="161"/>
        <v>0</v>
      </c>
      <c r="X229" s="50">
        <f t="shared" ca="1" si="161"/>
        <v>0</v>
      </c>
      <c r="Y229" s="50">
        <f t="shared" ca="1" si="161"/>
        <v>0</v>
      </c>
      <c r="Z229" s="50">
        <f t="shared" ca="1" si="161"/>
        <v>0</v>
      </c>
      <c r="AA229" s="50">
        <f t="shared" ca="1" si="161"/>
        <v>0</v>
      </c>
      <c r="AB229" s="50">
        <f t="shared" ca="1" si="161"/>
        <v>0</v>
      </c>
      <c r="AC229" s="50">
        <f t="shared" ca="1" si="161"/>
        <v>0</v>
      </c>
      <c r="AD229" s="50">
        <f t="shared" ca="1" si="161"/>
        <v>0</v>
      </c>
      <c r="AE229" s="50">
        <f t="shared" ca="1" si="161"/>
        <v>0</v>
      </c>
      <c r="AF229" s="50">
        <f t="shared" ca="1" si="161"/>
        <v>0</v>
      </c>
      <c r="AG229" s="50">
        <f t="shared" ca="1" si="161"/>
        <v>0</v>
      </c>
      <c r="AH229" s="50">
        <f t="shared" ref="S229:AU231" ca="1" si="162">IF(OR(AH$99&lt;InServiceYr,AH$99&gt;(InServiceYr+analysis_period-1)),0,IF($P229=0,$N229,$P229)*(1+$D229)^(AH$99-CostBaseYr))</f>
        <v>0</v>
      </c>
      <c r="AI229" s="50">
        <f t="shared" ca="1" si="162"/>
        <v>0</v>
      </c>
      <c r="AJ229" s="50">
        <f t="shared" ca="1" si="162"/>
        <v>0</v>
      </c>
      <c r="AK229" s="50">
        <f t="shared" ca="1" si="162"/>
        <v>0</v>
      </c>
      <c r="AL229" s="50">
        <f t="shared" si="162"/>
        <v>0</v>
      </c>
      <c r="AM229" s="50">
        <f t="shared" si="162"/>
        <v>0</v>
      </c>
      <c r="AN229" s="50">
        <f t="shared" si="162"/>
        <v>0</v>
      </c>
      <c r="AO229" s="50">
        <f t="shared" si="162"/>
        <v>0</v>
      </c>
      <c r="AP229" s="50">
        <f t="shared" si="162"/>
        <v>0</v>
      </c>
      <c r="AQ229" s="50">
        <f t="shared" si="162"/>
        <v>0</v>
      </c>
      <c r="AR229" s="50">
        <f t="shared" si="162"/>
        <v>0</v>
      </c>
      <c r="AS229" s="50">
        <f t="shared" si="162"/>
        <v>0</v>
      </c>
      <c r="AT229" s="50">
        <f t="shared" si="162"/>
        <v>0</v>
      </c>
      <c r="AU229" s="50">
        <f t="shared" si="162"/>
        <v>0</v>
      </c>
    </row>
    <row r="230" spans="1:47">
      <c r="A230" s="38" t="str">
        <f t="shared" si="159"/>
        <v>2X-</v>
      </c>
      <c r="B230" s="38" t="s">
        <v>263</v>
      </c>
      <c r="C230" s="38" t="str">
        <f t="shared" ref="C230:C234" si="163">C229</f>
        <v>Dewatering</v>
      </c>
      <c r="D230" s="186">
        <f>OMEsc</f>
        <v>0.02</v>
      </c>
      <c r="E230" s="325"/>
      <c r="G230" s="36" t="s">
        <v>127</v>
      </c>
      <c r="I230" s="39"/>
      <c r="K230" s="39"/>
      <c r="L230" s="43" t="str">
        <f>"["&amp;CostBaseYr&amp;" $]"</f>
        <v>[2013 $]</v>
      </c>
      <c r="N230" s="70">
        <f ca="1">SUMIFS(OFFSET(Assumptions!$I$90,0,MATCH($A230,Configurations,0)-1,COUNT(Assumptions!$A$90:$A$183),1),Assumptions!$D$90:$D$183,$B230&amp;$C230)</f>
        <v>0</v>
      </c>
      <c r="O230" s="313"/>
      <c r="P230" s="323"/>
      <c r="Q230" s="313"/>
      <c r="R230" s="50">
        <f t="shared" ca="1" si="161"/>
        <v>0</v>
      </c>
      <c r="S230" s="50">
        <f t="shared" ca="1" si="162"/>
        <v>0</v>
      </c>
      <c r="T230" s="50">
        <f t="shared" ca="1" si="162"/>
        <v>0</v>
      </c>
      <c r="U230" s="50">
        <f t="shared" ca="1" si="162"/>
        <v>0</v>
      </c>
      <c r="V230" s="50">
        <f t="shared" ca="1" si="162"/>
        <v>0</v>
      </c>
      <c r="W230" s="50">
        <f t="shared" ca="1" si="162"/>
        <v>0</v>
      </c>
      <c r="X230" s="50">
        <f t="shared" ca="1" si="162"/>
        <v>0</v>
      </c>
      <c r="Y230" s="50">
        <f t="shared" ca="1" si="162"/>
        <v>0</v>
      </c>
      <c r="Z230" s="50">
        <f t="shared" ca="1" si="162"/>
        <v>0</v>
      </c>
      <c r="AA230" s="50">
        <f t="shared" ca="1" si="162"/>
        <v>0</v>
      </c>
      <c r="AB230" s="50">
        <f t="shared" ca="1" si="162"/>
        <v>0</v>
      </c>
      <c r="AC230" s="50">
        <f t="shared" ca="1" si="162"/>
        <v>0</v>
      </c>
      <c r="AD230" s="50">
        <f t="shared" ca="1" si="162"/>
        <v>0</v>
      </c>
      <c r="AE230" s="50">
        <f t="shared" ca="1" si="162"/>
        <v>0</v>
      </c>
      <c r="AF230" s="50">
        <f t="shared" ca="1" si="162"/>
        <v>0</v>
      </c>
      <c r="AG230" s="50">
        <f t="shared" ca="1" si="162"/>
        <v>0</v>
      </c>
      <c r="AH230" s="50">
        <f t="shared" ca="1" si="162"/>
        <v>0</v>
      </c>
      <c r="AI230" s="50">
        <f t="shared" ca="1" si="162"/>
        <v>0</v>
      </c>
      <c r="AJ230" s="50">
        <f t="shared" ca="1" si="162"/>
        <v>0</v>
      </c>
      <c r="AK230" s="50">
        <f t="shared" ca="1" si="162"/>
        <v>0</v>
      </c>
      <c r="AL230" s="50">
        <f t="shared" si="162"/>
        <v>0</v>
      </c>
      <c r="AM230" s="50">
        <f t="shared" si="162"/>
        <v>0</v>
      </c>
      <c r="AN230" s="50">
        <f t="shared" si="162"/>
        <v>0</v>
      </c>
      <c r="AO230" s="50">
        <f t="shared" si="162"/>
        <v>0</v>
      </c>
      <c r="AP230" s="50">
        <f t="shared" si="162"/>
        <v>0</v>
      </c>
      <c r="AQ230" s="50">
        <f t="shared" si="162"/>
        <v>0</v>
      </c>
      <c r="AR230" s="50">
        <f t="shared" si="162"/>
        <v>0</v>
      </c>
      <c r="AS230" s="50">
        <f t="shared" si="162"/>
        <v>0</v>
      </c>
      <c r="AT230" s="50">
        <f t="shared" si="162"/>
        <v>0</v>
      </c>
      <c r="AU230" s="50">
        <f t="shared" si="162"/>
        <v>0</v>
      </c>
    </row>
    <row r="231" spans="1:47">
      <c r="A231" s="38" t="str">
        <f t="shared" si="159"/>
        <v>2X-</v>
      </c>
      <c r="B231" s="38" t="s">
        <v>277</v>
      </c>
      <c r="C231" s="38" t="str">
        <f t="shared" si="163"/>
        <v>Dewatering</v>
      </c>
      <c r="D231" s="186">
        <f>OMEsc</f>
        <v>0.02</v>
      </c>
      <c r="E231" s="325"/>
      <c r="G231" s="36" t="s">
        <v>276</v>
      </c>
      <c r="I231" s="39"/>
      <c r="K231" s="39"/>
      <c r="L231" s="43" t="str">
        <f>"["&amp;CostBaseYr&amp;" $]"</f>
        <v>[2013 $]</v>
      </c>
      <c r="N231" s="70">
        <f ca="1">SUMIFS(OFFSET(Assumptions!$I$90,0,MATCH($A231,Configurations,0)-1,COUNT(Assumptions!$A$90:$A$183),1),Assumptions!$D$90:$D$183,$B231&amp;$C231)</f>
        <v>0</v>
      </c>
      <c r="O231" s="313"/>
      <c r="P231" s="323"/>
      <c r="Q231" s="313"/>
      <c r="R231" s="50">
        <f t="shared" ca="1" si="161"/>
        <v>0</v>
      </c>
      <c r="S231" s="50">
        <f t="shared" ca="1" si="162"/>
        <v>0</v>
      </c>
      <c r="T231" s="50">
        <f t="shared" ca="1" si="162"/>
        <v>0</v>
      </c>
      <c r="U231" s="50">
        <f t="shared" ca="1" si="162"/>
        <v>0</v>
      </c>
      <c r="V231" s="50">
        <f t="shared" ca="1" si="162"/>
        <v>0</v>
      </c>
      <c r="W231" s="50">
        <f t="shared" ca="1" si="162"/>
        <v>0</v>
      </c>
      <c r="X231" s="50">
        <f t="shared" ca="1" si="162"/>
        <v>0</v>
      </c>
      <c r="Y231" s="50">
        <f t="shared" ca="1" si="162"/>
        <v>0</v>
      </c>
      <c r="Z231" s="50">
        <f t="shared" ca="1" si="162"/>
        <v>0</v>
      </c>
      <c r="AA231" s="50">
        <f t="shared" ca="1" si="162"/>
        <v>0</v>
      </c>
      <c r="AB231" s="50">
        <f t="shared" ca="1" si="162"/>
        <v>0</v>
      </c>
      <c r="AC231" s="50">
        <f t="shared" ca="1" si="162"/>
        <v>0</v>
      </c>
      <c r="AD231" s="50">
        <f t="shared" ca="1" si="162"/>
        <v>0</v>
      </c>
      <c r="AE231" s="50">
        <f t="shared" ca="1" si="162"/>
        <v>0</v>
      </c>
      <c r="AF231" s="50">
        <f t="shared" ca="1" si="162"/>
        <v>0</v>
      </c>
      <c r="AG231" s="50">
        <f t="shared" ca="1" si="162"/>
        <v>0</v>
      </c>
      <c r="AH231" s="50">
        <f t="shared" ca="1" si="162"/>
        <v>0</v>
      </c>
      <c r="AI231" s="50">
        <f t="shared" ca="1" si="162"/>
        <v>0</v>
      </c>
      <c r="AJ231" s="50">
        <f t="shared" ca="1" si="162"/>
        <v>0</v>
      </c>
      <c r="AK231" s="50">
        <f t="shared" ca="1" si="162"/>
        <v>0</v>
      </c>
      <c r="AL231" s="50">
        <f t="shared" si="162"/>
        <v>0</v>
      </c>
      <c r="AM231" s="50">
        <f t="shared" si="162"/>
        <v>0</v>
      </c>
      <c r="AN231" s="50">
        <f t="shared" si="162"/>
        <v>0</v>
      </c>
      <c r="AO231" s="50">
        <f t="shared" si="162"/>
        <v>0</v>
      </c>
      <c r="AP231" s="50">
        <f t="shared" si="162"/>
        <v>0</v>
      </c>
      <c r="AQ231" s="50">
        <f t="shared" si="162"/>
        <v>0</v>
      </c>
      <c r="AR231" s="50">
        <f t="shared" si="162"/>
        <v>0</v>
      </c>
      <c r="AS231" s="50">
        <f t="shared" si="162"/>
        <v>0</v>
      </c>
      <c r="AT231" s="50">
        <f t="shared" si="162"/>
        <v>0</v>
      </c>
      <c r="AU231" s="50">
        <f t="shared" si="162"/>
        <v>0</v>
      </c>
    </row>
    <row r="232" spans="1:47">
      <c r="A232" s="38" t="str">
        <f t="shared" si="159"/>
        <v>2X-</v>
      </c>
      <c r="B232" s="38" t="s">
        <v>274</v>
      </c>
      <c r="C232" s="38" t="str">
        <f t="shared" si="163"/>
        <v>Dewatering</v>
      </c>
      <c r="D232" s="186"/>
      <c r="E232" s="325"/>
      <c r="G232" s="36" t="s">
        <v>16</v>
      </c>
      <c r="I232" s="39"/>
      <c r="K232" s="39"/>
      <c r="L232" s="43" t="s">
        <v>275</v>
      </c>
      <c r="N232" s="70">
        <f ca="1">SUMIFS(OFFSET(Assumptions!$I$90,0,MATCH($A232,Configurations,0)-1,COUNT(Assumptions!$A$90:$A$183),1),Assumptions!$D$90:$D$183,$B232&amp;$C232)</f>
        <v>0</v>
      </c>
      <c r="O232" s="313"/>
      <c r="P232" s="323"/>
      <c r="Q232" s="313"/>
      <c r="R232" s="50">
        <f t="shared" ref="R232:AU232" ca="1" si="164">IF(OR(R$99&lt;InServiceYr,R$99&gt;(InServiceYr+analysis_period-1)),0,IF($P232=0,$N232,$P232)*R$505)</f>
        <v>0</v>
      </c>
      <c r="S232" s="50">
        <f t="shared" ca="1" si="164"/>
        <v>0</v>
      </c>
      <c r="T232" s="50">
        <f t="shared" ca="1" si="164"/>
        <v>0</v>
      </c>
      <c r="U232" s="50">
        <f t="shared" ca="1" si="164"/>
        <v>0</v>
      </c>
      <c r="V232" s="50">
        <f t="shared" ca="1" si="164"/>
        <v>0</v>
      </c>
      <c r="W232" s="50">
        <f t="shared" ca="1" si="164"/>
        <v>0</v>
      </c>
      <c r="X232" s="50">
        <f t="shared" ca="1" si="164"/>
        <v>0</v>
      </c>
      <c r="Y232" s="50">
        <f t="shared" ca="1" si="164"/>
        <v>0</v>
      </c>
      <c r="Z232" s="50">
        <f t="shared" ca="1" si="164"/>
        <v>0</v>
      </c>
      <c r="AA232" s="50">
        <f t="shared" ca="1" si="164"/>
        <v>0</v>
      </c>
      <c r="AB232" s="50">
        <f t="shared" ca="1" si="164"/>
        <v>0</v>
      </c>
      <c r="AC232" s="50">
        <f t="shared" ca="1" si="164"/>
        <v>0</v>
      </c>
      <c r="AD232" s="50">
        <f t="shared" ca="1" si="164"/>
        <v>0</v>
      </c>
      <c r="AE232" s="50">
        <f t="shared" ca="1" si="164"/>
        <v>0</v>
      </c>
      <c r="AF232" s="50">
        <f t="shared" ca="1" si="164"/>
        <v>0</v>
      </c>
      <c r="AG232" s="50">
        <f t="shared" ca="1" si="164"/>
        <v>0</v>
      </c>
      <c r="AH232" s="50">
        <f t="shared" ca="1" si="164"/>
        <v>0</v>
      </c>
      <c r="AI232" s="50">
        <f t="shared" ca="1" si="164"/>
        <v>0</v>
      </c>
      <c r="AJ232" s="50">
        <f t="shared" ca="1" si="164"/>
        <v>0</v>
      </c>
      <c r="AK232" s="50">
        <f t="shared" ca="1" si="164"/>
        <v>0</v>
      </c>
      <c r="AL232" s="50">
        <f t="shared" si="164"/>
        <v>0</v>
      </c>
      <c r="AM232" s="50">
        <f t="shared" si="164"/>
        <v>0</v>
      </c>
      <c r="AN232" s="50">
        <f t="shared" si="164"/>
        <v>0</v>
      </c>
      <c r="AO232" s="50">
        <f t="shared" si="164"/>
        <v>0</v>
      </c>
      <c r="AP232" s="50">
        <f t="shared" si="164"/>
        <v>0</v>
      </c>
      <c r="AQ232" s="50">
        <f t="shared" si="164"/>
        <v>0</v>
      </c>
      <c r="AR232" s="50">
        <f t="shared" si="164"/>
        <v>0</v>
      </c>
      <c r="AS232" s="50">
        <f t="shared" si="164"/>
        <v>0</v>
      </c>
      <c r="AT232" s="50">
        <f t="shared" si="164"/>
        <v>0</v>
      </c>
      <c r="AU232" s="50">
        <f t="shared" si="164"/>
        <v>0</v>
      </c>
    </row>
    <row r="233" spans="1:47">
      <c r="A233" s="38" t="str">
        <f t="shared" si="159"/>
        <v>2X-</v>
      </c>
      <c r="B233" s="38" t="s">
        <v>257</v>
      </c>
      <c r="C233" s="38" t="str">
        <f t="shared" si="163"/>
        <v>Dewatering</v>
      </c>
      <c r="D233" s="186"/>
      <c r="E233" s="325"/>
      <c r="G233" s="36" t="s">
        <v>284</v>
      </c>
      <c r="I233" s="39"/>
      <c r="K233" s="39"/>
      <c r="L233" s="43" t="s">
        <v>293</v>
      </c>
      <c r="N233" s="70">
        <f ca="1">SUMIFS(OFFSET(Assumptions!$I$90,0,MATCH($A233,Configurations,0)-1,COUNT(Assumptions!$A$90:$A$183),1),Assumptions!$D$90:$D$183,$B233&amp;$C233)</f>
        <v>0</v>
      </c>
      <c r="O233" s="313"/>
      <c r="P233" s="323"/>
      <c r="Q233" s="313"/>
      <c r="R233" s="50">
        <f t="shared" ref="R233:AU233" ca="1" si="165">IF(OR(R$99&lt;InServiceYr,R$99&gt;(InServiceYr+analysis_period-1)),0,IF($P233=0,$N233,$P233)*R$501)</f>
        <v>0</v>
      </c>
      <c r="S233" s="50">
        <f t="shared" ca="1" si="165"/>
        <v>0</v>
      </c>
      <c r="T233" s="50">
        <f t="shared" ca="1" si="165"/>
        <v>0</v>
      </c>
      <c r="U233" s="50">
        <f t="shared" ca="1" si="165"/>
        <v>0</v>
      </c>
      <c r="V233" s="50">
        <f t="shared" ca="1" si="165"/>
        <v>0</v>
      </c>
      <c r="W233" s="50">
        <f t="shared" ca="1" si="165"/>
        <v>0</v>
      </c>
      <c r="X233" s="50">
        <f t="shared" ca="1" si="165"/>
        <v>0</v>
      </c>
      <c r="Y233" s="50">
        <f t="shared" ca="1" si="165"/>
        <v>0</v>
      </c>
      <c r="Z233" s="50">
        <f t="shared" ca="1" si="165"/>
        <v>0</v>
      </c>
      <c r="AA233" s="50">
        <f t="shared" ca="1" si="165"/>
        <v>0</v>
      </c>
      <c r="AB233" s="50">
        <f t="shared" ca="1" si="165"/>
        <v>0</v>
      </c>
      <c r="AC233" s="50">
        <f t="shared" ca="1" si="165"/>
        <v>0</v>
      </c>
      <c r="AD233" s="50">
        <f t="shared" ca="1" si="165"/>
        <v>0</v>
      </c>
      <c r="AE233" s="50">
        <f t="shared" ca="1" si="165"/>
        <v>0</v>
      </c>
      <c r="AF233" s="50">
        <f t="shared" ca="1" si="165"/>
        <v>0</v>
      </c>
      <c r="AG233" s="50">
        <f t="shared" ca="1" si="165"/>
        <v>0</v>
      </c>
      <c r="AH233" s="50">
        <f t="shared" ca="1" si="165"/>
        <v>0</v>
      </c>
      <c r="AI233" s="50">
        <f t="shared" ca="1" si="165"/>
        <v>0</v>
      </c>
      <c r="AJ233" s="50">
        <f t="shared" ca="1" si="165"/>
        <v>0</v>
      </c>
      <c r="AK233" s="50">
        <f t="shared" ca="1" si="165"/>
        <v>0</v>
      </c>
      <c r="AL233" s="50">
        <f t="shared" si="165"/>
        <v>0</v>
      </c>
      <c r="AM233" s="50">
        <f t="shared" si="165"/>
        <v>0</v>
      </c>
      <c r="AN233" s="50">
        <f t="shared" si="165"/>
        <v>0</v>
      </c>
      <c r="AO233" s="50">
        <f t="shared" si="165"/>
        <v>0</v>
      </c>
      <c r="AP233" s="50">
        <f t="shared" si="165"/>
        <v>0</v>
      </c>
      <c r="AQ233" s="50">
        <f t="shared" si="165"/>
        <v>0</v>
      </c>
      <c r="AR233" s="50">
        <f t="shared" si="165"/>
        <v>0</v>
      </c>
      <c r="AS233" s="50">
        <f t="shared" si="165"/>
        <v>0</v>
      </c>
      <c r="AT233" s="50">
        <f t="shared" si="165"/>
        <v>0</v>
      </c>
      <c r="AU233" s="50">
        <f t="shared" si="165"/>
        <v>0</v>
      </c>
    </row>
    <row r="234" spans="1:47">
      <c r="A234" s="38" t="str">
        <f t="shared" si="159"/>
        <v>2X-</v>
      </c>
      <c r="B234" s="38" t="s">
        <v>864</v>
      </c>
      <c r="C234" s="38" t="str">
        <f t="shared" si="163"/>
        <v>Dewatering</v>
      </c>
      <c r="D234" s="186">
        <f>GHGEsc</f>
        <v>0.02</v>
      </c>
      <c r="E234" s="325"/>
      <c r="G234" s="36" t="s">
        <v>865</v>
      </c>
      <c r="I234" s="39"/>
      <c r="K234" s="39"/>
      <c r="L234" s="43" t="s">
        <v>866</v>
      </c>
      <c r="N234" s="70">
        <f ca="1">SUMIFS(OFFSET(Assumptions!$I$90,0,MATCH($A234,Configurations,0)-1,COUNT(Assumptions!$A$90:$A$183),1),Assumptions!$D$90:$D$183,$B234&amp;$C234)</f>
        <v>0</v>
      </c>
      <c r="O234" s="313"/>
      <c r="P234" s="323"/>
      <c r="Q234" s="313"/>
      <c r="R234" s="50">
        <f t="shared" ref="R234:AU234" ca="1" si="166">IF(OR(R$99&lt;InServiceYr,R$99&gt;(InServiceYr+analysis_period-1)),0,IF($P234=0,$N234,$P234)*R$513)</f>
        <v>0</v>
      </c>
      <c r="S234" s="50">
        <f t="shared" ca="1" si="166"/>
        <v>0</v>
      </c>
      <c r="T234" s="50">
        <f t="shared" ca="1" si="166"/>
        <v>0</v>
      </c>
      <c r="U234" s="50">
        <f t="shared" ca="1" si="166"/>
        <v>0</v>
      </c>
      <c r="V234" s="50">
        <f t="shared" ca="1" si="166"/>
        <v>0</v>
      </c>
      <c r="W234" s="50">
        <f t="shared" ca="1" si="166"/>
        <v>0</v>
      </c>
      <c r="X234" s="50">
        <f t="shared" ca="1" si="166"/>
        <v>0</v>
      </c>
      <c r="Y234" s="50">
        <f t="shared" ca="1" si="166"/>
        <v>0</v>
      </c>
      <c r="Z234" s="50">
        <f t="shared" ca="1" si="166"/>
        <v>0</v>
      </c>
      <c r="AA234" s="50">
        <f t="shared" ca="1" si="166"/>
        <v>0</v>
      </c>
      <c r="AB234" s="50">
        <f t="shared" ca="1" si="166"/>
        <v>0</v>
      </c>
      <c r="AC234" s="50">
        <f t="shared" ca="1" si="166"/>
        <v>0</v>
      </c>
      <c r="AD234" s="50">
        <f t="shared" ca="1" si="166"/>
        <v>0</v>
      </c>
      <c r="AE234" s="50">
        <f t="shared" ca="1" si="166"/>
        <v>0</v>
      </c>
      <c r="AF234" s="50">
        <f t="shared" ca="1" si="166"/>
        <v>0</v>
      </c>
      <c r="AG234" s="50">
        <f t="shared" ca="1" si="166"/>
        <v>0</v>
      </c>
      <c r="AH234" s="50">
        <f t="shared" ca="1" si="166"/>
        <v>0</v>
      </c>
      <c r="AI234" s="50">
        <f t="shared" ca="1" si="166"/>
        <v>0</v>
      </c>
      <c r="AJ234" s="50">
        <f t="shared" ca="1" si="166"/>
        <v>0</v>
      </c>
      <c r="AK234" s="50">
        <f t="shared" ca="1" si="166"/>
        <v>0</v>
      </c>
      <c r="AL234" s="50">
        <f t="shared" si="166"/>
        <v>0</v>
      </c>
      <c r="AM234" s="50">
        <f t="shared" si="166"/>
        <v>0</v>
      </c>
      <c r="AN234" s="50">
        <f t="shared" si="166"/>
        <v>0</v>
      </c>
      <c r="AO234" s="50">
        <f t="shared" si="166"/>
        <v>0</v>
      </c>
      <c r="AP234" s="50">
        <f t="shared" si="166"/>
        <v>0</v>
      </c>
      <c r="AQ234" s="50">
        <f t="shared" si="166"/>
        <v>0</v>
      </c>
      <c r="AR234" s="50">
        <f t="shared" si="166"/>
        <v>0</v>
      </c>
      <c r="AS234" s="50">
        <f t="shared" si="166"/>
        <v>0</v>
      </c>
      <c r="AT234" s="50">
        <f t="shared" si="166"/>
        <v>0</v>
      </c>
      <c r="AU234" s="50">
        <f t="shared" si="166"/>
        <v>0</v>
      </c>
    </row>
    <row r="235" spans="1:47">
      <c r="A235" s="38" t="str">
        <f t="shared" si="159"/>
        <v>2X-</v>
      </c>
      <c r="B235" s="38" t="s">
        <v>273</v>
      </c>
      <c r="C235" s="38" t="str">
        <f>C233</f>
        <v>Dewatering</v>
      </c>
      <c r="D235" s="186">
        <f>LaborEsc</f>
        <v>0.02</v>
      </c>
      <c r="E235" s="325"/>
      <c r="G235" s="36" t="s">
        <v>291</v>
      </c>
      <c r="I235" s="39"/>
      <c r="K235" s="39"/>
      <c r="L235" s="43" t="str">
        <f>"["&amp;CostBaseYr&amp;" $]"</f>
        <v>[2013 $]</v>
      </c>
      <c r="N235" s="70">
        <f ca="1">SUMIFS(OFFSET(Assumptions!$I$90,0,MATCH($A235,Configurations,0)-1,COUNT(Assumptions!$A$90:$A$183),1),Assumptions!$D$90:$D$183,$B235&amp;$C235)</f>
        <v>0</v>
      </c>
      <c r="O235" s="313"/>
      <c r="P235" s="323"/>
      <c r="Q235" s="313"/>
      <c r="R235" s="50">
        <f t="shared" ref="R235:AU235" ca="1" si="167">IF(OR(R$99&lt;InServiceYr,R$99&gt;(InServiceYr+analysis_period-1)),0,IF($P235=0,$N235,$P235)*(1+$D235)^(R$99-CostBaseYr))*R$509</f>
        <v>0</v>
      </c>
      <c r="S235" s="50">
        <f t="shared" ca="1" si="167"/>
        <v>0</v>
      </c>
      <c r="T235" s="50">
        <f t="shared" ca="1" si="167"/>
        <v>0</v>
      </c>
      <c r="U235" s="50">
        <f t="shared" ca="1" si="167"/>
        <v>0</v>
      </c>
      <c r="V235" s="50">
        <f t="shared" ca="1" si="167"/>
        <v>0</v>
      </c>
      <c r="W235" s="50">
        <f t="shared" ca="1" si="167"/>
        <v>0</v>
      </c>
      <c r="X235" s="50">
        <f t="shared" ca="1" si="167"/>
        <v>0</v>
      </c>
      <c r="Y235" s="50">
        <f t="shared" ca="1" si="167"/>
        <v>0</v>
      </c>
      <c r="Z235" s="50">
        <f t="shared" ca="1" si="167"/>
        <v>0</v>
      </c>
      <c r="AA235" s="50">
        <f t="shared" ca="1" si="167"/>
        <v>0</v>
      </c>
      <c r="AB235" s="50">
        <f t="shared" ca="1" si="167"/>
        <v>0</v>
      </c>
      <c r="AC235" s="50">
        <f t="shared" ca="1" si="167"/>
        <v>0</v>
      </c>
      <c r="AD235" s="50">
        <f t="shared" ca="1" si="167"/>
        <v>0</v>
      </c>
      <c r="AE235" s="50">
        <f t="shared" ca="1" si="167"/>
        <v>0</v>
      </c>
      <c r="AF235" s="50">
        <f t="shared" ca="1" si="167"/>
        <v>0</v>
      </c>
      <c r="AG235" s="50">
        <f t="shared" ca="1" si="167"/>
        <v>0</v>
      </c>
      <c r="AH235" s="50">
        <f t="shared" ca="1" si="167"/>
        <v>0</v>
      </c>
      <c r="AI235" s="50">
        <f t="shared" ca="1" si="167"/>
        <v>0</v>
      </c>
      <c r="AJ235" s="50">
        <f t="shared" ca="1" si="167"/>
        <v>0</v>
      </c>
      <c r="AK235" s="50">
        <f t="shared" ca="1" si="167"/>
        <v>0</v>
      </c>
      <c r="AL235" s="50">
        <f t="shared" si="167"/>
        <v>0</v>
      </c>
      <c r="AM235" s="50">
        <f t="shared" si="167"/>
        <v>0</v>
      </c>
      <c r="AN235" s="50">
        <f t="shared" si="167"/>
        <v>0</v>
      </c>
      <c r="AO235" s="50">
        <f t="shared" si="167"/>
        <v>0</v>
      </c>
      <c r="AP235" s="50">
        <f t="shared" si="167"/>
        <v>0</v>
      </c>
      <c r="AQ235" s="50">
        <f t="shared" si="167"/>
        <v>0</v>
      </c>
      <c r="AR235" s="50">
        <f t="shared" si="167"/>
        <v>0</v>
      </c>
      <c r="AS235" s="50">
        <f t="shared" si="167"/>
        <v>0</v>
      </c>
      <c r="AT235" s="50">
        <f t="shared" si="167"/>
        <v>0</v>
      </c>
      <c r="AU235" s="50">
        <f t="shared" si="167"/>
        <v>0</v>
      </c>
    </row>
    <row r="236" spans="1:47">
      <c r="D236" s="186"/>
      <c r="E236" s="325"/>
      <c r="G236" s="39" t="s">
        <v>304</v>
      </c>
      <c r="I236" s="39"/>
      <c r="K236" s="39"/>
      <c r="L236" s="43"/>
      <c r="N236" s="70"/>
      <c r="O236" s="313"/>
      <c r="P236" s="70"/>
      <c r="Q236" s="313"/>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row>
    <row r="237" spans="1:47">
      <c r="A237" s="38" t="str">
        <f>$J$4&amp;"-"</f>
        <v>2X-</v>
      </c>
      <c r="B237" s="38" t="s">
        <v>265</v>
      </c>
      <c r="C237" s="38" t="str">
        <f>C228</f>
        <v>Dewatering</v>
      </c>
      <c r="D237" s="186"/>
      <c r="E237" s="325"/>
      <c r="G237" s="36" t="s">
        <v>108</v>
      </c>
      <c r="I237" s="39"/>
      <c r="K237" s="39"/>
      <c r="L237" s="43" t="s">
        <v>293</v>
      </c>
      <c r="N237" s="70">
        <f ca="1">SUMIFS(OFFSET(Assumptions!$I$90,0,MATCH($A237,Configurations,0)-1,COUNT(Assumptions!$A$90:$A$183),1),Assumptions!$D$90:$D$183,$B237&amp;$C237)</f>
        <v>0</v>
      </c>
      <c r="O237" s="313"/>
      <c r="P237" s="323"/>
      <c r="Q237" s="313"/>
      <c r="R237" s="50">
        <f t="shared" ref="R237:AU237" ca="1" si="168">IF(OR(R$99&lt;InServiceYr,R$99&gt;(InServiceYr+analysis_period-1)),0,IF($P237=0,$N237,$P237)*R$501)</f>
        <v>0</v>
      </c>
      <c r="S237" s="50">
        <f t="shared" ca="1" si="168"/>
        <v>0</v>
      </c>
      <c r="T237" s="50">
        <f t="shared" ca="1" si="168"/>
        <v>0</v>
      </c>
      <c r="U237" s="50">
        <f t="shared" ca="1" si="168"/>
        <v>0</v>
      </c>
      <c r="V237" s="50">
        <f t="shared" ca="1" si="168"/>
        <v>0</v>
      </c>
      <c r="W237" s="50">
        <f t="shared" ca="1" si="168"/>
        <v>0</v>
      </c>
      <c r="X237" s="50">
        <f t="shared" ca="1" si="168"/>
        <v>0</v>
      </c>
      <c r="Y237" s="50">
        <f t="shared" ca="1" si="168"/>
        <v>0</v>
      </c>
      <c r="Z237" s="50">
        <f t="shared" ca="1" si="168"/>
        <v>0</v>
      </c>
      <c r="AA237" s="50">
        <f t="shared" ca="1" si="168"/>
        <v>0</v>
      </c>
      <c r="AB237" s="50">
        <f t="shared" ca="1" si="168"/>
        <v>0</v>
      </c>
      <c r="AC237" s="50">
        <f t="shared" ca="1" si="168"/>
        <v>0</v>
      </c>
      <c r="AD237" s="50">
        <f t="shared" ca="1" si="168"/>
        <v>0</v>
      </c>
      <c r="AE237" s="50">
        <f t="shared" ca="1" si="168"/>
        <v>0</v>
      </c>
      <c r="AF237" s="50">
        <f t="shared" ca="1" si="168"/>
        <v>0</v>
      </c>
      <c r="AG237" s="50">
        <f t="shared" ca="1" si="168"/>
        <v>0</v>
      </c>
      <c r="AH237" s="50">
        <f t="shared" ca="1" si="168"/>
        <v>0</v>
      </c>
      <c r="AI237" s="50">
        <f t="shared" ca="1" si="168"/>
        <v>0</v>
      </c>
      <c r="AJ237" s="50">
        <f t="shared" ca="1" si="168"/>
        <v>0</v>
      </c>
      <c r="AK237" s="50">
        <f t="shared" ca="1" si="168"/>
        <v>0</v>
      </c>
      <c r="AL237" s="50">
        <f t="shared" si="168"/>
        <v>0</v>
      </c>
      <c r="AM237" s="50">
        <f t="shared" si="168"/>
        <v>0</v>
      </c>
      <c r="AN237" s="50">
        <f t="shared" si="168"/>
        <v>0</v>
      </c>
      <c r="AO237" s="50">
        <f t="shared" si="168"/>
        <v>0</v>
      </c>
      <c r="AP237" s="50">
        <f t="shared" si="168"/>
        <v>0</v>
      </c>
      <c r="AQ237" s="50">
        <f t="shared" si="168"/>
        <v>0</v>
      </c>
      <c r="AR237" s="50">
        <f t="shared" si="168"/>
        <v>0</v>
      </c>
      <c r="AS237" s="50">
        <f t="shared" si="168"/>
        <v>0</v>
      </c>
      <c r="AT237" s="50">
        <f t="shared" si="168"/>
        <v>0</v>
      </c>
      <c r="AU237" s="50">
        <f t="shared" si="168"/>
        <v>0</v>
      </c>
    </row>
    <row r="238" spans="1:47">
      <c r="A238" s="38" t="str">
        <f>$J$4&amp;"-"</f>
        <v>2X-</v>
      </c>
      <c r="B238" s="38" t="s">
        <v>289</v>
      </c>
      <c r="C238" s="38" t="str">
        <f>C228</f>
        <v>Dewatering</v>
      </c>
      <c r="D238" s="186">
        <f>LaborEsc</f>
        <v>0.02</v>
      </c>
      <c r="E238" s="325"/>
      <c r="G238" s="36" t="s">
        <v>292</v>
      </c>
      <c r="I238" s="39"/>
      <c r="K238" s="39"/>
      <c r="L238" s="43" t="str">
        <f>"["&amp;CostBaseYr&amp;" $]"</f>
        <v>[2013 $]</v>
      </c>
      <c r="N238" s="70">
        <f ca="1">SUMIFS(OFFSET(Assumptions!$I$90,0,MATCH($A238,Configurations,0)-1,COUNT(Assumptions!$A$90:$A$183),1),Assumptions!$D$90:$D$183,$B238&amp;$C238)</f>
        <v>0</v>
      </c>
      <c r="O238" s="313"/>
      <c r="P238" s="323"/>
      <c r="Q238" s="313"/>
      <c r="R238" s="50">
        <f t="shared" ref="R238:AU238" ca="1" si="169">IF(OR(R$99&lt;InServiceYr,R$99&gt;(InServiceYr+analysis_period-1)),0,IF($P238=0,$N238,$P238)*(1+$D238)^(R$99-CostBaseYr))</f>
        <v>0</v>
      </c>
      <c r="S238" s="50">
        <f t="shared" ca="1" si="169"/>
        <v>0</v>
      </c>
      <c r="T238" s="50">
        <f t="shared" ca="1" si="169"/>
        <v>0</v>
      </c>
      <c r="U238" s="50">
        <f t="shared" ca="1" si="169"/>
        <v>0</v>
      </c>
      <c r="V238" s="50">
        <f t="shared" ca="1" si="169"/>
        <v>0</v>
      </c>
      <c r="W238" s="50">
        <f t="shared" ca="1" si="169"/>
        <v>0</v>
      </c>
      <c r="X238" s="50">
        <f t="shared" ca="1" si="169"/>
        <v>0</v>
      </c>
      <c r="Y238" s="50">
        <f t="shared" ca="1" si="169"/>
        <v>0</v>
      </c>
      <c r="Z238" s="50">
        <f t="shared" ca="1" si="169"/>
        <v>0</v>
      </c>
      <c r="AA238" s="50">
        <f t="shared" ca="1" si="169"/>
        <v>0</v>
      </c>
      <c r="AB238" s="50">
        <f t="shared" ca="1" si="169"/>
        <v>0</v>
      </c>
      <c r="AC238" s="50">
        <f t="shared" ca="1" si="169"/>
        <v>0</v>
      </c>
      <c r="AD238" s="50">
        <f t="shared" ca="1" si="169"/>
        <v>0</v>
      </c>
      <c r="AE238" s="50">
        <f t="shared" ca="1" si="169"/>
        <v>0</v>
      </c>
      <c r="AF238" s="50">
        <f t="shared" ca="1" si="169"/>
        <v>0</v>
      </c>
      <c r="AG238" s="50">
        <f t="shared" ca="1" si="169"/>
        <v>0</v>
      </c>
      <c r="AH238" s="50">
        <f t="shared" ca="1" si="169"/>
        <v>0</v>
      </c>
      <c r="AI238" s="50">
        <f t="shared" ca="1" si="169"/>
        <v>0</v>
      </c>
      <c r="AJ238" s="50">
        <f t="shared" ca="1" si="169"/>
        <v>0</v>
      </c>
      <c r="AK238" s="50">
        <f t="shared" ca="1" si="169"/>
        <v>0</v>
      </c>
      <c r="AL238" s="50">
        <f t="shared" si="169"/>
        <v>0</v>
      </c>
      <c r="AM238" s="50">
        <f t="shared" si="169"/>
        <v>0</v>
      </c>
      <c r="AN238" s="50">
        <f t="shared" si="169"/>
        <v>0</v>
      </c>
      <c r="AO238" s="50">
        <f t="shared" si="169"/>
        <v>0</v>
      </c>
      <c r="AP238" s="50">
        <f t="shared" si="169"/>
        <v>0</v>
      </c>
      <c r="AQ238" s="50">
        <f t="shared" si="169"/>
        <v>0</v>
      </c>
      <c r="AR238" s="50">
        <f t="shared" si="169"/>
        <v>0</v>
      </c>
      <c r="AS238" s="50">
        <f t="shared" si="169"/>
        <v>0</v>
      </c>
      <c r="AT238" s="50">
        <f t="shared" si="169"/>
        <v>0</v>
      </c>
      <c r="AU238" s="50">
        <f t="shared" si="169"/>
        <v>0</v>
      </c>
    </row>
    <row r="239" spans="1:47" s="60" customFormat="1">
      <c r="D239" s="187"/>
      <c r="E239" s="325"/>
      <c r="G239" s="39" t="s">
        <v>305</v>
      </c>
      <c r="I239" s="39"/>
      <c r="K239" s="39"/>
      <c r="L239" s="174"/>
      <c r="N239" s="188"/>
      <c r="O239" s="314"/>
      <c r="P239" s="185"/>
      <c r="Q239" s="314"/>
      <c r="R239" s="185">
        <f ca="1">SUM(R228:R235)-SUM(R237:R238)</f>
        <v>0</v>
      </c>
      <c r="S239" s="185">
        <f t="shared" ref="S239:AU239" ca="1" si="170">SUM(S228:S235)-SUM(S237:S238)</f>
        <v>0</v>
      </c>
      <c r="T239" s="185">
        <f t="shared" ca="1" si="170"/>
        <v>0</v>
      </c>
      <c r="U239" s="185">
        <f t="shared" ca="1" si="170"/>
        <v>0</v>
      </c>
      <c r="V239" s="185">
        <f t="shared" ca="1" si="170"/>
        <v>0</v>
      </c>
      <c r="W239" s="185">
        <f t="shared" ca="1" si="170"/>
        <v>0</v>
      </c>
      <c r="X239" s="185">
        <f t="shared" ca="1" si="170"/>
        <v>0</v>
      </c>
      <c r="Y239" s="185">
        <f t="shared" ca="1" si="170"/>
        <v>0</v>
      </c>
      <c r="Z239" s="185">
        <f t="shared" ca="1" si="170"/>
        <v>0</v>
      </c>
      <c r="AA239" s="185">
        <f t="shared" ca="1" si="170"/>
        <v>0</v>
      </c>
      <c r="AB239" s="185">
        <f t="shared" ca="1" si="170"/>
        <v>0</v>
      </c>
      <c r="AC239" s="185">
        <f t="shared" ca="1" si="170"/>
        <v>0</v>
      </c>
      <c r="AD239" s="185">
        <f t="shared" ca="1" si="170"/>
        <v>0</v>
      </c>
      <c r="AE239" s="185">
        <f t="shared" ca="1" si="170"/>
        <v>0</v>
      </c>
      <c r="AF239" s="185">
        <f t="shared" ca="1" si="170"/>
        <v>0</v>
      </c>
      <c r="AG239" s="185">
        <f t="shared" ca="1" si="170"/>
        <v>0</v>
      </c>
      <c r="AH239" s="185">
        <f t="shared" ca="1" si="170"/>
        <v>0</v>
      </c>
      <c r="AI239" s="185">
        <f t="shared" ca="1" si="170"/>
        <v>0</v>
      </c>
      <c r="AJ239" s="185">
        <f t="shared" ca="1" si="170"/>
        <v>0</v>
      </c>
      <c r="AK239" s="185">
        <f t="shared" ca="1" si="170"/>
        <v>0</v>
      </c>
      <c r="AL239" s="185">
        <f t="shared" si="170"/>
        <v>0</v>
      </c>
      <c r="AM239" s="185">
        <f t="shared" si="170"/>
        <v>0</v>
      </c>
      <c r="AN239" s="185">
        <f t="shared" si="170"/>
        <v>0</v>
      </c>
      <c r="AO239" s="185">
        <f t="shared" si="170"/>
        <v>0</v>
      </c>
      <c r="AP239" s="185">
        <f t="shared" si="170"/>
        <v>0</v>
      </c>
      <c r="AQ239" s="185">
        <f t="shared" si="170"/>
        <v>0</v>
      </c>
      <c r="AR239" s="185">
        <f t="shared" si="170"/>
        <v>0</v>
      </c>
      <c r="AS239" s="185">
        <f t="shared" si="170"/>
        <v>0</v>
      </c>
      <c r="AT239" s="185">
        <f t="shared" si="170"/>
        <v>0</v>
      </c>
      <c r="AU239" s="185">
        <f t="shared" si="170"/>
        <v>0</v>
      </c>
    </row>
    <row r="240" spans="1:47">
      <c r="E240" s="36"/>
      <c r="G240" s="39"/>
      <c r="H240" s="39"/>
      <c r="I240" s="39"/>
      <c r="J240" s="39"/>
      <c r="K240" s="39"/>
    </row>
    <row r="241" spans="1:47">
      <c r="E241" s="327"/>
      <c r="F241" s="28"/>
      <c r="G241" s="324" t="str">
        <f>C243&amp;" Capital Costs"</f>
        <v>Drying/Gasification/Energy Recovery Capital Costs</v>
      </c>
      <c r="H241" s="324"/>
      <c r="I241" s="324"/>
      <c r="J241" s="324"/>
      <c r="K241" s="324"/>
      <c r="L241" s="405" t="s">
        <v>79</v>
      </c>
      <c r="M241" s="256"/>
      <c r="N241" s="325" t="s">
        <v>490</v>
      </c>
      <c r="O241" s="311"/>
      <c r="P241" s="325" t="s">
        <v>491</v>
      </c>
      <c r="Q241" s="310"/>
      <c r="R241" s="325">
        <f>R$8</f>
        <v>2014</v>
      </c>
      <c r="S241" s="325">
        <f t="shared" ref="S241:AU241" si="171">S$8</f>
        <v>2015</v>
      </c>
      <c r="T241" s="325">
        <f t="shared" si="171"/>
        <v>2016</v>
      </c>
      <c r="U241" s="325">
        <f t="shared" si="171"/>
        <v>2017</v>
      </c>
      <c r="V241" s="325">
        <f t="shared" si="171"/>
        <v>2018</v>
      </c>
      <c r="W241" s="325">
        <f t="shared" si="171"/>
        <v>2019</v>
      </c>
      <c r="X241" s="325">
        <f t="shared" si="171"/>
        <v>2020</v>
      </c>
      <c r="Y241" s="325">
        <f t="shared" si="171"/>
        <v>2021</v>
      </c>
      <c r="Z241" s="325">
        <f t="shared" si="171"/>
        <v>2022</v>
      </c>
      <c r="AA241" s="325">
        <f t="shared" si="171"/>
        <v>2023</v>
      </c>
      <c r="AB241" s="325">
        <f t="shared" si="171"/>
        <v>2024</v>
      </c>
      <c r="AC241" s="325">
        <f t="shared" si="171"/>
        <v>2025</v>
      </c>
      <c r="AD241" s="325">
        <f t="shared" si="171"/>
        <v>2026</v>
      </c>
      <c r="AE241" s="325">
        <f t="shared" si="171"/>
        <v>2027</v>
      </c>
      <c r="AF241" s="325">
        <f t="shared" si="171"/>
        <v>2028</v>
      </c>
      <c r="AG241" s="325">
        <f t="shared" si="171"/>
        <v>2029</v>
      </c>
      <c r="AH241" s="325">
        <f t="shared" si="171"/>
        <v>2030</v>
      </c>
      <c r="AI241" s="325">
        <f t="shared" si="171"/>
        <v>2031</v>
      </c>
      <c r="AJ241" s="325">
        <f t="shared" si="171"/>
        <v>2032</v>
      </c>
      <c r="AK241" s="325">
        <f t="shared" si="171"/>
        <v>2033</v>
      </c>
      <c r="AL241" s="325">
        <f t="shared" si="171"/>
        <v>2034</v>
      </c>
      <c r="AM241" s="325">
        <f t="shared" si="171"/>
        <v>2035</v>
      </c>
      <c r="AN241" s="325">
        <f t="shared" si="171"/>
        <v>2036</v>
      </c>
      <c r="AO241" s="325">
        <f t="shared" si="171"/>
        <v>2037</v>
      </c>
      <c r="AP241" s="325">
        <f t="shared" si="171"/>
        <v>2038</v>
      </c>
      <c r="AQ241" s="325">
        <f t="shared" si="171"/>
        <v>2039</v>
      </c>
      <c r="AR241" s="325">
        <f t="shared" si="171"/>
        <v>2040</v>
      </c>
      <c r="AS241" s="325">
        <f t="shared" si="171"/>
        <v>2041</v>
      </c>
      <c r="AT241" s="325">
        <f t="shared" si="171"/>
        <v>2042</v>
      </c>
      <c r="AU241" s="325">
        <f t="shared" si="171"/>
        <v>2043</v>
      </c>
    </row>
    <row r="242" spans="1:47">
      <c r="E242" s="325"/>
      <c r="G242" s="39"/>
      <c r="H242" s="39"/>
      <c r="I242" s="39"/>
      <c r="J242" s="39"/>
      <c r="K242" s="39"/>
    </row>
    <row r="243" spans="1:47">
      <c r="A243" s="38" t="str">
        <f>$J$4&amp;"-"</f>
        <v>2X-</v>
      </c>
      <c r="B243" s="38" t="s">
        <v>306</v>
      </c>
      <c r="C243" s="38" t="s">
        <v>320</v>
      </c>
      <c r="D243" s="186">
        <f>CapExEsc</f>
        <v>0.03</v>
      </c>
      <c r="E243" s="325"/>
      <c r="G243" s="36" t="s">
        <v>8</v>
      </c>
      <c r="H243" s="39"/>
      <c r="I243" s="39"/>
      <c r="J243" s="70"/>
      <c r="K243" s="39"/>
      <c r="L243" s="43" t="str">
        <f>"["&amp;CostBaseYr&amp;" $]"</f>
        <v>[2013 $]</v>
      </c>
      <c r="N243" s="52">
        <f ca="1">SUMIFS(OFFSET(Assumptions!$I$65,0,MATCH($A243,Configurations,0)-1,COUNT(Assumptions!$A$65:$A$84),1),Assumptions!$E$65:$E$84,$C243)</f>
        <v>0</v>
      </c>
      <c r="O243" s="52"/>
      <c r="P243" s="322"/>
      <c r="Q243" s="52"/>
      <c r="R243" s="52">
        <f t="shared" ref="R243:AU243" ca="1" si="172">R244*IF($P243=0,$N243,$P243)*(1+$D243)^(R$8-CostBaseYr)</f>
        <v>0</v>
      </c>
      <c r="S243" s="52">
        <f t="shared" ca="1" si="172"/>
        <v>0</v>
      </c>
      <c r="T243" s="52">
        <f t="shared" ca="1" si="172"/>
        <v>0</v>
      </c>
      <c r="U243" s="52">
        <f t="shared" ca="1" si="172"/>
        <v>0</v>
      </c>
      <c r="V243" s="52">
        <f t="shared" ca="1" si="172"/>
        <v>0</v>
      </c>
      <c r="W243" s="52">
        <f t="shared" ca="1" si="172"/>
        <v>0</v>
      </c>
      <c r="X243" s="52">
        <f t="shared" ca="1" si="172"/>
        <v>0</v>
      </c>
      <c r="Y243" s="52">
        <f t="shared" ca="1" si="172"/>
        <v>0</v>
      </c>
      <c r="Z243" s="52">
        <f t="shared" ca="1" si="172"/>
        <v>0</v>
      </c>
      <c r="AA243" s="52">
        <f t="shared" ca="1" si="172"/>
        <v>0</v>
      </c>
      <c r="AB243" s="52">
        <f t="shared" ca="1" si="172"/>
        <v>0</v>
      </c>
      <c r="AC243" s="52">
        <f t="shared" ca="1" si="172"/>
        <v>0</v>
      </c>
      <c r="AD243" s="52">
        <f t="shared" ca="1" si="172"/>
        <v>0</v>
      </c>
      <c r="AE243" s="52">
        <f t="shared" ca="1" si="172"/>
        <v>0</v>
      </c>
      <c r="AF243" s="52">
        <f t="shared" ca="1" si="172"/>
        <v>0</v>
      </c>
      <c r="AG243" s="52">
        <f t="shared" ca="1" si="172"/>
        <v>0</v>
      </c>
      <c r="AH243" s="52">
        <f t="shared" ca="1" si="172"/>
        <v>0</v>
      </c>
      <c r="AI243" s="52">
        <f t="shared" ca="1" si="172"/>
        <v>0</v>
      </c>
      <c r="AJ243" s="52">
        <f t="shared" ca="1" si="172"/>
        <v>0</v>
      </c>
      <c r="AK243" s="52">
        <f t="shared" ca="1" si="172"/>
        <v>0</v>
      </c>
      <c r="AL243" s="52">
        <f t="shared" ca="1" si="172"/>
        <v>0</v>
      </c>
      <c r="AM243" s="52">
        <f t="shared" ca="1" si="172"/>
        <v>0</v>
      </c>
      <c r="AN243" s="52">
        <f t="shared" ca="1" si="172"/>
        <v>0</v>
      </c>
      <c r="AO243" s="52">
        <f t="shared" ca="1" si="172"/>
        <v>0</v>
      </c>
      <c r="AP243" s="52">
        <f t="shared" ca="1" si="172"/>
        <v>0</v>
      </c>
      <c r="AQ243" s="52">
        <f t="shared" ca="1" si="172"/>
        <v>0</v>
      </c>
      <c r="AR243" s="52">
        <f t="shared" ca="1" si="172"/>
        <v>0</v>
      </c>
      <c r="AS243" s="52">
        <f t="shared" ca="1" si="172"/>
        <v>0</v>
      </c>
      <c r="AT243" s="52">
        <f t="shared" ca="1" si="172"/>
        <v>0</v>
      </c>
      <c r="AU243" s="52">
        <f t="shared" ca="1" si="172"/>
        <v>0</v>
      </c>
    </row>
    <row r="244" spans="1:47">
      <c r="E244" s="325"/>
      <c r="G244" s="36" t="s">
        <v>10</v>
      </c>
      <c r="H244" s="39"/>
      <c r="I244" s="39"/>
      <c r="J244" s="39"/>
      <c r="K244" s="39"/>
      <c r="L244" s="43"/>
      <c r="R244" s="54">
        <f>Assumptions!M$60</f>
        <v>1</v>
      </c>
      <c r="S244" s="54">
        <f>Assumptions!N$60</f>
        <v>0</v>
      </c>
      <c r="T244" s="54">
        <f>Assumptions!O$60</f>
        <v>0</v>
      </c>
      <c r="U244" s="54">
        <f>Assumptions!P$60</f>
        <v>0</v>
      </c>
      <c r="V244" s="54">
        <f>Assumptions!Q$60</f>
        <v>0</v>
      </c>
      <c r="W244" s="54">
        <f>Assumptions!R$60</f>
        <v>0</v>
      </c>
      <c r="X244" s="54">
        <f>Assumptions!S$60</f>
        <v>0</v>
      </c>
      <c r="Y244" s="54">
        <f>Assumptions!T$60</f>
        <v>0</v>
      </c>
      <c r="Z244" s="54">
        <f>Assumptions!U$60</f>
        <v>0</v>
      </c>
      <c r="AA244" s="54">
        <f>Assumptions!V$60</f>
        <v>0</v>
      </c>
      <c r="AB244" s="54">
        <f>Assumptions!W$60</f>
        <v>0</v>
      </c>
      <c r="AC244" s="54">
        <f>Assumptions!X$60</f>
        <v>0</v>
      </c>
      <c r="AD244" s="54">
        <f>Assumptions!Y$60</f>
        <v>0</v>
      </c>
      <c r="AE244" s="54">
        <f>Assumptions!Z$60</f>
        <v>0</v>
      </c>
      <c r="AF244" s="54">
        <f>Assumptions!AA$60</f>
        <v>0</v>
      </c>
      <c r="AG244" s="54">
        <f>Assumptions!AB$60</f>
        <v>0</v>
      </c>
      <c r="AH244" s="54">
        <f>Assumptions!AC$60</f>
        <v>0</v>
      </c>
      <c r="AI244" s="54">
        <f>Assumptions!AD$60</f>
        <v>0</v>
      </c>
      <c r="AJ244" s="54">
        <f>Assumptions!AE$60</f>
        <v>0</v>
      </c>
      <c r="AK244" s="54">
        <f>Assumptions!AF$60</f>
        <v>0</v>
      </c>
      <c r="AL244" s="54">
        <f>Assumptions!AG$60</f>
        <v>0</v>
      </c>
      <c r="AM244" s="54">
        <f>Assumptions!AH$60</f>
        <v>0</v>
      </c>
      <c r="AN244" s="54">
        <f>Assumptions!AI$60</f>
        <v>0</v>
      </c>
      <c r="AO244" s="54">
        <f>Assumptions!AJ$60</f>
        <v>0</v>
      </c>
      <c r="AP244" s="54">
        <f>Assumptions!AK$60</f>
        <v>0</v>
      </c>
      <c r="AQ244" s="54">
        <f>Assumptions!AL$60</f>
        <v>0</v>
      </c>
      <c r="AR244" s="54">
        <f>Assumptions!AM$60</f>
        <v>0</v>
      </c>
      <c r="AS244" s="54">
        <f>Assumptions!AN$60</f>
        <v>0</v>
      </c>
      <c r="AT244" s="54">
        <f>Assumptions!AO$60</f>
        <v>0</v>
      </c>
      <c r="AU244" s="54">
        <f>Assumptions!AP$60</f>
        <v>0</v>
      </c>
    </row>
    <row r="245" spans="1:47">
      <c r="E245" s="326"/>
      <c r="G245" s="39"/>
      <c r="H245" s="39"/>
      <c r="I245" s="39"/>
      <c r="J245" s="39"/>
      <c r="K245" s="39"/>
    </row>
    <row r="246" spans="1:47">
      <c r="E246" s="327"/>
      <c r="F246" s="28"/>
      <c r="G246" s="324" t="str">
        <f>C243&amp;" O&amp;M"</f>
        <v>Drying/Gasification/Energy Recovery O&amp;M</v>
      </c>
      <c r="H246" s="324"/>
      <c r="I246" s="324"/>
      <c r="J246" s="324"/>
      <c r="K246" s="324"/>
      <c r="L246" s="405" t="s">
        <v>79</v>
      </c>
      <c r="M246" s="256"/>
      <c r="N246" s="325" t="s">
        <v>490</v>
      </c>
      <c r="O246" s="311"/>
      <c r="P246" s="325" t="s">
        <v>491</v>
      </c>
      <c r="Q246" s="310"/>
      <c r="R246" s="325">
        <f>R$8</f>
        <v>2014</v>
      </c>
      <c r="S246" s="325">
        <f t="shared" ref="S246:AU246" si="173">S$8</f>
        <v>2015</v>
      </c>
      <c r="T246" s="325">
        <f t="shared" si="173"/>
        <v>2016</v>
      </c>
      <c r="U246" s="325">
        <f t="shared" si="173"/>
        <v>2017</v>
      </c>
      <c r="V246" s="325">
        <f t="shared" si="173"/>
        <v>2018</v>
      </c>
      <c r="W246" s="325">
        <f t="shared" si="173"/>
        <v>2019</v>
      </c>
      <c r="X246" s="325">
        <f t="shared" si="173"/>
        <v>2020</v>
      </c>
      <c r="Y246" s="325">
        <f t="shared" si="173"/>
        <v>2021</v>
      </c>
      <c r="Z246" s="325">
        <f t="shared" si="173"/>
        <v>2022</v>
      </c>
      <c r="AA246" s="325">
        <f t="shared" si="173"/>
        <v>2023</v>
      </c>
      <c r="AB246" s="325">
        <f t="shared" si="173"/>
        <v>2024</v>
      </c>
      <c r="AC246" s="325">
        <f t="shared" si="173"/>
        <v>2025</v>
      </c>
      <c r="AD246" s="325">
        <f t="shared" si="173"/>
        <v>2026</v>
      </c>
      <c r="AE246" s="325">
        <f t="shared" si="173"/>
        <v>2027</v>
      </c>
      <c r="AF246" s="325">
        <f t="shared" si="173"/>
        <v>2028</v>
      </c>
      <c r="AG246" s="325">
        <f t="shared" si="173"/>
        <v>2029</v>
      </c>
      <c r="AH246" s="325">
        <f t="shared" si="173"/>
        <v>2030</v>
      </c>
      <c r="AI246" s="325">
        <f t="shared" si="173"/>
        <v>2031</v>
      </c>
      <c r="AJ246" s="325">
        <f t="shared" si="173"/>
        <v>2032</v>
      </c>
      <c r="AK246" s="325">
        <f t="shared" si="173"/>
        <v>2033</v>
      </c>
      <c r="AL246" s="325">
        <f t="shared" si="173"/>
        <v>2034</v>
      </c>
      <c r="AM246" s="325">
        <f t="shared" si="173"/>
        <v>2035</v>
      </c>
      <c r="AN246" s="325">
        <f t="shared" si="173"/>
        <v>2036</v>
      </c>
      <c r="AO246" s="325">
        <f t="shared" si="173"/>
        <v>2037</v>
      </c>
      <c r="AP246" s="325">
        <f t="shared" si="173"/>
        <v>2038</v>
      </c>
      <c r="AQ246" s="325">
        <f t="shared" si="173"/>
        <v>2039</v>
      </c>
      <c r="AR246" s="325">
        <f t="shared" si="173"/>
        <v>2040</v>
      </c>
      <c r="AS246" s="325">
        <f t="shared" si="173"/>
        <v>2041</v>
      </c>
      <c r="AT246" s="325">
        <f t="shared" si="173"/>
        <v>2042</v>
      </c>
      <c r="AU246" s="325">
        <f t="shared" si="173"/>
        <v>2043</v>
      </c>
    </row>
    <row r="247" spans="1:47">
      <c r="E247" s="325"/>
      <c r="G247" s="39"/>
      <c r="H247" s="39"/>
      <c r="I247" s="39"/>
      <c r="J247" s="39"/>
      <c r="K247" s="39"/>
    </row>
    <row r="248" spans="1:47">
      <c r="E248" s="325"/>
      <c r="G248" s="39" t="s">
        <v>23</v>
      </c>
      <c r="H248" s="39"/>
      <c r="I248" s="39"/>
      <c r="J248" s="39"/>
      <c r="K248" s="39"/>
    </row>
    <row r="249" spans="1:47">
      <c r="A249" s="38" t="str">
        <f t="shared" ref="A249:A256" si="174">$J$4&amp;"-"</f>
        <v>2X-</v>
      </c>
      <c r="B249" s="38" t="s">
        <v>262</v>
      </c>
      <c r="C249" s="38" t="str">
        <f>C243</f>
        <v>Drying/Gasification/Energy Recovery</v>
      </c>
      <c r="D249" s="186">
        <f>LaborEsc</f>
        <v>0.02</v>
      </c>
      <c r="E249" s="325"/>
      <c r="G249" s="36" t="s">
        <v>125</v>
      </c>
      <c r="I249" s="39"/>
      <c r="K249" s="39"/>
      <c r="L249" s="43" t="s">
        <v>266</v>
      </c>
      <c r="N249" s="70">
        <f ca="1">SUMIFS(OFFSET(Assumptions!$I$90,0,MATCH($A249,Configurations,0)-1,COUNT(Assumptions!$A$90:$A$183),1),Assumptions!$D$90:$D$183,$B249&amp;$C249)</f>
        <v>0</v>
      </c>
      <c r="O249" s="313"/>
      <c r="P249" s="323"/>
      <c r="Q249" s="313"/>
      <c r="R249" s="50">
        <f t="shared" ref="R249:AU249" ca="1" si="175">IF(OR(R$99&lt;InServiceYr,R$99&gt;(InServiceYr+analysis_period-1)),0,IF($P249=0,$N249,$P249)*LaborCost*(1+$D249)^(R$99-CostBaseYr))</f>
        <v>0</v>
      </c>
      <c r="S249" s="50">
        <f t="shared" ca="1" si="175"/>
        <v>0</v>
      </c>
      <c r="T249" s="50">
        <f t="shared" ca="1" si="175"/>
        <v>0</v>
      </c>
      <c r="U249" s="50">
        <f t="shared" ca="1" si="175"/>
        <v>0</v>
      </c>
      <c r="V249" s="50">
        <f t="shared" ca="1" si="175"/>
        <v>0</v>
      </c>
      <c r="W249" s="50">
        <f t="shared" ca="1" si="175"/>
        <v>0</v>
      </c>
      <c r="X249" s="50">
        <f t="shared" ca="1" si="175"/>
        <v>0</v>
      </c>
      <c r="Y249" s="50">
        <f t="shared" ca="1" si="175"/>
        <v>0</v>
      </c>
      <c r="Z249" s="50">
        <f t="shared" ca="1" si="175"/>
        <v>0</v>
      </c>
      <c r="AA249" s="50">
        <f t="shared" ca="1" si="175"/>
        <v>0</v>
      </c>
      <c r="AB249" s="50">
        <f t="shared" ca="1" si="175"/>
        <v>0</v>
      </c>
      <c r="AC249" s="50">
        <f t="shared" ca="1" si="175"/>
        <v>0</v>
      </c>
      <c r="AD249" s="50">
        <f t="shared" ca="1" si="175"/>
        <v>0</v>
      </c>
      <c r="AE249" s="50">
        <f t="shared" ca="1" si="175"/>
        <v>0</v>
      </c>
      <c r="AF249" s="50">
        <f t="shared" ca="1" si="175"/>
        <v>0</v>
      </c>
      <c r="AG249" s="50">
        <f t="shared" ca="1" si="175"/>
        <v>0</v>
      </c>
      <c r="AH249" s="50">
        <f t="shared" ca="1" si="175"/>
        <v>0</v>
      </c>
      <c r="AI249" s="50">
        <f t="shared" ca="1" si="175"/>
        <v>0</v>
      </c>
      <c r="AJ249" s="50">
        <f t="shared" ca="1" si="175"/>
        <v>0</v>
      </c>
      <c r="AK249" s="50">
        <f t="shared" ca="1" si="175"/>
        <v>0</v>
      </c>
      <c r="AL249" s="50">
        <f t="shared" si="175"/>
        <v>0</v>
      </c>
      <c r="AM249" s="50">
        <f t="shared" si="175"/>
        <v>0</v>
      </c>
      <c r="AN249" s="50">
        <f t="shared" si="175"/>
        <v>0</v>
      </c>
      <c r="AO249" s="50">
        <f t="shared" si="175"/>
        <v>0</v>
      </c>
      <c r="AP249" s="50">
        <f t="shared" si="175"/>
        <v>0</v>
      </c>
      <c r="AQ249" s="50">
        <f t="shared" si="175"/>
        <v>0</v>
      </c>
      <c r="AR249" s="50">
        <f t="shared" si="175"/>
        <v>0</v>
      </c>
      <c r="AS249" s="50">
        <f t="shared" si="175"/>
        <v>0</v>
      </c>
      <c r="AT249" s="50">
        <f t="shared" si="175"/>
        <v>0</v>
      </c>
      <c r="AU249" s="50">
        <f t="shared" si="175"/>
        <v>0</v>
      </c>
    </row>
    <row r="250" spans="1:47">
      <c r="A250" s="38" t="str">
        <f t="shared" si="174"/>
        <v>2X-</v>
      </c>
      <c r="B250" s="38" t="s">
        <v>270</v>
      </c>
      <c r="C250" s="38" t="str">
        <f>C249</f>
        <v>Drying/Gasification/Energy Recovery</v>
      </c>
      <c r="D250" s="186">
        <f>OMEsc</f>
        <v>0.02</v>
      </c>
      <c r="E250" s="325"/>
      <c r="G250" s="36" t="s">
        <v>126</v>
      </c>
      <c r="I250" s="39"/>
      <c r="K250" s="39"/>
      <c r="L250" s="43" t="str">
        <f>"["&amp;CostBaseYr&amp;" $]"</f>
        <v>[2013 $]</v>
      </c>
      <c r="N250" s="70">
        <f ca="1">SUMIFS(OFFSET(Assumptions!$I$90,0,MATCH($A250,Configurations,0)-1,COUNT(Assumptions!$A$90:$A$183),1),Assumptions!$D$90:$D$183,$B250&amp;$C250)</f>
        <v>0</v>
      </c>
      <c r="O250" s="313"/>
      <c r="P250" s="323"/>
      <c r="Q250" s="313"/>
      <c r="R250" s="50">
        <f t="shared" ref="R250:AG252" ca="1" si="176">IF(OR(R$99&lt;InServiceYr,R$99&gt;(InServiceYr+analysis_period-1)),0,IF($P250=0,$N250,$P250)*(1+$D250)^(R$99-CostBaseYr))</f>
        <v>0</v>
      </c>
      <c r="S250" s="50">
        <f t="shared" ca="1" si="176"/>
        <v>0</v>
      </c>
      <c r="T250" s="50">
        <f t="shared" ca="1" si="176"/>
        <v>0</v>
      </c>
      <c r="U250" s="50">
        <f t="shared" ca="1" si="176"/>
        <v>0</v>
      </c>
      <c r="V250" s="50">
        <f t="shared" ca="1" si="176"/>
        <v>0</v>
      </c>
      <c r="W250" s="50">
        <f t="shared" ca="1" si="176"/>
        <v>0</v>
      </c>
      <c r="X250" s="50">
        <f t="shared" ca="1" si="176"/>
        <v>0</v>
      </c>
      <c r="Y250" s="50">
        <f t="shared" ca="1" si="176"/>
        <v>0</v>
      </c>
      <c r="Z250" s="50">
        <f t="shared" ca="1" si="176"/>
        <v>0</v>
      </c>
      <c r="AA250" s="50">
        <f t="shared" ca="1" si="176"/>
        <v>0</v>
      </c>
      <c r="AB250" s="50">
        <f t="shared" ca="1" si="176"/>
        <v>0</v>
      </c>
      <c r="AC250" s="50">
        <f t="shared" ca="1" si="176"/>
        <v>0</v>
      </c>
      <c r="AD250" s="50">
        <f t="shared" ca="1" si="176"/>
        <v>0</v>
      </c>
      <c r="AE250" s="50">
        <f t="shared" ca="1" si="176"/>
        <v>0</v>
      </c>
      <c r="AF250" s="50">
        <f t="shared" ca="1" si="176"/>
        <v>0</v>
      </c>
      <c r="AG250" s="50">
        <f t="shared" ca="1" si="176"/>
        <v>0</v>
      </c>
      <c r="AH250" s="50">
        <f t="shared" ref="S250:AU252" ca="1" si="177">IF(OR(AH$99&lt;InServiceYr,AH$99&gt;(InServiceYr+analysis_period-1)),0,IF($P250=0,$N250,$P250)*(1+$D250)^(AH$99-CostBaseYr))</f>
        <v>0</v>
      </c>
      <c r="AI250" s="50">
        <f t="shared" ca="1" si="177"/>
        <v>0</v>
      </c>
      <c r="AJ250" s="50">
        <f t="shared" ca="1" si="177"/>
        <v>0</v>
      </c>
      <c r="AK250" s="50">
        <f t="shared" ca="1" si="177"/>
        <v>0</v>
      </c>
      <c r="AL250" s="50">
        <f t="shared" si="177"/>
        <v>0</v>
      </c>
      <c r="AM250" s="50">
        <f t="shared" si="177"/>
        <v>0</v>
      </c>
      <c r="AN250" s="50">
        <f t="shared" si="177"/>
        <v>0</v>
      </c>
      <c r="AO250" s="50">
        <f t="shared" si="177"/>
        <v>0</v>
      </c>
      <c r="AP250" s="50">
        <f t="shared" si="177"/>
        <v>0</v>
      </c>
      <c r="AQ250" s="50">
        <f t="shared" si="177"/>
        <v>0</v>
      </c>
      <c r="AR250" s="50">
        <f t="shared" si="177"/>
        <v>0</v>
      </c>
      <c r="AS250" s="50">
        <f t="shared" si="177"/>
        <v>0</v>
      </c>
      <c r="AT250" s="50">
        <f t="shared" si="177"/>
        <v>0</v>
      </c>
      <c r="AU250" s="50">
        <f t="shared" si="177"/>
        <v>0</v>
      </c>
    </row>
    <row r="251" spans="1:47">
      <c r="A251" s="38" t="str">
        <f t="shared" si="174"/>
        <v>2X-</v>
      </c>
      <c r="B251" s="38" t="s">
        <v>263</v>
      </c>
      <c r="C251" s="38" t="str">
        <f t="shared" ref="C251:C255" si="178">C250</f>
        <v>Drying/Gasification/Energy Recovery</v>
      </c>
      <c r="D251" s="186">
        <f>OMEsc</f>
        <v>0.02</v>
      </c>
      <c r="E251" s="325"/>
      <c r="G251" s="36" t="s">
        <v>127</v>
      </c>
      <c r="I251" s="39"/>
      <c r="K251" s="39"/>
      <c r="L251" s="43" t="str">
        <f>"["&amp;CostBaseYr&amp;" $]"</f>
        <v>[2013 $]</v>
      </c>
      <c r="N251" s="70">
        <f ca="1">SUMIFS(OFFSET(Assumptions!$I$90,0,MATCH($A251,Configurations,0)-1,COUNT(Assumptions!$A$90:$A$183),1),Assumptions!$D$90:$D$183,$B251&amp;$C251)</f>
        <v>0</v>
      </c>
      <c r="O251" s="313"/>
      <c r="P251" s="323"/>
      <c r="Q251" s="313"/>
      <c r="R251" s="50">
        <f t="shared" ca="1" si="176"/>
        <v>0</v>
      </c>
      <c r="S251" s="50">
        <f t="shared" ca="1" si="177"/>
        <v>0</v>
      </c>
      <c r="T251" s="50">
        <f t="shared" ca="1" si="177"/>
        <v>0</v>
      </c>
      <c r="U251" s="50">
        <f t="shared" ca="1" si="177"/>
        <v>0</v>
      </c>
      <c r="V251" s="50">
        <f t="shared" ca="1" si="177"/>
        <v>0</v>
      </c>
      <c r="W251" s="50">
        <f t="shared" ca="1" si="177"/>
        <v>0</v>
      </c>
      <c r="X251" s="50">
        <f t="shared" ca="1" si="177"/>
        <v>0</v>
      </c>
      <c r="Y251" s="50">
        <f t="shared" ca="1" si="177"/>
        <v>0</v>
      </c>
      <c r="Z251" s="50">
        <f t="shared" ca="1" si="177"/>
        <v>0</v>
      </c>
      <c r="AA251" s="50">
        <f t="shared" ca="1" si="177"/>
        <v>0</v>
      </c>
      <c r="AB251" s="50">
        <f t="shared" ca="1" si="177"/>
        <v>0</v>
      </c>
      <c r="AC251" s="50">
        <f t="shared" ca="1" si="177"/>
        <v>0</v>
      </c>
      <c r="AD251" s="50">
        <f t="shared" ca="1" si="177"/>
        <v>0</v>
      </c>
      <c r="AE251" s="50">
        <f t="shared" ca="1" si="177"/>
        <v>0</v>
      </c>
      <c r="AF251" s="50">
        <f t="shared" ca="1" si="177"/>
        <v>0</v>
      </c>
      <c r="AG251" s="50">
        <f t="shared" ca="1" si="177"/>
        <v>0</v>
      </c>
      <c r="AH251" s="50">
        <f t="shared" ca="1" si="177"/>
        <v>0</v>
      </c>
      <c r="AI251" s="50">
        <f t="shared" ca="1" si="177"/>
        <v>0</v>
      </c>
      <c r="AJ251" s="50">
        <f t="shared" ca="1" si="177"/>
        <v>0</v>
      </c>
      <c r="AK251" s="50">
        <f t="shared" ca="1" si="177"/>
        <v>0</v>
      </c>
      <c r="AL251" s="50">
        <f t="shared" si="177"/>
        <v>0</v>
      </c>
      <c r="AM251" s="50">
        <f t="shared" si="177"/>
        <v>0</v>
      </c>
      <c r="AN251" s="50">
        <f t="shared" si="177"/>
        <v>0</v>
      </c>
      <c r="AO251" s="50">
        <f t="shared" si="177"/>
        <v>0</v>
      </c>
      <c r="AP251" s="50">
        <f t="shared" si="177"/>
        <v>0</v>
      </c>
      <c r="AQ251" s="50">
        <f t="shared" si="177"/>
        <v>0</v>
      </c>
      <c r="AR251" s="50">
        <f t="shared" si="177"/>
        <v>0</v>
      </c>
      <c r="AS251" s="50">
        <f t="shared" si="177"/>
        <v>0</v>
      </c>
      <c r="AT251" s="50">
        <f t="shared" si="177"/>
        <v>0</v>
      </c>
      <c r="AU251" s="50">
        <f t="shared" si="177"/>
        <v>0</v>
      </c>
    </row>
    <row r="252" spans="1:47">
      <c r="A252" s="38" t="str">
        <f t="shared" si="174"/>
        <v>2X-</v>
      </c>
      <c r="B252" s="38" t="s">
        <v>277</v>
      </c>
      <c r="C252" s="38" t="str">
        <f t="shared" si="178"/>
        <v>Drying/Gasification/Energy Recovery</v>
      </c>
      <c r="D252" s="186">
        <f>OMEsc</f>
        <v>0.02</v>
      </c>
      <c r="E252" s="325"/>
      <c r="G252" s="36" t="s">
        <v>276</v>
      </c>
      <c r="I252" s="39"/>
      <c r="K252" s="39"/>
      <c r="L252" s="43" t="str">
        <f>"["&amp;CostBaseYr&amp;" $]"</f>
        <v>[2013 $]</v>
      </c>
      <c r="N252" s="70">
        <f ca="1">SUMIFS(OFFSET(Assumptions!$I$90,0,MATCH($A252,Configurations,0)-1,COUNT(Assumptions!$A$90:$A$183),1),Assumptions!$D$90:$D$183,$B252&amp;$C252)</f>
        <v>0</v>
      </c>
      <c r="O252" s="313"/>
      <c r="P252" s="323"/>
      <c r="Q252" s="313"/>
      <c r="R252" s="50">
        <f t="shared" ca="1" si="176"/>
        <v>0</v>
      </c>
      <c r="S252" s="50">
        <f t="shared" ca="1" si="177"/>
        <v>0</v>
      </c>
      <c r="T252" s="50">
        <f t="shared" ca="1" si="177"/>
        <v>0</v>
      </c>
      <c r="U252" s="50">
        <f t="shared" ca="1" si="177"/>
        <v>0</v>
      </c>
      <c r="V252" s="50">
        <f t="shared" ca="1" si="177"/>
        <v>0</v>
      </c>
      <c r="W252" s="50">
        <f t="shared" ca="1" si="177"/>
        <v>0</v>
      </c>
      <c r="X252" s="50">
        <f t="shared" ca="1" si="177"/>
        <v>0</v>
      </c>
      <c r="Y252" s="50">
        <f t="shared" ca="1" si="177"/>
        <v>0</v>
      </c>
      <c r="Z252" s="50">
        <f t="shared" ca="1" si="177"/>
        <v>0</v>
      </c>
      <c r="AA252" s="50">
        <f t="shared" ca="1" si="177"/>
        <v>0</v>
      </c>
      <c r="AB252" s="50">
        <f t="shared" ca="1" si="177"/>
        <v>0</v>
      </c>
      <c r="AC252" s="50">
        <f t="shared" ca="1" si="177"/>
        <v>0</v>
      </c>
      <c r="AD252" s="50">
        <f t="shared" ca="1" si="177"/>
        <v>0</v>
      </c>
      <c r="AE252" s="50">
        <f t="shared" ca="1" si="177"/>
        <v>0</v>
      </c>
      <c r="AF252" s="50">
        <f t="shared" ca="1" si="177"/>
        <v>0</v>
      </c>
      <c r="AG252" s="50">
        <f t="shared" ca="1" si="177"/>
        <v>0</v>
      </c>
      <c r="AH252" s="50">
        <f t="shared" ca="1" si="177"/>
        <v>0</v>
      </c>
      <c r="AI252" s="50">
        <f t="shared" ca="1" si="177"/>
        <v>0</v>
      </c>
      <c r="AJ252" s="50">
        <f t="shared" ca="1" si="177"/>
        <v>0</v>
      </c>
      <c r="AK252" s="50">
        <f t="shared" ca="1" si="177"/>
        <v>0</v>
      </c>
      <c r="AL252" s="50">
        <f t="shared" si="177"/>
        <v>0</v>
      </c>
      <c r="AM252" s="50">
        <f t="shared" si="177"/>
        <v>0</v>
      </c>
      <c r="AN252" s="50">
        <f t="shared" si="177"/>
        <v>0</v>
      </c>
      <c r="AO252" s="50">
        <f t="shared" si="177"/>
        <v>0</v>
      </c>
      <c r="AP252" s="50">
        <f t="shared" si="177"/>
        <v>0</v>
      </c>
      <c r="AQ252" s="50">
        <f t="shared" si="177"/>
        <v>0</v>
      </c>
      <c r="AR252" s="50">
        <f t="shared" si="177"/>
        <v>0</v>
      </c>
      <c r="AS252" s="50">
        <f t="shared" si="177"/>
        <v>0</v>
      </c>
      <c r="AT252" s="50">
        <f t="shared" si="177"/>
        <v>0</v>
      </c>
      <c r="AU252" s="50">
        <f t="shared" si="177"/>
        <v>0</v>
      </c>
    </row>
    <row r="253" spans="1:47">
      <c r="A253" s="38" t="str">
        <f t="shared" si="174"/>
        <v>2X-</v>
      </c>
      <c r="B253" s="38" t="s">
        <v>274</v>
      </c>
      <c r="C253" s="38" t="str">
        <f t="shared" si="178"/>
        <v>Drying/Gasification/Energy Recovery</v>
      </c>
      <c r="D253" s="186"/>
      <c r="E253" s="325"/>
      <c r="G253" s="36" t="s">
        <v>16</v>
      </c>
      <c r="I253" s="39"/>
      <c r="K253" s="39"/>
      <c r="L253" s="43" t="s">
        <v>275</v>
      </c>
      <c r="N253" s="70">
        <f ca="1">SUMIFS(OFFSET(Assumptions!$I$90,0,MATCH($A253,Configurations,0)-1,COUNT(Assumptions!$A$90:$A$183),1),Assumptions!$D$90:$D$183,$B253&amp;$C253)</f>
        <v>0</v>
      </c>
      <c r="O253" s="313"/>
      <c r="P253" s="323"/>
      <c r="Q253" s="313"/>
      <c r="R253" s="50">
        <f t="shared" ref="R253:AU253" ca="1" si="179">IF(OR(R$99&lt;InServiceYr,R$99&gt;(InServiceYr+analysis_period-1)),0,IF($P253=0,$N253,$P253)*R$505)</f>
        <v>0</v>
      </c>
      <c r="S253" s="50">
        <f t="shared" ca="1" si="179"/>
        <v>0</v>
      </c>
      <c r="T253" s="50">
        <f t="shared" ca="1" si="179"/>
        <v>0</v>
      </c>
      <c r="U253" s="50">
        <f t="shared" ca="1" si="179"/>
        <v>0</v>
      </c>
      <c r="V253" s="50">
        <f t="shared" ca="1" si="179"/>
        <v>0</v>
      </c>
      <c r="W253" s="50">
        <f t="shared" ca="1" si="179"/>
        <v>0</v>
      </c>
      <c r="X253" s="50">
        <f t="shared" ca="1" si="179"/>
        <v>0</v>
      </c>
      <c r="Y253" s="50">
        <f t="shared" ca="1" si="179"/>
        <v>0</v>
      </c>
      <c r="Z253" s="50">
        <f t="shared" ca="1" si="179"/>
        <v>0</v>
      </c>
      <c r="AA253" s="50">
        <f t="shared" ca="1" si="179"/>
        <v>0</v>
      </c>
      <c r="AB253" s="50">
        <f t="shared" ca="1" si="179"/>
        <v>0</v>
      </c>
      <c r="AC253" s="50">
        <f t="shared" ca="1" si="179"/>
        <v>0</v>
      </c>
      <c r="AD253" s="50">
        <f t="shared" ca="1" si="179"/>
        <v>0</v>
      </c>
      <c r="AE253" s="50">
        <f t="shared" ca="1" si="179"/>
        <v>0</v>
      </c>
      <c r="AF253" s="50">
        <f t="shared" ca="1" si="179"/>
        <v>0</v>
      </c>
      <c r="AG253" s="50">
        <f t="shared" ca="1" si="179"/>
        <v>0</v>
      </c>
      <c r="AH253" s="50">
        <f t="shared" ca="1" si="179"/>
        <v>0</v>
      </c>
      <c r="AI253" s="50">
        <f t="shared" ca="1" si="179"/>
        <v>0</v>
      </c>
      <c r="AJ253" s="50">
        <f t="shared" ca="1" si="179"/>
        <v>0</v>
      </c>
      <c r="AK253" s="50">
        <f t="shared" ca="1" si="179"/>
        <v>0</v>
      </c>
      <c r="AL253" s="50">
        <f t="shared" si="179"/>
        <v>0</v>
      </c>
      <c r="AM253" s="50">
        <f t="shared" si="179"/>
        <v>0</v>
      </c>
      <c r="AN253" s="50">
        <f t="shared" si="179"/>
        <v>0</v>
      </c>
      <c r="AO253" s="50">
        <f t="shared" si="179"/>
        <v>0</v>
      </c>
      <c r="AP253" s="50">
        <f t="shared" si="179"/>
        <v>0</v>
      </c>
      <c r="AQ253" s="50">
        <f t="shared" si="179"/>
        <v>0</v>
      </c>
      <c r="AR253" s="50">
        <f t="shared" si="179"/>
        <v>0</v>
      </c>
      <c r="AS253" s="50">
        <f t="shared" si="179"/>
        <v>0</v>
      </c>
      <c r="AT253" s="50">
        <f t="shared" si="179"/>
        <v>0</v>
      </c>
      <c r="AU253" s="50">
        <f t="shared" si="179"/>
        <v>0</v>
      </c>
    </row>
    <row r="254" spans="1:47">
      <c r="A254" s="38" t="str">
        <f t="shared" si="174"/>
        <v>2X-</v>
      </c>
      <c r="B254" s="38" t="s">
        <v>257</v>
      </c>
      <c r="C254" s="38" t="str">
        <f t="shared" si="178"/>
        <v>Drying/Gasification/Energy Recovery</v>
      </c>
      <c r="D254" s="186"/>
      <c r="E254" s="325"/>
      <c r="G254" s="36" t="s">
        <v>284</v>
      </c>
      <c r="I254" s="39"/>
      <c r="K254" s="39"/>
      <c r="L254" s="43" t="s">
        <v>293</v>
      </c>
      <c r="N254" s="70">
        <f ca="1">SUMIFS(OFFSET(Assumptions!$I$90,0,MATCH($A254,Configurations,0)-1,COUNT(Assumptions!$A$90:$A$183),1),Assumptions!$D$90:$D$183,$B254&amp;$C254)</f>
        <v>0</v>
      </c>
      <c r="O254" s="313"/>
      <c r="P254" s="323"/>
      <c r="Q254" s="313"/>
      <c r="R254" s="50">
        <f t="shared" ref="R254:AU254" ca="1" si="180">IF(OR(R$99&lt;InServiceYr,R$99&gt;(InServiceYr+analysis_period-1)),0,IF($P254=0,$N254,$P254)*R$501)</f>
        <v>0</v>
      </c>
      <c r="S254" s="50">
        <f t="shared" ca="1" si="180"/>
        <v>0</v>
      </c>
      <c r="T254" s="50">
        <f t="shared" ca="1" si="180"/>
        <v>0</v>
      </c>
      <c r="U254" s="50">
        <f t="shared" ca="1" si="180"/>
        <v>0</v>
      </c>
      <c r="V254" s="50">
        <f t="shared" ca="1" si="180"/>
        <v>0</v>
      </c>
      <c r="W254" s="50">
        <f t="shared" ca="1" si="180"/>
        <v>0</v>
      </c>
      <c r="X254" s="50">
        <f t="shared" ca="1" si="180"/>
        <v>0</v>
      </c>
      <c r="Y254" s="50">
        <f t="shared" ca="1" si="180"/>
        <v>0</v>
      </c>
      <c r="Z254" s="50">
        <f t="shared" ca="1" si="180"/>
        <v>0</v>
      </c>
      <c r="AA254" s="50">
        <f t="shared" ca="1" si="180"/>
        <v>0</v>
      </c>
      <c r="AB254" s="50">
        <f t="shared" ca="1" si="180"/>
        <v>0</v>
      </c>
      <c r="AC254" s="50">
        <f t="shared" ca="1" si="180"/>
        <v>0</v>
      </c>
      <c r="AD254" s="50">
        <f t="shared" ca="1" si="180"/>
        <v>0</v>
      </c>
      <c r="AE254" s="50">
        <f t="shared" ca="1" si="180"/>
        <v>0</v>
      </c>
      <c r="AF254" s="50">
        <f t="shared" ca="1" si="180"/>
        <v>0</v>
      </c>
      <c r="AG254" s="50">
        <f t="shared" ca="1" si="180"/>
        <v>0</v>
      </c>
      <c r="AH254" s="50">
        <f t="shared" ca="1" si="180"/>
        <v>0</v>
      </c>
      <c r="AI254" s="50">
        <f t="shared" ca="1" si="180"/>
        <v>0</v>
      </c>
      <c r="AJ254" s="50">
        <f t="shared" ca="1" si="180"/>
        <v>0</v>
      </c>
      <c r="AK254" s="50">
        <f t="shared" ca="1" si="180"/>
        <v>0</v>
      </c>
      <c r="AL254" s="50">
        <f t="shared" si="180"/>
        <v>0</v>
      </c>
      <c r="AM254" s="50">
        <f t="shared" si="180"/>
        <v>0</v>
      </c>
      <c r="AN254" s="50">
        <f t="shared" si="180"/>
        <v>0</v>
      </c>
      <c r="AO254" s="50">
        <f t="shared" si="180"/>
        <v>0</v>
      </c>
      <c r="AP254" s="50">
        <f t="shared" si="180"/>
        <v>0</v>
      </c>
      <c r="AQ254" s="50">
        <f t="shared" si="180"/>
        <v>0</v>
      </c>
      <c r="AR254" s="50">
        <f t="shared" si="180"/>
        <v>0</v>
      </c>
      <c r="AS254" s="50">
        <f t="shared" si="180"/>
        <v>0</v>
      </c>
      <c r="AT254" s="50">
        <f t="shared" si="180"/>
        <v>0</v>
      </c>
      <c r="AU254" s="50">
        <f t="shared" si="180"/>
        <v>0</v>
      </c>
    </row>
    <row r="255" spans="1:47">
      <c r="A255" s="38" t="str">
        <f t="shared" si="174"/>
        <v>2X-</v>
      </c>
      <c r="B255" s="38" t="s">
        <v>864</v>
      </c>
      <c r="C255" s="38" t="str">
        <f t="shared" si="178"/>
        <v>Drying/Gasification/Energy Recovery</v>
      </c>
      <c r="D255" s="186">
        <f>GHGEsc</f>
        <v>0.02</v>
      </c>
      <c r="E255" s="325"/>
      <c r="G255" s="36" t="s">
        <v>865</v>
      </c>
      <c r="I255" s="39"/>
      <c r="K255" s="39"/>
      <c r="L255" s="43" t="s">
        <v>866</v>
      </c>
      <c r="N255" s="70">
        <f ca="1">SUMIFS(OFFSET(Assumptions!$I$90,0,MATCH($A255,Configurations,0)-1,COUNT(Assumptions!$A$90:$A$183),1),Assumptions!$D$90:$D$183,$B255&amp;$C255)</f>
        <v>0</v>
      </c>
      <c r="O255" s="313"/>
      <c r="P255" s="323"/>
      <c r="Q255" s="313"/>
      <c r="R255" s="50">
        <f t="shared" ref="R255:AU255" ca="1" si="181">IF(OR(R$99&lt;InServiceYr,R$99&gt;(InServiceYr+analysis_period-1)),0,IF($P255=0,$N255,$P255)*R$513)</f>
        <v>0</v>
      </c>
      <c r="S255" s="50">
        <f t="shared" ca="1" si="181"/>
        <v>0</v>
      </c>
      <c r="T255" s="50">
        <f t="shared" ca="1" si="181"/>
        <v>0</v>
      </c>
      <c r="U255" s="50">
        <f t="shared" ca="1" si="181"/>
        <v>0</v>
      </c>
      <c r="V255" s="50">
        <f t="shared" ca="1" si="181"/>
        <v>0</v>
      </c>
      <c r="W255" s="50">
        <f t="shared" ca="1" si="181"/>
        <v>0</v>
      </c>
      <c r="X255" s="50">
        <f t="shared" ca="1" si="181"/>
        <v>0</v>
      </c>
      <c r="Y255" s="50">
        <f t="shared" ca="1" si="181"/>
        <v>0</v>
      </c>
      <c r="Z255" s="50">
        <f t="shared" ca="1" si="181"/>
        <v>0</v>
      </c>
      <c r="AA255" s="50">
        <f t="shared" ca="1" si="181"/>
        <v>0</v>
      </c>
      <c r="AB255" s="50">
        <f t="shared" ca="1" si="181"/>
        <v>0</v>
      </c>
      <c r="AC255" s="50">
        <f t="shared" ca="1" si="181"/>
        <v>0</v>
      </c>
      <c r="AD255" s="50">
        <f t="shared" ca="1" si="181"/>
        <v>0</v>
      </c>
      <c r="AE255" s="50">
        <f t="shared" ca="1" si="181"/>
        <v>0</v>
      </c>
      <c r="AF255" s="50">
        <f t="shared" ca="1" si="181"/>
        <v>0</v>
      </c>
      <c r="AG255" s="50">
        <f t="shared" ca="1" si="181"/>
        <v>0</v>
      </c>
      <c r="AH255" s="50">
        <f t="shared" ca="1" si="181"/>
        <v>0</v>
      </c>
      <c r="AI255" s="50">
        <f t="shared" ca="1" si="181"/>
        <v>0</v>
      </c>
      <c r="AJ255" s="50">
        <f t="shared" ca="1" si="181"/>
        <v>0</v>
      </c>
      <c r="AK255" s="50">
        <f t="shared" ca="1" si="181"/>
        <v>0</v>
      </c>
      <c r="AL255" s="50">
        <f t="shared" si="181"/>
        <v>0</v>
      </c>
      <c r="AM255" s="50">
        <f t="shared" si="181"/>
        <v>0</v>
      </c>
      <c r="AN255" s="50">
        <f t="shared" si="181"/>
        <v>0</v>
      </c>
      <c r="AO255" s="50">
        <f t="shared" si="181"/>
        <v>0</v>
      </c>
      <c r="AP255" s="50">
        <f t="shared" si="181"/>
        <v>0</v>
      </c>
      <c r="AQ255" s="50">
        <f t="shared" si="181"/>
        <v>0</v>
      </c>
      <c r="AR255" s="50">
        <f t="shared" si="181"/>
        <v>0</v>
      </c>
      <c r="AS255" s="50">
        <f t="shared" si="181"/>
        <v>0</v>
      </c>
      <c r="AT255" s="50">
        <f t="shared" si="181"/>
        <v>0</v>
      </c>
      <c r="AU255" s="50">
        <f t="shared" si="181"/>
        <v>0</v>
      </c>
    </row>
    <row r="256" spans="1:47">
      <c r="A256" s="38" t="str">
        <f t="shared" si="174"/>
        <v>2X-</v>
      </c>
      <c r="B256" s="38" t="s">
        <v>273</v>
      </c>
      <c r="C256" s="38" t="str">
        <f>C254</f>
        <v>Drying/Gasification/Energy Recovery</v>
      </c>
      <c r="D256" s="186">
        <f>LaborEsc</f>
        <v>0.02</v>
      </c>
      <c r="E256" s="325"/>
      <c r="G256" s="36" t="s">
        <v>291</v>
      </c>
      <c r="I256" s="39"/>
      <c r="K256" s="39"/>
      <c r="L256" s="43" t="str">
        <f>"["&amp;CostBaseYr&amp;" $]"</f>
        <v>[2013 $]</v>
      </c>
      <c r="N256" s="70">
        <f ca="1">SUMIFS(OFFSET(Assumptions!$I$90,0,MATCH($A256,Configurations,0)-1,COUNT(Assumptions!$A$90:$A$183),1),Assumptions!$D$90:$D$183,$B256&amp;$C256)</f>
        <v>0</v>
      </c>
      <c r="O256" s="313"/>
      <c r="P256" s="323"/>
      <c r="Q256" s="313"/>
      <c r="R256" s="50">
        <f t="shared" ref="R256:AU256" ca="1" si="182">IF(OR(R$99&lt;InServiceYr,R$99&gt;(InServiceYr+analysis_period-1)),0,IF($P256=0,$N256,$P256)*(1+$D256)^(R$99-CostBaseYr))*R$509</f>
        <v>0</v>
      </c>
      <c r="S256" s="50">
        <f t="shared" ca="1" si="182"/>
        <v>0</v>
      </c>
      <c r="T256" s="50">
        <f t="shared" ca="1" si="182"/>
        <v>0</v>
      </c>
      <c r="U256" s="50">
        <f t="shared" ca="1" si="182"/>
        <v>0</v>
      </c>
      <c r="V256" s="50">
        <f t="shared" ca="1" si="182"/>
        <v>0</v>
      </c>
      <c r="W256" s="50">
        <f t="shared" ca="1" si="182"/>
        <v>0</v>
      </c>
      <c r="X256" s="50">
        <f t="shared" ca="1" si="182"/>
        <v>0</v>
      </c>
      <c r="Y256" s="50">
        <f t="shared" ca="1" si="182"/>
        <v>0</v>
      </c>
      <c r="Z256" s="50">
        <f t="shared" ca="1" si="182"/>
        <v>0</v>
      </c>
      <c r="AA256" s="50">
        <f t="shared" ca="1" si="182"/>
        <v>0</v>
      </c>
      <c r="AB256" s="50">
        <f t="shared" ca="1" si="182"/>
        <v>0</v>
      </c>
      <c r="AC256" s="50">
        <f t="shared" ca="1" si="182"/>
        <v>0</v>
      </c>
      <c r="AD256" s="50">
        <f t="shared" ca="1" si="182"/>
        <v>0</v>
      </c>
      <c r="AE256" s="50">
        <f t="shared" ca="1" si="182"/>
        <v>0</v>
      </c>
      <c r="AF256" s="50">
        <f t="shared" ca="1" si="182"/>
        <v>0</v>
      </c>
      <c r="AG256" s="50">
        <f t="shared" ca="1" si="182"/>
        <v>0</v>
      </c>
      <c r="AH256" s="50">
        <f t="shared" ca="1" si="182"/>
        <v>0</v>
      </c>
      <c r="AI256" s="50">
        <f t="shared" ca="1" si="182"/>
        <v>0</v>
      </c>
      <c r="AJ256" s="50">
        <f t="shared" ca="1" si="182"/>
        <v>0</v>
      </c>
      <c r="AK256" s="50">
        <f t="shared" ca="1" si="182"/>
        <v>0</v>
      </c>
      <c r="AL256" s="50">
        <f t="shared" si="182"/>
        <v>0</v>
      </c>
      <c r="AM256" s="50">
        <f t="shared" si="182"/>
        <v>0</v>
      </c>
      <c r="AN256" s="50">
        <f t="shared" si="182"/>
        <v>0</v>
      </c>
      <c r="AO256" s="50">
        <f t="shared" si="182"/>
        <v>0</v>
      </c>
      <c r="AP256" s="50">
        <f t="shared" si="182"/>
        <v>0</v>
      </c>
      <c r="AQ256" s="50">
        <f t="shared" si="182"/>
        <v>0</v>
      </c>
      <c r="AR256" s="50">
        <f t="shared" si="182"/>
        <v>0</v>
      </c>
      <c r="AS256" s="50">
        <f t="shared" si="182"/>
        <v>0</v>
      </c>
      <c r="AT256" s="50">
        <f t="shared" si="182"/>
        <v>0</v>
      </c>
      <c r="AU256" s="50">
        <f t="shared" si="182"/>
        <v>0</v>
      </c>
    </row>
    <row r="257" spans="1:47">
      <c r="D257" s="186"/>
      <c r="E257" s="325"/>
      <c r="G257" s="39" t="s">
        <v>304</v>
      </c>
      <c r="I257" s="39"/>
      <c r="K257" s="39"/>
      <c r="L257" s="43"/>
      <c r="N257" s="70"/>
      <c r="O257" s="313"/>
      <c r="P257" s="70"/>
      <c r="Q257" s="313"/>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row>
    <row r="258" spans="1:47">
      <c r="A258" s="38" t="str">
        <f>$J$4&amp;"-"</f>
        <v>2X-</v>
      </c>
      <c r="B258" s="38" t="s">
        <v>265</v>
      </c>
      <c r="C258" s="38" t="str">
        <f>C249</f>
        <v>Drying/Gasification/Energy Recovery</v>
      </c>
      <c r="D258" s="186"/>
      <c r="E258" s="325"/>
      <c r="G258" s="36" t="s">
        <v>108</v>
      </c>
      <c r="I258" s="39"/>
      <c r="K258" s="39"/>
      <c r="L258" s="43" t="s">
        <v>293</v>
      </c>
      <c r="N258" s="70">
        <f ca="1">SUMIFS(OFFSET(Assumptions!$I$90,0,MATCH($A258,Configurations,0)-1,COUNT(Assumptions!$A$90:$A$183),1),Assumptions!$D$90:$D$183,$B258&amp;$C258)</f>
        <v>0</v>
      </c>
      <c r="O258" s="313"/>
      <c r="P258" s="323"/>
      <c r="Q258" s="313"/>
      <c r="R258" s="50">
        <f t="shared" ref="R258:AU258" ca="1" si="183">IF(OR(R$99&lt;InServiceYr,R$99&gt;(InServiceYr+analysis_period-1)),0,IF($P258=0,$N258,$P258)*R$501)</f>
        <v>0</v>
      </c>
      <c r="S258" s="50">
        <f t="shared" ca="1" si="183"/>
        <v>0</v>
      </c>
      <c r="T258" s="50">
        <f t="shared" ca="1" si="183"/>
        <v>0</v>
      </c>
      <c r="U258" s="50">
        <f t="shared" ca="1" si="183"/>
        <v>0</v>
      </c>
      <c r="V258" s="50">
        <f t="shared" ca="1" si="183"/>
        <v>0</v>
      </c>
      <c r="W258" s="50">
        <f t="shared" ca="1" si="183"/>
        <v>0</v>
      </c>
      <c r="X258" s="50">
        <f t="shared" ca="1" si="183"/>
        <v>0</v>
      </c>
      <c r="Y258" s="50">
        <f t="shared" ca="1" si="183"/>
        <v>0</v>
      </c>
      <c r="Z258" s="50">
        <f t="shared" ca="1" si="183"/>
        <v>0</v>
      </c>
      <c r="AA258" s="50">
        <f t="shared" ca="1" si="183"/>
        <v>0</v>
      </c>
      <c r="AB258" s="50">
        <f t="shared" ca="1" si="183"/>
        <v>0</v>
      </c>
      <c r="AC258" s="50">
        <f t="shared" ca="1" si="183"/>
        <v>0</v>
      </c>
      <c r="AD258" s="50">
        <f t="shared" ca="1" si="183"/>
        <v>0</v>
      </c>
      <c r="AE258" s="50">
        <f t="shared" ca="1" si="183"/>
        <v>0</v>
      </c>
      <c r="AF258" s="50">
        <f t="shared" ca="1" si="183"/>
        <v>0</v>
      </c>
      <c r="AG258" s="50">
        <f t="shared" ca="1" si="183"/>
        <v>0</v>
      </c>
      <c r="AH258" s="50">
        <f t="shared" ca="1" si="183"/>
        <v>0</v>
      </c>
      <c r="AI258" s="50">
        <f t="shared" ca="1" si="183"/>
        <v>0</v>
      </c>
      <c r="AJ258" s="50">
        <f t="shared" ca="1" si="183"/>
        <v>0</v>
      </c>
      <c r="AK258" s="50">
        <f t="shared" ca="1" si="183"/>
        <v>0</v>
      </c>
      <c r="AL258" s="50">
        <f t="shared" si="183"/>
        <v>0</v>
      </c>
      <c r="AM258" s="50">
        <f t="shared" si="183"/>
        <v>0</v>
      </c>
      <c r="AN258" s="50">
        <f t="shared" si="183"/>
        <v>0</v>
      </c>
      <c r="AO258" s="50">
        <f t="shared" si="183"/>
        <v>0</v>
      </c>
      <c r="AP258" s="50">
        <f t="shared" si="183"/>
        <v>0</v>
      </c>
      <c r="AQ258" s="50">
        <f t="shared" si="183"/>
        <v>0</v>
      </c>
      <c r="AR258" s="50">
        <f t="shared" si="183"/>
        <v>0</v>
      </c>
      <c r="AS258" s="50">
        <f t="shared" si="183"/>
        <v>0</v>
      </c>
      <c r="AT258" s="50">
        <f t="shared" si="183"/>
        <v>0</v>
      </c>
      <c r="AU258" s="50">
        <f t="shared" si="183"/>
        <v>0</v>
      </c>
    </row>
    <row r="259" spans="1:47">
      <c r="A259" s="38" t="str">
        <f>$J$4&amp;"-"</f>
        <v>2X-</v>
      </c>
      <c r="B259" s="38" t="s">
        <v>289</v>
      </c>
      <c r="C259" s="38" t="str">
        <f>C249</f>
        <v>Drying/Gasification/Energy Recovery</v>
      </c>
      <c r="D259" s="186">
        <f>LaborEsc</f>
        <v>0.02</v>
      </c>
      <c r="E259" s="325"/>
      <c r="G259" s="36" t="s">
        <v>292</v>
      </c>
      <c r="I259" s="39"/>
      <c r="K259" s="39"/>
      <c r="L259" s="43" t="str">
        <f>"["&amp;CostBaseYr&amp;" $]"</f>
        <v>[2013 $]</v>
      </c>
      <c r="N259" s="70">
        <f ca="1">SUMIFS(OFFSET(Assumptions!$I$90,0,MATCH($A259,Configurations,0)-1,COUNT(Assumptions!$A$90:$A$183),1),Assumptions!$D$90:$D$183,$B259&amp;$C259)</f>
        <v>0</v>
      </c>
      <c r="O259" s="313"/>
      <c r="P259" s="323"/>
      <c r="Q259" s="313"/>
      <c r="R259" s="50">
        <f t="shared" ref="R259:AU259" ca="1" si="184">IF(OR(R$99&lt;InServiceYr,R$99&gt;(InServiceYr+analysis_period-1)),0,IF($P259=0,$N259,$P259)*(1+$D259)^(R$99-CostBaseYr))</f>
        <v>0</v>
      </c>
      <c r="S259" s="50">
        <f t="shared" ca="1" si="184"/>
        <v>0</v>
      </c>
      <c r="T259" s="50">
        <f t="shared" ca="1" si="184"/>
        <v>0</v>
      </c>
      <c r="U259" s="50">
        <f t="shared" ca="1" si="184"/>
        <v>0</v>
      </c>
      <c r="V259" s="50">
        <f t="shared" ca="1" si="184"/>
        <v>0</v>
      </c>
      <c r="W259" s="50">
        <f t="shared" ca="1" si="184"/>
        <v>0</v>
      </c>
      <c r="X259" s="50">
        <f t="shared" ca="1" si="184"/>
        <v>0</v>
      </c>
      <c r="Y259" s="50">
        <f t="shared" ca="1" si="184"/>
        <v>0</v>
      </c>
      <c r="Z259" s="50">
        <f t="shared" ca="1" si="184"/>
        <v>0</v>
      </c>
      <c r="AA259" s="50">
        <f t="shared" ca="1" si="184"/>
        <v>0</v>
      </c>
      <c r="AB259" s="50">
        <f t="shared" ca="1" si="184"/>
        <v>0</v>
      </c>
      <c r="AC259" s="50">
        <f t="shared" ca="1" si="184"/>
        <v>0</v>
      </c>
      <c r="AD259" s="50">
        <f t="shared" ca="1" si="184"/>
        <v>0</v>
      </c>
      <c r="AE259" s="50">
        <f t="shared" ca="1" si="184"/>
        <v>0</v>
      </c>
      <c r="AF259" s="50">
        <f t="shared" ca="1" si="184"/>
        <v>0</v>
      </c>
      <c r="AG259" s="50">
        <f t="shared" ca="1" si="184"/>
        <v>0</v>
      </c>
      <c r="AH259" s="50">
        <f t="shared" ca="1" si="184"/>
        <v>0</v>
      </c>
      <c r="AI259" s="50">
        <f t="shared" ca="1" si="184"/>
        <v>0</v>
      </c>
      <c r="AJ259" s="50">
        <f t="shared" ca="1" si="184"/>
        <v>0</v>
      </c>
      <c r="AK259" s="50">
        <f t="shared" ca="1" si="184"/>
        <v>0</v>
      </c>
      <c r="AL259" s="50">
        <f t="shared" si="184"/>
        <v>0</v>
      </c>
      <c r="AM259" s="50">
        <f t="shared" si="184"/>
        <v>0</v>
      </c>
      <c r="AN259" s="50">
        <f t="shared" si="184"/>
        <v>0</v>
      </c>
      <c r="AO259" s="50">
        <f t="shared" si="184"/>
        <v>0</v>
      </c>
      <c r="AP259" s="50">
        <f t="shared" si="184"/>
        <v>0</v>
      </c>
      <c r="AQ259" s="50">
        <f t="shared" si="184"/>
        <v>0</v>
      </c>
      <c r="AR259" s="50">
        <f t="shared" si="184"/>
        <v>0</v>
      </c>
      <c r="AS259" s="50">
        <f t="shared" si="184"/>
        <v>0</v>
      </c>
      <c r="AT259" s="50">
        <f t="shared" si="184"/>
        <v>0</v>
      </c>
      <c r="AU259" s="50">
        <f t="shared" si="184"/>
        <v>0</v>
      </c>
    </row>
    <row r="260" spans="1:47" s="60" customFormat="1">
      <c r="D260" s="187"/>
      <c r="E260" s="325"/>
      <c r="G260" s="39" t="s">
        <v>305</v>
      </c>
      <c r="I260" s="39"/>
      <c r="K260" s="39"/>
      <c r="L260" s="174"/>
      <c r="N260" s="188"/>
      <c r="O260" s="314"/>
      <c r="P260" s="185"/>
      <c r="Q260" s="314"/>
      <c r="R260" s="185">
        <f ca="1">SUM(R249:R256)-SUM(R258:R259)</f>
        <v>0</v>
      </c>
      <c r="S260" s="185">
        <f t="shared" ref="S260:AU260" ca="1" si="185">SUM(S249:S256)-SUM(S258:S259)</f>
        <v>0</v>
      </c>
      <c r="T260" s="185">
        <f t="shared" ca="1" si="185"/>
        <v>0</v>
      </c>
      <c r="U260" s="185">
        <f t="shared" ca="1" si="185"/>
        <v>0</v>
      </c>
      <c r="V260" s="185">
        <f t="shared" ca="1" si="185"/>
        <v>0</v>
      </c>
      <c r="W260" s="185">
        <f t="shared" ca="1" si="185"/>
        <v>0</v>
      </c>
      <c r="X260" s="185">
        <f t="shared" ca="1" si="185"/>
        <v>0</v>
      </c>
      <c r="Y260" s="185">
        <f t="shared" ca="1" si="185"/>
        <v>0</v>
      </c>
      <c r="Z260" s="185">
        <f t="shared" ca="1" si="185"/>
        <v>0</v>
      </c>
      <c r="AA260" s="185">
        <f t="shared" ca="1" si="185"/>
        <v>0</v>
      </c>
      <c r="AB260" s="185">
        <f t="shared" ca="1" si="185"/>
        <v>0</v>
      </c>
      <c r="AC260" s="185">
        <f t="shared" ca="1" si="185"/>
        <v>0</v>
      </c>
      <c r="AD260" s="185">
        <f t="shared" ca="1" si="185"/>
        <v>0</v>
      </c>
      <c r="AE260" s="185">
        <f t="shared" ca="1" si="185"/>
        <v>0</v>
      </c>
      <c r="AF260" s="185">
        <f t="shared" ca="1" si="185"/>
        <v>0</v>
      </c>
      <c r="AG260" s="185">
        <f t="shared" ca="1" si="185"/>
        <v>0</v>
      </c>
      <c r="AH260" s="185">
        <f t="shared" ca="1" si="185"/>
        <v>0</v>
      </c>
      <c r="AI260" s="185">
        <f t="shared" ca="1" si="185"/>
        <v>0</v>
      </c>
      <c r="AJ260" s="185">
        <f t="shared" ca="1" si="185"/>
        <v>0</v>
      </c>
      <c r="AK260" s="185">
        <f t="shared" ca="1" si="185"/>
        <v>0</v>
      </c>
      <c r="AL260" s="185">
        <f t="shared" si="185"/>
        <v>0</v>
      </c>
      <c r="AM260" s="185">
        <f t="shared" si="185"/>
        <v>0</v>
      </c>
      <c r="AN260" s="185">
        <f t="shared" si="185"/>
        <v>0</v>
      </c>
      <c r="AO260" s="185">
        <f t="shared" si="185"/>
        <v>0</v>
      </c>
      <c r="AP260" s="185">
        <f t="shared" si="185"/>
        <v>0</v>
      </c>
      <c r="AQ260" s="185">
        <f t="shared" si="185"/>
        <v>0</v>
      </c>
      <c r="AR260" s="185">
        <f t="shared" si="185"/>
        <v>0</v>
      </c>
      <c r="AS260" s="185">
        <f t="shared" si="185"/>
        <v>0</v>
      </c>
      <c r="AT260" s="185">
        <f t="shared" si="185"/>
        <v>0</v>
      </c>
      <c r="AU260" s="185">
        <f t="shared" si="185"/>
        <v>0</v>
      </c>
    </row>
    <row r="261" spans="1:47">
      <c r="E261" s="36"/>
      <c r="G261" s="39"/>
      <c r="H261" s="39"/>
      <c r="I261" s="39"/>
      <c r="J261" s="39"/>
      <c r="K261" s="39"/>
    </row>
    <row r="262" spans="1:47">
      <c r="E262" s="327"/>
      <c r="F262" s="28"/>
      <c r="G262" s="324" t="str">
        <f>C264&amp;" Capital Costs"</f>
        <v>Energy Recovery Capital Costs</v>
      </c>
      <c r="H262" s="324"/>
      <c r="I262" s="324"/>
      <c r="J262" s="324"/>
      <c r="K262" s="324"/>
      <c r="L262" s="405" t="s">
        <v>79</v>
      </c>
      <c r="M262" s="256"/>
      <c r="N262" s="325" t="s">
        <v>490</v>
      </c>
      <c r="O262" s="311"/>
      <c r="P262" s="325" t="s">
        <v>491</v>
      </c>
      <c r="Q262" s="310"/>
      <c r="R262" s="325">
        <f>R$8</f>
        <v>2014</v>
      </c>
      <c r="S262" s="325">
        <f t="shared" ref="S262:AU262" si="186">S$8</f>
        <v>2015</v>
      </c>
      <c r="T262" s="325">
        <f t="shared" si="186"/>
        <v>2016</v>
      </c>
      <c r="U262" s="325">
        <f t="shared" si="186"/>
        <v>2017</v>
      </c>
      <c r="V262" s="325">
        <f t="shared" si="186"/>
        <v>2018</v>
      </c>
      <c r="W262" s="325">
        <f t="shared" si="186"/>
        <v>2019</v>
      </c>
      <c r="X262" s="325">
        <f t="shared" si="186"/>
        <v>2020</v>
      </c>
      <c r="Y262" s="325">
        <f t="shared" si="186"/>
        <v>2021</v>
      </c>
      <c r="Z262" s="325">
        <f t="shared" si="186"/>
        <v>2022</v>
      </c>
      <c r="AA262" s="325">
        <f t="shared" si="186"/>
        <v>2023</v>
      </c>
      <c r="AB262" s="325">
        <f t="shared" si="186"/>
        <v>2024</v>
      </c>
      <c r="AC262" s="325">
        <f t="shared" si="186"/>
        <v>2025</v>
      </c>
      <c r="AD262" s="325">
        <f t="shared" si="186"/>
        <v>2026</v>
      </c>
      <c r="AE262" s="325">
        <f t="shared" si="186"/>
        <v>2027</v>
      </c>
      <c r="AF262" s="325">
        <f t="shared" si="186"/>
        <v>2028</v>
      </c>
      <c r="AG262" s="325">
        <f t="shared" si="186"/>
        <v>2029</v>
      </c>
      <c r="AH262" s="325">
        <f t="shared" si="186"/>
        <v>2030</v>
      </c>
      <c r="AI262" s="325">
        <f t="shared" si="186"/>
        <v>2031</v>
      </c>
      <c r="AJ262" s="325">
        <f t="shared" si="186"/>
        <v>2032</v>
      </c>
      <c r="AK262" s="325">
        <f t="shared" si="186"/>
        <v>2033</v>
      </c>
      <c r="AL262" s="325">
        <f t="shared" si="186"/>
        <v>2034</v>
      </c>
      <c r="AM262" s="325">
        <f t="shared" si="186"/>
        <v>2035</v>
      </c>
      <c r="AN262" s="325">
        <f t="shared" si="186"/>
        <v>2036</v>
      </c>
      <c r="AO262" s="325">
        <f t="shared" si="186"/>
        <v>2037</v>
      </c>
      <c r="AP262" s="325">
        <f t="shared" si="186"/>
        <v>2038</v>
      </c>
      <c r="AQ262" s="325">
        <f t="shared" si="186"/>
        <v>2039</v>
      </c>
      <c r="AR262" s="325">
        <f t="shared" si="186"/>
        <v>2040</v>
      </c>
      <c r="AS262" s="325">
        <f t="shared" si="186"/>
        <v>2041</v>
      </c>
      <c r="AT262" s="325">
        <f t="shared" si="186"/>
        <v>2042</v>
      </c>
      <c r="AU262" s="325">
        <f t="shared" si="186"/>
        <v>2043</v>
      </c>
    </row>
    <row r="263" spans="1:47">
      <c r="E263" s="325"/>
      <c r="G263" s="39"/>
      <c r="H263" s="39"/>
      <c r="I263" s="39"/>
      <c r="J263" s="39"/>
      <c r="K263" s="39"/>
    </row>
    <row r="264" spans="1:47">
      <c r="A264" s="38" t="str">
        <f>$J$4&amp;"-"</f>
        <v>2X-</v>
      </c>
      <c r="B264" s="38" t="s">
        <v>306</v>
      </c>
      <c r="C264" s="38" t="s">
        <v>321</v>
      </c>
      <c r="D264" s="186">
        <f>CapExEsc</f>
        <v>0.03</v>
      </c>
      <c r="E264" s="325"/>
      <c r="G264" s="36" t="s">
        <v>8</v>
      </c>
      <c r="H264" s="39"/>
      <c r="I264" s="39"/>
      <c r="J264" s="70"/>
      <c r="K264" s="39"/>
      <c r="L264" s="43" t="str">
        <f>"["&amp;CostBaseYr&amp;" $]"</f>
        <v>[2013 $]</v>
      </c>
      <c r="N264" s="52">
        <f ca="1">SUMIFS(OFFSET(Assumptions!$I$65,0,MATCH($A264,Configurations,0)-1,COUNT(Assumptions!$A$65:$A$84),1),Assumptions!$E$65:$E$84,$C264)</f>
        <v>0</v>
      </c>
      <c r="O264" s="52"/>
      <c r="P264" s="322"/>
      <c r="Q264" s="52"/>
      <c r="R264" s="52">
        <f t="shared" ref="R264:AU264" ca="1" si="187">R265*IF($P264=0,$N264,$P264)*(1+$D264)^(R$8-CostBaseYr)</f>
        <v>0</v>
      </c>
      <c r="S264" s="52">
        <f t="shared" ca="1" si="187"/>
        <v>0</v>
      </c>
      <c r="T264" s="52">
        <f t="shared" ca="1" si="187"/>
        <v>0</v>
      </c>
      <c r="U264" s="52">
        <f t="shared" ca="1" si="187"/>
        <v>0</v>
      </c>
      <c r="V264" s="52">
        <f t="shared" ca="1" si="187"/>
        <v>0</v>
      </c>
      <c r="W264" s="52">
        <f t="shared" ca="1" si="187"/>
        <v>0</v>
      </c>
      <c r="X264" s="52">
        <f t="shared" ca="1" si="187"/>
        <v>0</v>
      </c>
      <c r="Y264" s="52">
        <f t="shared" ca="1" si="187"/>
        <v>0</v>
      </c>
      <c r="Z264" s="52">
        <f t="shared" ca="1" si="187"/>
        <v>0</v>
      </c>
      <c r="AA264" s="52">
        <f t="shared" ca="1" si="187"/>
        <v>0</v>
      </c>
      <c r="AB264" s="52">
        <f t="shared" ca="1" si="187"/>
        <v>0</v>
      </c>
      <c r="AC264" s="52">
        <f t="shared" ca="1" si="187"/>
        <v>0</v>
      </c>
      <c r="AD264" s="52">
        <f t="shared" ca="1" si="187"/>
        <v>0</v>
      </c>
      <c r="AE264" s="52">
        <f t="shared" ca="1" si="187"/>
        <v>0</v>
      </c>
      <c r="AF264" s="52">
        <f t="shared" ca="1" si="187"/>
        <v>0</v>
      </c>
      <c r="AG264" s="52">
        <f t="shared" ca="1" si="187"/>
        <v>0</v>
      </c>
      <c r="AH264" s="52">
        <f t="shared" ca="1" si="187"/>
        <v>0</v>
      </c>
      <c r="AI264" s="52">
        <f t="shared" ca="1" si="187"/>
        <v>0</v>
      </c>
      <c r="AJ264" s="52">
        <f t="shared" ca="1" si="187"/>
        <v>0</v>
      </c>
      <c r="AK264" s="52">
        <f t="shared" ca="1" si="187"/>
        <v>0</v>
      </c>
      <c r="AL264" s="52">
        <f t="shared" ca="1" si="187"/>
        <v>0</v>
      </c>
      <c r="AM264" s="52">
        <f t="shared" ca="1" si="187"/>
        <v>0</v>
      </c>
      <c r="AN264" s="52">
        <f t="shared" ca="1" si="187"/>
        <v>0</v>
      </c>
      <c r="AO264" s="52">
        <f t="shared" ca="1" si="187"/>
        <v>0</v>
      </c>
      <c r="AP264" s="52">
        <f t="shared" ca="1" si="187"/>
        <v>0</v>
      </c>
      <c r="AQ264" s="52">
        <f t="shared" ca="1" si="187"/>
        <v>0</v>
      </c>
      <c r="AR264" s="52">
        <f t="shared" ca="1" si="187"/>
        <v>0</v>
      </c>
      <c r="AS264" s="52">
        <f t="shared" ca="1" si="187"/>
        <v>0</v>
      </c>
      <c r="AT264" s="52">
        <f t="shared" ca="1" si="187"/>
        <v>0</v>
      </c>
      <c r="AU264" s="52">
        <f t="shared" ca="1" si="187"/>
        <v>0</v>
      </c>
    </row>
    <row r="265" spans="1:47">
      <c r="E265" s="325"/>
      <c r="G265" s="36" t="s">
        <v>10</v>
      </c>
      <c r="H265" s="39"/>
      <c r="I265" s="39"/>
      <c r="J265" s="39"/>
      <c r="K265" s="39"/>
      <c r="L265" s="43"/>
      <c r="R265" s="54">
        <f>Assumptions!M$60</f>
        <v>1</v>
      </c>
      <c r="S265" s="54">
        <f>Assumptions!N$60</f>
        <v>0</v>
      </c>
      <c r="T265" s="54">
        <f>Assumptions!O$60</f>
        <v>0</v>
      </c>
      <c r="U265" s="54">
        <f>Assumptions!P$60</f>
        <v>0</v>
      </c>
      <c r="V265" s="54">
        <f>Assumptions!Q$60</f>
        <v>0</v>
      </c>
      <c r="W265" s="54">
        <f>Assumptions!R$60</f>
        <v>0</v>
      </c>
      <c r="X265" s="54">
        <f>Assumptions!S$60</f>
        <v>0</v>
      </c>
      <c r="Y265" s="54">
        <f>Assumptions!T$60</f>
        <v>0</v>
      </c>
      <c r="Z265" s="54">
        <f>Assumptions!U$60</f>
        <v>0</v>
      </c>
      <c r="AA265" s="54">
        <f>Assumptions!V$60</f>
        <v>0</v>
      </c>
      <c r="AB265" s="54">
        <f>Assumptions!W$60</f>
        <v>0</v>
      </c>
      <c r="AC265" s="54">
        <f>Assumptions!X$60</f>
        <v>0</v>
      </c>
      <c r="AD265" s="54">
        <f>Assumptions!Y$60</f>
        <v>0</v>
      </c>
      <c r="AE265" s="54">
        <f>Assumptions!Z$60</f>
        <v>0</v>
      </c>
      <c r="AF265" s="54">
        <f>Assumptions!AA$60</f>
        <v>0</v>
      </c>
      <c r="AG265" s="54">
        <f>Assumptions!AB$60</f>
        <v>0</v>
      </c>
      <c r="AH265" s="54">
        <f>Assumptions!AC$60</f>
        <v>0</v>
      </c>
      <c r="AI265" s="54">
        <f>Assumptions!AD$60</f>
        <v>0</v>
      </c>
      <c r="AJ265" s="54">
        <f>Assumptions!AE$60</f>
        <v>0</v>
      </c>
      <c r="AK265" s="54">
        <f>Assumptions!AF$60</f>
        <v>0</v>
      </c>
      <c r="AL265" s="54">
        <f>Assumptions!AG$60</f>
        <v>0</v>
      </c>
      <c r="AM265" s="54">
        <f>Assumptions!AH$60</f>
        <v>0</v>
      </c>
      <c r="AN265" s="54">
        <f>Assumptions!AI$60</f>
        <v>0</v>
      </c>
      <c r="AO265" s="54">
        <f>Assumptions!AJ$60</f>
        <v>0</v>
      </c>
      <c r="AP265" s="54">
        <f>Assumptions!AK$60</f>
        <v>0</v>
      </c>
      <c r="AQ265" s="54">
        <f>Assumptions!AL$60</f>
        <v>0</v>
      </c>
      <c r="AR265" s="54">
        <f>Assumptions!AM$60</f>
        <v>0</v>
      </c>
      <c r="AS265" s="54">
        <f>Assumptions!AN$60</f>
        <v>0</v>
      </c>
      <c r="AT265" s="54">
        <f>Assumptions!AO$60</f>
        <v>0</v>
      </c>
      <c r="AU265" s="54">
        <f>Assumptions!AP$60</f>
        <v>0</v>
      </c>
    </row>
    <row r="266" spans="1:47">
      <c r="E266" s="326"/>
      <c r="G266" s="39"/>
      <c r="H266" s="39"/>
      <c r="I266" s="39"/>
      <c r="J266" s="39"/>
      <c r="K266" s="39"/>
    </row>
    <row r="267" spans="1:47">
      <c r="E267" s="327"/>
      <c r="F267" s="28"/>
      <c r="G267" s="324" t="str">
        <f>C264&amp;" O&amp;M"</f>
        <v>Energy Recovery O&amp;M</v>
      </c>
      <c r="H267" s="324"/>
      <c r="I267" s="324"/>
      <c r="J267" s="324"/>
      <c r="K267" s="324"/>
      <c r="L267" s="405" t="s">
        <v>79</v>
      </c>
      <c r="M267" s="256"/>
      <c r="N267" s="325" t="s">
        <v>490</v>
      </c>
      <c r="O267" s="311"/>
      <c r="P267" s="325" t="s">
        <v>491</v>
      </c>
      <c r="Q267" s="310"/>
      <c r="R267" s="325">
        <f>R$8</f>
        <v>2014</v>
      </c>
      <c r="S267" s="325">
        <f t="shared" ref="S267:AU267" si="188">S$8</f>
        <v>2015</v>
      </c>
      <c r="T267" s="325">
        <f t="shared" si="188"/>
        <v>2016</v>
      </c>
      <c r="U267" s="325">
        <f t="shared" si="188"/>
        <v>2017</v>
      </c>
      <c r="V267" s="325">
        <f t="shared" si="188"/>
        <v>2018</v>
      </c>
      <c r="W267" s="325">
        <f t="shared" si="188"/>
        <v>2019</v>
      </c>
      <c r="X267" s="325">
        <f t="shared" si="188"/>
        <v>2020</v>
      </c>
      <c r="Y267" s="325">
        <f t="shared" si="188"/>
        <v>2021</v>
      </c>
      <c r="Z267" s="325">
        <f t="shared" si="188"/>
        <v>2022</v>
      </c>
      <c r="AA267" s="325">
        <f t="shared" si="188"/>
        <v>2023</v>
      </c>
      <c r="AB267" s="325">
        <f t="shared" si="188"/>
        <v>2024</v>
      </c>
      <c r="AC267" s="325">
        <f t="shared" si="188"/>
        <v>2025</v>
      </c>
      <c r="AD267" s="325">
        <f t="shared" si="188"/>
        <v>2026</v>
      </c>
      <c r="AE267" s="325">
        <f t="shared" si="188"/>
        <v>2027</v>
      </c>
      <c r="AF267" s="325">
        <f t="shared" si="188"/>
        <v>2028</v>
      </c>
      <c r="AG267" s="325">
        <f t="shared" si="188"/>
        <v>2029</v>
      </c>
      <c r="AH267" s="325">
        <f t="shared" si="188"/>
        <v>2030</v>
      </c>
      <c r="AI267" s="325">
        <f t="shared" si="188"/>
        <v>2031</v>
      </c>
      <c r="AJ267" s="325">
        <f t="shared" si="188"/>
        <v>2032</v>
      </c>
      <c r="AK267" s="325">
        <f t="shared" si="188"/>
        <v>2033</v>
      </c>
      <c r="AL267" s="325">
        <f t="shared" si="188"/>
        <v>2034</v>
      </c>
      <c r="AM267" s="325">
        <f t="shared" si="188"/>
        <v>2035</v>
      </c>
      <c r="AN267" s="325">
        <f t="shared" si="188"/>
        <v>2036</v>
      </c>
      <c r="AO267" s="325">
        <f t="shared" si="188"/>
        <v>2037</v>
      </c>
      <c r="AP267" s="325">
        <f t="shared" si="188"/>
        <v>2038</v>
      </c>
      <c r="AQ267" s="325">
        <f t="shared" si="188"/>
        <v>2039</v>
      </c>
      <c r="AR267" s="325">
        <f t="shared" si="188"/>
        <v>2040</v>
      </c>
      <c r="AS267" s="325">
        <f t="shared" si="188"/>
        <v>2041</v>
      </c>
      <c r="AT267" s="325">
        <f t="shared" si="188"/>
        <v>2042</v>
      </c>
      <c r="AU267" s="325">
        <f t="shared" si="188"/>
        <v>2043</v>
      </c>
    </row>
    <row r="268" spans="1:47">
      <c r="E268" s="325"/>
      <c r="G268" s="39"/>
      <c r="H268" s="39"/>
      <c r="I268" s="39"/>
      <c r="J268" s="39"/>
      <c r="K268" s="39"/>
    </row>
    <row r="269" spans="1:47">
      <c r="E269" s="325"/>
      <c r="G269" s="39" t="s">
        <v>23</v>
      </c>
      <c r="H269" s="39"/>
      <c r="I269" s="39"/>
      <c r="J269" s="39"/>
      <c r="K269" s="39"/>
    </row>
    <row r="270" spans="1:47">
      <c r="A270" s="38" t="str">
        <f t="shared" ref="A270:A277" si="189">$J$4&amp;"-"</f>
        <v>2X-</v>
      </c>
      <c r="B270" s="38" t="s">
        <v>262</v>
      </c>
      <c r="C270" s="38" t="str">
        <f>C264</f>
        <v>Energy Recovery</v>
      </c>
      <c r="D270" s="186">
        <f>LaborEsc</f>
        <v>0.02</v>
      </c>
      <c r="E270" s="325"/>
      <c r="G270" s="36" t="s">
        <v>125</v>
      </c>
      <c r="I270" s="39"/>
      <c r="K270" s="39"/>
      <c r="L270" s="43" t="s">
        <v>266</v>
      </c>
      <c r="N270" s="70">
        <f ca="1">SUMIFS(OFFSET(Assumptions!$I$90,0,MATCH($A270,Configurations,0)-1,COUNT(Assumptions!$A$90:$A$183),1),Assumptions!$D$90:$D$183,$B270&amp;$C270)</f>
        <v>0</v>
      </c>
      <c r="O270" s="313"/>
      <c r="P270" s="323"/>
      <c r="Q270" s="313"/>
      <c r="R270" s="50">
        <f t="shared" ref="R270:AU270" ca="1" si="190">IF(OR(R$99&lt;InServiceYr,R$99&gt;(InServiceYr+analysis_period-1)),0,IF($P270=0,$N270,$P270)*LaborCost*(1+$D270)^(R$99-CostBaseYr))</f>
        <v>0</v>
      </c>
      <c r="S270" s="50">
        <f t="shared" ca="1" si="190"/>
        <v>0</v>
      </c>
      <c r="T270" s="50">
        <f t="shared" ca="1" si="190"/>
        <v>0</v>
      </c>
      <c r="U270" s="50">
        <f t="shared" ca="1" si="190"/>
        <v>0</v>
      </c>
      <c r="V270" s="50">
        <f t="shared" ca="1" si="190"/>
        <v>0</v>
      </c>
      <c r="W270" s="50">
        <f t="shared" ca="1" si="190"/>
        <v>0</v>
      </c>
      <c r="X270" s="50">
        <f t="shared" ca="1" si="190"/>
        <v>0</v>
      </c>
      <c r="Y270" s="50">
        <f t="shared" ca="1" si="190"/>
        <v>0</v>
      </c>
      <c r="Z270" s="50">
        <f t="shared" ca="1" si="190"/>
        <v>0</v>
      </c>
      <c r="AA270" s="50">
        <f t="shared" ca="1" si="190"/>
        <v>0</v>
      </c>
      <c r="AB270" s="50">
        <f t="shared" ca="1" si="190"/>
        <v>0</v>
      </c>
      <c r="AC270" s="50">
        <f t="shared" ca="1" si="190"/>
        <v>0</v>
      </c>
      <c r="AD270" s="50">
        <f t="shared" ca="1" si="190"/>
        <v>0</v>
      </c>
      <c r="AE270" s="50">
        <f t="shared" ca="1" si="190"/>
        <v>0</v>
      </c>
      <c r="AF270" s="50">
        <f t="shared" ca="1" si="190"/>
        <v>0</v>
      </c>
      <c r="AG270" s="50">
        <f t="shared" ca="1" si="190"/>
        <v>0</v>
      </c>
      <c r="AH270" s="50">
        <f t="shared" ca="1" si="190"/>
        <v>0</v>
      </c>
      <c r="AI270" s="50">
        <f t="shared" ca="1" si="190"/>
        <v>0</v>
      </c>
      <c r="AJ270" s="50">
        <f t="shared" ca="1" si="190"/>
        <v>0</v>
      </c>
      <c r="AK270" s="50">
        <f t="shared" ca="1" si="190"/>
        <v>0</v>
      </c>
      <c r="AL270" s="50">
        <f t="shared" si="190"/>
        <v>0</v>
      </c>
      <c r="AM270" s="50">
        <f t="shared" si="190"/>
        <v>0</v>
      </c>
      <c r="AN270" s="50">
        <f t="shared" si="190"/>
        <v>0</v>
      </c>
      <c r="AO270" s="50">
        <f t="shared" si="190"/>
        <v>0</v>
      </c>
      <c r="AP270" s="50">
        <f t="shared" si="190"/>
        <v>0</v>
      </c>
      <c r="AQ270" s="50">
        <f t="shared" si="190"/>
        <v>0</v>
      </c>
      <c r="AR270" s="50">
        <f t="shared" si="190"/>
        <v>0</v>
      </c>
      <c r="AS270" s="50">
        <f t="shared" si="190"/>
        <v>0</v>
      </c>
      <c r="AT270" s="50">
        <f t="shared" si="190"/>
        <v>0</v>
      </c>
      <c r="AU270" s="50">
        <f t="shared" si="190"/>
        <v>0</v>
      </c>
    </row>
    <row r="271" spans="1:47">
      <c r="A271" s="38" t="str">
        <f t="shared" si="189"/>
        <v>2X-</v>
      </c>
      <c r="B271" s="38" t="s">
        <v>270</v>
      </c>
      <c r="C271" s="38" t="str">
        <f>C270</f>
        <v>Energy Recovery</v>
      </c>
      <c r="D271" s="186">
        <f>OMEsc</f>
        <v>0.02</v>
      </c>
      <c r="E271" s="325"/>
      <c r="G271" s="36" t="s">
        <v>126</v>
      </c>
      <c r="I271" s="39"/>
      <c r="K271" s="39"/>
      <c r="L271" s="43" t="str">
        <f>"["&amp;CostBaseYr&amp;" $]"</f>
        <v>[2013 $]</v>
      </c>
      <c r="N271" s="70">
        <f ca="1">SUMIFS(OFFSET(Assumptions!$I$90,0,MATCH($A271,Configurations,0)-1,COUNT(Assumptions!$A$90:$A$183),1),Assumptions!$D$90:$D$183,$B271&amp;$C271)</f>
        <v>0</v>
      </c>
      <c r="O271" s="313"/>
      <c r="P271" s="323"/>
      <c r="Q271" s="313"/>
      <c r="R271" s="50">
        <f t="shared" ref="R271:AG273" ca="1" si="191">IF(OR(R$99&lt;InServiceYr,R$99&gt;(InServiceYr+analysis_period-1)),0,IF($P271=0,$N271,$P271)*(1+$D271)^(R$99-CostBaseYr))</f>
        <v>0</v>
      </c>
      <c r="S271" s="50">
        <f t="shared" ca="1" si="191"/>
        <v>0</v>
      </c>
      <c r="T271" s="50">
        <f t="shared" ca="1" si="191"/>
        <v>0</v>
      </c>
      <c r="U271" s="50">
        <f t="shared" ca="1" si="191"/>
        <v>0</v>
      </c>
      <c r="V271" s="50">
        <f t="shared" ca="1" si="191"/>
        <v>0</v>
      </c>
      <c r="W271" s="50">
        <f t="shared" ca="1" si="191"/>
        <v>0</v>
      </c>
      <c r="X271" s="50">
        <f t="shared" ca="1" si="191"/>
        <v>0</v>
      </c>
      <c r="Y271" s="50">
        <f t="shared" ca="1" si="191"/>
        <v>0</v>
      </c>
      <c r="Z271" s="50">
        <f t="shared" ca="1" si="191"/>
        <v>0</v>
      </c>
      <c r="AA271" s="50">
        <f t="shared" ca="1" si="191"/>
        <v>0</v>
      </c>
      <c r="AB271" s="50">
        <f t="shared" ca="1" si="191"/>
        <v>0</v>
      </c>
      <c r="AC271" s="50">
        <f t="shared" ca="1" si="191"/>
        <v>0</v>
      </c>
      <c r="AD271" s="50">
        <f t="shared" ca="1" si="191"/>
        <v>0</v>
      </c>
      <c r="AE271" s="50">
        <f t="shared" ca="1" si="191"/>
        <v>0</v>
      </c>
      <c r="AF271" s="50">
        <f t="shared" ca="1" si="191"/>
        <v>0</v>
      </c>
      <c r="AG271" s="50">
        <f t="shared" ca="1" si="191"/>
        <v>0</v>
      </c>
      <c r="AH271" s="50">
        <f t="shared" ref="S271:AU273" ca="1" si="192">IF(OR(AH$99&lt;InServiceYr,AH$99&gt;(InServiceYr+analysis_period-1)),0,IF($P271=0,$N271,$P271)*(1+$D271)^(AH$99-CostBaseYr))</f>
        <v>0</v>
      </c>
      <c r="AI271" s="50">
        <f t="shared" ca="1" si="192"/>
        <v>0</v>
      </c>
      <c r="AJ271" s="50">
        <f t="shared" ca="1" si="192"/>
        <v>0</v>
      </c>
      <c r="AK271" s="50">
        <f t="shared" ca="1" si="192"/>
        <v>0</v>
      </c>
      <c r="AL271" s="50">
        <f t="shared" si="192"/>
        <v>0</v>
      </c>
      <c r="AM271" s="50">
        <f t="shared" si="192"/>
        <v>0</v>
      </c>
      <c r="AN271" s="50">
        <f t="shared" si="192"/>
        <v>0</v>
      </c>
      <c r="AO271" s="50">
        <f t="shared" si="192"/>
        <v>0</v>
      </c>
      <c r="AP271" s="50">
        <f t="shared" si="192"/>
        <v>0</v>
      </c>
      <c r="AQ271" s="50">
        <f t="shared" si="192"/>
        <v>0</v>
      </c>
      <c r="AR271" s="50">
        <f t="shared" si="192"/>
        <v>0</v>
      </c>
      <c r="AS271" s="50">
        <f t="shared" si="192"/>
        <v>0</v>
      </c>
      <c r="AT271" s="50">
        <f t="shared" si="192"/>
        <v>0</v>
      </c>
      <c r="AU271" s="50">
        <f t="shared" si="192"/>
        <v>0</v>
      </c>
    </row>
    <row r="272" spans="1:47">
      <c r="A272" s="38" t="str">
        <f t="shared" si="189"/>
        <v>2X-</v>
      </c>
      <c r="B272" s="38" t="s">
        <v>263</v>
      </c>
      <c r="C272" s="38" t="str">
        <f t="shared" ref="C272:C276" si="193">C271</f>
        <v>Energy Recovery</v>
      </c>
      <c r="D272" s="186">
        <f>OMEsc</f>
        <v>0.02</v>
      </c>
      <c r="E272" s="325"/>
      <c r="G272" s="36" t="s">
        <v>127</v>
      </c>
      <c r="I272" s="39"/>
      <c r="K272" s="39"/>
      <c r="L272" s="43" t="str">
        <f>"["&amp;CostBaseYr&amp;" $]"</f>
        <v>[2013 $]</v>
      </c>
      <c r="N272" s="70">
        <f ca="1">SUMIFS(OFFSET(Assumptions!$I$90,0,MATCH($A272,Configurations,0)-1,COUNT(Assumptions!$A$90:$A$183),1),Assumptions!$D$90:$D$183,$B272&amp;$C272)</f>
        <v>0</v>
      </c>
      <c r="O272" s="313"/>
      <c r="P272" s="323"/>
      <c r="Q272" s="313"/>
      <c r="R272" s="50">
        <f t="shared" ca="1" si="191"/>
        <v>0</v>
      </c>
      <c r="S272" s="50">
        <f t="shared" ca="1" si="192"/>
        <v>0</v>
      </c>
      <c r="T272" s="50">
        <f t="shared" ca="1" si="192"/>
        <v>0</v>
      </c>
      <c r="U272" s="50">
        <f t="shared" ca="1" si="192"/>
        <v>0</v>
      </c>
      <c r="V272" s="50">
        <f t="shared" ca="1" si="192"/>
        <v>0</v>
      </c>
      <c r="W272" s="50">
        <f t="shared" ca="1" si="192"/>
        <v>0</v>
      </c>
      <c r="X272" s="50">
        <f t="shared" ca="1" si="192"/>
        <v>0</v>
      </c>
      <c r="Y272" s="50">
        <f t="shared" ca="1" si="192"/>
        <v>0</v>
      </c>
      <c r="Z272" s="50">
        <f t="shared" ca="1" si="192"/>
        <v>0</v>
      </c>
      <c r="AA272" s="50">
        <f t="shared" ca="1" si="192"/>
        <v>0</v>
      </c>
      <c r="AB272" s="50">
        <f t="shared" ca="1" si="192"/>
        <v>0</v>
      </c>
      <c r="AC272" s="50">
        <f t="shared" ca="1" si="192"/>
        <v>0</v>
      </c>
      <c r="AD272" s="50">
        <f t="shared" ca="1" si="192"/>
        <v>0</v>
      </c>
      <c r="AE272" s="50">
        <f t="shared" ca="1" si="192"/>
        <v>0</v>
      </c>
      <c r="AF272" s="50">
        <f t="shared" ca="1" si="192"/>
        <v>0</v>
      </c>
      <c r="AG272" s="50">
        <f t="shared" ca="1" si="192"/>
        <v>0</v>
      </c>
      <c r="AH272" s="50">
        <f t="shared" ca="1" si="192"/>
        <v>0</v>
      </c>
      <c r="AI272" s="50">
        <f t="shared" ca="1" si="192"/>
        <v>0</v>
      </c>
      <c r="AJ272" s="50">
        <f t="shared" ca="1" si="192"/>
        <v>0</v>
      </c>
      <c r="AK272" s="50">
        <f t="shared" ca="1" si="192"/>
        <v>0</v>
      </c>
      <c r="AL272" s="50">
        <f t="shared" si="192"/>
        <v>0</v>
      </c>
      <c r="AM272" s="50">
        <f t="shared" si="192"/>
        <v>0</v>
      </c>
      <c r="AN272" s="50">
        <f t="shared" si="192"/>
        <v>0</v>
      </c>
      <c r="AO272" s="50">
        <f t="shared" si="192"/>
        <v>0</v>
      </c>
      <c r="AP272" s="50">
        <f t="shared" si="192"/>
        <v>0</v>
      </c>
      <c r="AQ272" s="50">
        <f t="shared" si="192"/>
        <v>0</v>
      </c>
      <c r="AR272" s="50">
        <f t="shared" si="192"/>
        <v>0</v>
      </c>
      <c r="AS272" s="50">
        <f t="shared" si="192"/>
        <v>0</v>
      </c>
      <c r="AT272" s="50">
        <f t="shared" si="192"/>
        <v>0</v>
      </c>
      <c r="AU272" s="50">
        <f t="shared" si="192"/>
        <v>0</v>
      </c>
    </row>
    <row r="273" spans="1:47">
      <c r="A273" s="38" t="str">
        <f t="shared" si="189"/>
        <v>2X-</v>
      </c>
      <c r="B273" s="38" t="s">
        <v>277</v>
      </c>
      <c r="C273" s="38" t="str">
        <f t="shared" si="193"/>
        <v>Energy Recovery</v>
      </c>
      <c r="D273" s="186">
        <f>OMEsc</f>
        <v>0.02</v>
      </c>
      <c r="E273" s="325"/>
      <c r="G273" s="36" t="s">
        <v>276</v>
      </c>
      <c r="I273" s="39"/>
      <c r="K273" s="39"/>
      <c r="L273" s="43" t="str">
        <f>"["&amp;CostBaseYr&amp;" $]"</f>
        <v>[2013 $]</v>
      </c>
      <c r="N273" s="70">
        <f ca="1">SUMIFS(OFFSET(Assumptions!$I$90,0,MATCH($A273,Configurations,0)-1,COUNT(Assumptions!$A$90:$A$183),1),Assumptions!$D$90:$D$183,$B273&amp;$C273)</f>
        <v>0</v>
      </c>
      <c r="O273" s="313"/>
      <c r="P273" s="323"/>
      <c r="Q273" s="313"/>
      <c r="R273" s="50">
        <f t="shared" ca="1" si="191"/>
        <v>0</v>
      </c>
      <c r="S273" s="50">
        <f t="shared" ca="1" si="192"/>
        <v>0</v>
      </c>
      <c r="T273" s="50">
        <f t="shared" ca="1" si="192"/>
        <v>0</v>
      </c>
      <c r="U273" s="50">
        <f t="shared" ca="1" si="192"/>
        <v>0</v>
      </c>
      <c r="V273" s="50">
        <f t="shared" ca="1" si="192"/>
        <v>0</v>
      </c>
      <c r="W273" s="50">
        <f t="shared" ca="1" si="192"/>
        <v>0</v>
      </c>
      <c r="X273" s="50">
        <f t="shared" ca="1" si="192"/>
        <v>0</v>
      </c>
      <c r="Y273" s="50">
        <f t="shared" ca="1" si="192"/>
        <v>0</v>
      </c>
      <c r="Z273" s="50">
        <f t="shared" ca="1" si="192"/>
        <v>0</v>
      </c>
      <c r="AA273" s="50">
        <f t="shared" ca="1" si="192"/>
        <v>0</v>
      </c>
      <c r="AB273" s="50">
        <f t="shared" ca="1" si="192"/>
        <v>0</v>
      </c>
      <c r="AC273" s="50">
        <f t="shared" ca="1" si="192"/>
        <v>0</v>
      </c>
      <c r="AD273" s="50">
        <f t="shared" ca="1" si="192"/>
        <v>0</v>
      </c>
      <c r="AE273" s="50">
        <f t="shared" ca="1" si="192"/>
        <v>0</v>
      </c>
      <c r="AF273" s="50">
        <f t="shared" ca="1" si="192"/>
        <v>0</v>
      </c>
      <c r="AG273" s="50">
        <f t="shared" ca="1" si="192"/>
        <v>0</v>
      </c>
      <c r="AH273" s="50">
        <f t="shared" ca="1" si="192"/>
        <v>0</v>
      </c>
      <c r="AI273" s="50">
        <f t="shared" ca="1" si="192"/>
        <v>0</v>
      </c>
      <c r="AJ273" s="50">
        <f t="shared" ca="1" si="192"/>
        <v>0</v>
      </c>
      <c r="AK273" s="50">
        <f t="shared" ca="1" si="192"/>
        <v>0</v>
      </c>
      <c r="AL273" s="50">
        <f t="shared" si="192"/>
        <v>0</v>
      </c>
      <c r="AM273" s="50">
        <f t="shared" si="192"/>
        <v>0</v>
      </c>
      <c r="AN273" s="50">
        <f t="shared" si="192"/>
        <v>0</v>
      </c>
      <c r="AO273" s="50">
        <f t="shared" si="192"/>
        <v>0</v>
      </c>
      <c r="AP273" s="50">
        <f t="shared" si="192"/>
        <v>0</v>
      </c>
      <c r="AQ273" s="50">
        <f t="shared" si="192"/>
        <v>0</v>
      </c>
      <c r="AR273" s="50">
        <f t="shared" si="192"/>
        <v>0</v>
      </c>
      <c r="AS273" s="50">
        <f t="shared" si="192"/>
        <v>0</v>
      </c>
      <c r="AT273" s="50">
        <f t="shared" si="192"/>
        <v>0</v>
      </c>
      <c r="AU273" s="50">
        <f t="shared" si="192"/>
        <v>0</v>
      </c>
    </row>
    <row r="274" spans="1:47">
      <c r="A274" s="38" t="str">
        <f t="shared" si="189"/>
        <v>2X-</v>
      </c>
      <c r="B274" s="38" t="s">
        <v>274</v>
      </c>
      <c r="C274" s="38" t="str">
        <f t="shared" si="193"/>
        <v>Energy Recovery</v>
      </c>
      <c r="D274" s="186"/>
      <c r="E274" s="325"/>
      <c r="G274" s="36" t="s">
        <v>16</v>
      </c>
      <c r="I274" s="39"/>
      <c r="K274" s="39"/>
      <c r="L274" s="43" t="s">
        <v>275</v>
      </c>
      <c r="N274" s="70">
        <f ca="1">SUMIFS(OFFSET(Assumptions!$I$90,0,MATCH($A274,Configurations,0)-1,COUNT(Assumptions!$A$90:$A$183),1),Assumptions!$D$90:$D$183,$B274&amp;$C274)</f>
        <v>0</v>
      </c>
      <c r="O274" s="313"/>
      <c r="P274" s="323"/>
      <c r="Q274" s="313"/>
      <c r="R274" s="50">
        <f t="shared" ref="R274:AU274" ca="1" si="194">IF(OR(R$99&lt;InServiceYr,R$99&gt;(InServiceYr+analysis_period-1)),0,IF($P274=0,$N274,$P274)*R$505)</f>
        <v>0</v>
      </c>
      <c r="S274" s="50">
        <f t="shared" ca="1" si="194"/>
        <v>0</v>
      </c>
      <c r="T274" s="50">
        <f t="shared" ca="1" si="194"/>
        <v>0</v>
      </c>
      <c r="U274" s="50">
        <f t="shared" ca="1" si="194"/>
        <v>0</v>
      </c>
      <c r="V274" s="50">
        <f t="shared" ca="1" si="194"/>
        <v>0</v>
      </c>
      <c r="W274" s="50">
        <f t="shared" ca="1" si="194"/>
        <v>0</v>
      </c>
      <c r="X274" s="50">
        <f t="shared" ca="1" si="194"/>
        <v>0</v>
      </c>
      <c r="Y274" s="50">
        <f t="shared" ca="1" si="194"/>
        <v>0</v>
      </c>
      <c r="Z274" s="50">
        <f t="shared" ca="1" si="194"/>
        <v>0</v>
      </c>
      <c r="AA274" s="50">
        <f t="shared" ca="1" si="194"/>
        <v>0</v>
      </c>
      <c r="AB274" s="50">
        <f t="shared" ca="1" si="194"/>
        <v>0</v>
      </c>
      <c r="AC274" s="50">
        <f t="shared" ca="1" si="194"/>
        <v>0</v>
      </c>
      <c r="AD274" s="50">
        <f t="shared" ca="1" si="194"/>
        <v>0</v>
      </c>
      <c r="AE274" s="50">
        <f t="shared" ca="1" si="194"/>
        <v>0</v>
      </c>
      <c r="AF274" s="50">
        <f t="shared" ca="1" si="194"/>
        <v>0</v>
      </c>
      <c r="AG274" s="50">
        <f t="shared" ca="1" si="194"/>
        <v>0</v>
      </c>
      <c r="AH274" s="50">
        <f t="shared" ca="1" si="194"/>
        <v>0</v>
      </c>
      <c r="AI274" s="50">
        <f t="shared" ca="1" si="194"/>
        <v>0</v>
      </c>
      <c r="AJ274" s="50">
        <f t="shared" ca="1" si="194"/>
        <v>0</v>
      </c>
      <c r="AK274" s="50">
        <f t="shared" ca="1" si="194"/>
        <v>0</v>
      </c>
      <c r="AL274" s="50">
        <f t="shared" si="194"/>
        <v>0</v>
      </c>
      <c r="AM274" s="50">
        <f t="shared" si="194"/>
        <v>0</v>
      </c>
      <c r="AN274" s="50">
        <f t="shared" si="194"/>
        <v>0</v>
      </c>
      <c r="AO274" s="50">
        <f t="shared" si="194"/>
        <v>0</v>
      </c>
      <c r="AP274" s="50">
        <f t="shared" si="194"/>
        <v>0</v>
      </c>
      <c r="AQ274" s="50">
        <f t="shared" si="194"/>
        <v>0</v>
      </c>
      <c r="AR274" s="50">
        <f t="shared" si="194"/>
        <v>0</v>
      </c>
      <c r="AS274" s="50">
        <f t="shared" si="194"/>
        <v>0</v>
      </c>
      <c r="AT274" s="50">
        <f t="shared" si="194"/>
        <v>0</v>
      </c>
      <c r="AU274" s="50">
        <f t="shared" si="194"/>
        <v>0</v>
      </c>
    </row>
    <row r="275" spans="1:47">
      <c r="A275" s="38" t="str">
        <f t="shared" si="189"/>
        <v>2X-</v>
      </c>
      <c r="B275" s="38" t="s">
        <v>257</v>
      </c>
      <c r="C275" s="38" t="str">
        <f t="shared" si="193"/>
        <v>Energy Recovery</v>
      </c>
      <c r="D275" s="186"/>
      <c r="E275" s="325"/>
      <c r="G275" s="36" t="s">
        <v>284</v>
      </c>
      <c r="I275" s="39"/>
      <c r="K275" s="39"/>
      <c r="L275" s="43" t="s">
        <v>293</v>
      </c>
      <c r="N275" s="70">
        <f ca="1">SUMIFS(OFFSET(Assumptions!$I$90,0,MATCH($A275,Configurations,0)-1,COUNT(Assumptions!$A$90:$A$183),1),Assumptions!$D$90:$D$183,$B275&amp;$C275)</f>
        <v>0</v>
      </c>
      <c r="O275" s="313"/>
      <c r="P275" s="323"/>
      <c r="Q275" s="313"/>
      <c r="R275" s="50">
        <f t="shared" ref="R275:AU275" ca="1" si="195">IF(OR(R$99&lt;InServiceYr,R$99&gt;(InServiceYr+analysis_period-1)),0,IF($P275=0,$N275,$P275)*R$501)</f>
        <v>0</v>
      </c>
      <c r="S275" s="50">
        <f t="shared" ca="1" si="195"/>
        <v>0</v>
      </c>
      <c r="T275" s="50">
        <f t="shared" ca="1" si="195"/>
        <v>0</v>
      </c>
      <c r="U275" s="50">
        <f t="shared" ca="1" si="195"/>
        <v>0</v>
      </c>
      <c r="V275" s="50">
        <f t="shared" ca="1" si="195"/>
        <v>0</v>
      </c>
      <c r="W275" s="50">
        <f t="shared" ca="1" si="195"/>
        <v>0</v>
      </c>
      <c r="X275" s="50">
        <f t="shared" ca="1" si="195"/>
        <v>0</v>
      </c>
      <c r="Y275" s="50">
        <f t="shared" ca="1" si="195"/>
        <v>0</v>
      </c>
      <c r="Z275" s="50">
        <f t="shared" ca="1" si="195"/>
        <v>0</v>
      </c>
      <c r="AA275" s="50">
        <f t="shared" ca="1" si="195"/>
        <v>0</v>
      </c>
      <c r="AB275" s="50">
        <f t="shared" ca="1" si="195"/>
        <v>0</v>
      </c>
      <c r="AC275" s="50">
        <f t="shared" ca="1" si="195"/>
        <v>0</v>
      </c>
      <c r="AD275" s="50">
        <f t="shared" ca="1" si="195"/>
        <v>0</v>
      </c>
      <c r="AE275" s="50">
        <f t="shared" ca="1" si="195"/>
        <v>0</v>
      </c>
      <c r="AF275" s="50">
        <f t="shared" ca="1" si="195"/>
        <v>0</v>
      </c>
      <c r="AG275" s="50">
        <f t="shared" ca="1" si="195"/>
        <v>0</v>
      </c>
      <c r="AH275" s="50">
        <f t="shared" ca="1" si="195"/>
        <v>0</v>
      </c>
      <c r="AI275" s="50">
        <f t="shared" ca="1" si="195"/>
        <v>0</v>
      </c>
      <c r="AJ275" s="50">
        <f t="shared" ca="1" si="195"/>
        <v>0</v>
      </c>
      <c r="AK275" s="50">
        <f t="shared" ca="1" si="195"/>
        <v>0</v>
      </c>
      <c r="AL275" s="50">
        <f t="shared" si="195"/>
        <v>0</v>
      </c>
      <c r="AM275" s="50">
        <f t="shared" si="195"/>
        <v>0</v>
      </c>
      <c r="AN275" s="50">
        <f t="shared" si="195"/>
        <v>0</v>
      </c>
      <c r="AO275" s="50">
        <f t="shared" si="195"/>
        <v>0</v>
      </c>
      <c r="AP275" s="50">
        <f t="shared" si="195"/>
        <v>0</v>
      </c>
      <c r="AQ275" s="50">
        <f t="shared" si="195"/>
        <v>0</v>
      </c>
      <c r="AR275" s="50">
        <f t="shared" si="195"/>
        <v>0</v>
      </c>
      <c r="AS275" s="50">
        <f t="shared" si="195"/>
        <v>0</v>
      </c>
      <c r="AT275" s="50">
        <f t="shared" si="195"/>
        <v>0</v>
      </c>
      <c r="AU275" s="50">
        <f t="shared" si="195"/>
        <v>0</v>
      </c>
    </row>
    <row r="276" spans="1:47">
      <c r="A276" s="38" t="str">
        <f t="shared" si="189"/>
        <v>2X-</v>
      </c>
      <c r="B276" s="38" t="s">
        <v>864</v>
      </c>
      <c r="C276" s="38" t="str">
        <f t="shared" si="193"/>
        <v>Energy Recovery</v>
      </c>
      <c r="D276" s="186">
        <f>GHGEsc</f>
        <v>0.02</v>
      </c>
      <c r="E276" s="325"/>
      <c r="G276" s="36" t="s">
        <v>865</v>
      </c>
      <c r="I276" s="39"/>
      <c r="K276" s="39"/>
      <c r="L276" s="43" t="s">
        <v>866</v>
      </c>
      <c r="N276" s="70">
        <f ca="1">SUMIFS(OFFSET(Assumptions!$I$90,0,MATCH($A276,Configurations,0)-1,COUNT(Assumptions!$A$90:$A$183),1),Assumptions!$D$90:$D$183,$B276&amp;$C276)</f>
        <v>0</v>
      </c>
      <c r="O276" s="313"/>
      <c r="P276" s="323"/>
      <c r="Q276" s="313"/>
      <c r="R276" s="50">
        <f t="shared" ref="R276:AU276" ca="1" si="196">IF(OR(R$99&lt;InServiceYr,R$99&gt;(InServiceYr+analysis_period-1)),0,IF($P276=0,$N276,$P276)*R$513)</f>
        <v>0</v>
      </c>
      <c r="S276" s="50">
        <f t="shared" ca="1" si="196"/>
        <v>0</v>
      </c>
      <c r="T276" s="50">
        <f t="shared" ca="1" si="196"/>
        <v>0</v>
      </c>
      <c r="U276" s="50">
        <f t="shared" ca="1" si="196"/>
        <v>0</v>
      </c>
      <c r="V276" s="50">
        <f t="shared" ca="1" si="196"/>
        <v>0</v>
      </c>
      <c r="W276" s="50">
        <f t="shared" ca="1" si="196"/>
        <v>0</v>
      </c>
      <c r="X276" s="50">
        <f t="shared" ca="1" si="196"/>
        <v>0</v>
      </c>
      <c r="Y276" s="50">
        <f t="shared" ca="1" si="196"/>
        <v>0</v>
      </c>
      <c r="Z276" s="50">
        <f t="shared" ca="1" si="196"/>
        <v>0</v>
      </c>
      <c r="AA276" s="50">
        <f t="shared" ca="1" si="196"/>
        <v>0</v>
      </c>
      <c r="AB276" s="50">
        <f t="shared" ca="1" si="196"/>
        <v>0</v>
      </c>
      <c r="AC276" s="50">
        <f t="shared" ca="1" si="196"/>
        <v>0</v>
      </c>
      <c r="AD276" s="50">
        <f t="shared" ca="1" si="196"/>
        <v>0</v>
      </c>
      <c r="AE276" s="50">
        <f t="shared" ca="1" si="196"/>
        <v>0</v>
      </c>
      <c r="AF276" s="50">
        <f t="shared" ca="1" si="196"/>
        <v>0</v>
      </c>
      <c r="AG276" s="50">
        <f t="shared" ca="1" si="196"/>
        <v>0</v>
      </c>
      <c r="AH276" s="50">
        <f t="shared" ca="1" si="196"/>
        <v>0</v>
      </c>
      <c r="AI276" s="50">
        <f t="shared" ca="1" si="196"/>
        <v>0</v>
      </c>
      <c r="AJ276" s="50">
        <f t="shared" ca="1" si="196"/>
        <v>0</v>
      </c>
      <c r="AK276" s="50">
        <f t="shared" ca="1" si="196"/>
        <v>0</v>
      </c>
      <c r="AL276" s="50">
        <f t="shared" si="196"/>
        <v>0</v>
      </c>
      <c r="AM276" s="50">
        <f t="shared" si="196"/>
        <v>0</v>
      </c>
      <c r="AN276" s="50">
        <f t="shared" si="196"/>
        <v>0</v>
      </c>
      <c r="AO276" s="50">
        <f t="shared" si="196"/>
        <v>0</v>
      </c>
      <c r="AP276" s="50">
        <f t="shared" si="196"/>
        <v>0</v>
      </c>
      <c r="AQ276" s="50">
        <f t="shared" si="196"/>
        <v>0</v>
      </c>
      <c r="AR276" s="50">
        <f t="shared" si="196"/>
        <v>0</v>
      </c>
      <c r="AS276" s="50">
        <f t="shared" si="196"/>
        <v>0</v>
      </c>
      <c r="AT276" s="50">
        <f t="shared" si="196"/>
        <v>0</v>
      </c>
      <c r="AU276" s="50">
        <f t="shared" si="196"/>
        <v>0</v>
      </c>
    </row>
    <row r="277" spans="1:47">
      <c r="A277" s="38" t="str">
        <f t="shared" si="189"/>
        <v>2X-</v>
      </c>
      <c r="B277" s="38" t="s">
        <v>273</v>
      </c>
      <c r="C277" s="38" t="str">
        <f>C275</f>
        <v>Energy Recovery</v>
      </c>
      <c r="D277" s="186">
        <f>LaborEsc</f>
        <v>0.02</v>
      </c>
      <c r="E277" s="325"/>
      <c r="G277" s="36" t="s">
        <v>291</v>
      </c>
      <c r="I277" s="39"/>
      <c r="K277" s="39"/>
      <c r="L277" s="43" t="str">
        <f>"["&amp;CostBaseYr&amp;" $]"</f>
        <v>[2013 $]</v>
      </c>
      <c r="N277" s="70">
        <f ca="1">SUMIFS(OFFSET(Assumptions!$I$90,0,MATCH($A277,Configurations,0)-1,COUNT(Assumptions!$A$90:$A$183),1),Assumptions!$D$90:$D$183,$B277&amp;$C277)</f>
        <v>0</v>
      </c>
      <c r="O277" s="313"/>
      <c r="P277" s="323"/>
      <c r="Q277" s="313"/>
      <c r="R277" s="50">
        <f t="shared" ref="R277:AU277" ca="1" si="197">IF(OR(R$99&lt;InServiceYr,R$99&gt;(InServiceYr+analysis_period-1)),0,IF($P277=0,$N277,$P277)*(1+$D277)^(R$99-CostBaseYr))*R$509</f>
        <v>0</v>
      </c>
      <c r="S277" s="50">
        <f t="shared" ca="1" si="197"/>
        <v>0</v>
      </c>
      <c r="T277" s="50">
        <f t="shared" ca="1" si="197"/>
        <v>0</v>
      </c>
      <c r="U277" s="50">
        <f t="shared" ca="1" si="197"/>
        <v>0</v>
      </c>
      <c r="V277" s="50">
        <f t="shared" ca="1" si="197"/>
        <v>0</v>
      </c>
      <c r="W277" s="50">
        <f t="shared" ca="1" si="197"/>
        <v>0</v>
      </c>
      <c r="X277" s="50">
        <f t="shared" ca="1" si="197"/>
        <v>0</v>
      </c>
      <c r="Y277" s="50">
        <f t="shared" ca="1" si="197"/>
        <v>0</v>
      </c>
      <c r="Z277" s="50">
        <f t="shared" ca="1" si="197"/>
        <v>0</v>
      </c>
      <c r="AA277" s="50">
        <f t="shared" ca="1" si="197"/>
        <v>0</v>
      </c>
      <c r="AB277" s="50">
        <f t="shared" ca="1" si="197"/>
        <v>0</v>
      </c>
      <c r="AC277" s="50">
        <f t="shared" ca="1" si="197"/>
        <v>0</v>
      </c>
      <c r="AD277" s="50">
        <f t="shared" ca="1" si="197"/>
        <v>0</v>
      </c>
      <c r="AE277" s="50">
        <f t="shared" ca="1" si="197"/>
        <v>0</v>
      </c>
      <c r="AF277" s="50">
        <f t="shared" ca="1" si="197"/>
        <v>0</v>
      </c>
      <c r="AG277" s="50">
        <f t="shared" ca="1" si="197"/>
        <v>0</v>
      </c>
      <c r="AH277" s="50">
        <f t="shared" ca="1" si="197"/>
        <v>0</v>
      </c>
      <c r="AI277" s="50">
        <f t="shared" ca="1" si="197"/>
        <v>0</v>
      </c>
      <c r="AJ277" s="50">
        <f t="shared" ca="1" si="197"/>
        <v>0</v>
      </c>
      <c r="AK277" s="50">
        <f t="shared" ca="1" si="197"/>
        <v>0</v>
      </c>
      <c r="AL277" s="50">
        <f t="shared" si="197"/>
        <v>0</v>
      </c>
      <c r="AM277" s="50">
        <f t="shared" si="197"/>
        <v>0</v>
      </c>
      <c r="AN277" s="50">
        <f t="shared" si="197"/>
        <v>0</v>
      </c>
      <c r="AO277" s="50">
        <f t="shared" si="197"/>
        <v>0</v>
      </c>
      <c r="AP277" s="50">
        <f t="shared" si="197"/>
        <v>0</v>
      </c>
      <c r="AQ277" s="50">
        <f t="shared" si="197"/>
        <v>0</v>
      </c>
      <c r="AR277" s="50">
        <f t="shared" si="197"/>
        <v>0</v>
      </c>
      <c r="AS277" s="50">
        <f t="shared" si="197"/>
        <v>0</v>
      </c>
      <c r="AT277" s="50">
        <f t="shared" si="197"/>
        <v>0</v>
      </c>
      <c r="AU277" s="50">
        <f t="shared" si="197"/>
        <v>0</v>
      </c>
    </row>
    <row r="278" spans="1:47">
      <c r="D278" s="186"/>
      <c r="E278" s="325"/>
      <c r="G278" s="39" t="s">
        <v>304</v>
      </c>
      <c r="I278" s="39"/>
      <c r="K278" s="39"/>
      <c r="L278" s="43"/>
      <c r="N278" s="70"/>
      <c r="O278" s="313"/>
      <c r="P278" s="70"/>
      <c r="Q278" s="313"/>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row>
    <row r="279" spans="1:47">
      <c r="A279" s="38" t="str">
        <f>$J$4&amp;"-"</f>
        <v>2X-</v>
      </c>
      <c r="B279" s="38" t="s">
        <v>265</v>
      </c>
      <c r="C279" s="38" t="str">
        <f>C270</f>
        <v>Energy Recovery</v>
      </c>
      <c r="D279" s="186"/>
      <c r="E279" s="325"/>
      <c r="G279" s="36" t="s">
        <v>108</v>
      </c>
      <c r="I279" s="39"/>
      <c r="K279" s="39"/>
      <c r="L279" s="43" t="s">
        <v>293</v>
      </c>
      <c r="N279" s="70">
        <f ca="1">SUMIFS(OFFSET(Assumptions!$I$90,0,MATCH($A279,Configurations,0)-1,COUNT(Assumptions!$A$90:$A$183),1),Assumptions!$D$90:$D$183,$B279&amp;$C279)</f>
        <v>0</v>
      </c>
      <c r="O279" s="313"/>
      <c r="P279" s="323"/>
      <c r="Q279" s="313"/>
      <c r="R279" s="50">
        <f t="shared" ref="R279:AU279" ca="1" si="198">IF(OR(R$99&lt;InServiceYr,R$99&gt;(InServiceYr+analysis_period-1)),0,IF($P279=0,$N279,$P279)*R$501)</f>
        <v>0</v>
      </c>
      <c r="S279" s="50">
        <f t="shared" ca="1" si="198"/>
        <v>0</v>
      </c>
      <c r="T279" s="50">
        <f t="shared" ca="1" si="198"/>
        <v>0</v>
      </c>
      <c r="U279" s="50">
        <f t="shared" ca="1" si="198"/>
        <v>0</v>
      </c>
      <c r="V279" s="50">
        <f t="shared" ca="1" si="198"/>
        <v>0</v>
      </c>
      <c r="W279" s="50">
        <f t="shared" ca="1" si="198"/>
        <v>0</v>
      </c>
      <c r="X279" s="50">
        <f t="shared" ca="1" si="198"/>
        <v>0</v>
      </c>
      <c r="Y279" s="50">
        <f t="shared" ca="1" si="198"/>
        <v>0</v>
      </c>
      <c r="Z279" s="50">
        <f t="shared" ca="1" si="198"/>
        <v>0</v>
      </c>
      <c r="AA279" s="50">
        <f t="shared" ca="1" si="198"/>
        <v>0</v>
      </c>
      <c r="AB279" s="50">
        <f t="shared" ca="1" si="198"/>
        <v>0</v>
      </c>
      <c r="AC279" s="50">
        <f t="shared" ca="1" si="198"/>
        <v>0</v>
      </c>
      <c r="AD279" s="50">
        <f t="shared" ca="1" si="198"/>
        <v>0</v>
      </c>
      <c r="AE279" s="50">
        <f t="shared" ca="1" si="198"/>
        <v>0</v>
      </c>
      <c r="AF279" s="50">
        <f t="shared" ca="1" si="198"/>
        <v>0</v>
      </c>
      <c r="AG279" s="50">
        <f t="shared" ca="1" si="198"/>
        <v>0</v>
      </c>
      <c r="AH279" s="50">
        <f t="shared" ca="1" si="198"/>
        <v>0</v>
      </c>
      <c r="AI279" s="50">
        <f t="shared" ca="1" si="198"/>
        <v>0</v>
      </c>
      <c r="AJ279" s="50">
        <f t="shared" ca="1" si="198"/>
        <v>0</v>
      </c>
      <c r="AK279" s="50">
        <f t="shared" ca="1" si="198"/>
        <v>0</v>
      </c>
      <c r="AL279" s="50">
        <f t="shared" si="198"/>
        <v>0</v>
      </c>
      <c r="AM279" s="50">
        <f t="shared" si="198"/>
        <v>0</v>
      </c>
      <c r="AN279" s="50">
        <f t="shared" si="198"/>
        <v>0</v>
      </c>
      <c r="AO279" s="50">
        <f t="shared" si="198"/>
        <v>0</v>
      </c>
      <c r="AP279" s="50">
        <f t="shared" si="198"/>
        <v>0</v>
      </c>
      <c r="AQ279" s="50">
        <f t="shared" si="198"/>
        <v>0</v>
      </c>
      <c r="AR279" s="50">
        <f t="shared" si="198"/>
        <v>0</v>
      </c>
      <c r="AS279" s="50">
        <f t="shared" si="198"/>
        <v>0</v>
      </c>
      <c r="AT279" s="50">
        <f t="shared" si="198"/>
        <v>0</v>
      </c>
      <c r="AU279" s="50">
        <f t="shared" si="198"/>
        <v>0</v>
      </c>
    </row>
    <row r="280" spans="1:47">
      <c r="A280" s="38" t="str">
        <f>$J$4&amp;"-"</f>
        <v>2X-</v>
      </c>
      <c r="B280" s="38" t="s">
        <v>289</v>
      </c>
      <c r="C280" s="38" t="str">
        <f>C270</f>
        <v>Energy Recovery</v>
      </c>
      <c r="D280" s="186">
        <f>LaborEsc</f>
        <v>0.02</v>
      </c>
      <c r="E280" s="325"/>
      <c r="G280" s="36" t="s">
        <v>292</v>
      </c>
      <c r="I280" s="39"/>
      <c r="K280" s="39"/>
      <c r="L280" s="43" t="str">
        <f>"["&amp;CostBaseYr&amp;" $]"</f>
        <v>[2013 $]</v>
      </c>
      <c r="N280" s="70">
        <f ca="1">SUMIFS(OFFSET(Assumptions!$I$90,0,MATCH($A280,Configurations,0)-1,COUNT(Assumptions!$A$90:$A$183),1),Assumptions!$D$90:$D$183,$B280&amp;$C280)</f>
        <v>0</v>
      </c>
      <c r="O280" s="313"/>
      <c r="P280" s="323"/>
      <c r="Q280" s="313"/>
      <c r="R280" s="50">
        <f t="shared" ref="R280:AU280" ca="1" si="199">IF(OR(R$99&lt;InServiceYr,R$99&gt;(InServiceYr+analysis_period-1)),0,IF($P280=0,$N280,$P280)*(1+$D280)^(R$99-CostBaseYr))</f>
        <v>0</v>
      </c>
      <c r="S280" s="50">
        <f t="shared" ca="1" si="199"/>
        <v>0</v>
      </c>
      <c r="T280" s="50">
        <f t="shared" ca="1" si="199"/>
        <v>0</v>
      </c>
      <c r="U280" s="50">
        <f t="shared" ca="1" si="199"/>
        <v>0</v>
      </c>
      <c r="V280" s="50">
        <f t="shared" ca="1" si="199"/>
        <v>0</v>
      </c>
      <c r="W280" s="50">
        <f t="shared" ca="1" si="199"/>
        <v>0</v>
      </c>
      <c r="X280" s="50">
        <f t="shared" ca="1" si="199"/>
        <v>0</v>
      </c>
      <c r="Y280" s="50">
        <f t="shared" ca="1" si="199"/>
        <v>0</v>
      </c>
      <c r="Z280" s="50">
        <f t="shared" ca="1" si="199"/>
        <v>0</v>
      </c>
      <c r="AA280" s="50">
        <f t="shared" ca="1" si="199"/>
        <v>0</v>
      </c>
      <c r="AB280" s="50">
        <f t="shared" ca="1" si="199"/>
        <v>0</v>
      </c>
      <c r="AC280" s="50">
        <f t="shared" ca="1" si="199"/>
        <v>0</v>
      </c>
      <c r="AD280" s="50">
        <f t="shared" ca="1" si="199"/>
        <v>0</v>
      </c>
      <c r="AE280" s="50">
        <f t="shared" ca="1" si="199"/>
        <v>0</v>
      </c>
      <c r="AF280" s="50">
        <f t="shared" ca="1" si="199"/>
        <v>0</v>
      </c>
      <c r="AG280" s="50">
        <f t="shared" ca="1" si="199"/>
        <v>0</v>
      </c>
      <c r="AH280" s="50">
        <f t="shared" ca="1" si="199"/>
        <v>0</v>
      </c>
      <c r="AI280" s="50">
        <f t="shared" ca="1" si="199"/>
        <v>0</v>
      </c>
      <c r="AJ280" s="50">
        <f t="shared" ca="1" si="199"/>
        <v>0</v>
      </c>
      <c r="AK280" s="50">
        <f t="shared" ca="1" si="199"/>
        <v>0</v>
      </c>
      <c r="AL280" s="50">
        <f t="shared" si="199"/>
        <v>0</v>
      </c>
      <c r="AM280" s="50">
        <f t="shared" si="199"/>
        <v>0</v>
      </c>
      <c r="AN280" s="50">
        <f t="shared" si="199"/>
        <v>0</v>
      </c>
      <c r="AO280" s="50">
        <f t="shared" si="199"/>
        <v>0</v>
      </c>
      <c r="AP280" s="50">
        <f t="shared" si="199"/>
        <v>0</v>
      </c>
      <c r="AQ280" s="50">
        <f t="shared" si="199"/>
        <v>0</v>
      </c>
      <c r="AR280" s="50">
        <f t="shared" si="199"/>
        <v>0</v>
      </c>
      <c r="AS280" s="50">
        <f t="shared" si="199"/>
        <v>0</v>
      </c>
      <c r="AT280" s="50">
        <f t="shared" si="199"/>
        <v>0</v>
      </c>
      <c r="AU280" s="50">
        <f t="shared" si="199"/>
        <v>0</v>
      </c>
    </row>
    <row r="281" spans="1:47" s="60" customFormat="1">
      <c r="D281" s="187"/>
      <c r="E281" s="325"/>
      <c r="G281" s="39" t="s">
        <v>305</v>
      </c>
      <c r="I281" s="39"/>
      <c r="K281" s="39"/>
      <c r="L281" s="174"/>
      <c r="N281" s="188"/>
      <c r="O281" s="314"/>
      <c r="P281" s="185"/>
      <c r="Q281" s="314"/>
      <c r="R281" s="185">
        <f ca="1">SUM(R270:R277)-SUM(R279:R280)</f>
        <v>0</v>
      </c>
      <c r="S281" s="185">
        <f t="shared" ref="S281:AU281" ca="1" si="200">SUM(S270:S277)-SUM(S279:S280)</f>
        <v>0</v>
      </c>
      <c r="T281" s="185">
        <f t="shared" ca="1" si="200"/>
        <v>0</v>
      </c>
      <c r="U281" s="185">
        <f t="shared" ca="1" si="200"/>
        <v>0</v>
      </c>
      <c r="V281" s="185">
        <f t="shared" ca="1" si="200"/>
        <v>0</v>
      </c>
      <c r="W281" s="185">
        <f t="shared" ca="1" si="200"/>
        <v>0</v>
      </c>
      <c r="X281" s="185">
        <f t="shared" ca="1" si="200"/>
        <v>0</v>
      </c>
      <c r="Y281" s="185">
        <f t="shared" ca="1" si="200"/>
        <v>0</v>
      </c>
      <c r="Z281" s="185">
        <f t="shared" ca="1" si="200"/>
        <v>0</v>
      </c>
      <c r="AA281" s="185">
        <f t="shared" ca="1" si="200"/>
        <v>0</v>
      </c>
      <c r="AB281" s="185">
        <f t="shared" ca="1" si="200"/>
        <v>0</v>
      </c>
      <c r="AC281" s="185">
        <f t="shared" ca="1" si="200"/>
        <v>0</v>
      </c>
      <c r="AD281" s="185">
        <f t="shared" ca="1" si="200"/>
        <v>0</v>
      </c>
      <c r="AE281" s="185">
        <f t="shared" ca="1" si="200"/>
        <v>0</v>
      </c>
      <c r="AF281" s="185">
        <f t="shared" ca="1" si="200"/>
        <v>0</v>
      </c>
      <c r="AG281" s="185">
        <f t="shared" ca="1" si="200"/>
        <v>0</v>
      </c>
      <c r="AH281" s="185">
        <f t="shared" ca="1" si="200"/>
        <v>0</v>
      </c>
      <c r="AI281" s="185">
        <f t="shared" ca="1" si="200"/>
        <v>0</v>
      </c>
      <c r="AJ281" s="185">
        <f t="shared" ca="1" si="200"/>
        <v>0</v>
      </c>
      <c r="AK281" s="185">
        <f t="shared" ca="1" si="200"/>
        <v>0</v>
      </c>
      <c r="AL281" s="185">
        <f t="shared" si="200"/>
        <v>0</v>
      </c>
      <c r="AM281" s="185">
        <f t="shared" si="200"/>
        <v>0</v>
      </c>
      <c r="AN281" s="185">
        <f t="shared" si="200"/>
        <v>0</v>
      </c>
      <c r="AO281" s="185">
        <f t="shared" si="200"/>
        <v>0</v>
      </c>
      <c r="AP281" s="185">
        <f t="shared" si="200"/>
        <v>0</v>
      </c>
      <c r="AQ281" s="185">
        <f t="shared" si="200"/>
        <v>0</v>
      </c>
      <c r="AR281" s="185">
        <f t="shared" si="200"/>
        <v>0</v>
      </c>
      <c r="AS281" s="185">
        <f t="shared" si="200"/>
        <v>0</v>
      </c>
      <c r="AT281" s="185">
        <f t="shared" si="200"/>
        <v>0</v>
      </c>
      <c r="AU281" s="185">
        <f t="shared" si="200"/>
        <v>0</v>
      </c>
    </row>
    <row r="282" spans="1:47">
      <c r="E282" s="36"/>
      <c r="G282" s="39"/>
      <c r="H282" s="39"/>
      <c r="I282" s="39"/>
      <c r="J282" s="39"/>
      <c r="K282" s="39"/>
    </row>
    <row r="283" spans="1:47">
      <c r="E283" s="327"/>
      <c r="F283" s="28"/>
      <c r="G283" s="324" t="str">
        <f>C285&amp;" Capital Costs"</f>
        <v>Fluid Bed Incineration Capital Costs</v>
      </c>
      <c r="H283" s="324"/>
      <c r="I283" s="324"/>
      <c r="J283" s="324"/>
      <c r="K283" s="324"/>
      <c r="L283" s="405" t="s">
        <v>79</v>
      </c>
      <c r="M283" s="256"/>
      <c r="N283" s="325" t="s">
        <v>490</v>
      </c>
      <c r="O283" s="311"/>
      <c r="P283" s="325" t="s">
        <v>491</v>
      </c>
      <c r="Q283" s="310"/>
      <c r="R283" s="325">
        <f>R$8</f>
        <v>2014</v>
      </c>
      <c r="S283" s="325">
        <f t="shared" ref="S283:AU283" si="201">S$8</f>
        <v>2015</v>
      </c>
      <c r="T283" s="325">
        <f t="shared" si="201"/>
        <v>2016</v>
      </c>
      <c r="U283" s="325">
        <f t="shared" si="201"/>
        <v>2017</v>
      </c>
      <c r="V283" s="325">
        <f t="shared" si="201"/>
        <v>2018</v>
      </c>
      <c r="W283" s="325">
        <f t="shared" si="201"/>
        <v>2019</v>
      </c>
      <c r="X283" s="325">
        <f t="shared" si="201"/>
        <v>2020</v>
      </c>
      <c r="Y283" s="325">
        <f t="shared" si="201"/>
        <v>2021</v>
      </c>
      <c r="Z283" s="325">
        <f t="shared" si="201"/>
        <v>2022</v>
      </c>
      <c r="AA283" s="325">
        <f t="shared" si="201"/>
        <v>2023</v>
      </c>
      <c r="AB283" s="325">
        <f t="shared" si="201"/>
        <v>2024</v>
      </c>
      <c r="AC283" s="325">
        <f t="shared" si="201"/>
        <v>2025</v>
      </c>
      <c r="AD283" s="325">
        <f t="shared" si="201"/>
        <v>2026</v>
      </c>
      <c r="AE283" s="325">
        <f t="shared" si="201"/>
        <v>2027</v>
      </c>
      <c r="AF283" s="325">
        <f t="shared" si="201"/>
        <v>2028</v>
      </c>
      <c r="AG283" s="325">
        <f t="shared" si="201"/>
        <v>2029</v>
      </c>
      <c r="AH283" s="325">
        <f t="shared" si="201"/>
        <v>2030</v>
      </c>
      <c r="AI283" s="325">
        <f t="shared" si="201"/>
        <v>2031</v>
      </c>
      <c r="AJ283" s="325">
        <f t="shared" si="201"/>
        <v>2032</v>
      </c>
      <c r="AK283" s="325">
        <f t="shared" si="201"/>
        <v>2033</v>
      </c>
      <c r="AL283" s="325">
        <f t="shared" si="201"/>
        <v>2034</v>
      </c>
      <c r="AM283" s="325">
        <f t="shared" si="201"/>
        <v>2035</v>
      </c>
      <c r="AN283" s="325">
        <f t="shared" si="201"/>
        <v>2036</v>
      </c>
      <c r="AO283" s="325">
        <f t="shared" si="201"/>
        <v>2037</v>
      </c>
      <c r="AP283" s="325">
        <f t="shared" si="201"/>
        <v>2038</v>
      </c>
      <c r="AQ283" s="325">
        <f t="shared" si="201"/>
        <v>2039</v>
      </c>
      <c r="AR283" s="325">
        <f t="shared" si="201"/>
        <v>2040</v>
      </c>
      <c r="AS283" s="325">
        <f t="shared" si="201"/>
        <v>2041</v>
      </c>
      <c r="AT283" s="325">
        <f t="shared" si="201"/>
        <v>2042</v>
      </c>
      <c r="AU283" s="325">
        <f t="shared" si="201"/>
        <v>2043</v>
      </c>
    </row>
    <row r="284" spans="1:47">
      <c r="E284" s="325"/>
      <c r="G284" s="39"/>
      <c r="H284" s="39"/>
      <c r="I284" s="39"/>
      <c r="J284" s="39"/>
      <c r="K284" s="39"/>
    </row>
    <row r="285" spans="1:47">
      <c r="A285" s="38" t="str">
        <f>$J$4&amp;"-"</f>
        <v>2X-</v>
      </c>
      <c r="B285" s="38" t="s">
        <v>306</v>
      </c>
      <c r="C285" s="38" t="s">
        <v>160</v>
      </c>
      <c r="D285" s="186">
        <f>CapExEsc</f>
        <v>0.03</v>
      </c>
      <c r="E285" s="325"/>
      <c r="G285" s="36" t="s">
        <v>8</v>
      </c>
      <c r="H285" s="39"/>
      <c r="I285" s="39"/>
      <c r="J285" s="70"/>
      <c r="K285" s="39"/>
      <c r="L285" s="43" t="str">
        <f>"["&amp;CostBaseYr&amp;" $]"</f>
        <v>[2013 $]</v>
      </c>
      <c r="N285" s="52">
        <f ca="1">SUMIFS(OFFSET(Assumptions!$I$65,0,MATCH($A285,Configurations,0)-1,COUNT(Assumptions!$A$65:$A$84),1),Assumptions!$E$65:$E$84,$C285)</f>
        <v>0</v>
      </c>
      <c r="O285" s="52"/>
      <c r="P285" s="322"/>
      <c r="Q285" s="52"/>
      <c r="R285" s="52">
        <f t="shared" ref="R285:AU285" ca="1" si="202">R286*IF($P285=0,$N285,$P285)*(1+$D285)^(R$8-CostBaseYr)</f>
        <v>0</v>
      </c>
      <c r="S285" s="52">
        <f t="shared" ca="1" si="202"/>
        <v>0</v>
      </c>
      <c r="T285" s="52">
        <f t="shared" ca="1" si="202"/>
        <v>0</v>
      </c>
      <c r="U285" s="52">
        <f t="shared" ca="1" si="202"/>
        <v>0</v>
      </c>
      <c r="V285" s="52">
        <f t="shared" ca="1" si="202"/>
        <v>0</v>
      </c>
      <c r="W285" s="52">
        <f t="shared" ca="1" si="202"/>
        <v>0</v>
      </c>
      <c r="X285" s="52">
        <f t="shared" ca="1" si="202"/>
        <v>0</v>
      </c>
      <c r="Y285" s="52">
        <f t="shared" ca="1" si="202"/>
        <v>0</v>
      </c>
      <c r="Z285" s="52">
        <f t="shared" ca="1" si="202"/>
        <v>0</v>
      </c>
      <c r="AA285" s="52">
        <f t="shared" ca="1" si="202"/>
        <v>0</v>
      </c>
      <c r="AB285" s="52">
        <f t="shared" ca="1" si="202"/>
        <v>0</v>
      </c>
      <c r="AC285" s="52">
        <f t="shared" ca="1" si="202"/>
        <v>0</v>
      </c>
      <c r="AD285" s="52">
        <f t="shared" ca="1" si="202"/>
        <v>0</v>
      </c>
      <c r="AE285" s="52">
        <f t="shared" ca="1" si="202"/>
        <v>0</v>
      </c>
      <c r="AF285" s="52">
        <f t="shared" ca="1" si="202"/>
        <v>0</v>
      </c>
      <c r="AG285" s="52">
        <f t="shared" ca="1" si="202"/>
        <v>0</v>
      </c>
      <c r="AH285" s="52">
        <f t="shared" ca="1" si="202"/>
        <v>0</v>
      </c>
      <c r="AI285" s="52">
        <f t="shared" ca="1" si="202"/>
        <v>0</v>
      </c>
      <c r="AJ285" s="52">
        <f t="shared" ca="1" si="202"/>
        <v>0</v>
      </c>
      <c r="AK285" s="52">
        <f t="shared" ca="1" si="202"/>
        <v>0</v>
      </c>
      <c r="AL285" s="52">
        <f t="shared" ca="1" si="202"/>
        <v>0</v>
      </c>
      <c r="AM285" s="52">
        <f t="shared" ca="1" si="202"/>
        <v>0</v>
      </c>
      <c r="AN285" s="52">
        <f t="shared" ca="1" si="202"/>
        <v>0</v>
      </c>
      <c r="AO285" s="52">
        <f t="shared" ca="1" si="202"/>
        <v>0</v>
      </c>
      <c r="AP285" s="52">
        <f t="shared" ca="1" si="202"/>
        <v>0</v>
      </c>
      <c r="AQ285" s="52">
        <f t="shared" ca="1" si="202"/>
        <v>0</v>
      </c>
      <c r="AR285" s="52">
        <f t="shared" ca="1" si="202"/>
        <v>0</v>
      </c>
      <c r="AS285" s="52">
        <f t="shared" ca="1" si="202"/>
        <v>0</v>
      </c>
      <c r="AT285" s="52">
        <f t="shared" ca="1" si="202"/>
        <v>0</v>
      </c>
      <c r="AU285" s="52">
        <f t="shared" ca="1" si="202"/>
        <v>0</v>
      </c>
    </row>
    <row r="286" spans="1:47">
      <c r="E286" s="325"/>
      <c r="G286" s="36" t="s">
        <v>10</v>
      </c>
      <c r="H286" s="39"/>
      <c r="I286" s="39"/>
      <c r="J286" s="39"/>
      <c r="K286" s="39"/>
      <c r="L286" s="43"/>
      <c r="R286" s="54">
        <f>Assumptions!M$60</f>
        <v>1</v>
      </c>
      <c r="S286" s="54">
        <f>Assumptions!N$60</f>
        <v>0</v>
      </c>
      <c r="T286" s="54">
        <f>Assumptions!O$60</f>
        <v>0</v>
      </c>
      <c r="U286" s="54">
        <f>Assumptions!P$60</f>
        <v>0</v>
      </c>
      <c r="V286" s="54">
        <f>Assumptions!Q$60</f>
        <v>0</v>
      </c>
      <c r="W286" s="54">
        <f>Assumptions!R$60</f>
        <v>0</v>
      </c>
      <c r="X286" s="54">
        <f>Assumptions!S$60</f>
        <v>0</v>
      </c>
      <c r="Y286" s="54">
        <f>Assumptions!T$60</f>
        <v>0</v>
      </c>
      <c r="Z286" s="54">
        <f>Assumptions!U$60</f>
        <v>0</v>
      </c>
      <c r="AA286" s="54">
        <f>Assumptions!V$60</f>
        <v>0</v>
      </c>
      <c r="AB286" s="54">
        <f>Assumptions!W$60</f>
        <v>0</v>
      </c>
      <c r="AC286" s="54">
        <f>Assumptions!X$60</f>
        <v>0</v>
      </c>
      <c r="AD286" s="54">
        <f>Assumptions!Y$60</f>
        <v>0</v>
      </c>
      <c r="AE286" s="54">
        <f>Assumptions!Z$60</f>
        <v>0</v>
      </c>
      <c r="AF286" s="54">
        <f>Assumptions!AA$60</f>
        <v>0</v>
      </c>
      <c r="AG286" s="54">
        <f>Assumptions!AB$60</f>
        <v>0</v>
      </c>
      <c r="AH286" s="54">
        <f>Assumptions!AC$60</f>
        <v>0</v>
      </c>
      <c r="AI286" s="54">
        <f>Assumptions!AD$60</f>
        <v>0</v>
      </c>
      <c r="AJ286" s="54">
        <f>Assumptions!AE$60</f>
        <v>0</v>
      </c>
      <c r="AK286" s="54">
        <f>Assumptions!AF$60</f>
        <v>0</v>
      </c>
      <c r="AL286" s="54">
        <f>Assumptions!AG$60</f>
        <v>0</v>
      </c>
      <c r="AM286" s="54">
        <f>Assumptions!AH$60</f>
        <v>0</v>
      </c>
      <c r="AN286" s="54">
        <f>Assumptions!AI$60</f>
        <v>0</v>
      </c>
      <c r="AO286" s="54">
        <f>Assumptions!AJ$60</f>
        <v>0</v>
      </c>
      <c r="AP286" s="54">
        <f>Assumptions!AK$60</f>
        <v>0</v>
      </c>
      <c r="AQ286" s="54">
        <f>Assumptions!AL$60</f>
        <v>0</v>
      </c>
      <c r="AR286" s="54">
        <f>Assumptions!AM$60</f>
        <v>0</v>
      </c>
      <c r="AS286" s="54">
        <f>Assumptions!AN$60</f>
        <v>0</v>
      </c>
      <c r="AT286" s="54">
        <f>Assumptions!AO$60</f>
        <v>0</v>
      </c>
      <c r="AU286" s="54">
        <f>Assumptions!AP$60</f>
        <v>0</v>
      </c>
    </row>
    <row r="287" spans="1:47">
      <c r="E287" s="326"/>
      <c r="G287" s="39"/>
      <c r="H287" s="39"/>
      <c r="I287" s="39"/>
      <c r="J287" s="39"/>
      <c r="K287" s="39"/>
    </row>
    <row r="288" spans="1:47">
      <c r="E288" s="327"/>
      <c r="F288" s="28"/>
      <c r="G288" s="324" t="str">
        <f>C285&amp;" O&amp;M"</f>
        <v>Fluid Bed Incineration O&amp;M</v>
      </c>
      <c r="H288" s="324"/>
      <c r="I288" s="324"/>
      <c r="J288" s="324"/>
      <c r="K288" s="324"/>
      <c r="L288" s="405" t="s">
        <v>79</v>
      </c>
      <c r="M288" s="256"/>
      <c r="N288" s="325" t="s">
        <v>490</v>
      </c>
      <c r="O288" s="311"/>
      <c r="P288" s="325" t="s">
        <v>491</v>
      </c>
      <c r="Q288" s="310"/>
      <c r="R288" s="325">
        <f>R$8</f>
        <v>2014</v>
      </c>
      <c r="S288" s="325">
        <f t="shared" ref="S288:AU288" si="203">S$8</f>
        <v>2015</v>
      </c>
      <c r="T288" s="325">
        <f t="shared" si="203"/>
        <v>2016</v>
      </c>
      <c r="U288" s="325">
        <f t="shared" si="203"/>
        <v>2017</v>
      </c>
      <c r="V288" s="325">
        <f t="shared" si="203"/>
        <v>2018</v>
      </c>
      <c r="W288" s="325">
        <f t="shared" si="203"/>
        <v>2019</v>
      </c>
      <c r="X288" s="325">
        <f t="shared" si="203"/>
        <v>2020</v>
      </c>
      <c r="Y288" s="325">
        <f t="shared" si="203"/>
        <v>2021</v>
      </c>
      <c r="Z288" s="325">
        <f t="shared" si="203"/>
        <v>2022</v>
      </c>
      <c r="AA288" s="325">
        <f t="shared" si="203"/>
        <v>2023</v>
      </c>
      <c r="AB288" s="325">
        <f t="shared" si="203"/>
        <v>2024</v>
      </c>
      <c r="AC288" s="325">
        <f t="shared" si="203"/>
        <v>2025</v>
      </c>
      <c r="AD288" s="325">
        <f t="shared" si="203"/>
        <v>2026</v>
      </c>
      <c r="AE288" s="325">
        <f t="shared" si="203"/>
        <v>2027</v>
      </c>
      <c r="AF288" s="325">
        <f t="shared" si="203"/>
        <v>2028</v>
      </c>
      <c r="AG288" s="325">
        <f t="shared" si="203"/>
        <v>2029</v>
      </c>
      <c r="AH288" s="325">
        <f t="shared" si="203"/>
        <v>2030</v>
      </c>
      <c r="AI288" s="325">
        <f t="shared" si="203"/>
        <v>2031</v>
      </c>
      <c r="AJ288" s="325">
        <f t="shared" si="203"/>
        <v>2032</v>
      </c>
      <c r="AK288" s="325">
        <f t="shared" si="203"/>
        <v>2033</v>
      </c>
      <c r="AL288" s="325">
        <f t="shared" si="203"/>
        <v>2034</v>
      </c>
      <c r="AM288" s="325">
        <f t="shared" si="203"/>
        <v>2035</v>
      </c>
      <c r="AN288" s="325">
        <f t="shared" si="203"/>
        <v>2036</v>
      </c>
      <c r="AO288" s="325">
        <f t="shared" si="203"/>
        <v>2037</v>
      </c>
      <c r="AP288" s="325">
        <f t="shared" si="203"/>
        <v>2038</v>
      </c>
      <c r="AQ288" s="325">
        <f t="shared" si="203"/>
        <v>2039</v>
      </c>
      <c r="AR288" s="325">
        <f t="shared" si="203"/>
        <v>2040</v>
      </c>
      <c r="AS288" s="325">
        <f t="shared" si="203"/>
        <v>2041</v>
      </c>
      <c r="AT288" s="325">
        <f t="shared" si="203"/>
        <v>2042</v>
      </c>
      <c r="AU288" s="325">
        <f t="shared" si="203"/>
        <v>2043</v>
      </c>
    </row>
    <row r="289" spans="1:47">
      <c r="E289" s="325"/>
      <c r="G289" s="39"/>
      <c r="H289" s="39"/>
      <c r="I289" s="39"/>
      <c r="J289" s="39"/>
      <c r="K289" s="39"/>
    </row>
    <row r="290" spans="1:47">
      <c r="E290" s="325"/>
      <c r="G290" s="39" t="s">
        <v>23</v>
      </c>
      <c r="H290" s="39"/>
      <c r="I290" s="39"/>
      <c r="J290" s="39"/>
      <c r="K290" s="39"/>
    </row>
    <row r="291" spans="1:47">
      <c r="A291" s="38" t="str">
        <f t="shared" ref="A291:A298" si="204">$J$4&amp;"-"</f>
        <v>2X-</v>
      </c>
      <c r="B291" s="38" t="s">
        <v>262</v>
      </c>
      <c r="C291" s="38" t="str">
        <f>C285</f>
        <v>Fluid Bed Incineration</v>
      </c>
      <c r="D291" s="186">
        <f>LaborEsc</f>
        <v>0.02</v>
      </c>
      <c r="E291" s="325"/>
      <c r="G291" s="36" t="s">
        <v>125</v>
      </c>
      <c r="I291" s="39"/>
      <c r="K291" s="39"/>
      <c r="L291" s="43" t="s">
        <v>266</v>
      </c>
      <c r="N291" s="70">
        <f ca="1">SUMIFS(OFFSET(Assumptions!$I$90,0,MATCH($A291,Configurations,0)-1,COUNT(Assumptions!$A$90:$A$183),1),Assumptions!$D$90:$D$183,$B291&amp;$C291)</f>
        <v>0</v>
      </c>
      <c r="O291" s="313"/>
      <c r="P291" s="323"/>
      <c r="Q291" s="313"/>
      <c r="R291" s="50">
        <f t="shared" ref="R291:AU291" ca="1" si="205">IF(OR(R$99&lt;InServiceYr,R$99&gt;(InServiceYr+analysis_period-1)),0,IF($P291=0,$N291,$P291)*LaborCost*(1+$D291)^(R$99-CostBaseYr))</f>
        <v>0</v>
      </c>
      <c r="S291" s="50">
        <f t="shared" ca="1" si="205"/>
        <v>0</v>
      </c>
      <c r="T291" s="50">
        <f t="shared" ca="1" si="205"/>
        <v>0</v>
      </c>
      <c r="U291" s="50">
        <f t="shared" ca="1" si="205"/>
        <v>0</v>
      </c>
      <c r="V291" s="50">
        <f t="shared" ca="1" si="205"/>
        <v>0</v>
      </c>
      <c r="W291" s="50">
        <f t="shared" ca="1" si="205"/>
        <v>0</v>
      </c>
      <c r="X291" s="50">
        <f t="shared" ca="1" si="205"/>
        <v>0</v>
      </c>
      <c r="Y291" s="50">
        <f t="shared" ca="1" si="205"/>
        <v>0</v>
      </c>
      <c r="Z291" s="50">
        <f t="shared" ca="1" si="205"/>
        <v>0</v>
      </c>
      <c r="AA291" s="50">
        <f t="shared" ca="1" si="205"/>
        <v>0</v>
      </c>
      <c r="AB291" s="50">
        <f t="shared" ca="1" si="205"/>
        <v>0</v>
      </c>
      <c r="AC291" s="50">
        <f t="shared" ca="1" si="205"/>
        <v>0</v>
      </c>
      <c r="AD291" s="50">
        <f t="shared" ca="1" si="205"/>
        <v>0</v>
      </c>
      <c r="AE291" s="50">
        <f t="shared" ca="1" si="205"/>
        <v>0</v>
      </c>
      <c r="AF291" s="50">
        <f t="shared" ca="1" si="205"/>
        <v>0</v>
      </c>
      <c r="AG291" s="50">
        <f t="shared" ca="1" si="205"/>
        <v>0</v>
      </c>
      <c r="AH291" s="50">
        <f t="shared" ca="1" si="205"/>
        <v>0</v>
      </c>
      <c r="AI291" s="50">
        <f t="shared" ca="1" si="205"/>
        <v>0</v>
      </c>
      <c r="AJ291" s="50">
        <f t="shared" ca="1" si="205"/>
        <v>0</v>
      </c>
      <c r="AK291" s="50">
        <f t="shared" ca="1" si="205"/>
        <v>0</v>
      </c>
      <c r="AL291" s="50">
        <f t="shared" si="205"/>
        <v>0</v>
      </c>
      <c r="AM291" s="50">
        <f t="shared" si="205"/>
        <v>0</v>
      </c>
      <c r="AN291" s="50">
        <f t="shared" si="205"/>
        <v>0</v>
      </c>
      <c r="AO291" s="50">
        <f t="shared" si="205"/>
        <v>0</v>
      </c>
      <c r="AP291" s="50">
        <f t="shared" si="205"/>
        <v>0</v>
      </c>
      <c r="AQ291" s="50">
        <f t="shared" si="205"/>
        <v>0</v>
      </c>
      <c r="AR291" s="50">
        <f t="shared" si="205"/>
        <v>0</v>
      </c>
      <c r="AS291" s="50">
        <f t="shared" si="205"/>
        <v>0</v>
      </c>
      <c r="AT291" s="50">
        <f t="shared" si="205"/>
        <v>0</v>
      </c>
      <c r="AU291" s="50">
        <f t="shared" si="205"/>
        <v>0</v>
      </c>
    </row>
    <row r="292" spans="1:47">
      <c r="A292" s="38" t="str">
        <f t="shared" si="204"/>
        <v>2X-</v>
      </c>
      <c r="B292" s="38" t="s">
        <v>270</v>
      </c>
      <c r="C292" s="38" t="str">
        <f>C291</f>
        <v>Fluid Bed Incineration</v>
      </c>
      <c r="D292" s="186">
        <f>OMEsc</f>
        <v>0.02</v>
      </c>
      <c r="E292" s="325"/>
      <c r="G292" s="36" t="s">
        <v>126</v>
      </c>
      <c r="I292" s="39"/>
      <c r="K292" s="39"/>
      <c r="L292" s="43" t="str">
        <f>"["&amp;CostBaseYr&amp;" $]"</f>
        <v>[2013 $]</v>
      </c>
      <c r="N292" s="70">
        <f ca="1">SUMIFS(OFFSET(Assumptions!$I$90,0,MATCH($A292,Configurations,0)-1,COUNT(Assumptions!$A$90:$A$183),1),Assumptions!$D$90:$D$183,$B292&amp;$C292)</f>
        <v>0</v>
      </c>
      <c r="O292" s="313"/>
      <c r="P292" s="323"/>
      <c r="Q292" s="313"/>
      <c r="R292" s="50">
        <f t="shared" ref="R292:AG294" ca="1" si="206">IF(OR(R$99&lt;InServiceYr,R$99&gt;(InServiceYr+analysis_period-1)),0,IF($P292=0,$N292,$P292)*(1+$D292)^(R$99-CostBaseYr))</f>
        <v>0</v>
      </c>
      <c r="S292" s="50">
        <f t="shared" ca="1" si="206"/>
        <v>0</v>
      </c>
      <c r="T292" s="50">
        <f t="shared" ca="1" si="206"/>
        <v>0</v>
      </c>
      <c r="U292" s="50">
        <f t="shared" ca="1" si="206"/>
        <v>0</v>
      </c>
      <c r="V292" s="50">
        <f t="shared" ca="1" si="206"/>
        <v>0</v>
      </c>
      <c r="W292" s="50">
        <f t="shared" ca="1" si="206"/>
        <v>0</v>
      </c>
      <c r="X292" s="50">
        <f t="shared" ca="1" si="206"/>
        <v>0</v>
      </c>
      <c r="Y292" s="50">
        <f t="shared" ca="1" si="206"/>
        <v>0</v>
      </c>
      <c r="Z292" s="50">
        <f t="shared" ca="1" si="206"/>
        <v>0</v>
      </c>
      <c r="AA292" s="50">
        <f t="shared" ca="1" si="206"/>
        <v>0</v>
      </c>
      <c r="AB292" s="50">
        <f t="shared" ca="1" si="206"/>
        <v>0</v>
      </c>
      <c r="AC292" s="50">
        <f t="shared" ca="1" si="206"/>
        <v>0</v>
      </c>
      <c r="AD292" s="50">
        <f t="shared" ca="1" si="206"/>
        <v>0</v>
      </c>
      <c r="AE292" s="50">
        <f t="shared" ca="1" si="206"/>
        <v>0</v>
      </c>
      <c r="AF292" s="50">
        <f t="shared" ca="1" si="206"/>
        <v>0</v>
      </c>
      <c r="AG292" s="50">
        <f t="shared" ca="1" si="206"/>
        <v>0</v>
      </c>
      <c r="AH292" s="50">
        <f t="shared" ref="S292:AU294" ca="1" si="207">IF(OR(AH$99&lt;InServiceYr,AH$99&gt;(InServiceYr+analysis_period-1)),0,IF($P292=0,$N292,$P292)*(1+$D292)^(AH$99-CostBaseYr))</f>
        <v>0</v>
      </c>
      <c r="AI292" s="50">
        <f t="shared" ca="1" si="207"/>
        <v>0</v>
      </c>
      <c r="AJ292" s="50">
        <f t="shared" ca="1" si="207"/>
        <v>0</v>
      </c>
      <c r="AK292" s="50">
        <f t="shared" ca="1" si="207"/>
        <v>0</v>
      </c>
      <c r="AL292" s="50">
        <f t="shared" si="207"/>
        <v>0</v>
      </c>
      <c r="AM292" s="50">
        <f t="shared" si="207"/>
        <v>0</v>
      </c>
      <c r="AN292" s="50">
        <f t="shared" si="207"/>
        <v>0</v>
      </c>
      <c r="AO292" s="50">
        <f t="shared" si="207"/>
        <v>0</v>
      </c>
      <c r="AP292" s="50">
        <f t="shared" si="207"/>
        <v>0</v>
      </c>
      <c r="AQ292" s="50">
        <f t="shared" si="207"/>
        <v>0</v>
      </c>
      <c r="AR292" s="50">
        <f t="shared" si="207"/>
        <v>0</v>
      </c>
      <c r="AS292" s="50">
        <f t="shared" si="207"/>
        <v>0</v>
      </c>
      <c r="AT292" s="50">
        <f t="shared" si="207"/>
        <v>0</v>
      </c>
      <c r="AU292" s="50">
        <f t="shared" si="207"/>
        <v>0</v>
      </c>
    </row>
    <row r="293" spans="1:47">
      <c r="A293" s="38" t="str">
        <f t="shared" si="204"/>
        <v>2X-</v>
      </c>
      <c r="B293" s="38" t="s">
        <v>263</v>
      </c>
      <c r="C293" s="38" t="str">
        <f t="shared" ref="C293:C297" si="208">C292</f>
        <v>Fluid Bed Incineration</v>
      </c>
      <c r="D293" s="186">
        <f>OMEsc</f>
        <v>0.02</v>
      </c>
      <c r="E293" s="325"/>
      <c r="G293" s="36" t="s">
        <v>127</v>
      </c>
      <c r="I293" s="39"/>
      <c r="K293" s="39"/>
      <c r="L293" s="43" t="str">
        <f>"["&amp;CostBaseYr&amp;" $]"</f>
        <v>[2013 $]</v>
      </c>
      <c r="N293" s="70">
        <f ca="1">SUMIFS(OFFSET(Assumptions!$I$90,0,MATCH($A293,Configurations,0)-1,COUNT(Assumptions!$A$90:$A$183),1),Assumptions!$D$90:$D$183,$B293&amp;$C293)</f>
        <v>0</v>
      </c>
      <c r="O293" s="313"/>
      <c r="P293" s="323"/>
      <c r="Q293" s="313"/>
      <c r="R293" s="50">
        <f t="shared" ca="1" si="206"/>
        <v>0</v>
      </c>
      <c r="S293" s="50">
        <f t="shared" ca="1" si="207"/>
        <v>0</v>
      </c>
      <c r="T293" s="50">
        <f t="shared" ca="1" si="207"/>
        <v>0</v>
      </c>
      <c r="U293" s="50">
        <f t="shared" ca="1" si="207"/>
        <v>0</v>
      </c>
      <c r="V293" s="50">
        <f t="shared" ca="1" si="207"/>
        <v>0</v>
      </c>
      <c r="W293" s="50">
        <f t="shared" ca="1" si="207"/>
        <v>0</v>
      </c>
      <c r="X293" s="50">
        <f t="shared" ca="1" si="207"/>
        <v>0</v>
      </c>
      <c r="Y293" s="50">
        <f t="shared" ca="1" si="207"/>
        <v>0</v>
      </c>
      <c r="Z293" s="50">
        <f t="shared" ca="1" si="207"/>
        <v>0</v>
      </c>
      <c r="AA293" s="50">
        <f t="shared" ca="1" si="207"/>
        <v>0</v>
      </c>
      <c r="AB293" s="50">
        <f t="shared" ca="1" si="207"/>
        <v>0</v>
      </c>
      <c r="AC293" s="50">
        <f t="shared" ca="1" si="207"/>
        <v>0</v>
      </c>
      <c r="AD293" s="50">
        <f t="shared" ca="1" si="207"/>
        <v>0</v>
      </c>
      <c r="AE293" s="50">
        <f t="shared" ca="1" si="207"/>
        <v>0</v>
      </c>
      <c r="AF293" s="50">
        <f t="shared" ca="1" si="207"/>
        <v>0</v>
      </c>
      <c r="AG293" s="50">
        <f t="shared" ca="1" si="207"/>
        <v>0</v>
      </c>
      <c r="AH293" s="50">
        <f t="shared" ca="1" si="207"/>
        <v>0</v>
      </c>
      <c r="AI293" s="50">
        <f t="shared" ca="1" si="207"/>
        <v>0</v>
      </c>
      <c r="AJ293" s="50">
        <f t="shared" ca="1" si="207"/>
        <v>0</v>
      </c>
      <c r="AK293" s="50">
        <f t="shared" ca="1" si="207"/>
        <v>0</v>
      </c>
      <c r="AL293" s="50">
        <f t="shared" si="207"/>
        <v>0</v>
      </c>
      <c r="AM293" s="50">
        <f t="shared" si="207"/>
        <v>0</v>
      </c>
      <c r="AN293" s="50">
        <f t="shared" si="207"/>
        <v>0</v>
      </c>
      <c r="AO293" s="50">
        <f t="shared" si="207"/>
        <v>0</v>
      </c>
      <c r="AP293" s="50">
        <f t="shared" si="207"/>
        <v>0</v>
      </c>
      <c r="AQ293" s="50">
        <f t="shared" si="207"/>
        <v>0</v>
      </c>
      <c r="AR293" s="50">
        <f t="shared" si="207"/>
        <v>0</v>
      </c>
      <c r="AS293" s="50">
        <f t="shared" si="207"/>
        <v>0</v>
      </c>
      <c r="AT293" s="50">
        <f t="shared" si="207"/>
        <v>0</v>
      </c>
      <c r="AU293" s="50">
        <f t="shared" si="207"/>
        <v>0</v>
      </c>
    </row>
    <row r="294" spans="1:47">
      <c r="A294" s="38" t="str">
        <f t="shared" si="204"/>
        <v>2X-</v>
      </c>
      <c r="B294" s="38" t="s">
        <v>277</v>
      </c>
      <c r="C294" s="38" t="str">
        <f t="shared" si="208"/>
        <v>Fluid Bed Incineration</v>
      </c>
      <c r="D294" s="186">
        <f>OMEsc</f>
        <v>0.02</v>
      </c>
      <c r="E294" s="325"/>
      <c r="G294" s="36" t="s">
        <v>276</v>
      </c>
      <c r="I294" s="39"/>
      <c r="K294" s="39"/>
      <c r="L294" s="43" t="str">
        <f>"["&amp;CostBaseYr&amp;" $]"</f>
        <v>[2013 $]</v>
      </c>
      <c r="N294" s="70">
        <f ca="1">SUMIFS(OFFSET(Assumptions!$I$90,0,MATCH($A294,Configurations,0)-1,COUNT(Assumptions!$A$90:$A$183),1),Assumptions!$D$90:$D$183,$B294&amp;$C294)</f>
        <v>0</v>
      </c>
      <c r="O294" s="313"/>
      <c r="P294" s="323"/>
      <c r="Q294" s="313"/>
      <c r="R294" s="50">
        <f t="shared" ca="1" si="206"/>
        <v>0</v>
      </c>
      <c r="S294" s="50">
        <f t="shared" ca="1" si="207"/>
        <v>0</v>
      </c>
      <c r="T294" s="50">
        <f t="shared" ca="1" si="207"/>
        <v>0</v>
      </c>
      <c r="U294" s="50">
        <f t="shared" ca="1" si="207"/>
        <v>0</v>
      </c>
      <c r="V294" s="50">
        <f t="shared" ca="1" si="207"/>
        <v>0</v>
      </c>
      <c r="W294" s="50">
        <f t="shared" ca="1" si="207"/>
        <v>0</v>
      </c>
      <c r="X294" s="50">
        <f t="shared" ca="1" si="207"/>
        <v>0</v>
      </c>
      <c r="Y294" s="50">
        <f t="shared" ca="1" si="207"/>
        <v>0</v>
      </c>
      <c r="Z294" s="50">
        <f t="shared" ca="1" si="207"/>
        <v>0</v>
      </c>
      <c r="AA294" s="50">
        <f t="shared" ca="1" si="207"/>
        <v>0</v>
      </c>
      <c r="AB294" s="50">
        <f t="shared" ca="1" si="207"/>
        <v>0</v>
      </c>
      <c r="AC294" s="50">
        <f t="shared" ca="1" si="207"/>
        <v>0</v>
      </c>
      <c r="AD294" s="50">
        <f t="shared" ca="1" si="207"/>
        <v>0</v>
      </c>
      <c r="AE294" s="50">
        <f t="shared" ca="1" si="207"/>
        <v>0</v>
      </c>
      <c r="AF294" s="50">
        <f t="shared" ca="1" si="207"/>
        <v>0</v>
      </c>
      <c r="AG294" s="50">
        <f t="shared" ca="1" si="207"/>
        <v>0</v>
      </c>
      <c r="AH294" s="50">
        <f t="shared" ca="1" si="207"/>
        <v>0</v>
      </c>
      <c r="AI294" s="50">
        <f t="shared" ca="1" si="207"/>
        <v>0</v>
      </c>
      <c r="AJ294" s="50">
        <f t="shared" ca="1" si="207"/>
        <v>0</v>
      </c>
      <c r="AK294" s="50">
        <f t="shared" ca="1" si="207"/>
        <v>0</v>
      </c>
      <c r="AL294" s="50">
        <f t="shared" si="207"/>
        <v>0</v>
      </c>
      <c r="AM294" s="50">
        <f t="shared" si="207"/>
        <v>0</v>
      </c>
      <c r="AN294" s="50">
        <f t="shared" si="207"/>
        <v>0</v>
      </c>
      <c r="AO294" s="50">
        <f t="shared" si="207"/>
        <v>0</v>
      </c>
      <c r="AP294" s="50">
        <f t="shared" si="207"/>
        <v>0</v>
      </c>
      <c r="AQ294" s="50">
        <f t="shared" si="207"/>
        <v>0</v>
      </c>
      <c r="AR294" s="50">
        <f t="shared" si="207"/>
        <v>0</v>
      </c>
      <c r="AS294" s="50">
        <f t="shared" si="207"/>
        <v>0</v>
      </c>
      <c r="AT294" s="50">
        <f t="shared" si="207"/>
        <v>0</v>
      </c>
      <c r="AU294" s="50">
        <f t="shared" si="207"/>
        <v>0</v>
      </c>
    </row>
    <row r="295" spans="1:47">
      <c r="A295" s="38" t="str">
        <f t="shared" si="204"/>
        <v>2X-</v>
      </c>
      <c r="B295" s="38" t="s">
        <v>274</v>
      </c>
      <c r="C295" s="38" t="str">
        <f t="shared" si="208"/>
        <v>Fluid Bed Incineration</v>
      </c>
      <c r="D295" s="186"/>
      <c r="E295" s="325"/>
      <c r="G295" s="36" t="s">
        <v>16</v>
      </c>
      <c r="I295" s="39"/>
      <c r="K295" s="39"/>
      <c r="L295" s="43" t="s">
        <v>275</v>
      </c>
      <c r="N295" s="70">
        <f ca="1">SUMIFS(OFFSET(Assumptions!$I$90,0,MATCH($A295,Configurations,0)-1,COUNT(Assumptions!$A$90:$A$183),1),Assumptions!$D$90:$D$183,$B295&amp;$C295)</f>
        <v>0</v>
      </c>
      <c r="O295" s="313"/>
      <c r="P295" s="323"/>
      <c r="Q295" s="313"/>
      <c r="R295" s="50">
        <f t="shared" ref="R295:AU295" ca="1" si="209">IF(OR(R$99&lt;InServiceYr,R$99&gt;(InServiceYr+analysis_period-1)),0,IF($P295=0,$N295,$P295)*R$505)</f>
        <v>0</v>
      </c>
      <c r="S295" s="50">
        <f t="shared" ca="1" si="209"/>
        <v>0</v>
      </c>
      <c r="T295" s="50">
        <f t="shared" ca="1" si="209"/>
        <v>0</v>
      </c>
      <c r="U295" s="50">
        <f t="shared" ca="1" si="209"/>
        <v>0</v>
      </c>
      <c r="V295" s="50">
        <f t="shared" ca="1" si="209"/>
        <v>0</v>
      </c>
      <c r="W295" s="50">
        <f t="shared" ca="1" si="209"/>
        <v>0</v>
      </c>
      <c r="X295" s="50">
        <f t="shared" ca="1" si="209"/>
        <v>0</v>
      </c>
      <c r="Y295" s="50">
        <f t="shared" ca="1" si="209"/>
        <v>0</v>
      </c>
      <c r="Z295" s="50">
        <f t="shared" ca="1" si="209"/>
        <v>0</v>
      </c>
      <c r="AA295" s="50">
        <f t="shared" ca="1" si="209"/>
        <v>0</v>
      </c>
      <c r="AB295" s="50">
        <f t="shared" ca="1" si="209"/>
        <v>0</v>
      </c>
      <c r="AC295" s="50">
        <f t="shared" ca="1" si="209"/>
        <v>0</v>
      </c>
      <c r="AD295" s="50">
        <f t="shared" ca="1" si="209"/>
        <v>0</v>
      </c>
      <c r="AE295" s="50">
        <f t="shared" ca="1" si="209"/>
        <v>0</v>
      </c>
      <c r="AF295" s="50">
        <f t="shared" ca="1" si="209"/>
        <v>0</v>
      </c>
      <c r="AG295" s="50">
        <f t="shared" ca="1" si="209"/>
        <v>0</v>
      </c>
      <c r="AH295" s="50">
        <f t="shared" ca="1" si="209"/>
        <v>0</v>
      </c>
      <c r="AI295" s="50">
        <f t="shared" ca="1" si="209"/>
        <v>0</v>
      </c>
      <c r="AJ295" s="50">
        <f t="shared" ca="1" si="209"/>
        <v>0</v>
      </c>
      <c r="AK295" s="50">
        <f t="shared" ca="1" si="209"/>
        <v>0</v>
      </c>
      <c r="AL295" s="50">
        <f t="shared" si="209"/>
        <v>0</v>
      </c>
      <c r="AM295" s="50">
        <f t="shared" si="209"/>
        <v>0</v>
      </c>
      <c r="AN295" s="50">
        <f t="shared" si="209"/>
        <v>0</v>
      </c>
      <c r="AO295" s="50">
        <f t="shared" si="209"/>
        <v>0</v>
      </c>
      <c r="AP295" s="50">
        <f t="shared" si="209"/>
        <v>0</v>
      </c>
      <c r="AQ295" s="50">
        <f t="shared" si="209"/>
        <v>0</v>
      </c>
      <c r="AR295" s="50">
        <f t="shared" si="209"/>
        <v>0</v>
      </c>
      <c r="AS295" s="50">
        <f t="shared" si="209"/>
        <v>0</v>
      </c>
      <c r="AT295" s="50">
        <f t="shared" si="209"/>
        <v>0</v>
      </c>
      <c r="AU295" s="50">
        <f t="shared" si="209"/>
        <v>0</v>
      </c>
    </row>
    <row r="296" spans="1:47">
      <c r="A296" s="38" t="str">
        <f t="shared" si="204"/>
        <v>2X-</v>
      </c>
      <c r="B296" s="38" t="s">
        <v>257</v>
      </c>
      <c r="C296" s="38" t="str">
        <f t="shared" si="208"/>
        <v>Fluid Bed Incineration</v>
      </c>
      <c r="D296" s="186"/>
      <c r="E296" s="325"/>
      <c r="G296" s="36" t="s">
        <v>284</v>
      </c>
      <c r="I296" s="39"/>
      <c r="K296" s="39"/>
      <c r="L296" s="43" t="s">
        <v>293</v>
      </c>
      <c r="N296" s="70">
        <f ca="1">SUMIFS(OFFSET(Assumptions!$I$90,0,MATCH($A296,Configurations,0)-1,COUNT(Assumptions!$A$90:$A$183),1),Assumptions!$D$90:$D$183,$B296&amp;$C296)</f>
        <v>0</v>
      </c>
      <c r="O296" s="313"/>
      <c r="P296" s="323"/>
      <c r="Q296" s="313"/>
      <c r="R296" s="50">
        <f t="shared" ref="R296:AU296" ca="1" si="210">IF(OR(R$99&lt;InServiceYr,R$99&gt;(InServiceYr+analysis_period-1)),0,IF($P296=0,$N296,$P296)*R$501)</f>
        <v>0</v>
      </c>
      <c r="S296" s="50">
        <f t="shared" ca="1" si="210"/>
        <v>0</v>
      </c>
      <c r="T296" s="50">
        <f t="shared" ca="1" si="210"/>
        <v>0</v>
      </c>
      <c r="U296" s="50">
        <f t="shared" ca="1" si="210"/>
        <v>0</v>
      </c>
      <c r="V296" s="50">
        <f t="shared" ca="1" si="210"/>
        <v>0</v>
      </c>
      <c r="W296" s="50">
        <f t="shared" ca="1" si="210"/>
        <v>0</v>
      </c>
      <c r="X296" s="50">
        <f t="shared" ca="1" si="210"/>
        <v>0</v>
      </c>
      <c r="Y296" s="50">
        <f t="shared" ca="1" si="210"/>
        <v>0</v>
      </c>
      <c r="Z296" s="50">
        <f t="shared" ca="1" si="210"/>
        <v>0</v>
      </c>
      <c r="AA296" s="50">
        <f t="shared" ca="1" si="210"/>
        <v>0</v>
      </c>
      <c r="AB296" s="50">
        <f t="shared" ca="1" si="210"/>
        <v>0</v>
      </c>
      <c r="AC296" s="50">
        <f t="shared" ca="1" si="210"/>
        <v>0</v>
      </c>
      <c r="AD296" s="50">
        <f t="shared" ca="1" si="210"/>
        <v>0</v>
      </c>
      <c r="AE296" s="50">
        <f t="shared" ca="1" si="210"/>
        <v>0</v>
      </c>
      <c r="AF296" s="50">
        <f t="shared" ca="1" si="210"/>
        <v>0</v>
      </c>
      <c r="AG296" s="50">
        <f t="shared" ca="1" si="210"/>
        <v>0</v>
      </c>
      <c r="AH296" s="50">
        <f t="shared" ca="1" si="210"/>
        <v>0</v>
      </c>
      <c r="AI296" s="50">
        <f t="shared" ca="1" si="210"/>
        <v>0</v>
      </c>
      <c r="AJ296" s="50">
        <f t="shared" ca="1" si="210"/>
        <v>0</v>
      </c>
      <c r="AK296" s="50">
        <f t="shared" ca="1" si="210"/>
        <v>0</v>
      </c>
      <c r="AL296" s="50">
        <f t="shared" si="210"/>
        <v>0</v>
      </c>
      <c r="AM296" s="50">
        <f t="shared" si="210"/>
        <v>0</v>
      </c>
      <c r="AN296" s="50">
        <f t="shared" si="210"/>
        <v>0</v>
      </c>
      <c r="AO296" s="50">
        <f t="shared" si="210"/>
        <v>0</v>
      </c>
      <c r="AP296" s="50">
        <f t="shared" si="210"/>
        <v>0</v>
      </c>
      <c r="AQ296" s="50">
        <f t="shared" si="210"/>
        <v>0</v>
      </c>
      <c r="AR296" s="50">
        <f t="shared" si="210"/>
        <v>0</v>
      </c>
      <c r="AS296" s="50">
        <f t="shared" si="210"/>
        <v>0</v>
      </c>
      <c r="AT296" s="50">
        <f t="shared" si="210"/>
        <v>0</v>
      </c>
      <c r="AU296" s="50">
        <f t="shared" si="210"/>
        <v>0</v>
      </c>
    </row>
    <row r="297" spans="1:47">
      <c r="A297" s="38" t="str">
        <f t="shared" si="204"/>
        <v>2X-</v>
      </c>
      <c r="B297" s="38" t="s">
        <v>864</v>
      </c>
      <c r="C297" s="38" t="str">
        <f t="shared" si="208"/>
        <v>Fluid Bed Incineration</v>
      </c>
      <c r="D297" s="186">
        <f>GHGEsc</f>
        <v>0.02</v>
      </c>
      <c r="E297" s="325"/>
      <c r="G297" s="36" t="s">
        <v>865</v>
      </c>
      <c r="I297" s="39"/>
      <c r="K297" s="39"/>
      <c r="L297" s="43" t="s">
        <v>866</v>
      </c>
      <c r="N297" s="70">
        <f ca="1">SUMIFS(OFFSET(Assumptions!$I$90,0,MATCH($A297,Configurations,0)-1,COUNT(Assumptions!$A$90:$A$183),1),Assumptions!$D$90:$D$183,$B297&amp;$C297)</f>
        <v>0</v>
      </c>
      <c r="O297" s="313"/>
      <c r="P297" s="323"/>
      <c r="Q297" s="313"/>
      <c r="R297" s="50">
        <f t="shared" ref="R297:AU297" ca="1" si="211">IF(OR(R$99&lt;InServiceYr,R$99&gt;(InServiceYr+analysis_period-1)),0,IF($P297=0,$N297,$P297)*R$513)</f>
        <v>0</v>
      </c>
      <c r="S297" s="50">
        <f t="shared" ca="1" si="211"/>
        <v>0</v>
      </c>
      <c r="T297" s="50">
        <f t="shared" ca="1" si="211"/>
        <v>0</v>
      </c>
      <c r="U297" s="50">
        <f t="shared" ca="1" si="211"/>
        <v>0</v>
      </c>
      <c r="V297" s="50">
        <f t="shared" ca="1" si="211"/>
        <v>0</v>
      </c>
      <c r="W297" s="50">
        <f t="shared" ca="1" si="211"/>
        <v>0</v>
      </c>
      <c r="X297" s="50">
        <f t="shared" ca="1" si="211"/>
        <v>0</v>
      </c>
      <c r="Y297" s="50">
        <f t="shared" ca="1" si="211"/>
        <v>0</v>
      </c>
      <c r="Z297" s="50">
        <f t="shared" ca="1" si="211"/>
        <v>0</v>
      </c>
      <c r="AA297" s="50">
        <f t="shared" ca="1" si="211"/>
        <v>0</v>
      </c>
      <c r="AB297" s="50">
        <f t="shared" ca="1" si="211"/>
        <v>0</v>
      </c>
      <c r="AC297" s="50">
        <f t="shared" ca="1" si="211"/>
        <v>0</v>
      </c>
      <c r="AD297" s="50">
        <f t="shared" ca="1" si="211"/>
        <v>0</v>
      </c>
      <c r="AE297" s="50">
        <f t="shared" ca="1" si="211"/>
        <v>0</v>
      </c>
      <c r="AF297" s="50">
        <f t="shared" ca="1" si="211"/>
        <v>0</v>
      </c>
      <c r="AG297" s="50">
        <f t="shared" ca="1" si="211"/>
        <v>0</v>
      </c>
      <c r="AH297" s="50">
        <f t="shared" ca="1" si="211"/>
        <v>0</v>
      </c>
      <c r="AI297" s="50">
        <f t="shared" ca="1" si="211"/>
        <v>0</v>
      </c>
      <c r="AJ297" s="50">
        <f t="shared" ca="1" si="211"/>
        <v>0</v>
      </c>
      <c r="AK297" s="50">
        <f t="shared" ca="1" si="211"/>
        <v>0</v>
      </c>
      <c r="AL297" s="50">
        <f t="shared" si="211"/>
        <v>0</v>
      </c>
      <c r="AM297" s="50">
        <f t="shared" si="211"/>
        <v>0</v>
      </c>
      <c r="AN297" s="50">
        <f t="shared" si="211"/>
        <v>0</v>
      </c>
      <c r="AO297" s="50">
        <f t="shared" si="211"/>
        <v>0</v>
      </c>
      <c r="AP297" s="50">
        <f t="shared" si="211"/>
        <v>0</v>
      </c>
      <c r="AQ297" s="50">
        <f t="shared" si="211"/>
        <v>0</v>
      </c>
      <c r="AR297" s="50">
        <f t="shared" si="211"/>
        <v>0</v>
      </c>
      <c r="AS297" s="50">
        <f t="shared" si="211"/>
        <v>0</v>
      </c>
      <c r="AT297" s="50">
        <f t="shared" si="211"/>
        <v>0</v>
      </c>
      <c r="AU297" s="50">
        <f t="shared" si="211"/>
        <v>0</v>
      </c>
    </row>
    <row r="298" spans="1:47">
      <c r="A298" s="38" t="str">
        <f t="shared" si="204"/>
        <v>2X-</v>
      </c>
      <c r="B298" s="38" t="s">
        <v>273</v>
      </c>
      <c r="C298" s="38" t="str">
        <f>C296</f>
        <v>Fluid Bed Incineration</v>
      </c>
      <c r="D298" s="186">
        <f>LaborEsc</f>
        <v>0.02</v>
      </c>
      <c r="E298" s="325"/>
      <c r="G298" s="36" t="s">
        <v>291</v>
      </c>
      <c r="I298" s="39"/>
      <c r="K298" s="39"/>
      <c r="L298" s="43" t="str">
        <f>"["&amp;CostBaseYr&amp;" $]"</f>
        <v>[2013 $]</v>
      </c>
      <c r="N298" s="70">
        <f ca="1">SUMIFS(OFFSET(Assumptions!$I$90,0,MATCH($A298,Configurations,0)-1,COUNT(Assumptions!$A$90:$A$183),1),Assumptions!$D$90:$D$183,$B298&amp;$C298)</f>
        <v>0</v>
      </c>
      <c r="O298" s="313"/>
      <c r="P298" s="323"/>
      <c r="Q298" s="313"/>
      <c r="R298" s="50">
        <f t="shared" ref="R298:AU298" ca="1" si="212">IF(OR(R$99&lt;InServiceYr,R$99&gt;(InServiceYr+analysis_period-1)),0,IF($P298=0,$N298,$P298)*(1+$D298)^(R$99-CostBaseYr))*R$509</f>
        <v>0</v>
      </c>
      <c r="S298" s="50">
        <f t="shared" ca="1" si="212"/>
        <v>0</v>
      </c>
      <c r="T298" s="50">
        <f t="shared" ca="1" si="212"/>
        <v>0</v>
      </c>
      <c r="U298" s="50">
        <f t="shared" ca="1" si="212"/>
        <v>0</v>
      </c>
      <c r="V298" s="50">
        <f t="shared" ca="1" si="212"/>
        <v>0</v>
      </c>
      <c r="W298" s="50">
        <f t="shared" ca="1" si="212"/>
        <v>0</v>
      </c>
      <c r="X298" s="50">
        <f t="shared" ca="1" si="212"/>
        <v>0</v>
      </c>
      <c r="Y298" s="50">
        <f t="shared" ca="1" si="212"/>
        <v>0</v>
      </c>
      <c r="Z298" s="50">
        <f t="shared" ca="1" si="212"/>
        <v>0</v>
      </c>
      <c r="AA298" s="50">
        <f t="shared" ca="1" si="212"/>
        <v>0</v>
      </c>
      <c r="AB298" s="50">
        <f t="shared" ca="1" si="212"/>
        <v>0</v>
      </c>
      <c r="AC298" s="50">
        <f t="shared" ca="1" si="212"/>
        <v>0</v>
      </c>
      <c r="AD298" s="50">
        <f t="shared" ca="1" si="212"/>
        <v>0</v>
      </c>
      <c r="AE298" s="50">
        <f t="shared" ca="1" si="212"/>
        <v>0</v>
      </c>
      <c r="AF298" s="50">
        <f t="shared" ca="1" si="212"/>
        <v>0</v>
      </c>
      <c r="AG298" s="50">
        <f t="shared" ca="1" si="212"/>
        <v>0</v>
      </c>
      <c r="AH298" s="50">
        <f t="shared" ca="1" si="212"/>
        <v>0</v>
      </c>
      <c r="AI298" s="50">
        <f t="shared" ca="1" si="212"/>
        <v>0</v>
      </c>
      <c r="AJ298" s="50">
        <f t="shared" ca="1" si="212"/>
        <v>0</v>
      </c>
      <c r="AK298" s="50">
        <f t="shared" ca="1" si="212"/>
        <v>0</v>
      </c>
      <c r="AL298" s="50">
        <f t="shared" si="212"/>
        <v>0</v>
      </c>
      <c r="AM298" s="50">
        <f t="shared" si="212"/>
        <v>0</v>
      </c>
      <c r="AN298" s="50">
        <f t="shared" si="212"/>
        <v>0</v>
      </c>
      <c r="AO298" s="50">
        <f t="shared" si="212"/>
        <v>0</v>
      </c>
      <c r="AP298" s="50">
        <f t="shared" si="212"/>
        <v>0</v>
      </c>
      <c r="AQ298" s="50">
        <f t="shared" si="212"/>
        <v>0</v>
      </c>
      <c r="AR298" s="50">
        <f t="shared" si="212"/>
        <v>0</v>
      </c>
      <c r="AS298" s="50">
        <f t="shared" si="212"/>
        <v>0</v>
      </c>
      <c r="AT298" s="50">
        <f t="shared" si="212"/>
        <v>0</v>
      </c>
      <c r="AU298" s="50">
        <f t="shared" si="212"/>
        <v>0</v>
      </c>
    </row>
    <row r="299" spans="1:47">
      <c r="D299" s="186"/>
      <c r="E299" s="325"/>
      <c r="G299" s="39" t="s">
        <v>304</v>
      </c>
      <c r="I299" s="39"/>
      <c r="K299" s="39"/>
      <c r="L299" s="43"/>
      <c r="N299" s="70"/>
      <c r="O299" s="313"/>
      <c r="P299" s="70"/>
      <c r="Q299" s="313"/>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row>
    <row r="300" spans="1:47">
      <c r="A300" s="38" t="str">
        <f>$J$4&amp;"-"</f>
        <v>2X-</v>
      </c>
      <c r="B300" s="38" t="s">
        <v>265</v>
      </c>
      <c r="C300" s="38" t="str">
        <f>C291</f>
        <v>Fluid Bed Incineration</v>
      </c>
      <c r="D300" s="186"/>
      <c r="E300" s="325"/>
      <c r="G300" s="36" t="s">
        <v>108</v>
      </c>
      <c r="I300" s="39"/>
      <c r="K300" s="39"/>
      <c r="L300" s="43" t="s">
        <v>293</v>
      </c>
      <c r="N300" s="70">
        <f ca="1">SUMIFS(OFFSET(Assumptions!$I$90,0,MATCH($A300,Configurations,0)-1,COUNT(Assumptions!$A$90:$A$183),1),Assumptions!$D$90:$D$183,$B300&amp;$C300)</f>
        <v>0</v>
      </c>
      <c r="O300" s="313"/>
      <c r="P300" s="323"/>
      <c r="Q300" s="313"/>
      <c r="R300" s="50">
        <f t="shared" ref="R300:AU300" ca="1" si="213">IF(OR(R$99&lt;InServiceYr,R$99&gt;(InServiceYr+analysis_period-1)),0,IF($P300=0,$N300,$P300)*R$501)</f>
        <v>0</v>
      </c>
      <c r="S300" s="50">
        <f t="shared" ca="1" si="213"/>
        <v>0</v>
      </c>
      <c r="T300" s="50">
        <f t="shared" ca="1" si="213"/>
        <v>0</v>
      </c>
      <c r="U300" s="50">
        <f t="shared" ca="1" si="213"/>
        <v>0</v>
      </c>
      <c r="V300" s="50">
        <f t="shared" ca="1" si="213"/>
        <v>0</v>
      </c>
      <c r="W300" s="50">
        <f t="shared" ca="1" si="213"/>
        <v>0</v>
      </c>
      <c r="X300" s="50">
        <f t="shared" ca="1" si="213"/>
        <v>0</v>
      </c>
      <c r="Y300" s="50">
        <f t="shared" ca="1" si="213"/>
        <v>0</v>
      </c>
      <c r="Z300" s="50">
        <f t="shared" ca="1" si="213"/>
        <v>0</v>
      </c>
      <c r="AA300" s="50">
        <f t="shared" ca="1" si="213"/>
        <v>0</v>
      </c>
      <c r="AB300" s="50">
        <f t="shared" ca="1" si="213"/>
        <v>0</v>
      </c>
      <c r="AC300" s="50">
        <f t="shared" ca="1" si="213"/>
        <v>0</v>
      </c>
      <c r="AD300" s="50">
        <f t="shared" ca="1" si="213"/>
        <v>0</v>
      </c>
      <c r="AE300" s="50">
        <f t="shared" ca="1" si="213"/>
        <v>0</v>
      </c>
      <c r="AF300" s="50">
        <f t="shared" ca="1" si="213"/>
        <v>0</v>
      </c>
      <c r="AG300" s="50">
        <f t="shared" ca="1" si="213"/>
        <v>0</v>
      </c>
      <c r="AH300" s="50">
        <f t="shared" ca="1" si="213"/>
        <v>0</v>
      </c>
      <c r="AI300" s="50">
        <f t="shared" ca="1" si="213"/>
        <v>0</v>
      </c>
      <c r="AJ300" s="50">
        <f t="shared" ca="1" si="213"/>
        <v>0</v>
      </c>
      <c r="AK300" s="50">
        <f t="shared" ca="1" si="213"/>
        <v>0</v>
      </c>
      <c r="AL300" s="50">
        <f t="shared" si="213"/>
        <v>0</v>
      </c>
      <c r="AM300" s="50">
        <f t="shared" si="213"/>
        <v>0</v>
      </c>
      <c r="AN300" s="50">
        <f t="shared" si="213"/>
        <v>0</v>
      </c>
      <c r="AO300" s="50">
        <f t="shared" si="213"/>
        <v>0</v>
      </c>
      <c r="AP300" s="50">
        <f t="shared" si="213"/>
        <v>0</v>
      </c>
      <c r="AQ300" s="50">
        <f t="shared" si="213"/>
        <v>0</v>
      </c>
      <c r="AR300" s="50">
        <f t="shared" si="213"/>
        <v>0</v>
      </c>
      <c r="AS300" s="50">
        <f t="shared" si="213"/>
        <v>0</v>
      </c>
      <c r="AT300" s="50">
        <f t="shared" si="213"/>
        <v>0</v>
      </c>
      <c r="AU300" s="50">
        <f t="shared" si="213"/>
        <v>0</v>
      </c>
    </row>
    <row r="301" spans="1:47">
      <c r="A301" s="38" t="str">
        <f>$J$4&amp;"-"</f>
        <v>2X-</v>
      </c>
      <c r="B301" s="38" t="s">
        <v>289</v>
      </c>
      <c r="C301" s="38" t="str">
        <f>C291</f>
        <v>Fluid Bed Incineration</v>
      </c>
      <c r="D301" s="186">
        <f>LaborEsc</f>
        <v>0.02</v>
      </c>
      <c r="E301" s="325"/>
      <c r="G301" s="36" t="s">
        <v>292</v>
      </c>
      <c r="I301" s="39"/>
      <c r="K301" s="39"/>
      <c r="L301" s="43" t="str">
        <f>"["&amp;CostBaseYr&amp;" $]"</f>
        <v>[2013 $]</v>
      </c>
      <c r="N301" s="70">
        <f ca="1">SUMIFS(OFFSET(Assumptions!$I$90,0,MATCH($A301,Configurations,0)-1,COUNT(Assumptions!$A$90:$A$183),1),Assumptions!$D$90:$D$183,$B301&amp;$C301)</f>
        <v>0</v>
      </c>
      <c r="O301" s="313"/>
      <c r="P301" s="323"/>
      <c r="Q301" s="313"/>
      <c r="R301" s="50">
        <f t="shared" ref="R301:AU301" ca="1" si="214">IF(OR(R$99&lt;InServiceYr,R$99&gt;(InServiceYr+analysis_period-1)),0,IF($P301=0,$N301,$P301)*(1+$D301)^(R$99-CostBaseYr))</f>
        <v>0</v>
      </c>
      <c r="S301" s="50">
        <f t="shared" ca="1" si="214"/>
        <v>0</v>
      </c>
      <c r="T301" s="50">
        <f t="shared" ca="1" si="214"/>
        <v>0</v>
      </c>
      <c r="U301" s="50">
        <f t="shared" ca="1" si="214"/>
        <v>0</v>
      </c>
      <c r="V301" s="50">
        <f t="shared" ca="1" si="214"/>
        <v>0</v>
      </c>
      <c r="W301" s="50">
        <f t="shared" ca="1" si="214"/>
        <v>0</v>
      </c>
      <c r="X301" s="50">
        <f t="shared" ca="1" si="214"/>
        <v>0</v>
      </c>
      <c r="Y301" s="50">
        <f t="shared" ca="1" si="214"/>
        <v>0</v>
      </c>
      <c r="Z301" s="50">
        <f t="shared" ca="1" si="214"/>
        <v>0</v>
      </c>
      <c r="AA301" s="50">
        <f t="shared" ca="1" si="214"/>
        <v>0</v>
      </c>
      <c r="AB301" s="50">
        <f t="shared" ca="1" si="214"/>
        <v>0</v>
      </c>
      <c r="AC301" s="50">
        <f t="shared" ca="1" si="214"/>
        <v>0</v>
      </c>
      <c r="AD301" s="50">
        <f t="shared" ca="1" si="214"/>
        <v>0</v>
      </c>
      <c r="AE301" s="50">
        <f t="shared" ca="1" si="214"/>
        <v>0</v>
      </c>
      <c r="AF301" s="50">
        <f t="shared" ca="1" si="214"/>
        <v>0</v>
      </c>
      <c r="AG301" s="50">
        <f t="shared" ca="1" si="214"/>
        <v>0</v>
      </c>
      <c r="AH301" s="50">
        <f t="shared" ca="1" si="214"/>
        <v>0</v>
      </c>
      <c r="AI301" s="50">
        <f t="shared" ca="1" si="214"/>
        <v>0</v>
      </c>
      <c r="AJ301" s="50">
        <f t="shared" ca="1" si="214"/>
        <v>0</v>
      </c>
      <c r="AK301" s="50">
        <f t="shared" ca="1" si="214"/>
        <v>0</v>
      </c>
      <c r="AL301" s="50">
        <f t="shared" si="214"/>
        <v>0</v>
      </c>
      <c r="AM301" s="50">
        <f t="shared" si="214"/>
        <v>0</v>
      </c>
      <c r="AN301" s="50">
        <f t="shared" si="214"/>
        <v>0</v>
      </c>
      <c r="AO301" s="50">
        <f t="shared" si="214"/>
        <v>0</v>
      </c>
      <c r="AP301" s="50">
        <f t="shared" si="214"/>
        <v>0</v>
      </c>
      <c r="AQ301" s="50">
        <f t="shared" si="214"/>
        <v>0</v>
      </c>
      <c r="AR301" s="50">
        <f t="shared" si="214"/>
        <v>0</v>
      </c>
      <c r="AS301" s="50">
        <f t="shared" si="214"/>
        <v>0</v>
      </c>
      <c r="AT301" s="50">
        <f t="shared" si="214"/>
        <v>0</v>
      </c>
      <c r="AU301" s="50">
        <f t="shared" si="214"/>
        <v>0</v>
      </c>
    </row>
    <row r="302" spans="1:47" s="60" customFormat="1">
      <c r="D302" s="187"/>
      <c r="E302" s="325"/>
      <c r="G302" s="39" t="s">
        <v>305</v>
      </c>
      <c r="I302" s="39"/>
      <c r="K302" s="39"/>
      <c r="L302" s="174"/>
      <c r="N302" s="188"/>
      <c r="O302" s="314"/>
      <c r="P302" s="185"/>
      <c r="Q302" s="314"/>
      <c r="R302" s="185">
        <f ca="1">SUM(R291:R298)-SUM(R300:R301)</f>
        <v>0</v>
      </c>
      <c r="S302" s="185">
        <f t="shared" ref="S302:AU302" ca="1" si="215">SUM(S291:S298)-SUM(S300:S301)</f>
        <v>0</v>
      </c>
      <c r="T302" s="185">
        <f t="shared" ca="1" si="215"/>
        <v>0</v>
      </c>
      <c r="U302" s="185">
        <f t="shared" ca="1" si="215"/>
        <v>0</v>
      </c>
      <c r="V302" s="185">
        <f t="shared" ca="1" si="215"/>
        <v>0</v>
      </c>
      <c r="W302" s="185">
        <f t="shared" ca="1" si="215"/>
        <v>0</v>
      </c>
      <c r="X302" s="185">
        <f t="shared" ca="1" si="215"/>
        <v>0</v>
      </c>
      <c r="Y302" s="185">
        <f t="shared" ca="1" si="215"/>
        <v>0</v>
      </c>
      <c r="Z302" s="185">
        <f t="shared" ca="1" si="215"/>
        <v>0</v>
      </c>
      <c r="AA302" s="185">
        <f t="shared" ca="1" si="215"/>
        <v>0</v>
      </c>
      <c r="AB302" s="185">
        <f t="shared" ca="1" si="215"/>
        <v>0</v>
      </c>
      <c r="AC302" s="185">
        <f t="shared" ca="1" si="215"/>
        <v>0</v>
      </c>
      <c r="AD302" s="185">
        <f t="shared" ca="1" si="215"/>
        <v>0</v>
      </c>
      <c r="AE302" s="185">
        <f t="shared" ca="1" si="215"/>
        <v>0</v>
      </c>
      <c r="AF302" s="185">
        <f t="shared" ca="1" si="215"/>
        <v>0</v>
      </c>
      <c r="AG302" s="185">
        <f t="shared" ca="1" si="215"/>
        <v>0</v>
      </c>
      <c r="AH302" s="185">
        <f t="shared" ca="1" si="215"/>
        <v>0</v>
      </c>
      <c r="AI302" s="185">
        <f t="shared" ca="1" si="215"/>
        <v>0</v>
      </c>
      <c r="AJ302" s="185">
        <f t="shared" ca="1" si="215"/>
        <v>0</v>
      </c>
      <c r="AK302" s="185">
        <f t="shared" ca="1" si="215"/>
        <v>0</v>
      </c>
      <c r="AL302" s="185">
        <f t="shared" si="215"/>
        <v>0</v>
      </c>
      <c r="AM302" s="185">
        <f t="shared" si="215"/>
        <v>0</v>
      </c>
      <c r="AN302" s="185">
        <f t="shared" si="215"/>
        <v>0</v>
      </c>
      <c r="AO302" s="185">
        <f t="shared" si="215"/>
        <v>0</v>
      </c>
      <c r="AP302" s="185">
        <f t="shared" si="215"/>
        <v>0</v>
      </c>
      <c r="AQ302" s="185">
        <f t="shared" si="215"/>
        <v>0</v>
      </c>
      <c r="AR302" s="185">
        <f t="shared" si="215"/>
        <v>0</v>
      </c>
      <c r="AS302" s="185">
        <f t="shared" si="215"/>
        <v>0</v>
      </c>
      <c r="AT302" s="185">
        <f t="shared" si="215"/>
        <v>0</v>
      </c>
      <c r="AU302" s="185">
        <f t="shared" si="215"/>
        <v>0</v>
      </c>
    </row>
    <row r="303" spans="1:47">
      <c r="E303" s="36"/>
      <c r="G303" s="39"/>
      <c r="H303" s="39"/>
      <c r="I303" s="39"/>
      <c r="J303" s="39"/>
      <c r="K303" s="39"/>
    </row>
    <row r="304" spans="1:47">
      <c r="E304" s="327"/>
      <c r="F304" s="28"/>
      <c r="G304" s="324" t="str">
        <f>C306&amp;" Capital Costs"</f>
        <v>FOG Receiving Capital Costs</v>
      </c>
      <c r="H304" s="324"/>
      <c r="I304" s="324"/>
      <c r="J304" s="324"/>
      <c r="K304" s="324"/>
      <c r="L304" s="405" t="s">
        <v>79</v>
      </c>
      <c r="M304" s="256"/>
      <c r="N304" s="325" t="s">
        <v>490</v>
      </c>
      <c r="O304" s="311"/>
      <c r="P304" s="325" t="s">
        <v>491</v>
      </c>
      <c r="Q304" s="310"/>
      <c r="R304" s="325">
        <f>R$8</f>
        <v>2014</v>
      </c>
      <c r="S304" s="325">
        <f t="shared" ref="S304:AU304" si="216">S$8</f>
        <v>2015</v>
      </c>
      <c r="T304" s="325">
        <f t="shared" si="216"/>
        <v>2016</v>
      </c>
      <c r="U304" s="325">
        <f t="shared" si="216"/>
        <v>2017</v>
      </c>
      <c r="V304" s="325">
        <f t="shared" si="216"/>
        <v>2018</v>
      </c>
      <c r="W304" s="325">
        <f t="shared" si="216"/>
        <v>2019</v>
      </c>
      <c r="X304" s="325">
        <f t="shared" si="216"/>
        <v>2020</v>
      </c>
      <c r="Y304" s="325">
        <f t="shared" si="216"/>
        <v>2021</v>
      </c>
      <c r="Z304" s="325">
        <f t="shared" si="216"/>
        <v>2022</v>
      </c>
      <c r="AA304" s="325">
        <f t="shared" si="216"/>
        <v>2023</v>
      </c>
      <c r="AB304" s="325">
        <f t="shared" si="216"/>
        <v>2024</v>
      </c>
      <c r="AC304" s="325">
        <f t="shared" si="216"/>
        <v>2025</v>
      </c>
      <c r="AD304" s="325">
        <f t="shared" si="216"/>
        <v>2026</v>
      </c>
      <c r="AE304" s="325">
        <f t="shared" si="216"/>
        <v>2027</v>
      </c>
      <c r="AF304" s="325">
        <f t="shared" si="216"/>
        <v>2028</v>
      </c>
      <c r="AG304" s="325">
        <f t="shared" si="216"/>
        <v>2029</v>
      </c>
      <c r="AH304" s="325">
        <f t="shared" si="216"/>
        <v>2030</v>
      </c>
      <c r="AI304" s="325">
        <f t="shared" si="216"/>
        <v>2031</v>
      </c>
      <c r="AJ304" s="325">
        <f t="shared" si="216"/>
        <v>2032</v>
      </c>
      <c r="AK304" s="325">
        <f t="shared" si="216"/>
        <v>2033</v>
      </c>
      <c r="AL304" s="325">
        <f t="shared" si="216"/>
        <v>2034</v>
      </c>
      <c r="AM304" s="325">
        <f t="shared" si="216"/>
        <v>2035</v>
      </c>
      <c r="AN304" s="325">
        <f t="shared" si="216"/>
        <v>2036</v>
      </c>
      <c r="AO304" s="325">
        <f t="shared" si="216"/>
        <v>2037</v>
      </c>
      <c r="AP304" s="325">
        <f t="shared" si="216"/>
        <v>2038</v>
      </c>
      <c r="AQ304" s="325">
        <f t="shared" si="216"/>
        <v>2039</v>
      </c>
      <c r="AR304" s="325">
        <f t="shared" si="216"/>
        <v>2040</v>
      </c>
      <c r="AS304" s="325">
        <f t="shared" si="216"/>
        <v>2041</v>
      </c>
      <c r="AT304" s="325">
        <f t="shared" si="216"/>
        <v>2042</v>
      </c>
      <c r="AU304" s="325">
        <f t="shared" si="216"/>
        <v>2043</v>
      </c>
    </row>
    <row r="305" spans="1:47">
      <c r="E305" s="325"/>
      <c r="G305" s="39"/>
      <c r="H305" s="39"/>
      <c r="I305" s="39"/>
      <c r="J305" s="39"/>
      <c r="K305" s="39"/>
    </row>
    <row r="306" spans="1:47">
      <c r="A306" s="38" t="str">
        <f>$J$4&amp;"-"</f>
        <v>2X-</v>
      </c>
      <c r="B306" s="38" t="s">
        <v>306</v>
      </c>
      <c r="C306" s="38" t="s">
        <v>161</v>
      </c>
      <c r="D306" s="186">
        <f>CapExEsc</f>
        <v>0.03</v>
      </c>
      <c r="E306" s="325"/>
      <c r="G306" s="36" t="s">
        <v>8</v>
      </c>
      <c r="H306" s="39"/>
      <c r="I306" s="39"/>
      <c r="J306" s="70"/>
      <c r="K306" s="39"/>
      <c r="L306" s="43" t="str">
        <f>"["&amp;CostBaseYr&amp;" $]"</f>
        <v>[2013 $]</v>
      </c>
      <c r="N306" s="52">
        <f ca="1">SUMIFS(OFFSET(Assumptions!$I$65,0,MATCH($A306,Configurations,0)-1,COUNT(Assumptions!$A$65:$A$84),1),Assumptions!$E$65:$E$84,$C306)</f>
        <v>600000</v>
      </c>
      <c r="O306" s="52"/>
      <c r="P306" s="322"/>
      <c r="Q306" s="52"/>
      <c r="R306" s="52">
        <f t="shared" ref="R306:AU306" ca="1" si="217">R307*IF($P306=0,$N306,$P306)*(1+$D306)^(R$8-CostBaseYr)</f>
        <v>618000</v>
      </c>
      <c r="S306" s="52">
        <f t="shared" ca="1" si="217"/>
        <v>0</v>
      </c>
      <c r="T306" s="52">
        <f t="shared" ca="1" si="217"/>
        <v>0</v>
      </c>
      <c r="U306" s="52">
        <f t="shared" ca="1" si="217"/>
        <v>0</v>
      </c>
      <c r="V306" s="52">
        <f t="shared" ca="1" si="217"/>
        <v>0</v>
      </c>
      <c r="W306" s="52">
        <f t="shared" ca="1" si="217"/>
        <v>0</v>
      </c>
      <c r="X306" s="52">
        <f t="shared" ca="1" si="217"/>
        <v>0</v>
      </c>
      <c r="Y306" s="52">
        <f t="shared" ca="1" si="217"/>
        <v>0</v>
      </c>
      <c r="Z306" s="52">
        <f t="shared" ca="1" si="217"/>
        <v>0</v>
      </c>
      <c r="AA306" s="52">
        <f t="shared" ca="1" si="217"/>
        <v>0</v>
      </c>
      <c r="AB306" s="52">
        <f t="shared" ca="1" si="217"/>
        <v>0</v>
      </c>
      <c r="AC306" s="52">
        <f t="shared" ca="1" si="217"/>
        <v>0</v>
      </c>
      <c r="AD306" s="52">
        <f t="shared" ca="1" si="217"/>
        <v>0</v>
      </c>
      <c r="AE306" s="52">
        <f t="shared" ca="1" si="217"/>
        <v>0</v>
      </c>
      <c r="AF306" s="52">
        <f t="shared" ca="1" si="217"/>
        <v>0</v>
      </c>
      <c r="AG306" s="52">
        <f t="shared" ca="1" si="217"/>
        <v>0</v>
      </c>
      <c r="AH306" s="52">
        <f t="shared" ca="1" si="217"/>
        <v>0</v>
      </c>
      <c r="AI306" s="52">
        <f t="shared" ca="1" si="217"/>
        <v>0</v>
      </c>
      <c r="AJ306" s="52">
        <f t="shared" ca="1" si="217"/>
        <v>0</v>
      </c>
      <c r="AK306" s="52">
        <f t="shared" ca="1" si="217"/>
        <v>0</v>
      </c>
      <c r="AL306" s="52">
        <f t="shared" ca="1" si="217"/>
        <v>0</v>
      </c>
      <c r="AM306" s="52">
        <f t="shared" ca="1" si="217"/>
        <v>0</v>
      </c>
      <c r="AN306" s="52">
        <f t="shared" ca="1" si="217"/>
        <v>0</v>
      </c>
      <c r="AO306" s="52">
        <f t="shared" ca="1" si="217"/>
        <v>0</v>
      </c>
      <c r="AP306" s="52">
        <f t="shared" ca="1" si="217"/>
        <v>0</v>
      </c>
      <c r="AQ306" s="52">
        <f t="shared" ca="1" si="217"/>
        <v>0</v>
      </c>
      <c r="AR306" s="52">
        <f t="shared" ca="1" si="217"/>
        <v>0</v>
      </c>
      <c r="AS306" s="52">
        <f t="shared" ca="1" si="217"/>
        <v>0</v>
      </c>
      <c r="AT306" s="52">
        <f t="shared" ca="1" si="217"/>
        <v>0</v>
      </c>
      <c r="AU306" s="52">
        <f t="shared" ca="1" si="217"/>
        <v>0</v>
      </c>
    </row>
    <row r="307" spans="1:47">
      <c r="E307" s="325"/>
      <c r="G307" s="36" t="s">
        <v>10</v>
      </c>
      <c r="H307" s="39"/>
      <c r="I307" s="39"/>
      <c r="J307" s="39"/>
      <c r="K307" s="39"/>
      <c r="L307" s="43"/>
      <c r="R307" s="54">
        <f>Assumptions!M$60</f>
        <v>1</v>
      </c>
      <c r="S307" s="54">
        <f>Assumptions!N$60</f>
        <v>0</v>
      </c>
      <c r="T307" s="54">
        <f>Assumptions!O$60</f>
        <v>0</v>
      </c>
      <c r="U307" s="54">
        <f>Assumptions!P$60</f>
        <v>0</v>
      </c>
      <c r="V307" s="54">
        <f>Assumptions!Q$60</f>
        <v>0</v>
      </c>
      <c r="W307" s="54">
        <f>Assumptions!R$60</f>
        <v>0</v>
      </c>
      <c r="X307" s="54">
        <f>Assumptions!S$60</f>
        <v>0</v>
      </c>
      <c r="Y307" s="54">
        <f>Assumptions!T$60</f>
        <v>0</v>
      </c>
      <c r="Z307" s="54">
        <f>Assumptions!U$60</f>
        <v>0</v>
      </c>
      <c r="AA307" s="54">
        <f>Assumptions!V$60</f>
        <v>0</v>
      </c>
      <c r="AB307" s="54">
        <f>Assumptions!W$60</f>
        <v>0</v>
      </c>
      <c r="AC307" s="54">
        <f>Assumptions!X$60</f>
        <v>0</v>
      </c>
      <c r="AD307" s="54">
        <f>Assumptions!Y$60</f>
        <v>0</v>
      </c>
      <c r="AE307" s="54">
        <f>Assumptions!Z$60</f>
        <v>0</v>
      </c>
      <c r="AF307" s="54">
        <f>Assumptions!AA$60</f>
        <v>0</v>
      </c>
      <c r="AG307" s="54">
        <f>Assumptions!AB$60</f>
        <v>0</v>
      </c>
      <c r="AH307" s="54">
        <f>Assumptions!AC$60</f>
        <v>0</v>
      </c>
      <c r="AI307" s="54">
        <f>Assumptions!AD$60</f>
        <v>0</v>
      </c>
      <c r="AJ307" s="54">
        <f>Assumptions!AE$60</f>
        <v>0</v>
      </c>
      <c r="AK307" s="54">
        <f>Assumptions!AF$60</f>
        <v>0</v>
      </c>
      <c r="AL307" s="54">
        <f>Assumptions!AG$60</f>
        <v>0</v>
      </c>
      <c r="AM307" s="54">
        <f>Assumptions!AH$60</f>
        <v>0</v>
      </c>
      <c r="AN307" s="54">
        <f>Assumptions!AI$60</f>
        <v>0</v>
      </c>
      <c r="AO307" s="54">
        <f>Assumptions!AJ$60</f>
        <v>0</v>
      </c>
      <c r="AP307" s="54">
        <f>Assumptions!AK$60</f>
        <v>0</v>
      </c>
      <c r="AQ307" s="54">
        <f>Assumptions!AL$60</f>
        <v>0</v>
      </c>
      <c r="AR307" s="54">
        <f>Assumptions!AM$60</f>
        <v>0</v>
      </c>
      <c r="AS307" s="54">
        <f>Assumptions!AN$60</f>
        <v>0</v>
      </c>
      <c r="AT307" s="54">
        <f>Assumptions!AO$60</f>
        <v>0</v>
      </c>
      <c r="AU307" s="54">
        <f>Assumptions!AP$60</f>
        <v>0</v>
      </c>
    </row>
    <row r="308" spans="1:47">
      <c r="E308" s="326"/>
      <c r="G308" s="39"/>
      <c r="H308" s="39"/>
      <c r="I308" s="39"/>
      <c r="J308" s="39"/>
      <c r="K308" s="39"/>
    </row>
    <row r="309" spans="1:47">
      <c r="E309" s="327"/>
      <c r="F309" s="28"/>
      <c r="G309" s="324" t="str">
        <f>C306&amp;" O&amp;M"</f>
        <v>FOG Receiving O&amp;M</v>
      </c>
      <c r="H309" s="324"/>
      <c r="I309" s="324"/>
      <c r="J309" s="324"/>
      <c r="K309" s="324"/>
      <c r="L309" s="405" t="s">
        <v>79</v>
      </c>
      <c r="M309" s="256"/>
      <c r="N309" s="325" t="s">
        <v>490</v>
      </c>
      <c r="O309" s="311"/>
      <c r="P309" s="325" t="s">
        <v>491</v>
      </c>
      <c r="Q309" s="310"/>
      <c r="R309" s="325">
        <f>R$8</f>
        <v>2014</v>
      </c>
      <c r="S309" s="325">
        <f t="shared" ref="S309:AU309" si="218">S$8</f>
        <v>2015</v>
      </c>
      <c r="T309" s="325">
        <f t="shared" si="218"/>
        <v>2016</v>
      </c>
      <c r="U309" s="325">
        <f t="shared" si="218"/>
        <v>2017</v>
      </c>
      <c r="V309" s="325">
        <f t="shared" si="218"/>
        <v>2018</v>
      </c>
      <c r="W309" s="325">
        <f t="shared" si="218"/>
        <v>2019</v>
      </c>
      <c r="X309" s="325">
        <f t="shared" si="218"/>
        <v>2020</v>
      </c>
      <c r="Y309" s="325">
        <f t="shared" si="218"/>
        <v>2021</v>
      </c>
      <c r="Z309" s="325">
        <f t="shared" si="218"/>
        <v>2022</v>
      </c>
      <c r="AA309" s="325">
        <f t="shared" si="218"/>
        <v>2023</v>
      </c>
      <c r="AB309" s="325">
        <f t="shared" si="218"/>
        <v>2024</v>
      </c>
      <c r="AC309" s="325">
        <f t="shared" si="218"/>
        <v>2025</v>
      </c>
      <c r="AD309" s="325">
        <f t="shared" si="218"/>
        <v>2026</v>
      </c>
      <c r="AE309" s="325">
        <f t="shared" si="218"/>
        <v>2027</v>
      </c>
      <c r="AF309" s="325">
        <f t="shared" si="218"/>
        <v>2028</v>
      </c>
      <c r="AG309" s="325">
        <f t="shared" si="218"/>
        <v>2029</v>
      </c>
      <c r="AH309" s="325">
        <f t="shared" si="218"/>
        <v>2030</v>
      </c>
      <c r="AI309" s="325">
        <f t="shared" si="218"/>
        <v>2031</v>
      </c>
      <c r="AJ309" s="325">
        <f t="shared" si="218"/>
        <v>2032</v>
      </c>
      <c r="AK309" s="325">
        <f t="shared" si="218"/>
        <v>2033</v>
      </c>
      <c r="AL309" s="325">
        <f t="shared" si="218"/>
        <v>2034</v>
      </c>
      <c r="AM309" s="325">
        <f t="shared" si="218"/>
        <v>2035</v>
      </c>
      <c r="AN309" s="325">
        <f t="shared" si="218"/>
        <v>2036</v>
      </c>
      <c r="AO309" s="325">
        <f t="shared" si="218"/>
        <v>2037</v>
      </c>
      <c r="AP309" s="325">
        <f t="shared" si="218"/>
        <v>2038</v>
      </c>
      <c r="AQ309" s="325">
        <f t="shared" si="218"/>
        <v>2039</v>
      </c>
      <c r="AR309" s="325">
        <f t="shared" si="218"/>
        <v>2040</v>
      </c>
      <c r="AS309" s="325">
        <f t="shared" si="218"/>
        <v>2041</v>
      </c>
      <c r="AT309" s="325">
        <f t="shared" si="218"/>
        <v>2042</v>
      </c>
      <c r="AU309" s="325">
        <f t="shared" si="218"/>
        <v>2043</v>
      </c>
    </row>
    <row r="310" spans="1:47">
      <c r="E310" s="325"/>
      <c r="G310" s="39"/>
      <c r="H310" s="39"/>
      <c r="I310" s="39"/>
      <c r="J310" s="39"/>
      <c r="K310" s="39"/>
    </row>
    <row r="311" spans="1:47">
      <c r="E311" s="325"/>
      <c r="G311" s="39" t="s">
        <v>23</v>
      </c>
      <c r="H311" s="39"/>
      <c r="I311" s="39"/>
      <c r="J311" s="39"/>
      <c r="K311" s="39"/>
    </row>
    <row r="312" spans="1:47">
      <c r="A312" s="38" t="str">
        <f t="shared" ref="A312:A319" si="219">$J$4&amp;"-"</f>
        <v>2X-</v>
      </c>
      <c r="B312" s="38" t="s">
        <v>262</v>
      </c>
      <c r="C312" s="38" t="str">
        <f>C306</f>
        <v>FOG Receiving</v>
      </c>
      <c r="D312" s="186">
        <f>LaborEsc</f>
        <v>0.02</v>
      </c>
      <c r="E312" s="325"/>
      <c r="G312" s="36" t="s">
        <v>125</v>
      </c>
      <c r="I312" s="39"/>
      <c r="K312" s="39"/>
      <c r="L312" s="43" t="s">
        <v>266</v>
      </c>
      <c r="N312" s="70">
        <f ca="1">SUMIFS(OFFSET(Assumptions!$I$90,0,MATCH($A312,Configurations,0)-1,COUNT(Assumptions!$A$90:$A$183),1),Assumptions!$D$90:$D$183,$B312&amp;$C312)</f>
        <v>3285</v>
      </c>
      <c r="O312" s="313"/>
      <c r="P312" s="323"/>
      <c r="Q312" s="313"/>
      <c r="R312" s="50">
        <f t="shared" ref="R312:AU312" ca="1" si="220">IF(OR(R$99&lt;InServiceYr,R$99&gt;(InServiceYr+analysis_period-1)),0,IF($P312=0,$N312,$P312)*LaborCost*(1+$D312)^(R$99-CostBaseYr))</f>
        <v>117274.5</v>
      </c>
      <c r="S312" s="50">
        <f t="shared" ca="1" si="220"/>
        <v>119619.99</v>
      </c>
      <c r="T312" s="50">
        <f t="shared" ca="1" si="220"/>
        <v>122012.38979999999</v>
      </c>
      <c r="U312" s="50">
        <f t="shared" ca="1" si="220"/>
        <v>124452.637596</v>
      </c>
      <c r="V312" s="50">
        <f t="shared" ca="1" si="220"/>
        <v>126941.69034792</v>
      </c>
      <c r="W312" s="50">
        <f t="shared" ca="1" si="220"/>
        <v>129480.52415487841</v>
      </c>
      <c r="X312" s="50">
        <f t="shared" ca="1" si="220"/>
        <v>132070.13463797595</v>
      </c>
      <c r="Y312" s="50">
        <f t="shared" ca="1" si="220"/>
        <v>134711.53733073547</v>
      </c>
      <c r="Z312" s="50">
        <f t="shared" ca="1" si="220"/>
        <v>137405.76807735019</v>
      </c>
      <c r="AA312" s="50">
        <f t="shared" ca="1" si="220"/>
        <v>140153.8834388972</v>
      </c>
      <c r="AB312" s="50">
        <f t="shared" ca="1" si="220"/>
        <v>142956.9611076751</v>
      </c>
      <c r="AC312" s="50">
        <f t="shared" ca="1" si="220"/>
        <v>145816.10032982865</v>
      </c>
      <c r="AD312" s="50">
        <f t="shared" ca="1" si="220"/>
        <v>148732.4223364252</v>
      </c>
      <c r="AE312" s="50">
        <f t="shared" ca="1" si="220"/>
        <v>151707.07078315373</v>
      </c>
      <c r="AF312" s="50">
        <f t="shared" ca="1" si="220"/>
        <v>154741.21219881676</v>
      </c>
      <c r="AG312" s="50">
        <f t="shared" ca="1" si="220"/>
        <v>157836.03644279312</v>
      </c>
      <c r="AH312" s="50">
        <f t="shared" ca="1" si="220"/>
        <v>160992.75717164899</v>
      </c>
      <c r="AI312" s="50">
        <f t="shared" ca="1" si="220"/>
        <v>164212.61231508196</v>
      </c>
      <c r="AJ312" s="50">
        <f t="shared" ca="1" si="220"/>
        <v>167496.86456138358</v>
      </c>
      <c r="AK312" s="50">
        <f t="shared" ca="1" si="220"/>
        <v>170846.80185261127</v>
      </c>
      <c r="AL312" s="50">
        <f t="shared" si="220"/>
        <v>0</v>
      </c>
      <c r="AM312" s="50">
        <f t="shared" si="220"/>
        <v>0</v>
      </c>
      <c r="AN312" s="50">
        <f t="shared" si="220"/>
        <v>0</v>
      </c>
      <c r="AO312" s="50">
        <f t="shared" si="220"/>
        <v>0</v>
      </c>
      <c r="AP312" s="50">
        <f t="shared" si="220"/>
        <v>0</v>
      </c>
      <c r="AQ312" s="50">
        <f t="shared" si="220"/>
        <v>0</v>
      </c>
      <c r="AR312" s="50">
        <f t="shared" si="220"/>
        <v>0</v>
      </c>
      <c r="AS312" s="50">
        <f t="shared" si="220"/>
        <v>0</v>
      </c>
      <c r="AT312" s="50">
        <f t="shared" si="220"/>
        <v>0</v>
      </c>
      <c r="AU312" s="50">
        <f t="shared" si="220"/>
        <v>0</v>
      </c>
    </row>
    <row r="313" spans="1:47">
      <c r="A313" s="38" t="str">
        <f t="shared" si="219"/>
        <v>2X-</v>
      </c>
      <c r="B313" s="38" t="s">
        <v>270</v>
      </c>
      <c r="C313" s="38" t="str">
        <f>C312</f>
        <v>FOG Receiving</v>
      </c>
      <c r="D313" s="186">
        <f>OMEsc</f>
        <v>0.02</v>
      </c>
      <c r="E313" s="325"/>
      <c r="G313" s="36" t="s">
        <v>126</v>
      </c>
      <c r="I313" s="39"/>
      <c r="K313" s="39"/>
      <c r="L313" s="43" t="str">
        <f>"["&amp;CostBaseYr&amp;" $]"</f>
        <v>[2013 $]</v>
      </c>
      <c r="N313" s="70">
        <f ca="1">SUMIFS(OFFSET(Assumptions!$I$90,0,MATCH($A313,Configurations,0)-1,COUNT(Assumptions!$A$90:$A$183),1),Assumptions!$D$90:$D$183,$B313&amp;$C313)</f>
        <v>12000</v>
      </c>
      <c r="O313" s="313"/>
      <c r="P313" s="323"/>
      <c r="Q313" s="313"/>
      <c r="R313" s="50">
        <f t="shared" ref="R313:AG315" ca="1" si="221">IF(OR(R$99&lt;InServiceYr,R$99&gt;(InServiceYr+analysis_period-1)),0,IF($P313=0,$N313,$P313)*(1+$D313)^(R$99-CostBaseYr))</f>
        <v>12240</v>
      </c>
      <c r="S313" s="50">
        <f t="shared" ca="1" si="221"/>
        <v>12484.8</v>
      </c>
      <c r="T313" s="50">
        <f t="shared" ca="1" si="221"/>
        <v>12734.495999999999</v>
      </c>
      <c r="U313" s="50">
        <f t="shared" ca="1" si="221"/>
        <v>12989.18592</v>
      </c>
      <c r="V313" s="50">
        <f t="shared" ca="1" si="221"/>
        <v>13248.9696384</v>
      </c>
      <c r="W313" s="50">
        <f t="shared" ca="1" si="221"/>
        <v>13513.949031168</v>
      </c>
      <c r="X313" s="50">
        <f t="shared" ca="1" si="221"/>
        <v>13784.228011791358</v>
      </c>
      <c r="Y313" s="50">
        <f t="shared" ca="1" si="221"/>
        <v>14059.912572027186</v>
      </c>
      <c r="Z313" s="50">
        <f t="shared" ca="1" si="221"/>
        <v>14341.11082346773</v>
      </c>
      <c r="AA313" s="50">
        <f t="shared" ca="1" si="221"/>
        <v>14627.933039937085</v>
      </c>
      <c r="AB313" s="50">
        <f t="shared" ca="1" si="221"/>
        <v>14920.491700735824</v>
      </c>
      <c r="AC313" s="50">
        <f t="shared" ca="1" si="221"/>
        <v>15218.901534750543</v>
      </c>
      <c r="AD313" s="50">
        <f t="shared" ca="1" si="221"/>
        <v>15523.279565445553</v>
      </c>
      <c r="AE313" s="50">
        <f t="shared" ca="1" si="221"/>
        <v>15833.745156754465</v>
      </c>
      <c r="AF313" s="50">
        <f t="shared" ca="1" si="221"/>
        <v>16150.420059889551</v>
      </c>
      <c r="AG313" s="50">
        <f t="shared" ca="1" si="221"/>
        <v>16473.428461087344</v>
      </c>
      <c r="AH313" s="50">
        <f t="shared" ref="S313:AU315" ca="1" si="222">IF(OR(AH$99&lt;InServiceYr,AH$99&gt;(InServiceYr+analysis_period-1)),0,IF($P313=0,$N313,$P313)*(1+$D313)^(AH$99-CostBaseYr))</f>
        <v>16802.897030309094</v>
      </c>
      <c r="AI313" s="50">
        <f t="shared" ca="1" si="222"/>
        <v>17138.954970915274</v>
      </c>
      <c r="AJ313" s="50">
        <f t="shared" ca="1" si="222"/>
        <v>17481.734070333576</v>
      </c>
      <c r="AK313" s="50">
        <f t="shared" ca="1" si="222"/>
        <v>17831.36875174025</v>
      </c>
      <c r="AL313" s="50">
        <f t="shared" si="222"/>
        <v>0</v>
      </c>
      <c r="AM313" s="50">
        <f t="shared" si="222"/>
        <v>0</v>
      </c>
      <c r="AN313" s="50">
        <f t="shared" si="222"/>
        <v>0</v>
      </c>
      <c r="AO313" s="50">
        <f t="shared" si="222"/>
        <v>0</v>
      </c>
      <c r="AP313" s="50">
        <f t="shared" si="222"/>
        <v>0</v>
      </c>
      <c r="AQ313" s="50">
        <f t="shared" si="222"/>
        <v>0</v>
      </c>
      <c r="AR313" s="50">
        <f t="shared" si="222"/>
        <v>0</v>
      </c>
      <c r="AS313" s="50">
        <f t="shared" si="222"/>
        <v>0</v>
      </c>
      <c r="AT313" s="50">
        <f t="shared" si="222"/>
        <v>0</v>
      </c>
      <c r="AU313" s="50">
        <f t="shared" si="222"/>
        <v>0</v>
      </c>
    </row>
    <row r="314" spans="1:47">
      <c r="A314" s="38" t="str">
        <f t="shared" si="219"/>
        <v>2X-</v>
      </c>
      <c r="B314" s="38" t="s">
        <v>263</v>
      </c>
      <c r="C314" s="38" t="str">
        <f t="shared" ref="C314:C318" si="223">C313</f>
        <v>FOG Receiving</v>
      </c>
      <c r="D314" s="186">
        <f>OMEsc</f>
        <v>0.02</v>
      </c>
      <c r="E314" s="325"/>
      <c r="G314" s="36" t="s">
        <v>127</v>
      </c>
      <c r="I314" s="39"/>
      <c r="K314" s="39"/>
      <c r="L314" s="43" t="str">
        <f>"["&amp;CostBaseYr&amp;" $]"</f>
        <v>[2013 $]</v>
      </c>
      <c r="N314" s="70">
        <f ca="1">SUMIFS(OFFSET(Assumptions!$I$90,0,MATCH($A314,Configurations,0)-1,COUNT(Assumptions!$A$90:$A$183),1),Assumptions!$D$90:$D$183,$B314&amp;$C314)</f>
        <v>0</v>
      </c>
      <c r="O314" s="313"/>
      <c r="P314" s="323"/>
      <c r="Q314" s="313"/>
      <c r="R314" s="50">
        <f t="shared" ca="1" si="221"/>
        <v>0</v>
      </c>
      <c r="S314" s="50">
        <f t="shared" ca="1" si="222"/>
        <v>0</v>
      </c>
      <c r="T314" s="50">
        <f t="shared" ca="1" si="222"/>
        <v>0</v>
      </c>
      <c r="U314" s="50">
        <f t="shared" ca="1" si="222"/>
        <v>0</v>
      </c>
      <c r="V314" s="50">
        <f t="shared" ca="1" si="222"/>
        <v>0</v>
      </c>
      <c r="W314" s="50">
        <f t="shared" ca="1" si="222"/>
        <v>0</v>
      </c>
      <c r="X314" s="50">
        <f t="shared" ca="1" si="222"/>
        <v>0</v>
      </c>
      <c r="Y314" s="50">
        <f t="shared" ca="1" si="222"/>
        <v>0</v>
      </c>
      <c r="Z314" s="50">
        <f t="shared" ca="1" si="222"/>
        <v>0</v>
      </c>
      <c r="AA314" s="50">
        <f t="shared" ca="1" si="222"/>
        <v>0</v>
      </c>
      <c r="AB314" s="50">
        <f t="shared" ca="1" si="222"/>
        <v>0</v>
      </c>
      <c r="AC314" s="50">
        <f t="shared" ca="1" si="222"/>
        <v>0</v>
      </c>
      <c r="AD314" s="50">
        <f t="shared" ca="1" si="222"/>
        <v>0</v>
      </c>
      <c r="AE314" s="50">
        <f t="shared" ca="1" si="222"/>
        <v>0</v>
      </c>
      <c r="AF314" s="50">
        <f t="shared" ca="1" si="222"/>
        <v>0</v>
      </c>
      <c r="AG314" s="50">
        <f t="shared" ca="1" si="222"/>
        <v>0</v>
      </c>
      <c r="AH314" s="50">
        <f t="shared" ca="1" si="222"/>
        <v>0</v>
      </c>
      <c r="AI314" s="50">
        <f t="shared" ca="1" si="222"/>
        <v>0</v>
      </c>
      <c r="AJ314" s="50">
        <f t="shared" ca="1" si="222"/>
        <v>0</v>
      </c>
      <c r="AK314" s="50">
        <f t="shared" ca="1" si="222"/>
        <v>0</v>
      </c>
      <c r="AL314" s="50">
        <f t="shared" si="222"/>
        <v>0</v>
      </c>
      <c r="AM314" s="50">
        <f t="shared" si="222"/>
        <v>0</v>
      </c>
      <c r="AN314" s="50">
        <f t="shared" si="222"/>
        <v>0</v>
      </c>
      <c r="AO314" s="50">
        <f t="shared" si="222"/>
        <v>0</v>
      </c>
      <c r="AP314" s="50">
        <f t="shared" si="222"/>
        <v>0</v>
      </c>
      <c r="AQ314" s="50">
        <f t="shared" si="222"/>
        <v>0</v>
      </c>
      <c r="AR314" s="50">
        <f t="shared" si="222"/>
        <v>0</v>
      </c>
      <c r="AS314" s="50">
        <f t="shared" si="222"/>
        <v>0</v>
      </c>
      <c r="AT314" s="50">
        <f t="shared" si="222"/>
        <v>0</v>
      </c>
      <c r="AU314" s="50">
        <f t="shared" si="222"/>
        <v>0</v>
      </c>
    </row>
    <row r="315" spans="1:47">
      <c r="A315" s="38" t="str">
        <f t="shared" si="219"/>
        <v>2X-</v>
      </c>
      <c r="B315" s="38" t="s">
        <v>277</v>
      </c>
      <c r="C315" s="38" t="str">
        <f t="shared" si="223"/>
        <v>FOG Receiving</v>
      </c>
      <c r="D315" s="186">
        <f>OMEsc</f>
        <v>0.02</v>
      </c>
      <c r="E315" s="325"/>
      <c r="G315" s="36" t="s">
        <v>276</v>
      </c>
      <c r="I315" s="39"/>
      <c r="K315" s="39"/>
      <c r="L315" s="43" t="str">
        <f>"["&amp;CostBaseYr&amp;" $]"</f>
        <v>[2013 $]</v>
      </c>
      <c r="N315" s="70">
        <f ca="1">SUMIFS(OFFSET(Assumptions!$I$90,0,MATCH($A315,Configurations,0)-1,COUNT(Assumptions!$A$90:$A$183),1),Assumptions!$D$90:$D$183,$B315&amp;$C315)</f>
        <v>0</v>
      </c>
      <c r="O315" s="313"/>
      <c r="P315" s="323"/>
      <c r="Q315" s="313"/>
      <c r="R315" s="50">
        <f t="shared" ca="1" si="221"/>
        <v>0</v>
      </c>
      <c r="S315" s="50">
        <f t="shared" ca="1" si="222"/>
        <v>0</v>
      </c>
      <c r="T315" s="50">
        <f t="shared" ca="1" si="222"/>
        <v>0</v>
      </c>
      <c r="U315" s="50">
        <f t="shared" ca="1" si="222"/>
        <v>0</v>
      </c>
      <c r="V315" s="50">
        <f t="shared" ca="1" si="222"/>
        <v>0</v>
      </c>
      <c r="W315" s="50">
        <f t="shared" ca="1" si="222"/>
        <v>0</v>
      </c>
      <c r="X315" s="50">
        <f t="shared" ca="1" si="222"/>
        <v>0</v>
      </c>
      <c r="Y315" s="50">
        <f t="shared" ca="1" si="222"/>
        <v>0</v>
      </c>
      <c r="Z315" s="50">
        <f t="shared" ca="1" si="222"/>
        <v>0</v>
      </c>
      <c r="AA315" s="50">
        <f t="shared" ca="1" si="222"/>
        <v>0</v>
      </c>
      <c r="AB315" s="50">
        <f t="shared" ca="1" si="222"/>
        <v>0</v>
      </c>
      <c r="AC315" s="50">
        <f t="shared" ca="1" si="222"/>
        <v>0</v>
      </c>
      <c r="AD315" s="50">
        <f t="shared" ca="1" si="222"/>
        <v>0</v>
      </c>
      <c r="AE315" s="50">
        <f t="shared" ca="1" si="222"/>
        <v>0</v>
      </c>
      <c r="AF315" s="50">
        <f t="shared" ca="1" si="222"/>
        <v>0</v>
      </c>
      <c r="AG315" s="50">
        <f t="shared" ca="1" si="222"/>
        <v>0</v>
      </c>
      <c r="AH315" s="50">
        <f t="shared" ca="1" si="222"/>
        <v>0</v>
      </c>
      <c r="AI315" s="50">
        <f t="shared" ca="1" si="222"/>
        <v>0</v>
      </c>
      <c r="AJ315" s="50">
        <f t="shared" ca="1" si="222"/>
        <v>0</v>
      </c>
      <c r="AK315" s="50">
        <f t="shared" ca="1" si="222"/>
        <v>0</v>
      </c>
      <c r="AL315" s="50">
        <f t="shared" si="222"/>
        <v>0</v>
      </c>
      <c r="AM315" s="50">
        <f t="shared" si="222"/>
        <v>0</v>
      </c>
      <c r="AN315" s="50">
        <f t="shared" si="222"/>
        <v>0</v>
      </c>
      <c r="AO315" s="50">
        <f t="shared" si="222"/>
        <v>0</v>
      </c>
      <c r="AP315" s="50">
        <f t="shared" si="222"/>
        <v>0</v>
      </c>
      <c r="AQ315" s="50">
        <f t="shared" si="222"/>
        <v>0</v>
      </c>
      <c r="AR315" s="50">
        <f t="shared" si="222"/>
        <v>0</v>
      </c>
      <c r="AS315" s="50">
        <f t="shared" si="222"/>
        <v>0</v>
      </c>
      <c r="AT315" s="50">
        <f t="shared" si="222"/>
        <v>0</v>
      </c>
      <c r="AU315" s="50">
        <f t="shared" si="222"/>
        <v>0</v>
      </c>
    </row>
    <row r="316" spans="1:47">
      <c r="A316" s="38" t="str">
        <f t="shared" si="219"/>
        <v>2X-</v>
      </c>
      <c r="B316" s="38" t="s">
        <v>274</v>
      </c>
      <c r="C316" s="38" t="str">
        <f t="shared" si="223"/>
        <v>FOG Receiving</v>
      </c>
      <c r="D316" s="186"/>
      <c r="E316" s="325"/>
      <c r="G316" s="36" t="s">
        <v>16</v>
      </c>
      <c r="I316" s="39"/>
      <c r="K316" s="39"/>
      <c r="L316" s="43" t="s">
        <v>275</v>
      </c>
      <c r="N316" s="70">
        <f ca="1">SUMIFS(OFFSET(Assumptions!$I$90,0,MATCH($A316,Configurations,0)-1,COUNT(Assumptions!$A$90:$A$183),1),Assumptions!$D$90:$D$183,$B316&amp;$C316)</f>
        <v>0</v>
      </c>
      <c r="O316" s="313"/>
      <c r="P316" s="323"/>
      <c r="Q316" s="313"/>
      <c r="R316" s="50">
        <f t="shared" ref="R316:AU316" ca="1" si="224">IF(OR(R$99&lt;InServiceYr,R$99&gt;(InServiceYr+analysis_period-1)),0,IF($P316=0,$N316,$P316)*R$505)</f>
        <v>0</v>
      </c>
      <c r="S316" s="50">
        <f t="shared" ca="1" si="224"/>
        <v>0</v>
      </c>
      <c r="T316" s="50">
        <f t="shared" ca="1" si="224"/>
        <v>0</v>
      </c>
      <c r="U316" s="50">
        <f t="shared" ca="1" si="224"/>
        <v>0</v>
      </c>
      <c r="V316" s="50">
        <f t="shared" ca="1" si="224"/>
        <v>0</v>
      </c>
      <c r="W316" s="50">
        <f t="shared" ca="1" si="224"/>
        <v>0</v>
      </c>
      <c r="X316" s="50">
        <f t="shared" ca="1" si="224"/>
        <v>0</v>
      </c>
      <c r="Y316" s="50">
        <f t="shared" ca="1" si="224"/>
        <v>0</v>
      </c>
      <c r="Z316" s="50">
        <f t="shared" ca="1" si="224"/>
        <v>0</v>
      </c>
      <c r="AA316" s="50">
        <f t="shared" ca="1" si="224"/>
        <v>0</v>
      </c>
      <c r="AB316" s="50">
        <f t="shared" ca="1" si="224"/>
        <v>0</v>
      </c>
      <c r="AC316" s="50">
        <f t="shared" ca="1" si="224"/>
        <v>0</v>
      </c>
      <c r="AD316" s="50">
        <f t="shared" ca="1" si="224"/>
        <v>0</v>
      </c>
      <c r="AE316" s="50">
        <f t="shared" ca="1" si="224"/>
        <v>0</v>
      </c>
      <c r="AF316" s="50">
        <f t="shared" ca="1" si="224"/>
        <v>0</v>
      </c>
      <c r="AG316" s="50">
        <f t="shared" ca="1" si="224"/>
        <v>0</v>
      </c>
      <c r="AH316" s="50">
        <f t="shared" ca="1" si="224"/>
        <v>0</v>
      </c>
      <c r="AI316" s="50">
        <f t="shared" ca="1" si="224"/>
        <v>0</v>
      </c>
      <c r="AJ316" s="50">
        <f t="shared" ca="1" si="224"/>
        <v>0</v>
      </c>
      <c r="AK316" s="50">
        <f t="shared" ca="1" si="224"/>
        <v>0</v>
      </c>
      <c r="AL316" s="50">
        <f t="shared" si="224"/>
        <v>0</v>
      </c>
      <c r="AM316" s="50">
        <f t="shared" si="224"/>
        <v>0</v>
      </c>
      <c r="AN316" s="50">
        <f t="shared" si="224"/>
        <v>0</v>
      </c>
      <c r="AO316" s="50">
        <f t="shared" si="224"/>
        <v>0</v>
      </c>
      <c r="AP316" s="50">
        <f t="shared" si="224"/>
        <v>0</v>
      </c>
      <c r="AQ316" s="50">
        <f t="shared" si="224"/>
        <v>0</v>
      </c>
      <c r="AR316" s="50">
        <f t="shared" si="224"/>
        <v>0</v>
      </c>
      <c r="AS316" s="50">
        <f t="shared" si="224"/>
        <v>0</v>
      </c>
      <c r="AT316" s="50">
        <f t="shared" si="224"/>
        <v>0</v>
      </c>
      <c r="AU316" s="50">
        <f t="shared" si="224"/>
        <v>0</v>
      </c>
    </row>
    <row r="317" spans="1:47">
      <c r="A317" s="38" t="str">
        <f t="shared" si="219"/>
        <v>2X-</v>
      </c>
      <c r="B317" s="38" t="s">
        <v>257</v>
      </c>
      <c r="C317" s="38" t="str">
        <f t="shared" si="223"/>
        <v>FOG Receiving</v>
      </c>
      <c r="D317" s="186"/>
      <c r="E317" s="325"/>
      <c r="G317" s="36" t="s">
        <v>284</v>
      </c>
      <c r="I317" s="39"/>
      <c r="K317" s="39"/>
      <c r="L317" s="43" t="s">
        <v>293</v>
      </c>
      <c r="N317" s="70">
        <f ca="1">SUMIFS(OFFSET(Assumptions!$I$90,0,MATCH($A317,Configurations,0)-1,COUNT(Assumptions!$A$90:$A$183),1),Assumptions!$D$90:$D$183,$B317&amp;$C317)</f>
        <v>105850</v>
      </c>
      <c r="O317" s="313"/>
      <c r="P317" s="323"/>
      <c r="Q317" s="313"/>
      <c r="R317" s="50">
        <f t="shared" ref="R317:AU317" ca="1" si="225">IF(OR(R$99&lt;InServiceYr,R$99&gt;(InServiceYr+analysis_period-1)),0,IF($P317=0,$N317,$P317)*R$501)</f>
        <v>6835.9577092445606</v>
      </c>
      <c r="S317" s="50">
        <f t="shared" ca="1" si="225"/>
        <v>6878.5698654569751</v>
      </c>
      <c r="T317" s="50">
        <f t="shared" ca="1" si="225"/>
        <v>7175.1046099425666</v>
      </c>
      <c r="U317" s="50">
        <f t="shared" ca="1" si="225"/>
        <v>7390.3397936299534</v>
      </c>
      <c r="V317" s="50">
        <f t="shared" ca="1" si="225"/>
        <v>7568.6768985765866</v>
      </c>
      <c r="W317" s="50">
        <f t="shared" ca="1" si="225"/>
        <v>7665.505122638262</v>
      </c>
      <c r="X317" s="50">
        <f t="shared" ca="1" si="225"/>
        <v>7790.2418495080474</v>
      </c>
      <c r="Y317" s="50">
        <f t="shared" ca="1" si="225"/>
        <v>7982.1775421596067</v>
      </c>
      <c r="Z317" s="50">
        <f t="shared" ca="1" si="225"/>
        <v>8173.2763153608539</v>
      </c>
      <c r="AA317" s="50">
        <f t="shared" ca="1" si="225"/>
        <v>8377.6282981238855</v>
      </c>
      <c r="AB317" s="50">
        <f t="shared" ca="1" si="225"/>
        <v>8559.0860768466464</v>
      </c>
      <c r="AC317" s="50">
        <f t="shared" ca="1" si="225"/>
        <v>8723.902908672535</v>
      </c>
      <c r="AD317" s="50">
        <f t="shared" ca="1" si="225"/>
        <v>8925.4232959171804</v>
      </c>
      <c r="AE317" s="50">
        <f t="shared" ca="1" si="225"/>
        <v>9128.8484959512753</v>
      </c>
      <c r="AF317" s="50">
        <f t="shared" ca="1" si="225"/>
        <v>9345.9015163231034</v>
      </c>
      <c r="AG317" s="50">
        <f t="shared" ca="1" si="225"/>
        <v>9589.0520598559269</v>
      </c>
      <c r="AH317" s="50">
        <f t="shared" ca="1" si="225"/>
        <v>9824.0553603569369</v>
      </c>
      <c r="AI317" s="50">
        <f t="shared" ca="1" si="225"/>
        <v>10078.906896739258</v>
      </c>
      <c r="AJ317" s="50">
        <f t="shared" ca="1" si="225"/>
        <v>10348.704248212454</v>
      </c>
      <c r="AK317" s="50">
        <f t="shared" ca="1" si="225"/>
        <v>10630.222802750419</v>
      </c>
      <c r="AL317" s="50">
        <f t="shared" si="225"/>
        <v>0</v>
      </c>
      <c r="AM317" s="50">
        <f t="shared" si="225"/>
        <v>0</v>
      </c>
      <c r="AN317" s="50">
        <f t="shared" si="225"/>
        <v>0</v>
      </c>
      <c r="AO317" s="50">
        <f t="shared" si="225"/>
        <v>0</v>
      </c>
      <c r="AP317" s="50">
        <f t="shared" si="225"/>
        <v>0</v>
      </c>
      <c r="AQ317" s="50">
        <f t="shared" si="225"/>
        <v>0</v>
      </c>
      <c r="AR317" s="50">
        <f t="shared" si="225"/>
        <v>0</v>
      </c>
      <c r="AS317" s="50">
        <f t="shared" si="225"/>
        <v>0</v>
      </c>
      <c r="AT317" s="50">
        <f t="shared" si="225"/>
        <v>0</v>
      </c>
      <c r="AU317" s="50">
        <f t="shared" si="225"/>
        <v>0</v>
      </c>
    </row>
    <row r="318" spans="1:47">
      <c r="A318" s="38" t="str">
        <f t="shared" si="219"/>
        <v>2X-</v>
      </c>
      <c r="B318" s="38" t="s">
        <v>864</v>
      </c>
      <c r="C318" s="38" t="str">
        <f t="shared" si="223"/>
        <v>FOG Receiving</v>
      </c>
      <c r="D318" s="186">
        <f>GHGEsc</f>
        <v>0.02</v>
      </c>
      <c r="E318" s="325"/>
      <c r="G318" s="36" t="s">
        <v>865</v>
      </c>
      <c r="I318" s="39"/>
      <c r="K318" s="39"/>
      <c r="L318" s="43" t="s">
        <v>866</v>
      </c>
      <c r="N318" s="70">
        <f ca="1">SUMIFS(OFFSET(Assumptions!$I$90,0,MATCH($A318,Configurations,0)-1,COUNT(Assumptions!$A$90:$A$183),1),Assumptions!$D$90:$D$183,$B318&amp;$C318)</f>
        <v>0</v>
      </c>
      <c r="O318" s="313"/>
      <c r="P318" s="323"/>
      <c r="Q318" s="313"/>
      <c r="R318" s="50">
        <f t="shared" ref="R318:AU318" ca="1" si="226">IF(OR(R$99&lt;InServiceYr,R$99&gt;(InServiceYr+analysis_period-1)),0,IF($P318=0,$N318,$P318)*R$513)</f>
        <v>0</v>
      </c>
      <c r="S318" s="50">
        <f t="shared" ca="1" si="226"/>
        <v>0</v>
      </c>
      <c r="T318" s="50">
        <f t="shared" ca="1" si="226"/>
        <v>0</v>
      </c>
      <c r="U318" s="50">
        <f t="shared" ca="1" si="226"/>
        <v>0</v>
      </c>
      <c r="V318" s="50">
        <f t="shared" ca="1" si="226"/>
        <v>0</v>
      </c>
      <c r="W318" s="50">
        <f t="shared" ca="1" si="226"/>
        <v>0</v>
      </c>
      <c r="X318" s="50">
        <f t="shared" ca="1" si="226"/>
        <v>0</v>
      </c>
      <c r="Y318" s="50">
        <f t="shared" ca="1" si="226"/>
        <v>0</v>
      </c>
      <c r="Z318" s="50">
        <f t="shared" ca="1" si="226"/>
        <v>0</v>
      </c>
      <c r="AA318" s="50">
        <f t="shared" ca="1" si="226"/>
        <v>0</v>
      </c>
      <c r="AB318" s="50">
        <f t="shared" ca="1" si="226"/>
        <v>0</v>
      </c>
      <c r="AC318" s="50">
        <f t="shared" ca="1" si="226"/>
        <v>0</v>
      </c>
      <c r="AD318" s="50">
        <f t="shared" ca="1" si="226"/>
        <v>0</v>
      </c>
      <c r="AE318" s="50">
        <f t="shared" ca="1" si="226"/>
        <v>0</v>
      </c>
      <c r="AF318" s="50">
        <f t="shared" ca="1" si="226"/>
        <v>0</v>
      </c>
      <c r="AG318" s="50">
        <f t="shared" ca="1" si="226"/>
        <v>0</v>
      </c>
      <c r="AH318" s="50">
        <f t="shared" ca="1" si="226"/>
        <v>0</v>
      </c>
      <c r="AI318" s="50">
        <f t="shared" ca="1" si="226"/>
        <v>0</v>
      </c>
      <c r="AJ318" s="50">
        <f t="shared" ca="1" si="226"/>
        <v>0</v>
      </c>
      <c r="AK318" s="50">
        <f t="shared" ca="1" si="226"/>
        <v>0</v>
      </c>
      <c r="AL318" s="50">
        <f t="shared" si="226"/>
        <v>0</v>
      </c>
      <c r="AM318" s="50">
        <f t="shared" si="226"/>
        <v>0</v>
      </c>
      <c r="AN318" s="50">
        <f t="shared" si="226"/>
        <v>0</v>
      </c>
      <c r="AO318" s="50">
        <f t="shared" si="226"/>
        <v>0</v>
      </c>
      <c r="AP318" s="50">
        <f t="shared" si="226"/>
        <v>0</v>
      </c>
      <c r="AQ318" s="50">
        <f t="shared" si="226"/>
        <v>0</v>
      </c>
      <c r="AR318" s="50">
        <f t="shared" si="226"/>
        <v>0</v>
      </c>
      <c r="AS318" s="50">
        <f t="shared" si="226"/>
        <v>0</v>
      </c>
      <c r="AT318" s="50">
        <f t="shared" si="226"/>
        <v>0</v>
      </c>
      <c r="AU318" s="50">
        <f t="shared" si="226"/>
        <v>0</v>
      </c>
    </row>
    <row r="319" spans="1:47">
      <c r="A319" s="38" t="str">
        <f t="shared" si="219"/>
        <v>2X-</v>
      </c>
      <c r="B319" s="38" t="s">
        <v>273</v>
      </c>
      <c r="C319" s="38" t="str">
        <f>C317</f>
        <v>FOG Receiving</v>
      </c>
      <c r="D319" s="186">
        <f>LaborEsc</f>
        <v>0.02</v>
      </c>
      <c r="E319" s="325"/>
      <c r="G319" s="36" t="s">
        <v>291</v>
      </c>
      <c r="I319" s="39"/>
      <c r="K319" s="39"/>
      <c r="L319" s="43" t="str">
        <f>"["&amp;CostBaseYr&amp;" $]"</f>
        <v>[2013 $]</v>
      </c>
      <c r="N319" s="70">
        <f ca="1">SUMIFS(OFFSET(Assumptions!$I$90,0,MATCH($A319,Configurations,0)-1,COUNT(Assumptions!$A$90:$A$183),1),Assumptions!$D$90:$D$183,$B319&amp;$C319)</f>
        <v>0</v>
      </c>
      <c r="O319" s="313"/>
      <c r="P319" s="323"/>
      <c r="Q319" s="313"/>
      <c r="R319" s="50">
        <f t="shared" ref="R319:AU319" ca="1" si="227">IF(OR(R$99&lt;InServiceYr,R$99&gt;(InServiceYr+analysis_period-1)),0,IF($P319=0,$N319,$P319)*(1+$D319)^(R$99-CostBaseYr))*R$509</f>
        <v>0</v>
      </c>
      <c r="S319" s="50">
        <f t="shared" ca="1" si="227"/>
        <v>0</v>
      </c>
      <c r="T319" s="50">
        <f t="shared" ca="1" si="227"/>
        <v>0</v>
      </c>
      <c r="U319" s="50">
        <f t="shared" ca="1" si="227"/>
        <v>0</v>
      </c>
      <c r="V319" s="50">
        <f t="shared" ca="1" si="227"/>
        <v>0</v>
      </c>
      <c r="W319" s="50">
        <f t="shared" ca="1" si="227"/>
        <v>0</v>
      </c>
      <c r="X319" s="50">
        <f t="shared" ca="1" si="227"/>
        <v>0</v>
      </c>
      <c r="Y319" s="50">
        <f t="shared" ca="1" si="227"/>
        <v>0</v>
      </c>
      <c r="Z319" s="50">
        <f t="shared" ca="1" si="227"/>
        <v>0</v>
      </c>
      <c r="AA319" s="50">
        <f t="shared" ca="1" si="227"/>
        <v>0</v>
      </c>
      <c r="AB319" s="50">
        <f t="shared" ca="1" si="227"/>
        <v>0</v>
      </c>
      <c r="AC319" s="50">
        <f t="shared" ca="1" si="227"/>
        <v>0</v>
      </c>
      <c r="AD319" s="50">
        <f t="shared" ca="1" si="227"/>
        <v>0</v>
      </c>
      <c r="AE319" s="50">
        <f t="shared" ca="1" si="227"/>
        <v>0</v>
      </c>
      <c r="AF319" s="50">
        <f t="shared" ca="1" si="227"/>
        <v>0</v>
      </c>
      <c r="AG319" s="50">
        <f t="shared" ca="1" si="227"/>
        <v>0</v>
      </c>
      <c r="AH319" s="50">
        <f t="shared" ca="1" si="227"/>
        <v>0</v>
      </c>
      <c r="AI319" s="50">
        <f t="shared" ca="1" si="227"/>
        <v>0</v>
      </c>
      <c r="AJ319" s="50">
        <f t="shared" ca="1" si="227"/>
        <v>0</v>
      </c>
      <c r="AK319" s="50">
        <f t="shared" ca="1" si="227"/>
        <v>0</v>
      </c>
      <c r="AL319" s="50">
        <f t="shared" si="227"/>
        <v>0</v>
      </c>
      <c r="AM319" s="50">
        <f t="shared" si="227"/>
        <v>0</v>
      </c>
      <c r="AN319" s="50">
        <f t="shared" si="227"/>
        <v>0</v>
      </c>
      <c r="AO319" s="50">
        <f t="shared" si="227"/>
        <v>0</v>
      </c>
      <c r="AP319" s="50">
        <f t="shared" si="227"/>
        <v>0</v>
      </c>
      <c r="AQ319" s="50">
        <f t="shared" si="227"/>
        <v>0</v>
      </c>
      <c r="AR319" s="50">
        <f t="shared" si="227"/>
        <v>0</v>
      </c>
      <c r="AS319" s="50">
        <f t="shared" si="227"/>
        <v>0</v>
      </c>
      <c r="AT319" s="50">
        <f t="shared" si="227"/>
        <v>0</v>
      </c>
      <c r="AU319" s="50">
        <f t="shared" si="227"/>
        <v>0</v>
      </c>
    </row>
    <row r="320" spans="1:47">
      <c r="D320" s="186"/>
      <c r="E320" s="325"/>
      <c r="G320" s="39" t="s">
        <v>304</v>
      </c>
      <c r="I320" s="39"/>
      <c r="K320" s="39"/>
      <c r="L320" s="43"/>
      <c r="N320" s="70"/>
      <c r="O320" s="313"/>
      <c r="P320" s="70"/>
      <c r="Q320" s="313"/>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row>
    <row r="321" spans="1:47">
      <c r="A321" s="38" t="str">
        <f>$J$4&amp;"-"</f>
        <v>2X-</v>
      </c>
      <c r="B321" s="38" t="s">
        <v>265</v>
      </c>
      <c r="C321" s="38" t="str">
        <f>C312</f>
        <v>FOG Receiving</v>
      </c>
      <c r="D321" s="186"/>
      <c r="E321" s="325"/>
      <c r="G321" s="36" t="s">
        <v>108</v>
      </c>
      <c r="I321" s="39"/>
      <c r="K321" s="39"/>
      <c r="L321" s="43" t="s">
        <v>293</v>
      </c>
      <c r="N321" s="70">
        <f ca="1">SUMIFS(OFFSET(Assumptions!$I$90,0,MATCH($A321,Configurations,0)-1,COUNT(Assumptions!$A$90:$A$183),1),Assumptions!$D$90:$D$183,$B321&amp;$C321)</f>
        <v>0</v>
      </c>
      <c r="O321" s="313"/>
      <c r="P321" s="323"/>
      <c r="Q321" s="313"/>
      <c r="R321" s="50">
        <f t="shared" ref="R321:AU321" ca="1" si="228">IF(OR(R$99&lt;InServiceYr,R$99&gt;(InServiceYr+analysis_period-1)),0,IF($P321=0,$N321,$P321)*R$501)</f>
        <v>0</v>
      </c>
      <c r="S321" s="50">
        <f t="shared" ca="1" si="228"/>
        <v>0</v>
      </c>
      <c r="T321" s="50">
        <f t="shared" ca="1" si="228"/>
        <v>0</v>
      </c>
      <c r="U321" s="50">
        <f t="shared" ca="1" si="228"/>
        <v>0</v>
      </c>
      <c r="V321" s="50">
        <f t="shared" ca="1" si="228"/>
        <v>0</v>
      </c>
      <c r="W321" s="50">
        <f t="shared" ca="1" si="228"/>
        <v>0</v>
      </c>
      <c r="X321" s="50">
        <f t="shared" ca="1" si="228"/>
        <v>0</v>
      </c>
      <c r="Y321" s="50">
        <f t="shared" ca="1" si="228"/>
        <v>0</v>
      </c>
      <c r="Z321" s="50">
        <f t="shared" ca="1" si="228"/>
        <v>0</v>
      </c>
      <c r="AA321" s="50">
        <f t="shared" ca="1" si="228"/>
        <v>0</v>
      </c>
      <c r="AB321" s="50">
        <f t="shared" ca="1" si="228"/>
        <v>0</v>
      </c>
      <c r="AC321" s="50">
        <f t="shared" ca="1" si="228"/>
        <v>0</v>
      </c>
      <c r="AD321" s="50">
        <f t="shared" ca="1" si="228"/>
        <v>0</v>
      </c>
      <c r="AE321" s="50">
        <f t="shared" ca="1" si="228"/>
        <v>0</v>
      </c>
      <c r="AF321" s="50">
        <f t="shared" ca="1" si="228"/>
        <v>0</v>
      </c>
      <c r="AG321" s="50">
        <f t="shared" ca="1" si="228"/>
        <v>0</v>
      </c>
      <c r="AH321" s="50">
        <f t="shared" ca="1" si="228"/>
        <v>0</v>
      </c>
      <c r="AI321" s="50">
        <f t="shared" ca="1" si="228"/>
        <v>0</v>
      </c>
      <c r="AJ321" s="50">
        <f t="shared" ca="1" si="228"/>
        <v>0</v>
      </c>
      <c r="AK321" s="50">
        <f t="shared" ca="1" si="228"/>
        <v>0</v>
      </c>
      <c r="AL321" s="50">
        <f t="shared" si="228"/>
        <v>0</v>
      </c>
      <c r="AM321" s="50">
        <f t="shared" si="228"/>
        <v>0</v>
      </c>
      <c r="AN321" s="50">
        <f t="shared" si="228"/>
        <v>0</v>
      </c>
      <c r="AO321" s="50">
        <f t="shared" si="228"/>
        <v>0</v>
      </c>
      <c r="AP321" s="50">
        <f t="shared" si="228"/>
        <v>0</v>
      </c>
      <c r="AQ321" s="50">
        <f t="shared" si="228"/>
        <v>0</v>
      </c>
      <c r="AR321" s="50">
        <f t="shared" si="228"/>
        <v>0</v>
      </c>
      <c r="AS321" s="50">
        <f t="shared" si="228"/>
        <v>0</v>
      </c>
      <c r="AT321" s="50">
        <f t="shared" si="228"/>
        <v>0</v>
      </c>
      <c r="AU321" s="50">
        <f t="shared" si="228"/>
        <v>0</v>
      </c>
    </row>
    <row r="322" spans="1:47">
      <c r="A322" s="38" t="str">
        <f>$J$4&amp;"-"</f>
        <v>2X-</v>
      </c>
      <c r="B322" s="38" t="s">
        <v>289</v>
      </c>
      <c r="C322" s="38" t="str">
        <f>C312</f>
        <v>FOG Receiving</v>
      </c>
      <c r="D322" s="186">
        <f>LaborEsc</f>
        <v>0.02</v>
      </c>
      <c r="E322" s="325"/>
      <c r="G322" s="36" t="s">
        <v>292</v>
      </c>
      <c r="I322" s="39"/>
      <c r="K322" s="39"/>
      <c r="L322" s="43" t="str">
        <f>"["&amp;CostBaseYr&amp;" $]"</f>
        <v>[2013 $]</v>
      </c>
      <c r="N322" s="70">
        <f ca="1">SUMIFS(OFFSET(Assumptions!$I$90,0,MATCH($A322,Configurations,0)-1,COUNT(Assumptions!$A$90:$A$183),1),Assumptions!$D$90:$D$183,$B322&amp;$C322)</f>
        <v>15000</v>
      </c>
      <c r="O322" s="313"/>
      <c r="P322" s="323"/>
      <c r="Q322" s="313"/>
      <c r="R322" s="50">
        <f t="shared" ref="R322:AU322" ca="1" si="229">IF(OR(R$99&lt;InServiceYr,R$99&gt;(InServiceYr+analysis_period-1)),0,IF($P322=0,$N322,$P322)*(1+$D322)^(R$99-CostBaseYr))</f>
        <v>15300</v>
      </c>
      <c r="S322" s="50">
        <f t="shared" ca="1" si="229"/>
        <v>15606</v>
      </c>
      <c r="T322" s="50">
        <f t="shared" ca="1" si="229"/>
        <v>15918.119999999999</v>
      </c>
      <c r="U322" s="50">
        <f t="shared" ca="1" si="229"/>
        <v>16236.482399999999</v>
      </c>
      <c r="V322" s="50">
        <f t="shared" ca="1" si="229"/>
        <v>16561.212048000001</v>
      </c>
      <c r="W322" s="50">
        <f t="shared" ca="1" si="229"/>
        <v>16892.436288960002</v>
      </c>
      <c r="X322" s="50">
        <f t="shared" ca="1" si="229"/>
        <v>17230.285014739198</v>
      </c>
      <c r="Y322" s="50">
        <f t="shared" ca="1" si="229"/>
        <v>17574.890715033984</v>
      </c>
      <c r="Z322" s="50">
        <f t="shared" ca="1" si="229"/>
        <v>17926.388529334661</v>
      </c>
      <c r="AA322" s="50">
        <f t="shared" ca="1" si="229"/>
        <v>18284.916299921355</v>
      </c>
      <c r="AB322" s="50">
        <f t="shared" ca="1" si="229"/>
        <v>18650.614625919781</v>
      </c>
      <c r="AC322" s="50">
        <f t="shared" ca="1" si="229"/>
        <v>19023.626918438178</v>
      </c>
      <c r="AD322" s="50">
        <f t="shared" ca="1" si="229"/>
        <v>19404.09945680694</v>
      </c>
      <c r="AE322" s="50">
        <f t="shared" ca="1" si="229"/>
        <v>19792.181445943083</v>
      </c>
      <c r="AF322" s="50">
        <f t="shared" ca="1" si="229"/>
        <v>20188.02507486194</v>
      </c>
      <c r="AG322" s="50">
        <f t="shared" ca="1" si="229"/>
        <v>20591.78557635918</v>
      </c>
      <c r="AH322" s="50">
        <f t="shared" ca="1" si="229"/>
        <v>21003.621287886366</v>
      </c>
      <c r="AI322" s="50">
        <f t="shared" ca="1" si="229"/>
        <v>21423.69371364409</v>
      </c>
      <c r="AJ322" s="50">
        <f t="shared" ca="1" si="229"/>
        <v>21852.167587916971</v>
      </c>
      <c r="AK322" s="50">
        <f t="shared" ca="1" si="229"/>
        <v>22289.210939675315</v>
      </c>
      <c r="AL322" s="50">
        <f t="shared" si="229"/>
        <v>0</v>
      </c>
      <c r="AM322" s="50">
        <f t="shared" si="229"/>
        <v>0</v>
      </c>
      <c r="AN322" s="50">
        <f t="shared" si="229"/>
        <v>0</v>
      </c>
      <c r="AO322" s="50">
        <f t="shared" si="229"/>
        <v>0</v>
      </c>
      <c r="AP322" s="50">
        <f t="shared" si="229"/>
        <v>0</v>
      </c>
      <c r="AQ322" s="50">
        <f t="shared" si="229"/>
        <v>0</v>
      </c>
      <c r="AR322" s="50">
        <f t="shared" si="229"/>
        <v>0</v>
      </c>
      <c r="AS322" s="50">
        <f t="shared" si="229"/>
        <v>0</v>
      </c>
      <c r="AT322" s="50">
        <f t="shared" si="229"/>
        <v>0</v>
      </c>
      <c r="AU322" s="50">
        <f t="shared" si="229"/>
        <v>0</v>
      </c>
    </row>
    <row r="323" spans="1:47" s="60" customFormat="1">
      <c r="D323" s="187"/>
      <c r="E323" s="325"/>
      <c r="G323" s="39" t="s">
        <v>305</v>
      </c>
      <c r="I323" s="39"/>
      <c r="K323" s="39"/>
      <c r="L323" s="174"/>
      <c r="N323" s="188"/>
      <c r="O323" s="314"/>
      <c r="P323" s="185"/>
      <c r="Q323" s="314"/>
      <c r="R323" s="185">
        <f ca="1">SUM(R312:R319)-SUM(R321:R322)</f>
        <v>121050.45770924457</v>
      </c>
      <c r="S323" s="185">
        <f t="shared" ref="S323:AU323" ca="1" si="230">SUM(S312:S319)-SUM(S321:S322)</f>
        <v>123377.35986545699</v>
      </c>
      <c r="T323" s="185">
        <f t="shared" ca="1" si="230"/>
        <v>126003.87040994255</v>
      </c>
      <c r="U323" s="185">
        <f t="shared" ca="1" si="230"/>
        <v>128595.68090962995</v>
      </c>
      <c r="V323" s="185">
        <f t="shared" ca="1" si="230"/>
        <v>131198.1248368966</v>
      </c>
      <c r="W323" s="185">
        <f t="shared" ca="1" si="230"/>
        <v>133767.54201972467</v>
      </c>
      <c r="X323" s="185">
        <f t="shared" ca="1" si="230"/>
        <v>136414.31948453616</v>
      </c>
      <c r="Y323" s="185">
        <f t="shared" ca="1" si="230"/>
        <v>139178.73672988827</v>
      </c>
      <c r="Z323" s="185">
        <f t="shared" ca="1" si="230"/>
        <v>141993.76668684412</v>
      </c>
      <c r="AA323" s="185">
        <f t="shared" ca="1" si="230"/>
        <v>144874.52847703683</v>
      </c>
      <c r="AB323" s="185">
        <f t="shared" ca="1" si="230"/>
        <v>147785.92425933777</v>
      </c>
      <c r="AC323" s="185">
        <f t="shared" ca="1" si="230"/>
        <v>150735.27785481355</v>
      </c>
      <c r="AD323" s="185">
        <f t="shared" ca="1" si="230"/>
        <v>153777.02574098101</v>
      </c>
      <c r="AE323" s="185">
        <f t="shared" ca="1" si="230"/>
        <v>156877.4829899164</v>
      </c>
      <c r="AF323" s="185">
        <f t="shared" ca="1" si="230"/>
        <v>160049.50870016747</v>
      </c>
      <c r="AG323" s="185">
        <f t="shared" ca="1" si="230"/>
        <v>163306.73138737719</v>
      </c>
      <c r="AH323" s="185">
        <f t="shared" ca="1" si="230"/>
        <v>166616.08827442865</v>
      </c>
      <c r="AI323" s="185">
        <f t="shared" ca="1" si="230"/>
        <v>170006.78046909242</v>
      </c>
      <c r="AJ323" s="185">
        <f t="shared" ca="1" si="230"/>
        <v>173475.13529201262</v>
      </c>
      <c r="AK323" s="185">
        <f t="shared" ca="1" si="230"/>
        <v>177019.18246742664</v>
      </c>
      <c r="AL323" s="185">
        <f t="shared" si="230"/>
        <v>0</v>
      </c>
      <c r="AM323" s="185">
        <f t="shared" si="230"/>
        <v>0</v>
      </c>
      <c r="AN323" s="185">
        <f t="shared" si="230"/>
        <v>0</v>
      </c>
      <c r="AO323" s="185">
        <f t="shared" si="230"/>
        <v>0</v>
      </c>
      <c r="AP323" s="185">
        <f t="shared" si="230"/>
        <v>0</v>
      </c>
      <c r="AQ323" s="185">
        <f t="shared" si="230"/>
        <v>0</v>
      </c>
      <c r="AR323" s="185">
        <f t="shared" si="230"/>
        <v>0</v>
      </c>
      <c r="AS323" s="185">
        <f t="shared" si="230"/>
        <v>0</v>
      </c>
      <c r="AT323" s="185">
        <f t="shared" si="230"/>
        <v>0</v>
      </c>
      <c r="AU323" s="185">
        <f t="shared" si="230"/>
        <v>0</v>
      </c>
    </row>
    <row r="324" spans="1:47">
      <c r="E324" s="36"/>
      <c r="G324" s="39"/>
      <c r="H324" s="39"/>
      <c r="I324" s="39"/>
      <c r="J324" s="39"/>
      <c r="K324" s="39"/>
    </row>
    <row r="325" spans="1:47">
      <c r="E325" s="327"/>
      <c r="F325" s="28"/>
      <c r="G325" s="324" t="str">
        <f>C327&amp;" Capital Costs"</f>
        <v>Gas Cleaning Capital Costs</v>
      </c>
      <c r="H325" s="324"/>
      <c r="I325" s="324"/>
      <c r="J325" s="324"/>
      <c r="K325" s="324"/>
      <c r="L325" s="405" t="s">
        <v>79</v>
      </c>
      <c r="M325" s="256"/>
      <c r="N325" s="325" t="s">
        <v>490</v>
      </c>
      <c r="O325" s="311"/>
      <c r="P325" s="325" t="s">
        <v>491</v>
      </c>
      <c r="Q325" s="310"/>
      <c r="R325" s="325">
        <f>R$8</f>
        <v>2014</v>
      </c>
      <c r="S325" s="325">
        <f t="shared" ref="S325:AU325" si="231">S$8</f>
        <v>2015</v>
      </c>
      <c r="T325" s="325">
        <f t="shared" si="231"/>
        <v>2016</v>
      </c>
      <c r="U325" s="325">
        <f t="shared" si="231"/>
        <v>2017</v>
      </c>
      <c r="V325" s="325">
        <f t="shared" si="231"/>
        <v>2018</v>
      </c>
      <c r="W325" s="325">
        <f t="shared" si="231"/>
        <v>2019</v>
      </c>
      <c r="X325" s="325">
        <f t="shared" si="231"/>
        <v>2020</v>
      </c>
      <c r="Y325" s="325">
        <f t="shared" si="231"/>
        <v>2021</v>
      </c>
      <c r="Z325" s="325">
        <f t="shared" si="231"/>
        <v>2022</v>
      </c>
      <c r="AA325" s="325">
        <f t="shared" si="231"/>
        <v>2023</v>
      </c>
      <c r="AB325" s="325">
        <f t="shared" si="231"/>
        <v>2024</v>
      </c>
      <c r="AC325" s="325">
        <f t="shared" si="231"/>
        <v>2025</v>
      </c>
      <c r="AD325" s="325">
        <f t="shared" si="231"/>
        <v>2026</v>
      </c>
      <c r="AE325" s="325">
        <f t="shared" si="231"/>
        <v>2027</v>
      </c>
      <c r="AF325" s="325">
        <f t="shared" si="231"/>
        <v>2028</v>
      </c>
      <c r="AG325" s="325">
        <f t="shared" si="231"/>
        <v>2029</v>
      </c>
      <c r="AH325" s="325">
        <f t="shared" si="231"/>
        <v>2030</v>
      </c>
      <c r="AI325" s="325">
        <f t="shared" si="231"/>
        <v>2031</v>
      </c>
      <c r="AJ325" s="325">
        <f t="shared" si="231"/>
        <v>2032</v>
      </c>
      <c r="AK325" s="325">
        <f t="shared" si="231"/>
        <v>2033</v>
      </c>
      <c r="AL325" s="325">
        <f t="shared" si="231"/>
        <v>2034</v>
      </c>
      <c r="AM325" s="325">
        <f t="shared" si="231"/>
        <v>2035</v>
      </c>
      <c r="AN325" s="325">
        <f t="shared" si="231"/>
        <v>2036</v>
      </c>
      <c r="AO325" s="325">
        <f t="shared" si="231"/>
        <v>2037</v>
      </c>
      <c r="AP325" s="325">
        <f t="shared" si="231"/>
        <v>2038</v>
      </c>
      <c r="AQ325" s="325">
        <f t="shared" si="231"/>
        <v>2039</v>
      </c>
      <c r="AR325" s="325">
        <f t="shared" si="231"/>
        <v>2040</v>
      </c>
      <c r="AS325" s="325">
        <f t="shared" si="231"/>
        <v>2041</v>
      </c>
      <c r="AT325" s="325">
        <f t="shared" si="231"/>
        <v>2042</v>
      </c>
      <c r="AU325" s="325">
        <f t="shared" si="231"/>
        <v>2043</v>
      </c>
    </row>
    <row r="326" spans="1:47">
      <c r="E326" s="325"/>
      <c r="G326" s="39"/>
      <c r="H326" s="39"/>
      <c r="I326" s="39"/>
      <c r="J326" s="39"/>
      <c r="K326" s="39"/>
    </row>
    <row r="327" spans="1:47">
      <c r="A327" s="38" t="str">
        <f>$J$4&amp;"-"</f>
        <v>2X-</v>
      </c>
      <c r="B327" s="38" t="s">
        <v>306</v>
      </c>
      <c r="C327" s="38" t="s">
        <v>162</v>
      </c>
      <c r="D327" s="186">
        <f>CapExEsc</f>
        <v>0.03</v>
      </c>
      <c r="E327" s="325"/>
      <c r="G327" s="36" t="s">
        <v>8</v>
      </c>
      <c r="H327" s="39"/>
      <c r="I327" s="39"/>
      <c r="J327" s="70"/>
      <c r="K327" s="39"/>
      <c r="L327" s="43" t="str">
        <f>"["&amp;CostBaseYr&amp;" $]"</f>
        <v>[2013 $]</v>
      </c>
      <c r="N327" s="52">
        <f ca="1">SUMIFS(OFFSET(Assumptions!$I$65,0,MATCH($A327,Configurations,0)-1,COUNT(Assumptions!$A$65:$A$84),1),Assumptions!$E$65:$E$84,$C327)</f>
        <v>696000</v>
      </c>
      <c r="O327" s="52"/>
      <c r="P327" s="322"/>
      <c r="Q327" s="52"/>
      <c r="R327" s="52">
        <f t="shared" ref="R327:AU327" ca="1" si="232">R328*IF($P327=0,$N327,$P327)*(1+$D327)^(R$8-CostBaseYr)</f>
        <v>716880</v>
      </c>
      <c r="S327" s="52">
        <f t="shared" ca="1" si="232"/>
        <v>0</v>
      </c>
      <c r="T327" s="52">
        <f t="shared" ca="1" si="232"/>
        <v>0</v>
      </c>
      <c r="U327" s="52">
        <f t="shared" ca="1" si="232"/>
        <v>0</v>
      </c>
      <c r="V327" s="52">
        <f t="shared" ca="1" si="232"/>
        <v>0</v>
      </c>
      <c r="W327" s="52">
        <f t="shared" ca="1" si="232"/>
        <v>0</v>
      </c>
      <c r="X327" s="52">
        <f t="shared" ca="1" si="232"/>
        <v>0</v>
      </c>
      <c r="Y327" s="52">
        <f t="shared" ca="1" si="232"/>
        <v>0</v>
      </c>
      <c r="Z327" s="52">
        <f t="shared" ca="1" si="232"/>
        <v>0</v>
      </c>
      <c r="AA327" s="52">
        <f t="shared" ca="1" si="232"/>
        <v>0</v>
      </c>
      <c r="AB327" s="52">
        <f t="shared" ca="1" si="232"/>
        <v>0</v>
      </c>
      <c r="AC327" s="52">
        <f t="shared" ca="1" si="232"/>
        <v>0</v>
      </c>
      <c r="AD327" s="52">
        <f t="shared" ca="1" si="232"/>
        <v>0</v>
      </c>
      <c r="AE327" s="52">
        <f t="shared" ca="1" si="232"/>
        <v>0</v>
      </c>
      <c r="AF327" s="52">
        <f t="shared" ca="1" si="232"/>
        <v>0</v>
      </c>
      <c r="AG327" s="52">
        <f t="shared" ca="1" si="232"/>
        <v>0</v>
      </c>
      <c r="AH327" s="52">
        <f t="shared" ca="1" si="232"/>
        <v>0</v>
      </c>
      <c r="AI327" s="52">
        <f t="shared" ca="1" si="232"/>
        <v>0</v>
      </c>
      <c r="AJ327" s="52">
        <f t="shared" ca="1" si="232"/>
        <v>0</v>
      </c>
      <c r="AK327" s="52">
        <f t="shared" ca="1" si="232"/>
        <v>0</v>
      </c>
      <c r="AL327" s="52">
        <f t="shared" ca="1" si="232"/>
        <v>0</v>
      </c>
      <c r="AM327" s="52">
        <f t="shared" ca="1" si="232"/>
        <v>0</v>
      </c>
      <c r="AN327" s="52">
        <f t="shared" ca="1" si="232"/>
        <v>0</v>
      </c>
      <c r="AO327" s="52">
        <f t="shared" ca="1" si="232"/>
        <v>0</v>
      </c>
      <c r="AP327" s="52">
        <f t="shared" ca="1" si="232"/>
        <v>0</v>
      </c>
      <c r="AQ327" s="52">
        <f t="shared" ca="1" si="232"/>
        <v>0</v>
      </c>
      <c r="AR327" s="52">
        <f t="shared" ca="1" si="232"/>
        <v>0</v>
      </c>
      <c r="AS327" s="52">
        <f t="shared" ca="1" si="232"/>
        <v>0</v>
      </c>
      <c r="AT327" s="52">
        <f t="shared" ca="1" si="232"/>
        <v>0</v>
      </c>
      <c r="AU327" s="52">
        <f t="shared" ca="1" si="232"/>
        <v>0</v>
      </c>
    </row>
    <row r="328" spans="1:47">
      <c r="E328" s="325"/>
      <c r="G328" s="36" t="s">
        <v>10</v>
      </c>
      <c r="H328" s="39"/>
      <c r="I328" s="39"/>
      <c r="J328" s="39"/>
      <c r="K328" s="39"/>
      <c r="L328" s="43"/>
      <c r="R328" s="54">
        <f>Assumptions!M$60</f>
        <v>1</v>
      </c>
      <c r="S328" s="54">
        <f>Assumptions!N$60</f>
        <v>0</v>
      </c>
      <c r="T328" s="54">
        <f>Assumptions!O$60</f>
        <v>0</v>
      </c>
      <c r="U328" s="54">
        <f>Assumptions!P$60</f>
        <v>0</v>
      </c>
      <c r="V328" s="54">
        <f>Assumptions!Q$60</f>
        <v>0</v>
      </c>
      <c r="W328" s="54">
        <f>Assumptions!R$60</f>
        <v>0</v>
      </c>
      <c r="X328" s="54">
        <f>Assumptions!S$60</f>
        <v>0</v>
      </c>
      <c r="Y328" s="54">
        <f>Assumptions!T$60</f>
        <v>0</v>
      </c>
      <c r="Z328" s="54">
        <f>Assumptions!U$60</f>
        <v>0</v>
      </c>
      <c r="AA328" s="54">
        <f>Assumptions!V$60</f>
        <v>0</v>
      </c>
      <c r="AB328" s="54">
        <f>Assumptions!W$60</f>
        <v>0</v>
      </c>
      <c r="AC328" s="54">
        <f>Assumptions!X$60</f>
        <v>0</v>
      </c>
      <c r="AD328" s="54">
        <f>Assumptions!Y$60</f>
        <v>0</v>
      </c>
      <c r="AE328" s="54">
        <f>Assumptions!Z$60</f>
        <v>0</v>
      </c>
      <c r="AF328" s="54">
        <f>Assumptions!AA$60</f>
        <v>0</v>
      </c>
      <c r="AG328" s="54">
        <f>Assumptions!AB$60</f>
        <v>0</v>
      </c>
      <c r="AH328" s="54">
        <f>Assumptions!AC$60</f>
        <v>0</v>
      </c>
      <c r="AI328" s="54">
        <f>Assumptions!AD$60</f>
        <v>0</v>
      </c>
      <c r="AJ328" s="54">
        <f>Assumptions!AE$60</f>
        <v>0</v>
      </c>
      <c r="AK328" s="54">
        <f>Assumptions!AF$60</f>
        <v>0</v>
      </c>
      <c r="AL328" s="54">
        <f>Assumptions!AG$60</f>
        <v>0</v>
      </c>
      <c r="AM328" s="54">
        <f>Assumptions!AH$60</f>
        <v>0</v>
      </c>
      <c r="AN328" s="54">
        <f>Assumptions!AI$60</f>
        <v>0</v>
      </c>
      <c r="AO328" s="54">
        <f>Assumptions!AJ$60</f>
        <v>0</v>
      </c>
      <c r="AP328" s="54">
        <f>Assumptions!AK$60</f>
        <v>0</v>
      </c>
      <c r="AQ328" s="54">
        <f>Assumptions!AL$60</f>
        <v>0</v>
      </c>
      <c r="AR328" s="54">
        <f>Assumptions!AM$60</f>
        <v>0</v>
      </c>
      <c r="AS328" s="54">
        <f>Assumptions!AN$60</f>
        <v>0</v>
      </c>
      <c r="AT328" s="54">
        <f>Assumptions!AO$60</f>
        <v>0</v>
      </c>
      <c r="AU328" s="54">
        <f>Assumptions!AP$60</f>
        <v>0</v>
      </c>
    </row>
    <row r="329" spans="1:47">
      <c r="E329" s="326"/>
      <c r="G329" s="39"/>
      <c r="H329" s="39"/>
      <c r="I329" s="39"/>
      <c r="J329" s="39"/>
      <c r="K329" s="39"/>
    </row>
    <row r="330" spans="1:47">
      <c r="E330" s="327"/>
      <c r="F330" s="28"/>
      <c r="G330" s="324" t="str">
        <f>C327&amp;" O&amp;M"</f>
        <v>Gas Cleaning O&amp;M</v>
      </c>
      <c r="H330" s="324"/>
      <c r="I330" s="324"/>
      <c r="J330" s="324"/>
      <c r="K330" s="324"/>
      <c r="L330" s="405" t="s">
        <v>79</v>
      </c>
      <c r="M330" s="256"/>
      <c r="N330" s="325" t="s">
        <v>490</v>
      </c>
      <c r="O330" s="311"/>
      <c r="P330" s="325" t="s">
        <v>491</v>
      </c>
      <c r="Q330" s="310"/>
      <c r="R330" s="325">
        <f>R$8</f>
        <v>2014</v>
      </c>
      <c r="S330" s="325">
        <f t="shared" ref="S330:AU330" si="233">S$8</f>
        <v>2015</v>
      </c>
      <c r="T330" s="325">
        <f t="shared" si="233"/>
        <v>2016</v>
      </c>
      <c r="U330" s="325">
        <f t="shared" si="233"/>
        <v>2017</v>
      </c>
      <c r="V330" s="325">
        <f t="shared" si="233"/>
        <v>2018</v>
      </c>
      <c r="W330" s="325">
        <f t="shared" si="233"/>
        <v>2019</v>
      </c>
      <c r="X330" s="325">
        <f t="shared" si="233"/>
        <v>2020</v>
      </c>
      <c r="Y330" s="325">
        <f t="shared" si="233"/>
        <v>2021</v>
      </c>
      <c r="Z330" s="325">
        <f t="shared" si="233"/>
        <v>2022</v>
      </c>
      <c r="AA330" s="325">
        <f t="shared" si="233"/>
        <v>2023</v>
      </c>
      <c r="AB330" s="325">
        <f t="shared" si="233"/>
        <v>2024</v>
      </c>
      <c r="AC330" s="325">
        <f t="shared" si="233"/>
        <v>2025</v>
      </c>
      <c r="AD330" s="325">
        <f t="shared" si="233"/>
        <v>2026</v>
      </c>
      <c r="AE330" s="325">
        <f t="shared" si="233"/>
        <v>2027</v>
      </c>
      <c r="AF330" s="325">
        <f t="shared" si="233"/>
        <v>2028</v>
      </c>
      <c r="AG330" s="325">
        <f t="shared" si="233"/>
        <v>2029</v>
      </c>
      <c r="AH330" s="325">
        <f t="shared" si="233"/>
        <v>2030</v>
      </c>
      <c r="AI330" s="325">
        <f t="shared" si="233"/>
        <v>2031</v>
      </c>
      <c r="AJ330" s="325">
        <f t="shared" si="233"/>
        <v>2032</v>
      </c>
      <c r="AK330" s="325">
        <f t="shared" si="233"/>
        <v>2033</v>
      </c>
      <c r="AL330" s="325">
        <f t="shared" si="233"/>
        <v>2034</v>
      </c>
      <c r="AM330" s="325">
        <f t="shared" si="233"/>
        <v>2035</v>
      </c>
      <c r="AN330" s="325">
        <f t="shared" si="233"/>
        <v>2036</v>
      </c>
      <c r="AO330" s="325">
        <f t="shared" si="233"/>
        <v>2037</v>
      </c>
      <c r="AP330" s="325">
        <f t="shared" si="233"/>
        <v>2038</v>
      </c>
      <c r="AQ330" s="325">
        <f t="shared" si="233"/>
        <v>2039</v>
      </c>
      <c r="AR330" s="325">
        <f t="shared" si="233"/>
        <v>2040</v>
      </c>
      <c r="AS330" s="325">
        <f t="shared" si="233"/>
        <v>2041</v>
      </c>
      <c r="AT330" s="325">
        <f t="shared" si="233"/>
        <v>2042</v>
      </c>
      <c r="AU330" s="325">
        <f t="shared" si="233"/>
        <v>2043</v>
      </c>
    </row>
    <row r="331" spans="1:47">
      <c r="E331" s="325"/>
      <c r="G331" s="39"/>
      <c r="H331" s="39"/>
      <c r="I331" s="39"/>
      <c r="J331" s="39"/>
      <c r="K331" s="39"/>
    </row>
    <row r="332" spans="1:47">
      <c r="E332" s="325"/>
      <c r="G332" s="39" t="s">
        <v>23</v>
      </c>
      <c r="H332" s="39"/>
      <c r="I332" s="39"/>
      <c r="J332" s="39"/>
      <c r="K332" s="39"/>
    </row>
    <row r="333" spans="1:47">
      <c r="A333" s="38" t="str">
        <f t="shared" ref="A333:A340" si="234">$J$4&amp;"-"</f>
        <v>2X-</v>
      </c>
      <c r="B333" s="38" t="s">
        <v>262</v>
      </c>
      <c r="C333" s="38" t="str">
        <f>C327</f>
        <v>Gas Cleaning</v>
      </c>
      <c r="D333" s="186">
        <f>LaborEsc</f>
        <v>0.02</v>
      </c>
      <c r="E333" s="325"/>
      <c r="G333" s="36" t="s">
        <v>125</v>
      </c>
      <c r="I333" s="39"/>
      <c r="K333" s="39"/>
      <c r="L333" s="43" t="s">
        <v>266</v>
      </c>
      <c r="N333" s="70">
        <f ca="1">SUMIFS(OFFSET(Assumptions!$I$90,0,MATCH($A333,Configurations,0)-1,COUNT(Assumptions!$A$90:$A$183),1),Assumptions!$D$90:$D$183,$B333&amp;$C333)</f>
        <v>1460</v>
      </c>
      <c r="O333" s="313"/>
      <c r="P333" s="323"/>
      <c r="Q333" s="313"/>
      <c r="R333" s="50">
        <f t="shared" ref="R333:AU333" ca="1" si="235">IF(OR(R$99&lt;InServiceYr,R$99&gt;(InServiceYr+analysis_period-1)),0,IF($P333=0,$N333,$P333)*LaborCost*(1+$D333)^(R$99-CostBaseYr))</f>
        <v>52122</v>
      </c>
      <c r="S333" s="50">
        <f t="shared" ca="1" si="235"/>
        <v>53164.44</v>
      </c>
      <c r="T333" s="50">
        <f t="shared" ca="1" si="235"/>
        <v>54227.728799999997</v>
      </c>
      <c r="U333" s="50">
        <f t="shared" ca="1" si="235"/>
        <v>55312.283375999999</v>
      </c>
      <c r="V333" s="50">
        <f t="shared" ca="1" si="235"/>
        <v>56418.52904352</v>
      </c>
      <c r="W333" s="50">
        <f t="shared" ca="1" si="235"/>
        <v>57546.899624390404</v>
      </c>
      <c r="X333" s="50">
        <f t="shared" ca="1" si="235"/>
        <v>58697.837616878198</v>
      </c>
      <c r="Y333" s="50">
        <f t="shared" ca="1" si="235"/>
        <v>59871.794369215771</v>
      </c>
      <c r="Z333" s="50">
        <f t="shared" ca="1" si="235"/>
        <v>61069.230256600087</v>
      </c>
      <c r="AA333" s="50">
        <f t="shared" ca="1" si="235"/>
        <v>62290.614861732087</v>
      </c>
      <c r="AB333" s="50">
        <f t="shared" ca="1" si="235"/>
        <v>63536.427158966719</v>
      </c>
      <c r="AC333" s="50">
        <f t="shared" ca="1" si="235"/>
        <v>64807.155702146061</v>
      </c>
      <c r="AD333" s="50">
        <f t="shared" ca="1" si="235"/>
        <v>66103.298816188981</v>
      </c>
      <c r="AE333" s="50">
        <f t="shared" ca="1" si="235"/>
        <v>67425.364792512773</v>
      </c>
      <c r="AF333" s="50">
        <f t="shared" ca="1" si="235"/>
        <v>68773.872088363001</v>
      </c>
      <c r="AG333" s="50">
        <f t="shared" ca="1" si="235"/>
        <v>70149.349530130276</v>
      </c>
      <c r="AH333" s="50">
        <f t="shared" ca="1" si="235"/>
        <v>71552.33652073289</v>
      </c>
      <c r="AI333" s="50">
        <f t="shared" ca="1" si="235"/>
        <v>72983.383251147534</v>
      </c>
      <c r="AJ333" s="50">
        <f t="shared" ca="1" si="235"/>
        <v>74443.050916170483</v>
      </c>
      <c r="AK333" s="50">
        <f t="shared" ca="1" si="235"/>
        <v>75931.911934493895</v>
      </c>
      <c r="AL333" s="50">
        <f t="shared" si="235"/>
        <v>0</v>
      </c>
      <c r="AM333" s="50">
        <f t="shared" si="235"/>
        <v>0</v>
      </c>
      <c r="AN333" s="50">
        <f t="shared" si="235"/>
        <v>0</v>
      </c>
      <c r="AO333" s="50">
        <f t="shared" si="235"/>
        <v>0</v>
      </c>
      <c r="AP333" s="50">
        <f t="shared" si="235"/>
        <v>0</v>
      </c>
      <c r="AQ333" s="50">
        <f t="shared" si="235"/>
        <v>0</v>
      </c>
      <c r="AR333" s="50">
        <f t="shared" si="235"/>
        <v>0</v>
      </c>
      <c r="AS333" s="50">
        <f t="shared" si="235"/>
        <v>0</v>
      </c>
      <c r="AT333" s="50">
        <f t="shared" si="235"/>
        <v>0</v>
      </c>
      <c r="AU333" s="50">
        <f t="shared" si="235"/>
        <v>0</v>
      </c>
    </row>
    <row r="334" spans="1:47">
      <c r="A334" s="38" t="str">
        <f t="shared" si="234"/>
        <v>2X-</v>
      </c>
      <c r="B334" s="38" t="s">
        <v>270</v>
      </c>
      <c r="C334" s="38" t="str">
        <f>C333</f>
        <v>Gas Cleaning</v>
      </c>
      <c r="D334" s="186">
        <f>OMEsc</f>
        <v>0.02</v>
      </c>
      <c r="E334" s="325"/>
      <c r="G334" s="36" t="s">
        <v>126</v>
      </c>
      <c r="I334" s="39"/>
      <c r="K334" s="39"/>
      <c r="L334" s="43" t="str">
        <f>"["&amp;CostBaseYr&amp;" $]"</f>
        <v>[2013 $]</v>
      </c>
      <c r="N334" s="70">
        <f ca="1">SUMIFS(OFFSET(Assumptions!$I$90,0,MATCH($A334,Configurations,0)-1,COUNT(Assumptions!$A$90:$A$183),1),Assumptions!$D$90:$D$183,$B334&amp;$C334)</f>
        <v>13000</v>
      </c>
      <c r="O334" s="313"/>
      <c r="P334" s="323"/>
      <c r="Q334" s="313"/>
      <c r="R334" s="50">
        <f t="shared" ref="R334:AG336" ca="1" si="236">IF(OR(R$99&lt;InServiceYr,R$99&gt;(InServiceYr+analysis_period-1)),0,IF($P334=0,$N334,$P334)*(1+$D334)^(R$99-CostBaseYr))</f>
        <v>13260</v>
      </c>
      <c r="S334" s="50">
        <f t="shared" ca="1" si="236"/>
        <v>13525.2</v>
      </c>
      <c r="T334" s="50">
        <f t="shared" ca="1" si="236"/>
        <v>13795.704</v>
      </c>
      <c r="U334" s="50">
        <f t="shared" ca="1" si="236"/>
        <v>14071.61808</v>
      </c>
      <c r="V334" s="50">
        <f t="shared" ca="1" si="236"/>
        <v>14353.0504416</v>
      </c>
      <c r="W334" s="50">
        <f t="shared" ca="1" si="236"/>
        <v>14640.111450432001</v>
      </c>
      <c r="X334" s="50">
        <f t="shared" ca="1" si="236"/>
        <v>14932.913679440637</v>
      </c>
      <c r="Y334" s="50">
        <f t="shared" ca="1" si="236"/>
        <v>15231.571953029452</v>
      </c>
      <c r="Z334" s="50">
        <f t="shared" ca="1" si="236"/>
        <v>15536.203392090041</v>
      </c>
      <c r="AA334" s="50">
        <f t="shared" ca="1" si="236"/>
        <v>15846.927459931843</v>
      </c>
      <c r="AB334" s="50">
        <f t="shared" ca="1" si="236"/>
        <v>16163.866009130476</v>
      </c>
      <c r="AC334" s="50">
        <f t="shared" ca="1" si="236"/>
        <v>16487.143329313087</v>
      </c>
      <c r="AD334" s="50">
        <f t="shared" ca="1" si="236"/>
        <v>16816.886195899348</v>
      </c>
      <c r="AE334" s="50">
        <f t="shared" ca="1" si="236"/>
        <v>17153.223919817337</v>
      </c>
      <c r="AF334" s="50">
        <f t="shared" ca="1" si="236"/>
        <v>17496.288398213681</v>
      </c>
      <c r="AG334" s="50">
        <f t="shared" ca="1" si="236"/>
        <v>17846.214166177957</v>
      </c>
      <c r="AH334" s="50">
        <f t="shared" ref="S334:AU336" ca="1" si="237">IF(OR(AH$99&lt;InServiceYr,AH$99&gt;(InServiceYr+analysis_period-1)),0,IF($P334=0,$N334,$P334)*(1+$D334)^(AH$99-CostBaseYr))</f>
        <v>18203.138449501515</v>
      </c>
      <c r="AI334" s="50">
        <f t="shared" ca="1" si="237"/>
        <v>18567.201218491544</v>
      </c>
      <c r="AJ334" s="50">
        <f t="shared" ca="1" si="237"/>
        <v>18938.545242861375</v>
      </c>
      <c r="AK334" s="50">
        <f t="shared" ca="1" si="237"/>
        <v>19317.316147718604</v>
      </c>
      <c r="AL334" s="50">
        <f t="shared" si="237"/>
        <v>0</v>
      </c>
      <c r="AM334" s="50">
        <f t="shared" si="237"/>
        <v>0</v>
      </c>
      <c r="AN334" s="50">
        <f t="shared" si="237"/>
        <v>0</v>
      </c>
      <c r="AO334" s="50">
        <f t="shared" si="237"/>
        <v>0</v>
      </c>
      <c r="AP334" s="50">
        <f t="shared" si="237"/>
        <v>0</v>
      </c>
      <c r="AQ334" s="50">
        <f t="shared" si="237"/>
        <v>0</v>
      </c>
      <c r="AR334" s="50">
        <f t="shared" si="237"/>
        <v>0</v>
      </c>
      <c r="AS334" s="50">
        <f t="shared" si="237"/>
        <v>0</v>
      </c>
      <c r="AT334" s="50">
        <f t="shared" si="237"/>
        <v>0</v>
      </c>
      <c r="AU334" s="50">
        <f t="shared" si="237"/>
        <v>0</v>
      </c>
    </row>
    <row r="335" spans="1:47">
      <c r="A335" s="38" t="str">
        <f t="shared" si="234"/>
        <v>2X-</v>
      </c>
      <c r="B335" s="38" t="s">
        <v>263</v>
      </c>
      <c r="C335" s="38" t="str">
        <f t="shared" ref="C335:C339" si="238">C334</f>
        <v>Gas Cleaning</v>
      </c>
      <c r="D335" s="186">
        <f>OMEsc</f>
        <v>0.02</v>
      </c>
      <c r="E335" s="325"/>
      <c r="G335" s="36" t="s">
        <v>127</v>
      </c>
      <c r="I335" s="39"/>
      <c r="K335" s="39"/>
      <c r="L335" s="43" t="str">
        <f>"["&amp;CostBaseYr&amp;" $]"</f>
        <v>[2013 $]</v>
      </c>
      <c r="N335" s="70">
        <f ca="1">SUMIFS(OFFSET(Assumptions!$I$90,0,MATCH($A335,Configurations,0)-1,COUNT(Assumptions!$A$90:$A$183),1),Assumptions!$D$90:$D$183,$B335&amp;$C335)</f>
        <v>0</v>
      </c>
      <c r="O335" s="313"/>
      <c r="P335" s="323"/>
      <c r="Q335" s="313"/>
      <c r="R335" s="50">
        <f t="shared" ca="1" si="236"/>
        <v>0</v>
      </c>
      <c r="S335" s="50">
        <f t="shared" ca="1" si="237"/>
        <v>0</v>
      </c>
      <c r="T335" s="50">
        <f t="shared" ca="1" si="237"/>
        <v>0</v>
      </c>
      <c r="U335" s="50">
        <f t="shared" ca="1" si="237"/>
        <v>0</v>
      </c>
      <c r="V335" s="50">
        <f t="shared" ca="1" si="237"/>
        <v>0</v>
      </c>
      <c r="W335" s="50">
        <f t="shared" ca="1" si="237"/>
        <v>0</v>
      </c>
      <c r="X335" s="50">
        <f t="shared" ca="1" si="237"/>
        <v>0</v>
      </c>
      <c r="Y335" s="50">
        <f t="shared" ca="1" si="237"/>
        <v>0</v>
      </c>
      <c r="Z335" s="50">
        <f t="shared" ca="1" si="237"/>
        <v>0</v>
      </c>
      <c r="AA335" s="50">
        <f t="shared" ca="1" si="237"/>
        <v>0</v>
      </c>
      <c r="AB335" s="50">
        <f t="shared" ca="1" si="237"/>
        <v>0</v>
      </c>
      <c r="AC335" s="50">
        <f t="shared" ca="1" si="237"/>
        <v>0</v>
      </c>
      <c r="AD335" s="50">
        <f t="shared" ca="1" si="237"/>
        <v>0</v>
      </c>
      <c r="AE335" s="50">
        <f t="shared" ca="1" si="237"/>
        <v>0</v>
      </c>
      <c r="AF335" s="50">
        <f t="shared" ca="1" si="237"/>
        <v>0</v>
      </c>
      <c r="AG335" s="50">
        <f t="shared" ca="1" si="237"/>
        <v>0</v>
      </c>
      <c r="AH335" s="50">
        <f t="shared" ca="1" si="237"/>
        <v>0</v>
      </c>
      <c r="AI335" s="50">
        <f t="shared" ca="1" si="237"/>
        <v>0</v>
      </c>
      <c r="AJ335" s="50">
        <f t="shared" ca="1" si="237"/>
        <v>0</v>
      </c>
      <c r="AK335" s="50">
        <f t="shared" ca="1" si="237"/>
        <v>0</v>
      </c>
      <c r="AL335" s="50">
        <f t="shared" si="237"/>
        <v>0</v>
      </c>
      <c r="AM335" s="50">
        <f t="shared" si="237"/>
        <v>0</v>
      </c>
      <c r="AN335" s="50">
        <f t="shared" si="237"/>
        <v>0</v>
      </c>
      <c r="AO335" s="50">
        <f t="shared" si="237"/>
        <v>0</v>
      </c>
      <c r="AP335" s="50">
        <f t="shared" si="237"/>
        <v>0</v>
      </c>
      <c r="AQ335" s="50">
        <f t="shared" si="237"/>
        <v>0</v>
      </c>
      <c r="AR335" s="50">
        <f t="shared" si="237"/>
        <v>0</v>
      </c>
      <c r="AS335" s="50">
        <f t="shared" si="237"/>
        <v>0</v>
      </c>
      <c r="AT335" s="50">
        <f t="shared" si="237"/>
        <v>0</v>
      </c>
      <c r="AU335" s="50">
        <f t="shared" si="237"/>
        <v>0</v>
      </c>
    </row>
    <row r="336" spans="1:47">
      <c r="A336" s="38" t="str">
        <f t="shared" si="234"/>
        <v>2X-</v>
      </c>
      <c r="B336" s="38" t="s">
        <v>277</v>
      </c>
      <c r="C336" s="38" t="str">
        <f t="shared" si="238"/>
        <v>Gas Cleaning</v>
      </c>
      <c r="D336" s="186">
        <f>OMEsc</f>
        <v>0.02</v>
      </c>
      <c r="E336" s="325"/>
      <c r="G336" s="36" t="s">
        <v>276</v>
      </c>
      <c r="I336" s="39"/>
      <c r="K336" s="39"/>
      <c r="L336" s="43" t="str">
        <f>"["&amp;CostBaseYr&amp;" $]"</f>
        <v>[2013 $]</v>
      </c>
      <c r="N336" s="70">
        <f ca="1">SUMIFS(OFFSET(Assumptions!$I$90,0,MATCH($A336,Configurations,0)-1,COUNT(Assumptions!$A$90:$A$183),1),Assumptions!$D$90:$D$183,$B336&amp;$C336)</f>
        <v>30000</v>
      </c>
      <c r="O336" s="313"/>
      <c r="P336" s="323"/>
      <c r="Q336" s="313"/>
      <c r="R336" s="50">
        <f t="shared" ca="1" si="236"/>
        <v>30600</v>
      </c>
      <c r="S336" s="50">
        <f t="shared" ca="1" si="237"/>
        <v>31212</v>
      </c>
      <c r="T336" s="50">
        <f t="shared" ca="1" si="237"/>
        <v>31836.239999999998</v>
      </c>
      <c r="U336" s="50">
        <f t="shared" ca="1" si="237"/>
        <v>32472.964799999998</v>
      </c>
      <c r="V336" s="50">
        <f t="shared" ca="1" si="237"/>
        <v>33122.424096000002</v>
      </c>
      <c r="W336" s="50">
        <f t="shared" ca="1" si="237"/>
        <v>33784.872577920003</v>
      </c>
      <c r="X336" s="50">
        <f t="shared" ca="1" si="237"/>
        <v>34460.570029478396</v>
      </c>
      <c r="Y336" s="50">
        <f t="shared" ca="1" si="237"/>
        <v>35149.781430067967</v>
      </c>
      <c r="Z336" s="50">
        <f t="shared" ca="1" si="237"/>
        <v>35852.777058669322</v>
      </c>
      <c r="AA336" s="50">
        <f t="shared" ca="1" si="237"/>
        <v>36569.83259984271</v>
      </c>
      <c r="AB336" s="50">
        <f t="shared" ca="1" si="237"/>
        <v>37301.229251839562</v>
      </c>
      <c r="AC336" s="50">
        <f t="shared" ca="1" si="237"/>
        <v>38047.253836876356</v>
      </c>
      <c r="AD336" s="50">
        <f t="shared" ca="1" si="237"/>
        <v>38808.19891361388</v>
      </c>
      <c r="AE336" s="50">
        <f t="shared" ca="1" si="237"/>
        <v>39584.362891886165</v>
      </c>
      <c r="AF336" s="50">
        <f t="shared" ca="1" si="237"/>
        <v>40376.05014972388</v>
      </c>
      <c r="AG336" s="50">
        <f t="shared" ca="1" si="237"/>
        <v>41183.571152718359</v>
      </c>
      <c r="AH336" s="50">
        <f t="shared" ca="1" si="237"/>
        <v>42007.242575772732</v>
      </c>
      <c r="AI336" s="50">
        <f t="shared" ca="1" si="237"/>
        <v>42847.38742728818</v>
      </c>
      <c r="AJ336" s="50">
        <f t="shared" ca="1" si="237"/>
        <v>43704.335175833941</v>
      </c>
      <c r="AK336" s="50">
        <f t="shared" ca="1" si="237"/>
        <v>44578.42187935063</v>
      </c>
      <c r="AL336" s="50">
        <f t="shared" si="237"/>
        <v>0</v>
      </c>
      <c r="AM336" s="50">
        <f t="shared" si="237"/>
        <v>0</v>
      </c>
      <c r="AN336" s="50">
        <f t="shared" si="237"/>
        <v>0</v>
      </c>
      <c r="AO336" s="50">
        <f t="shared" si="237"/>
        <v>0</v>
      </c>
      <c r="AP336" s="50">
        <f t="shared" si="237"/>
        <v>0</v>
      </c>
      <c r="AQ336" s="50">
        <f t="shared" si="237"/>
        <v>0</v>
      </c>
      <c r="AR336" s="50">
        <f t="shared" si="237"/>
        <v>0</v>
      </c>
      <c r="AS336" s="50">
        <f t="shared" si="237"/>
        <v>0</v>
      </c>
      <c r="AT336" s="50">
        <f t="shared" si="237"/>
        <v>0</v>
      </c>
      <c r="AU336" s="50">
        <f t="shared" si="237"/>
        <v>0</v>
      </c>
    </row>
    <row r="337" spans="1:47">
      <c r="A337" s="38" t="str">
        <f t="shared" si="234"/>
        <v>2X-</v>
      </c>
      <c r="B337" s="38" t="s">
        <v>274</v>
      </c>
      <c r="C337" s="38" t="str">
        <f t="shared" si="238"/>
        <v>Gas Cleaning</v>
      </c>
      <c r="D337" s="186"/>
      <c r="E337" s="325"/>
      <c r="G337" s="36" t="s">
        <v>16</v>
      </c>
      <c r="I337" s="39"/>
      <c r="K337" s="39"/>
      <c r="L337" s="43" t="s">
        <v>275</v>
      </c>
      <c r="N337" s="70">
        <f ca="1">SUMIFS(OFFSET(Assumptions!$I$90,0,MATCH($A337,Configurations,0)-1,COUNT(Assumptions!$A$90:$A$183),1),Assumptions!$D$90:$D$183,$B337&amp;$C337)</f>
        <v>0</v>
      </c>
      <c r="O337" s="313"/>
      <c r="P337" s="323"/>
      <c r="Q337" s="313"/>
      <c r="R337" s="50">
        <f t="shared" ref="R337:AU337" ca="1" si="239">IF(OR(R$99&lt;InServiceYr,R$99&gt;(InServiceYr+analysis_period-1)),0,IF($P337=0,$N337,$P337)*R$505)</f>
        <v>0</v>
      </c>
      <c r="S337" s="50">
        <f t="shared" ca="1" si="239"/>
        <v>0</v>
      </c>
      <c r="T337" s="50">
        <f t="shared" ca="1" si="239"/>
        <v>0</v>
      </c>
      <c r="U337" s="50">
        <f t="shared" ca="1" si="239"/>
        <v>0</v>
      </c>
      <c r="V337" s="50">
        <f t="shared" ca="1" si="239"/>
        <v>0</v>
      </c>
      <c r="W337" s="50">
        <f t="shared" ca="1" si="239"/>
        <v>0</v>
      </c>
      <c r="X337" s="50">
        <f t="shared" ca="1" si="239"/>
        <v>0</v>
      </c>
      <c r="Y337" s="50">
        <f t="shared" ca="1" si="239"/>
        <v>0</v>
      </c>
      <c r="Z337" s="50">
        <f t="shared" ca="1" si="239"/>
        <v>0</v>
      </c>
      <c r="AA337" s="50">
        <f t="shared" ca="1" si="239"/>
        <v>0</v>
      </c>
      <c r="AB337" s="50">
        <f t="shared" ca="1" si="239"/>
        <v>0</v>
      </c>
      <c r="AC337" s="50">
        <f t="shared" ca="1" si="239"/>
        <v>0</v>
      </c>
      <c r="AD337" s="50">
        <f t="shared" ca="1" si="239"/>
        <v>0</v>
      </c>
      <c r="AE337" s="50">
        <f t="shared" ca="1" si="239"/>
        <v>0</v>
      </c>
      <c r="AF337" s="50">
        <f t="shared" ca="1" si="239"/>
        <v>0</v>
      </c>
      <c r="AG337" s="50">
        <f t="shared" ca="1" si="239"/>
        <v>0</v>
      </c>
      <c r="AH337" s="50">
        <f t="shared" ca="1" si="239"/>
        <v>0</v>
      </c>
      <c r="AI337" s="50">
        <f t="shared" ca="1" si="239"/>
        <v>0</v>
      </c>
      <c r="AJ337" s="50">
        <f t="shared" ca="1" si="239"/>
        <v>0</v>
      </c>
      <c r="AK337" s="50">
        <f t="shared" ca="1" si="239"/>
        <v>0</v>
      </c>
      <c r="AL337" s="50">
        <f t="shared" si="239"/>
        <v>0</v>
      </c>
      <c r="AM337" s="50">
        <f t="shared" si="239"/>
        <v>0</v>
      </c>
      <c r="AN337" s="50">
        <f t="shared" si="239"/>
        <v>0</v>
      </c>
      <c r="AO337" s="50">
        <f t="shared" si="239"/>
        <v>0</v>
      </c>
      <c r="AP337" s="50">
        <f t="shared" si="239"/>
        <v>0</v>
      </c>
      <c r="AQ337" s="50">
        <f t="shared" si="239"/>
        <v>0</v>
      </c>
      <c r="AR337" s="50">
        <f t="shared" si="239"/>
        <v>0</v>
      </c>
      <c r="AS337" s="50">
        <f t="shared" si="239"/>
        <v>0</v>
      </c>
      <c r="AT337" s="50">
        <f t="shared" si="239"/>
        <v>0</v>
      </c>
      <c r="AU337" s="50">
        <f t="shared" si="239"/>
        <v>0</v>
      </c>
    </row>
    <row r="338" spans="1:47">
      <c r="A338" s="38" t="str">
        <f t="shared" si="234"/>
        <v>2X-</v>
      </c>
      <c r="B338" s="38" t="s">
        <v>257</v>
      </c>
      <c r="C338" s="38" t="str">
        <f t="shared" si="238"/>
        <v>Gas Cleaning</v>
      </c>
      <c r="D338" s="186"/>
      <c r="E338" s="325"/>
      <c r="G338" s="36" t="s">
        <v>284</v>
      </c>
      <c r="I338" s="39"/>
      <c r="K338" s="39"/>
      <c r="L338" s="43" t="s">
        <v>293</v>
      </c>
      <c r="N338" s="70">
        <f ca="1">SUMIFS(OFFSET(Assumptions!$I$90,0,MATCH($A338,Configurations,0)-1,COUNT(Assumptions!$A$90:$A$183),1),Assumptions!$D$90:$D$183,$B338&amp;$C338)</f>
        <v>196010</v>
      </c>
      <c r="O338" s="313"/>
      <c r="P338" s="323"/>
      <c r="Q338" s="313"/>
      <c r="R338" s="50">
        <f t="shared" ref="R338:AU338" ca="1" si="240">IF(OR(R$99&lt;InServiceYr,R$99&gt;(InServiceYr+analysis_period-1)),0,IF($P338=0,$N338,$P338)*R$501)</f>
        <v>12658.630803864207</v>
      </c>
      <c r="S338" s="50">
        <f t="shared" ca="1" si="240"/>
        <v>12737.538774947772</v>
      </c>
      <c r="T338" s="50">
        <f t="shared" ca="1" si="240"/>
        <v>13286.653326356565</v>
      </c>
      <c r="U338" s="50">
        <f t="shared" ca="1" si="240"/>
        <v>13685.219678312775</v>
      </c>
      <c r="V338" s="50">
        <f t="shared" ca="1" si="240"/>
        <v>14015.45922427961</v>
      </c>
      <c r="W338" s="50">
        <f t="shared" ca="1" si="240"/>
        <v>14194.762957849085</v>
      </c>
      <c r="X338" s="50">
        <f t="shared" ca="1" si="240"/>
        <v>14425.746858026192</v>
      </c>
      <c r="Y338" s="50">
        <f t="shared" ca="1" si="240"/>
        <v>14781.167879439816</v>
      </c>
      <c r="Z338" s="50">
        <f t="shared" ca="1" si="240"/>
        <v>15135.039117372518</v>
      </c>
      <c r="AA338" s="50">
        <f t="shared" ca="1" si="240"/>
        <v>15513.45226939313</v>
      </c>
      <c r="AB338" s="50">
        <f t="shared" ca="1" si="240"/>
        <v>15849.470589728022</v>
      </c>
      <c r="AC338" s="50">
        <f t="shared" ca="1" si="240"/>
        <v>16154.67368095327</v>
      </c>
      <c r="AD338" s="50">
        <f t="shared" ca="1" si="240"/>
        <v>16527.843365448523</v>
      </c>
      <c r="AE338" s="50">
        <f t="shared" ca="1" si="240"/>
        <v>16904.54032774123</v>
      </c>
      <c r="AF338" s="50">
        <f t="shared" ca="1" si="240"/>
        <v>17306.472897633364</v>
      </c>
      <c r="AG338" s="50">
        <f t="shared" ca="1" si="240"/>
        <v>17756.732113862636</v>
      </c>
      <c r="AH338" s="50">
        <f t="shared" ca="1" si="240"/>
        <v>18191.9044986638</v>
      </c>
      <c r="AI338" s="50">
        <f t="shared" ca="1" si="240"/>
        <v>18663.831278506015</v>
      </c>
      <c r="AJ338" s="50">
        <f t="shared" ca="1" si="240"/>
        <v>19163.434290903384</v>
      </c>
      <c r="AK338" s="50">
        <f t="shared" ca="1" si="240"/>
        <v>19684.742291611805</v>
      </c>
      <c r="AL338" s="50">
        <f t="shared" si="240"/>
        <v>0</v>
      </c>
      <c r="AM338" s="50">
        <f t="shared" si="240"/>
        <v>0</v>
      </c>
      <c r="AN338" s="50">
        <f t="shared" si="240"/>
        <v>0</v>
      </c>
      <c r="AO338" s="50">
        <f t="shared" si="240"/>
        <v>0</v>
      </c>
      <c r="AP338" s="50">
        <f t="shared" si="240"/>
        <v>0</v>
      </c>
      <c r="AQ338" s="50">
        <f t="shared" si="240"/>
        <v>0</v>
      </c>
      <c r="AR338" s="50">
        <f t="shared" si="240"/>
        <v>0</v>
      </c>
      <c r="AS338" s="50">
        <f t="shared" si="240"/>
        <v>0</v>
      </c>
      <c r="AT338" s="50">
        <f t="shared" si="240"/>
        <v>0</v>
      </c>
      <c r="AU338" s="50">
        <f t="shared" si="240"/>
        <v>0</v>
      </c>
    </row>
    <row r="339" spans="1:47">
      <c r="A339" s="38" t="str">
        <f t="shared" si="234"/>
        <v>2X-</v>
      </c>
      <c r="B339" s="38" t="s">
        <v>864</v>
      </c>
      <c r="C339" s="38" t="str">
        <f t="shared" si="238"/>
        <v>Gas Cleaning</v>
      </c>
      <c r="D339" s="186">
        <f>GHGEsc</f>
        <v>0.02</v>
      </c>
      <c r="E339" s="325"/>
      <c r="G339" s="36" t="s">
        <v>865</v>
      </c>
      <c r="I339" s="39"/>
      <c r="K339" s="39"/>
      <c r="L339" s="43" t="s">
        <v>866</v>
      </c>
      <c r="N339" s="70">
        <f ca="1">SUMIFS(OFFSET(Assumptions!$I$90,0,MATCH($A339,Configurations,0)-1,COUNT(Assumptions!$A$90:$A$183),1),Assumptions!$D$90:$D$183,$B339&amp;$C339)</f>
        <v>0</v>
      </c>
      <c r="O339" s="313"/>
      <c r="P339" s="323"/>
      <c r="Q339" s="313"/>
      <c r="R339" s="50">
        <f t="shared" ref="R339:AU339" ca="1" si="241">IF(OR(R$99&lt;InServiceYr,R$99&gt;(InServiceYr+analysis_period-1)),0,IF($P339=0,$N339,$P339)*R$513)</f>
        <v>0</v>
      </c>
      <c r="S339" s="50">
        <f t="shared" ca="1" si="241"/>
        <v>0</v>
      </c>
      <c r="T339" s="50">
        <f t="shared" ca="1" si="241"/>
        <v>0</v>
      </c>
      <c r="U339" s="50">
        <f t="shared" ca="1" si="241"/>
        <v>0</v>
      </c>
      <c r="V339" s="50">
        <f t="shared" ca="1" si="241"/>
        <v>0</v>
      </c>
      <c r="W339" s="50">
        <f t="shared" ca="1" si="241"/>
        <v>0</v>
      </c>
      <c r="X339" s="50">
        <f t="shared" ca="1" si="241"/>
        <v>0</v>
      </c>
      <c r="Y339" s="50">
        <f t="shared" ca="1" si="241"/>
        <v>0</v>
      </c>
      <c r="Z339" s="50">
        <f t="shared" ca="1" si="241"/>
        <v>0</v>
      </c>
      <c r="AA339" s="50">
        <f t="shared" ca="1" si="241"/>
        <v>0</v>
      </c>
      <c r="AB339" s="50">
        <f t="shared" ca="1" si="241"/>
        <v>0</v>
      </c>
      <c r="AC339" s="50">
        <f t="shared" ca="1" si="241"/>
        <v>0</v>
      </c>
      <c r="AD339" s="50">
        <f t="shared" ca="1" si="241"/>
        <v>0</v>
      </c>
      <c r="AE339" s="50">
        <f t="shared" ca="1" si="241"/>
        <v>0</v>
      </c>
      <c r="AF339" s="50">
        <f t="shared" ca="1" si="241"/>
        <v>0</v>
      </c>
      <c r="AG339" s="50">
        <f t="shared" ca="1" si="241"/>
        <v>0</v>
      </c>
      <c r="AH339" s="50">
        <f t="shared" ca="1" si="241"/>
        <v>0</v>
      </c>
      <c r="AI339" s="50">
        <f t="shared" ca="1" si="241"/>
        <v>0</v>
      </c>
      <c r="AJ339" s="50">
        <f t="shared" ca="1" si="241"/>
        <v>0</v>
      </c>
      <c r="AK339" s="50">
        <f t="shared" ca="1" si="241"/>
        <v>0</v>
      </c>
      <c r="AL339" s="50">
        <f t="shared" si="241"/>
        <v>0</v>
      </c>
      <c r="AM339" s="50">
        <f t="shared" si="241"/>
        <v>0</v>
      </c>
      <c r="AN339" s="50">
        <f t="shared" si="241"/>
        <v>0</v>
      </c>
      <c r="AO339" s="50">
        <f t="shared" si="241"/>
        <v>0</v>
      </c>
      <c r="AP339" s="50">
        <f t="shared" si="241"/>
        <v>0</v>
      </c>
      <c r="AQ339" s="50">
        <f t="shared" si="241"/>
        <v>0</v>
      </c>
      <c r="AR339" s="50">
        <f t="shared" si="241"/>
        <v>0</v>
      </c>
      <c r="AS339" s="50">
        <f t="shared" si="241"/>
        <v>0</v>
      </c>
      <c r="AT339" s="50">
        <f t="shared" si="241"/>
        <v>0</v>
      </c>
      <c r="AU339" s="50">
        <f t="shared" si="241"/>
        <v>0</v>
      </c>
    </row>
    <row r="340" spans="1:47">
      <c r="A340" s="38" t="str">
        <f t="shared" si="234"/>
        <v>2X-</v>
      </c>
      <c r="B340" s="38" t="s">
        <v>273</v>
      </c>
      <c r="C340" s="38" t="str">
        <f>C338</f>
        <v>Gas Cleaning</v>
      </c>
      <c r="D340" s="186">
        <f>LaborEsc</f>
        <v>0.02</v>
      </c>
      <c r="E340" s="325"/>
      <c r="G340" s="36" t="s">
        <v>291</v>
      </c>
      <c r="I340" s="39"/>
      <c r="K340" s="39"/>
      <c r="L340" s="43" t="str">
        <f>"["&amp;CostBaseYr&amp;" $]"</f>
        <v>[2013 $]</v>
      </c>
      <c r="N340" s="70">
        <f ca="1">SUMIFS(OFFSET(Assumptions!$I$90,0,MATCH($A340,Configurations,0)-1,COUNT(Assumptions!$A$90:$A$183),1),Assumptions!$D$90:$D$183,$B340&amp;$C340)</f>
        <v>0</v>
      </c>
      <c r="O340" s="313"/>
      <c r="P340" s="323"/>
      <c r="Q340" s="313"/>
      <c r="R340" s="50">
        <f t="shared" ref="R340:AU340" ca="1" si="242">IF(OR(R$99&lt;InServiceYr,R$99&gt;(InServiceYr+analysis_period-1)),0,IF($P340=0,$N340,$P340)*(1+$D340)^(R$99-CostBaseYr))*R$509</f>
        <v>0</v>
      </c>
      <c r="S340" s="50">
        <f t="shared" ca="1" si="242"/>
        <v>0</v>
      </c>
      <c r="T340" s="50">
        <f t="shared" ca="1" si="242"/>
        <v>0</v>
      </c>
      <c r="U340" s="50">
        <f t="shared" ca="1" si="242"/>
        <v>0</v>
      </c>
      <c r="V340" s="50">
        <f t="shared" ca="1" si="242"/>
        <v>0</v>
      </c>
      <c r="W340" s="50">
        <f t="shared" ca="1" si="242"/>
        <v>0</v>
      </c>
      <c r="X340" s="50">
        <f t="shared" ca="1" si="242"/>
        <v>0</v>
      </c>
      <c r="Y340" s="50">
        <f t="shared" ca="1" si="242"/>
        <v>0</v>
      </c>
      <c r="Z340" s="50">
        <f t="shared" ca="1" si="242"/>
        <v>0</v>
      </c>
      <c r="AA340" s="50">
        <f t="shared" ca="1" si="242"/>
        <v>0</v>
      </c>
      <c r="AB340" s="50">
        <f t="shared" ca="1" si="242"/>
        <v>0</v>
      </c>
      <c r="AC340" s="50">
        <f t="shared" ca="1" si="242"/>
        <v>0</v>
      </c>
      <c r="AD340" s="50">
        <f t="shared" ca="1" si="242"/>
        <v>0</v>
      </c>
      <c r="AE340" s="50">
        <f t="shared" ca="1" si="242"/>
        <v>0</v>
      </c>
      <c r="AF340" s="50">
        <f t="shared" ca="1" si="242"/>
        <v>0</v>
      </c>
      <c r="AG340" s="50">
        <f t="shared" ca="1" si="242"/>
        <v>0</v>
      </c>
      <c r="AH340" s="50">
        <f t="shared" ca="1" si="242"/>
        <v>0</v>
      </c>
      <c r="AI340" s="50">
        <f t="shared" ca="1" si="242"/>
        <v>0</v>
      </c>
      <c r="AJ340" s="50">
        <f t="shared" ca="1" si="242"/>
        <v>0</v>
      </c>
      <c r="AK340" s="50">
        <f t="shared" ca="1" si="242"/>
        <v>0</v>
      </c>
      <c r="AL340" s="50">
        <f t="shared" si="242"/>
        <v>0</v>
      </c>
      <c r="AM340" s="50">
        <f t="shared" si="242"/>
        <v>0</v>
      </c>
      <c r="AN340" s="50">
        <f t="shared" si="242"/>
        <v>0</v>
      </c>
      <c r="AO340" s="50">
        <f t="shared" si="242"/>
        <v>0</v>
      </c>
      <c r="AP340" s="50">
        <f t="shared" si="242"/>
        <v>0</v>
      </c>
      <c r="AQ340" s="50">
        <f t="shared" si="242"/>
        <v>0</v>
      </c>
      <c r="AR340" s="50">
        <f t="shared" si="242"/>
        <v>0</v>
      </c>
      <c r="AS340" s="50">
        <f t="shared" si="242"/>
        <v>0</v>
      </c>
      <c r="AT340" s="50">
        <f t="shared" si="242"/>
        <v>0</v>
      </c>
      <c r="AU340" s="50">
        <f t="shared" si="242"/>
        <v>0</v>
      </c>
    </row>
    <row r="341" spans="1:47">
      <c r="D341" s="186"/>
      <c r="E341" s="325"/>
      <c r="G341" s="39" t="s">
        <v>304</v>
      </c>
      <c r="I341" s="39"/>
      <c r="K341" s="39"/>
      <c r="L341" s="43"/>
      <c r="N341" s="70"/>
      <c r="O341" s="313"/>
      <c r="P341" s="70"/>
      <c r="Q341" s="313"/>
      <c r="R341" s="50"/>
      <c r="S341" s="50"/>
      <c r="T341" s="50"/>
      <c r="U341" s="50"/>
      <c r="V341" s="50"/>
      <c r="W341" s="50"/>
      <c r="X341" s="50"/>
      <c r="Y341" s="50"/>
      <c r="Z341" s="50"/>
      <c r="AA341" s="50"/>
      <c r="AB341" s="50"/>
      <c r="AC341" s="50"/>
      <c r="AD341" s="50"/>
      <c r="AE341" s="50"/>
      <c r="AF341" s="50"/>
      <c r="AG341" s="50"/>
      <c r="AH341" s="50"/>
      <c r="AI341" s="50"/>
      <c r="AJ341" s="50"/>
      <c r="AK341" s="50"/>
      <c r="AL341" s="50"/>
      <c r="AM341" s="50"/>
      <c r="AN341" s="50"/>
      <c r="AO341" s="50"/>
      <c r="AP341" s="50"/>
      <c r="AQ341" s="50"/>
      <c r="AR341" s="50"/>
      <c r="AS341" s="50"/>
      <c r="AT341" s="50"/>
      <c r="AU341" s="50"/>
    </row>
    <row r="342" spans="1:47">
      <c r="A342" s="38" t="str">
        <f>$J$4&amp;"-"</f>
        <v>2X-</v>
      </c>
      <c r="B342" s="38" t="s">
        <v>265</v>
      </c>
      <c r="C342" s="38" t="str">
        <f>C333</f>
        <v>Gas Cleaning</v>
      </c>
      <c r="D342" s="186"/>
      <c r="E342" s="325"/>
      <c r="G342" s="36" t="s">
        <v>108</v>
      </c>
      <c r="I342" s="39"/>
      <c r="K342" s="39"/>
      <c r="L342" s="43" t="s">
        <v>293</v>
      </c>
      <c r="N342" s="70">
        <f ca="1">SUMIFS(OFFSET(Assumptions!$I$90,0,MATCH($A342,Configurations,0)-1,COUNT(Assumptions!$A$90:$A$183),1),Assumptions!$D$90:$D$183,$B342&amp;$C342)</f>
        <v>0</v>
      </c>
      <c r="O342" s="313"/>
      <c r="P342" s="323"/>
      <c r="Q342" s="313"/>
      <c r="R342" s="50">
        <f t="shared" ref="R342:AU342" ca="1" si="243">IF(OR(R$99&lt;InServiceYr,R$99&gt;(InServiceYr+analysis_period-1)),0,IF($P342=0,$N342,$P342)*R$501)</f>
        <v>0</v>
      </c>
      <c r="S342" s="50">
        <f t="shared" ca="1" si="243"/>
        <v>0</v>
      </c>
      <c r="T342" s="50">
        <f t="shared" ca="1" si="243"/>
        <v>0</v>
      </c>
      <c r="U342" s="50">
        <f t="shared" ca="1" si="243"/>
        <v>0</v>
      </c>
      <c r="V342" s="50">
        <f t="shared" ca="1" si="243"/>
        <v>0</v>
      </c>
      <c r="W342" s="50">
        <f t="shared" ca="1" si="243"/>
        <v>0</v>
      </c>
      <c r="X342" s="50">
        <f t="shared" ca="1" si="243"/>
        <v>0</v>
      </c>
      <c r="Y342" s="50">
        <f t="shared" ca="1" si="243"/>
        <v>0</v>
      </c>
      <c r="Z342" s="50">
        <f t="shared" ca="1" si="243"/>
        <v>0</v>
      </c>
      <c r="AA342" s="50">
        <f t="shared" ca="1" si="243"/>
        <v>0</v>
      </c>
      <c r="AB342" s="50">
        <f t="shared" ca="1" si="243"/>
        <v>0</v>
      </c>
      <c r="AC342" s="50">
        <f t="shared" ca="1" si="243"/>
        <v>0</v>
      </c>
      <c r="AD342" s="50">
        <f t="shared" ca="1" si="243"/>
        <v>0</v>
      </c>
      <c r="AE342" s="50">
        <f t="shared" ca="1" si="243"/>
        <v>0</v>
      </c>
      <c r="AF342" s="50">
        <f t="shared" ca="1" si="243"/>
        <v>0</v>
      </c>
      <c r="AG342" s="50">
        <f t="shared" ca="1" si="243"/>
        <v>0</v>
      </c>
      <c r="AH342" s="50">
        <f t="shared" ca="1" si="243"/>
        <v>0</v>
      </c>
      <c r="AI342" s="50">
        <f t="shared" ca="1" si="243"/>
        <v>0</v>
      </c>
      <c r="AJ342" s="50">
        <f t="shared" ca="1" si="243"/>
        <v>0</v>
      </c>
      <c r="AK342" s="50">
        <f t="shared" ca="1" si="243"/>
        <v>0</v>
      </c>
      <c r="AL342" s="50">
        <f t="shared" si="243"/>
        <v>0</v>
      </c>
      <c r="AM342" s="50">
        <f t="shared" si="243"/>
        <v>0</v>
      </c>
      <c r="AN342" s="50">
        <f t="shared" si="243"/>
        <v>0</v>
      </c>
      <c r="AO342" s="50">
        <f t="shared" si="243"/>
        <v>0</v>
      </c>
      <c r="AP342" s="50">
        <f t="shared" si="243"/>
        <v>0</v>
      </c>
      <c r="AQ342" s="50">
        <f t="shared" si="243"/>
        <v>0</v>
      </c>
      <c r="AR342" s="50">
        <f t="shared" si="243"/>
        <v>0</v>
      </c>
      <c r="AS342" s="50">
        <f t="shared" si="243"/>
        <v>0</v>
      </c>
      <c r="AT342" s="50">
        <f t="shared" si="243"/>
        <v>0</v>
      </c>
      <c r="AU342" s="50">
        <f t="shared" si="243"/>
        <v>0</v>
      </c>
    </row>
    <row r="343" spans="1:47">
      <c r="A343" s="38" t="str">
        <f>$J$4&amp;"-"</f>
        <v>2X-</v>
      </c>
      <c r="B343" s="38" t="s">
        <v>289</v>
      </c>
      <c r="C343" s="38" t="str">
        <f>C333</f>
        <v>Gas Cleaning</v>
      </c>
      <c r="D343" s="186">
        <f>LaborEsc</f>
        <v>0.02</v>
      </c>
      <c r="E343" s="325"/>
      <c r="G343" s="36" t="s">
        <v>292</v>
      </c>
      <c r="I343" s="39"/>
      <c r="K343" s="39"/>
      <c r="L343" s="43" t="str">
        <f>"["&amp;CostBaseYr&amp;" $]"</f>
        <v>[2013 $]</v>
      </c>
      <c r="N343" s="70">
        <f ca="1">SUMIFS(OFFSET(Assumptions!$I$90,0,MATCH($A343,Configurations,0)-1,COUNT(Assumptions!$A$90:$A$183),1),Assumptions!$D$90:$D$183,$B343&amp;$C343)</f>
        <v>0</v>
      </c>
      <c r="O343" s="313"/>
      <c r="P343" s="323"/>
      <c r="Q343" s="313"/>
      <c r="R343" s="50">
        <f t="shared" ref="R343:AU343" ca="1" si="244">IF(OR(R$99&lt;InServiceYr,R$99&gt;(InServiceYr+analysis_period-1)),0,IF($P343=0,$N343,$P343)*(1+$D343)^(R$99-CostBaseYr))</f>
        <v>0</v>
      </c>
      <c r="S343" s="50">
        <f t="shared" ca="1" si="244"/>
        <v>0</v>
      </c>
      <c r="T343" s="50">
        <f t="shared" ca="1" si="244"/>
        <v>0</v>
      </c>
      <c r="U343" s="50">
        <f t="shared" ca="1" si="244"/>
        <v>0</v>
      </c>
      <c r="V343" s="50">
        <f t="shared" ca="1" si="244"/>
        <v>0</v>
      </c>
      <c r="W343" s="50">
        <f t="shared" ca="1" si="244"/>
        <v>0</v>
      </c>
      <c r="X343" s="50">
        <f t="shared" ca="1" si="244"/>
        <v>0</v>
      </c>
      <c r="Y343" s="50">
        <f t="shared" ca="1" si="244"/>
        <v>0</v>
      </c>
      <c r="Z343" s="50">
        <f t="shared" ca="1" si="244"/>
        <v>0</v>
      </c>
      <c r="AA343" s="50">
        <f t="shared" ca="1" si="244"/>
        <v>0</v>
      </c>
      <c r="AB343" s="50">
        <f t="shared" ca="1" si="244"/>
        <v>0</v>
      </c>
      <c r="AC343" s="50">
        <f t="shared" ca="1" si="244"/>
        <v>0</v>
      </c>
      <c r="AD343" s="50">
        <f t="shared" ca="1" si="244"/>
        <v>0</v>
      </c>
      <c r="AE343" s="50">
        <f t="shared" ca="1" si="244"/>
        <v>0</v>
      </c>
      <c r="AF343" s="50">
        <f t="shared" ca="1" si="244"/>
        <v>0</v>
      </c>
      <c r="AG343" s="50">
        <f t="shared" ca="1" si="244"/>
        <v>0</v>
      </c>
      <c r="AH343" s="50">
        <f t="shared" ca="1" si="244"/>
        <v>0</v>
      </c>
      <c r="AI343" s="50">
        <f t="shared" ca="1" si="244"/>
        <v>0</v>
      </c>
      <c r="AJ343" s="50">
        <f t="shared" ca="1" si="244"/>
        <v>0</v>
      </c>
      <c r="AK343" s="50">
        <f t="shared" ca="1" si="244"/>
        <v>0</v>
      </c>
      <c r="AL343" s="50">
        <f t="shared" si="244"/>
        <v>0</v>
      </c>
      <c r="AM343" s="50">
        <f t="shared" si="244"/>
        <v>0</v>
      </c>
      <c r="AN343" s="50">
        <f t="shared" si="244"/>
        <v>0</v>
      </c>
      <c r="AO343" s="50">
        <f t="shared" si="244"/>
        <v>0</v>
      </c>
      <c r="AP343" s="50">
        <f t="shared" si="244"/>
        <v>0</v>
      </c>
      <c r="AQ343" s="50">
        <f t="shared" si="244"/>
        <v>0</v>
      </c>
      <c r="AR343" s="50">
        <f t="shared" si="244"/>
        <v>0</v>
      </c>
      <c r="AS343" s="50">
        <f t="shared" si="244"/>
        <v>0</v>
      </c>
      <c r="AT343" s="50">
        <f t="shared" si="244"/>
        <v>0</v>
      </c>
      <c r="AU343" s="50">
        <f t="shared" si="244"/>
        <v>0</v>
      </c>
    </row>
    <row r="344" spans="1:47" s="60" customFormat="1">
      <c r="D344" s="187"/>
      <c r="E344" s="325"/>
      <c r="G344" s="39" t="s">
        <v>305</v>
      </c>
      <c r="I344" s="39"/>
      <c r="K344" s="39"/>
      <c r="L344" s="174"/>
      <c r="N344" s="188"/>
      <c r="O344" s="314"/>
      <c r="P344" s="185"/>
      <c r="Q344" s="314"/>
      <c r="R344" s="185">
        <f ca="1">SUM(R333:R340)-SUM(R342:R343)</f>
        <v>108640.6308038642</v>
      </c>
      <c r="S344" s="185">
        <f t="shared" ref="S344:AU344" ca="1" si="245">SUM(S333:S340)-SUM(S342:S343)</f>
        <v>110639.17877494777</v>
      </c>
      <c r="T344" s="185">
        <f t="shared" ca="1" si="245"/>
        <v>113146.32612635657</v>
      </c>
      <c r="U344" s="185">
        <f t="shared" ca="1" si="245"/>
        <v>115542.08593431277</v>
      </c>
      <c r="V344" s="185">
        <f t="shared" ca="1" si="245"/>
        <v>117909.46280539961</v>
      </c>
      <c r="W344" s="185">
        <f t="shared" ca="1" si="245"/>
        <v>120166.6466105915</v>
      </c>
      <c r="X344" s="185">
        <f t="shared" ca="1" si="245"/>
        <v>122517.06818382343</v>
      </c>
      <c r="Y344" s="185">
        <f t="shared" ca="1" si="245"/>
        <v>125034.31563175299</v>
      </c>
      <c r="Z344" s="185">
        <f t="shared" ca="1" si="245"/>
        <v>127593.24982473197</v>
      </c>
      <c r="AA344" s="185">
        <f t="shared" ca="1" si="245"/>
        <v>130220.82719089978</v>
      </c>
      <c r="AB344" s="185">
        <f t="shared" ca="1" si="245"/>
        <v>132850.99300966476</v>
      </c>
      <c r="AC344" s="185">
        <f t="shared" ca="1" si="245"/>
        <v>135496.22654928878</v>
      </c>
      <c r="AD344" s="185">
        <f t="shared" ca="1" si="245"/>
        <v>138256.22729115075</v>
      </c>
      <c r="AE344" s="185">
        <f t="shared" ca="1" si="245"/>
        <v>141067.49193195751</v>
      </c>
      <c r="AF344" s="185">
        <f t="shared" ca="1" si="245"/>
        <v>143952.68353393392</v>
      </c>
      <c r="AG344" s="185">
        <f t="shared" ca="1" si="245"/>
        <v>146935.86696288924</v>
      </c>
      <c r="AH344" s="185">
        <f t="shared" ca="1" si="245"/>
        <v>149954.62204467092</v>
      </c>
      <c r="AI344" s="185">
        <f t="shared" ca="1" si="245"/>
        <v>153061.80317543331</v>
      </c>
      <c r="AJ344" s="185">
        <f t="shared" ca="1" si="245"/>
        <v>156249.36562576919</v>
      </c>
      <c r="AK344" s="185">
        <f t="shared" ca="1" si="245"/>
        <v>159512.39225317491</v>
      </c>
      <c r="AL344" s="185">
        <f t="shared" si="245"/>
        <v>0</v>
      </c>
      <c r="AM344" s="185">
        <f t="shared" si="245"/>
        <v>0</v>
      </c>
      <c r="AN344" s="185">
        <f t="shared" si="245"/>
        <v>0</v>
      </c>
      <c r="AO344" s="185">
        <f t="shared" si="245"/>
        <v>0</v>
      </c>
      <c r="AP344" s="185">
        <f t="shared" si="245"/>
        <v>0</v>
      </c>
      <c r="AQ344" s="185">
        <f t="shared" si="245"/>
        <v>0</v>
      </c>
      <c r="AR344" s="185">
        <f t="shared" si="245"/>
        <v>0</v>
      </c>
      <c r="AS344" s="185">
        <f t="shared" si="245"/>
        <v>0</v>
      </c>
      <c r="AT344" s="185">
        <f t="shared" si="245"/>
        <v>0</v>
      </c>
      <c r="AU344" s="185">
        <f t="shared" si="245"/>
        <v>0</v>
      </c>
    </row>
    <row r="345" spans="1:47">
      <c r="E345" s="36"/>
      <c r="G345" s="39"/>
      <c r="H345" s="39"/>
      <c r="I345" s="39"/>
      <c r="J345" s="39"/>
      <c r="K345" s="39"/>
    </row>
    <row r="346" spans="1:47">
      <c r="E346" s="327"/>
      <c r="F346" s="28"/>
      <c r="G346" s="324" t="str">
        <f>C348&amp;" Capital Costs"</f>
        <v>Gravity Belt Thickener Capital Costs</v>
      </c>
      <c r="H346" s="324"/>
      <c r="I346" s="324"/>
      <c r="J346" s="324"/>
      <c r="K346" s="324"/>
      <c r="L346" s="405" t="s">
        <v>79</v>
      </c>
      <c r="M346" s="256"/>
      <c r="N346" s="325" t="s">
        <v>490</v>
      </c>
      <c r="O346" s="311"/>
      <c r="P346" s="325" t="s">
        <v>491</v>
      </c>
      <c r="Q346" s="310"/>
      <c r="R346" s="325">
        <f>R$8</f>
        <v>2014</v>
      </c>
      <c r="S346" s="325">
        <f t="shared" ref="S346:AU346" si="246">S$8</f>
        <v>2015</v>
      </c>
      <c r="T346" s="325">
        <f t="shared" si="246"/>
        <v>2016</v>
      </c>
      <c r="U346" s="325">
        <f t="shared" si="246"/>
        <v>2017</v>
      </c>
      <c r="V346" s="325">
        <f t="shared" si="246"/>
        <v>2018</v>
      </c>
      <c r="W346" s="325">
        <f t="shared" si="246"/>
        <v>2019</v>
      </c>
      <c r="X346" s="325">
        <f t="shared" si="246"/>
        <v>2020</v>
      </c>
      <c r="Y346" s="325">
        <f t="shared" si="246"/>
        <v>2021</v>
      </c>
      <c r="Z346" s="325">
        <f t="shared" si="246"/>
        <v>2022</v>
      </c>
      <c r="AA346" s="325">
        <f t="shared" si="246"/>
        <v>2023</v>
      </c>
      <c r="AB346" s="325">
        <f t="shared" si="246"/>
        <v>2024</v>
      </c>
      <c r="AC346" s="325">
        <f t="shared" si="246"/>
        <v>2025</v>
      </c>
      <c r="AD346" s="325">
        <f t="shared" si="246"/>
        <v>2026</v>
      </c>
      <c r="AE346" s="325">
        <f t="shared" si="246"/>
        <v>2027</v>
      </c>
      <c r="AF346" s="325">
        <f t="shared" si="246"/>
        <v>2028</v>
      </c>
      <c r="AG346" s="325">
        <f t="shared" si="246"/>
        <v>2029</v>
      </c>
      <c r="AH346" s="325">
        <f t="shared" si="246"/>
        <v>2030</v>
      </c>
      <c r="AI346" s="325">
        <f t="shared" si="246"/>
        <v>2031</v>
      </c>
      <c r="AJ346" s="325">
        <f t="shared" si="246"/>
        <v>2032</v>
      </c>
      <c r="AK346" s="325">
        <f t="shared" si="246"/>
        <v>2033</v>
      </c>
      <c r="AL346" s="325">
        <f t="shared" si="246"/>
        <v>2034</v>
      </c>
      <c r="AM346" s="325">
        <f t="shared" si="246"/>
        <v>2035</v>
      </c>
      <c r="AN346" s="325">
        <f t="shared" si="246"/>
        <v>2036</v>
      </c>
      <c r="AO346" s="325">
        <f t="shared" si="246"/>
        <v>2037</v>
      </c>
      <c r="AP346" s="325">
        <f t="shared" si="246"/>
        <v>2038</v>
      </c>
      <c r="AQ346" s="325">
        <f t="shared" si="246"/>
        <v>2039</v>
      </c>
      <c r="AR346" s="325">
        <f t="shared" si="246"/>
        <v>2040</v>
      </c>
      <c r="AS346" s="325">
        <f t="shared" si="246"/>
        <v>2041</v>
      </c>
      <c r="AT346" s="325">
        <f t="shared" si="246"/>
        <v>2042</v>
      </c>
      <c r="AU346" s="325">
        <f t="shared" si="246"/>
        <v>2043</v>
      </c>
    </row>
    <row r="347" spans="1:47">
      <c r="E347" s="325"/>
      <c r="G347" s="39"/>
      <c r="H347" s="39"/>
      <c r="I347" s="39"/>
      <c r="J347" s="39"/>
      <c r="K347" s="39"/>
    </row>
    <row r="348" spans="1:47">
      <c r="A348" s="38" t="str">
        <f>$J$4&amp;"-"</f>
        <v>2X-</v>
      </c>
      <c r="B348" s="38" t="s">
        <v>306</v>
      </c>
      <c r="C348" s="38" t="s">
        <v>135</v>
      </c>
      <c r="D348" s="186">
        <f>CapExEsc</f>
        <v>0.03</v>
      </c>
      <c r="E348" s="325"/>
      <c r="G348" s="36" t="s">
        <v>8</v>
      </c>
      <c r="H348" s="39"/>
      <c r="I348" s="39"/>
      <c r="J348" s="70"/>
      <c r="K348" s="39"/>
      <c r="L348" s="43" t="str">
        <f>"["&amp;CostBaseYr&amp;" $]"</f>
        <v>[2013 $]</v>
      </c>
      <c r="N348" s="52">
        <f ca="1">SUMIFS(OFFSET(Assumptions!$I$65,0,MATCH($A348,Configurations,0)-1,COUNT(Assumptions!$A$65:$A$84),1),Assumptions!$E$65:$E$84,$C348)</f>
        <v>2050000</v>
      </c>
      <c r="O348" s="52"/>
      <c r="P348" s="322"/>
      <c r="Q348" s="52"/>
      <c r="R348" s="52">
        <f t="shared" ref="R348:AU348" ca="1" si="247">R349*IF($P348=0,$N348,$P348)*(1+$D348)^(R$8-CostBaseYr)</f>
        <v>2111500</v>
      </c>
      <c r="S348" s="52">
        <f t="shared" ca="1" si="247"/>
        <v>0</v>
      </c>
      <c r="T348" s="52">
        <f t="shared" ca="1" si="247"/>
        <v>0</v>
      </c>
      <c r="U348" s="52">
        <f t="shared" ca="1" si="247"/>
        <v>0</v>
      </c>
      <c r="V348" s="52">
        <f t="shared" ca="1" si="247"/>
        <v>0</v>
      </c>
      <c r="W348" s="52">
        <f t="shared" ca="1" si="247"/>
        <v>0</v>
      </c>
      <c r="X348" s="52">
        <f t="shared" ca="1" si="247"/>
        <v>0</v>
      </c>
      <c r="Y348" s="52">
        <f t="shared" ca="1" si="247"/>
        <v>0</v>
      </c>
      <c r="Z348" s="52">
        <f t="shared" ca="1" si="247"/>
        <v>0</v>
      </c>
      <c r="AA348" s="52">
        <f t="shared" ca="1" si="247"/>
        <v>0</v>
      </c>
      <c r="AB348" s="52">
        <f t="shared" ca="1" si="247"/>
        <v>0</v>
      </c>
      <c r="AC348" s="52">
        <f t="shared" ca="1" si="247"/>
        <v>0</v>
      </c>
      <c r="AD348" s="52">
        <f t="shared" ca="1" si="247"/>
        <v>0</v>
      </c>
      <c r="AE348" s="52">
        <f t="shared" ca="1" si="247"/>
        <v>0</v>
      </c>
      <c r="AF348" s="52">
        <f t="shared" ca="1" si="247"/>
        <v>0</v>
      </c>
      <c r="AG348" s="52">
        <f t="shared" ca="1" si="247"/>
        <v>0</v>
      </c>
      <c r="AH348" s="52">
        <f t="shared" ca="1" si="247"/>
        <v>0</v>
      </c>
      <c r="AI348" s="52">
        <f t="shared" ca="1" si="247"/>
        <v>0</v>
      </c>
      <c r="AJ348" s="52">
        <f t="shared" ca="1" si="247"/>
        <v>0</v>
      </c>
      <c r="AK348" s="52">
        <f t="shared" ca="1" si="247"/>
        <v>0</v>
      </c>
      <c r="AL348" s="52">
        <f t="shared" ca="1" si="247"/>
        <v>0</v>
      </c>
      <c r="AM348" s="52">
        <f t="shared" ca="1" si="247"/>
        <v>0</v>
      </c>
      <c r="AN348" s="52">
        <f t="shared" ca="1" si="247"/>
        <v>0</v>
      </c>
      <c r="AO348" s="52">
        <f t="shared" ca="1" si="247"/>
        <v>0</v>
      </c>
      <c r="AP348" s="52">
        <f t="shared" ca="1" si="247"/>
        <v>0</v>
      </c>
      <c r="AQ348" s="52">
        <f t="shared" ca="1" si="247"/>
        <v>0</v>
      </c>
      <c r="AR348" s="52">
        <f t="shared" ca="1" si="247"/>
        <v>0</v>
      </c>
      <c r="AS348" s="52">
        <f t="shared" ca="1" si="247"/>
        <v>0</v>
      </c>
      <c r="AT348" s="52">
        <f t="shared" ca="1" si="247"/>
        <v>0</v>
      </c>
      <c r="AU348" s="52">
        <f t="shared" ca="1" si="247"/>
        <v>0</v>
      </c>
    </row>
    <row r="349" spans="1:47">
      <c r="E349" s="325"/>
      <c r="G349" s="36" t="s">
        <v>10</v>
      </c>
      <c r="H349" s="39"/>
      <c r="I349" s="39"/>
      <c r="J349" s="39"/>
      <c r="K349" s="39"/>
      <c r="L349" s="43"/>
      <c r="R349" s="54">
        <f>Assumptions!M$60</f>
        <v>1</v>
      </c>
      <c r="S349" s="54">
        <f>Assumptions!N$60</f>
        <v>0</v>
      </c>
      <c r="T349" s="54">
        <f>Assumptions!O$60</f>
        <v>0</v>
      </c>
      <c r="U349" s="54">
        <f>Assumptions!P$60</f>
        <v>0</v>
      </c>
      <c r="V349" s="54">
        <f>Assumptions!Q$60</f>
        <v>0</v>
      </c>
      <c r="W349" s="54">
        <f>Assumptions!R$60</f>
        <v>0</v>
      </c>
      <c r="X349" s="54">
        <f>Assumptions!S$60</f>
        <v>0</v>
      </c>
      <c r="Y349" s="54">
        <f>Assumptions!T$60</f>
        <v>0</v>
      </c>
      <c r="Z349" s="54">
        <f>Assumptions!U$60</f>
        <v>0</v>
      </c>
      <c r="AA349" s="54">
        <f>Assumptions!V$60</f>
        <v>0</v>
      </c>
      <c r="AB349" s="54">
        <f>Assumptions!W$60</f>
        <v>0</v>
      </c>
      <c r="AC349" s="54">
        <f>Assumptions!X$60</f>
        <v>0</v>
      </c>
      <c r="AD349" s="54">
        <f>Assumptions!Y$60</f>
        <v>0</v>
      </c>
      <c r="AE349" s="54">
        <f>Assumptions!Z$60</f>
        <v>0</v>
      </c>
      <c r="AF349" s="54">
        <f>Assumptions!AA$60</f>
        <v>0</v>
      </c>
      <c r="AG349" s="54">
        <f>Assumptions!AB$60</f>
        <v>0</v>
      </c>
      <c r="AH349" s="54">
        <f>Assumptions!AC$60</f>
        <v>0</v>
      </c>
      <c r="AI349" s="54">
        <f>Assumptions!AD$60</f>
        <v>0</v>
      </c>
      <c r="AJ349" s="54">
        <f>Assumptions!AE$60</f>
        <v>0</v>
      </c>
      <c r="AK349" s="54">
        <f>Assumptions!AF$60</f>
        <v>0</v>
      </c>
      <c r="AL349" s="54">
        <f>Assumptions!AG$60</f>
        <v>0</v>
      </c>
      <c r="AM349" s="54">
        <f>Assumptions!AH$60</f>
        <v>0</v>
      </c>
      <c r="AN349" s="54">
        <f>Assumptions!AI$60</f>
        <v>0</v>
      </c>
      <c r="AO349" s="54">
        <f>Assumptions!AJ$60</f>
        <v>0</v>
      </c>
      <c r="AP349" s="54">
        <f>Assumptions!AK$60</f>
        <v>0</v>
      </c>
      <c r="AQ349" s="54">
        <f>Assumptions!AL$60</f>
        <v>0</v>
      </c>
      <c r="AR349" s="54">
        <f>Assumptions!AM$60</f>
        <v>0</v>
      </c>
      <c r="AS349" s="54">
        <f>Assumptions!AN$60</f>
        <v>0</v>
      </c>
      <c r="AT349" s="54">
        <f>Assumptions!AO$60</f>
        <v>0</v>
      </c>
      <c r="AU349" s="54">
        <f>Assumptions!AP$60</f>
        <v>0</v>
      </c>
    </row>
    <row r="350" spans="1:47">
      <c r="E350" s="326"/>
      <c r="G350" s="39"/>
      <c r="H350" s="39"/>
      <c r="I350" s="39"/>
      <c r="J350" s="39"/>
      <c r="K350" s="39"/>
    </row>
    <row r="351" spans="1:47">
      <c r="E351" s="327"/>
      <c r="F351" s="28"/>
      <c r="G351" s="324" t="str">
        <f>C348&amp;" O&amp;M"</f>
        <v>Gravity Belt Thickener O&amp;M</v>
      </c>
      <c r="H351" s="324"/>
      <c r="I351" s="324"/>
      <c r="J351" s="324"/>
      <c r="K351" s="324"/>
      <c r="L351" s="405" t="s">
        <v>79</v>
      </c>
      <c r="M351" s="256"/>
      <c r="N351" s="325" t="s">
        <v>490</v>
      </c>
      <c r="O351" s="311"/>
      <c r="P351" s="325" t="s">
        <v>491</v>
      </c>
      <c r="Q351" s="310"/>
      <c r="R351" s="325">
        <f>R$8</f>
        <v>2014</v>
      </c>
      <c r="S351" s="325">
        <f t="shared" ref="S351:AU351" si="248">S$8</f>
        <v>2015</v>
      </c>
      <c r="T351" s="325">
        <f t="shared" si="248"/>
        <v>2016</v>
      </c>
      <c r="U351" s="325">
        <f t="shared" si="248"/>
        <v>2017</v>
      </c>
      <c r="V351" s="325">
        <f t="shared" si="248"/>
        <v>2018</v>
      </c>
      <c r="W351" s="325">
        <f t="shared" si="248"/>
        <v>2019</v>
      </c>
      <c r="X351" s="325">
        <f t="shared" si="248"/>
        <v>2020</v>
      </c>
      <c r="Y351" s="325">
        <f t="shared" si="248"/>
        <v>2021</v>
      </c>
      <c r="Z351" s="325">
        <f t="shared" si="248"/>
        <v>2022</v>
      </c>
      <c r="AA351" s="325">
        <f t="shared" si="248"/>
        <v>2023</v>
      </c>
      <c r="AB351" s="325">
        <f t="shared" si="248"/>
        <v>2024</v>
      </c>
      <c r="AC351" s="325">
        <f t="shared" si="248"/>
        <v>2025</v>
      </c>
      <c r="AD351" s="325">
        <f t="shared" si="248"/>
        <v>2026</v>
      </c>
      <c r="AE351" s="325">
        <f t="shared" si="248"/>
        <v>2027</v>
      </c>
      <c r="AF351" s="325">
        <f t="shared" si="248"/>
        <v>2028</v>
      </c>
      <c r="AG351" s="325">
        <f t="shared" si="248"/>
        <v>2029</v>
      </c>
      <c r="AH351" s="325">
        <f t="shared" si="248"/>
        <v>2030</v>
      </c>
      <c r="AI351" s="325">
        <f t="shared" si="248"/>
        <v>2031</v>
      </c>
      <c r="AJ351" s="325">
        <f t="shared" si="248"/>
        <v>2032</v>
      </c>
      <c r="AK351" s="325">
        <f t="shared" si="248"/>
        <v>2033</v>
      </c>
      <c r="AL351" s="325">
        <f t="shared" si="248"/>
        <v>2034</v>
      </c>
      <c r="AM351" s="325">
        <f t="shared" si="248"/>
        <v>2035</v>
      </c>
      <c r="AN351" s="325">
        <f t="shared" si="248"/>
        <v>2036</v>
      </c>
      <c r="AO351" s="325">
        <f t="shared" si="248"/>
        <v>2037</v>
      </c>
      <c r="AP351" s="325">
        <f t="shared" si="248"/>
        <v>2038</v>
      </c>
      <c r="AQ351" s="325">
        <f t="shared" si="248"/>
        <v>2039</v>
      </c>
      <c r="AR351" s="325">
        <f t="shared" si="248"/>
        <v>2040</v>
      </c>
      <c r="AS351" s="325">
        <f t="shared" si="248"/>
        <v>2041</v>
      </c>
      <c r="AT351" s="325">
        <f t="shared" si="248"/>
        <v>2042</v>
      </c>
      <c r="AU351" s="325">
        <f t="shared" si="248"/>
        <v>2043</v>
      </c>
    </row>
    <row r="352" spans="1:47">
      <c r="E352" s="325"/>
      <c r="G352" s="39"/>
      <c r="H352" s="39"/>
      <c r="I352" s="39"/>
      <c r="J352" s="39"/>
      <c r="K352" s="39"/>
    </row>
    <row r="353" spans="1:47">
      <c r="E353" s="325"/>
      <c r="G353" s="39" t="s">
        <v>23</v>
      </c>
      <c r="H353" s="39"/>
      <c r="I353" s="39"/>
      <c r="J353" s="39"/>
      <c r="K353" s="39"/>
    </row>
    <row r="354" spans="1:47">
      <c r="A354" s="38" t="str">
        <f t="shared" ref="A354:A361" si="249">$J$4&amp;"-"</f>
        <v>2X-</v>
      </c>
      <c r="B354" s="38" t="s">
        <v>262</v>
      </c>
      <c r="C354" s="38" t="str">
        <f>C348</f>
        <v>Gravity Belt Thickener</v>
      </c>
      <c r="D354" s="186">
        <f>LaborEsc</f>
        <v>0.02</v>
      </c>
      <c r="E354" s="325"/>
      <c r="G354" s="36" t="s">
        <v>125</v>
      </c>
      <c r="I354" s="39"/>
      <c r="K354" s="39"/>
      <c r="L354" s="43" t="s">
        <v>266</v>
      </c>
      <c r="N354" s="70">
        <f ca="1">SUMIFS(OFFSET(Assumptions!$I$90,0,MATCH($A354,Configurations,0)-1,COUNT(Assumptions!$A$90:$A$183),1),Assumptions!$D$90:$D$183,$B354&amp;$C354)</f>
        <v>5110</v>
      </c>
      <c r="O354" s="313"/>
      <c r="P354" s="323"/>
      <c r="Q354" s="313"/>
      <c r="R354" s="50">
        <f t="shared" ref="R354:AU354" ca="1" si="250">IF(OR(R$99&lt;InServiceYr,R$99&gt;(InServiceYr+analysis_period-1)),0,IF($P354=0,$N354,$P354)*LaborCost*(1+$D354)^(R$99-CostBaseYr))</f>
        <v>182427</v>
      </c>
      <c r="S354" s="50">
        <f t="shared" ca="1" si="250"/>
        <v>186075.54</v>
      </c>
      <c r="T354" s="50">
        <f t="shared" ca="1" si="250"/>
        <v>189797.0508</v>
      </c>
      <c r="U354" s="50">
        <f t="shared" ca="1" si="250"/>
        <v>193592.99181599999</v>
      </c>
      <c r="V354" s="50">
        <f t="shared" ca="1" si="250"/>
        <v>197464.85165232001</v>
      </c>
      <c r="W354" s="50">
        <f t="shared" ca="1" si="250"/>
        <v>201414.14868536641</v>
      </c>
      <c r="X354" s="50">
        <f t="shared" ca="1" si="250"/>
        <v>205442.43165907369</v>
      </c>
      <c r="Y354" s="50">
        <f t="shared" ca="1" si="250"/>
        <v>209551.28029225519</v>
      </c>
      <c r="Z354" s="50">
        <f t="shared" ca="1" si="250"/>
        <v>213742.30589810028</v>
      </c>
      <c r="AA354" s="50">
        <f t="shared" ca="1" si="250"/>
        <v>218017.15201606232</v>
      </c>
      <c r="AB354" s="50">
        <f t="shared" ca="1" si="250"/>
        <v>222377.49505638352</v>
      </c>
      <c r="AC354" s="50">
        <f t="shared" ca="1" si="250"/>
        <v>226825.04495751121</v>
      </c>
      <c r="AD354" s="50">
        <f t="shared" ca="1" si="250"/>
        <v>231361.54585666143</v>
      </c>
      <c r="AE354" s="50">
        <f t="shared" ca="1" si="250"/>
        <v>235988.77677379467</v>
      </c>
      <c r="AF354" s="50">
        <f t="shared" ca="1" si="250"/>
        <v>240708.55230927051</v>
      </c>
      <c r="AG354" s="50">
        <f t="shared" ca="1" si="250"/>
        <v>245522.72335545596</v>
      </c>
      <c r="AH354" s="50">
        <f t="shared" ca="1" si="250"/>
        <v>250433.17782256511</v>
      </c>
      <c r="AI354" s="50">
        <f t="shared" ca="1" si="250"/>
        <v>255441.84137901638</v>
      </c>
      <c r="AJ354" s="50">
        <f t="shared" ca="1" si="250"/>
        <v>260550.6782065967</v>
      </c>
      <c r="AK354" s="50">
        <f t="shared" ca="1" si="250"/>
        <v>265761.69177072868</v>
      </c>
      <c r="AL354" s="50">
        <f t="shared" si="250"/>
        <v>0</v>
      </c>
      <c r="AM354" s="50">
        <f t="shared" si="250"/>
        <v>0</v>
      </c>
      <c r="AN354" s="50">
        <f t="shared" si="250"/>
        <v>0</v>
      </c>
      <c r="AO354" s="50">
        <f t="shared" si="250"/>
        <v>0</v>
      </c>
      <c r="AP354" s="50">
        <f t="shared" si="250"/>
        <v>0</v>
      </c>
      <c r="AQ354" s="50">
        <f t="shared" si="250"/>
        <v>0</v>
      </c>
      <c r="AR354" s="50">
        <f t="shared" si="250"/>
        <v>0</v>
      </c>
      <c r="AS354" s="50">
        <f t="shared" si="250"/>
        <v>0</v>
      </c>
      <c r="AT354" s="50">
        <f t="shared" si="250"/>
        <v>0</v>
      </c>
      <c r="AU354" s="50">
        <f t="shared" si="250"/>
        <v>0</v>
      </c>
    </row>
    <row r="355" spans="1:47">
      <c r="A355" s="38" t="str">
        <f t="shared" si="249"/>
        <v>2X-</v>
      </c>
      <c r="B355" s="38" t="s">
        <v>270</v>
      </c>
      <c r="C355" s="38" t="str">
        <f>C354</f>
        <v>Gravity Belt Thickener</v>
      </c>
      <c r="D355" s="186">
        <f>OMEsc</f>
        <v>0.02</v>
      </c>
      <c r="E355" s="325"/>
      <c r="G355" s="36" t="s">
        <v>126</v>
      </c>
      <c r="I355" s="39"/>
      <c r="K355" s="39"/>
      <c r="L355" s="43" t="str">
        <f>"["&amp;CostBaseYr&amp;" $]"</f>
        <v>[2013 $]</v>
      </c>
      <c r="N355" s="70">
        <f ca="1">SUMIFS(OFFSET(Assumptions!$I$90,0,MATCH($A355,Configurations,0)-1,COUNT(Assumptions!$A$90:$A$183),1),Assumptions!$D$90:$D$183,$B355&amp;$C355)</f>
        <v>25000</v>
      </c>
      <c r="O355" s="313"/>
      <c r="P355" s="323"/>
      <c r="Q355" s="313"/>
      <c r="R355" s="50">
        <f t="shared" ref="R355:AG357" ca="1" si="251">IF(OR(R$99&lt;InServiceYr,R$99&gt;(InServiceYr+analysis_period-1)),0,IF($P355=0,$N355,$P355)*(1+$D355)^(R$99-CostBaseYr))</f>
        <v>25500</v>
      </c>
      <c r="S355" s="50">
        <f t="shared" ca="1" si="251"/>
        <v>26010</v>
      </c>
      <c r="T355" s="50">
        <f t="shared" ca="1" si="251"/>
        <v>26530.199999999997</v>
      </c>
      <c r="U355" s="50">
        <f t="shared" ca="1" si="251"/>
        <v>27060.804</v>
      </c>
      <c r="V355" s="50">
        <f t="shared" ca="1" si="251"/>
        <v>27602.020080000002</v>
      </c>
      <c r="W355" s="50">
        <f t="shared" ca="1" si="251"/>
        <v>28154.060481600001</v>
      </c>
      <c r="X355" s="50">
        <f t="shared" ca="1" si="251"/>
        <v>28717.141691231995</v>
      </c>
      <c r="Y355" s="50">
        <f t="shared" ca="1" si="251"/>
        <v>29291.48452505664</v>
      </c>
      <c r="Z355" s="50">
        <f t="shared" ca="1" si="251"/>
        <v>29877.31421555777</v>
      </c>
      <c r="AA355" s="50">
        <f t="shared" ca="1" si="251"/>
        <v>30474.860499868926</v>
      </c>
      <c r="AB355" s="50">
        <f t="shared" ca="1" si="251"/>
        <v>31084.357709866301</v>
      </c>
      <c r="AC355" s="50">
        <f t="shared" ca="1" si="251"/>
        <v>31706.044864063631</v>
      </c>
      <c r="AD355" s="50">
        <f t="shared" ca="1" si="251"/>
        <v>32340.165761344902</v>
      </c>
      <c r="AE355" s="50">
        <f t="shared" ca="1" si="251"/>
        <v>32986.969076571804</v>
      </c>
      <c r="AF355" s="50">
        <f t="shared" ca="1" si="251"/>
        <v>33646.708458103232</v>
      </c>
      <c r="AG355" s="50">
        <f t="shared" ca="1" si="251"/>
        <v>34319.642627265304</v>
      </c>
      <c r="AH355" s="50">
        <f t="shared" ref="S355:AU357" ca="1" si="252">IF(OR(AH$99&lt;InServiceYr,AH$99&gt;(InServiceYr+analysis_period-1)),0,IF($P355=0,$N355,$P355)*(1+$D355)^(AH$99-CostBaseYr))</f>
        <v>35006.035479810613</v>
      </c>
      <c r="AI355" s="50">
        <f t="shared" ca="1" si="252"/>
        <v>35706.156189406815</v>
      </c>
      <c r="AJ355" s="50">
        <f t="shared" ca="1" si="252"/>
        <v>36420.279313194951</v>
      </c>
      <c r="AK355" s="50">
        <f t="shared" ca="1" si="252"/>
        <v>37148.684899458858</v>
      </c>
      <c r="AL355" s="50">
        <f t="shared" si="252"/>
        <v>0</v>
      </c>
      <c r="AM355" s="50">
        <f t="shared" si="252"/>
        <v>0</v>
      </c>
      <c r="AN355" s="50">
        <f t="shared" si="252"/>
        <v>0</v>
      </c>
      <c r="AO355" s="50">
        <f t="shared" si="252"/>
        <v>0</v>
      </c>
      <c r="AP355" s="50">
        <f t="shared" si="252"/>
        <v>0</v>
      </c>
      <c r="AQ355" s="50">
        <f t="shared" si="252"/>
        <v>0</v>
      </c>
      <c r="AR355" s="50">
        <f t="shared" si="252"/>
        <v>0</v>
      </c>
      <c r="AS355" s="50">
        <f t="shared" si="252"/>
        <v>0</v>
      </c>
      <c r="AT355" s="50">
        <f t="shared" si="252"/>
        <v>0</v>
      </c>
      <c r="AU355" s="50">
        <f t="shared" si="252"/>
        <v>0</v>
      </c>
    </row>
    <row r="356" spans="1:47">
      <c r="A356" s="38" t="str">
        <f t="shared" si="249"/>
        <v>2X-</v>
      </c>
      <c r="B356" s="38" t="s">
        <v>263</v>
      </c>
      <c r="C356" s="38" t="str">
        <f t="shared" ref="C356:C360" si="253">C355</f>
        <v>Gravity Belt Thickener</v>
      </c>
      <c r="D356" s="186">
        <f>OMEsc</f>
        <v>0.02</v>
      </c>
      <c r="E356" s="325"/>
      <c r="G356" s="36" t="s">
        <v>127</v>
      </c>
      <c r="I356" s="39"/>
      <c r="K356" s="39"/>
      <c r="L356" s="43" t="str">
        <f>"["&amp;CostBaseYr&amp;" $]"</f>
        <v>[2013 $]</v>
      </c>
      <c r="N356" s="70">
        <f ca="1">SUMIFS(OFFSET(Assumptions!$I$90,0,MATCH($A356,Configurations,0)-1,COUNT(Assumptions!$A$90:$A$183),1),Assumptions!$D$90:$D$183,$B356&amp;$C356)</f>
        <v>30000</v>
      </c>
      <c r="O356" s="313"/>
      <c r="P356" s="323"/>
      <c r="Q356" s="313"/>
      <c r="R356" s="50">
        <f t="shared" ca="1" si="251"/>
        <v>30600</v>
      </c>
      <c r="S356" s="50">
        <f t="shared" ca="1" si="252"/>
        <v>31212</v>
      </c>
      <c r="T356" s="50">
        <f t="shared" ca="1" si="252"/>
        <v>31836.239999999998</v>
      </c>
      <c r="U356" s="50">
        <f t="shared" ca="1" si="252"/>
        <v>32472.964799999998</v>
      </c>
      <c r="V356" s="50">
        <f t="shared" ca="1" si="252"/>
        <v>33122.424096000002</v>
      </c>
      <c r="W356" s="50">
        <f t="shared" ca="1" si="252"/>
        <v>33784.872577920003</v>
      </c>
      <c r="X356" s="50">
        <f t="shared" ca="1" si="252"/>
        <v>34460.570029478396</v>
      </c>
      <c r="Y356" s="50">
        <f t="shared" ca="1" si="252"/>
        <v>35149.781430067967</v>
      </c>
      <c r="Z356" s="50">
        <f t="shared" ca="1" si="252"/>
        <v>35852.777058669322</v>
      </c>
      <c r="AA356" s="50">
        <f t="shared" ca="1" si="252"/>
        <v>36569.83259984271</v>
      </c>
      <c r="AB356" s="50">
        <f t="shared" ca="1" si="252"/>
        <v>37301.229251839562</v>
      </c>
      <c r="AC356" s="50">
        <f t="shared" ca="1" si="252"/>
        <v>38047.253836876356</v>
      </c>
      <c r="AD356" s="50">
        <f t="shared" ca="1" si="252"/>
        <v>38808.19891361388</v>
      </c>
      <c r="AE356" s="50">
        <f t="shared" ca="1" si="252"/>
        <v>39584.362891886165</v>
      </c>
      <c r="AF356" s="50">
        <f t="shared" ca="1" si="252"/>
        <v>40376.05014972388</v>
      </c>
      <c r="AG356" s="50">
        <f t="shared" ca="1" si="252"/>
        <v>41183.571152718359</v>
      </c>
      <c r="AH356" s="50">
        <f t="shared" ca="1" si="252"/>
        <v>42007.242575772732</v>
      </c>
      <c r="AI356" s="50">
        <f t="shared" ca="1" si="252"/>
        <v>42847.38742728818</v>
      </c>
      <c r="AJ356" s="50">
        <f t="shared" ca="1" si="252"/>
        <v>43704.335175833941</v>
      </c>
      <c r="AK356" s="50">
        <f t="shared" ca="1" si="252"/>
        <v>44578.42187935063</v>
      </c>
      <c r="AL356" s="50">
        <f t="shared" si="252"/>
        <v>0</v>
      </c>
      <c r="AM356" s="50">
        <f t="shared" si="252"/>
        <v>0</v>
      </c>
      <c r="AN356" s="50">
        <f t="shared" si="252"/>
        <v>0</v>
      </c>
      <c r="AO356" s="50">
        <f t="shared" si="252"/>
        <v>0</v>
      </c>
      <c r="AP356" s="50">
        <f t="shared" si="252"/>
        <v>0</v>
      </c>
      <c r="AQ356" s="50">
        <f t="shared" si="252"/>
        <v>0</v>
      </c>
      <c r="AR356" s="50">
        <f t="shared" si="252"/>
        <v>0</v>
      </c>
      <c r="AS356" s="50">
        <f t="shared" si="252"/>
        <v>0</v>
      </c>
      <c r="AT356" s="50">
        <f t="shared" si="252"/>
        <v>0</v>
      </c>
      <c r="AU356" s="50">
        <f t="shared" si="252"/>
        <v>0</v>
      </c>
    </row>
    <row r="357" spans="1:47">
      <c r="A357" s="38" t="str">
        <f t="shared" si="249"/>
        <v>2X-</v>
      </c>
      <c r="B357" s="38" t="s">
        <v>277</v>
      </c>
      <c r="C357" s="38" t="str">
        <f t="shared" si="253"/>
        <v>Gravity Belt Thickener</v>
      </c>
      <c r="D357" s="186">
        <f>OMEsc</f>
        <v>0.02</v>
      </c>
      <c r="E357" s="325"/>
      <c r="G357" s="36" t="s">
        <v>276</v>
      </c>
      <c r="I357" s="39"/>
      <c r="K357" s="39"/>
      <c r="L357" s="43" t="str">
        <f>"["&amp;CostBaseYr&amp;" $]"</f>
        <v>[2013 $]</v>
      </c>
      <c r="N357" s="70">
        <f ca="1">SUMIFS(OFFSET(Assumptions!$I$90,0,MATCH($A357,Configurations,0)-1,COUNT(Assumptions!$A$90:$A$183),1),Assumptions!$D$90:$D$183,$B357&amp;$C357)</f>
        <v>0</v>
      </c>
      <c r="O357" s="313"/>
      <c r="P357" s="323"/>
      <c r="Q357" s="313"/>
      <c r="R357" s="50">
        <f t="shared" ca="1" si="251"/>
        <v>0</v>
      </c>
      <c r="S357" s="50">
        <f t="shared" ca="1" si="252"/>
        <v>0</v>
      </c>
      <c r="T357" s="50">
        <f t="shared" ca="1" si="252"/>
        <v>0</v>
      </c>
      <c r="U357" s="50">
        <f t="shared" ca="1" si="252"/>
        <v>0</v>
      </c>
      <c r="V357" s="50">
        <f t="shared" ca="1" si="252"/>
        <v>0</v>
      </c>
      <c r="W357" s="50">
        <f t="shared" ca="1" si="252"/>
        <v>0</v>
      </c>
      <c r="X357" s="50">
        <f t="shared" ca="1" si="252"/>
        <v>0</v>
      </c>
      <c r="Y357" s="50">
        <f t="shared" ca="1" si="252"/>
        <v>0</v>
      </c>
      <c r="Z357" s="50">
        <f t="shared" ca="1" si="252"/>
        <v>0</v>
      </c>
      <c r="AA357" s="50">
        <f t="shared" ca="1" si="252"/>
        <v>0</v>
      </c>
      <c r="AB357" s="50">
        <f t="shared" ca="1" si="252"/>
        <v>0</v>
      </c>
      <c r="AC357" s="50">
        <f t="shared" ca="1" si="252"/>
        <v>0</v>
      </c>
      <c r="AD357" s="50">
        <f t="shared" ca="1" si="252"/>
        <v>0</v>
      </c>
      <c r="AE357" s="50">
        <f t="shared" ca="1" si="252"/>
        <v>0</v>
      </c>
      <c r="AF357" s="50">
        <f t="shared" ca="1" si="252"/>
        <v>0</v>
      </c>
      <c r="AG357" s="50">
        <f t="shared" ca="1" si="252"/>
        <v>0</v>
      </c>
      <c r="AH357" s="50">
        <f t="shared" ca="1" si="252"/>
        <v>0</v>
      </c>
      <c r="AI357" s="50">
        <f t="shared" ca="1" si="252"/>
        <v>0</v>
      </c>
      <c r="AJ357" s="50">
        <f t="shared" ca="1" si="252"/>
        <v>0</v>
      </c>
      <c r="AK357" s="50">
        <f t="shared" ca="1" si="252"/>
        <v>0</v>
      </c>
      <c r="AL357" s="50">
        <f t="shared" si="252"/>
        <v>0</v>
      </c>
      <c r="AM357" s="50">
        <f t="shared" si="252"/>
        <v>0</v>
      </c>
      <c r="AN357" s="50">
        <f t="shared" si="252"/>
        <v>0</v>
      </c>
      <c r="AO357" s="50">
        <f t="shared" si="252"/>
        <v>0</v>
      </c>
      <c r="AP357" s="50">
        <f t="shared" si="252"/>
        <v>0</v>
      </c>
      <c r="AQ357" s="50">
        <f t="shared" si="252"/>
        <v>0</v>
      </c>
      <c r="AR357" s="50">
        <f t="shared" si="252"/>
        <v>0</v>
      </c>
      <c r="AS357" s="50">
        <f t="shared" si="252"/>
        <v>0</v>
      </c>
      <c r="AT357" s="50">
        <f t="shared" si="252"/>
        <v>0</v>
      </c>
      <c r="AU357" s="50">
        <f t="shared" si="252"/>
        <v>0</v>
      </c>
    </row>
    <row r="358" spans="1:47">
      <c r="A358" s="38" t="str">
        <f t="shared" si="249"/>
        <v>2X-</v>
      </c>
      <c r="B358" s="38" t="s">
        <v>274</v>
      </c>
      <c r="C358" s="38" t="str">
        <f t="shared" si="253"/>
        <v>Gravity Belt Thickener</v>
      </c>
      <c r="D358" s="186"/>
      <c r="E358" s="325"/>
      <c r="G358" s="36" t="s">
        <v>16</v>
      </c>
      <c r="I358" s="39"/>
      <c r="K358" s="39"/>
      <c r="L358" s="43" t="s">
        <v>275</v>
      </c>
      <c r="N358" s="70">
        <f ca="1">SUMIFS(OFFSET(Assumptions!$I$90,0,MATCH($A358,Configurations,0)-1,COUNT(Assumptions!$A$90:$A$183),1),Assumptions!$D$90:$D$183,$B358&amp;$C358)</f>
        <v>0</v>
      </c>
      <c r="O358" s="313"/>
      <c r="P358" s="323"/>
      <c r="Q358" s="313"/>
      <c r="R358" s="50">
        <f t="shared" ref="R358:AU358" ca="1" si="254">IF(OR(R$99&lt;InServiceYr,R$99&gt;(InServiceYr+analysis_period-1)),0,IF($P358=0,$N358,$P358)*R$505)</f>
        <v>0</v>
      </c>
      <c r="S358" s="50">
        <f t="shared" ca="1" si="254"/>
        <v>0</v>
      </c>
      <c r="T358" s="50">
        <f t="shared" ca="1" si="254"/>
        <v>0</v>
      </c>
      <c r="U358" s="50">
        <f t="shared" ca="1" si="254"/>
        <v>0</v>
      </c>
      <c r="V358" s="50">
        <f t="shared" ca="1" si="254"/>
        <v>0</v>
      </c>
      <c r="W358" s="50">
        <f t="shared" ca="1" si="254"/>
        <v>0</v>
      </c>
      <c r="X358" s="50">
        <f t="shared" ca="1" si="254"/>
        <v>0</v>
      </c>
      <c r="Y358" s="50">
        <f t="shared" ca="1" si="254"/>
        <v>0</v>
      </c>
      <c r="Z358" s="50">
        <f t="shared" ca="1" si="254"/>
        <v>0</v>
      </c>
      <c r="AA358" s="50">
        <f t="shared" ca="1" si="254"/>
        <v>0</v>
      </c>
      <c r="AB358" s="50">
        <f t="shared" ca="1" si="254"/>
        <v>0</v>
      </c>
      <c r="AC358" s="50">
        <f t="shared" ca="1" si="254"/>
        <v>0</v>
      </c>
      <c r="AD358" s="50">
        <f t="shared" ca="1" si="254"/>
        <v>0</v>
      </c>
      <c r="AE358" s="50">
        <f t="shared" ca="1" si="254"/>
        <v>0</v>
      </c>
      <c r="AF358" s="50">
        <f t="shared" ca="1" si="254"/>
        <v>0</v>
      </c>
      <c r="AG358" s="50">
        <f t="shared" ca="1" si="254"/>
        <v>0</v>
      </c>
      <c r="AH358" s="50">
        <f t="shared" ca="1" si="254"/>
        <v>0</v>
      </c>
      <c r="AI358" s="50">
        <f t="shared" ca="1" si="254"/>
        <v>0</v>
      </c>
      <c r="AJ358" s="50">
        <f t="shared" ca="1" si="254"/>
        <v>0</v>
      </c>
      <c r="AK358" s="50">
        <f t="shared" ca="1" si="254"/>
        <v>0</v>
      </c>
      <c r="AL358" s="50">
        <f t="shared" si="254"/>
        <v>0</v>
      </c>
      <c r="AM358" s="50">
        <f t="shared" si="254"/>
        <v>0</v>
      </c>
      <c r="AN358" s="50">
        <f t="shared" si="254"/>
        <v>0</v>
      </c>
      <c r="AO358" s="50">
        <f t="shared" si="254"/>
        <v>0</v>
      </c>
      <c r="AP358" s="50">
        <f t="shared" si="254"/>
        <v>0</v>
      </c>
      <c r="AQ358" s="50">
        <f t="shared" si="254"/>
        <v>0</v>
      </c>
      <c r="AR358" s="50">
        <f t="shared" si="254"/>
        <v>0</v>
      </c>
      <c r="AS358" s="50">
        <f t="shared" si="254"/>
        <v>0</v>
      </c>
      <c r="AT358" s="50">
        <f t="shared" si="254"/>
        <v>0</v>
      </c>
      <c r="AU358" s="50">
        <f t="shared" si="254"/>
        <v>0</v>
      </c>
    </row>
    <row r="359" spans="1:47">
      <c r="A359" s="38" t="str">
        <f t="shared" si="249"/>
        <v>2X-</v>
      </c>
      <c r="B359" s="38" t="s">
        <v>257</v>
      </c>
      <c r="C359" s="38" t="str">
        <f t="shared" si="253"/>
        <v>Gravity Belt Thickener</v>
      </c>
      <c r="D359" s="186"/>
      <c r="E359" s="325"/>
      <c r="G359" s="36" t="s">
        <v>284</v>
      </c>
      <c r="I359" s="39"/>
      <c r="K359" s="39"/>
      <c r="L359" s="43" t="s">
        <v>293</v>
      </c>
      <c r="N359" s="70">
        <f ca="1">SUMIFS(OFFSET(Assumptions!$I$90,0,MATCH($A359,Configurations,0)-1,COUNT(Assumptions!$A$90:$A$183),1),Assumptions!$D$90:$D$183,$B359&amp;$C359)</f>
        <v>57670</v>
      </c>
      <c r="O359" s="313"/>
      <c r="P359" s="323"/>
      <c r="Q359" s="313"/>
      <c r="R359" s="50">
        <f t="shared" ref="R359:AU359" ca="1" si="255">IF(OR(R$99&lt;InServiceYr,R$99&gt;(InServiceYr+analysis_period-1)),0,IF($P359=0,$N359,$P359)*R$501)</f>
        <v>3724.4183381401403</v>
      </c>
      <c r="S359" s="50">
        <f t="shared" ca="1" si="255"/>
        <v>3747.6346163524208</v>
      </c>
      <c r="T359" s="50">
        <f t="shared" ca="1" si="255"/>
        <v>3909.1949254169845</v>
      </c>
      <c r="U359" s="50">
        <f t="shared" ca="1" si="255"/>
        <v>4026.4609910121817</v>
      </c>
      <c r="V359" s="50">
        <f t="shared" ca="1" si="255"/>
        <v>4123.6239654313813</v>
      </c>
      <c r="W359" s="50">
        <f t="shared" ca="1" si="255"/>
        <v>4176.3786530236048</v>
      </c>
      <c r="X359" s="50">
        <f t="shared" ca="1" si="255"/>
        <v>4244.3386628354192</v>
      </c>
      <c r="Y359" s="50">
        <f t="shared" ca="1" si="255"/>
        <v>4348.910522969717</v>
      </c>
      <c r="Z359" s="50">
        <f t="shared" ca="1" si="255"/>
        <v>4453.0264063000513</v>
      </c>
      <c r="AA359" s="50">
        <f t="shared" ca="1" si="255"/>
        <v>4564.363003805428</v>
      </c>
      <c r="AB359" s="50">
        <f t="shared" ca="1" si="255"/>
        <v>4663.2262073854145</v>
      </c>
      <c r="AC359" s="50">
        <f t="shared" ca="1" si="255"/>
        <v>4753.0229640353818</v>
      </c>
      <c r="AD359" s="50">
        <f t="shared" ca="1" si="255"/>
        <v>4862.8168301893602</v>
      </c>
      <c r="AE359" s="50">
        <f t="shared" ca="1" si="255"/>
        <v>4973.6484908975908</v>
      </c>
      <c r="AF359" s="50">
        <f t="shared" ca="1" si="255"/>
        <v>5091.9049640656904</v>
      </c>
      <c r="AG359" s="50">
        <f t="shared" ca="1" si="255"/>
        <v>5224.3800877835738</v>
      </c>
      <c r="AH359" s="50">
        <f t="shared" ca="1" si="255"/>
        <v>5352.4163687461933</v>
      </c>
      <c r="AI359" s="50">
        <f t="shared" ca="1" si="255"/>
        <v>5491.2665161544919</v>
      </c>
      <c r="AJ359" s="50">
        <f t="shared" ca="1" si="255"/>
        <v>5638.2595559226475</v>
      </c>
      <c r="AK359" s="50">
        <f t="shared" ca="1" si="255"/>
        <v>5791.6386304640209</v>
      </c>
      <c r="AL359" s="50">
        <f t="shared" si="255"/>
        <v>0</v>
      </c>
      <c r="AM359" s="50">
        <f t="shared" si="255"/>
        <v>0</v>
      </c>
      <c r="AN359" s="50">
        <f t="shared" si="255"/>
        <v>0</v>
      </c>
      <c r="AO359" s="50">
        <f t="shared" si="255"/>
        <v>0</v>
      </c>
      <c r="AP359" s="50">
        <f t="shared" si="255"/>
        <v>0</v>
      </c>
      <c r="AQ359" s="50">
        <f t="shared" si="255"/>
        <v>0</v>
      </c>
      <c r="AR359" s="50">
        <f t="shared" si="255"/>
        <v>0</v>
      </c>
      <c r="AS359" s="50">
        <f t="shared" si="255"/>
        <v>0</v>
      </c>
      <c r="AT359" s="50">
        <f t="shared" si="255"/>
        <v>0</v>
      </c>
      <c r="AU359" s="50">
        <f t="shared" si="255"/>
        <v>0</v>
      </c>
    </row>
    <row r="360" spans="1:47">
      <c r="A360" s="38" t="str">
        <f t="shared" si="249"/>
        <v>2X-</v>
      </c>
      <c r="B360" s="38" t="s">
        <v>864</v>
      </c>
      <c r="C360" s="38" t="str">
        <f t="shared" si="253"/>
        <v>Gravity Belt Thickener</v>
      </c>
      <c r="D360" s="186">
        <f>GHGEsc</f>
        <v>0.02</v>
      </c>
      <c r="E360" s="325"/>
      <c r="G360" s="36" t="s">
        <v>865</v>
      </c>
      <c r="I360" s="39"/>
      <c r="K360" s="39"/>
      <c r="L360" s="43" t="s">
        <v>866</v>
      </c>
      <c r="N360" s="70">
        <f ca="1">SUMIFS(OFFSET(Assumptions!$I$90,0,MATCH($A360,Configurations,0)-1,COUNT(Assumptions!$A$90:$A$183),1),Assumptions!$D$90:$D$183,$B360&amp;$C360)</f>
        <v>0</v>
      </c>
      <c r="O360" s="313"/>
      <c r="P360" s="323"/>
      <c r="Q360" s="313"/>
      <c r="R360" s="50">
        <f t="shared" ref="R360:AU360" ca="1" si="256">IF(OR(R$99&lt;InServiceYr,R$99&gt;(InServiceYr+analysis_period-1)),0,IF($P360=0,$N360,$P360)*R$513)</f>
        <v>0</v>
      </c>
      <c r="S360" s="50">
        <f t="shared" ca="1" si="256"/>
        <v>0</v>
      </c>
      <c r="T360" s="50">
        <f t="shared" ca="1" si="256"/>
        <v>0</v>
      </c>
      <c r="U360" s="50">
        <f t="shared" ca="1" si="256"/>
        <v>0</v>
      </c>
      <c r="V360" s="50">
        <f t="shared" ca="1" si="256"/>
        <v>0</v>
      </c>
      <c r="W360" s="50">
        <f t="shared" ca="1" si="256"/>
        <v>0</v>
      </c>
      <c r="X360" s="50">
        <f t="shared" ca="1" si="256"/>
        <v>0</v>
      </c>
      <c r="Y360" s="50">
        <f t="shared" ca="1" si="256"/>
        <v>0</v>
      </c>
      <c r="Z360" s="50">
        <f t="shared" ca="1" si="256"/>
        <v>0</v>
      </c>
      <c r="AA360" s="50">
        <f t="shared" ca="1" si="256"/>
        <v>0</v>
      </c>
      <c r="AB360" s="50">
        <f t="shared" ca="1" si="256"/>
        <v>0</v>
      </c>
      <c r="AC360" s="50">
        <f t="shared" ca="1" si="256"/>
        <v>0</v>
      </c>
      <c r="AD360" s="50">
        <f t="shared" ca="1" si="256"/>
        <v>0</v>
      </c>
      <c r="AE360" s="50">
        <f t="shared" ca="1" si="256"/>
        <v>0</v>
      </c>
      <c r="AF360" s="50">
        <f t="shared" ca="1" si="256"/>
        <v>0</v>
      </c>
      <c r="AG360" s="50">
        <f t="shared" ca="1" si="256"/>
        <v>0</v>
      </c>
      <c r="AH360" s="50">
        <f t="shared" ca="1" si="256"/>
        <v>0</v>
      </c>
      <c r="AI360" s="50">
        <f t="shared" ca="1" si="256"/>
        <v>0</v>
      </c>
      <c r="AJ360" s="50">
        <f t="shared" ca="1" si="256"/>
        <v>0</v>
      </c>
      <c r="AK360" s="50">
        <f t="shared" ca="1" si="256"/>
        <v>0</v>
      </c>
      <c r="AL360" s="50">
        <f t="shared" si="256"/>
        <v>0</v>
      </c>
      <c r="AM360" s="50">
        <f t="shared" si="256"/>
        <v>0</v>
      </c>
      <c r="AN360" s="50">
        <f t="shared" si="256"/>
        <v>0</v>
      </c>
      <c r="AO360" s="50">
        <f t="shared" si="256"/>
        <v>0</v>
      </c>
      <c r="AP360" s="50">
        <f t="shared" si="256"/>
        <v>0</v>
      </c>
      <c r="AQ360" s="50">
        <f t="shared" si="256"/>
        <v>0</v>
      </c>
      <c r="AR360" s="50">
        <f t="shared" si="256"/>
        <v>0</v>
      </c>
      <c r="AS360" s="50">
        <f t="shared" si="256"/>
        <v>0</v>
      </c>
      <c r="AT360" s="50">
        <f t="shared" si="256"/>
        <v>0</v>
      </c>
      <c r="AU360" s="50">
        <f t="shared" si="256"/>
        <v>0</v>
      </c>
    </row>
    <row r="361" spans="1:47">
      <c r="A361" s="38" t="str">
        <f t="shared" si="249"/>
        <v>2X-</v>
      </c>
      <c r="B361" s="38" t="s">
        <v>273</v>
      </c>
      <c r="C361" s="38" t="str">
        <f>C359</f>
        <v>Gravity Belt Thickener</v>
      </c>
      <c r="D361" s="186">
        <f>LaborEsc</f>
        <v>0.02</v>
      </c>
      <c r="E361" s="325"/>
      <c r="G361" s="36" t="s">
        <v>291</v>
      </c>
      <c r="I361" s="39"/>
      <c r="K361" s="39"/>
      <c r="L361" s="43" t="str">
        <f>"["&amp;CostBaseYr&amp;" $]"</f>
        <v>[2013 $]</v>
      </c>
      <c r="N361" s="70">
        <f ca="1">SUMIFS(OFFSET(Assumptions!$I$90,0,MATCH($A361,Configurations,0)-1,COUNT(Assumptions!$A$90:$A$183),1),Assumptions!$D$90:$D$183,$B361&amp;$C361)</f>
        <v>0</v>
      </c>
      <c r="O361" s="313"/>
      <c r="P361" s="323"/>
      <c r="Q361" s="313"/>
      <c r="R361" s="50">
        <f t="shared" ref="R361:AU361" ca="1" si="257">IF(OR(R$99&lt;InServiceYr,R$99&gt;(InServiceYr+analysis_period-1)),0,IF($P361=0,$N361,$P361)*(1+$D361)^(R$99-CostBaseYr))*R$509</f>
        <v>0</v>
      </c>
      <c r="S361" s="50">
        <f t="shared" ca="1" si="257"/>
        <v>0</v>
      </c>
      <c r="T361" s="50">
        <f t="shared" ca="1" si="257"/>
        <v>0</v>
      </c>
      <c r="U361" s="50">
        <f t="shared" ca="1" si="257"/>
        <v>0</v>
      </c>
      <c r="V361" s="50">
        <f t="shared" ca="1" si="257"/>
        <v>0</v>
      </c>
      <c r="W361" s="50">
        <f t="shared" ca="1" si="257"/>
        <v>0</v>
      </c>
      <c r="X361" s="50">
        <f t="shared" ca="1" si="257"/>
        <v>0</v>
      </c>
      <c r="Y361" s="50">
        <f t="shared" ca="1" si="257"/>
        <v>0</v>
      </c>
      <c r="Z361" s="50">
        <f t="shared" ca="1" si="257"/>
        <v>0</v>
      </c>
      <c r="AA361" s="50">
        <f t="shared" ca="1" si="257"/>
        <v>0</v>
      </c>
      <c r="AB361" s="50">
        <f t="shared" ca="1" si="257"/>
        <v>0</v>
      </c>
      <c r="AC361" s="50">
        <f t="shared" ca="1" si="257"/>
        <v>0</v>
      </c>
      <c r="AD361" s="50">
        <f t="shared" ca="1" si="257"/>
        <v>0</v>
      </c>
      <c r="AE361" s="50">
        <f t="shared" ca="1" si="257"/>
        <v>0</v>
      </c>
      <c r="AF361" s="50">
        <f t="shared" ca="1" si="257"/>
        <v>0</v>
      </c>
      <c r="AG361" s="50">
        <f t="shared" ca="1" si="257"/>
        <v>0</v>
      </c>
      <c r="AH361" s="50">
        <f t="shared" ca="1" si="257"/>
        <v>0</v>
      </c>
      <c r="AI361" s="50">
        <f t="shared" ca="1" si="257"/>
        <v>0</v>
      </c>
      <c r="AJ361" s="50">
        <f t="shared" ca="1" si="257"/>
        <v>0</v>
      </c>
      <c r="AK361" s="50">
        <f t="shared" ca="1" si="257"/>
        <v>0</v>
      </c>
      <c r="AL361" s="50">
        <f t="shared" si="257"/>
        <v>0</v>
      </c>
      <c r="AM361" s="50">
        <f t="shared" si="257"/>
        <v>0</v>
      </c>
      <c r="AN361" s="50">
        <f t="shared" si="257"/>
        <v>0</v>
      </c>
      <c r="AO361" s="50">
        <f t="shared" si="257"/>
        <v>0</v>
      </c>
      <c r="AP361" s="50">
        <f t="shared" si="257"/>
        <v>0</v>
      </c>
      <c r="AQ361" s="50">
        <f t="shared" si="257"/>
        <v>0</v>
      </c>
      <c r="AR361" s="50">
        <f t="shared" si="257"/>
        <v>0</v>
      </c>
      <c r="AS361" s="50">
        <f t="shared" si="257"/>
        <v>0</v>
      </c>
      <c r="AT361" s="50">
        <f t="shared" si="257"/>
        <v>0</v>
      </c>
      <c r="AU361" s="50">
        <f t="shared" si="257"/>
        <v>0</v>
      </c>
    </row>
    <row r="362" spans="1:47">
      <c r="D362" s="186"/>
      <c r="E362" s="325"/>
      <c r="G362" s="39" t="s">
        <v>304</v>
      </c>
      <c r="I362" s="39"/>
      <c r="K362" s="39"/>
      <c r="L362" s="43"/>
      <c r="N362" s="70"/>
      <c r="O362" s="313"/>
      <c r="P362" s="70"/>
      <c r="Q362" s="313"/>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row>
    <row r="363" spans="1:47">
      <c r="A363" s="38" t="str">
        <f>$J$4&amp;"-"</f>
        <v>2X-</v>
      </c>
      <c r="B363" s="38" t="s">
        <v>265</v>
      </c>
      <c r="C363" s="38" t="str">
        <f>C354</f>
        <v>Gravity Belt Thickener</v>
      </c>
      <c r="D363" s="186"/>
      <c r="E363" s="325"/>
      <c r="G363" s="36" t="s">
        <v>108</v>
      </c>
      <c r="I363" s="39"/>
      <c r="K363" s="39"/>
      <c r="L363" s="43" t="s">
        <v>293</v>
      </c>
      <c r="N363" s="70">
        <f ca="1">SUMIFS(OFFSET(Assumptions!$I$90,0,MATCH($A363,Configurations,0)-1,COUNT(Assumptions!$A$90:$A$183),1),Assumptions!$D$90:$D$183,$B363&amp;$C363)</f>
        <v>0</v>
      </c>
      <c r="O363" s="313"/>
      <c r="P363" s="323"/>
      <c r="Q363" s="313"/>
      <c r="R363" s="50">
        <f t="shared" ref="R363:AU363" ca="1" si="258">IF(OR(R$99&lt;InServiceYr,R$99&gt;(InServiceYr+analysis_period-1)),0,IF($P363=0,$N363,$P363)*R$501)</f>
        <v>0</v>
      </c>
      <c r="S363" s="50">
        <f t="shared" ca="1" si="258"/>
        <v>0</v>
      </c>
      <c r="T363" s="50">
        <f t="shared" ca="1" si="258"/>
        <v>0</v>
      </c>
      <c r="U363" s="50">
        <f t="shared" ca="1" si="258"/>
        <v>0</v>
      </c>
      <c r="V363" s="50">
        <f t="shared" ca="1" si="258"/>
        <v>0</v>
      </c>
      <c r="W363" s="50">
        <f t="shared" ca="1" si="258"/>
        <v>0</v>
      </c>
      <c r="X363" s="50">
        <f t="shared" ca="1" si="258"/>
        <v>0</v>
      </c>
      <c r="Y363" s="50">
        <f t="shared" ca="1" si="258"/>
        <v>0</v>
      </c>
      <c r="Z363" s="50">
        <f t="shared" ca="1" si="258"/>
        <v>0</v>
      </c>
      <c r="AA363" s="50">
        <f t="shared" ca="1" si="258"/>
        <v>0</v>
      </c>
      <c r="AB363" s="50">
        <f t="shared" ca="1" si="258"/>
        <v>0</v>
      </c>
      <c r="AC363" s="50">
        <f t="shared" ca="1" si="258"/>
        <v>0</v>
      </c>
      <c r="AD363" s="50">
        <f t="shared" ca="1" si="258"/>
        <v>0</v>
      </c>
      <c r="AE363" s="50">
        <f t="shared" ca="1" si="258"/>
        <v>0</v>
      </c>
      <c r="AF363" s="50">
        <f t="shared" ca="1" si="258"/>
        <v>0</v>
      </c>
      <c r="AG363" s="50">
        <f t="shared" ca="1" si="258"/>
        <v>0</v>
      </c>
      <c r="AH363" s="50">
        <f t="shared" ca="1" si="258"/>
        <v>0</v>
      </c>
      <c r="AI363" s="50">
        <f t="shared" ca="1" si="258"/>
        <v>0</v>
      </c>
      <c r="AJ363" s="50">
        <f t="shared" ca="1" si="258"/>
        <v>0</v>
      </c>
      <c r="AK363" s="50">
        <f t="shared" ca="1" si="258"/>
        <v>0</v>
      </c>
      <c r="AL363" s="50">
        <f t="shared" si="258"/>
        <v>0</v>
      </c>
      <c r="AM363" s="50">
        <f t="shared" si="258"/>
        <v>0</v>
      </c>
      <c r="AN363" s="50">
        <f t="shared" si="258"/>
        <v>0</v>
      </c>
      <c r="AO363" s="50">
        <f t="shared" si="258"/>
        <v>0</v>
      </c>
      <c r="AP363" s="50">
        <f t="shared" si="258"/>
        <v>0</v>
      </c>
      <c r="AQ363" s="50">
        <f t="shared" si="258"/>
        <v>0</v>
      </c>
      <c r="AR363" s="50">
        <f t="shared" si="258"/>
        <v>0</v>
      </c>
      <c r="AS363" s="50">
        <f t="shared" si="258"/>
        <v>0</v>
      </c>
      <c r="AT363" s="50">
        <f t="shared" si="258"/>
        <v>0</v>
      </c>
      <c r="AU363" s="50">
        <f t="shared" si="258"/>
        <v>0</v>
      </c>
    </row>
    <row r="364" spans="1:47">
      <c r="A364" s="38" t="str">
        <f>$J$4&amp;"-"</f>
        <v>2X-</v>
      </c>
      <c r="B364" s="38" t="s">
        <v>289</v>
      </c>
      <c r="C364" s="38" t="str">
        <f>C354</f>
        <v>Gravity Belt Thickener</v>
      </c>
      <c r="D364" s="186">
        <f>LaborEsc</f>
        <v>0.02</v>
      </c>
      <c r="E364" s="325"/>
      <c r="G364" s="36" t="s">
        <v>292</v>
      </c>
      <c r="I364" s="39"/>
      <c r="K364" s="39"/>
      <c r="L364" s="43" t="str">
        <f>"["&amp;CostBaseYr&amp;" $]"</f>
        <v>[2013 $]</v>
      </c>
      <c r="N364" s="70">
        <f ca="1">SUMIFS(OFFSET(Assumptions!$I$90,0,MATCH($A364,Configurations,0)-1,COUNT(Assumptions!$A$90:$A$183),1),Assumptions!$D$90:$D$183,$B364&amp;$C364)</f>
        <v>0</v>
      </c>
      <c r="O364" s="313"/>
      <c r="P364" s="323"/>
      <c r="Q364" s="313"/>
      <c r="R364" s="50">
        <f t="shared" ref="R364:AU364" ca="1" si="259">IF(OR(R$99&lt;InServiceYr,R$99&gt;(InServiceYr+analysis_period-1)),0,IF($P364=0,$N364,$P364)*(1+$D364)^(R$99-CostBaseYr))</f>
        <v>0</v>
      </c>
      <c r="S364" s="50">
        <f t="shared" ca="1" si="259"/>
        <v>0</v>
      </c>
      <c r="T364" s="50">
        <f t="shared" ca="1" si="259"/>
        <v>0</v>
      </c>
      <c r="U364" s="50">
        <f t="shared" ca="1" si="259"/>
        <v>0</v>
      </c>
      <c r="V364" s="50">
        <f t="shared" ca="1" si="259"/>
        <v>0</v>
      </c>
      <c r="W364" s="50">
        <f t="shared" ca="1" si="259"/>
        <v>0</v>
      </c>
      <c r="X364" s="50">
        <f t="shared" ca="1" si="259"/>
        <v>0</v>
      </c>
      <c r="Y364" s="50">
        <f t="shared" ca="1" si="259"/>
        <v>0</v>
      </c>
      <c r="Z364" s="50">
        <f t="shared" ca="1" si="259"/>
        <v>0</v>
      </c>
      <c r="AA364" s="50">
        <f t="shared" ca="1" si="259"/>
        <v>0</v>
      </c>
      <c r="AB364" s="50">
        <f t="shared" ca="1" si="259"/>
        <v>0</v>
      </c>
      <c r="AC364" s="50">
        <f t="shared" ca="1" si="259"/>
        <v>0</v>
      </c>
      <c r="AD364" s="50">
        <f t="shared" ca="1" si="259"/>
        <v>0</v>
      </c>
      <c r="AE364" s="50">
        <f t="shared" ca="1" si="259"/>
        <v>0</v>
      </c>
      <c r="AF364" s="50">
        <f t="shared" ca="1" si="259"/>
        <v>0</v>
      </c>
      <c r="AG364" s="50">
        <f t="shared" ca="1" si="259"/>
        <v>0</v>
      </c>
      <c r="AH364" s="50">
        <f t="shared" ca="1" si="259"/>
        <v>0</v>
      </c>
      <c r="AI364" s="50">
        <f t="shared" ca="1" si="259"/>
        <v>0</v>
      </c>
      <c r="AJ364" s="50">
        <f t="shared" ca="1" si="259"/>
        <v>0</v>
      </c>
      <c r="AK364" s="50">
        <f t="shared" ca="1" si="259"/>
        <v>0</v>
      </c>
      <c r="AL364" s="50">
        <f t="shared" si="259"/>
        <v>0</v>
      </c>
      <c r="AM364" s="50">
        <f t="shared" si="259"/>
        <v>0</v>
      </c>
      <c r="AN364" s="50">
        <f t="shared" si="259"/>
        <v>0</v>
      </c>
      <c r="AO364" s="50">
        <f t="shared" si="259"/>
        <v>0</v>
      </c>
      <c r="AP364" s="50">
        <f t="shared" si="259"/>
        <v>0</v>
      </c>
      <c r="AQ364" s="50">
        <f t="shared" si="259"/>
        <v>0</v>
      </c>
      <c r="AR364" s="50">
        <f t="shared" si="259"/>
        <v>0</v>
      </c>
      <c r="AS364" s="50">
        <f t="shared" si="259"/>
        <v>0</v>
      </c>
      <c r="AT364" s="50">
        <f t="shared" si="259"/>
        <v>0</v>
      </c>
      <c r="AU364" s="50">
        <f t="shared" si="259"/>
        <v>0</v>
      </c>
    </row>
    <row r="365" spans="1:47" s="60" customFormat="1">
      <c r="D365" s="187"/>
      <c r="E365" s="325"/>
      <c r="G365" s="39" t="s">
        <v>305</v>
      </c>
      <c r="I365" s="39"/>
      <c r="K365" s="39"/>
      <c r="L365" s="174"/>
      <c r="N365" s="188"/>
      <c r="O365" s="314"/>
      <c r="P365" s="185"/>
      <c r="Q365" s="314"/>
      <c r="R365" s="185">
        <f ca="1">SUM(R354:R361)-SUM(R363:R364)</f>
        <v>242251.41833814015</v>
      </c>
      <c r="S365" s="185">
        <f t="shared" ref="S365:AU365" ca="1" si="260">SUM(S354:S361)-SUM(S363:S364)</f>
        <v>247045.17461635242</v>
      </c>
      <c r="T365" s="185">
        <f t="shared" ca="1" si="260"/>
        <v>252072.68572541696</v>
      </c>
      <c r="U365" s="185">
        <f t="shared" ca="1" si="260"/>
        <v>257153.22160701218</v>
      </c>
      <c r="V365" s="185">
        <f t="shared" ca="1" si="260"/>
        <v>262312.91979375138</v>
      </c>
      <c r="W365" s="185">
        <f t="shared" ca="1" si="260"/>
        <v>267529.46039791004</v>
      </c>
      <c r="X365" s="185">
        <f t="shared" ca="1" si="260"/>
        <v>272864.48204261949</v>
      </c>
      <c r="Y365" s="185">
        <f t="shared" ca="1" si="260"/>
        <v>278341.45677034953</v>
      </c>
      <c r="Z365" s="185">
        <f t="shared" ca="1" si="260"/>
        <v>283925.42357862747</v>
      </c>
      <c r="AA365" s="185">
        <f t="shared" ca="1" si="260"/>
        <v>289626.20811957942</v>
      </c>
      <c r="AB365" s="185">
        <f t="shared" ca="1" si="260"/>
        <v>295426.30822547479</v>
      </c>
      <c r="AC365" s="185">
        <f t="shared" ca="1" si="260"/>
        <v>301331.36662248662</v>
      </c>
      <c r="AD365" s="185">
        <f t="shared" ca="1" si="260"/>
        <v>307372.72736180958</v>
      </c>
      <c r="AE365" s="185">
        <f t="shared" ca="1" si="260"/>
        <v>313533.75723315025</v>
      </c>
      <c r="AF365" s="185">
        <f t="shared" ca="1" si="260"/>
        <v>319823.21588116331</v>
      </c>
      <c r="AG365" s="185">
        <f t="shared" ca="1" si="260"/>
        <v>326250.31722322316</v>
      </c>
      <c r="AH365" s="185">
        <f t="shared" ca="1" si="260"/>
        <v>332798.87224689469</v>
      </c>
      <c r="AI365" s="185">
        <f t="shared" ca="1" si="260"/>
        <v>339486.65151186584</v>
      </c>
      <c r="AJ365" s="185">
        <f t="shared" ca="1" si="260"/>
        <v>346313.55225154827</v>
      </c>
      <c r="AK365" s="185">
        <f t="shared" ca="1" si="260"/>
        <v>353280.43718000216</v>
      </c>
      <c r="AL365" s="185">
        <f t="shared" si="260"/>
        <v>0</v>
      </c>
      <c r="AM365" s="185">
        <f t="shared" si="260"/>
        <v>0</v>
      </c>
      <c r="AN365" s="185">
        <f t="shared" si="260"/>
        <v>0</v>
      </c>
      <c r="AO365" s="185">
        <f t="shared" si="260"/>
        <v>0</v>
      </c>
      <c r="AP365" s="185">
        <f t="shared" si="260"/>
        <v>0</v>
      </c>
      <c r="AQ365" s="185">
        <f t="shared" si="260"/>
        <v>0</v>
      </c>
      <c r="AR365" s="185">
        <f t="shared" si="260"/>
        <v>0</v>
      </c>
      <c r="AS365" s="185">
        <f t="shared" si="260"/>
        <v>0</v>
      </c>
      <c r="AT365" s="185">
        <f t="shared" si="260"/>
        <v>0</v>
      </c>
      <c r="AU365" s="185">
        <f t="shared" si="260"/>
        <v>0</v>
      </c>
    </row>
    <row r="366" spans="1:47">
      <c r="E366" s="36"/>
      <c r="G366" s="39"/>
      <c r="H366" s="39"/>
      <c r="I366" s="39"/>
      <c r="J366" s="39"/>
      <c r="K366" s="39"/>
    </row>
    <row r="367" spans="1:47">
      <c r="E367" s="327"/>
      <c r="F367" s="28"/>
      <c r="G367" s="324" t="str">
        <f>C369&amp;" Capital Costs"</f>
        <v>Gravity Thickener Capital Costs</v>
      </c>
      <c r="H367" s="324"/>
      <c r="I367" s="324"/>
      <c r="J367" s="324"/>
      <c r="K367" s="324"/>
      <c r="L367" s="405" t="s">
        <v>79</v>
      </c>
      <c r="M367" s="256"/>
      <c r="N367" s="325" t="s">
        <v>490</v>
      </c>
      <c r="O367" s="311"/>
      <c r="P367" s="325" t="s">
        <v>491</v>
      </c>
      <c r="Q367" s="310"/>
      <c r="R367" s="325">
        <f>R$8</f>
        <v>2014</v>
      </c>
      <c r="S367" s="325">
        <f t="shared" ref="S367:AU367" si="261">S$8</f>
        <v>2015</v>
      </c>
      <c r="T367" s="325">
        <f t="shared" si="261"/>
        <v>2016</v>
      </c>
      <c r="U367" s="325">
        <f t="shared" si="261"/>
        <v>2017</v>
      </c>
      <c r="V367" s="325">
        <f t="shared" si="261"/>
        <v>2018</v>
      </c>
      <c r="W367" s="325">
        <f t="shared" si="261"/>
        <v>2019</v>
      </c>
      <c r="X367" s="325">
        <f t="shared" si="261"/>
        <v>2020</v>
      </c>
      <c r="Y367" s="325">
        <f t="shared" si="261"/>
        <v>2021</v>
      </c>
      <c r="Z367" s="325">
        <f t="shared" si="261"/>
        <v>2022</v>
      </c>
      <c r="AA367" s="325">
        <f t="shared" si="261"/>
        <v>2023</v>
      </c>
      <c r="AB367" s="325">
        <f t="shared" si="261"/>
        <v>2024</v>
      </c>
      <c r="AC367" s="325">
        <f t="shared" si="261"/>
        <v>2025</v>
      </c>
      <c r="AD367" s="325">
        <f t="shared" si="261"/>
        <v>2026</v>
      </c>
      <c r="AE367" s="325">
        <f t="shared" si="261"/>
        <v>2027</v>
      </c>
      <c r="AF367" s="325">
        <f t="shared" si="261"/>
        <v>2028</v>
      </c>
      <c r="AG367" s="325">
        <f t="shared" si="261"/>
        <v>2029</v>
      </c>
      <c r="AH367" s="325">
        <f t="shared" si="261"/>
        <v>2030</v>
      </c>
      <c r="AI367" s="325">
        <f t="shared" si="261"/>
        <v>2031</v>
      </c>
      <c r="AJ367" s="325">
        <f t="shared" si="261"/>
        <v>2032</v>
      </c>
      <c r="AK367" s="325">
        <f t="shared" si="261"/>
        <v>2033</v>
      </c>
      <c r="AL367" s="325">
        <f t="shared" si="261"/>
        <v>2034</v>
      </c>
      <c r="AM367" s="325">
        <f t="shared" si="261"/>
        <v>2035</v>
      </c>
      <c r="AN367" s="325">
        <f t="shared" si="261"/>
        <v>2036</v>
      </c>
      <c r="AO367" s="325">
        <f t="shared" si="261"/>
        <v>2037</v>
      </c>
      <c r="AP367" s="325">
        <f t="shared" si="261"/>
        <v>2038</v>
      </c>
      <c r="AQ367" s="325">
        <f t="shared" si="261"/>
        <v>2039</v>
      </c>
      <c r="AR367" s="325">
        <f t="shared" si="261"/>
        <v>2040</v>
      </c>
      <c r="AS367" s="325">
        <f t="shared" si="261"/>
        <v>2041</v>
      </c>
      <c r="AT367" s="325">
        <f t="shared" si="261"/>
        <v>2042</v>
      </c>
      <c r="AU367" s="325">
        <f t="shared" si="261"/>
        <v>2043</v>
      </c>
    </row>
    <row r="368" spans="1:47">
      <c r="E368" s="325"/>
      <c r="G368" s="39"/>
      <c r="H368" s="39"/>
      <c r="I368" s="39"/>
      <c r="J368" s="39"/>
      <c r="K368" s="39"/>
    </row>
    <row r="369" spans="1:47">
      <c r="A369" s="38" t="str">
        <f>$J$4&amp;"-"</f>
        <v>2X-</v>
      </c>
      <c r="B369" s="38" t="s">
        <v>306</v>
      </c>
      <c r="C369" s="38" t="s">
        <v>29</v>
      </c>
      <c r="D369" s="186">
        <f>CapExEsc</f>
        <v>0.03</v>
      </c>
      <c r="E369" s="325"/>
      <c r="G369" s="36" t="s">
        <v>8</v>
      </c>
      <c r="H369" s="39"/>
      <c r="I369" s="39"/>
      <c r="J369" s="70"/>
      <c r="K369" s="39"/>
      <c r="L369" s="43" t="str">
        <f>"["&amp;CostBaseYr&amp;" $]"</f>
        <v>[2013 $]</v>
      </c>
      <c r="N369" s="52">
        <f ca="1">SUMIFS(OFFSET(Assumptions!$I$65,0,MATCH($A369,Configurations,0)-1,COUNT(Assumptions!$A$65:$A$84),1),Assumptions!$E$65:$E$84,$C369)</f>
        <v>1029000</v>
      </c>
      <c r="O369" s="52"/>
      <c r="P369" s="322"/>
      <c r="Q369" s="52"/>
      <c r="R369" s="52">
        <f t="shared" ref="R369:AU369" ca="1" si="262">R370*IF($P369=0,$N369,$P369)*(1+$D369)^(R$8-CostBaseYr)</f>
        <v>1059870</v>
      </c>
      <c r="S369" s="52">
        <f t="shared" ca="1" si="262"/>
        <v>0</v>
      </c>
      <c r="T369" s="52">
        <f t="shared" ca="1" si="262"/>
        <v>0</v>
      </c>
      <c r="U369" s="52">
        <f t="shared" ca="1" si="262"/>
        <v>0</v>
      </c>
      <c r="V369" s="52">
        <f t="shared" ca="1" si="262"/>
        <v>0</v>
      </c>
      <c r="W369" s="52">
        <f t="shared" ca="1" si="262"/>
        <v>0</v>
      </c>
      <c r="X369" s="52">
        <f t="shared" ca="1" si="262"/>
        <v>0</v>
      </c>
      <c r="Y369" s="52">
        <f t="shared" ca="1" si="262"/>
        <v>0</v>
      </c>
      <c r="Z369" s="52">
        <f t="shared" ca="1" si="262"/>
        <v>0</v>
      </c>
      <c r="AA369" s="52">
        <f t="shared" ca="1" si="262"/>
        <v>0</v>
      </c>
      <c r="AB369" s="52">
        <f t="shared" ca="1" si="262"/>
        <v>0</v>
      </c>
      <c r="AC369" s="52">
        <f t="shared" ca="1" si="262"/>
        <v>0</v>
      </c>
      <c r="AD369" s="52">
        <f t="shared" ca="1" si="262"/>
        <v>0</v>
      </c>
      <c r="AE369" s="52">
        <f t="shared" ca="1" si="262"/>
        <v>0</v>
      </c>
      <c r="AF369" s="52">
        <f t="shared" ca="1" si="262"/>
        <v>0</v>
      </c>
      <c r="AG369" s="52">
        <f t="shared" ca="1" si="262"/>
        <v>0</v>
      </c>
      <c r="AH369" s="52">
        <f t="shared" ca="1" si="262"/>
        <v>0</v>
      </c>
      <c r="AI369" s="52">
        <f t="shared" ca="1" si="262"/>
        <v>0</v>
      </c>
      <c r="AJ369" s="52">
        <f t="shared" ca="1" si="262"/>
        <v>0</v>
      </c>
      <c r="AK369" s="52">
        <f t="shared" ca="1" si="262"/>
        <v>0</v>
      </c>
      <c r="AL369" s="52">
        <f t="shared" ca="1" si="262"/>
        <v>0</v>
      </c>
      <c r="AM369" s="52">
        <f t="shared" ca="1" si="262"/>
        <v>0</v>
      </c>
      <c r="AN369" s="52">
        <f t="shared" ca="1" si="262"/>
        <v>0</v>
      </c>
      <c r="AO369" s="52">
        <f t="shared" ca="1" si="262"/>
        <v>0</v>
      </c>
      <c r="AP369" s="52">
        <f t="shared" ca="1" si="262"/>
        <v>0</v>
      </c>
      <c r="AQ369" s="52">
        <f t="shared" ca="1" si="262"/>
        <v>0</v>
      </c>
      <c r="AR369" s="52">
        <f t="shared" ca="1" si="262"/>
        <v>0</v>
      </c>
      <c r="AS369" s="52">
        <f t="shared" ca="1" si="262"/>
        <v>0</v>
      </c>
      <c r="AT369" s="52">
        <f t="shared" ca="1" si="262"/>
        <v>0</v>
      </c>
      <c r="AU369" s="52">
        <f t="shared" ca="1" si="262"/>
        <v>0</v>
      </c>
    </row>
    <row r="370" spans="1:47">
      <c r="E370" s="325"/>
      <c r="G370" s="36" t="s">
        <v>10</v>
      </c>
      <c r="H370" s="39"/>
      <c r="I370" s="39"/>
      <c r="J370" s="39"/>
      <c r="K370" s="39"/>
      <c r="L370" s="43"/>
      <c r="R370" s="54">
        <f>Assumptions!M$60</f>
        <v>1</v>
      </c>
      <c r="S370" s="54">
        <f>Assumptions!N$60</f>
        <v>0</v>
      </c>
      <c r="T370" s="54">
        <f>Assumptions!O$60</f>
        <v>0</v>
      </c>
      <c r="U370" s="54">
        <f>Assumptions!P$60</f>
        <v>0</v>
      </c>
      <c r="V370" s="54">
        <f>Assumptions!Q$60</f>
        <v>0</v>
      </c>
      <c r="W370" s="54">
        <f>Assumptions!R$60</f>
        <v>0</v>
      </c>
      <c r="X370" s="54">
        <f>Assumptions!S$60</f>
        <v>0</v>
      </c>
      <c r="Y370" s="54">
        <f>Assumptions!T$60</f>
        <v>0</v>
      </c>
      <c r="Z370" s="54">
        <f>Assumptions!U$60</f>
        <v>0</v>
      </c>
      <c r="AA370" s="54">
        <f>Assumptions!V$60</f>
        <v>0</v>
      </c>
      <c r="AB370" s="54">
        <f>Assumptions!W$60</f>
        <v>0</v>
      </c>
      <c r="AC370" s="54">
        <f>Assumptions!X$60</f>
        <v>0</v>
      </c>
      <c r="AD370" s="54">
        <f>Assumptions!Y$60</f>
        <v>0</v>
      </c>
      <c r="AE370" s="54">
        <f>Assumptions!Z$60</f>
        <v>0</v>
      </c>
      <c r="AF370" s="54">
        <f>Assumptions!AA$60</f>
        <v>0</v>
      </c>
      <c r="AG370" s="54">
        <f>Assumptions!AB$60</f>
        <v>0</v>
      </c>
      <c r="AH370" s="54">
        <f>Assumptions!AC$60</f>
        <v>0</v>
      </c>
      <c r="AI370" s="54">
        <f>Assumptions!AD$60</f>
        <v>0</v>
      </c>
      <c r="AJ370" s="54">
        <f>Assumptions!AE$60</f>
        <v>0</v>
      </c>
      <c r="AK370" s="54">
        <f>Assumptions!AF$60</f>
        <v>0</v>
      </c>
      <c r="AL370" s="54">
        <f>Assumptions!AG$60</f>
        <v>0</v>
      </c>
      <c r="AM370" s="54">
        <f>Assumptions!AH$60</f>
        <v>0</v>
      </c>
      <c r="AN370" s="54">
        <f>Assumptions!AI$60</f>
        <v>0</v>
      </c>
      <c r="AO370" s="54">
        <f>Assumptions!AJ$60</f>
        <v>0</v>
      </c>
      <c r="AP370" s="54">
        <f>Assumptions!AK$60</f>
        <v>0</v>
      </c>
      <c r="AQ370" s="54">
        <f>Assumptions!AL$60</f>
        <v>0</v>
      </c>
      <c r="AR370" s="54">
        <f>Assumptions!AM$60</f>
        <v>0</v>
      </c>
      <c r="AS370" s="54">
        <f>Assumptions!AN$60</f>
        <v>0</v>
      </c>
      <c r="AT370" s="54">
        <f>Assumptions!AO$60</f>
        <v>0</v>
      </c>
      <c r="AU370" s="54">
        <f>Assumptions!AP$60</f>
        <v>0</v>
      </c>
    </row>
    <row r="371" spans="1:47">
      <c r="E371" s="326"/>
      <c r="G371" s="39"/>
      <c r="H371" s="39"/>
      <c r="I371" s="39"/>
      <c r="J371" s="39"/>
      <c r="K371" s="39"/>
    </row>
    <row r="372" spans="1:47">
      <c r="E372" s="327"/>
      <c r="F372" s="28"/>
      <c r="G372" s="324" t="str">
        <f>C369&amp;" O&amp;M"</f>
        <v>Gravity Thickener O&amp;M</v>
      </c>
      <c r="H372" s="324"/>
      <c r="I372" s="324"/>
      <c r="J372" s="324"/>
      <c r="K372" s="324"/>
      <c r="L372" s="405" t="s">
        <v>79</v>
      </c>
      <c r="M372" s="256"/>
      <c r="N372" s="325" t="s">
        <v>490</v>
      </c>
      <c r="O372" s="311"/>
      <c r="P372" s="325" t="s">
        <v>491</v>
      </c>
      <c r="Q372" s="310"/>
      <c r="R372" s="325">
        <f>R$8</f>
        <v>2014</v>
      </c>
      <c r="S372" s="325">
        <f t="shared" ref="S372:AU372" si="263">S$8</f>
        <v>2015</v>
      </c>
      <c r="T372" s="325">
        <f t="shared" si="263"/>
        <v>2016</v>
      </c>
      <c r="U372" s="325">
        <f t="shared" si="263"/>
        <v>2017</v>
      </c>
      <c r="V372" s="325">
        <f t="shared" si="263"/>
        <v>2018</v>
      </c>
      <c r="W372" s="325">
        <f t="shared" si="263"/>
        <v>2019</v>
      </c>
      <c r="X372" s="325">
        <f t="shared" si="263"/>
        <v>2020</v>
      </c>
      <c r="Y372" s="325">
        <f t="shared" si="263"/>
        <v>2021</v>
      </c>
      <c r="Z372" s="325">
        <f t="shared" si="263"/>
        <v>2022</v>
      </c>
      <c r="AA372" s="325">
        <f t="shared" si="263"/>
        <v>2023</v>
      </c>
      <c r="AB372" s="325">
        <f t="shared" si="263"/>
        <v>2024</v>
      </c>
      <c r="AC372" s="325">
        <f t="shared" si="263"/>
        <v>2025</v>
      </c>
      <c r="AD372" s="325">
        <f t="shared" si="263"/>
        <v>2026</v>
      </c>
      <c r="AE372" s="325">
        <f t="shared" si="263"/>
        <v>2027</v>
      </c>
      <c r="AF372" s="325">
        <f t="shared" si="263"/>
        <v>2028</v>
      </c>
      <c r="AG372" s="325">
        <f t="shared" si="263"/>
        <v>2029</v>
      </c>
      <c r="AH372" s="325">
        <f t="shared" si="263"/>
        <v>2030</v>
      </c>
      <c r="AI372" s="325">
        <f t="shared" si="263"/>
        <v>2031</v>
      </c>
      <c r="AJ372" s="325">
        <f t="shared" si="263"/>
        <v>2032</v>
      </c>
      <c r="AK372" s="325">
        <f t="shared" si="263"/>
        <v>2033</v>
      </c>
      <c r="AL372" s="325">
        <f t="shared" si="263"/>
        <v>2034</v>
      </c>
      <c r="AM372" s="325">
        <f t="shared" si="263"/>
        <v>2035</v>
      </c>
      <c r="AN372" s="325">
        <f t="shared" si="263"/>
        <v>2036</v>
      </c>
      <c r="AO372" s="325">
        <f t="shared" si="263"/>
        <v>2037</v>
      </c>
      <c r="AP372" s="325">
        <f t="shared" si="263"/>
        <v>2038</v>
      </c>
      <c r="AQ372" s="325">
        <f t="shared" si="263"/>
        <v>2039</v>
      </c>
      <c r="AR372" s="325">
        <f t="shared" si="263"/>
        <v>2040</v>
      </c>
      <c r="AS372" s="325">
        <f t="shared" si="263"/>
        <v>2041</v>
      </c>
      <c r="AT372" s="325">
        <f t="shared" si="263"/>
        <v>2042</v>
      </c>
      <c r="AU372" s="325">
        <f t="shared" si="263"/>
        <v>2043</v>
      </c>
    </row>
    <row r="373" spans="1:47">
      <c r="E373" s="325"/>
      <c r="G373" s="39"/>
      <c r="H373" s="39"/>
      <c r="I373" s="39"/>
      <c r="J373" s="39"/>
      <c r="K373" s="39"/>
    </row>
    <row r="374" spans="1:47">
      <c r="E374" s="325"/>
      <c r="G374" s="39" t="s">
        <v>23</v>
      </c>
      <c r="H374" s="39"/>
      <c r="I374" s="39"/>
      <c r="J374" s="39"/>
      <c r="K374" s="39"/>
    </row>
    <row r="375" spans="1:47">
      <c r="A375" s="38" t="str">
        <f t="shared" ref="A375:A382" si="264">$J$4&amp;"-"</f>
        <v>2X-</v>
      </c>
      <c r="B375" s="38" t="s">
        <v>262</v>
      </c>
      <c r="C375" s="38" t="str">
        <f>C369</f>
        <v>Gravity Thickener</v>
      </c>
      <c r="D375" s="186">
        <f>LaborEsc</f>
        <v>0.02</v>
      </c>
      <c r="E375" s="325"/>
      <c r="G375" s="36" t="s">
        <v>125</v>
      </c>
      <c r="I375" s="39"/>
      <c r="K375" s="39"/>
      <c r="L375" s="43" t="s">
        <v>266</v>
      </c>
      <c r="N375" s="70">
        <f ca="1">SUMIFS(OFFSET(Assumptions!$I$90,0,MATCH($A375,Configurations,0)-1,COUNT(Assumptions!$A$90:$A$183),1),Assumptions!$D$90:$D$183,$B375&amp;$C375)</f>
        <v>1460</v>
      </c>
      <c r="O375" s="313"/>
      <c r="P375" s="323"/>
      <c r="Q375" s="313"/>
      <c r="R375" s="50">
        <f t="shared" ref="R375:AU375" ca="1" si="265">IF(OR(R$99&lt;InServiceYr,R$99&gt;(InServiceYr+analysis_period-1)),0,IF($P375=0,$N375,$P375)*LaborCost*(1+$D375)^(R$99-CostBaseYr))</f>
        <v>52122</v>
      </c>
      <c r="S375" s="50">
        <f t="shared" ca="1" si="265"/>
        <v>53164.44</v>
      </c>
      <c r="T375" s="50">
        <f t="shared" ca="1" si="265"/>
        <v>54227.728799999997</v>
      </c>
      <c r="U375" s="50">
        <f t="shared" ca="1" si="265"/>
        <v>55312.283375999999</v>
      </c>
      <c r="V375" s="50">
        <f t="shared" ca="1" si="265"/>
        <v>56418.52904352</v>
      </c>
      <c r="W375" s="50">
        <f t="shared" ca="1" si="265"/>
        <v>57546.899624390404</v>
      </c>
      <c r="X375" s="50">
        <f t="shared" ca="1" si="265"/>
        <v>58697.837616878198</v>
      </c>
      <c r="Y375" s="50">
        <f t="shared" ca="1" si="265"/>
        <v>59871.794369215771</v>
      </c>
      <c r="Z375" s="50">
        <f t="shared" ca="1" si="265"/>
        <v>61069.230256600087</v>
      </c>
      <c r="AA375" s="50">
        <f t="shared" ca="1" si="265"/>
        <v>62290.614861732087</v>
      </c>
      <c r="AB375" s="50">
        <f t="shared" ca="1" si="265"/>
        <v>63536.427158966719</v>
      </c>
      <c r="AC375" s="50">
        <f t="shared" ca="1" si="265"/>
        <v>64807.155702146061</v>
      </c>
      <c r="AD375" s="50">
        <f t="shared" ca="1" si="265"/>
        <v>66103.298816188981</v>
      </c>
      <c r="AE375" s="50">
        <f t="shared" ca="1" si="265"/>
        <v>67425.364792512773</v>
      </c>
      <c r="AF375" s="50">
        <f t="shared" ca="1" si="265"/>
        <v>68773.872088363001</v>
      </c>
      <c r="AG375" s="50">
        <f t="shared" ca="1" si="265"/>
        <v>70149.349530130276</v>
      </c>
      <c r="AH375" s="50">
        <f t="shared" ca="1" si="265"/>
        <v>71552.33652073289</v>
      </c>
      <c r="AI375" s="50">
        <f t="shared" ca="1" si="265"/>
        <v>72983.383251147534</v>
      </c>
      <c r="AJ375" s="50">
        <f t="shared" ca="1" si="265"/>
        <v>74443.050916170483</v>
      </c>
      <c r="AK375" s="50">
        <f t="shared" ca="1" si="265"/>
        <v>75931.911934493895</v>
      </c>
      <c r="AL375" s="50">
        <f t="shared" si="265"/>
        <v>0</v>
      </c>
      <c r="AM375" s="50">
        <f t="shared" si="265"/>
        <v>0</v>
      </c>
      <c r="AN375" s="50">
        <f t="shared" si="265"/>
        <v>0</v>
      </c>
      <c r="AO375" s="50">
        <f t="shared" si="265"/>
        <v>0</v>
      </c>
      <c r="AP375" s="50">
        <f t="shared" si="265"/>
        <v>0</v>
      </c>
      <c r="AQ375" s="50">
        <f t="shared" si="265"/>
        <v>0</v>
      </c>
      <c r="AR375" s="50">
        <f t="shared" si="265"/>
        <v>0</v>
      </c>
      <c r="AS375" s="50">
        <f t="shared" si="265"/>
        <v>0</v>
      </c>
      <c r="AT375" s="50">
        <f t="shared" si="265"/>
        <v>0</v>
      </c>
      <c r="AU375" s="50">
        <f t="shared" si="265"/>
        <v>0</v>
      </c>
    </row>
    <row r="376" spans="1:47">
      <c r="A376" s="38" t="str">
        <f t="shared" si="264"/>
        <v>2X-</v>
      </c>
      <c r="B376" s="38" t="s">
        <v>270</v>
      </c>
      <c r="C376" s="38" t="str">
        <f>C375</f>
        <v>Gravity Thickener</v>
      </c>
      <c r="D376" s="186">
        <f>OMEsc</f>
        <v>0.02</v>
      </c>
      <c r="E376" s="325"/>
      <c r="G376" s="36" t="s">
        <v>126</v>
      </c>
      <c r="I376" s="39"/>
      <c r="K376" s="39"/>
      <c r="L376" s="43" t="str">
        <f>"["&amp;CostBaseYr&amp;" $]"</f>
        <v>[2013 $]</v>
      </c>
      <c r="N376" s="70">
        <f ca="1">SUMIFS(OFFSET(Assumptions!$I$90,0,MATCH($A376,Configurations,0)-1,COUNT(Assumptions!$A$90:$A$183),1),Assumptions!$D$90:$D$183,$B376&amp;$C376)</f>
        <v>10000</v>
      </c>
      <c r="O376" s="313"/>
      <c r="P376" s="323"/>
      <c r="Q376" s="313"/>
      <c r="R376" s="50">
        <f t="shared" ref="R376:AG378" ca="1" si="266">IF(OR(R$99&lt;InServiceYr,R$99&gt;(InServiceYr+analysis_period-1)),0,IF($P376=0,$N376,$P376)*(1+$D376)^(R$99-CostBaseYr))</f>
        <v>10200</v>
      </c>
      <c r="S376" s="50">
        <f t="shared" ca="1" si="266"/>
        <v>10404</v>
      </c>
      <c r="T376" s="50">
        <f t="shared" ca="1" si="266"/>
        <v>10612.08</v>
      </c>
      <c r="U376" s="50">
        <f t="shared" ca="1" si="266"/>
        <v>10824.321599999999</v>
      </c>
      <c r="V376" s="50">
        <f t="shared" ca="1" si="266"/>
        <v>11040.808032000001</v>
      </c>
      <c r="W376" s="50">
        <f t="shared" ca="1" si="266"/>
        <v>11261.62419264</v>
      </c>
      <c r="X376" s="50">
        <f t="shared" ca="1" si="266"/>
        <v>11486.856676492798</v>
      </c>
      <c r="Y376" s="50">
        <f t="shared" ca="1" si="266"/>
        <v>11716.593810022656</v>
      </c>
      <c r="Z376" s="50">
        <f t="shared" ca="1" si="266"/>
        <v>11950.925686223109</v>
      </c>
      <c r="AA376" s="50">
        <f t="shared" ca="1" si="266"/>
        <v>12189.944199947571</v>
      </c>
      <c r="AB376" s="50">
        <f t="shared" ca="1" si="266"/>
        <v>12433.74308394652</v>
      </c>
      <c r="AC376" s="50">
        <f t="shared" ca="1" si="266"/>
        <v>12682.417945625453</v>
      </c>
      <c r="AD376" s="50">
        <f t="shared" ca="1" si="266"/>
        <v>12936.066304537961</v>
      </c>
      <c r="AE376" s="50">
        <f t="shared" ca="1" si="266"/>
        <v>13194.787630628722</v>
      </c>
      <c r="AF376" s="50">
        <f t="shared" ca="1" si="266"/>
        <v>13458.683383241292</v>
      </c>
      <c r="AG376" s="50">
        <f t="shared" ca="1" si="266"/>
        <v>13727.857050906121</v>
      </c>
      <c r="AH376" s="50">
        <f t="shared" ref="S376:AU378" ca="1" si="267">IF(OR(AH$99&lt;InServiceYr,AH$99&gt;(InServiceYr+analysis_period-1)),0,IF($P376=0,$N376,$P376)*(1+$D376)^(AH$99-CostBaseYr))</f>
        <v>14002.414191924245</v>
      </c>
      <c r="AI376" s="50">
        <f t="shared" ca="1" si="267"/>
        <v>14282.462475762728</v>
      </c>
      <c r="AJ376" s="50">
        <f t="shared" ca="1" si="267"/>
        <v>14568.11172527798</v>
      </c>
      <c r="AK376" s="50">
        <f t="shared" ca="1" si="267"/>
        <v>14859.473959783543</v>
      </c>
      <c r="AL376" s="50">
        <f t="shared" si="267"/>
        <v>0</v>
      </c>
      <c r="AM376" s="50">
        <f t="shared" si="267"/>
        <v>0</v>
      </c>
      <c r="AN376" s="50">
        <f t="shared" si="267"/>
        <v>0</v>
      </c>
      <c r="AO376" s="50">
        <f t="shared" si="267"/>
        <v>0</v>
      </c>
      <c r="AP376" s="50">
        <f t="shared" si="267"/>
        <v>0</v>
      </c>
      <c r="AQ376" s="50">
        <f t="shared" si="267"/>
        <v>0</v>
      </c>
      <c r="AR376" s="50">
        <f t="shared" si="267"/>
        <v>0</v>
      </c>
      <c r="AS376" s="50">
        <f t="shared" si="267"/>
        <v>0</v>
      </c>
      <c r="AT376" s="50">
        <f t="shared" si="267"/>
        <v>0</v>
      </c>
      <c r="AU376" s="50">
        <f t="shared" si="267"/>
        <v>0</v>
      </c>
    </row>
    <row r="377" spans="1:47">
      <c r="A377" s="38" t="str">
        <f t="shared" si="264"/>
        <v>2X-</v>
      </c>
      <c r="B377" s="38" t="s">
        <v>263</v>
      </c>
      <c r="C377" s="38" t="str">
        <f t="shared" ref="C377:C381" si="268">C376</f>
        <v>Gravity Thickener</v>
      </c>
      <c r="D377" s="186">
        <f>OMEsc</f>
        <v>0.02</v>
      </c>
      <c r="E377" s="325"/>
      <c r="G377" s="36" t="s">
        <v>127</v>
      </c>
      <c r="I377" s="39"/>
      <c r="K377" s="39"/>
      <c r="L377" s="43" t="str">
        <f>"["&amp;CostBaseYr&amp;" $]"</f>
        <v>[2013 $]</v>
      </c>
      <c r="N377" s="70">
        <f ca="1">SUMIFS(OFFSET(Assumptions!$I$90,0,MATCH($A377,Configurations,0)-1,COUNT(Assumptions!$A$90:$A$183),1),Assumptions!$D$90:$D$183,$B377&amp;$C377)</f>
        <v>0</v>
      </c>
      <c r="O377" s="313"/>
      <c r="P377" s="323"/>
      <c r="Q377" s="313"/>
      <c r="R377" s="50">
        <f t="shared" ca="1" si="266"/>
        <v>0</v>
      </c>
      <c r="S377" s="50">
        <f t="shared" ca="1" si="267"/>
        <v>0</v>
      </c>
      <c r="T377" s="50">
        <f t="shared" ca="1" si="267"/>
        <v>0</v>
      </c>
      <c r="U377" s="50">
        <f t="shared" ca="1" si="267"/>
        <v>0</v>
      </c>
      <c r="V377" s="50">
        <f t="shared" ca="1" si="267"/>
        <v>0</v>
      </c>
      <c r="W377" s="50">
        <f t="shared" ca="1" si="267"/>
        <v>0</v>
      </c>
      <c r="X377" s="50">
        <f t="shared" ca="1" si="267"/>
        <v>0</v>
      </c>
      <c r="Y377" s="50">
        <f t="shared" ca="1" si="267"/>
        <v>0</v>
      </c>
      <c r="Z377" s="50">
        <f t="shared" ca="1" si="267"/>
        <v>0</v>
      </c>
      <c r="AA377" s="50">
        <f t="shared" ca="1" si="267"/>
        <v>0</v>
      </c>
      <c r="AB377" s="50">
        <f t="shared" ca="1" si="267"/>
        <v>0</v>
      </c>
      <c r="AC377" s="50">
        <f t="shared" ca="1" si="267"/>
        <v>0</v>
      </c>
      <c r="AD377" s="50">
        <f t="shared" ca="1" si="267"/>
        <v>0</v>
      </c>
      <c r="AE377" s="50">
        <f t="shared" ca="1" si="267"/>
        <v>0</v>
      </c>
      <c r="AF377" s="50">
        <f t="shared" ca="1" si="267"/>
        <v>0</v>
      </c>
      <c r="AG377" s="50">
        <f t="shared" ca="1" si="267"/>
        <v>0</v>
      </c>
      <c r="AH377" s="50">
        <f t="shared" ca="1" si="267"/>
        <v>0</v>
      </c>
      <c r="AI377" s="50">
        <f t="shared" ca="1" si="267"/>
        <v>0</v>
      </c>
      <c r="AJ377" s="50">
        <f t="shared" ca="1" si="267"/>
        <v>0</v>
      </c>
      <c r="AK377" s="50">
        <f t="shared" ca="1" si="267"/>
        <v>0</v>
      </c>
      <c r="AL377" s="50">
        <f t="shared" si="267"/>
        <v>0</v>
      </c>
      <c r="AM377" s="50">
        <f t="shared" si="267"/>
        <v>0</v>
      </c>
      <c r="AN377" s="50">
        <f t="shared" si="267"/>
        <v>0</v>
      </c>
      <c r="AO377" s="50">
        <f t="shared" si="267"/>
        <v>0</v>
      </c>
      <c r="AP377" s="50">
        <f t="shared" si="267"/>
        <v>0</v>
      </c>
      <c r="AQ377" s="50">
        <f t="shared" si="267"/>
        <v>0</v>
      </c>
      <c r="AR377" s="50">
        <f t="shared" si="267"/>
        <v>0</v>
      </c>
      <c r="AS377" s="50">
        <f t="shared" si="267"/>
        <v>0</v>
      </c>
      <c r="AT377" s="50">
        <f t="shared" si="267"/>
        <v>0</v>
      </c>
      <c r="AU377" s="50">
        <f t="shared" si="267"/>
        <v>0</v>
      </c>
    </row>
    <row r="378" spans="1:47">
      <c r="A378" s="38" t="str">
        <f t="shared" si="264"/>
        <v>2X-</v>
      </c>
      <c r="B378" s="38" t="s">
        <v>277</v>
      </c>
      <c r="C378" s="38" t="str">
        <f t="shared" si="268"/>
        <v>Gravity Thickener</v>
      </c>
      <c r="D378" s="186">
        <f>OMEsc</f>
        <v>0.02</v>
      </c>
      <c r="E378" s="325"/>
      <c r="G378" s="36" t="s">
        <v>276</v>
      </c>
      <c r="I378" s="39"/>
      <c r="K378" s="39"/>
      <c r="L378" s="43" t="str">
        <f>"["&amp;CostBaseYr&amp;" $]"</f>
        <v>[2013 $]</v>
      </c>
      <c r="N378" s="70">
        <f ca="1">SUMIFS(OFFSET(Assumptions!$I$90,0,MATCH($A378,Configurations,0)-1,COUNT(Assumptions!$A$90:$A$183),1),Assumptions!$D$90:$D$183,$B378&amp;$C378)</f>
        <v>0</v>
      </c>
      <c r="O378" s="313"/>
      <c r="P378" s="323"/>
      <c r="Q378" s="313"/>
      <c r="R378" s="50">
        <f t="shared" ca="1" si="266"/>
        <v>0</v>
      </c>
      <c r="S378" s="50">
        <f t="shared" ca="1" si="267"/>
        <v>0</v>
      </c>
      <c r="T378" s="50">
        <f t="shared" ca="1" si="267"/>
        <v>0</v>
      </c>
      <c r="U378" s="50">
        <f t="shared" ca="1" si="267"/>
        <v>0</v>
      </c>
      <c r="V378" s="50">
        <f t="shared" ca="1" si="267"/>
        <v>0</v>
      </c>
      <c r="W378" s="50">
        <f t="shared" ca="1" si="267"/>
        <v>0</v>
      </c>
      <c r="X378" s="50">
        <f t="shared" ca="1" si="267"/>
        <v>0</v>
      </c>
      <c r="Y378" s="50">
        <f t="shared" ca="1" si="267"/>
        <v>0</v>
      </c>
      <c r="Z378" s="50">
        <f t="shared" ca="1" si="267"/>
        <v>0</v>
      </c>
      <c r="AA378" s="50">
        <f t="shared" ca="1" si="267"/>
        <v>0</v>
      </c>
      <c r="AB378" s="50">
        <f t="shared" ca="1" si="267"/>
        <v>0</v>
      </c>
      <c r="AC378" s="50">
        <f t="shared" ca="1" si="267"/>
        <v>0</v>
      </c>
      <c r="AD378" s="50">
        <f t="shared" ca="1" si="267"/>
        <v>0</v>
      </c>
      <c r="AE378" s="50">
        <f t="shared" ca="1" si="267"/>
        <v>0</v>
      </c>
      <c r="AF378" s="50">
        <f t="shared" ca="1" si="267"/>
        <v>0</v>
      </c>
      <c r="AG378" s="50">
        <f t="shared" ca="1" si="267"/>
        <v>0</v>
      </c>
      <c r="AH378" s="50">
        <f t="shared" ca="1" si="267"/>
        <v>0</v>
      </c>
      <c r="AI378" s="50">
        <f t="shared" ca="1" si="267"/>
        <v>0</v>
      </c>
      <c r="AJ378" s="50">
        <f t="shared" ca="1" si="267"/>
        <v>0</v>
      </c>
      <c r="AK378" s="50">
        <f t="shared" ca="1" si="267"/>
        <v>0</v>
      </c>
      <c r="AL378" s="50">
        <f t="shared" si="267"/>
        <v>0</v>
      </c>
      <c r="AM378" s="50">
        <f t="shared" si="267"/>
        <v>0</v>
      </c>
      <c r="AN378" s="50">
        <f t="shared" si="267"/>
        <v>0</v>
      </c>
      <c r="AO378" s="50">
        <f t="shared" si="267"/>
        <v>0</v>
      </c>
      <c r="AP378" s="50">
        <f t="shared" si="267"/>
        <v>0</v>
      </c>
      <c r="AQ378" s="50">
        <f t="shared" si="267"/>
        <v>0</v>
      </c>
      <c r="AR378" s="50">
        <f t="shared" si="267"/>
        <v>0</v>
      </c>
      <c r="AS378" s="50">
        <f t="shared" si="267"/>
        <v>0</v>
      </c>
      <c r="AT378" s="50">
        <f t="shared" si="267"/>
        <v>0</v>
      </c>
      <c r="AU378" s="50">
        <f t="shared" si="267"/>
        <v>0</v>
      </c>
    </row>
    <row r="379" spans="1:47">
      <c r="A379" s="38" t="str">
        <f t="shared" si="264"/>
        <v>2X-</v>
      </c>
      <c r="B379" s="38" t="s">
        <v>274</v>
      </c>
      <c r="C379" s="38" t="str">
        <f t="shared" si="268"/>
        <v>Gravity Thickener</v>
      </c>
      <c r="D379" s="186"/>
      <c r="E379" s="325"/>
      <c r="G379" s="36" t="s">
        <v>16</v>
      </c>
      <c r="I379" s="39"/>
      <c r="K379" s="39"/>
      <c r="L379" s="43" t="s">
        <v>275</v>
      </c>
      <c r="N379" s="70">
        <f ca="1">SUMIFS(OFFSET(Assumptions!$I$90,0,MATCH($A379,Configurations,0)-1,COUNT(Assumptions!$A$90:$A$183),1),Assumptions!$D$90:$D$183,$B379&amp;$C379)</f>
        <v>0</v>
      </c>
      <c r="O379" s="313"/>
      <c r="P379" s="323"/>
      <c r="Q379" s="313"/>
      <c r="R379" s="50">
        <f t="shared" ref="R379:AU379" ca="1" si="269">IF(OR(R$99&lt;InServiceYr,R$99&gt;(InServiceYr+analysis_period-1)),0,IF($P379=0,$N379,$P379)*R$505)</f>
        <v>0</v>
      </c>
      <c r="S379" s="50">
        <f t="shared" ca="1" si="269"/>
        <v>0</v>
      </c>
      <c r="T379" s="50">
        <f t="shared" ca="1" si="269"/>
        <v>0</v>
      </c>
      <c r="U379" s="50">
        <f t="shared" ca="1" si="269"/>
        <v>0</v>
      </c>
      <c r="V379" s="50">
        <f t="shared" ca="1" si="269"/>
        <v>0</v>
      </c>
      <c r="W379" s="50">
        <f t="shared" ca="1" si="269"/>
        <v>0</v>
      </c>
      <c r="X379" s="50">
        <f t="shared" ca="1" si="269"/>
        <v>0</v>
      </c>
      <c r="Y379" s="50">
        <f t="shared" ca="1" si="269"/>
        <v>0</v>
      </c>
      <c r="Z379" s="50">
        <f t="shared" ca="1" si="269"/>
        <v>0</v>
      </c>
      <c r="AA379" s="50">
        <f t="shared" ca="1" si="269"/>
        <v>0</v>
      </c>
      <c r="AB379" s="50">
        <f t="shared" ca="1" si="269"/>
        <v>0</v>
      </c>
      <c r="AC379" s="50">
        <f t="shared" ca="1" si="269"/>
        <v>0</v>
      </c>
      <c r="AD379" s="50">
        <f t="shared" ca="1" si="269"/>
        <v>0</v>
      </c>
      <c r="AE379" s="50">
        <f t="shared" ca="1" si="269"/>
        <v>0</v>
      </c>
      <c r="AF379" s="50">
        <f t="shared" ca="1" si="269"/>
        <v>0</v>
      </c>
      <c r="AG379" s="50">
        <f t="shared" ca="1" si="269"/>
        <v>0</v>
      </c>
      <c r="AH379" s="50">
        <f t="shared" ca="1" si="269"/>
        <v>0</v>
      </c>
      <c r="AI379" s="50">
        <f t="shared" ca="1" si="269"/>
        <v>0</v>
      </c>
      <c r="AJ379" s="50">
        <f t="shared" ca="1" si="269"/>
        <v>0</v>
      </c>
      <c r="AK379" s="50">
        <f t="shared" ca="1" si="269"/>
        <v>0</v>
      </c>
      <c r="AL379" s="50">
        <f t="shared" si="269"/>
        <v>0</v>
      </c>
      <c r="AM379" s="50">
        <f t="shared" si="269"/>
        <v>0</v>
      </c>
      <c r="AN379" s="50">
        <f t="shared" si="269"/>
        <v>0</v>
      </c>
      <c r="AO379" s="50">
        <f t="shared" si="269"/>
        <v>0</v>
      </c>
      <c r="AP379" s="50">
        <f t="shared" si="269"/>
        <v>0</v>
      </c>
      <c r="AQ379" s="50">
        <f t="shared" si="269"/>
        <v>0</v>
      </c>
      <c r="AR379" s="50">
        <f t="shared" si="269"/>
        <v>0</v>
      </c>
      <c r="AS379" s="50">
        <f t="shared" si="269"/>
        <v>0</v>
      </c>
      <c r="AT379" s="50">
        <f t="shared" si="269"/>
        <v>0</v>
      </c>
      <c r="AU379" s="50">
        <f t="shared" si="269"/>
        <v>0</v>
      </c>
    </row>
    <row r="380" spans="1:47">
      <c r="A380" s="38" t="str">
        <f t="shared" si="264"/>
        <v>2X-</v>
      </c>
      <c r="B380" s="38" t="s">
        <v>257</v>
      </c>
      <c r="C380" s="38" t="str">
        <f t="shared" si="268"/>
        <v>Gravity Thickener</v>
      </c>
      <c r="D380" s="186"/>
      <c r="E380" s="325"/>
      <c r="G380" s="36" t="s">
        <v>284</v>
      </c>
      <c r="I380" s="39"/>
      <c r="K380" s="39"/>
      <c r="L380" s="43" t="s">
        <v>293</v>
      </c>
      <c r="N380" s="70">
        <f ca="1">SUMIFS(OFFSET(Assumptions!$I$90,0,MATCH($A380,Configurations,0)-1,COUNT(Assumptions!$A$90:$A$183),1),Assumptions!$D$90:$D$183,$B380&amp;$C380)</f>
        <v>8400</v>
      </c>
      <c r="O380" s="313"/>
      <c r="P380" s="323"/>
      <c r="Q380" s="313"/>
      <c r="R380" s="50">
        <f t="shared" ref="R380:AU380" ca="1" si="270">IF(OR(R$99&lt;InServiceYr,R$99&gt;(InServiceYr+analysis_period-1)),0,IF($P380=0,$N380,$P380)*R$501)</f>
        <v>542.48507092729631</v>
      </c>
      <c r="S380" s="50">
        <f t="shared" ca="1" si="270"/>
        <v>545.86666858609908</v>
      </c>
      <c r="T380" s="50">
        <f t="shared" ca="1" si="270"/>
        <v>569.3989487342235</v>
      </c>
      <c r="U380" s="50">
        <f t="shared" ca="1" si="270"/>
        <v>586.4794923617535</v>
      </c>
      <c r="V380" s="50">
        <f t="shared" ca="1" si="270"/>
        <v>600.63189369903944</v>
      </c>
      <c r="W380" s="50">
        <f t="shared" ca="1" si="270"/>
        <v>608.31594737989042</v>
      </c>
      <c r="X380" s="50">
        <f t="shared" ca="1" si="270"/>
        <v>618.21475234641093</v>
      </c>
      <c r="Y380" s="50">
        <f t="shared" ca="1" si="270"/>
        <v>633.4463047155474</v>
      </c>
      <c r="Z380" s="50">
        <f t="shared" ca="1" si="270"/>
        <v>648.61144118121092</v>
      </c>
      <c r="AA380" s="50">
        <f t="shared" ca="1" si="270"/>
        <v>664.82832030458803</v>
      </c>
      <c r="AB380" s="50">
        <f t="shared" ca="1" si="270"/>
        <v>679.22837076534552</v>
      </c>
      <c r="AC380" s="50">
        <f t="shared" ca="1" si="270"/>
        <v>692.30783592677653</v>
      </c>
      <c r="AD380" s="50">
        <f t="shared" ca="1" si="270"/>
        <v>708.3000064780756</v>
      </c>
      <c r="AE380" s="50">
        <f t="shared" ca="1" si="270"/>
        <v>724.44333836552391</v>
      </c>
      <c r="AF380" s="50">
        <f t="shared" ca="1" si="270"/>
        <v>741.66814111586268</v>
      </c>
      <c r="AG380" s="50">
        <f t="shared" ca="1" si="270"/>
        <v>760.96398018696061</v>
      </c>
      <c r="AH380" s="50">
        <f t="shared" ca="1" si="270"/>
        <v>779.61327375529777</v>
      </c>
      <c r="AI380" s="50">
        <f t="shared" ca="1" si="270"/>
        <v>799.8376753198844</v>
      </c>
      <c r="AJ380" s="50">
        <f t="shared" ca="1" si="270"/>
        <v>821.2481406233785</v>
      </c>
      <c r="AK380" s="50">
        <f t="shared" ca="1" si="270"/>
        <v>843.58877225416643</v>
      </c>
      <c r="AL380" s="50">
        <f t="shared" si="270"/>
        <v>0</v>
      </c>
      <c r="AM380" s="50">
        <f t="shared" si="270"/>
        <v>0</v>
      </c>
      <c r="AN380" s="50">
        <f t="shared" si="270"/>
        <v>0</v>
      </c>
      <c r="AO380" s="50">
        <f t="shared" si="270"/>
        <v>0</v>
      </c>
      <c r="AP380" s="50">
        <f t="shared" si="270"/>
        <v>0</v>
      </c>
      <c r="AQ380" s="50">
        <f t="shared" si="270"/>
        <v>0</v>
      </c>
      <c r="AR380" s="50">
        <f t="shared" si="270"/>
        <v>0</v>
      </c>
      <c r="AS380" s="50">
        <f t="shared" si="270"/>
        <v>0</v>
      </c>
      <c r="AT380" s="50">
        <f t="shared" si="270"/>
        <v>0</v>
      </c>
      <c r="AU380" s="50">
        <f t="shared" si="270"/>
        <v>0</v>
      </c>
    </row>
    <row r="381" spans="1:47">
      <c r="A381" s="38" t="str">
        <f t="shared" si="264"/>
        <v>2X-</v>
      </c>
      <c r="B381" s="38" t="s">
        <v>864</v>
      </c>
      <c r="C381" s="38" t="str">
        <f t="shared" si="268"/>
        <v>Gravity Thickener</v>
      </c>
      <c r="D381" s="186">
        <f>GHGEsc</f>
        <v>0.02</v>
      </c>
      <c r="E381" s="325"/>
      <c r="G381" s="36" t="s">
        <v>865</v>
      </c>
      <c r="I381" s="39"/>
      <c r="K381" s="39"/>
      <c r="L381" s="43" t="s">
        <v>866</v>
      </c>
      <c r="N381" s="70">
        <f ca="1">SUMIFS(OFFSET(Assumptions!$I$90,0,MATCH($A381,Configurations,0)-1,COUNT(Assumptions!$A$90:$A$183),1),Assumptions!$D$90:$D$183,$B381&amp;$C381)</f>
        <v>0</v>
      </c>
      <c r="O381" s="313"/>
      <c r="P381" s="323"/>
      <c r="Q381" s="313"/>
      <c r="R381" s="50">
        <f t="shared" ref="R381:AU381" ca="1" si="271">IF(OR(R$99&lt;InServiceYr,R$99&gt;(InServiceYr+analysis_period-1)),0,IF($P381=0,$N381,$P381)*R$513)</f>
        <v>0</v>
      </c>
      <c r="S381" s="50">
        <f t="shared" ca="1" si="271"/>
        <v>0</v>
      </c>
      <c r="T381" s="50">
        <f t="shared" ca="1" si="271"/>
        <v>0</v>
      </c>
      <c r="U381" s="50">
        <f t="shared" ca="1" si="271"/>
        <v>0</v>
      </c>
      <c r="V381" s="50">
        <f t="shared" ca="1" si="271"/>
        <v>0</v>
      </c>
      <c r="W381" s="50">
        <f t="shared" ca="1" si="271"/>
        <v>0</v>
      </c>
      <c r="X381" s="50">
        <f t="shared" ca="1" si="271"/>
        <v>0</v>
      </c>
      <c r="Y381" s="50">
        <f t="shared" ca="1" si="271"/>
        <v>0</v>
      </c>
      <c r="Z381" s="50">
        <f t="shared" ca="1" si="271"/>
        <v>0</v>
      </c>
      <c r="AA381" s="50">
        <f t="shared" ca="1" si="271"/>
        <v>0</v>
      </c>
      <c r="AB381" s="50">
        <f t="shared" ca="1" si="271"/>
        <v>0</v>
      </c>
      <c r="AC381" s="50">
        <f t="shared" ca="1" si="271"/>
        <v>0</v>
      </c>
      <c r="AD381" s="50">
        <f t="shared" ca="1" si="271"/>
        <v>0</v>
      </c>
      <c r="AE381" s="50">
        <f t="shared" ca="1" si="271"/>
        <v>0</v>
      </c>
      <c r="AF381" s="50">
        <f t="shared" ca="1" si="271"/>
        <v>0</v>
      </c>
      <c r="AG381" s="50">
        <f t="shared" ca="1" si="271"/>
        <v>0</v>
      </c>
      <c r="AH381" s="50">
        <f t="shared" ca="1" si="271"/>
        <v>0</v>
      </c>
      <c r="AI381" s="50">
        <f t="shared" ca="1" si="271"/>
        <v>0</v>
      </c>
      <c r="AJ381" s="50">
        <f t="shared" ca="1" si="271"/>
        <v>0</v>
      </c>
      <c r="AK381" s="50">
        <f t="shared" ca="1" si="271"/>
        <v>0</v>
      </c>
      <c r="AL381" s="50">
        <f t="shared" si="271"/>
        <v>0</v>
      </c>
      <c r="AM381" s="50">
        <f t="shared" si="271"/>
        <v>0</v>
      </c>
      <c r="AN381" s="50">
        <f t="shared" si="271"/>
        <v>0</v>
      </c>
      <c r="AO381" s="50">
        <f t="shared" si="271"/>
        <v>0</v>
      </c>
      <c r="AP381" s="50">
        <f t="shared" si="271"/>
        <v>0</v>
      </c>
      <c r="AQ381" s="50">
        <f t="shared" si="271"/>
        <v>0</v>
      </c>
      <c r="AR381" s="50">
        <f t="shared" si="271"/>
        <v>0</v>
      </c>
      <c r="AS381" s="50">
        <f t="shared" si="271"/>
        <v>0</v>
      </c>
      <c r="AT381" s="50">
        <f t="shared" si="271"/>
        <v>0</v>
      </c>
      <c r="AU381" s="50">
        <f t="shared" si="271"/>
        <v>0</v>
      </c>
    </row>
    <row r="382" spans="1:47">
      <c r="A382" s="38" t="str">
        <f t="shared" si="264"/>
        <v>2X-</v>
      </c>
      <c r="B382" s="38" t="s">
        <v>273</v>
      </c>
      <c r="C382" s="38" t="str">
        <f>C380</f>
        <v>Gravity Thickener</v>
      </c>
      <c r="D382" s="186">
        <f>LaborEsc</f>
        <v>0.02</v>
      </c>
      <c r="E382" s="325"/>
      <c r="G382" s="36" t="s">
        <v>291</v>
      </c>
      <c r="I382" s="39"/>
      <c r="K382" s="39"/>
      <c r="L382" s="43" t="str">
        <f>"["&amp;CostBaseYr&amp;" $]"</f>
        <v>[2013 $]</v>
      </c>
      <c r="N382" s="70">
        <f ca="1">SUMIFS(OFFSET(Assumptions!$I$90,0,MATCH($A382,Configurations,0)-1,COUNT(Assumptions!$A$90:$A$183),1),Assumptions!$D$90:$D$183,$B382&amp;$C382)</f>
        <v>0</v>
      </c>
      <c r="O382" s="313"/>
      <c r="P382" s="323"/>
      <c r="Q382" s="313"/>
      <c r="R382" s="50">
        <f t="shared" ref="R382:AU382" ca="1" si="272">IF(OR(R$99&lt;InServiceYr,R$99&gt;(InServiceYr+analysis_period-1)),0,IF($P382=0,$N382,$P382)*(1+$D382)^(R$99-CostBaseYr))*R$509</f>
        <v>0</v>
      </c>
      <c r="S382" s="50">
        <f t="shared" ca="1" si="272"/>
        <v>0</v>
      </c>
      <c r="T382" s="50">
        <f t="shared" ca="1" si="272"/>
        <v>0</v>
      </c>
      <c r="U382" s="50">
        <f t="shared" ca="1" si="272"/>
        <v>0</v>
      </c>
      <c r="V382" s="50">
        <f t="shared" ca="1" si="272"/>
        <v>0</v>
      </c>
      <c r="W382" s="50">
        <f t="shared" ca="1" si="272"/>
        <v>0</v>
      </c>
      <c r="X382" s="50">
        <f t="shared" ca="1" si="272"/>
        <v>0</v>
      </c>
      <c r="Y382" s="50">
        <f t="shared" ca="1" si="272"/>
        <v>0</v>
      </c>
      <c r="Z382" s="50">
        <f t="shared" ca="1" si="272"/>
        <v>0</v>
      </c>
      <c r="AA382" s="50">
        <f t="shared" ca="1" si="272"/>
        <v>0</v>
      </c>
      <c r="AB382" s="50">
        <f t="shared" ca="1" si="272"/>
        <v>0</v>
      </c>
      <c r="AC382" s="50">
        <f t="shared" ca="1" si="272"/>
        <v>0</v>
      </c>
      <c r="AD382" s="50">
        <f t="shared" ca="1" si="272"/>
        <v>0</v>
      </c>
      <c r="AE382" s="50">
        <f t="shared" ca="1" si="272"/>
        <v>0</v>
      </c>
      <c r="AF382" s="50">
        <f t="shared" ca="1" si="272"/>
        <v>0</v>
      </c>
      <c r="AG382" s="50">
        <f t="shared" ca="1" si="272"/>
        <v>0</v>
      </c>
      <c r="AH382" s="50">
        <f t="shared" ca="1" si="272"/>
        <v>0</v>
      </c>
      <c r="AI382" s="50">
        <f t="shared" ca="1" si="272"/>
        <v>0</v>
      </c>
      <c r="AJ382" s="50">
        <f t="shared" ca="1" si="272"/>
        <v>0</v>
      </c>
      <c r="AK382" s="50">
        <f t="shared" ca="1" si="272"/>
        <v>0</v>
      </c>
      <c r="AL382" s="50">
        <f t="shared" si="272"/>
        <v>0</v>
      </c>
      <c r="AM382" s="50">
        <f t="shared" si="272"/>
        <v>0</v>
      </c>
      <c r="AN382" s="50">
        <f t="shared" si="272"/>
        <v>0</v>
      </c>
      <c r="AO382" s="50">
        <f t="shared" si="272"/>
        <v>0</v>
      </c>
      <c r="AP382" s="50">
        <f t="shared" si="272"/>
        <v>0</v>
      </c>
      <c r="AQ382" s="50">
        <f t="shared" si="272"/>
        <v>0</v>
      </c>
      <c r="AR382" s="50">
        <f t="shared" si="272"/>
        <v>0</v>
      </c>
      <c r="AS382" s="50">
        <f t="shared" si="272"/>
        <v>0</v>
      </c>
      <c r="AT382" s="50">
        <f t="shared" si="272"/>
        <v>0</v>
      </c>
      <c r="AU382" s="50">
        <f t="shared" si="272"/>
        <v>0</v>
      </c>
    </row>
    <row r="383" spans="1:47">
      <c r="D383" s="186"/>
      <c r="E383" s="325"/>
      <c r="G383" s="39" t="s">
        <v>304</v>
      </c>
      <c r="I383" s="39"/>
      <c r="K383" s="39"/>
      <c r="L383" s="43"/>
      <c r="N383" s="70"/>
      <c r="O383" s="313"/>
      <c r="P383" s="70"/>
      <c r="Q383" s="313"/>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row>
    <row r="384" spans="1:47">
      <c r="A384" s="38" t="str">
        <f>$J$4&amp;"-"</f>
        <v>2X-</v>
      </c>
      <c r="B384" s="38" t="s">
        <v>265</v>
      </c>
      <c r="C384" s="38" t="str">
        <f>C375</f>
        <v>Gravity Thickener</v>
      </c>
      <c r="D384" s="186"/>
      <c r="E384" s="325"/>
      <c r="G384" s="36" t="s">
        <v>108</v>
      </c>
      <c r="I384" s="39"/>
      <c r="K384" s="39"/>
      <c r="L384" s="43" t="s">
        <v>293</v>
      </c>
      <c r="N384" s="70">
        <f ca="1">SUMIFS(OFFSET(Assumptions!$I$90,0,MATCH($A384,Configurations,0)-1,COUNT(Assumptions!$A$90:$A$183),1),Assumptions!$D$90:$D$183,$B384&amp;$C384)</f>
        <v>0</v>
      </c>
      <c r="O384" s="313"/>
      <c r="P384" s="323"/>
      <c r="Q384" s="313"/>
      <c r="R384" s="50">
        <f t="shared" ref="R384:AU384" ca="1" si="273">IF(OR(R$99&lt;InServiceYr,R$99&gt;(InServiceYr+analysis_period-1)),0,IF($P384=0,$N384,$P384)*R$501)</f>
        <v>0</v>
      </c>
      <c r="S384" s="50">
        <f t="shared" ca="1" si="273"/>
        <v>0</v>
      </c>
      <c r="T384" s="50">
        <f t="shared" ca="1" si="273"/>
        <v>0</v>
      </c>
      <c r="U384" s="50">
        <f t="shared" ca="1" si="273"/>
        <v>0</v>
      </c>
      <c r="V384" s="50">
        <f t="shared" ca="1" si="273"/>
        <v>0</v>
      </c>
      <c r="W384" s="50">
        <f t="shared" ca="1" si="273"/>
        <v>0</v>
      </c>
      <c r="X384" s="50">
        <f t="shared" ca="1" si="273"/>
        <v>0</v>
      </c>
      <c r="Y384" s="50">
        <f t="shared" ca="1" si="273"/>
        <v>0</v>
      </c>
      <c r="Z384" s="50">
        <f t="shared" ca="1" si="273"/>
        <v>0</v>
      </c>
      <c r="AA384" s="50">
        <f t="shared" ca="1" si="273"/>
        <v>0</v>
      </c>
      <c r="AB384" s="50">
        <f t="shared" ca="1" si="273"/>
        <v>0</v>
      </c>
      <c r="AC384" s="50">
        <f t="shared" ca="1" si="273"/>
        <v>0</v>
      </c>
      <c r="AD384" s="50">
        <f t="shared" ca="1" si="273"/>
        <v>0</v>
      </c>
      <c r="AE384" s="50">
        <f t="shared" ca="1" si="273"/>
        <v>0</v>
      </c>
      <c r="AF384" s="50">
        <f t="shared" ca="1" si="273"/>
        <v>0</v>
      </c>
      <c r="AG384" s="50">
        <f t="shared" ca="1" si="273"/>
        <v>0</v>
      </c>
      <c r="AH384" s="50">
        <f t="shared" ca="1" si="273"/>
        <v>0</v>
      </c>
      <c r="AI384" s="50">
        <f t="shared" ca="1" si="273"/>
        <v>0</v>
      </c>
      <c r="AJ384" s="50">
        <f t="shared" ca="1" si="273"/>
        <v>0</v>
      </c>
      <c r="AK384" s="50">
        <f t="shared" ca="1" si="273"/>
        <v>0</v>
      </c>
      <c r="AL384" s="50">
        <f t="shared" si="273"/>
        <v>0</v>
      </c>
      <c r="AM384" s="50">
        <f t="shared" si="273"/>
        <v>0</v>
      </c>
      <c r="AN384" s="50">
        <f t="shared" si="273"/>
        <v>0</v>
      </c>
      <c r="AO384" s="50">
        <f t="shared" si="273"/>
        <v>0</v>
      </c>
      <c r="AP384" s="50">
        <f t="shared" si="273"/>
        <v>0</v>
      </c>
      <c r="AQ384" s="50">
        <f t="shared" si="273"/>
        <v>0</v>
      </c>
      <c r="AR384" s="50">
        <f t="shared" si="273"/>
        <v>0</v>
      </c>
      <c r="AS384" s="50">
        <f t="shared" si="273"/>
        <v>0</v>
      </c>
      <c r="AT384" s="50">
        <f t="shared" si="273"/>
        <v>0</v>
      </c>
      <c r="AU384" s="50">
        <f t="shared" si="273"/>
        <v>0</v>
      </c>
    </row>
    <row r="385" spans="1:47">
      <c r="A385" s="38" t="str">
        <f>$J$4&amp;"-"</f>
        <v>2X-</v>
      </c>
      <c r="B385" s="38" t="s">
        <v>289</v>
      </c>
      <c r="C385" s="38" t="str">
        <f>C375</f>
        <v>Gravity Thickener</v>
      </c>
      <c r="D385" s="186">
        <f>LaborEsc</f>
        <v>0.02</v>
      </c>
      <c r="E385" s="325"/>
      <c r="G385" s="36" t="s">
        <v>292</v>
      </c>
      <c r="I385" s="39"/>
      <c r="K385" s="39"/>
      <c r="L385" s="43" t="str">
        <f>"["&amp;CostBaseYr&amp;" $]"</f>
        <v>[2013 $]</v>
      </c>
      <c r="N385" s="70">
        <f ca="1">SUMIFS(OFFSET(Assumptions!$I$90,0,MATCH($A385,Configurations,0)-1,COUNT(Assumptions!$A$90:$A$183),1),Assumptions!$D$90:$D$183,$B385&amp;$C385)</f>
        <v>0</v>
      </c>
      <c r="O385" s="313"/>
      <c r="P385" s="323"/>
      <c r="Q385" s="313"/>
      <c r="R385" s="50">
        <f t="shared" ref="R385:AU385" ca="1" si="274">IF(OR(R$99&lt;InServiceYr,R$99&gt;(InServiceYr+analysis_period-1)),0,IF($P385=0,$N385,$P385)*(1+$D385)^(R$99-CostBaseYr))</f>
        <v>0</v>
      </c>
      <c r="S385" s="50">
        <f t="shared" ca="1" si="274"/>
        <v>0</v>
      </c>
      <c r="T385" s="50">
        <f t="shared" ca="1" si="274"/>
        <v>0</v>
      </c>
      <c r="U385" s="50">
        <f t="shared" ca="1" si="274"/>
        <v>0</v>
      </c>
      <c r="V385" s="50">
        <f t="shared" ca="1" si="274"/>
        <v>0</v>
      </c>
      <c r="W385" s="50">
        <f t="shared" ca="1" si="274"/>
        <v>0</v>
      </c>
      <c r="X385" s="50">
        <f t="shared" ca="1" si="274"/>
        <v>0</v>
      </c>
      <c r="Y385" s="50">
        <f t="shared" ca="1" si="274"/>
        <v>0</v>
      </c>
      <c r="Z385" s="50">
        <f t="shared" ca="1" si="274"/>
        <v>0</v>
      </c>
      <c r="AA385" s="50">
        <f t="shared" ca="1" si="274"/>
        <v>0</v>
      </c>
      <c r="AB385" s="50">
        <f t="shared" ca="1" si="274"/>
        <v>0</v>
      </c>
      <c r="AC385" s="50">
        <f t="shared" ca="1" si="274"/>
        <v>0</v>
      </c>
      <c r="AD385" s="50">
        <f t="shared" ca="1" si="274"/>
        <v>0</v>
      </c>
      <c r="AE385" s="50">
        <f t="shared" ca="1" si="274"/>
        <v>0</v>
      </c>
      <c r="AF385" s="50">
        <f t="shared" ca="1" si="274"/>
        <v>0</v>
      </c>
      <c r="AG385" s="50">
        <f t="shared" ca="1" si="274"/>
        <v>0</v>
      </c>
      <c r="AH385" s="50">
        <f t="shared" ca="1" si="274"/>
        <v>0</v>
      </c>
      <c r="AI385" s="50">
        <f t="shared" ca="1" si="274"/>
        <v>0</v>
      </c>
      <c r="AJ385" s="50">
        <f t="shared" ca="1" si="274"/>
        <v>0</v>
      </c>
      <c r="AK385" s="50">
        <f t="shared" ca="1" si="274"/>
        <v>0</v>
      </c>
      <c r="AL385" s="50">
        <f t="shared" si="274"/>
        <v>0</v>
      </c>
      <c r="AM385" s="50">
        <f t="shared" si="274"/>
        <v>0</v>
      </c>
      <c r="AN385" s="50">
        <f t="shared" si="274"/>
        <v>0</v>
      </c>
      <c r="AO385" s="50">
        <f t="shared" si="274"/>
        <v>0</v>
      </c>
      <c r="AP385" s="50">
        <f t="shared" si="274"/>
        <v>0</v>
      </c>
      <c r="AQ385" s="50">
        <f t="shared" si="274"/>
        <v>0</v>
      </c>
      <c r="AR385" s="50">
        <f t="shared" si="274"/>
        <v>0</v>
      </c>
      <c r="AS385" s="50">
        <f t="shared" si="274"/>
        <v>0</v>
      </c>
      <c r="AT385" s="50">
        <f t="shared" si="274"/>
        <v>0</v>
      </c>
      <c r="AU385" s="50">
        <f t="shared" si="274"/>
        <v>0</v>
      </c>
    </row>
    <row r="386" spans="1:47" s="60" customFormat="1">
      <c r="D386" s="187"/>
      <c r="E386" s="325"/>
      <c r="G386" s="39" t="s">
        <v>305</v>
      </c>
      <c r="I386" s="39"/>
      <c r="K386" s="39"/>
      <c r="L386" s="174"/>
      <c r="N386" s="188"/>
      <c r="O386" s="314"/>
      <c r="P386" s="185"/>
      <c r="Q386" s="314"/>
      <c r="R386" s="185">
        <f ca="1">SUM(R375:R382)-SUM(R384:R385)</f>
        <v>62864.485070927294</v>
      </c>
      <c r="S386" s="185">
        <f t="shared" ref="S386:AU386" ca="1" si="275">SUM(S375:S382)-SUM(S384:S385)</f>
        <v>64114.306668586105</v>
      </c>
      <c r="T386" s="185">
        <f t="shared" ca="1" si="275"/>
        <v>65409.207748734225</v>
      </c>
      <c r="U386" s="185">
        <f t="shared" ca="1" si="275"/>
        <v>66723.084468361762</v>
      </c>
      <c r="V386" s="185">
        <f t="shared" ca="1" si="275"/>
        <v>68059.968969219044</v>
      </c>
      <c r="W386" s="185">
        <f t="shared" ca="1" si="275"/>
        <v>69416.839764410295</v>
      </c>
      <c r="X386" s="185">
        <f t="shared" ca="1" si="275"/>
        <v>70802.909045717402</v>
      </c>
      <c r="Y386" s="185">
        <f t="shared" ca="1" si="275"/>
        <v>72221.834483953964</v>
      </c>
      <c r="Z386" s="185">
        <f t="shared" ca="1" si="275"/>
        <v>73668.767384004415</v>
      </c>
      <c r="AA386" s="185">
        <f t="shared" ca="1" si="275"/>
        <v>75145.387381984241</v>
      </c>
      <c r="AB386" s="185">
        <f t="shared" ca="1" si="275"/>
        <v>76649.398613678582</v>
      </c>
      <c r="AC386" s="185">
        <f t="shared" ca="1" si="275"/>
        <v>78181.881483698293</v>
      </c>
      <c r="AD386" s="185">
        <f t="shared" ca="1" si="275"/>
        <v>79747.665127205022</v>
      </c>
      <c r="AE386" s="185">
        <f t="shared" ca="1" si="275"/>
        <v>81344.595761507022</v>
      </c>
      <c r="AF386" s="185">
        <f t="shared" ca="1" si="275"/>
        <v>82974.223612720161</v>
      </c>
      <c r="AG386" s="185">
        <f t="shared" ca="1" si="275"/>
        <v>84638.170561223364</v>
      </c>
      <c r="AH386" s="185">
        <f t="shared" ca="1" si="275"/>
        <v>86334.363986412427</v>
      </c>
      <c r="AI386" s="185">
        <f t="shared" ca="1" si="275"/>
        <v>88065.683402230148</v>
      </c>
      <c r="AJ386" s="185">
        <f t="shared" ca="1" si="275"/>
        <v>89832.410782071849</v>
      </c>
      <c r="AK386" s="185">
        <f t="shared" ca="1" si="275"/>
        <v>91634.974666531605</v>
      </c>
      <c r="AL386" s="185">
        <f t="shared" si="275"/>
        <v>0</v>
      </c>
      <c r="AM386" s="185">
        <f t="shared" si="275"/>
        <v>0</v>
      </c>
      <c r="AN386" s="185">
        <f t="shared" si="275"/>
        <v>0</v>
      </c>
      <c r="AO386" s="185">
        <f t="shared" si="275"/>
        <v>0</v>
      </c>
      <c r="AP386" s="185">
        <f t="shared" si="275"/>
        <v>0</v>
      </c>
      <c r="AQ386" s="185">
        <f t="shared" si="275"/>
        <v>0</v>
      </c>
      <c r="AR386" s="185">
        <f t="shared" si="275"/>
        <v>0</v>
      </c>
      <c r="AS386" s="185">
        <f t="shared" si="275"/>
        <v>0</v>
      </c>
      <c r="AT386" s="185">
        <f t="shared" si="275"/>
        <v>0</v>
      </c>
      <c r="AU386" s="185">
        <f t="shared" si="275"/>
        <v>0</v>
      </c>
    </row>
    <row r="387" spans="1:47">
      <c r="E387" s="36"/>
      <c r="G387" s="39"/>
      <c r="H387" s="39"/>
      <c r="I387" s="39"/>
      <c r="J387" s="39"/>
      <c r="K387" s="39"/>
    </row>
    <row r="388" spans="1:47">
      <c r="E388" s="327"/>
      <c r="F388" s="28"/>
      <c r="G388" s="324" t="str">
        <f>C390&amp;" Capital Costs"</f>
        <v>Pre-Dewatering  Capital Costs</v>
      </c>
      <c r="H388" s="324"/>
      <c r="I388" s="324"/>
      <c r="J388" s="324"/>
      <c r="K388" s="324"/>
      <c r="L388" s="405" t="s">
        <v>79</v>
      </c>
      <c r="M388" s="256"/>
      <c r="N388" s="325" t="s">
        <v>490</v>
      </c>
      <c r="O388" s="311"/>
      <c r="P388" s="325" t="s">
        <v>491</v>
      </c>
      <c r="Q388" s="310"/>
      <c r="R388" s="325">
        <f>R$8</f>
        <v>2014</v>
      </c>
      <c r="S388" s="325">
        <f t="shared" ref="S388:AU388" si="276">S$8</f>
        <v>2015</v>
      </c>
      <c r="T388" s="325">
        <f t="shared" si="276"/>
        <v>2016</v>
      </c>
      <c r="U388" s="325">
        <f t="shared" si="276"/>
        <v>2017</v>
      </c>
      <c r="V388" s="325">
        <f t="shared" si="276"/>
        <v>2018</v>
      </c>
      <c r="W388" s="325">
        <f t="shared" si="276"/>
        <v>2019</v>
      </c>
      <c r="X388" s="325">
        <f t="shared" si="276"/>
        <v>2020</v>
      </c>
      <c r="Y388" s="325">
        <f t="shared" si="276"/>
        <v>2021</v>
      </c>
      <c r="Z388" s="325">
        <f t="shared" si="276"/>
        <v>2022</v>
      </c>
      <c r="AA388" s="325">
        <f t="shared" si="276"/>
        <v>2023</v>
      </c>
      <c r="AB388" s="325">
        <f t="shared" si="276"/>
        <v>2024</v>
      </c>
      <c r="AC388" s="325">
        <f t="shared" si="276"/>
        <v>2025</v>
      </c>
      <c r="AD388" s="325">
        <f t="shared" si="276"/>
        <v>2026</v>
      </c>
      <c r="AE388" s="325">
        <f t="shared" si="276"/>
        <v>2027</v>
      </c>
      <c r="AF388" s="325">
        <f t="shared" si="276"/>
        <v>2028</v>
      </c>
      <c r="AG388" s="325">
        <f t="shared" si="276"/>
        <v>2029</v>
      </c>
      <c r="AH388" s="325">
        <f t="shared" si="276"/>
        <v>2030</v>
      </c>
      <c r="AI388" s="325">
        <f t="shared" si="276"/>
        <v>2031</v>
      </c>
      <c r="AJ388" s="325">
        <f t="shared" si="276"/>
        <v>2032</v>
      </c>
      <c r="AK388" s="325">
        <f t="shared" si="276"/>
        <v>2033</v>
      </c>
      <c r="AL388" s="325">
        <f t="shared" si="276"/>
        <v>2034</v>
      </c>
      <c r="AM388" s="325">
        <f t="shared" si="276"/>
        <v>2035</v>
      </c>
      <c r="AN388" s="325">
        <f t="shared" si="276"/>
        <v>2036</v>
      </c>
      <c r="AO388" s="325">
        <f t="shared" si="276"/>
        <v>2037</v>
      </c>
      <c r="AP388" s="325">
        <f t="shared" si="276"/>
        <v>2038</v>
      </c>
      <c r="AQ388" s="325">
        <f t="shared" si="276"/>
        <v>2039</v>
      </c>
      <c r="AR388" s="325">
        <f t="shared" si="276"/>
        <v>2040</v>
      </c>
      <c r="AS388" s="325">
        <f t="shared" si="276"/>
        <v>2041</v>
      </c>
      <c r="AT388" s="325">
        <f t="shared" si="276"/>
        <v>2042</v>
      </c>
      <c r="AU388" s="325">
        <f t="shared" si="276"/>
        <v>2043</v>
      </c>
    </row>
    <row r="389" spans="1:47">
      <c r="E389" s="325"/>
      <c r="G389" s="39"/>
      <c r="H389" s="39"/>
      <c r="I389" s="39"/>
      <c r="J389" s="39"/>
      <c r="K389" s="39"/>
    </row>
    <row r="390" spans="1:47">
      <c r="A390" s="38" t="str">
        <f>$J$4&amp;"-"</f>
        <v>2X-</v>
      </c>
      <c r="B390" s="38" t="s">
        <v>306</v>
      </c>
      <c r="C390" s="38" t="s">
        <v>163</v>
      </c>
      <c r="D390" s="186">
        <f>CapExEsc</f>
        <v>0.03</v>
      </c>
      <c r="E390" s="325"/>
      <c r="G390" s="36" t="s">
        <v>8</v>
      </c>
      <c r="H390" s="39"/>
      <c r="I390" s="39"/>
      <c r="J390" s="70"/>
      <c r="K390" s="39"/>
      <c r="L390" s="43" t="str">
        <f>"["&amp;CostBaseYr&amp;" $]"</f>
        <v>[2013 $]</v>
      </c>
      <c r="N390" s="52">
        <f ca="1">SUMIFS(OFFSET(Assumptions!$I$65,0,MATCH($A390,Configurations,0)-1,COUNT(Assumptions!$A$65:$A$84),1),Assumptions!$E$65:$E$84,$C390)</f>
        <v>0</v>
      </c>
      <c r="O390" s="52"/>
      <c r="P390" s="322"/>
      <c r="Q390" s="52"/>
      <c r="R390" s="52">
        <f t="shared" ref="R390:AU390" ca="1" si="277">R391*IF($P390=0,$N390,$P390)*(1+$D390)^(R$8-CostBaseYr)</f>
        <v>0</v>
      </c>
      <c r="S390" s="52">
        <f t="shared" ca="1" si="277"/>
        <v>0</v>
      </c>
      <c r="T390" s="52">
        <f t="shared" ca="1" si="277"/>
        <v>0</v>
      </c>
      <c r="U390" s="52">
        <f t="shared" ca="1" si="277"/>
        <v>0</v>
      </c>
      <c r="V390" s="52">
        <f t="shared" ca="1" si="277"/>
        <v>0</v>
      </c>
      <c r="W390" s="52">
        <f t="shared" ca="1" si="277"/>
        <v>0</v>
      </c>
      <c r="X390" s="52">
        <f t="shared" ca="1" si="277"/>
        <v>0</v>
      </c>
      <c r="Y390" s="52">
        <f t="shared" ca="1" si="277"/>
        <v>0</v>
      </c>
      <c r="Z390" s="52">
        <f t="shared" ca="1" si="277"/>
        <v>0</v>
      </c>
      <c r="AA390" s="52">
        <f t="shared" ca="1" si="277"/>
        <v>0</v>
      </c>
      <c r="AB390" s="52">
        <f t="shared" ca="1" si="277"/>
        <v>0</v>
      </c>
      <c r="AC390" s="52">
        <f t="shared" ca="1" si="277"/>
        <v>0</v>
      </c>
      <c r="AD390" s="52">
        <f t="shared" ca="1" si="277"/>
        <v>0</v>
      </c>
      <c r="AE390" s="52">
        <f t="shared" ca="1" si="277"/>
        <v>0</v>
      </c>
      <c r="AF390" s="52">
        <f t="shared" ca="1" si="277"/>
        <v>0</v>
      </c>
      <c r="AG390" s="52">
        <f t="shared" ca="1" si="277"/>
        <v>0</v>
      </c>
      <c r="AH390" s="52">
        <f t="shared" ca="1" si="277"/>
        <v>0</v>
      </c>
      <c r="AI390" s="52">
        <f t="shared" ca="1" si="277"/>
        <v>0</v>
      </c>
      <c r="AJ390" s="52">
        <f t="shared" ca="1" si="277"/>
        <v>0</v>
      </c>
      <c r="AK390" s="52">
        <f t="shared" ca="1" si="277"/>
        <v>0</v>
      </c>
      <c r="AL390" s="52">
        <f t="shared" ca="1" si="277"/>
        <v>0</v>
      </c>
      <c r="AM390" s="52">
        <f t="shared" ca="1" si="277"/>
        <v>0</v>
      </c>
      <c r="AN390" s="52">
        <f t="shared" ca="1" si="277"/>
        <v>0</v>
      </c>
      <c r="AO390" s="52">
        <f t="shared" ca="1" si="277"/>
        <v>0</v>
      </c>
      <c r="AP390" s="52">
        <f t="shared" ca="1" si="277"/>
        <v>0</v>
      </c>
      <c r="AQ390" s="52">
        <f t="shared" ca="1" si="277"/>
        <v>0</v>
      </c>
      <c r="AR390" s="52">
        <f t="shared" ca="1" si="277"/>
        <v>0</v>
      </c>
      <c r="AS390" s="52">
        <f t="shared" ca="1" si="277"/>
        <v>0</v>
      </c>
      <c r="AT390" s="52">
        <f t="shared" ca="1" si="277"/>
        <v>0</v>
      </c>
      <c r="AU390" s="52">
        <f t="shared" ca="1" si="277"/>
        <v>0</v>
      </c>
    </row>
    <row r="391" spans="1:47">
      <c r="E391" s="325"/>
      <c r="G391" s="36" t="s">
        <v>10</v>
      </c>
      <c r="H391" s="39"/>
      <c r="I391" s="39"/>
      <c r="J391" s="39"/>
      <c r="K391" s="39"/>
      <c r="L391" s="43"/>
      <c r="R391" s="54">
        <f>Assumptions!M$60</f>
        <v>1</v>
      </c>
      <c r="S391" s="54">
        <f>Assumptions!N$60</f>
        <v>0</v>
      </c>
      <c r="T391" s="54">
        <f>Assumptions!O$60</f>
        <v>0</v>
      </c>
      <c r="U391" s="54">
        <f>Assumptions!P$60</f>
        <v>0</v>
      </c>
      <c r="V391" s="54">
        <f>Assumptions!Q$60</f>
        <v>0</v>
      </c>
      <c r="W391" s="54">
        <f>Assumptions!R$60</f>
        <v>0</v>
      </c>
      <c r="X391" s="54">
        <f>Assumptions!S$60</f>
        <v>0</v>
      </c>
      <c r="Y391" s="54">
        <f>Assumptions!T$60</f>
        <v>0</v>
      </c>
      <c r="Z391" s="54">
        <f>Assumptions!U$60</f>
        <v>0</v>
      </c>
      <c r="AA391" s="54">
        <f>Assumptions!V$60</f>
        <v>0</v>
      </c>
      <c r="AB391" s="54">
        <f>Assumptions!W$60</f>
        <v>0</v>
      </c>
      <c r="AC391" s="54">
        <f>Assumptions!X$60</f>
        <v>0</v>
      </c>
      <c r="AD391" s="54">
        <f>Assumptions!Y$60</f>
        <v>0</v>
      </c>
      <c r="AE391" s="54">
        <f>Assumptions!Z$60</f>
        <v>0</v>
      </c>
      <c r="AF391" s="54">
        <f>Assumptions!AA$60</f>
        <v>0</v>
      </c>
      <c r="AG391" s="54">
        <f>Assumptions!AB$60</f>
        <v>0</v>
      </c>
      <c r="AH391" s="54">
        <f>Assumptions!AC$60</f>
        <v>0</v>
      </c>
      <c r="AI391" s="54">
        <f>Assumptions!AD$60</f>
        <v>0</v>
      </c>
      <c r="AJ391" s="54">
        <f>Assumptions!AE$60</f>
        <v>0</v>
      </c>
      <c r="AK391" s="54">
        <f>Assumptions!AF$60</f>
        <v>0</v>
      </c>
      <c r="AL391" s="54">
        <f>Assumptions!AG$60</f>
        <v>0</v>
      </c>
      <c r="AM391" s="54">
        <f>Assumptions!AH$60</f>
        <v>0</v>
      </c>
      <c r="AN391" s="54">
        <f>Assumptions!AI$60</f>
        <v>0</v>
      </c>
      <c r="AO391" s="54">
        <f>Assumptions!AJ$60</f>
        <v>0</v>
      </c>
      <c r="AP391" s="54">
        <f>Assumptions!AK$60</f>
        <v>0</v>
      </c>
      <c r="AQ391" s="54">
        <f>Assumptions!AL$60</f>
        <v>0</v>
      </c>
      <c r="AR391" s="54">
        <f>Assumptions!AM$60</f>
        <v>0</v>
      </c>
      <c r="AS391" s="54">
        <f>Assumptions!AN$60</f>
        <v>0</v>
      </c>
      <c r="AT391" s="54">
        <f>Assumptions!AO$60</f>
        <v>0</v>
      </c>
      <c r="AU391" s="54">
        <f>Assumptions!AP$60</f>
        <v>0</v>
      </c>
    </row>
    <row r="392" spans="1:47">
      <c r="E392" s="326"/>
      <c r="G392" s="39"/>
      <c r="H392" s="39"/>
      <c r="I392" s="39"/>
      <c r="J392" s="39"/>
      <c r="K392" s="39"/>
    </row>
    <row r="393" spans="1:47">
      <c r="E393" s="327"/>
      <c r="F393" s="28"/>
      <c r="G393" s="324" t="str">
        <f>C390&amp;" O&amp;M"</f>
        <v>Pre-Dewatering  O&amp;M</v>
      </c>
      <c r="H393" s="324"/>
      <c r="I393" s="324"/>
      <c r="J393" s="324"/>
      <c r="K393" s="324"/>
      <c r="L393" s="405" t="s">
        <v>79</v>
      </c>
      <c r="M393" s="256"/>
      <c r="N393" s="325" t="s">
        <v>490</v>
      </c>
      <c r="O393" s="311"/>
      <c r="P393" s="325" t="s">
        <v>491</v>
      </c>
      <c r="Q393" s="310"/>
      <c r="R393" s="325">
        <f>R$8</f>
        <v>2014</v>
      </c>
      <c r="S393" s="325">
        <f t="shared" ref="S393:AU393" si="278">S$8</f>
        <v>2015</v>
      </c>
      <c r="T393" s="325">
        <f t="shared" si="278"/>
        <v>2016</v>
      </c>
      <c r="U393" s="325">
        <f t="shared" si="278"/>
        <v>2017</v>
      </c>
      <c r="V393" s="325">
        <f t="shared" si="278"/>
        <v>2018</v>
      </c>
      <c r="W393" s="325">
        <f t="shared" si="278"/>
        <v>2019</v>
      </c>
      <c r="X393" s="325">
        <f t="shared" si="278"/>
        <v>2020</v>
      </c>
      <c r="Y393" s="325">
        <f t="shared" si="278"/>
        <v>2021</v>
      </c>
      <c r="Z393" s="325">
        <f t="shared" si="278"/>
        <v>2022</v>
      </c>
      <c r="AA393" s="325">
        <f t="shared" si="278"/>
        <v>2023</v>
      </c>
      <c r="AB393" s="325">
        <f t="shared" si="278"/>
        <v>2024</v>
      </c>
      <c r="AC393" s="325">
        <f t="shared" si="278"/>
        <v>2025</v>
      </c>
      <c r="AD393" s="325">
        <f t="shared" si="278"/>
        <v>2026</v>
      </c>
      <c r="AE393" s="325">
        <f t="shared" si="278"/>
        <v>2027</v>
      </c>
      <c r="AF393" s="325">
        <f t="shared" si="278"/>
        <v>2028</v>
      </c>
      <c r="AG393" s="325">
        <f t="shared" si="278"/>
        <v>2029</v>
      </c>
      <c r="AH393" s="325">
        <f t="shared" si="278"/>
        <v>2030</v>
      </c>
      <c r="AI393" s="325">
        <f t="shared" si="278"/>
        <v>2031</v>
      </c>
      <c r="AJ393" s="325">
        <f t="shared" si="278"/>
        <v>2032</v>
      </c>
      <c r="AK393" s="325">
        <f t="shared" si="278"/>
        <v>2033</v>
      </c>
      <c r="AL393" s="325">
        <f t="shared" si="278"/>
        <v>2034</v>
      </c>
      <c r="AM393" s="325">
        <f t="shared" si="278"/>
        <v>2035</v>
      </c>
      <c r="AN393" s="325">
        <f t="shared" si="278"/>
        <v>2036</v>
      </c>
      <c r="AO393" s="325">
        <f t="shared" si="278"/>
        <v>2037</v>
      </c>
      <c r="AP393" s="325">
        <f t="shared" si="278"/>
        <v>2038</v>
      </c>
      <c r="AQ393" s="325">
        <f t="shared" si="278"/>
        <v>2039</v>
      </c>
      <c r="AR393" s="325">
        <f t="shared" si="278"/>
        <v>2040</v>
      </c>
      <c r="AS393" s="325">
        <f t="shared" si="278"/>
        <v>2041</v>
      </c>
      <c r="AT393" s="325">
        <f t="shared" si="278"/>
        <v>2042</v>
      </c>
      <c r="AU393" s="325">
        <f t="shared" si="278"/>
        <v>2043</v>
      </c>
    </row>
    <row r="394" spans="1:47">
      <c r="E394" s="325"/>
      <c r="G394" s="39"/>
      <c r="H394" s="39"/>
      <c r="I394" s="39"/>
      <c r="J394" s="39"/>
      <c r="K394" s="39"/>
    </row>
    <row r="395" spans="1:47">
      <c r="E395" s="325"/>
      <c r="G395" s="39" t="s">
        <v>23</v>
      </c>
      <c r="H395" s="39"/>
      <c r="I395" s="39"/>
      <c r="J395" s="39"/>
      <c r="K395" s="39"/>
    </row>
    <row r="396" spans="1:47">
      <c r="A396" s="38" t="str">
        <f t="shared" ref="A396:A403" si="279">$J$4&amp;"-"</f>
        <v>2X-</v>
      </c>
      <c r="B396" s="38" t="s">
        <v>262</v>
      </c>
      <c r="C396" s="38" t="str">
        <f>C390</f>
        <v xml:space="preserve">Pre-Dewatering </v>
      </c>
      <c r="D396" s="186">
        <f>LaborEsc</f>
        <v>0.02</v>
      </c>
      <c r="E396" s="325"/>
      <c r="G396" s="36" t="s">
        <v>125</v>
      </c>
      <c r="I396" s="39"/>
      <c r="K396" s="39"/>
      <c r="L396" s="43" t="s">
        <v>266</v>
      </c>
      <c r="N396" s="70">
        <f ca="1">SUMIFS(OFFSET(Assumptions!$I$90,0,MATCH($A396,Configurations,0)-1,COUNT(Assumptions!$A$90:$A$183),1),Assumptions!$D$90:$D$183,$B396&amp;$C396)</f>
        <v>0</v>
      </c>
      <c r="O396" s="313"/>
      <c r="P396" s="323"/>
      <c r="Q396" s="313"/>
      <c r="R396" s="50">
        <f t="shared" ref="R396:AU396" ca="1" si="280">IF(OR(R$99&lt;InServiceYr,R$99&gt;(InServiceYr+analysis_period-1)),0,IF($P396=0,$N396,$P396)*LaborCost*(1+$D396)^(R$99-CostBaseYr))</f>
        <v>0</v>
      </c>
      <c r="S396" s="50">
        <f t="shared" ca="1" si="280"/>
        <v>0</v>
      </c>
      <c r="T396" s="50">
        <f t="shared" ca="1" si="280"/>
        <v>0</v>
      </c>
      <c r="U396" s="50">
        <f t="shared" ca="1" si="280"/>
        <v>0</v>
      </c>
      <c r="V396" s="50">
        <f t="shared" ca="1" si="280"/>
        <v>0</v>
      </c>
      <c r="W396" s="50">
        <f t="shared" ca="1" si="280"/>
        <v>0</v>
      </c>
      <c r="X396" s="50">
        <f t="shared" ca="1" si="280"/>
        <v>0</v>
      </c>
      <c r="Y396" s="50">
        <f t="shared" ca="1" si="280"/>
        <v>0</v>
      </c>
      <c r="Z396" s="50">
        <f t="shared" ca="1" si="280"/>
        <v>0</v>
      </c>
      <c r="AA396" s="50">
        <f t="shared" ca="1" si="280"/>
        <v>0</v>
      </c>
      <c r="AB396" s="50">
        <f t="shared" ca="1" si="280"/>
        <v>0</v>
      </c>
      <c r="AC396" s="50">
        <f t="shared" ca="1" si="280"/>
        <v>0</v>
      </c>
      <c r="AD396" s="50">
        <f t="shared" ca="1" si="280"/>
        <v>0</v>
      </c>
      <c r="AE396" s="50">
        <f t="shared" ca="1" si="280"/>
        <v>0</v>
      </c>
      <c r="AF396" s="50">
        <f t="shared" ca="1" si="280"/>
        <v>0</v>
      </c>
      <c r="AG396" s="50">
        <f t="shared" ca="1" si="280"/>
        <v>0</v>
      </c>
      <c r="AH396" s="50">
        <f t="shared" ca="1" si="280"/>
        <v>0</v>
      </c>
      <c r="AI396" s="50">
        <f t="shared" ca="1" si="280"/>
        <v>0</v>
      </c>
      <c r="AJ396" s="50">
        <f t="shared" ca="1" si="280"/>
        <v>0</v>
      </c>
      <c r="AK396" s="50">
        <f t="shared" ca="1" si="280"/>
        <v>0</v>
      </c>
      <c r="AL396" s="50">
        <f t="shared" si="280"/>
        <v>0</v>
      </c>
      <c r="AM396" s="50">
        <f t="shared" si="280"/>
        <v>0</v>
      </c>
      <c r="AN396" s="50">
        <f t="shared" si="280"/>
        <v>0</v>
      </c>
      <c r="AO396" s="50">
        <f t="shared" si="280"/>
        <v>0</v>
      </c>
      <c r="AP396" s="50">
        <f t="shared" si="280"/>
        <v>0</v>
      </c>
      <c r="AQ396" s="50">
        <f t="shared" si="280"/>
        <v>0</v>
      </c>
      <c r="AR396" s="50">
        <f t="shared" si="280"/>
        <v>0</v>
      </c>
      <c r="AS396" s="50">
        <f t="shared" si="280"/>
        <v>0</v>
      </c>
      <c r="AT396" s="50">
        <f t="shared" si="280"/>
        <v>0</v>
      </c>
      <c r="AU396" s="50">
        <f t="shared" si="280"/>
        <v>0</v>
      </c>
    </row>
    <row r="397" spans="1:47">
      <c r="A397" s="38" t="str">
        <f t="shared" si="279"/>
        <v>2X-</v>
      </c>
      <c r="B397" s="38" t="s">
        <v>270</v>
      </c>
      <c r="C397" s="38" t="str">
        <f>C396</f>
        <v xml:space="preserve">Pre-Dewatering </v>
      </c>
      <c r="D397" s="186">
        <f>OMEsc</f>
        <v>0.02</v>
      </c>
      <c r="E397" s="325"/>
      <c r="G397" s="36" t="s">
        <v>126</v>
      </c>
      <c r="I397" s="39"/>
      <c r="K397" s="39"/>
      <c r="L397" s="43" t="str">
        <f>"["&amp;CostBaseYr&amp;" $]"</f>
        <v>[2013 $]</v>
      </c>
      <c r="N397" s="70">
        <f ca="1">SUMIFS(OFFSET(Assumptions!$I$90,0,MATCH($A397,Configurations,0)-1,COUNT(Assumptions!$A$90:$A$183),1),Assumptions!$D$90:$D$183,$B397&amp;$C397)</f>
        <v>0</v>
      </c>
      <c r="O397" s="313"/>
      <c r="P397" s="323"/>
      <c r="Q397" s="313"/>
      <c r="R397" s="50">
        <f t="shared" ref="R397:AG399" ca="1" si="281">IF(OR(R$99&lt;InServiceYr,R$99&gt;(InServiceYr+analysis_period-1)),0,IF($P397=0,$N397,$P397)*(1+$D397)^(R$99-CostBaseYr))</f>
        <v>0</v>
      </c>
      <c r="S397" s="50">
        <f t="shared" ca="1" si="281"/>
        <v>0</v>
      </c>
      <c r="T397" s="50">
        <f t="shared" ca="1" si="281"/>
        <v>0</v>
      </c>
      <c r="U397" s="50">
        <f t="shared" ca="1" si="281"/>
        <v>0</v>
      </c>
      <c r="V397" s="50">
        <f t="shared" ca="1" si="281"/>
        <v>0</v>
      </c>
      <c r="W397" s="50">
        <f t="shared" ca="1" si="281"/>
        <v>0</v>
      </c>
      <c r="X397" s="50">
        <f t="shared" ca="1" si="281"/>
        <v>0</v>
      </c>
      <c r="Y397" s="50">
        <f t="shared" ca="1" si="281"/>
        <v>0</v>
      </c>
      <c r="Z397" s="50">
        <f t="shared" ca="1" si="281"/>
        <v>0</v>
      </c>
      <c r="AA397" s="50">
        <f t="shared" ca="1" si="281"/>
        <v>0</v>
      </c>
      <c r="AB397" s="50">
        <f t="shared" ca="1" si="281"/>
        <v>0</v>
      </c>
      <c r="AC397" s="50">
        <f t="shared" ca="1" si="281"/>
        <v>0</v>
      </c>
      <c r="AD397" s="50">
        <f t="shared" ca="1" si="281"/>
        <v>0</v>
      </c>
      <c r="AE397" s="50">
        <f t="shared" ca="1" si="281"/>
        <v>0</v>
      </c>
      <c r="AF397" s="50">
        <f t="shared" ca="1" si="281"/>
        <v>0</v>
      </c>
      <c r="AG397" s="50">
        <f t="shared" ca="1" si="281"/>
        <v>0</v>
      </c>
      <c r="AH397" s="50">
        <f t="shared" ref="S397:AU399" ca="1" si="282">IF(OR(AH$99&lt;InServiceYr,AH$99&gt;(InServiceYr+analysis_period-1)),0,IF($P397=0,$N397,$P397)*(1+$D397)^(AH$99-CostBaseYr))</f>
        <v>0</v>
      </c>
      <c r="AI397" s="50">
        <f t="shared" ca="1" si="282"/>
        <v>0</v>
      </c>
      <c r="AJ397" s="50">
        <f t="shared" ca="1" si="282"/>
        <v>0</v>
      </c>
      <c r="AK397" s="50">
        <f t="shared" ca="1" si="282"/>
        <v>0</v>
      </c>
      <c r="AL397" s="50">
        <f t="shared" si="282"/>
        <v>0</v>
      </c>
      <c r="AM397" s="50">
        <f t="shared" si="282"/>
        <v>0</v>
      </c>
      <c r="AN397" s="50">
        <f t="shared" si="282"/>
        <v>0</v>
      </c>
      <c r="AO397" s="50">
        <f t="shared" si="282"/>
        <v>0</v>
      </c>
      <c r="AP397" s="50">
        <f t="shared" si="282"/>
        <v>0</v>
      </c>
      <c r="AQ397" s="50">
        <f t="shared" si="282"/>
        <v>0</v>
      </c>
      <c r="AR397" s="50">
        <f t="shared" si="282"/>
        <v>0</v>
      </c>
      <c r="AS397" s="50">
        <f t="shared" si="282"/>
        <v>0</v>
      </c>
      <c r="AT397" s="50">
        <f t="shared" si="282"/>
        <v>0</v>
      </c>
      <c r="AU397" s="50">
        <f t="shared" si="282"/>
        <v>0</v>
      </c>
    </row>
    <row r="398" spans="1:47">
      <c r="A398" s="38" t="str">
        <f t="shared" si="279"/>
        <v>2X-</v>
      </c>
      <c r="B398" s="38" t="s">
        <v>263</v>
      </c>
      <c r="C398" s="38" t="str">
        <f t="shared" ref="C398:C402" si="283">C397</f>
        <v xml:space="preserve">Pre-Dewatering </v>
      </c>
      <c r="D398" s="186">
        <f>OMEsc</f>
        <v>0.02</v>
      </c>
      <c r="E398" s="325"/>
      <c r="G398" s="36" t="s">
        <v>127</v>
      </c>
      <c r="I398" s="39"/>
      <c r="K398" s="39"/>
      <c r="L398" s="43" t="str">
        <f>"["&amp;CostBaseYr&amp;" $]"</f>
        <v>[2013 $]</v>
      </c>
      <c r="N398" s="70">
        <f ca="1">SUMIFS(OFFSET(Assumptions!$I$90,0,MATCH($A398,Configurations,0)-1,COUNT(Assumptions!$A$90:$A$183),1),Assumptions!$D$90:$D$183,$B398&amp;$C398)</f>
        <v>0</v>
      </c>
      <c r="O398" s="313"/>
      <c r="P398" s="323"/>
      <c r="Q398" s="313"/>
      <c r="R398" s="50">
        <f t="shared" ca="1" si="281"/>
        <v>0</v>
      </c>
      <c r="S398" s="50">
        <f t="shared" ca="1" si="282"/>
        <v>0</v>
      </c>
      <c r="T398" s="50">
        <f t="shared" ca="1" si="282"/>
        <v>0</v>
      </c>
      <c r="U398" s="50">
        <f t="shared" ca="1" si="282"/>
        <v>0</v>
      </c>
      <c r="V398" s="50">
        <f t="shared" ca="1" si="282"/>
        <v>0</v>
      </c>
      <c r="W398" s="50">
        <f t="shared" ca="1" si="282"/>
        <v>0</v>
      </c>
      <c r="X398" s="50">
        <f t="shared" ca="1" si="282"/>
        <v>0</v>
      </c>
      <c r="Y398" s="50">
        <f t="shared" ca="1" si="282"/>
        <v>0</v>
      </c>
      <c r="Z398" s="50">
        <f t="shared" ca="1" si="282"/>
        <v>0</v>
      </c>
      <c r="AA398" s="50">
        <f t="shared" ca="1" si="282"/>
        <v>0</v>
      </c>
      <c r="AB398" s="50">
        <f t="shared" ca="1" si="282"/>
        <v>0</v>
      </c>
      <c r="AC398" s="50">
        <f t="shared" ca="1" si="282"/>
        <v>0</v>
      </c>
      <c r="AD398" s="50">
        <f t="shared" ca="1" si="282"/>
        <v>0</v>
      </c>
      <c r="AE398" s="50">
        <f t="shared" ca="1" si="282"/>
        <v>0</v>
      </c>
      <c r="AF398" s="50">
        <f t="shared" ca="1" si="282"/>
        <v>0</v>
      </c>
      <c r="AG398" s="50">
        <f t="shared" ca="1" si="282"/>
        <v>0</v>
      </c>
      <c r="AH398" s="50">
        <f t="shared" ca="1" si="282"/>
        <v>0</v>
      </c>
      <c r="AI398" s="50">
        <f t="shared" ca="1" si="282"/>
        <v>0</v>
      </c>
      <c r="AJ398" s="50">
        <f t="shared" ca="1" si="282"/>
        <v>0</v>
      </c>
      <c r="AK398" s="50">
        <f t="shared" ca="1" si="282"/>
        <v>0</v>
      </c>
      <c r="AL398" s="50">
        <f t="shared" si="282"/>
        <v>0</v>
      </c>
      <c r="AM398" s="50">
        <f t="shared" si="282"/>
        <v>0</v>
      </c>
      <c r="AN398" s="50">
        <f t="shared" si="282"/>
        <v>0</v>
      </c>
      <c r="AO398" s="50">
        <f t="shared" si="282"/>
        <v>0</v>
      </c>
      <c r="AP398" s="50">
        <f t="shared" si="282"/>
        <v>0</v>
      </c>
      <c r="AQ398" s="50">
        <f t="shared" si="282"/>
        <v>0</v>
      </c>
      <c r="AR398" s="50">
        <f t="shared" si="282"/>
        <v>0</v>
      </c>
      <c r="AS398" s="50">
        <f t="shared" si="282"/>
        <v>0</v>
      </c>
      <c r="AT398" s="50">
        <f t="shared" si="282"/>
        <v>0</v>
      </c>
      <c r="AU398" s="50">
        <f t="shared" si="282"/>
        <v>0</v>
      </c>
    </row>
    <row r="399" spans="1:47">
      <c r="A399" s="38" t="str">
        <f t="shared" si="279"/>
        <v>2X-</v>
      </c>
      <c r="B399" s="38" t="s">
        <v>277</v>
      </c>
      <c r="C399" s="38" t="str">
        <f t="shared" si="283"/>
        <v xml:space="preserve">Pre-Dewatering </v>
      </c>
      <c r="D399" s="186">
        <f>OMEsc</f>
        <v>0.02</v>
      </c>
      <c r="E399" s="325"/>
      <c r="G399" s="36" t="s">
        <v>276</v>
      </c>
      <c r="I399" s="39"/>
      <c r="K399" s="39"/>
      <c r="L399" s="43" t="str">
        <f>"["&amp;CostBaseYr&amp;" $]"</f>
        <v>[2013 $]</v>
      </c>
      <c r="N399" s="70">
        <f ca="1">SUMIFS(OFFSET(Assumptions!$I$90,0,MATCH($A399,Configurations,0)-1,COUNT(Assumptions!$A$90:$A$183),1),Assumptions!$D$90:$D$183,$B399&amp;$C399)</f>
        <v>0</v>
      </c>
      <c r="O399" s="313"/>
      <c r="P399" s="323"/>
      <c r="Q399" s="313"/>
      <c r="R399" s="50">
        <f t="shared" ca="1" si="281"/>
        <v>0</v>
      </c>
      <c r="S399" s="50">
        <f t="shared" ca="1" si="282"/>
        <v>0</v>
      </c>
      <c r="T399" s="50">
        <f t="shared" ca="1" si="282"/>
        <v>0</v>
      </c>
      <c r="U399" s="50">
        <f t="shared" ca="1" si="282"/>
        <v>0</v>
      </c>
      <c r="V399" s="50">
        <f t="shared" ca="1" si="282"/>
        <v>0</v>
      </c>
      <c r="W399" s="50">
        <f t="shared" ca="1" si="282"/>
        <v>0</v>
      </c>
      <c r="X399" s="50">
        <f t="shared" ca="1" si="282"/>
        <v>0</v>
      </c>
      <c r="Y399" s="50">
        <f t="shared" ca="1" si="282"/>
        <v>0</v>
      </c>
      <c r="Z399" s="50">
        <f t="shared" ca="1" si="282"/>
        <v>0</v>
      </c>
      <c r="AA399" s="50">
        <f t="shared" ca="1" si="282"/>
        <v>0</v>
      </c>
      <c r="AB399" s="50">
        <f t="shared" ca="1" si="282"/>
        <v>0</v>
      </c>
      <c r="AC399" s="50">
        <f t="shared" ca="1" si="282"/>
        <v>0</v>
      </c>
      <c r="AD399" s="50">
        <f t="shared" ca="1" si="282"/>
        <v>0</v>
      </c>
      <c r="AE399" s="50">
        <f t="shared" ca="1" si="282"/>
        <v>0</v>
      </c>
      <c r="AF399" s="50">
        <f t="shared" ca="1" si="282"/>
        <v>0</v>
      </c>
      <c r="AG399" s="50">
        <f t="shared" ca="1" si="282"/>
        <v>0</v>
      </c>
      <c r="AH399" s="50">
        <f t="shared" ca="1" si="282"/>
        <v>0</v>
      </c>
      <c r="AI399" s="50">
        <f t="shared" ca="1" si="282"/>
        <v>0</v>
      </c>
      <c r="AJ399" s="50">
        <f t="shared" ca="1" si="282"/>
        <v>0</v>
      </c>
      <c r="AK399" s="50">
        <f t="shared" ca="1" si="282"/>
        <v>0</v>
      </c>
      <c r="AL399" s="50">
        <f t="shared" si="282"/>
        <v>0</v>
      </c>
      <c r="AM399" s="50">
        <f t="shared" si="282"/>
        <v>0</v>
      </c>
      <c r="AN399" s="50">
        <f t="shared" si="282"/>
        <v>0</v>
      </c>
      <c r="AO399" s="50">
        <f t="shared" si="282"/>
        <v>0</v>
      </c>
      <c r="AP399" s="50">
        <f t="shared" si="282"/>
        <v>0</v>
      </c>
      <c r="AQ399" s="50">
        <f t="shared" si="282"/>
        <v>0</v>
      </c>
      <c r="AR399" s="50">
        <f t="shared" si="282"/>
        <v>0</v>
      </c>
      <c r="AS399" s="50">
        <f t="shared" si="282"/>
        <v>0</v>
      </c>
      <c r="AT399" s="50">
        <f t="shared" si="282"/>
        <v>0</v>
      </c>
      <c r="AU399" s="50">
        <f t="shared" si="282"/>
        <v>0</v>
      </c>
    </row>
    <row r="400" spans="1:47">
      <c r="A400" s="38" t="str">
        <f t="shared" si="279"/>
        <v>2X-</v>
      </c>
      <c r="B400" s="38" t="s">
        <v>274</v>
      </c>
      <c r="C400" s="38" t="str">
        <f t="shared" si="283"/>
        <v xml:space="preserve">Pre-Dewatering </v>
      </c>
      <c r="D400" s="186"/>
      <c r="E400" s="325"/>
      <c r="G400" s="36" t="s">
        <v>16</v>
      </c>
      <c r="I400" s="39"/>
      <c r="K400" s="39"/>
      <c r="L400" s="43" t="s">
        <v>275</v>
      </c>
      <c r="N400" s="70">
        <f ca="1">SUMIFS(OFFSET(Assumptions!$I$90,0,MATCH($A400,Configurations,0)-1,COUNT(Assumptions!$A$90:$A$183),1),Assumptions!$D$90:$D$183,$B400&amp;$C400)</f>
        <v>0</v>
      </c>
      <c r="O400" s="313"/>
      <c r="P400" s="323"/>
      <c r="Q400" s="313"/>
      <c r="R400" s="50">
        <f t="shared" ref="R400:AU400" ca="1" si="284">IF(OR(R$99&lt;InServiceYr,R$99&gt;(InServiceYr+analysis_period-1)),0,IF($P400=0,$N400,$P400)*R$505)</f>
        <v>0</v>
      </c>
      <c r="S400" s="50">
        <f t="shared" ca="1" si="284"/>
        <v>0</v>
      </c>
      <c r="T400" s="50">
        <f t="shared" ca="1" si="284"/>
        <v>0</v>
      </c>
      <c r="U400" s="50">
        <f t="shared" ca="1" si="284"/>
        <v>0</v>
      </c>
      <c r="V400" s="50">
        <f t="shared" ca="1" si="284"/>
        <v>0</v>
      </c>
      <c r="W400" s="50">
        <f t="shared" ca="1" si="284"/>
        <v>0</v>
      </c>
      <c r="X400" s="50">
        <f t="shared" ca="1" si="284"/>
        <v>0</v>
      </c>
      <c r="Y400" s="50">
        <f t="shared" ca="1" si="284"/>
        <v>0</v>
      </c>
      <c r="Z400" s="50">
        <f t="shared" ca="1" si="284"/>
        <v>0</v>
      </c>
      <c r="AA400" s="50">
        <f t="shared" ca="1" si="284"/>
        <v>0</v>
      </c>
      <c r="AB400" s="50">
        <f t="shared" ca="1" si="284"/>
        <v>0</v>
      </c>
      <c r="AC400" s="50">
        <f t="shared" ca="1" si="284"/>
        <v>0</v>
      </c>
      <c r="AD400" s="50">
        <f t="shared" ca="1" si="284"/>
        <v>0</v>
      </c>
      <c r="AE400" s="50">
        <f t="shared" ca="1" si="284"/>
        <v>0</v>
      </c>
      <c r="AF400" s="50">
        <f t="shared" ca="1" si="284"/>
        <v>0</v>
      </c>
      <c r="AG400" s="50">
        <f t="shared" ca="1" si="284"/>
        <v>0</v>
      </c>
      <c r="AH400" s="50">
        <f t="shared" ca="1" si="284"/>
        <v>0</v>
      </c>
      <c r="AI400" s="50">
        <f t="shared" ca="1" si="284"/>
        <v>0</v>
      </c>
      <c r="AJ400" s="50">
        <f t="shared" ca="1" si="284"/>
        <v>0</v>
      </c>
      <c r="AK400" s="50">
        <f t="shared" ca="1" si="284"/>
        <v>0</v>
      </c>
      <c r="AL400" s="50">
        <f t="shared" si="284"/>
        <v>0</v>
      </c>
      <c r="AM400" s="50">
        <f t="shared" si="284"/>
        <v>0</v>
      </c>
      <c r="AN400" s="50">
        <f t="shared" si="284"/>
        <v>0</v>
      </c>
      <c r="AO400" s="50">
        <f t="shared" si="284"/>
        <v>0</v>
      </c>
      <c r="AP400" s="50">
        <f t="shared" si="284"/>
        <v>0</v>
      </c>
      <c r="AQ400" s="50">
        <f t="shared" si="284"/>
        <v>0</v>
      </c>
      <c r="AR400" s="50">
        <f t="shared" si="284"/>
        <v>0</v>
      </c>
      <c r="AS400" s="50">
        <f t="shared" si="284"/>
        <v>0</v>
      </c>
      <c r="AT400" s="50">
        <f t="shared" si="284"/>
        <v>0</v>
      </c>
      <c r="AU400" s="50">
        <f t="shared" si="284"/>
        <v>0</v>
      </c>
    </row>
    <row r="401" spans="1:47">
      <c r="A401" s="38" t="str">
        <f t="shared" si="279"/>
        <v>2X-</v>
      </c>
      <c r="B401" s="38" t="s">
        <v>257</v>
      </c>
      <c r="C401" s="38" t="str">
        <f t="shared" si="283"/>
        <v xml:space="preserve">Pre-Dewatering </v>
      </c>
      <c r="D401" s="186"/>
      <c r="E401" s="325"/>
      <c r="G401" s="36" t="s">
        <v>284</v>
      </c>
      <c r="I401" s="39"/>
      <c r="K401" s="39"/>
      <c r="L401" s="43" t="s">
        <v>293</v>
      </c>
      <c r="N401" s="70">
        <f ca="1">SUMIFS(OFFSET(Assumptions!$I$90,0,MATCH($A401,Configurations,0)-1,COUNT(Assumptions!$A$90:$A$183),1),Assumptions!$D$90:$D$183,$B401&amp;$C401)</f>
        <v>0</v>
      </c>
      <c r="O401" s="313"/>
      <c r="P401" s="323"/>
      <c r="Q401" s="313"/>
      <c r="R401" s="50">
        <f t="shared" ref="R401:AU401" ca="1" si="285">IF(OR(R$99&lt;InServiceYr,R$99&gt;(InServiceYr+analysis_period-1)),0,IF($P401=0,$N401,$P401)*R$501)</f>
        <v>0</v>
      </c>
      <c r="S401" s="50">
        <f t="shared" ca="1" si="285"/>
        <v>0</v>
      </c>
      <c r="T401" s="50">
        <f t="shared" ca="1" si="285"/>
        <v>0</v>
      </c>
      <c r="U401" s="50">
        <f t="shared" ca="1" si="285"/>
        <v>0</v>
      </c>
      <c r="V401" s="50">
        <f t="shared" ca="1" si="285"/>
        <v>0</v>
      </c>
      <c r="W401" s="50">
        <f t="shared" ca="1" si="285"/>
        <v>0</v>
      </c>
      <c r="X401" s="50">
        <f t="shared" ca="1" si="285"/>
        <v>0</v>
      </c>
      <c r="Y401" s="50">
        <f t="shared" ca="1" si="285"/>
        <v>0</v>
      </c>
      <c r="Z401" s="50">
        <f t="shared" ca="1" si="285"/>
        <v>0</v>
      </c>
      <c r="AA401" s="50">
        <f t="shared" ca="1" si="285"/>
        <v>0</v>
      </c>
      <c r="AB401" s="50">
        <f t="shared" ca="1" si="285"/>
        <v>0</v>
      </c>
      <c r="AC401" s="50">
        <f t="shared" ca="1" si="285"/>
        <v>0</v>
      </c>
      <c r="AD401" s="50">
        <f t="shared" ca="1" si="285"/>
        <v>0</v>
      </c>
      <c r="AE401" s="50">
        <f t="shared" ca="1" si="285"/>
        <v>0</v>
      </c>
      <c r="AF401" s="50">
        <f t="shared" ca="1" si="285"/>
        <v>0</v>
      </c>
      <c r="AG401" s="50">
        <f t="shared" ca="1" si="285"/>
        <v>0</v>
      </c>
      <c r="AH401" s="50">
        <f t="shared" ca="1" si="285"/>
        <v>0</v>
      </c>
      <c r="AI401" s="50">
        <f t="shared" ca="1" si="285"/>
        <v>0</v>
      </c>
      <c r="AJ401" s="50">
        <f t="shared" ca="1" si="285"/>
        <v>0</v>
      </c>
      <c r="AK401" s="50">
        <f t="shared" ca="1" si="285"/>
        <v>0</v>
      </c>
      <c r="AL401" s="50">
        <f t="shared" si="285"/>
        <v>0</v>
      </c>
      <c r="AM401" s="50">
        <f t="shared" si="285"/>
        <v>0</v>
      </c>
      <c r="AN401" s="50">
        <f t="shared" si="285"/>
        <v>0</v>
      </c>
      <c r="AO401" s="50">
        <f t="shared" si="285"/>
        <v>0</v>
      </c>
      <c r="AP401" s="50">
        <f t="shared" si="285"/>
        <v>0</v>
      </c>
      <c r="AQ401" s="50">
        <f t="shared" si="285"/>
        <v>0</v>
      </c>
      <c r="AR401" s="50">
        <f t="shared" si="285"/>
        <v>0</v>
      </c>
      <c r="AS401" s="50">
        <f t="shared" si="285"/>
        <v>0</v>
      </c>
      <c r="AT401" s="50">
        <f t="shared" si="285"/>
        <v>0</v>
      </c>
      <c r="AU401" s="50">
        <f t="shared" si="285"/>
        <v>0</v>
      </c>
    </row>
    <row r="402" spans="1:47">
      <c r="A402" s="38" t="str">
        <f t="shared" si="279"/>
        <v>2X-</v>
      </c>
      <c r="B402" s="38" t="s">
        <v>864</v>
      </c>
      <c r="C402" s="38" t="str">
        <f t="shared" si="283"/>
        <v xml:space="preserve">Pre-Dewatering </v>
      </c>
      <c r="D402" s="186">
        <f>GHGEsc</f>
        <v>0.02</v>
      </c>
      <c r="E402" s="325"/>
      <c r="G402" s="36" t="s">
        <v>865</v>
      </c>
      <c r="I402" s="39"/>
      <c r="K402" s="39"/>
      <c r="L402" s="43" t="s">
        <v>866</v>
      </c>
      <c r="N402" s="70">
        <f ca="1">SUMIFS(OFFSET(Assumptions!$I$90,0,MATCH($A402,Configurations,0)-1,COUNT(Assumptions!$A$90:$A$183),1),Assumptions!$D$90:$D$183,$B402&amp;$C402)</f>
        <v>0</v>
      </c>
      <c r="O402" s="313"/>
      <c r="P402" s="323"/>
      <c r="Q402" s="313"/>
      <c r="R402" s="50">
        <f t="shared" ref="R402:AU402" ca="1" si="286">IF(OR(R$99&lt;InServiceYr,R$99&gt;(InServiceYr+analysis_period-1)),0,IF($P402=0,$N402,$P402)*R$513)</f>
        <v>0</v>
      </c>
      <c r="S402" s="50">
        <f t="shared" ca="1" si="286"/>
        <v>0</v>
      </c>
      <c r="T402" s="50">
        <f t="shared" ca="1" si="286"/>
        <v>0</v>
      </c>
      <c r="U402" s="50">
        <f t="shared" ca="1" si="286"/>
        <v>0</v>
      </c>
      <c r="V402" s="50">
        <f t="shared" ca="1" si="286"/>
        <v>0</v>
      </c>
      <c r="W402" s="50">
        <f t="shared" ca="1" si="286"/>
        <v>0</v>
      </c>
      <c r="X402" s="50">
        <f t="shared" ca="1" si="286"/>
        <v>0</v>
      </c>
      <c r="Y402" s="50">
        <f t="shared" ca="1" si="286"/>
        <v>0</v>
      </c>
      <c r="Z402" s="50">
        <f t="shared" ca="1" si="286"/>
        <v>0</v>
      </c>
      <c r="AA402" s="50">
        <f t="shared" ca="1" si="286"/>
        <v>0</v>
      </c>
      <c r="AB402" s="50">
        <f t="shared" ca="1" si="286"/>
        <v>0</v>
      </c>
      <c r="AC402" s="50">
        <f t="shared" ca="1" si="286"/>
        <v>0</v>
      </c>
      <c r="AD402" s="50">
        <f t="shared" ca="1" si="286"/>
        <v>0</v>
      </c>
      <c r="AE402" s="50">
        <f t="shared" ca="1" si="286"/>
        <v>0</v>
      </c>
      <c r="AF402" s="50">
        <f t="shared" ca="1" si="286"/>
        <v>0</v>
      </c>
      <c r="AG402" s="50">
        <f t="shared" ca="1" si="286"/>
        <v>0</v>
      </c>
      <c r="AH402" s="50">
        <f t="shared" ca="1" si="286"/>
        <v>0</v>
      </c>
      <c r="AI402" s="50">
        <f t="shared" ca="1" si="286"/>
        <v>0</v>
      </c>
      <c r="AJ402" s="50">
        <f t="shared" ca="1" si="286"/>
        <v>0</v>
      </c>
      <c r="AK402" s="50">
        <f t="shared" ca="1" si="286"/>
        <v>0</v>
      </c>
      <c r="AL402" s="50">
        <f t="shared" si="286"/>
        <v>0</v>
      </c>
      <c r="AM402" s="50">
        <f t="shared" si="286"/>
        <v>0</v>
      </c>
      <c r="AN402" s="50">
        <f t="shared" si="286"/>
        <v>0</v>
      </c>
      <c r="AO402" s="50">
        <f t="shared" si="286"/>
        <v>0</v>
      </c>
      <c r="AP402" s="50">
        <f t="shared" si="286"/>
        <v>0</v>
      </c>
      <c r="AQ402" s="50">
        <f t="shared" si="286"/>
        <v>0</v>
      </c>
      <c r="AR402" s="50">
        <f t="shared" si="286"/>
        <v>0</v>
      </c>
      <c r="AS402" s="50">
        <f t="shared" si="286"/>
        <v>0</v>
      </c>
      <c r="AT402" s="50">
        <f t="shared" si="286"/>
        <v>0</v>
      </c>
      <c r="AU402" s="50">
        <f t="shared" si="286"/>
        <v>0</v>
      </c>
    </row>
    <row r="403" spans="1:47">
      <c r="A403" s="38" t="str">
        <f t="shared" si="279"/>
        <v>2X-</v>
      </c>
      <c r="B403" s="38" t="s">
        <v>273</v>
      </c>
      <c r="C403" s="38" t="str">
        <f>C401</f>
        <v xml:space="preserve">Pre-Dewatering </v>
      </c>
      <c r="D403" s="186">
        <f>LaborEsc</f>
        <v>0.02</v>
      </c>
      <c r="E403" s="325"/>
      <c r="G403" s="36" t="s">
        <v>291</v>
      </c>
      <c r="I403" s="39"/>
      <c r="K403" s="39"/>
      <c r="L403" s="43" t="str">
        <f>"["&amp;CostBaseYr&amp;" $]"</f>
        <v>[2013 $]</v>
      </c>
      <c r="N403" s="70">
        <f ca="1">SUMIFS(OFFSET(Assumptions!$I$90,0,MATCH($A403,Configurations,0)-1,COUNT(Assumptions!$A$90:$A$183),1),Assumptions!$D$90:$D$183,$B403&amp;$C403)</f>
        <v>0</v>
      </c>
      <c r="O403" s="313"/>
      <c r="P403" s="323"/>
      <c r="Q403" s="313"/>
      <c r="R403" s="50">
        <f t="shared" ref="R403:AU403" ca="1" si="287">IF(OR(R$99&lt;InServiceYr,R$99&gt;(InServiceYr+analysis_period-1)),0,IF($P403=0,$N403,$P403)*(1+$D403)^(R$99-CostBaseYr))*R$509</f>
        <v>0</v>
      </c>
      <c r="S403" s="50">
        <f t="shared" ca="1" si="287"/>
        <v>0</v>
      </c>
      <c r="T403" s="50">
        <f t="shared" ca="1" si="287"/>
        <v>0</v>
      </c>
      <c r="U403" s="50">
        <f t="shared" ca="1" si="287"/>
        <v>0</v>
      </c>
      <c r="V403" s="50">
        <f t="shared" ca="1" si="287"/>
        <v>0</v>
      </c>
      <c r="W403" s="50">
        <f t="shared" ca="1" si="287"/>
        <v>0</v>
      </c>
      <c r="X403" s="50">
        <f t="shared" ca="1" si="287"/>
        <v>0</v>
      </c>
      <c r="Y403" s="50">
        <f t="shared" ca="1" si="287"/>
        <v>0</v>
      </c>
      <c r="Z403" s="50">
        <f t="shared" ca="1" si="287"/>
        <v>0</v>
      </c>
      <c r="AA403" s="50">
        <f t="shared" ca="1" si="287"/>
        <v>0</v>
      </c>
      <c r="AB403" s="50">
        <f t="shared" ca="1" si="287"/>
        <v>0</v>
      </c>
      <c r="AC403" s="50">
        <f t="shared" ca="1" si="287"/>
        <v>0</v>
      </c>
      <c r="AD403" s="50">
        <f t="shared" ca="1" si="287"/>
        <v>0</v>
      </c>
      <c r="AE403" s="50">
        <f t="shared" ca="1" si="287"/>
        <v>0</v>
      </c>
      <c r="AF403" s="50">
        <f t="shared" ca="1" si="287"/>
        <v>0</v>
      </c>
      <c r="AG403" s="50">
        <f t="shared" ca="1" si="287"/>
        <v>0</v>
      </c>
      <c r="AH403" s="50">
        <f t="shared" ca="1" si="287"/>
        <v>0</v>
      </c>
      <c r="AI403" s="50">
        <f t="shared" ca="1" si="287"/>
        <v>0</v>
      </c>
      <c r="AJ403" s="50">
        <f t="shared" ca="1" si="287"/>
        <v>0</v>
      </c>
      <c r="AK403" s="50">
        <f t="shared" ca="1" si="287"/>
        <v>0</v>
      </c>
      <c r="AL403" s="50">
        <f t="shared" si="287"/>
        <v>0</v>
      </c>
      <c r="AM403" s="50">
        <f t="shared" si="287"/>
        <v>0</v>
      </c>
      <c r="AN403" s="50">
        <f t="shared" si="287"/>
        <v>0</v>
      </c>
      <c r="AO403" s="50">
        <f t="shared" si="287"/>
        <v>0</v>
      </c>
      <c r="AP403" s="50">
        <f t="shared" si="287"/>
        <v>0</v>
      </c>
      <c r="AQ403" s="50">
        <f t="shared" si="287"/>
        <v>0</v>
      </c>
      <c r="AR403" s="50">
        <f t="shared" si="287"/>
        <v>0</v>
      </c>
      <c r="AS403" s="50">
        <f t="shared" si="287"/>
        <v>0</v>
      </c>
      <c r="AT403" s="50">
        <f t="shared" si="287"/>
        <v>0</v>
      </c>
      <c r="AU403" s="50">
        <f t="shared" si="287"/>
        <v>0</v>
      </c>
    </row>
    <row r="404" spans="1:47">
      <c r="D404" s="186"/>
      <c r="E404" s="325"/>
      <c r="G404" s="39" t="s">
        <v>304</v>
      </c>
      <c r="I404" s="39"/>
      <c r="K404" s="39"/>
      <c r="L404" s="43"/>
      <c r="N404" s="70"/>
      <c r="O404" s="313"/>
      <c r="P404" s="70"/>
      <c r="Q404" s="313"/>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row>
    <row r="405" spans="1:47">
      <c r="A405" s="38" t="str">
        <f>$J$4&amp;"-"</f>
        <v>2X-</v>
      </c>
      <c r="B405" s="38" t="s">
        <v>265</v>
      </c>
      <c r="C405" s="38" t="str">
        <f>C396</f>
        <v xml:space="preserve">Pre-Dewatering </v>
      </c>
      <c r="D405" s="186"/>
      <c r="E405" s="325"/>
      <c r="G405" s="36" t="s">
        <v>108</v>
      </c>
      <c r="I405" s="39"/>
      <c r="K405" s="39"/>
      <c r="L405" s="43" t="s">
        <v>293</v>
      </c>
      <c r="N405" s="70">
        <f ca="1">SUMIFS(OFFSET(Assumptions!$I$90,0,MATCH($A405,Configurations,0)-1,COUNT(Assumptions!$A$90:$A$183),1),Assumptions!$D$90:$D$183,$B405&amp;$C405)</f>
        <v>0</v>
      </c>
      <c r="O405" s="313"/>
      <c r="P405" s="323"/>
      <c r="Q405" s="313"/>
      <c r="R405" s="50">
        <f t="shared" ref="R405:AU405" ca="1" si="288">IF(OR(R$99&lt;InServiceYr,R$99&gt;(InServiceYr+analysis_period-1)),0,IF($P405=0,$N405,$P405)*R$501)</f>
        <v>0</v>
      </c>
      <c r="S405" s="50">
        <f t="shared" ca="1" si="288"/>
        <v>0</v>
      </c>
      <c r="T405" s="50">
        <f t="shared" ca="1" si="288"/>
        <v>0</v>
      </c>
      <c r="U405" s="50">
        <f t="shared" ca="1" si="288"/>
        <v>0</v>
      </c>
      <c r="V405" s="50">
        <f t="shared" ca="1" si="288"/>
        <v>0</v>
      </c>
      <c r="W405" s="50">
        <f t="shared" ca="1" si="288"/>
        <v>0</v>
      </c>
      <c r="X405" s="50">
        <f t="shared" ca="1" si="288"/>
        <v>0</v>
      </c>
      <c r="Y405" s="50">
        <f t="shared" ca="1" si="288"/>
        <v>0</v>
      </c>
      <c r="Z405" s="50">
        <f t="shared" ca="1" si="288"/>
        <v>0</v>
      </c>
      <c r="AA405" s="50">
        <f t="shared" ca="1" si="288"/>
        <v>0</v>
      </c>
      <c r="AB405" s="50">
        <f t="shared" ca="1" si="288"/>
        <v>0</v>
      </c>
      <c r="AC405" s="50">
        <f t="shared" ca="1" si="288"/>
        <v>0</v>
      </c>
      <c r="AD405" s="50">
        <f t="shared" ca="1" si="288"/>
        <v>0</v>
      </c>
      <c r="AE405" s="50">
        <f t="shared" ca="1" si="288"/>
        <v>0</v>
      </c>
      <c r="AF405" s="50">
        <f t="shared" ca="1" si="288"/>
        <v>0</v>
      </c>
      <c r="AG405" s="50">
        <f t="shared" ca="1" si="288"/>
        <v>0</v>
      </c>
      <c r="AH405" s="50">
        <f t="shared" ca="1" si="288"/>
        <v>0</v>
      </c>
      <c r="AI405" s="50">
        <f t="shared" ca="1" si="288"/>
        <v>0</v>
      </c>
      <c r="AJ405" s="50">
        <f t="shared" ca="1" si="288"/>
        <v>0</v>
      </c>
      <c r="AK405" s="50">
        <f t="shared" ca="1" si="288"/>
        <v>0</v>
      </c>
      <c r="AL405" s="50">
        <f t="shared" si="288"/>
        <v>0</v>
      </c>
      <c r="AM405" s="50">
        <f t="shared" si="288"/>
        <v>0</v>
      </c>
      <c r="AN405" s="50">
        <f t="shared" si="288"/>
        <v>0</v>
      </c>
      <c r="AO405" s="50">
        <f t="shared" si="288"/>
        <v>0</v>
      </c>
      <c r="AP405" s="50">
        <f t="shared" si="288"/>
        <v>0</v>
      </c>
      <c r="AQ405" s="50">
        <f t="shared" si="288"/>
        <v>0</v>
      </c>
      <c r="AR405" s="50">
        <f t="shared" si="288"/>
        <v>0</v>
      </c>
      <c r="AS405" s="50">
        <f t="shared" si="288"/>
        <v>0</v>
      </c>
      <c r="AT405" s="50">
        <f t="shared" si="288"/>
        <v>0</v>
      </c>
      <c r="AU405" s="50">
        <f t="shared" si="288"/>
        <v>0</v>
      </c>
    </row>
    <row r="406" spans="1:47">
      <c r="A406" s="38" t="str">
        <f>$J$4&amp;"-"</f>
        <v>2X-</v>
      </c>
      <c r="B406" s="38" t="s">
        <v>289</v>
      </c>
      <c r="C406" s="38" t="str">
        <f>C396</f>
        <v xml:space="preserve">Pre-Dewatering </v>
      </c>
      <c r="D406" s="186">
        <f>LaborEsc</f>
        <v>0.02</v>
      </c>
      <c r="E406" s="325"/>
      <c r="G406" s="36" t="s">
        <v>292</v>
      </c>
      <c r="I406" s="39"/>
      <c r="K406" s="39"/>
      <c r="L406" s="43" t="str">
        <f>"["&amp;CostBaseYr&amp;" $]"</f>
        <v>[2013 $]</v>
      </c>
      <c r="N406" s="70">
        <f ca="1">SUMIFS(OFFSET(Assumptions!$I$90,0,MATCH($A406,Configurations,0)-1,COUNT(Assumptions!$A$90:$A$183),1),Assumptions!$D$90:$D$183,$B406&amp;$C406)</f>
        <v>0</v>
      </c>
      <c r="O406" s="313"/>
      <c r="P406" s="323"/>
      <c r="Q406" s="313"/>
      <c r="R406" s="50">
        <f t="shared" ref="R406:AU406" ca="1" si="289">IF(OR(R$99&lt;InServiceYr,R$99&gt;(InServiceYr+analysis_period-1)),0,IF($P406=0,$N406,$P406)*(1+$D406)^(R$99-CostBaseYr))</f>
        <v>0</v>
      </c>
      <c r="S406" s="50">
        <f t="shared" ca="1" si="289"/>
        <v>0</v>
      </c>
      <c r="T406" s="50">
        <f t="shared" ca="1" si="289"/>
        <v>0</v>
      </c>
      <c r="U406" s="50">
        <f t="shared" ca="1" si="289"/>
        <v>0</v>
      </c>
      <c r="V406" s="50">
        <f t="shared" ca="1" si="289"/>
        <v>0</v>
      </c>
      <c r="W406" s="50">
        <f t="shared" ca="1" si="289"/>
        <v>0</v>
      </c>
      <c r="X406" s="50">
        <f t="shared" ca="1" si="289"/>
        <v>0</v>
      </c>
      <c r="Y406" s="50">
        <f t="shared" ca="1" si="289"/>
        <v>0</v>
      </c>
      <c r="Z406" s="50">
        <f t="shared" ca="1" si="289"/>
        <v>0</v>
      </c>
      <c r="AA406" s="50">
        <f t="shared" ca="1" si="289"/>
        <v>0</v>
      </c>
      <c r="AB406" s="50">
        <f t="shared" ca="1" si="289"/>
        <v>0</v>
      </c>
      <c r="AC406" s="50">
        <f t="shared" ca="1" si="289"/>
        <v>0</v>
      </c>
      <c r="AD406" s="50">
        <f t="shared" ca="1" si="289"/>
        <v>0</v>
      </c>
      <c r="AE406" s="50">
        <f t="shared" ca="1" si="289"/>
        <v>0</v>
      </c>
      <c r="AF406" s="50">
        <f t="shared" ca="1" si="289"/>
        <v>0</v>
      </c>
      <c r="AG406" s="50">
        <f t="shared" ca="1" si="289"/>
        <v>0</v>
      </c>
      <c r="AH406" s="50">
        <f t="shared" ca="1" si="289"/>
        <v>0</v>
      </c>
      <c r="AI406" s="50">
        <f t="shared" ca="1" si="289"/>
        <v>0</v>
      </c>
      <c r="AJ406" s="50">
        <f t="shared" ca="1" si="289"/>
        <v>0</v>
      </c>
      <c r="AK406" s="50">
        <f t="shared" ca="1" si="289"/>
        <v>0</v>
      </c>
      <c r="AL406" s="50">
        <f t="shared" si="289"/>
        <v>0</v>
      </c>
      <c r="AM406" s="50">
        <f t="shared" si="289"/>
        <v>0</v>
      </c>
      <c r="AN406" s="50">
        <f t="shared" si="289"/>
        <v>0</v>
      </c>
      <c r="AO406" s="50">
        <f t="shared" si="289"/>
        <v>0</v>
      </c>
      <c r="AP406" s="50">
        <f t="shared" si="289"/>
        <v>0</v>
      </c>
      <c r="AQ406" s="50">
        <f t="shared" si="289"/>
        <v>0</v>
      </c>
      <c r="AR406" s="50">
        <f t="shared" si="289"/>
        <v>0</v>
      </c>
      <c r="AS406" s="50">
        <f t="shared" si="289"/>
        <v>0</v>
      </c>
      <c r="AT406" s="50">
        <f t="shared" si="289"/>
        <v>0</v>
      </c>
      <c r="AU406" s="50">
        <f t="shared" si="289"/>
        <v>0</v>
      </c>
    </row>
    <row r="407" spans="1:47" s="60" customFormat="1">
      <c r="D407" s="187"/>
      <c r="E407" s="325"/>
      <c r="G407" s="39" t="s">
        <v>305</v>
      </c>
      <c r="I407" s="39"/>
      <c r="K407" s="39"/>
      <c r="L407" s="174"/>
      <c r="N407" s="188"/>
      <c r="O407" s="314"/>
      <c r="P407" s="185"/>
      <c r="Q407" s="314"/>
      <c r="R407" s="185">
        <f ca="1">SUM(R396:R403)-SUM(R405:R406)</f>
        <v>0</v>
      </c>
      <c r="S407" s="185">
        <f t="shared" ref="S407:AU407" ca="1" si="290">SUM(S396:S403)-SUM(S405:S406)</f>
        <v>0</v>
      </c>
      <c r="T407" s="185">
        <f t="shared" ca="1" si="290"/>
        <v>0</v>
      </c>
      <c r="U407" s="185">
        <f t="shared" ca="1" si="290"/>
        <v>0</v>
      </c>
      <c r="V407" s="185">
        <f t="shared" ca="1" si="290"/>
        <v>0</v>
      </c>
      <c r="W407" s="185">
        <f t="shared" ca="1" si="290"/>
        <v>0</v>
      </c>
      <c r="X407" s="185">
        <f t="shared" ca="1" si="290"/>
        <v>0</v>
      </c>
      <c r="Y407" s="185">
        <f t="shared" ca="1" si="290"/>
        <v>0</v>
      </c>
      <c r="Z407" s="185">
        <f t="shared" ca="1" si="290"/>
        <v>0</v>
      </c>
      <c r="AA407" s="185">
        <f t="shared" ca="1" si="290"/>
        <v>0</v>
      </c>
      <c r="AB407" s="185">
        <f t="shared" ca="1" si="290"/>
        <v>0</v>
      </c>
      <c r="AC407" s="185">
        <f t="shared" ca="1" si="290"/>
        <v>0</v>
      </c>
      <c r="AD407" s="185">
        <f t="shared" ca="1" si="290"/>
        <v>0</v>
      </c>
      <c r="AE407" s="185">
        <f t="shared" ca="1" si="290"/>
        <v>0</v>
      </c>
      <c r="AF407" s="185">
        <f t="shared" ca="1" si="290"/>
        <v>0</v>
      </c>
      <c r="AG407" s="185">
        <f t="shared" ca="1" si="290"/>
        <v>0</v>
      </c>
      <c r="AH407" s="185">
        <f t="shared" ca="1" si="290"/>
        <v>0</v>
      </c>
      <c r="AI407" s="185">
        <f t="shared" ca="1" si="290"/>
        <v>0</v>
      </c>
      <c r="AJ407" s="185">
        <f t="shared" ca="1" si="290"/>
        <v>0</v>
      </c>
      <c r="AK407" s="185">
        <f t="shared" ca="1" si="290"/>
        <v>0</v>
      </c>
      <c r="AL407" s="185">
        <f t="shared" si="290"/>
        <v>0</v>
      </c>
      <c r="AM407" s="185">
        <f t="shared" si="290"/>
        <v>0</v>
      </c>
      <c r="AN407" s="185">
        <f t="shared" si="290"/>
        <v>0</v>
      </c>
      <c r="AO407" s="185">
        <f t="shared" si="290"/>
        <v>0</v>
      </c>
      <c r="AP407" s="185">
        <f t="shared" si="290"/>
        <v>0</v>
      </c>
      <c r="AQ407" s="185">
        <f t="shared" si="290"/>
        <v>0</v>
      </c>
      <c r="AR407" s="185">
        <f t="shared" si="290"/>
        <v>0</v>
      </c>
      <c r="AS407" s="185">
        <f t="shared" si="290"/>
        <v>0</v>
      </c>
      <c r="AT407" s="185">
        <f t="shared" si="290"/>
        <v>0</v>
      </c>
      <c r="AU407" s="185">
        <f t="shared" si="290"/>
        <v>0</v>
      </c>
    </row>
    <row r="408" spans="1:47">
      <c r="E408" s="36"/>
      <c r="G408" s="39"/>
      <c r="H408" s="39"/>
      <c r="I408" s="39"/>
      <c r="J408" s="39"/>
      <c r="K408" s="39"/>
    </row>
    <row r="409" spans="1:47">
      <c r="E409" s="327"/>
      <c r="F409" s="28"/>
      <c r="G409" s="324" t="str">
        <f>C411&amp;" Capital Costs"</f>
        <v>Pre-Treatment (CAMBI) Capital Costs</v>
      </c>
      <c r="H409" s="324"/>
      <c r="I409" s="324"/>
      <c r="J409" s="324"/>
      <c r="K409" s="324"/>
      <c r="L409" s="405" t="s">
        <v>79</v>
      </c>
      <c r="M409" s="256"/>
      <c r="N409" s="325" t="s">
        <v>490</v>
      </c>
      <c r="O409" s="311"/>
      <c r="P409" s="325" t="s">
        <v>491</v>
      </c>
      <c r="Q409" s="310"/>
      <c r="R409" s="325">
        <f>R$8</f>
        <v>2014</v>
      </c>
      <c r="S409" s="325">
        <f t="shared" ref="S409:AU409" si="291">S$8</f>
        <v>2015</v>
      </c>
      <c r="T409" s="325">
        <f t="shared" si="291"/>
        <v>2016</v>
      </c>
      <c r="U409" s="325">
        <f t="shared" si="291"/>
        <v>2017</v>
      </c>
      <c r="V409" s="325">
        <f t="shared" si="291"/>
        <v>2018</v>
      </c>
      <c r="W409" s="325">
        <f t="shared" si="291"/>
        <v>2019</v>
      </c>
      <c r="X409" s="325">
        <f t="shared" si="291"/>
        <v>2020</v>
      </c>
      <c r="Y409" s="325">
        <f t="shared" si="291"/>
        <v>2021</v>
      </c>
      <c r="Z409" s="325">
        <f t="shared" si="291"/>
        <v>2022</v>
      </c>
      <c r="AA409" s="325">
        <f t="shared" si="291"/>
        <v>2023</v>
      </c>
      <c r="AB409" s="325">
        <f t="shared" si="291"/>
        <v>2024</v>
      </c>
      <c r="AC409" s="325">
        <f t="shared" si="291"/>
        <v>2025</v>
      </c>
      <c r="AD409" s="325">
        <f t="shared" si="291"/>
        <v>2026</v>
      </c>
      <c r="AE409" s="325">
        <f t="shared" si="291"/>
        <v>2027</v>
      </c>
      <c r="AF409" s="325">
        <f t="shared" si="291"/>
        <v>2028</v>
      </c>
      <c r="AG409" s="325">
        <f t="shared" si="291"/>
        <v>2029</v>
      </c>
      <c r="AH409" s="325">
        <f t="shared" si="291"/>
        <v>2030</v>
      </c>
      <c r="AI409" s="325">
        <f t="shared" si="291"/>
        <v>2031</v>
      </c>
      <c r="AJ409" s="325">
        <f t="shared" si="291"/>
        <v>2032</v>
      </c>
      <c r="AK409" s="325">
        <f t="shared" si="291"/>
        <v>2033</v>
      </c>
      <c r="AL409" s="325">
        <f t="shared" si="291"/>
        <v>2034</v>
      </c>
      <c r="AM409" s="325">
        <f t="shared" si="291"/>
        <v>2035</v>
      </c>
      <c r="AN409" s="325">
        <f t="shared" si="291"/>
        <v>2036</v>
      </c>
      <c r="AO409" s="325">
        <f t="shared" si="291"/>
        <v>2037</v>
      </c>
      <c r="AP409" s="325">
        <f t="shared" si="291"/>
        <v>2038</v>
      </c>
      <c r="AQ409" s="325">
        <f t="shared" si="291"/>
        <v>2039</v>
      </c>
      <c r="AR409" s="325">
        <f t="shared" si="291"/>
        <v>2040</v>
      </c>
      <c r="AS409" s="325">
        <f t="shared" si="291"/>
        <v>2041</v>
      </c>
      <c r="AT409" s="325">
        <f t="shared" si="291"/>
        <v>2042</v>
      </c>
      <c r="AU409" s="325">
        <f t="shared" si="291"/>
        <v>2043</v>
      </c>
    </row>
    <row r="410" spans="1:47">
      <c r="E410" s="325"/>
      <c r="G410" s="39"/>
      <c r="H410" s="39"/>
      <c r="I410" s="39"/>
      <c r="J410" s="39"/>
      <c r="K410" s="39"/>
    </row>
    <row r="411" spans="1:47">
      <c r="A411" s="38" t="str">
        <f>$J$4&amp;"-"</f>
        <v>2X-</v>
      </c>
      <c r="B411" s="38" t="s">
        <v>306</v>
      </c>
      <c r="C411" s="38" t="s">
        <v>138</v>
      </c>
      <c r="D411" s="186">
        <f>CapExEsc</f>
        <v>0.03</v>
      </c>
      <c r="E411" s="325"/>
      <c r="G411" s="36" t="s">
        <v>8</v>
      </c>
      <c r="H411" s="39"/>
      <c r="I411" s="39"/>
      <c r="J411" s="70"/>
      <c r="K411" s="39"/>
      <c r="L411" s="43" t="str">
        <f>"["&amp;CostBaseYr&amp;" $]"</f>
        <v>[2013 $]</v>
      </c>
      <c r="N411" s="52">
        <f ca="1">SUMIFS(OFFSET(Assumptions!$I$65,0,MATCH($A411,Configurations,0)-1,COUNT(Assumptions!$A$65:$A$84),1),Assumptions!$E$65:$E$84,$C411)</f>
        <v>0</v>
      </c>
      <c r="O411" s="52"/>
      <c r="P411" s="322"/>
      <c r="Q411" s="52"/>
      <c r="R411" s="52">
        <f t="shared" ref="R411:AU411" ca="1" si="292">R412*IF($P411=0,$N411,$P411)*(1+$D411)^(R$8-CostBaseYr)</f>
        <v>0</v>
      </c>
      <c r="S411" s="52">
        <f t="shared" ca="1" si="292"/>
        <v>0</v>
      </c>
      <c r="T411" s="52">
        <f t="shared" ca="1" si="292"/>
        <v>0</v>
      </c>
      <c r="U411" s="52">
        <f t="shared" ca="1" si="292"/>
        <v>0</v>
      </c>
      <c r="V411" s="52">
        <f t="shared" ca="1" si="292"/>
        <v>0</v>
      </c>
      <c r="W411" s="52">
        <f t="shared" ca="1" si="292"/>
        <v>0</v>
      </c>
      <c r="X411" s="52">
        <f t="shared" ca="1" si="292"/>
        <v>0</v>
      </c>
      <c r="Y411" s="52">
        <f t="shared" ca="1" si="292"/>
        <v>0</v>
      </c>
      <c r="Z411" s="52">
        <f t="shared" ca="1" si="292"/>
        <v>0</v>
      </c>
      <c r="AA411" s="52">
        <f t="shared" ca="1" si="292"/>
        <v>0</v>
      </c>
      <c r="AB411" s="52">
        <f t="shared" ca="1" si="292"/>
        <v>0</v>
      </c>
      <c r="AC411" s="52">
        <f t="shared" ca="1" si="292"/>
        <v>0</v>
      </c>
      <c r="AD411" s="52">
        <f t="shared" ca="1" si="292"/>
        <v>0</v>
      </c>
      <c r="AE411" s="52">
        <f t="shared" ca="1" si="292"/>
        <v>0</v>
      </c>
      <c r="AF411" s="52">
        <f t="shared" ca="1" si="292"/>
        <v>0</v>
      </c>
      <c r="AG411" s="52">
        <f t="shared" ca="1" si="292"/>
        <v>0</v>
      </c>
      <c r="AH411" s="52">
        <f t="shared" ca="1" si="292"/>
        <v>0</v>
      </c>
      <c r="AI411" s="52">
        <f t="shared" ca="1" si="292"/>
        <v>0</v>
      </c>
      <c r="AJ411" s="52">
        <f t="shared" ca="1" si="292"/>
        <v>0</v>
      </c>
      <c r="AK411" s="52">
        <f t="shared" ca="1" si="292"/>
        <v>0</v>
      </c>
      <c r="AL411" s="52">
        <f t="shared" ca="1" si="292"/>
        <v>0</v>
      </c>
      <c r="AM411" s="52">
        <f t="shared" ca="1" si="292"/>
        <v>0</v>
      </c>
      <c r="AN411" s="52">
        <f t="shared" ca="1" si="292"/>
        <v>0</v>
      </c>
      <c r="AO411" s="52">
        <f t="shared" ca="1" si="292"/>
        <v>0</v>
      </c>
      <c r="AP411" s="52">
        <f t="shared" ca="1" si="292"/>
        <v>0</v>
      </c>
      <c r="AQ411" s="52">
        <f t="shared" ca="1" si="292"/>
        <v>0</v>
      </c>
      <c r="AR411" s="52">
        <f t="shared" ca="1" si="292"/>
        <v>0</v>
      </c>
      <c r="AS411" s="52">
        <f t="shared" ca="1" si="292"/>
        <v>0</v>
      </c>
      <c r="AT411" s="52">
        <f t="shared" ca="1" si="292"/>
        <v>0</v>
      </c>
      <c r="AU411" s="52">
        <f t="shared" ca="1" si="292"/>
        <v>0</v>
      </c>
    </row>
    <row r="412" spans="1:47">
      <c r="E412" s="325"/>
      <c r="G412" s="36" t="s">
        <v>10</v>
      </c>
      <c r="H412" s="39"/>
      <c r="I412" s="39"/>
      <c r="J412" s="39"/>
      <c r="K412" s="39"/>
      <c r="L412" s="43"/>
      <c r="R412" s="54">
        <f>Assumptions!M$60</f>
        <v>1</v>
      </c>
      <c r="S412" s="54">
        <f>Assumptions!N$60</f>
        <v>0</v>
      </c>
      <c r="T412" s="54">
        <f>Assumptions!O$60</f>
        <v>0</v>
      </c>
      <c r="U412" s="54">
        <f>Assumptions!P$60</f>
        <v>0</v>
      </c>
      <c r="V412" s="54">
        <f>Assumptions!Q$60</f>
        <v>0</v>
      </c>
      <c r="W412" s="54">
        <f>Assumptions!R$60</f>
        <v>0</v>
      </c>
      <c r="X412" s="54">
        <f>Assumptions!S$60</f>
        <v>0</v>
      </c>
      <c r="Y412" s="54">
        <f>Assumptions!T$60</f>
        <v>0</v>
      </c>
      <c r="Z412" s="54">
        <f>Assumptions!U$60</f>
        <v>0</v>
      </c>
      <c r="AA412" s="54">
        <f>Assumptions!V$60</f>
        <v>0</v>
      </c>
      <c r="AB412" s="54">
        <f>Assumptions!W$60</f>
        <v>0</v>
      </c>
      <c r="AC412" s="54">
        <f>Assumptions!X$60</f>
        <v>0</v>
      </c>
      <c r="AD412" s="54">
        <f>Assumptions!Y$60</f>
        <v>0</v>
      </c>
      <c r="AE412" s="54">
        <f>Assumptions!Z$60</f>
        <v>0</v>
      </c>
      <c r="AF412" s="54">
        <f>Assumptions!AA$60</f>
        <v>0</v>
      </c>
      <c r="AG412" s="54">
        <f>Assumptions!AB$60</f>
        <v>0</v>
      </c>
      <c r="AH412" s="54">
        <f>Assumptions!AC$60</f>
        <v>0</v>
      </c>
      <c r="AI412" s="54">
        <f>Assumptions!AD$60</f>
        <v>0</v>
      </c>
      <c r="AJ412" s="54">
        <f>Assumptions!AE$60</f>
        <v>0</v>
      </c>
      <c r="AK412" s="54">
        <f>Assumptions!AF$60</f>
        <v>0</v>
      </c>
      <c r="AL412" s="54">
        <f>Assumptions!AG$60</f>
        <v>0</v>
      </c>
      <c r="AM412" s="54">
        <f>Assumptions!AH$60</f>
        <v>0</v>
      </c>
      <c r="AN412" s="54">
        <f>Assumptions!AI$60</f>
        <v>0</v>
      </c>
      <c r="AO412" s="54">
        <f>Assumptions!AJ$60</f>
        <v>0</v>
      </c>
      <c r="AP412" s="54">
        <f>Assumptions!AK$60</f>
        <v>0</v>
      </c>
      <c r="AQ412" s="54">
        <f>Assumptions!AL$60</f>
        <v>0</v>
      </c>
      <c r="AR412" s="54">
        <f>Assumptions!AM$60</f>
        <v>0</v>
      </c>
      <c r="AS412" s="54">
        <f>Assumptions!AN$60</f>
        <v>0</v>
      </c>
      <c r="AT412" s="54">
        <f>Assumptions!AO$60</f>
        <v>0</v>
      </c>
      <c r="AU412" s="54">
        <f>Assumptions!AP$60</f>
        <v>0</v>
      </c>
    </row>
    <row r="413" spans="1:47">
      <c r="E413" s="326"/>
      <c r="G413" s="39"/>
      <c r="H413" s="39"/>
      <c r="I413" s="39"/>
      <c r="J413" s="39"/>
      <c r="K413" s="39"/>
    </row>
    <row r="414" spans="1:47">
      <c r="E414" s="327"/>
      <c r="F414" s="28"/>
      <c r="G414" s="324" t="str">
        <f>C411&amp;" O&amp;M"</f>
        <v>Pre-Treatment (CAMBI) O&amp;M</v>
      </c>
      <c r="H414" s="324"/>
      <c r="I414" s="324"/>
      <c r="J414" s="324"/>
      <c r="K414" s="324"/>
      <c r="L414" s="405" t="s">
        <v>79</v>
      </c>
      <c r="M414" s="256"/>
      <c r="N414" s="325" t="s">
        <v>490</v>
      </c>
      <c r="O414" s="311"/>
      <c r="P414" s="325" t="s">
        <v>491</v>
      </c>
      <c r="Q414" s="310"/>
      <c r="R414" s="325">
        <f>R$8</f>
        <v>2014</v>
      </c>
      <c r="S414" s="325">
        <f t="shared" ref="S414:AU414" si="293">S$8</f>
        <v>2015</v>
      </c>
      <c r="T414" s="325">
        <f t="shared" si="293"/>
        <v>2016</v>
      </c>
      <c r="U414" s="325">
        <f t="shared" si="293"/>
        <v>2017</v>
      </c>
      <c r="V414" s="325">
        <f t="shared" si="293"/>
        <v>2018</v>
      </c>
      <c r="W414" s="325">
        <f t="shared" si="293"/>
        <v>2019</v>
      </c>
      <c r="X414" s="325">
        <f t="shared" si="293"/>
        <v>2020</v>
      </c>
      <c r="Y414" s="325">
        <f t="shared" si="293"/>
        <v>2021</v>
      </c>
      <c r="Z414" s="325">
        <f t="shared" si="293"/>
        <v>2022</v>
      </c>
      <c r="AA414" s="325">
        <f t="shared" si="293"/>
        <v>2023</v>
      </c>
      <c r="AB414" s="325">
        <f t="shared" si="293"/>
        <v>2024</v>
      </c>
      <c r="AC414" s="325">
        <f t="shared" si="293"/>
        <v>2025</v>
      </c>
      <c r="AD414" s="325">
        <f t="shared" si="293"/>
        <v>2026</v>
      </c>
      <c r="AE414" s="325">
        <f t="shared" si="293"/>
        <v>2027</v>
      </c>
      <c r="AF414" s="325">
        <f t="shared" si="293"/>
        <v>2028</v>
      </c>
      <c r="AG414" s="325">
        <f t="shared" si="293"/>
        <v>2029</v>
      </c>
      <c r="AH414" s="325">
        <f t="shared" si="293"/>
        <v>2030</v>
      </c>
      <c r="AI414" s="325">
        <f t="shared" si="293"/>
        <v>2031</v>
      </c>
      <c r="AJ414" s="325">
        <f t="shared" si="293"/>
        <v>2032</v>
      </c>
      <c r="AK414" s="325">
        <f t="shared" si="293"/>
        <v>2033</v>
      </c>
      <c r="AL414" s="325">
        <f t="shared" si="293"/>
        <v>2034</v>
      </c>
      <c r="AM414" s="325">
        <f t="shared" si="293"/>
        <v>2035</v>
      </c>
      <c r="AN414" s="325">
        <f t="shared" si="293"/>
        <v>2036</v>
      </c>
      <c r="AO414" s="325">
        <f t="shared" si="293"/>
        <v>2037</v>
      </c>
      <c r="AP414" s="325">
        <f t="shared" si="293"/>
        <v>2038</v>
      </c>
      <c r="AQ414" s="325">
        <f t="shared" si="293"/>
        <v>2039</v>
      </c>
      <c r="AR414" s="325">
        <f t="shared" si="293"/>
        <v>2040</v>
      </c>
      <c r="AS414" s="325">
        <f t="shared" si="293"/>
        <v>2041</v>
      </c>
      <c r="AT414" s="325">
        <f t="shared" si="293"/>
        <v>2042</v>
      </c>
      <c r="AU414" s="325">
        <f t="shared" si="293"/>
        <v>2043</v>
      </c>
    </row>
    <row r="415" spans="1:47">
      <c r="E415" s="325"/>
      <c r="G415" s="39"/>
      <c r="H415" s="39"/>
      <c r="I415" s="39"/>
      <c r="J415" s="39"/>
      <c r="K415" s="39"/>
    </row>
    <row r="416" spans="1:47">
      <c r="E416" s="325"/>
      <c r="G416" s="39" t="s">
        <v>23</v>
      </c>
      <c r="H416" s="39"/>
      <c r="I416" s="39"/>
      <c r="J416" s="39"/>
      <c r="K416" s="39"/>
    </row>
    <row r="417" spans="1:47">
      <c r="A417" s="38" t="str">
        <f t="shared" ref="A417:A424" si="294">$J$4&amp;"-"</f>
        <v>2X-</v>
      </c>
      <c r="B417" s="38" t="s">
        <v>262</v>
      </c>
      <c r="C417" s="38" t="str">
        <f>C411</f>
        <v>Pre-Treatment (CAMBI)</v>
      </c>
      <c r="D417" s="186">
        <f>LaborEsc</f>
        <v>0.02</v>
      </c>
      <c r="E417" s="325"/>
      <c r="G417" s="36" t="s">
        <v>125</v>
      </c>
      <c r="I417" s="39"/>
      <c r="K417" s="39"/>
      <c r="L417" s="43" t="s">
        <v>266</v>
      </c>
      <c r="N417" s="70">
        <f ca="1">SUMIFS(OFFSET(Assumptions!$I$90,0,MATCH($A417,Configurations,0)-1,COUNT(Assumptions!$A$90:$A$183),1),Assumptions!$D$90:$D$183,$B417&amp;$C417)</f>
        <v>0</v>
      </c>
      <c r="O417" s="313"/>
      <c r="P417" s="323"/>
      <c r="Q417" s="313"/>
      <c r="R417" s="50">
        <f t="shared" ref="R417:AU417" ca="1" si="295">IF(OR(R$99&lt;InServiceYr,R$99&gt;(InServiceYr+analysis_period-1)),0,IF($P417=0,$N417,$P417)*LaborCost*(1+$D417)^(R$99-CostBaseYr))</f>
        <v>0</v>
      </c>
      <c r="S417" s="50">
        <f t="shared" ca="1" si="295"/>
        <v>0</v>
      </c>
      <c r="T417" s="50">
        <f t="shared" ca="1" si="295"/>
        <v>0</v>
      </c>
      <c r="U417" s="50">
        <f t="shared" ca="1" si="295"/>
        <v>0</v>
      </c>
      <c r="V417" s="50">
        <f t="shared" ca="1" si="295"/>
        <v>0</v>
      </c>
      <c r="W417" s="50">
        <f t="shared" ca="1" si="295"/>
        <v>0</v>
      </c>
      <c r="X417" s="50">
        <f t="shared" ca="1" si="295"/>
        <v>0</v>
      </c>
      <c r="Y417" s="50">
        <f t="shared" ca="1" si="295"/>
        <v>0</v>
      </c>
      <c r="Z417" s="50">
        <f t="shared" ca="1" si="295"/>
        <v>0</v>
      </c>
      <c r="AA417" s="50">
        <f t="shared" ca="1" si="295"/>
        <v>0</v>
      </c>
      <c r="AB417" s="50">
        <f t="shared" ca="1" si="295"/>
        <v>0</v>
      </c>
      <c r="AC417" s="50">
        <f t="shared" ca="1" si="295"/>
        <v>0</v>
      </c>
      <c r="AD417" s="50">
        <f t="shared" ca="1" si="295"/>
        <v>0</v>
      </c>
      <c r="AE417" s="50">
        <f t="shared" ca="1" si="295"/>
        <v>0</v>
      </c>
      <c r="AF417" s="50">
        <f t="shared" ca="1" si="295"/>
        <v>0</v>
      </c>
      <c r="AG417" s="50">
        <f t="shared" ca="1" si="295"/>
        <v>0</v>
      </c>
      <c r="AH417" s="50">
        <f t="shared" ca="1" si="295"/>
        <v>0</v>
      </c>
      <c r="AI417" s="50">
        <f t="shared" ca="1" si="295"/>
        <v>0</v>
      </c>
      <c r="AJ417" s="50">
        <f t="shared" ca="1" si="295"/>
        <v>0</v>
      </c>
      <c r="AK417" s="50">
        <f t="shared" ca="1" si="295"/>
        <v>0</v>
      </c>
      <c r="AL417" s="50">
        <f t="shared" si="295"/>
        <v>0</v>
      </c>
      <c r="AM417" s="50">
        <f t="shared" si="295"/>
        <v>0</v>
      </c>
      <c r="AN417" s="50">
        <f t="shared" si="295"/>
        <v>0</v>
      </c>
      <c r="AO417" s="50">
        <f t="shared" si="295"/>
        <v>0</v>
      </c>
      <c r="AP417" s="50">
        <f t="shared" si="295"/>
        <v>0</v>
      </c>
      <c r="AQ417" s="50">
        <f t="shared" si="295"/>
        <v>0</v>
      </c>
      <c r="AR417" s="50">
        <f t="shared" si="295"/>
        <v>0</v>
      </c>
      <c r="AS417" s="50">
        <f t="shared" si="295"/>
        <v>0</v>
      </c>
      <c r="AT417" s="50">
        <f t="shared" si="295"/>
        <v>0</v>
      </c>
      <c r="AU417" s="50">
        <f t="shared" si="295"/>
        <v>0</v>
      </c>
    </row>
    <row r="418" spans="1:47">
      <c r="A418" s="38" t="str">
        <f t="shared" si="294"/>
        <v>2X-</v>
      </c>
      <c r="B418" s="38" t="s">
        <v>270</v>
      </c>
      <c r="C418" s="38" t="str">
        <f>C417</f>
        <v>Pre-Treatment (CAMBI)</v>
      </c>
      <c r="D418" s="186">
        <f>OMEsc</f>
        <v>0.02</v>
      </c>
      <c r="E418" s="325"/>
      <c r="G418" s="36" t="s">
        <v>126</v>
      </c>
      <c r="I418" s="39"/>
      <c r="K418" s="39"/>
      <c r="L418" s="43" t="str">
        <f>"["&amp;CostBaseYr&amp;" $]"</f>
        <v>[2013 $]</v>
      </c>
      <c r="N418" s="70">
        <f ca="1">SUMIFS(OFFSET(Assumptions!$I$90,0,MATCH($A418,Configurations,0)-1,COUNT(Assumptions!$A$90:$A$183),1),Assumptions!$D$90:$D$183,$B418&amp;$C418)</f>
        <v>0</v>
      </c>
      <c r="O418" s="313"/>
      <c r="P418" s="323"/>
      <c r="Q418" s="313"/>
      <c r="R418" s="50">
        <f t="shared" ref="R418:AG420" ca="1" si="296">IF(OR(R$99&lt;InServiceYr,R$99&gt;(InServiceYr+analysis_period-1)),0,IF($P418=0,$N418,$P418)*(1+$D418)^(R$99-CostBaseYr))</f>
        <v>0</v>
      </c>
      <c r="S418" s="50">
        <f t="shared" ca="1" si="296"/>
        <v>0</v>
      </c>
      <c r="T418" s="50">
        <f t="shared" ca="1" si="296"/>
        <v>0</v>
      </c>
      <c r="U418" s="50">
        <f t="shared" ca="1" si="296"/>
        <v>0</v>
      </c>
      <c r="V418" s="50">
        <f t="shared" ca="1" si="296"/>
        <v>0</v>
      </c>
      <c r="W418" s="50">
        <f t="shared" ca="1" si="296"/>
        <v>0</v>
      </c>
      <c r="X418" s="50">
        <f t="shared" ca="1" si="296"/>
        <v>0</v>
      </c>
      <c r="Y418" s="50">
        <f t="shared" ca="1" si="296"/>
        <v>0</v>
      </c>
      <c r="Z418" s="50">
        <f t="shared" ca="1" si="296"/>
        <v>0</v>
      </c>
      <c r="AA418" s="50">
        <f t="shared" ca="1" si="296"/>
        <v>0</v>
      </c>
      <c r="AB418" s="50">
        <f t="shared" ca="1" si="296"/>
        <v>0</v>
      </c>
      <c r="AC418" s="50">
        <f t="shared" ca="1" si="296"/>
        <v>0</v>
      </c>
      <c r="AD418" s="50">
        <f t="shared" ca="1" si="296"/>
        <v>0</v>
      </c>
      <c r="AE418" s="50">
        <f t="shared" ca="1" si="296"/>
        <v>0</v>
      </c>
      <c r="AF418" s="50">
        <f t="shared" ca="1" si="296"/>
        <v>0</v>
      </c>
      <c r="AG418" s="50">
        <f t="shared" ca="1" si="296"/>
        <v>0</v>
      </c>
      <c r="AH418" s="50">
        <f t="shared" ref="S418:AU420" ca="1" si="297">IF(OR(AH$99&lt;InServiceYr,AH$99&gt;(InServiceYr+analysis_period-1)),0,IF($P418=0,$N418,$P418)*(1+$D418)^(AH$99-CostBaseYr))</f>
        <v>0</v>
      </c>
      <c r="AI418" s="50">
        <f t="shared" ca="1" si="297"/>
        <v>0</v>
      </c>
      <c r="AJ418" s="50">
        <f t="shared" ca="1" si="297"/>
        <v>0</v>
      </c>
      <c r="AK418" s="50">
        <f t="shared" ca="1" si="297"/>
        <v>0</v>
      </c>
      <c r="AL418" s="50">
        <f t="shared" si="297"/>
        <v>0</v>
      </c>
      <c r="AM418" s="50">
        <f t="shared" si="297"/>
        <v>0</v>
      </c>
      <c r="AN418" s="50">
        <f t="shared" si="297"/>
        <v>0</v>
      </c>
      <c r="AO418" s="50">
        <f t="shared" si="297"/>
        <v>0</v>
      </c>
      <c r="AP418" s="50">
        <f t="shared" si="297"/>
        <v>0</v>
      </c>
      <c r="AQ418" s="50">
        <f t="shared" si="297"/>
        <v>0</v>
      </c>
      <c r="AR418" s="50">
        <f t="shared" si="297"/>
        <v>0</v>
      </c>
      <c r="AS418" s="50">
        <f t="shared" si="297"/>
        <v>0</v>
      </c>
      <c r="AT418" s="50">
        <f t="shared" si="297"/>
        <v>0</v>
      </c>
      <c r="AU418" s="50">
        <f t="shared" si="297"/>
        <v>0</v>
      </c>
    </row>
    <row r="419" spans="1:47">
      <c r="A419" s="38" t="str">
        <f t="shared" si="294"/>
        <v>2X-</v>
      </c>
      <c r="B419" s="38" t="s">
        <v>263</v>
      </c>
      <c r="C419" s="38" t="str">
        <f t="shared" ref="C419:C423" si="298">C418</f>
        <v>Pre-Treatment (CAMBI)</v>
      </c>
      <c r="D419" s="186">
        <f>OMEsc</f>
        <v>0.02</v>
      </c>
      <c r="E419" s="325"/>
      <c r="G419" s="36" t="s">
        <v>127</v>
      </c>
      <c r="I419" s="39"/>
      <c r="K419" s="39"/>
      <c r="L419" s="43" t="str">
        <f>"["&amp;CostBaseYr&amp;" $]"</f>
        <v>[2013 $]</v>
      </c>
      <c r="N419" s="70">
        <f ca="1">SUMIFS(OFFSET(Assumptions!$I$90,0,MATCH($A419,Configurations,0)-1,COUNT(Assumptions!$A$90:$A$183),1),Assumptions!$D$90:$D$183,$B419&amp;$C419)</f>
        <v>0</v>
      </c>
      <c r="O419" s="313"/>
      <c r="P419" s="323"/>
      <c r="Q419" s="313"/>
      <c r="R419" s="50">
        <f t="shared" ca="1" si="296"/>
        <v>0</v>
      </c>
      <c r="S419" s="50">
        <f t="shared" ca="1" si="297"/>
        <v>0</v>
      </c>
      <c r="T419" s="50">
        <f t="shared" ca="1" si="297"/>
        <v>0</v>
      </c>
      <c r="U419" s="50">
        <f t="shared" ca="1" si="297"/>
        <v>0</v>
      </c>
      <c r="V419" s="50">
        <f t="shared" ca="1" si="297"/>
        <v>0</v>
      </c>
      <c r="W419" s="50">
        <f t="shared" ca="1" si="297"/>
        <v>0</v>
      </c>
      <c r="X419" s="50">
        <f t="shared" ca="1" si="297"/>
        <v>0</v>
      </c>
      <c r="Y419" s="50">
        <f t="shared" ca="1" si="297"/>
        <v>0</v>
      </c>
      <c r="Z419" s="50">
        <f t="shared" ca="1" si="297"/>
        <v>0</v>
      </c>
      <c r="AA419" s="50">
        <f t="shared" ca="1" si="297"/>
        <v>0</v>
      </c>
      <c r="AB419" s="50">
        <f t="shared" ca="1" si="297"/>
        <v>0</v>
      </c>
      <c r="AC419" s="50">
        <f t="shared" ca="1" si="297"/>
        <v>0</v>
      </c>
      <c r="AD419" s="50">
        <f t="shared" ca="1" si="297"/>
        <v>0</v>
      </c>
      <c r="AE419" s="50">
        <f t="shared" ca="1" si="297"/>
        <v>0</v>
      </c>
      <c r="AF419" s="50">
        <f t="shared" ca="1" si="297"/>
        <v>0</v>
      </c>
      <c r="AG419" s="50">
        <f t="shared" ca="1" si="297"/>
        <v>0</v>
      </c>
      <c r="AH419" s="50">
        <f t="shared" ca="1" si="297"/>
        <v>0</v>
      </c>
      <c r="AI419" s="50">
        <f t="shared" ca="1" si="297"/>
        <v>0</v>
      </c>
      <c r="AJ419" s="50">
        <f t="shared" ca="1" si="297"/>
        <v>0</v>
      </c>
      <c r="AK419" s="50">
        <f t="shared" ca="1" si="297"/>
        <v>0</v>
      </c>
      <c r="AL419" s="50">
        <f t="shared" si="297"/>
        <v>0</v>
      </c>
      <c r="AM419" s="50">
        <f t="shared" si="297"/>
        <v>0</v>
      </c>
      <c r="AN419" s="50">
        <f t="shared" si="297"/>
        <v>0</v>
      </c>
      <c r="AO419" s="50">
        <f t="shared" si="297"/>
        <v>0</v>
      </c>
      <c r="AP419" s="50">
        <f t="shared" si="297"/>
        <v>0</v>
      </c>
      <c r="AQ419" s="50">
        <f t="shared" si="297"/>
        <v>0</v>
      </c>
      <c r="AR419" s="50">
        <f t="shared" si="297"/>
        <v>0</v>
      </c>
      <c r="AS419" s="50">
        <f t="shared" si="297"/>
        <v>0</v>
      </c>
      <c r="AT419" s="50">
        <f t="shared" si="297"/>
        <v>0</v>
      </c>
      <c r="AU419" s="50">
        <f t="shared" si="297"/>
        <v>0</v>
      </c>
    </row>
    <row r="420" spans="1:47">
      <c r="A420" s="38" t="str">
        <f t="shared" si="294"/>
        <v>2X-</v>
      </c>
      <c r="B420" s="38" t="s">
        <v>277</v>
      </c>
      <c r="C420" s="38" t="str">
        <f t="shared" si="298"/>
        <v>Pre-Treatment (CAMBI)</v>
      </c>
      <c r="D420" s="186">
        <f>OMEsc</f>
        <v>0.02</v>
      </c>
      <c r="E420" s="325"/>
      <c r="G420" s="36" t="s">
        <v>276</v>
      </c>
      <c r="I420" s="39"/>
      <c r="K420" s="39"/>
      <c r="L420" s="43" t="str">
        <f>"["&amp;CostBaseYr&amp;" $]"</f>
        <v>[2013 $]</v>
      </c>
      <c r="N420" s="70">
        <f ca="1">SUMIFS(OFFSET(Assumptions!$I$90,0,MATCH($A420,Configurations,0)-1,COUNT(Assumptions!$A$90:$A$183),1),Assumptions!$D$90:$D$183,$B420&amp;$C420)</f>
        <v>0</v>
      </c>
      <c r="O420" s="313"/>
      <c r="P420" s="323"/>
      <c r="Q420" s="313"/>
      <c r="R420" s="50">
        <f t="shared" ca="1" si="296"/>
        <v>0</v>
      </c>
      <c r="S420" s="50">
        <f t="shared" ca="1" si="297"/>
        <v>0</v>
      </c>
      <c r="T420" s="50">
        <f t="shared" ca="1" si="297"/>
        <v>0</v>
      </c>
      <c r="U420" s="50">
        <f t="shared" ca="1" si="297"/>
        <v>0</v>
      </c>
      <c r="V420" s="50">
        <f t="shared" ca="1" si="297"/>
        <v>0</v>
      </c>
      <c r="W420" s="50">
        <f t="shared" ca="1" si="297"/>
        <v>0</v>
      </c>
      <c r="X420" s="50">
        <f t="shared" ca="1" si="297"/>
        <v>0</v>
      </c>
      <c r="Y420" s="50">
        <f t="shared" ca="1" si="297"/>
        <v>0</v>
      </c>
      <c r="Z420" s="50">
        <f t="shared" ca="1" si="297"/>
        <v>0</v>
      </c>
      <c r="AA420" s="50">
        <f t="shared" ca="1" si="297"/>
        <v>0</v>
      </c>
      <c r="AB420" s="50">
        <f t="shared" ca="1" si="297"/>
        <v>0</v>
      </c>
      <c r="AC420" s="50">
        <f t="shared" ca="1" si="297"/>
        <v>0</v>
      </c>
      <c r="AD420" s="50">
        <f t="shared" ca="1" si="297"/>
        <v>0</v>
      </c>
      <c r="AE420" s="50">
        <f t="shared" ca="1" si="297"/>
        <v>0</v>
      </c>
      <c r="AF420" s="50">
        <f t="shared" ca="1" si="297"/>
        <v>0</v>
      </c>
      <c r="AG420" s="50">
        <f t="shared" ca="1" si="297"/>
        <v>0</v>
      </c>
      <c r="AH420" s="50">
        <f t="shared" ca="1" si="297"/>
        <v>0</v>
      </c>
      <c r="AI420" s="50">
        <f t="shared" ca="1" si="297"/>
        <v>0</v>
      </c>
      <c r="AJ420" s="50">
        <f t="shared" ca="1" si="297"/>
        <v>0</v>
      </c>
      <c r="AK420" s="50">
        <f t="shared" ca="1" si="297"/>
        <v>0</v>
      </c>
      <c r="AL420" s="50">
        <f t="shared" si="297"/>
        <v>0</v>
      </c>
      <c r="AM420" s="50">
        <f t="shared" si="297"/>
        <v>0</v>
      </c>
      <c r="AN420" s="50">
        <f t="shared" si="297"/>
        <v>0</v>
      </c>
      <c r="AO420" s="50">
        <f t="shared" si="297"/>
        <v>0</v>
      </c>
      <c r="AP420" s="50">
        <f t="shared" si="297"/>
        <v>0</v>
      </c>
      <c r="AQ420" s="50">
        <f t="shared" si="297"/>
        <v>0</v>
      </c>
      <c r="AR420" s="50">
        <f t="shared" si="297"/>
        <v>0</v>
      </c>
      <c r="AS420" s="50">
        <f t="shared" si="297"/>
        <v>0</v>
      </c>
      <c r="AT420" s="50">
        <f t="shared" si="297"/>
        <v>0</v>
      </c>
      <c r="AU420" s="50">
        <f t="shared" si="297"/>
        <v>0</v>
      </c>
    </row>
    <row r="421" spans="1:47">
      <c r="A421" s="38" t="str">
        <f t="shared" si="294"/>
        <v>2X-</v>
      </c>
      <c r="B421" s="38" t="s">
        <v>274</v>
      </c>
      <c r="C421" s="38" t="str">
        <f t="shared" si="298"/>
        <v>Pre-Treatment (CAMBI)</v>
      </c>
      <c r="D421" s="186"/>
      <c r="E421" s="325"/>
      <c r="G421" s="36" t="s">
        <v>16</v>
      </c>
      <c r="I421" s="39"/>
      <c r="K421" s="39"/>
      <c r="L421" s="43" t="s">
        <v>275</v>
      </c>
      <c r="N421" s="70">
        <f ca="1">SUMIFS(OFFSET(Assumptions!$I$90,0,MATCH($A421,Configurations,0)-1,COUNT(Assumptions!$A$90:$A$183),1),Assumptions!$D$90:$D$183,$B421&amp;$C421)</f>
        <v>0</v>
      </c>
      <c r="O421" s="313"/>
      <c r="P421" s="323"/>
      <c r="Q421" s="313"/>
      <c r="R421" s="50">
        <f t="shared" ref="R421:AU421" ca="1" si="299">IF(OR(R$99&lt;InServiceYr,R$99&gt;(InServiceYr+analysis_period-1)),0,IF($P421=0,$N421,$P421)*R$505)</f>
        <v>0</v>
      </c>
      <c r="S421" s="50">
        <f t="shared" ca="1" si="299"/>
        <v>0</v>
      </c>
      <c r="T421" s="50">
        <f t="shared" ca="1" si="299"/>
        <v>0</v>
      </c>
      <c r="U421" s="50">
        <f t="shared" ca="1" si="299"/>
        <v>0</v>
      </c>
      <c r="V421" s="50">
        <f t="shared" ca="1" si="299"/>
        <v>0</v>
      </c>
      <c r="W421" s="50">
        <f t="shared" ca="1" si="299"/>
        <v>0</v>
      </c>
      <c r="X421" s="50">
        <f t="shared" ca="1" si="299"/>
        <v>0</v>
      </c>
      <c r="Y421" s="50">
        <f t="shared" ca="1" si="299"/>
        <v>0</v>
      </c>
      <c r="Z421" s="50">
        <f t="shared" ca="1" si="299"/>
        <v>0</v>
      </c>
      <c r="AA421" s="50">
        <f t="shared" ca="1" si="299"/>
        <v>0</v>
      </c>
      <c r="AB421" s="50">
        <f t="shared" ca="1" si="299"/>
        <v>0</v>
      </c>
      <c r="AC421" s="50">
        <f t="shared" ca="1" si="299"/>
        <v>0</v>
      </c>
      <c r="AD421" s="50">
        <f t="shared" ca="1" si="299"/>
        <v>0</v>
      </c>
      <c r="AE421" s="50">
        <f t="shared" ca="1" si="299"/>
        <v>0</v>
      </c>
      <c r="AF421" s="50">
        <f t="shared" ca="1" si="299"/>
        <v>0</v>
      </c>
      <c r="AG421" s="50">
        <f t="shared" ca="1" si="299"/>
        <v>0</v>
      </c>
      <c r="AH421" s="50">
        <f t="shared" ca="1" si="299"/>
        <v>0</v>
      </c>
      <c r="AI421" s="50">
        <f t="shared" ca="1" si="299"/>
        <v>0</v>
      </c>
      <c r="AJ421" s="50">
        <f t="shared" ca="1" si="299"/>
        <v>0</v>
      </c>
      <c r="AK421" s="50">
        <f t="shared" ca="1" si="299"/>
        <v>0</v>
      </c>
      <c r="AL421" s="50">
        <f t="shared" si="299"/>
        <v>0</v>
      </c>
      <c r="AM421" s="50">
        <f t="shared" si="299"/>
        <v>0</v>
      </c>
      <c r="AN421" s="50">
        <f t="shared" si="299"/>
        <v>0</v>
      </c>
      <c r="AO421" s="50">
        <f t="shared" si="299"/>
        <v>0</v>
      </c>
      <c r="AP421" s="50">
        <f t="shared" si="299"/>
        <v>0</v>
      </c>
      <c r="AQ421" s="50">
        <f t="shared" si="299"/>
        <v>0</v>
      </c>
      <c r="AR421" s="50">
        <f t="shared" si="299"/>
        <v>0</v>
      </c>
      <c r="AS421" s="50">
        <f t="shared" si="299"/>
        <v>0</v>
      </c>
      <c r="AT421" s="50">
        <f t="shared" si="299"/>
        <v>0</v>
      </c>
      <c r="AU421" s="50">
        <f t="shared" si="299"/>
        <v>0</v>
      </c>
    </row>
    <row r="422" spans="1:47">
      <c r="A422" s="38" t="str">
        <f t="shared" si="294"/>
        <v>2X-</v>
      </c>
      <c r="B422" s="38" t="s">
        <v>257</v>
      </c>
      <c r="C422" s="38" t="str">
        <f t="shared" si="298"/>
        <v>Pre-Treatment (CAMBI)</v>
      </c>
      <c r="D422" s="186"/>
      <c r="E422" s="325"/>
      <c r="G422" s="36" t="s">
        <v>284</v>
      </c>
      <c r="I422" s="39"/>
      <c r="K422" s="39"/>
      <c r="L422" s="43" t="s">
        <v>293</v>
      </c>
      <c r="N422" s="70">
        <f ca="1">SUMIFS(OFFSET(Assumptions!$I$90,0,MATCH($A422,Configurations,0)-1,COUNT(Assumptions!$A$90:$A$183),1),Assumptions!$D$90:$D$183,$B422&amp;$C422)</f>
        <v>0</v>
      </c>
      <c r="O422" s="313"/>
      <c r="P422" s="323"/>
      <c r="Q422" s="313"/>
      <c r="R422" s="50">
        <f t="shared" ref="R422:AU422" ca="1" si="300">IF(OR(R$99&lt;InServiceYr,R$99&gt;(InServiceYr+analysis_period-1)),0,IF($P422=0,$N422,$P422)*R$501)</f>
        <v>0</v>
      </c>
      <c r="S422" s="50">
        <f t="shared" ca="1" si="300"/>
        <v>0</v>
      </c>
      <c r="T422" s="50">
        <f t="shared" ca="1" si="300"/>
        <v>0</v>
      </c>
      <c r="U422" s="50">
        <f t="shared" ca="1" si="300"/>
        <v>0</v>
      </c>
      <c r="V422" s="50">
        <f t="shared" ca="1" si="300"/>
        <v>0</v>
      </c>
      <c r="W422" s="50">
        <f t="shared" ca="1" si="300"/>
        <v>0</v>
      </c>
      <c r="X422" s="50">
        <f t="shared" ca="1" si="300"/>
        <v>0</v>
      </c>
      <c r="Y422" s="50">
        <f t="shared" ca="1" si="300"/>
        <v>0</v>
      </c>
      <c r="Z422" s="50">
        <f t="shared" ca="1" si="300"/>
        <v>0</v>
      </c>
      <c r="AA422" s="50">
        <f t="shared" ca="1" si="300"/>
        <v>0</v>
      </c>
      <c r="AB422" s="50">
        <f t="shared" ca="1" si="300"/>
        <v>0</v>
      </c>
      <c r="AC422" s="50">
        <f t="shared" ca="1" si="300"/>
        <v>0</v>
      </c>
      <c r="AD422" s="50">
        <f t="shared" ca="1" si="300"/>
        <v>0</v>
      </c>
      <c r="AE422" s="50">
        <f t="shared" ca="1" si="300"/>
        <v>0</v>
      </c>
      <c r="AF422" s="50">
        <f t="shared" ca="1" si="300"/>
        <v>0</v>
      </c>
      <c r="AG422" s="50">
        <f t="shared" ca="1" si="300"/>
        <v>0</v>
      </c>
      <c r="AH422" s="50">
        <f t="shared" ca="1" si="300"/>
        <v>0</v>
      </c>
      <c r="AI422" s="50">
        <f t="shared" ca="1" si="300"/>
        <v>0</v>
      </c>
      <c r="AJ422" s="50">
        <f t="shared" ca="1" si="300"/>
        <v>0</v>
      </c>
      <c r="AK422" s="50">
        <f t="shared" ca="1" si="300"/>
        <v>0</v>
      </c>
      <c r="AL422" s="50">
        <f t="shared" si="300"/>
        <v>0</v>
      </c>
      <c r="AM422" s="50">
        <f t="shared" si="300"/>
        <v>0</v>
      </c>
      <c r="AN422" s="50">
        <f t="shared" si="300"/>
        <v>0</v>
      </c>
      <c r="AO422" s="50">
        <f t="shared" si="300"/>
        <v>0</v>
      </c>
      <c r="AP422" s="50">
        <f t="shared" si="300"/>
        <v>0</v>
      </c>
      <c r="AQ422" s="50">
        <f t="shared" si="300"/>
        <v>0</v>
      </c>
      <c r="AR422" s="50">
        <f t="shared" si="300"/>
        <v>0</v>
      </c>
      <c r="AS422" s="50">
        <f t="shared" si="300"/>
        <v>0</v>
      </c>
      <c r="AT422" s="50">
        <f t="shared" si="300"/>
        <v>0</v>
      </c>
      <c r="AU422" s="50">
        <f t="shared" si="300"/>
        <v>0</v>
      </c>
    </row>
    <row r="423" spans="1:47">
      <c r="A423" s="38" t="str">
        <f t="shared" si="294"/>
        <v>2X-</v>
      </c>
      <c r="B423" s="38" t="s">
        <v>864</v>
      </c>
      <c r="C423" s="38" t="str">
        <f t="shared" si="298"/>
        <v>Pre-Treatment (CAMBI)</v>
      </c>
      <c r="D423" s="186">
        <f>GHGEsc</f>
        <v>0.02</v>
      </c>
      <c r="E423" s="325"/>
      <c r="G423" s="36" t="s">
        <v>865</v>
      </c>
      <c r="I423" s="39"/>
      <c r="K423" s="39"/>
      <c r="L423" s="43" t="s">
        <v>866</v>
      </c>
      <c r="N423" s="70">
        <f ca="1">SUMIFS(OFFSET(Assumptions!$I$90,0,MATCH($A423,Configurations,0)-1,COUNT(Assumptions!$A$90:$A$183),1),Assumptions!$D$90:$D$183,$B423&amp;$C423)</f>
        <v>0</v>
      </c>
      <c r="O423" s="313"/>
      <c r="P423" s="323"/>
      <c r="Q423" s="313"/>
      <c r="R423" s="50">
        <f t="shared" ref="R423:AU423" ca="1" si="301">IF(OR(R$99&lt;InServiceYr,R$99&gt;(InServiceYr+analysis_period-1)),0,IF($P423=0,$N423,$P423)*R$513)</f>
        <v>0</v>
      </c>
      <c r="S423" s="50">
        <f t="shared" ca="1" si="301"/>
        <v>0</v>
      </c>
      <c r="T423" s="50">
        <f t="shared" ca="1" si="301"/>
        <v>0</v>
      </c>
      <c r="U423" s="50">
        <f t="shared" ca="1" si="301"/>
        <v>0</v>
      </c>
      <c r="V423" s="50">
        <f t="shared" ca="1" si="301"/>
        <v>0</v>
      </c>
      <c r="W423" s="50">
        <f t="shared" ca="1" si="301"/>
        <v>0</v>
      </c>
      <c r="X423" s="50">
        <f t="shared" ca="1" si="301"/>
        <v>0</v>
      </c>
      <c r="Y423" s="50">
        <f t="shared" ca="1" si="301"/>
        <v>0</v>
      </c>
      <c r="Z423" s="50">
        <f t="shared" ca="1" si="301"/>
        <v>0</v>
      </c>
      <c r="AA423" s="50">
        <f t="shared" ca="1" si="301"/>
        <v>0</v>
      </c>
      <c r="AB423" s="50">
        <f t="shared" ca="1" si="301"/>
        <v>0</v>
      </c>
      <c r="AC423" s="50">
        <f t="shared" ca="1" si="301"/>
        <v>0</v>
      </c>
      <c r="AD423" s="50">
        <f t="shared" ca="1" si="301"/>
        <v>0</v>
      </c>
      <c r="AE423" s="50">
        <f t="shared" ca="1" si="301"/>
        <v>0</v>
      </c>
      <c r="AF423" s="50">
        <f t="shared" ca="1" si="301"/>
        <v>0</v>
      </c>
      <c r="AG423" s="50">
        <f t="shared" ca="1" si="301"/>
        <v>0</v>
      </c>
      <c r="AH423" s="50">
        <f t="shared" ca="1" si="301"/>
        <v>0</v>
      </c>
      <c r="AI423" s="50">
        <f t="shared" ca="1" si="301"/>
        <v>0</v>
      </c>
      <c r="AJ423" s="50">
        <f t="shared" ca="1" si="301"/>
        <v>0</v>
      </c>
      <c r="AK423" s="50">
        <f t="shared" ca="1" si="301"/>
        <v>0</v>
      </c>
      <c r="AL423" s="50">
        <f t="shared" si="301"/>
        <v>0</v>
      </c>
      <c r="AM423" s="50">
        <f t="shared" si="301"/>
        <v>0</v>
      </c>
      <c r="AN423" s="50">
        <f t="shared" si="301"/>
        <v>0</v>
      </c>
      <c r="AO423" s="50">
        <f t="shared" si="301"/>
        <v>0</v>
      </c>
      <c r="AP423" s="50">
        <f t="shared" si="301"/>
        <v>0</v>
      </c>
      <c r="AQ423" s="50">
        <f t="shared" si="301"/>
        <v>0</v>
      </c>
      <c r="AR423" s="50">
        <f t="shared" si="301"/>
        <v>0</v>
      </c>
      <c r="AS423" s="50">
        <f t="shared" si="301"/>
        <v>0</v>
      </c>
      <c r="AT423" s="50">
        <f t="shared" si="301"/>
        <v>0</v>
      </c>
      <c r="AU423" s="50">
        <f t="shared" si="301"/>
        <v>0</v>
      </c>
    </row>
    <row r="424" spans="1:47">
      <c r="A424" s="38" t="str">
        <f t="shared" si="294"/>
        <v>2X-</v>
      </c>
      <c r="B424" s="38" t="s">
        <v>273</v>
      </c>
      <c r="C424" s="38" t="str">
        <f>C422</f>
        <v>Pre-Treatment (CAMBI)</v>
      </c>
      <c r="D424" s="186">
        <f>LaborEsc</f>
        <v>0.02</v>
      </c>
      <c r="E424" s="325"/>
      <c r="G424" s="36" t="s">
        <v>291</v>
      </c>
      <c r="I424" s="39"/>
      <c r="K424" s="39"/>
      <c r="L424" s="43" t="str">
        <f>"["&amp;CostBaseYr&amp;" $]"</f>
        <v>[2013 $]</v>
      </c>
      <c r="N424" s="70">
        <f ca="1">SUMIFS(OFFSET(Assumptions!$I$90,0,MATCH($A424,Configurations,0)-1,COUNT(Assumptions!$A$90:$A$183),1),Assumptions!$D$90:$D$183,$B424&amp;$C424)</f>
        <v>0</v>
      </c>
      <c r="O424" s="313"/>
      <c r="P424" s="323"/>
      <c r="Q424" s="313"/>
      <c r="R424" s="50">
        <f t="shared" ref="R424:AU424" ca="1" si="302">IF(OR(R$99&lt;InServiceYr,R$99&gt;(InServiceYr+analysis_period-1)),0,IF($P424=0,$N424,$P424)*(1+$D424)^(R$99-CostBaseYr))*R$509</f>
        <v>0</v>
      </c>
      <c r="S424" s="50">
        <f t="shared" ca="1" si="302"/>
        <v>0</v>
      </c>
      <c r="T424" s="50">
        <f t="shared" ca="1" si="302"/>
        <v>0</v>
      </c>
      <c r="U424" s="50">
        <f t="shared" ca="1" si="302"/>
        <v>0</v>
      </c>
      <c r="V424" s="50">
        <f t="shared" ca="1" si="302"/>
        <v>0</v>
      </c>
      <c r="W424" s="50">
        <f t="shared" ca="1" si="302"/>
        <v>0</v>
      </c>
      <c r="X424" s="50">
        <f t="shared" ca="1" si="302"/>
        <v>0</v>
      </c>
      <c r="Y424" s="50">
        <f t="shared" ca="1" si="302"/>
        <v>0</v>
      </c>
      <c r="Z424" s="50">
        <f t="shared" ca="1" si="302"/>
        <v>0</v>
      </c>
      <c r="AA424" s="50">
        <f t="shared" ca="1" si="302"/>
        <v>0</v>
      </c>
      <c r="AB424" s="50">
        <f t="shared" ca="1" si="302"/>
        <v>0</v>
      </c>
      <c r="AC424" s="50">
        <f t="shared" ca="1" si="302"/>
        <v>0</v>
      </c>
      <c r="AD424" s="50">
        <f t="shared" ca="1" si="302"/>
        <v>0</v>
      </c>
      <c r="AE424" s="50">
        <f t="shared" ca="1" si="302"/>
        <v>0</v>
      </c>
      <c r="AF424" s="50">
        <f t="shared" ca="1" si="302"/>
        <v>0</v>
      </c>
      <c r="AG424" s="50">
        <f t="shared" ca="1" si="302"/>
        <v>0</v>
      </c>
      <c r="AH424" s="50">
        <f t="shared" ca="1" si="302"/>
        <v>0</v>
      </c>
      <c r="AI424" s="50">
        <f t="shared" ca="1" si="302"/>
        <v>0</v>
      </c>
      <c r="AJ424" s="50">
        <f t="shared" ca="1" si="302"/>
        <v>0</v>
      </c>
      <c r="AK424" s="50">
        <f t="shared" ca="1" si="302"/>
        <v>0</v>
      </c>
      <c r="AL424" s="50">
        <f t="shared" si="302"/>
        <v>0</v>
      </c>
      <c r="AM424" s="50">
        <f t="shared" si="302"/>
        <v>0</v>
      </c>
      <c r="AN424" s="50">
        <f t="shared" si="302"/>
        <v>0</v>
      </c>
      <c r="AO424" s="50">
        <f t="shared" si="302"/>
        <v>0</v>
      </c>
      <c r="AP424" s="50">
        <f t="shared" si="302"/>
        <v>0</v>
      </c>
      <c r="AQ424" s="50">
        <f t="shared" si="302"/>
        <v>0</v>
      </c>
      <c r="AR424" s="50">
        <f t="shared" si="302"/>
        <v>0</v>
      </c>
      <c r="AS424" s="50">
        <f t="shared" si="302"/>
        <v>0</v>
      </c>
      <c r="AT424" s="50">
        <f t="shared" si="302"/>
        <v>0</v>
      </c>
      <c r="AU424" s="50">
        <f t="shared" si="302"/>
        <v>0</v>
      </c>
    </row>
    <row r="425" spans="1:47">
      <c r="D425" s="186"/>
      <c r="E425" s="325"/>
      <c r="G425" s="39" t="s">
        <v>304</v>
      </c>
      <c r="I425" s="39"/>
      <c r="K425" s="39"/>
      <c r="L425" s="43"/>
      <c r="N425" s="70"/>
      <c r="O425" s="313"/>
      <c r="P425" s="70"/>
      <c r="Q425" s="313"/>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row>
    <row r="426" spans="1:47">
      <c r="A426" s="38" t="str">
        <f>$J$4&amp;"-"</f>
        <v>2X-</v>
      </c>
      <c r="B426" s="38" t="s">
        <v>265</v>
      </c>
      <c r="C426" s="38" t="str">
        <f>C417</f>
        <v>Pre-Treatment (CAMBI)</v>
      </c>
      <c r="D426" s="186"/>
      <c r="E426" s="325"/>
      <c r="G426" s="36" t="s">
        <v>108</v>
      </c>
      <c r="I426" s="39"/>
      <c r="K426" s="39"/>
      <c r="L426" s="43" t="s">
        <v>293</v>
      </c>
      <c r="N426" s="70">
        <f ca="1">SUMIFS(OFFSET(Assumptions!$I$90,0,MATCH($A426,Configurations,0)-1,COUNT(Assumptions!$A$90:$A$183),1),Assumptions!$D$90:$D$183,$B426&amp;$C426)</f>
        <v>0</v>
      </c>
      <c r="O426" s="313"/>
      <c r="P426" s="323"/>
      <c r="Q426" s="313"/>
      <c r="R426" s="50">
        <f t="shared" ref="R426:AU426" ca="1" si="303">IF(OR(R$99&lt;InServiceYr,R$99&gt;(InServiceYr+analysis_period-1)),0,IF($P426=0,$N426,$P426)*R$501)</f>
        <v>0</v>
      </c>
      <c r="S426" s="50">
        <f t="shared" ca="1" si="303"/>
        <v>0</v>
      </c>
      <c r="T426" s="50">
        <f t="shared" ca="1" si="303"/>
        <v>0</v>
      </c>
      <c r="U426" s="50">
        <f t="shared" ca="1" si="303"/>
        <v>0</v>
      </c>
      <c r="V426" s="50">
        <f t="shared" ca="1" si="303"/>
        <v>0</v>
      </c>
      <c r="W426" s="50">
        <f t="shared" ca="1" si="303"/>
        <v>0</v>
      </c>
      <c r="X426" s="50">
        <f t="shared" ca="1" si="303"/>
        <v>0</v>
      </c>
      <c r="Y426" s="50">
        <f t="shared" ca="1" si="303"/>
        <v>0</v>
      </c>
      <c r="Z426" s="50">
        <f t="shared" ca="1" si="303"/>
        <v>0</v>
      </c>
      <c r="AA426" s="50">
        <f t="shared" ca="1" si="303"/>
        <v>0</v>
      </c>
      <c r="AB426" s="50">
        <f t="shared" ca="1" si="303"/>
        <v>0</v>
      </c>
      <c r="AC426" s="50">
        <f t="shared" ca="1" si="303"/>
        <v>0</v>
      </c>
      <c r="AD426" s="50">
        <f t="shared" ca="1" si="303"/>
        <v>0</v>
      </c>
      <c r="AE426" s="50">
        <f t="shared" ca="1" si="303"/>
        <v>0</v>
      </c>
      <c r="AF426" s="50">
        <f t="shared" ca="1" si="303"/>
        <v>0</v>
      </c>
      <c r="AG426" s="50">
        <f t="shared" ca="1" si="303"/>
        <v>0</v>
      </c>
      <c r="AH426" s="50">
        <f t="shared" ca="1" si="303"/>
        <v>0</v>
      </c>
      <c r="AI426" s="50">
        <f t="shared" ca="1" si="303"/>
        <v>0</v>
      </c>
      <c r="AJ426" s="50">
        <f t="shared" ca="1" si="303"/>
        <v>0</v>
      </c>
      <c r="AK426" s="50">
        <f t="shared" ca="1" si="303"/>
        <v>0</v>
      </c>
      <c r="AL426" s="50">
        <f t="shared" si="303"/>
        <v>0</v>
      </c>
      <c r="AM426" s="50">
        <f t="shared" si="303"/>
        <v>0</v>
      </c>
      <c r="AN426" s="50">
        <f t="shared" si="303"/>
        <v>0</v>
      </c>
      <c r="AO426" s="50">
        <f t="shared" si="303"/>
        <v>0</v>
      </c>
      <c r="AP426" s="50">
        <f t="shared" si="303"/>
        <v>0</v>
      </c>
      <c r="AQ426" s="50">
        <f t="shared" si="303"/>
        <v>0</v>
      </c>
      <c r="AR426" s="50">
        <f t="shared" si="303"/>
        <v>0</v>
      </c>
      <c r="AS426" s="50">
        <f t="shared" si="303"/>
        <v>0</v>
      </c>
      <c r="AT426" s="50">
        <f t="shared" si="303"/>
        <v>0</v>
      </c>
      <c r="AU426" s="50">
        <f t="shared" si="303"/>
        <v>0</v>
      </c>
    </row>
    <row r="427" spans="1:47">
      <c r="A427" s="38" t="str">
        <f>$J$4&amp;"-"</f>
        <v>2X-</v>
      </c>
      <c r="B427" s="38" t="s">
        <v>289</v>
      </c>
      <c r="C427" s="38" t="str">
        <f>C417</f>
        <v>Pre-Treatment (CAMBI)</v>
      </c>
      <c r="D427" s="186">
        <f>LaborEsc</f>
        <v>0.02</v>
      </c>
      <c r="E427" s="325"/>
      <c r="G427" s="36" t="s">
        <v>292</v>
      </c>
      <c r="I427" s="39"/>
      <c r="K427" s="39"/>
      <c r="L427" s="43" t="str">
        <f>"["&amp;CostBaseYr&amp;" $]"</f>
        <v>[2013 $]</v>
      </c>
      <c r="N427" s="70">
        <f ca="1">SUMIFS(OFFSET(Assumptions!$I$90,0,MATCH($A427,Configurations,0)-1,COUNT(Assumptions!$A$90:$A$183),1),Assumptions!$D$90:$D$183,$B427&amp;$C427)</f>
        <v>0</v>
      </c>
      <c r="O427" s="313"/>
      <c r="P427" s="323"/>
      <c r="Q427" s="313"/>
      <c r="R427" s="50">
        <f t="shared" ref="R427:AU427" ca="1" si="304">IF(OR(R$99&lt;InServiceYr,R$99&gt;(InServiceYr+analysis_period-1)),0,IF($P427=0,$N427,$P427)*(1+$D427)^(R$99-CostBaseYr))</f>
        <v>0</v>
      </c>
      <c r="S427" s="50">
        <f t="shared" ca="1" si="304"/>
        <v>0</v>
      </c>
      <c r="T427" s="50">
        <f t="shared" ca="1" si="304"/>
        <v>0</v>
      </c>
      <c r="U427" s="50">
        <f t="shared" ca="1" si="304"/>
        <v>0</v>
      </c>
      <c r="V427" s="50">
        <f t="shared" ca="1" si="304"/>
        <v>0</v>
      </c>
      <c r="W427" s="50">
        <f t="shared" ca="1" si="304"/>
        <v>0</v>
      </c>
      <c r="X427" s="50">
        <f t="shared" ca="1" si="304"/>
        <v>0</v>
      </c>
      <c r="Y427" s="50">
        <f t="shared" ca="1" si="304"/>
        <v>0</v>
      </c>
      <c r="Z427" s="50">
        <f t="shared" ca="1" si="304"/>
        <v>0</v>
      </c>
      <c r="AA427" s="50">
        <f t="shared" ca="1" si="304"/>
        <v>0</v>
      </c>
      <c r="AB427" s="50">
        <f t="shared" ca="1" si="304"/>
        <v>0</v>
      </c>
      <c r="AC427" s="50">
        <f t="shared" ca="1" si="304"/>
        <v>0</v>
      </c>
      <c r="AD427" s="50">
        <f t="shared" ca="1" si="304"/>
        <v>0</v>
      </c>
      <c r="AE427" s="50">
        <f t="shared" ca="1" si="304"/>
        <v>0</v>
      </c>
      <c r="AF427" s="50">
        <f t="shared" ca="1" si="304"/>
        <v>0</v>
      </c>
      <c r="AG427" s="50">
        <f t="shared" ca="1" si="304"/>
        <v>0</v>
      </c>
      <c r="AH427" s="50">
        <f t="shared" ca="1" si="304"/>
        <v>0</v>
      </c>
      <c r="AI427" s="50">
        <f t="shared" ca="1" si="304"/>
        <v>0</v>
      </c>
      <c r="AJ427" s="50">
        <f t="shared" ca="1" si="304"/>
        <v>0</v>
      </c>
      <c r="AK427" s="50">
        <f t="shared" ca="1" si="304"/>
        <v>0</v>
      </c>
      <c r="AL427" s="50">
        <f t="shared" si="304"/>
        <v>0</v>
      </c>
      <c r="AM427" s="50">
        <f t="shared" si="304"/>
        <v>0</v>
      </c>
      <c r="AN427" s="50">
        <f t="shared" si="304"/>
        <v>0</v>
      </c>
      <c r="AO427" s="50">
        <f t="shared" si="304"/>
        <v>0</v>
      </c>
      <c r="AP427" s="50">
        <f t="shared" si="304"/>
        <v>0</v>
      </c>
      <c r="AQ427" s="50">
        <f t="shared" si="304"/>
        <v>0</v>
      </c>
      <c r="AR427" s="50">
        <f t="shared" si="304"/>
        <v>0</v>
      </c>
      <c r="AS427" s="50">
        <f t="shared" si="304"/>
        <v>0</v>
      </c>
      <c r="AT427" s="50">
        <f t="shared" si="304"/>
        <v>0</v>
      </c>
      <c r="AU427" s="50">
        <f t="shared" si="304"/>
        <v>0</v>
      </c>
    </row>
    <row r="428" spans="1:47" s="60" customFormat="1">
      <c r="D428" s="187"/>
      <c r="E428" s="325"/>
      <c r="G428" s="39" t="s">
        <v>305</v>
      </c>
      <c r="I428" s="39"/>
      <c r="K428" s="39"/>
      <c r="L428" s="174"/>
      <c r="N428" s="188"/>
      <c r="O428" s="314"/>
      <c r="P428" s="185"/>
      <c r="Q428" s="314"/>
      <c r="R428" s="185">
        <f ca="1">SUM(R417:R424)-SUM(R426:R427)</f>
        <v>0</v>
      </c>
      <c r="S428" s="185">
        <f t="shared" ref="S428:AU428" ca="1" si="305">SUM(S417:S424)-SUM(S426:S427)</f>
        <v>0</v>
      </c>
      <c r="T428" s="185">
        <f t="shared" ca="1" si="305"/>
        <v>0</v>
      </c>
      <c r="U428" s="185">
        <f t="shared" ca="1" si="305"/>
        <v>0</v>
      </c>
      <c r="V428" s="185">
        <f t="shared" ca="1" si="305"/>
        <v>0</v>
      </c>
      <c r="W428" s="185">
        <f t="shared" ca="1" si="305"/>
        <v>0</v>
      </c>
      <c r="X428" s="185">
        <f t="shared" ca="1" si="305"/>
        <v>0</v>
      </c>
      <c r="Y428" s="185">
        <f t="shared" ca="1" si="305"/>
        <v>0</v>
      </c>
      <c r="Z428" s="185">
        <f t="shared" ca="1" si="305"/>
        <v>0</v>
      </c>
      <c r="AA428" s="185">
        <f t="shared" ca="1" si="305"/>
        <v>0</v>
      </c>
      <c r="AB428" s="185">
        <f t="shared" ca="1" si="305"/>
        <v>0</v>
      </c>
      <c r="AC428" s="185">
        <f t="shared" ca="1" si="305"/>
        <v>0</v>
      </c>
      <c r="AD428" s="185">
        <f t="shared" ca="1" si="305"/>
        <v>0</v>
      </c>
      <c r="AE428" s="185">
        <f t="shared" ca="1" si="305"/>
        <v>0</v>
      </c>
      <c r="AF428" s="185">
        <f t="shared" ca="1" si="305"/>
        <v>0</v>
      </c>
      <c r="AG428" s="185">
        <f t="shared" ca="1" si="305"/>
        <v>0</v>
      </c>
      <c r="AH428" s="185">
        <f t="shared" ca="1" si="305"/>
        <v>0</v>
      </c>
      <c r="AI428" s="185">
        <f t="shared" ca="1" si="305"/>
        <v>0</v>
      </c>
      <c r="AJ428" s="185">
        <f t="shared" ca="1" si="305"/>
        <v>0</v>
      </c>
      <c r="AK428" s="185">
        <f t="shared" ca="1" si="305"/>
        <v>0</v>
      </c>
      <c r="AL428" s="185">
        <f t="shared" si="305"/>
        <v>0</v>
      </c>
      <c r="AM428" s="185">
        <f t="shared" si="305"/>
        <v>0</v>
      </c>
      <c r="AN428" s="185">
        <f t="shared" si="305"/>
        <v>0</v>
      </c>
      <c r="AO428" s="185">
        <f t="shared" si="305"/>
        <v>0</v>
      </c>
      <c r="AP428" s="185">
        <f t="shared" si="305"/>
        <v>0</v>
      </c>
      <c r="AQ428" s="185">
        <f t="shared" si="305"/>
        <v>0</v>
      </c>
      <c r="AR428" s="185">
        <f t="shared" si="305"/>
        <v>0</v>
      </c>
      <c r="AS428" s="185">
        <f t="shared" si="305"/>
        <v>0</v>
      </c>
      <c r="AT428" s="185">
        <f t="shared" si="305"/>
        <v>0</v>
      </c>
      <c r="AU428" s="185">
        <f t="shared" si="305"/>
        <v>0</v>
      </c>
    </row>
    <row r="429" spans="1:47">
      <c r="E429" s="36"/>
      <c r="G429" s="39"/>
      <c r="H429" s="39"/>
      <c r="I429" s="39"/>
      <c r="J429" s="39"/>
      <c r="K429" s="39"/>
    </row>
    <row r="430" spans="1:47">
      <c r="E430" s="327"/>
      <c r="F430" s="28"/>
      <c r="G430" s="324" t="str">
        <f>C432&amp;" Capital Costs"</f>
        <v>Sitework Capital Costs</v>
      </c>
      <c r="H430" s="324"/>
      <c r="I430" s="324"/>
      <c r="J430" s="324"/>
      <c r="K430" s="324"/>
      <c r="L430" s="405" t="s">
        <v>79</v>
      </c>
      <c r="M430" s="256"/>
      <c r="N430" s="325" t="s">
        <v>490</v>
      </c>
      <c r="O430" s="311"/>
      <c r="P430" s="325" t="s">
        <v>491</v>
      </c>
      <c r="Q430" s="310"/>
      <c r="R430" s="325">
        <f>R$8</f>
        <v>2014</v>
      </c>
      <c r="S430" s="325">
        <f t="shared" ref="S430:AU430" si="306">S$8</f>
        <v>2015</v>
      </c>
      <c r="T430" s="325">
        <f t="shared" si="306"/>
        <v>2016</v>
      </c>
      <c r="U430" s="325">
        <f t="shared" si="306"/>
        <v>2017</v>
      </c>
      <c r="V430" s="325">
        <f t="shared" si="306"/>
        <v>2018</v>
      </c>
      <c r="W430" s="325">
        <f t="shared" si="306"/>
        <v>2019</v>
      </c>
      <c r="X430" s="325">
        <f t="shared" si="306"/>
        <v>2020</v>
      </c>
      <c r="Y430" s="325">
        <f t="shared" si="306"/>
        <v>2021</v>
      </c>
      <c r="Z430" s="325">
        <f t="shared" si="306"/>
        <v>2022</v>
      </c>
      <c r="AA430" s="325">
        <f t="shared" si="306"/>
        <v>2023</v>
      </c>
      <c r="AB430" s="325">
        <f t="shared" si="306"/>
        <v>2024</v>
      </c>
      <c r="AC430" s="325">
        <f t="shared" si="306"/>
        <v>2025</v>
      </c>
      <c r="AD430" s="325">
        <f t="shared" si="306"/>
        <v>2026</v>
      </c>
      <c r="AE430" s="325">
        <f t="shared" si="306"/>
        <v>2027</v>
      </c>
      <c r="AF430" s="325">
        <f t="shared" si="306"/>
        <v>2028</v>
      </c>
      <c r="AG430" s="325">
        <f t="shared" si="306"/>
        <v>2029</v>
      </c>
      <c r="AH430" s="325">
        <f t="shared" si="306"/>
        <v>2030</v>
      </c>
      <c r="AI430" s="325">
        <f t="shared" si="306"/>
        <v>2031</v>
      </c>
      <c r="AJ430" s="325">
        <f t="shared" si="306"/>
        <v>2032</v>
      </c>
      <c r="AK430" s="325">
        <f t="shared" si="306"/>
        <v>2033</v>
      </c>
      <c r="AL430" s="325">
        <f t="shared" si="306"/>
        <v>2034</v>
      </c>
      <c r="AM430" s="325">
        <f t="shared" si="306"/>
        <v>2035</v>
      </c>
      <c r="AN430" s="325">
        <f t="shared" si="306"/>
        <v>2036</v>
      </c>
      <c r="AO430" s="325">
        <f t="shared" si="306"/>
        <v>2037</v>
      </c>
      <c r="AP430" s="325">
        <f t="shared" si="306"/>
        <v>2038</v>
      </c>
      <c r="AQ430" s="325">
        <f t="shared" si="306"/>
        <v>2039</v>
      </c>
      <c r="AR430" s="325">
        <f t="shared" si="306"/>
        <v>2040</v>
      </c>
      <c r="AS430" s="325">
        <f t="shared" si="306"/>
        <v>2041</v>
      </c>
      <c r="AT430" s="325">
        <f t="shared" si="306"/>
        <v>2042</v>
      </c>
      <c r="AU430" s="325">
        <f t="shared" si="306"/>
        <v>2043</v>
      </c>
    </row>
    <row r="431" spans="1:47">
      <c r="E431" s="325"/>
      <c r="G431" s="39"/>
      <c r="H431" s="39"/>
      <c r="I431" s="39"/>
      <c r="J431" s="39"/>
      <c r="K431" s="39"/>
    </row>
    <row r="432" spans="1:47">
      <c r="A432" s="38" t="str">
        <f>$J$4&amp;"-"</f>
        <v>2X-</v>
      </c>
      <c r="B432" s="38" t="s">
        <v>306</v>
      </c>
      <c r="C432" s="38" t="s">
        <v>113</v>
      </c>
      <c r="D432" s="186">
        <f>CapExEsc</f>
        <v>0.03</v>
      </c>
      <c r="E432" s="325"/>
      <c r="G432" s="36" t="s">
        <v>8</v>
      </c>
      <c r="H432" s="39"/>
      <c r="I432" s="39"/>
      <c r="J432" s="70"/>
      <c r="K432" s="39"/>
      <c r="L432" s="43" t="str">
        <f>"["&amp;CostBaseYr&amp;" $]"</f>
        <v>[2013 $]</v>
      </c>
      <c r="N432" s="52">
        <f ca="1">SUMIFS(OFFSET(Assumptions!$I$65,0,MATCH($A432,Configurations,0)-1,COUNT(Assumptions!$A$65:$A$84),1),Assumptions!$E$65:$E$84,$C432)</f>
        <v>978000</v>
      </c>
      <c r="O432" s="52"/>
      <c r="P432" s="322"/>
      <c r="Q432" s="52"/>
      <c r="R432" s="52">
        <f t="shared" ref="R432:AU432" ca="1" si="307">R433*IF($P432=0,$N432,$P432)*(1+$D432)^(R$8-CostBaseYr)</f>
        <v>1007340</v>
      </c>
      <c r="S432" s="52">
        <f t="shared" ca="1" si="307"/>
        <v>0</v>
      </c>
      <c r="T432" s="52">
        <f t="shared" ca="1" si="307"/>
        <v>0</v>
      </c>
      <c r="U432" s="52">
        <f t="shared" ca="1" si="307"/>
        <v>0</v>
      </c>
      <c r="V432" s="52">
        <f t="shared" ca="1" si="307"/>
        <v>0</v>
      </c>
      <c r="W432" s="52">
        <f t="shared" ca="1" si="307"/>
        <v>0</v>
      </c>
      <c r="X432" s="52">
        <f t="shared" ca="1" si="307"/>
        <v>0</v>
      </c>
      <c r="Y432" s="52">
        <f t="shared" ca="1" si="307"/>
        <v>0</v>
      </c>
      <c r="Z432" s="52">
        <f t="shared" ca="1" si="307"/>
        <v>0</v>
      </c>
      <c r="AA432" s="52">
        <f t="shared" ca="1" si="307"/>
        <v>0</v>
      </c>
      <c r="AB432" s="52">
        <f t="shared" ca="1" si="307"/>
        <v>0</v>
      </c>
      <c r="AC432" s="52">
        <f t="shared" ca="1" si="307"/>
        <v>0</v>
      </c>
      <c r="AD432" s="52">
        <f t="shared" ca="1" si="307"/>
        <v>0</v>
      </c>
      <c r="AE432" s="52">
        <f t="shared" ca="1" si="307"/>
        <v>0</v>
      </c>
      <c r="AF432" s="52">
        <f t="shared" ca="1" si="307"/>
        <v>0</v>
      </c>
      <c r="AG432" s="52">
        <f t="shared" ca="1" si="307"/>
        <v>0</v>
      </c>
      <c r="AH432" s="52">
        <f t="shared" ca="1" si="307"/>
        <v>0</v>
      </c>
      <c r="AI432" s="52">
        <f t="shared" ca="1" si="307"/>
        <v>0</v>
      </c>
      <c r="AJ432" s="52">
        <f t="shared" ca="1" si="307"/>
        <v>0</v>
      </c>
      <c r="AK432" s="52">
        <f t="shared" ca="1" si="307"/>
        <v>0</v>
      </c>
      <c r="AL432" s="52">
        <f t="shared" ca="1" si="307"/>
        <v>0</v>
      </c>
      <c r="AM432" s="52">
        <f t="shared" ca="1" si="307"/>
        <v>0</v>
      </c>
      <c r="AN432" s="52">
        <f t="shared" ca="1" si="307"/>
        <v>0</v>
      </c>
      <c r="AO432" s="52">
        <f t="shared" ca="1" si="307"/>
        <v>0</v>
      </c>
      <c r="AP432" s="52">
        <f t="shared" ca="1" si="307"/>
        <v>0</v>
      </c>
      <c r="AQ432" s="52">
        <f t="shared" ca="1" si="307"/>
        <v>0</v>
      </c>
      <c r="AR432" s="52">
        <f t="shared" ca="1" si="307"/>
        <v>0</v>
      </c>
      <c r="AS432" s="52">
        <f t="shared" ca="1" si="307"/>
        <v>0</v>
      </c>
      <c r="AT432" s="52">
        <f t="shared" ca="1" si="307"/>
        <v>0</v>
      </c>
      <c r="AU432" s="52">
        <f t="shared" ca="1" si="307"/>
        <v>0</v>
      </c>
    </row>
    <row r="433" spans="1:47">
      <c r="E433" s="325"/>
      <c r="G433" s="36" t="s">
        <v>10</v>
      </c>
      <c r="H433" s="39"/>
      <c r="I433" s="39"/>
      <c r="J433" s="39"/>
      <c r="K433" s="39"/>
      <c r="L433" s="43"/>
      <c r="R433" s="54">
        <f>Assumptions!M$60</f>
        <v>1</v>
      </c>
      <c r="S433" s="54">
        <f>Assumptions!N$60</f>
        <v>0</v>
      </c>
      <c r="T433" s="54">
        <f>Assumptions!O$60</f>
        <v>0</v>
      </c>
      <c r="U433" s="54">
        <f>Assumptions!P$60</f>
        <v>0</v>
      </c>
      <c r="V433" s="54">
        <f>Assumptions!Q$60</f>
        <v>0</v>
      </c>
      <c r="W433" s="54">
        <f>Assumptions!R$60</f>
        <v>0</v>
      </c>
      <c r="X433" s="54">
        <f>Assumptions!S$60</f>
        <v>0</v>
      </c>
      <c r="Y433" s="54">
        <f>Assumptions!T$60</f>
        <v>0</v>
      </c>
      <c r="Z433" s="54">
        <f>Assumptions!U$60</f>
        <v>0</v>
      </c>
      <c r="AA433" s="54">
        <f>Assumptions!V$60</f>
        <v>0</v>
      </c>
      <c r="AB433" s="54">
        <f>Assumptions!W$60</f>
        <v>0</v>
      </c>
      <c r="AC433" s="54">
        <f>Assumptions!X$60</f>
        <v>0</v>
      </c>
      <c r="AD433" s="54">
        <f>Assumptions!Y$60</f>
        <v>0</v>
      </c>
      <c r="AE433" s="54">
        <f>Assumptions!Z$60</f>
        <v>0</v>
      </c>
      <c r="AF433" s="54">
        <f>Assumptions!AA$60</f>
        <v>0</v>
      </c>
      <c r="AG433" s="54">
        <f>Assumptions!AB$60</f>
        <v>0</v>
      </c>
      <c r="AH433" s="54">
        <f>Assumptions!AC$60</f>
        <v>0</v>
      </c>
      <c r="AI433" s="54">
        <f>Assumptions!AD$60</f>
        <v>0</v>
      </c>
      <c r="AJ433" s="54">
        <f>Assumptions!AE$60</f>
        <v>0</v>
      </c>
      <c r="AK433" s="54">
        <f>Assumptions!AF$60</f>
        <v>0</v>
      </c>
      <c r="AL433" s="54">
        <f>Assumptions!AG$60</f>
        <v>0</v>
      </c>
      <c r="AM433" s="54">
        <f>Assumptions!AH$60</f>
        <v>0</v>
      </c>
      <c r="AN433" s="54">
        <f>Assumptions!AI$60</f>
        <v>0</v>
      </c>
      <c r="AO433" s="54">
        <f>Assumptions!AJ$60</f>
        <v>0</v>
      </c>
      <c r="AP433" s="54">
        <f>Assumptions!AK$60</f>
        <v>0</v>
      </c>
      <c r="AQ433" s="54">
        <f>Assumptions!AL$60</f>
        <v>0</v>
      </c>
      <c r="AR433" s="54">
        <f>Assumptions!AM$60</f>
        <v>0</v>
      </c>
      <c r="AS433" s="54">
        <f>Assumptions!AN$60</f>
        <v>0</v>
      </c>
      <c r="AT433" s="54">
        <f>Assumptions!AO$60</f>
        <v>0</v>
      </c>
      <c r="AU433" s="54">
        <f>Assumptions!AP$60</f>
        <v>0</v>
      </c>
    </row>
    <row r="434" spans="1:47">
      <c r="E434" s="36"/>
      <c r="G434" s="39"/>
      <c r="H434" s="39"/>
      <c r="I434" s="39"/>
      <c r="J434" s="39"/>
      <c r="K434" s="39"/>
    </row>
    <row r="435" spans="1:47">
      <c r="E435" s="327"/>
      <c r="F435" s="28"/>
      <c r="G435" s="324" t="str">
        <f>C437&amp;" Capital Costs"</f>
        <v>General Requirements Capital Costs</v>
      </c>
      <c r="H435" s="324"/>
      <c r="I435" s="324"/>
      <c r="J435" s="324"/>
      <c r="K435" s="324"/>
      <c r="L435" s="405" t="s">
        <v>79</v>
      </c>
      <c r="M435" s="256"/>
      <c r="N435" s="325" t="s">
        <v>490</v>
      </c>
      <c r="O435" s="311"/>
      <c r="P435" s="325" t="s">
        <v>491</v>
      </c>
      <c r="Q435" s="310"/>
      <c r="R435" s="325">
        <f>R$8</f>
        <v>2014</v>
      </c>
      <c r="S435" s="325">
        <f t="shared" ref="S435:AU435" si="308">S$8</f>
        <v>2015</v>
      </c>
      <c r="T435" s="325">
        <f t="shared" si="308"/>
        <v>2016</v>
      </c>
      <c r="U435" s="325">
        <f t="shared" si="308"/>
        <v>2017</v>
      </c>
      <c r="V435" s="325">
        <f t="shared" si="308"/>
        <v>2018</v>
      </c>
      <c r="W435" s="325">
        <f t="shared" si="308"/>
        <v>2019</v>
      </c>
      <c r="X435" s="325">
        <f t="shared" si="308"/>
        <v>2020</v>
      </c>
      <c r="Y435" s="325">
        <f t="shared" si="308"/>
        <v>2021</v>
      </c>
      <c r="Z435" s="325">
        <f t="shared" si="308"/>
        <v>2022</v>
      </c>
      <c r="AA435" s="325">
        <f t="shared" si="308"/>
        <v>2023</v>
      </c>
      <c r="AB435" s="325">
        <f t="shared" si="308"/>
        <v>2024</v>
      </c>
      <c r="AC435" s="325">
        <f t="shared" si="308"/>
        <v>2025</v>
      </c>
      <c r="AD435" s="325">
        <f t="shared" si="308"/>
        <v>2026</v>
      </c>
      <c r="AE435" s="325">
        <f t="shared" si="308"/>
        <v>2027</v>
      </c>
      <c r="AF435" s="325">
        <f t="shared" si="308"/>
        <v>2028</v>
      </c>
      <c r="AG435" s="325">
        <f t="shared" si="308"/>
        <v>2029</v>
      </c>
      <c r="AH435" s="325">
        <f t="shared" si="308"/>
        <v>2030</v>
      </c>
      <c r="AI435" s="325">
        <f t="shared" si="308"/>
        <v>2031</v>
      </c>
      <c r="AJ435" s="325">
        <f t="shared" si="308"/>
        <v>2032</v>
      </c>
      <c r="AK435" s="325">
        <f t="shared" si="308"/>
        <v>2033</v>
      </c>
      <c r="AL435" s="325">
        <f t="shared" si="308"/>
        <v>2034</v>
      </c>
      <c r="AM435" s="325">
        <f t="shared" si="308"/>
        <v>2035</v>
      </c>
      <c r="AN435" s="325">
        <f t="shared" si="308"/>
        <v>2036</v>
      </c>
      <c r="AO435" s="325">
        <f t="shared" si="308"/>
        <v>2037</v>
      </c>
      <c r="AP435" s="325">
        <f t="shared" si="308"/>
        <v>2038</v>
      </c>
      <c r="AQ435" s="325">
        <f t="shared" si="308"/>
        <v>2039</v>
      </c>
      <c r="AR435" s="325">
        <f t="shared" si="308"/>
        <v>2040</v>
      </c>
      <c r="AS435" s="325">
        <f t="shared" si="308"/>
        <v>2041</v>
      </c>
      <c r="AT435" s="325">
        <f t="shared" si="308"/>
        <v>2042</v>
      </c>
      <c r="AU435" s="325">
        <f t="shared" si="308"/>
        <v>2043</v>
      </c>
    </row>
    <row r="436" spans="1:47">
      <c r="E436" s="325"/>
      <c r="G436" s="39"/>
      <c r="H436" s="39"/>
      <c r="I436" s="39"/>
      <c r="J436" s="39"/>
      <c r="K436" s="39"/>
    </row>
    <row r="437" spans="1:47">
      <c r="A437" s="38" t="str">
        <f>$J$4&amp;"-"</f>
        <v>2X-</v>
      </c>
      <c r="B437" s="38" t="s">
        <v>306</v>
      </c>
      <c r="C437" s="38" t="s">
        <v>115</v>
      </c>
      <c r="D437" s="186">
        <f>CapExEsc</f>
        <v>0.03</v>
      </c>
      <c r="E437" s="325"/>
      <c r="G437" s="36" t="s">
        <v>8</v>
      </c>
      <c r="H437" s="39"/>
      <c r="I437" s="39"/>
      <c r="J437" s="70"/>
      <c r="K437" s="39"/>
      <c r="L437" s="43" t="str">
        <f>"["&amp;CostBaseYr&amp;" $]"</f>
        <v>[2013 $]</v>
      </c>
      <c r="N437" s="52">
        <f ca="1">SUMIFS(OFFSET(Assumptions!$I$65,0,MATCH($A437,Configurations,0)-1,COUNT(Assumptions!$A$65:$A$84),1),Assumptions!$E$65:$E$84,$C437)</f>
        <v>1956000</v>
      </c>
      <c r="O437" s="52"/>
      <c r="P437" s="322"/>
      <c r="Q437" s="52"/>
      <c r="R437" s="52">
        <f t="shared" ref="R437:AU437" ca="1" si="309">R438*IF($P437=0,$N437,$P437)*(1+$D437)^(R$8-CostBaseYr)</f>
        <v>2014680</v>
      </c>
      <c r="S437" s="52">
        <f t="shared" ca="1" si="309"/>
        <v>0</v>
      </c>
      <c r="T437" s="52">
        <f t="shared" ca="1" si="309"/>
        <v>0</v>
      </c>
      <c r="U437" s="52">
        <f t="shared" ca="1" si="309"/>
        <v>0</v>
      </c>
      <c r="V437" s="52">
        <f t="shared" ca="1" si="309"/>
        <v>0</v>
      </c>
      <c r="W437" s="52">
        <f t="shared" ca="1" si="309"/>
        <v>0</v>
      </c>
      <c r="X437" s="52">
        <f t="shared" ca="1" si="309"/>
        <v>0</v>
      </c>
      <c r="Y437" s="52">
        <f t="shared" ca="1" si="309"/>
        <v>0</v>
      </c>
      <c r="Z437" s="52">
        <f t="shared" ca="1" si="309"/>
        <v>0</v>
      </c>
      <c r="AA437" s="52">
        <f t="shared" ca="1" si="309"/>
        <v>0</v>
      </c>
      <c r="AB437" s="52">
        <f t="shared" ca="1" si="309"/>
        <v>0</v>
      </c>
      <c r="AC437" s="52">
        <f t="shared" ca="1" si="309"/>
        <v>0</v>
      </c>
      <c r="AD437" s="52">
        <f t="shared" ca="1" si="309"/>
        <v>0</v>
      </c>
      <c r="AE437" s="52">
        <f t="shared" ca="1" si="309"/>
        <v>0</v>
      </c>
      <c r="AF437" s="52">
        <f t="shared" ca="1" si="309"/>
        <v>0</v>
      </c>
      <c r="AG437" s="52">
        <f t="shared" ca="1" si="309"/>
        <v>0</v>
      </c>
      <c r="AH437" s="52">
        <f t="shared" ca="1" si="309"/>
        <v>0</v>
      </c>
      <c r="AI437" s="52">
        <f t="shared" ca="1" si="309"/>
        <v>0</v>
      </c>
      <c r="AJ437" s="52">
        <f t="shared" ca="1" si="309"/>
        <v>0</v>
      </c>
      <c r="AK437" s="52">
        <f t="shared" ca="1" si="309"/>
        <v>0</v>
      </c>
      <c r="AL437" s="52">
        <f t="shared" ca="1" si="309"/>
        <v>0</v>
      </c>
      <c r="AM437" s="52">
        <f t="shared" ca="1" si="309"/>
        <v>0</v>
      </c>
      <c r="AN437" s="52">
        <f t="shared" ca="1" si="309"/>
        <v>0</v>
      </c>
      <c r="AO437" s="52">
        <f t="shared" ca="1" si="309"/>
        <v>0</v>
      </c>
      <c r="AP437" s="52">
        <f t="shared" ca="1" si="309"/>
        <v>0</v>
      </c>
      <c r="AQ437" s="52">
        <f t="shared" ca="1" si="309"/>
        <v>0</v>
      </c>
      <c r="AR437" s="52">
        <f t="shared" ca="1" si="309"/>
        <v>0</v>
      </c>
      <c r="AS437" s="52">
        <f t="shared" ca="1" si="309"/>
        <v>0</v>
      </c>
      <c r="AT437" s="52">
        <f t="shared" ca="1" si="309"/>
        <v>0</v>
      </c>
      <c r="AU437" s="52">
        <f t="shared" ca="1" si="309"/>
        <v>0</v>
      </c>
    </row>
    <row r="438" spans="1:47">
      <c r="E438" s="325"/>
      <c r="G438" s="36" t="s">
        <v>10</v>
      </c>
      <c r="H438" s="39"/>
      <c r="I438" s="39"/>
      <c r="J438" s="39"/>
      <c r="K438" s="39"/>
      <c r="L438" s="43"/>
      <c r="R438" s="54">
        <f>Assumptions!M$60</f>
        <v>1</v>
      </c>
      <c r="S438" s="54">
        <f>Assumptions!N$60</f>
        <v>0</v>
      </c>
      <c r="T438" s="54">
        <f>Assumptions!O$60</f>
        <v>0</v>
      </c>
      <c r="U438" s="54">
        <f>Assumptions!P$60</f>
        <v>0</v>
      </c>
      <c r="V438" s="54">
        <f>Assumptions!Q$60</f>
        <v>0</v>
      </c>
      <c r="W438" s="54">
        <f>Assumptions!R$60</f>
        <v>0</v>
      </c>
      <c r="X438" s="54">
        <f>Assumptions!S$60</f>
        <v>0</v>
      </c>
      <c r="Y438" s="54">
        <f>Assumptions!T$60</f>
        <v>0</v>
      </c>
      <c r="Z438" s="54">
        <f>Assumptions!U$60</f>
        <v>0</v>
      </c>
      <c r="AA438" s="54">
        <f>Assumptions!V$60</f>
        <v>0</v>
      </c>
      <c r="AB438" s="54">
        <f>Assumptions!W$60</f>
        <v>0</v>
      </c>
      <c r="AC438" s="54">
        <f>Assumptions!X$60</f>
        <v>0</v>
      </c>
      <c r="AD438" s="54">
        <f>Assumptions!Y$60</f>
        <v>0</v>
      </c>
      <c r="AE438" s="54">
        <f>Assumptions!Z$60</f>
        <v>0</v>
      </c>
      <c r="AF438" s="54">
        <f>Assumptions!AA$60</f>
        <v>0</v>
      </c>
      <c r="AG438" s="54">
        <f>Assumptions!AB$60</f>
        <v>0</v>
      </c>
      <c r="AH438" s="54">
        <f>Assumptions!AC$60</f>
        <v>0</v>
      </c>
      <c r="AI438" s="54">
        <f>Assumptions!AD$60</f>
        <v>0</v>
      </c>
      <c r="AJ438" s="54">
        <f>Assumptions!AE$60</f>
        <v>0</v>
      </c>
      <c r="AK438" s="54">
        <f>Assumptions!AF$60</f>
        <v>0</v>
      </c>
      <c r="AL438" s="54">
        <f>Assumptions!AG$60</f>
        <v>0</v>
      </c>
      <c r="AM438" s="54">
        <f>Assumptions!AH$60</f>
        <v>0</v>
      </c>
      <c r="AN438" s="54">
        <f>Assumptions!AI$60</f>
        <v>0</v>
      </c>
      <c r="AO438" s="54">
        <f>Assumptions!AJ$60</f>
        <v>0</v>
      </c>
      <c r="AP438" s="54">
        <f>Assumptions!AK$60</f>
        <v>0</v>
      </c>
      <c r="AQ438" s="54">
        <f>Assumptions!AL$60</f>
        <v>0</v>
      </c>
      <c r="AR438" s="54">
        <f>Assumptions!AM$60</f>
        <v>0</v>
      </c>
      <c r="AS438" s="54">
        <f>Assumptions!AN$60</f>
        <v>0</v>
      </c>
      <c r="AT438" s="54">
        <f>Assumptions!AO$60</f>
        <v>0</v>
      </c>
      <c r="AU438" s="54">
        <f>Assumptions!AP$60</f>
        <v>0</v>
      </c>
    </row>
    <row r="439" spans="1:47">
      <c r="E439" s="36"/>
      <c r="G439" s="39"/>
      <c r="H439" s="39"/>
      <c r="I439" s="39"/>
      <c r="J439" s="39"/>
      <c r="K439" s="39"/>
    </row>
    <row r="440" spans="1:47">
      <c r="E440" s="327"/>
      <c r="F440" s="28"/>
      <c r="G440" s="324" t="str">
        <f>C442&amp;" Capital Costs"</f>
        <v>Contingencies Capital Costs</v>
      </c>
      <c r="H440" s="324"/>
      <c r="I440" s="324"/>
      <c r="J440" s="324"/>
      <c r="K440" s="324"/>
      <c r="L440" s="405" t="s">
        <v>79</v>
      </c>
      <c r="M440" s="256"/>
      <c r="N440" s="325" t="s">
        <v>490</v>
      </c>
      <c r="O440" s="311"/>
      <c r="P440" s="325" t="s">
        <v>491</v>
      </c>
      <c r="Q440" s="310"/>
      <c r="R440" s="325">
        <f>R$8</f>
        <v>2014</v>
      </c>
      <c r="S440" s="325">
        <f t="shared" ref="S440:AU440" si="310">S$8</f>
        <v>2015</v>
      </c>
      <c r="T440" s="325">
        <f t="shared" si="310"/>
        <v>2016</v>
      </c>
      <c r="U440" s="325">
        <f t="shared" si="310"/>
        <v>2017</v>
      </c>
      <c r="V440" s="325">
        <f t="shared" si="310"/>
        <v>2018</v>
      </c>
      <c r="W440" s="325">
        <f t="shared" si="310"/>
        <v>2019</v>
      </c>
      <c r="X440" s="325">
        <f t="shared" si="310"/>
        <v>2020</v>
      </c>
      <c r="Y440" s="325">
        <f t="shared" si="310"/>
        <v>2021</v>
      </c>
      <c r="Z440" s="325">
        <f t="shared" si="310"/>
        <v>2022</v>
      </c>
      <c r="AA440" s="325">
        <f t="shared" si="310"/>
        <v>2023</v>
      </c>
      <c r="AB440" s="325">
        <f t="shared" si="310"/>
        <v>2024</v>
      </c>
      <c r="AC440" s="325">
        <f t="shared" si="310"/>
        <v>2025</v>
      </c>
      <c r="AD440" s="325">
        <f t="shared" si="310"/>
        <v>2026</v>
      </c>
      <c r="AE440" s="325">
        <f t="shared" si="310"/>
        <v>2027</v>
      </c>
      <c r="AF440" s="325">
        <f t="shared" si="310"/>
        <v>2028</v>
      </c>
      <c r="AG440" s="325">
        <f t="shared" si="310"/>
        <v>2029</v>
      </c>
      <c r="AH440" s="325">
        <f t="shared" si="310"/>
        <v>2030</v>
      </c>
      <c r="AI440" s="325">
        <f t="shared" si="310"/>
        <v>2031</v>
      </c>
      <c r="AJ440" s="325">
        <f t="shared" si="310"/>
        <v>2032</v>
      </c>
      <c r="AK440" s="325">
        <f t="shared" si="310"/>
        <v>2033</v>
      </c>
      <c r="AL440" s="325">
        <f t="shared" si="310"/>
        <v>2034</v>
      </c>
      <c r="AM440" s="325">
        <f t="shared" si="310"/>
        <v>2035</v>
      </c>
      <c r="AN440" s="325">
        <f t="shared" si="310"/>
        <v>2036</v>
      </c>
      <c r="AO440" s="325">
        <f t="shared" si="310"/>
        <v>2037</v>
      </c>
      <c r="AP440" s="325">
        <f t="shared" si="310"/>
        <v>2038</v>
      </c>
      <c r="AQ440" s="325">
        <f t="shared" si="310"/>
        <v>2039</v>
      </c>
      <c r="AR440" s="325">
        <f t="shared" si="310"/>
        <v>2040</v>
      </c>
      <c r="AS440" s="325">
        <f t="shared" si="310"/>
        <v>2041</v>
      </c>
      <c r="AT440" s="325">
        <f t="shared" si="310"/>
        <v>2042</v>
      </c>
      <c r="AU440" s="325">
        <f t="shared" si="310"/>
        <v>2043</v>
      </c>
    </row>
    <row r="441" spans="1:47">
      <c r="E441" s="325"/>
      <c r="G441" s="39"/>
      <c r="H441" s="39"/>
      <c r="I441" s="39"/>
      <c r="J441" s="39"/>
      <c r="K441" s="39"/>
    </row>
    <row r="442" spans="1:47">
      <c r="A442" s="38" t="str">
        <f>$J$4&amp;"-"</f>
        <v>2X-</v>
      </c>
      <c r="B442" s="38" t="s">
        <v>306</v>
      </c>
      <c r="C442" s="38" t="s">
        <v>146</v>
      </c>
      <c r="D442" s="186">
        <f>CapExEsc</f>
        <v>0.03</v>
      </c>
      <c r="E442" s="325"/>
      <c r="G442" s="36" t="s">
        <v>8</v>
      </c>
      <c r="H442" s="39"/>
      <c r="I442" s="39"/>
      <c r="J442" s="70"/>
      <c r="K442" s="39"/>
      <c r="L442" s="43" t="str">
        <f>"["&amp;CostBaseYr&amp;" $]"</f>
        <v>[2013 $]</v>
      </c>
      <c r="N442" s="52">
        <f ca="1">SUMIFS(OFFSET(Assumptions!$I$65,0,MATCH($A442,Configurations,0)-1,COUNT(Assumptions!$A$65:$A$84),1),Assumptions!$E$65:$E$84,$C442)</f>
        <v>6749000</v>
      </c>
      <c r="O442" s="52"/>
      <c r="P442" s="322"/>
      <c r="Q442" s="52"/>
      <c r="R442" s="52">
        <f t="shared" ref="R442:AU442" ca="1" si="311">R443*IF($P442=0,$N442,$P442)*(1+$D442)^(R$8-CostBaseYr)</f>
        <v>6951470</v>
      </c>
      <c r="S442" s="52">
        <f t="shared" ca="1" si="311"/>
        <v>0</v>
      </c>
      <c r="T442" s="52">
        <f t="shared" ca="1" si="311"/>
        <v>0</v>
      </c>
      <c r="U442" s="52">
        <f t="shared" ca="1" si="311"/>
        <v>0</v>
      </c>
      <c r="V442" s="52">
        <f t="shared" ca="1" si="311"/>
        <v>0</v>
      </c>
      <c r="W442" s="52">
        <f t="shared" ca="1" si="311"/>
        <v>0</v>
      </c>
      <c r="X442" s="52">
        <f t="shared" ca="1" si="311"/>
        <v>0</v>
      </c>
      <c r="Y442" s="52">
        <f t="shared" ca="1" si="311"/>
        <v>0</v>
      </c>
      <c r="Z442" s="52">
        <f t="shared" ca="1" si="311"/>
        <v>0</v>
      </c>
      <c r="AA442" s="52">
        <f t="shared" ca="1" si="311"/>
        <v>0</v>
      </c>
      <c r="AB442" s="52">
        <f t="shared" ca="1" si="311"/>
        <v>0</v>
      </c>
      <c r="AC442" s="52">
        <f t="shared" ca="1" si="311"/>
        <v>0</v>
      </c>
      <c r="AD442" s="52">
        <f t="shared" ca="1" si="311"/>
        <v>0</v>
      </c>
      <c r="AE442" s="52">
        <f t="shared" ca="1" si="311"/>
        <v>0</v>
      </c>
      <c r="AF442" s="52">
        <f t="shared" ca="1" si="311"/>
        <v>0</v>
      </c>
      <c r="AG442" s="52">
        <f t="shared" ca="1" si="311"/>
        <v>0</v>
      </c>
      <c r="AH442" s="52">
        <f t="shared" ca="1" si="311"/>
        <v>0</v>
      </c>
      <c r="AI442" s="52">
        <f t="shared" ca="1" si="311"/>
        <v>0</v>
      </c>
      <c r="AJ442" s="52">
        <f t="shared" ca="1" si="311"/>
        <v>0</v>
      </c>
      <c r="AK442" s="52">
        <f t="shared" ca="1" si="311"/>
        <v>0</v>
      </c>
      <c r="AL442" s="52">
        <f t="shared" ca="1" si="311"/>
        <v>0</v>
      </c>
      <c r="AM442" s="52">
        <f t="shared" ca="1" si="311"/>
        <v>0</v>
      </c>
      <c r="AN442" s="52">
        <f t="shared" ca="1" si="311"/>
        <v>0</v>
      </c>
      <c r="AO442" s="52">
        <f t="shared" ca="1" si="311"/>
        <v>0</v>
      </c>
      <c r="AP442" s="52">
        <f t="shared" ca="1" si="311"/>
        <v>0</v>
      </c>
      <c r="AQ442" s="52">
        <f t="shared" ca="1" si="311"/>
        <v>0</v>
      </c>
      <c r="AR442" s="52">
        <f t="shared" ca="1" si="311"/>
        <v>0</v>
      </c>
      <c r="AS442" s="52">
        <f t="shared" ca="1" si="311"/>
        <v>0</v>
      </c>
      <c r="AT442" s="52">
        <f t="shared" ca="1" si="311"/>
        <v>0</v>
      </c>
      <c r="AU442" s="52">
        <f t="shared" ca="1" si="311"/>
        <v>0</v>
      </c>
    </row>
    <row r="443" spans="1:47">
      <c r="E443" s="325"/>
      <c r="G443" s="36" t="s">
        <v>10</v>
      </c>
      <c r="H443" s="39"/>
      <c r="I443" s="39"/>
      <c r="J443" s="39"/>
      <c r="K443" s="39"/>
      <c r="L443" s="43"/>
      <c r="R443" s="54">
        <f>Assumptions!M$60</f>
        <v>1</v>
      </c>
      <c r="S443" s="54">
        <f>Assumptions!N$60</f>
        <v>0</v>
      </c>
      <c r="T443" s="54">
        <f>Assumptions!O$60</f>
        <v>0</v>
      </c>
      <c r="U443" s="54">
        <f>Assumptions!P$60</f>
        <v>0</v>
      </c>
      <c r="V443" s="54">
        <f>Assumptions!Q$60</f>
        <v>0</v>
      </c>
      <c r="W443" s="54">
        <f>Assumptions!R$60</f>
        <v>0</v>
      </c>
      <c r="X443" s="54">
        <f>Assumptions!S$60</f>
        <v>0</v>
      </c>
      <c r="Y443" s="54">
        <f>Assumptions!T$60</f>
        <v>0</v>
      </c>
      <c r="Z443" s="54">
        <f>Assumptions!U$60</f>
        <v>0</v>
      </c>
      <c r="AA443" s="54">
        <f>Assumptions!V$60</f>
        <v>0</v>
      </c>
      <c r="AB443" s="54">
        <f>Assumptions!W$60</f>
        <v>0</v>
      </c>
      <c r="AC443" s="54">
        <f>Assumptions!X$60</f>
        <v>0</v>
      </c>
      <c r="AD443" s="54">
        <f>Assumptions!Y$60</f>
        <v>0</v>
      </c>
      <c r="AE443" s="54">
        <f>Assumptions!Z$60</f>
        <v>0</v>
      </c>
      <c r="AF443" s="54">
        <f>Assumptions!AA$60</f>
        <v>0</v>
      </c>
      <c r="AG443" s="54">
        <f>Assumptions!AB$60</f>
        <v>0</v>
      </c>
      <c r="AH443" s="54">
        <f>Assumptions!AC$60</f>
        <v>0</v>
      </c>
      <c r="AI443" s="54">
        <f>Assumptions!AD$60</f>
        <v>0</v>
      </c>
      <c r="AJ443" s="54">
        <f>Assumptions!AE$60</f>
        <v>0</v>
      </c>
      <c r="AK443" s="54">
        <f>Assumptions!AF$60</f>
        <v>0</v>
      </c>
      <c r="AL443" s="54">
        <f>Assumptions!AG$60</f>
        <v>0</v>
      </c>
      <c r="AM443" s="54">
        <f>Assumptions!AH$60</f>
        <v>0</v>
      </c>
      <c r="AN443" s="54">
        <f>Assumptions!AI$60</f>
        <v>0</v>
      </c>
      <c r="AO443" s="54">
        <f>Assumptions!AJ$60</f>
        <v>0</v>
      </c>
      <c r="AP443" s="54">
        <f>Assumptions!AK$60</f>
        <v>0</v>
      </c>
      <c r="AQ443" s="54">
        <f>Assumptions!AL$60</f>
        <v>0</v>
      </c>
      <c r="AR443" s="54">
        <f>Assumptions!AM$60</f>
        <v>0</v>
      </c>
      <c r="AS443" s="54">
        <f>Assumptions!AN$60</f>
        <v>0</v>
      </c>
      <c r="AT443" s="54">
        <f>Assumptions!AO$60</f>
        <v>0</v>
      </c>
      <c r="AU443" s="54">
        <f>Assumptions!AP$60</f>
        <v>0</v>
      </c>
    </row>
    <row r="444" spans="1:47">
      <c r="E444" s="36"/>
      <c r="G444" s="39"/>
      <c r="H444" s="39"/>
      <c r="I444" s="39"/>
      <c r="J444" s="39"/>
      <c r="K444" s="39"/>
    </row>
    <row r="445" spans="1:47">
      <c r="E445" s="327"/>
      <c r="F445" s="28"/>
      <c r="G445" s="324" t="str">
        <f>C447&amp;" Capital Costs"</f>
        <v>Engineering, Legal &amp; Admin Capital Costs</v>
      </c>
      <c r="H445" s="324"/>
      <c r="I445" s="324"/>
      <c r="J445" s="324"/>
      <c r="K445" s="324"/>
      <c r="L445" s="405" t="s">
        <v>79</v>
      </c>
      <c r="M445" s="256"/>
      <c r="N445" s="325" t="s">
        <v>490</v>
      </c>
      <c r="O445" s="311"/>
      <c r="P445" s="325" t="s">
        <v>491</v>
      </c>
      <c r="Q445" s="310"/>
      <c r="R445" s="325">
        <f>R$8</f>
        <v>2014</v>
      </c>
      <c r="S445" s="325">
        <f t="shared" ref="S445:AU445" si="312">S$8</f>
        <v>2015</v>
      </c>
      <c r="T445" s="325">
        <f t="shared" si="312"/>
        <v>2016</v>
      </c>
      <c r="U445" s="325">
        <f t="shared" si="312"/>
        <v>2017</v>
      </c>
      <c r="V445" s="325">
        <f t="shared" si="312"/>
        <v>2018</v>
      </c>
      <c r="W445" s="325">
        <f t="shared" si="312"/>
        <v>2019</v>
      </c>
      <c r="X445" s="325">
        <f t="shared" si="312"/>
        <v>2020</v>
      </c>
      <c r="Y445" s="325">
        <f t="shared" si="312"/>
        <v>2021</v>
      </c>
      <c r="Z445" s="325">
        <f t="shared" si="312"/>
        <v>2022</v>
      </c>
      <c r="AA445" s="325">
        <f t="shared" si="312"/>
        <v>2023</v>
      </c>
      <c r="AB445" s="325">
        <f t="shared" si="312"/>
        <v>2024</v>
      </c>
      <c r="AC445" s="325">
        <f t="shared" si="312"/>
        <v>2025</v>
      </c>
      <c r="AD445" s="325">
        <f t="shared" si="312"/>
        <v>2026</v>
      </c>
      <c r="AE445" s="325">
        <f t="shared" si="312"/>
        <v>2027</v>
      </c>
      <c r="AF445" s="325">
        <f t="shared" si="312"/>
        <v>2028</v>
      </c>
      <c r="AG445" s="325">
        <f t="shared" si="312"/>
        <v>2029</v>
      </c>
      <c r="AH445" s="325">
        <f t="shared" si="312"/>
        <v>2030</v>
      </c>
      <c r="AI445" s="325">
        <f t="shared" si="312"/>
        <v>2031</v>
      </c>
      <c r="AJ445" s="325">
        <f t="shared" si="312"/>
        <v>2032</v>
      </c>
      <c r="AK445" s="325">
        <f t="shared" si="312"/>
        <v>2033</v>
      </c>
      <c r="AL445" s="325">
        <f t="shared" si="312"/>
        <v>2034</v>
      </c>
      <c r="AM445" s="325">
        <f t="shared" si="312"/>
        <v>2035</v>
      </c>
      <c r="AN445" s="325">
        <f t="shared" si="312"/>
        <v>2036</v>
      </c>
      <c r="AO445" s="325">
        <f t="shared" si="312"/>
        <v>2037</v>
      </c>
      <c r="AP445" s="325">
        <f t="shared" si="312"/>
        <v>2038</v>
      </c>
      <c r="AQ445" s="325">
        <f t="shared" si="312"/>
        <v>2039</v>
      </c>
      <c r="AR445" s="325">
        <f t="shared" si="312"/>
        <v>2040</v>
      </c>
      <c r="AS445" s="325">
        <f t="shared" si="312"/>
        <v>2041</v>
      </c>
      <c r="AT445" s="325">
        <f t="shared" si="312"/>
        <v>2042</v>
      </c>
      <c r="AU445" s="325">
        <f t="shared" si="312"/>
        <v>2043</v>
      </c>
    </row>
    <row r="446" spans="1:47">
      <c r="E446" s="325"/>
      <c r="G446" s="39"/>
      <c r="H446" s="39"/>
      <c r="I446" s="39"/>
      <c r="J446" s="39"/>
      <c r="K446" s="39"/>
    </row>
    <row r="447" spans="1:47">
      <c r="A447" s="38" t="str">
        <f>$J$4&amp;"-"</f>
        <v>2X-</v>
      </c>
      <c r="B447" s="38" t="s">
        <v>306</v>
      </c>
      <c r="C447" s="38" t="s">
        <v>147</v>
      </c>
      <c r="D447" s="186">
        <f>CapExEsc</f>
        <v>0.03</v>
      </c>
      <c r="E447" s="325"/>
      <c r="G447" s="36" t="s">
        <v>8</v>
      </c>
      <c r="H447" s="39"/>
      <c r="I447" s="39"/>
      <c r="J447" s="70"/>
      <c r="K447" s="39"/>
      <c r="L447" s="43" t="str">
        <f>"["&amp;CostBaseYr&amp;" $]"</f>
        <v>[2013 $]</v>
      </c>
      <c r="N447" s="52">
        <f ca="1">SUMIFS(OFFSET(Assumptions!$I$65,0,MATCH($A447,Configurations,0)-1,COUNT(Assumptions!$A$65:$A$84),1),Assumptions!$E$65:$E$84,$C447)</f>
        <v>4387000</v>
      </c>
      <c r="O447" s="52"/>
      <c r="P447" s="322"/>
      <c r="Q447" s="52"/>
      <c r="R447" s="52">
        <f t="shared" ref="R447:AU447" ca="1" si="313">R448*IF($P447=0,$N447,$P447)*(1+$D447)^(R$8-CostBaseYr)</f>
        <v>4518610</v>
      </c>
      <c r="S447" s="52">
        <f t="shared" ca="1" si="313"/>
        <v>0</v>
      </c>
      <c r="T447" s="52">
        <f t="shared" ca="1" si="313"/>
        <v>0</v>
      </c>
      <c r="U447" s="52">
        <f t="shared" ca="1" si="313"/>
        <v>0</v>
      </c>
      <c r="V447" s="52">
        <f t="shared" ca="1" si="313"/>
        <v>0</v>
      </c>
      <c r="W447" s="52">
        <f t="shared" ca="1" si="313"/>
        <v>0</v>
      </c>
      <c r="X447" s="52">
        <f t="shared" ca="1" si="313"/>
        <v>0</v>
      </c>
      <c r="Y447" s="52">
        <f t="shared" ca="1" si="313"/>
        <v>0</v>
      </c>
      <c r="Z447" s="52">
        <f t="shared" ca="1" si="313"/>
        <v>0</v>
      </c>
      <c r="AA447" s="52">
        <f t="shared" ca="1" si="313"/>
        <v>0</v>
      </c>
      <c r="AB447" s="52">
        <f t="shared" ca="1" si="313"/>
        <v>0</v>
      </c>
      <c r="AC447" s="52">
        <f t="shared" ca="1" si="313"/>
        <v>0</v>
      </c>
      <c r="AD447" s="52">
        <f t="shared" ca="1" si="313"/>
        <v>0</v>
      </c>
      <c r="AE447" s="52">
        <f t="shared" ca="1" si="313"/>
        <v>0</v>
      </c>
      <c r="AF447" s="52">
        <f t="shared" ca="1" si="313"/>
        <v>0</v>
      </c>
      <c r="AG447" s="52">
        <f t="shared" ca="1" si="313"/>
        <v>0</v>
      </c>
      <c r="AH447" s="52">
        <f t="shared" ca="1" si="313"/>
        <v>0</v>
      </c>
      <c r="AI447" s="52">
        <f t="shared" ca="1" si="313"/>
        <v>0</v>
      </c>
      <c r="AJ447" s="52">
        <f t="shared" ca="1" si="313"/>
        <v>0</v>
      </c>
      <c r="AK447" s="52">
        <f t="shared" ca="1" si="313"/>
        <v>0</v>
      </c>
      <c r="AL447" s="52">
        <f t="shared" ca="1" si="313"/>
        <v>0</v>
      </c>
      <c r="AM447" s="52">
        <f t="shared" ca="1" si="313"/>
        <v>0</v>
      </c>
      <c r="AN447" s="52">
        <f t="shared" ca="1" si="313"/>
        <v>0</v>
      </c>
      <c r="AO447" s="52">
        <f t="shared" ca="1" si="313"/>
        <v>0</v>
      </c>
      <c r="AP447" s="52">
        <f t="shared" ca="1" si="313"/>
        <v>0</v>
      </c>
      <c r="AQ447" s="52">
        <f t="shared" ca="1" si="313"/>
        <v>0</v>
      </c>
      <c r="AR447" s="52">
        <f t="shared" ca="1" si="313"/>
        <v>0</v>
      </c>
      <c r="AS447" s="52">
        <f t="shared" ca="1" si="313"/>
        <v>0</v>
      </c>
      <c r="AT447" s="52">
        <f t="shared" ca="1" si="313"/>
        <v>0</v>
      </c>
      <c r="AU447" s="52">
        <f t="shared" ca="1" si="313"/>
        <v>0</v>
      </c>
    </row>
    <row r="448" spans="1:47">
      <c r="E448" s="325"/>
      <c r="G448" s="36" t="s">
        <v>10</v>
      </c>
      <c r="H448" s="39"/>
      <c r="I448" s="39"/>
      <c r="J448" s="39"/>
      <c r="K448" s="39"/>
      <c r="L448" s="43"/>
      <c r="R448" s="54">
        <f>Assumptions!M$60</f>
        <v>1</v>
      </c>
      <c r="S448" s="54">
        <f>Assumptions!N$60</f>
        <v>0</v>
      </c>
      <c r="T448" s="54">
        <f>Assumptions!O$60</f>
        <v>0</v>
      </c>
      <c r="U448" s="54">
        <f>Assumptions!P$60</f>
        <v>0</v>
      </c>
      <c r="V448" s="54">
        <f>Assumptions!Q$60</f>
        <v>0</v>
      </c>
      <c r="W448" s="54">
        <f>Assumptions!R$60</f>
        <v>0</v>
      </c>
      <c r="X448" s="54">
        <f>Assumptions!S$60</f>
        <v>0</v>
      </c>
      <c r="Y448" s="54">
        <f>Assumptions!T$60</f>
        <v>0</v>
      </c>
      <c r="Z448" s="54">
        <f>Assumptions!U$60</f>
        <v>0</v>
      </c>
      <c r="AA448" s="54">
        <f>Assumptions!V$60</f>
        <v>0</v>
      </c>
      <c r="AB448" s="54">
        <f>Assumptions!W$60</f>
        <v>0</v>
      </c>
      <c r="AC448" s="54">
        <f>Assumptions!X$60</f>
        <v>0</v>
      </c>
      <c r="AD448" s="54">
        <f>Assumptions!Y$60</f>
        <v>0</v>
      </c>
      <c r="AE448" s="54">
        <f>Assumptions!Z$60</f>
        <v>0</v>
      </c>
      <c r="AF448" s="54">
        <f>Assumptions!AA$60</f>
        <v>0</v>
      </c>
      <c r="AG448" s="54">
        <f>Assumptions!AB$60</f>
        <v>0</v>
      </c>
      <c r="AH448" s="54">
        <f>Assumptions!AC$60</f>
        <v>0</v>
      </c>
      <c r="AI448" s="54">
        <f>Assumptions!AD$60</f>
        <v>0</v>
      </c>
      <c r="AJ448" s="54">
        <f>Assumptions!AE$60</f>
        <v>0</v>
      </c>
      <c r="AK448" s="54">
        <f>Assumptions!AF$60</f>
        <v>0</v>
      </c>
      <c r="AL448" s="54">
        <f>Assumptions!AG$60</f>
        <v>0</v>
      </c>
      <c r="AM448" s="54">
        <f>Assumptions!AH$60</f>
        <v>0</v>
      </c>
      <c r="AN448" s="54">
        <f>Assumptions!AI$60</f>
        <v>0</v>
      </c>
      <c r="AO448" s="54">
        <f>Assumptions!AJ$60</f>
        <v>0</v>
      </c>
      <c r="AP448" s="54">
        <f>Assumptions!AK$60</f>
        <v>0</v>
      </c>
      <c r="AQ448" s="54">
        <f>Assumptions!AL$60</f>
        <v>0</v>
      </c>
      <c r="AR448" s="54">
        <f>Assumptions!AM$60</f>
        <v>0</v>
      </c>
      <c r="AS448" s="54">
        <f>Assumptions!AN$60</f>
        <v>0</v>
      </c>
      <c r="AT448" s="54">
        <f>Assumptions!AO$60</f>
        <v>0</v>
      </c>
      <c r="AU448" s="54">
        <f>Assumptions!AP$60</f>
        <v>0</v>
      </c>
    </row>
    <row r="449" spans="1:47">
      <c r="E449" s="36"/>
      <c r="G449" s="39"/>
      <c r="H449" s="39"/>
      <c r="I449" s="39"/>
      <c r="J449" s="39"/>
      <c r="K449" s="39"/>
    </row>
    <row r="450" spans="1:47">
      <c r="E450" s="327"/>
      <c r="F450" s="28"/>
      <c r="G450" s="324" t="str">
        <f>C453&amp;" O&amp;M"</f>
        <v>Land Application O&amp;M</v>
      </c>
      <c r="H450" s="324"/>
      <c r="I450" s="324"/>
      <c r="J450" s="324"/>
      <c r="K450" s="324"/>
      <c r="L450" s="405" t="s">
        <v>79</v>
      </c>
      <c r="M450" s="256"/>
      <c r="N450" s="325" t="s">
        <v>490</v>
      </c>
      <c r="O450" s="311"/>
      <c r="P450" s="325" t="s">
        <v>491</v>
      </c>
      <c r="Q450" s="310"/>
      <c r="R450" s="325">
        <f>R$8</f>
        <v>2014</v>
      </c>
      <c r="S450" s="325">
        <f t="shared" ref="S450:AU450" si="314">S$8</f>
        <v>2015</v>
      </c>
      <c r="T450" s="325">
        <f t="shared" si="314"/>
        <v>2016</v>
      </c>
      <c r="U450" s="325">
        <f t="shared" si="314"/>
        <v>2017</v>
      </c>
      <c r="V450" s="325">
        <f t="shared" si="314"/>
        <v>2018</v>
      </c>
      <c r="W450" s="325">
        <f t="shared" si="314"/>
        <v>2019</v>
      </c>
      <c r="X450" s="325">
        <f t="shared" si="314"/>
        <v>2020</v>
      </c>
      <c r="Y450" s="325">
        <f t="shared" si="314"/>
        <v>2021</v>
      </c>
      <c r="Z450" s="325">
        <f t="shared" si="314"/>
        <v>2022</v>
      </c>
      <c r="AA450" s="325">
        <f t="shared" si="314"/>
        <v>2023</v>
      </c>
      <c r="AB450" s="325">
        <f t="shared" si="314"/>
        <v>2024</v>
      </c>
      <c r="AC450" s="325">
        <f t="shared" si="314"/>
        <v>2025</v>
      </c>
      <c r="AD450" s="325">
        <f t="shared" si="314"/>
        <v>2026</v>
      </c>
      <c r="AE450" s="325">
        <f t="shared" si="314"/>
        <v>2027</v>
      </c>
      <c r="AF450" s="325">
        <f t="shared" si="314"/>
        <v>2028</v>
      </c>
      <c r="AG450" s="325">
        <f t="shared" si="314"/>
        <v>2029</v>
      </c>
      <c r="AH450" s="325">
        <f t="shared" si="314"/>
        <v>2030</v>
      </c>
      <c r="AI450" s="325">
        <f t="shared" si="314"/>
        <v>2031</v>
      </c>
      <c r="AJ450" s="325">
        <f t="shared" si="314"/>
        <v>2032</v>
      </c>
      <c r="AK450" s="325">
        <f t="shared" si="314"/>
        <v>2033</v>
      </c>
      <c r="AL450" s="325">
        <f t="shared" si="314"/>
        <v>2034</v>
      </c>
      <c r="AM450" s="325">
        <f t="shared" si="314"/>
        <v>2035</v>
      </c>
      <c r="AN450" s="325">
        <f t="shared" si="314"/>
        <v>2036</v>
      </c>
      <c r="AO450" s="325">
        <f t="shared" si="314"/>
        <v>2037</v>
      </c>
      <c r="AP450" s="325">
        <f t="shared" si="314"/>
        <v>2038</v>
      </c>
      <c r="AQ450" s="325">
        <f t="shared" si="314"/>
        <v>2039</v>
      </c>
      <c r="AR450" s="325">
        <f t="shared" si="314"/>
        <v>2040</v>
      </c>
      <c r="AS450" s="325">
        <f t="shared" si="314"/>
        <v>2041</v>
      </c>
      <c r="AT450" s="325">
        <f t="shared" si="314"/>
        <v>2042</v>
      </c>
      <c r="AU450" s="325">
        <f t="shared" si="314"/>
        <v>2043</v>
      </c>
    </row>
    <row r="451" spans="1:47">
      <c r="E451" s="325"/>
      <c r="G451" s="39"/>
      <c r="H451" s="39"/>
      <c r="I451" s="39"/>
      <c r="J451" s="39"/>
      <c r="K451" s="39"/>
    </row>
    <row r="452" spans="1:47">
      <c r="E452" s="325"/>
      <c r="G452" s="39" t="s">
        <v>23</v>
      </c>
      <c r="H452" s="39"/>
      <c r="I452" s="39"/>
      <c r="J452" s="39"/>
      <c r="K452" s="39"/>
    </row>
    <row r="453" spans="1:47">
      <c r="A453" s="38" t="str">
        <f t="shared" ref="A453:A460" si="315">$J$4&amp;"-"</f>
        <v>2X-</v>
      </c>
      <c r="B453" s="38" t="s">
        <v>262</v>
      </c>
      <c r="C453" s="38" t="s">
        <v>309</v>
      </c>
      <c r="D453" s="186">
        <f>LaborEsc</f>
        <v>0.02</v>
      </c>
      <c r="E453" s="325"/>
      <c r="G453" s="36" t="s">
        <v>125</v>
      </c>
      <c r="I453" s="39"/>
      <c r="K453" s="39"/>
      <c r="L453" s="43" t="s">
        <v>266</v>
      </c>
      <c r="N453" s="70">
        <f ca="1">SUMIFS(OFFSET(Assumptions!$I$90,0,MATCH($A453,Configurations,0)-1,COUNT(Assumptions!$A$90:$A$183),1),Assumptions!$D$90:$D$183,$B453&amp;$C453)</f>
        <v>0</v>
      </c>
      <c r="O453" s="313"/>
      <c r="P453" s="323"/>
      <c r="Q453" s="313"/>
      <c r="R453" s="50">
        <f t="shared" ref="R453:AU453" ca="1" si="316">IF(OR(R$99&lt;InServiceYr,R$99&gt;(InServiceYr+analysis_period-1)),0,IF($P453=0,$N453,$P453)*LaborCost*(1+$D453)^(R$99-CostBaseYr))</f>
        <v>0</v>
      </c>
      <c r="S453" s="50">
        <f t="shared" ca="1" si="316"/>
        <v>0</v>
      </c>
      <c r="T453" s="50">
        <f t="shared" ca="1" si="316"/>
        <v>0</v>
      </c>
      <c r="U453" s="50">
        <f t="shared" ca="1" si="316"/>
        <v>0</v>
      </c>
      <c r="V453" s="50">
        <f t="shared" ca="1" si="316"/>
        <v>0</v>
      </c>
      <c r="W453" s="50">
        <f t="shared" ca="1" si="316"/>
        <v>0</v>
      </c>
      <c r="X453" s="50">
        <f t="shared" ca="1" si="316"/>
        <v>0</v>
      </c>
      <c r="Y453" s="50">
        <f t="shared" ca="1" si="316"/>
        <v>0</v>
      </c>
      <c r="Z453" s="50">
        <f t="shared" ca="1" si="316"/>
        <v>0</v>
      </c>
      <c r="AA453" s="50">
        <f t="shared" ca="1" si="316"/>
        <v>0</v>
      </c>
      <c r="AB453" s="50">
        <f t="shared" ca="1" si="316"/>
        <v>0</v>
      </c>
      <c r="AC453" s="50">
        <f t="shared" ca="1" si="316"/>
        <v>0</v>
      </c>
      <c r="AD453" s="50">
        <f t="shared" ca="1" si="316"/>
        <v>0</v>
      </c>
      <c r="AE453" s="50">
        <f t="shared" ca="1" si="316"/>
        <v>0</v>
      </c>
      <c r="AF453" s="50">
        <f t="shared" ca="1" si="316"/>
        <v>0</v>
      </c>
      <c r="AG453" s="50">
        <f t="shared" ca="1" si="316"/>
        <v>0</v>
      </c>
      <c r="AH453" s="50">
        <f t="shared" ca="1" si="316"/>
        <v>0</v>
      </c>
      <c r="AI453" s="50">
        <f t="shared" ca="1" si="316"/>
        <v>0</v>
      </c>
      <c r="AJ453" s="50">
        <f t="shared" ca="1" si="316"/>
        <v>0</v>
      </c>
      <c r="AK453" s="50">
        <f t="shared" ca="1" si="316"/>
        <v>0</v>
      </c>
      <c r="AL453" s="50">
        <f t="shared" si="316"/>
        <v>0</v>
      </c>
      <c r="AM453" s="50">
        <f t="shared" si="316"/>
        <v>0</v>
      </c>
      <c r="AN453" s="50">
        <f t="shared" si="316"/>
        <v>0</v>
      </c>
      <c r="AO453" s="50">
        <f t="shared" si="316"/>
        <v>0</v>
      </c>
      <c r="AP453" s="50">
        <f t="shared" si="316"/>
        <v>0</v>
      </c>
      <c r="AQ453" s="50">
        <f t="shared" si="316"/>
        <v>0</v>
      </c>
      <c r="AR453" s="50">
        <f t="shared" si="316"/>
        <v>0</v>
      </c>
      <c r="AS453" s="50">
        <f t="shared" si="316"/>
        <v>0</v>
      </c>
      <c r="AT453" s="50">
        <f t="shared" si="316"/>
        <v>0</v>
      </c>
      <c r="AU453" s="50">
        <f t="shared" si="316"/>
        <v>0</v>
      </c>
    </row>
    <row r="454" spans="1:47">
      <c r="A454" s="38" t="str">
        <f t="shared" si="315"/>
        <v>2X-</v>
      </c>
      <c r="B454" s="38" t="s">
        <v>270</v>
      </c>
      <c r="C454" s="38" t="str">
        <f>C453</f>
        <v>Land Application</v>
      </c>
      <c r="D454" s="186">
        <f>OMEsc</f>
        <v>0.02</v>
      </c>
      <c r="E454" s="325"/>
      <c r="G454" s="36" t="s">
        <v>126</v>
      </c>
      <c r="I454" s="39"/>
      <c r="K454" s="39"/>
      <c r="L454" s="43" t="str">
        <f>"["&amp;CostBaseYr&amp;" $]"</f>
        <v>[2013 $]</v>
      </c>
      <c r="N454" s="70">
        <f ca="1">SUMIFS(OFFSET(Assumptions!$I$90,0,MATCH($A454,Configurations,0)-1,COUNT(Assumptions!$A$90:$A$183),1),Assumptions!$D$90:$D$183,$B454&amp;$C454)</f>
        <v>0</v>
      </c>
      <c r="O454" s="313"/>
      <c r="P454" s="323"/>
      <c r="Q454" s="313"/>
      <c r="R454" s="50">
        <f t="shared" ref="R454:AG456" ca="1" si="317">IF(OR(R$99&lt;InServiceYr,R$99&gt;(InServiceYr+analysis_period-1)),0,IF($P454=0,$N454,$P454)*(1+$D454)^(R$99-CostBaseYr))</f>
        <v>0</v>
      </c>
      <c r="S454" s="50">
        <f t="shared" ca="1" si="317"/>
        <v>0</v>
      </c>
      <c r="T454" s="50">
        <f t="shared" ca="1" si="317"/>
        <v>0</v>
      </c>
      <c r="U454" s="50">
        <f t="shared" ca="1" si="317"/>
        <v>0</v>
      </c>
      <c r="V454" s="50">
        <f t="shared" ca="1" si="317"/>
        <v>0</v>
      </c>
      <c r="W454" s="50">
        <f t="shared" ca="1" si="317"/>
        <v>0</v>
      </c>
      <c r="X454" s="50">
        <f t="shared" ca="1" si="317"/>
        <v>0</v>
      </c>
      <c r="Y454" s="50">
        <f t="shared" ca="1" si="317"/>
        <v>0</v>
      </c>
      <c r="Z454" s="50">
        <f t="shared" ca="1" si="317"/>
        <v>0</v>
      </c>
      <c r="AA454" s="50">
        <f t="shared" ca="1" si="317"/>
        <v>0</v>
      </c>
      <c r="AB454" s="50">
        <f t="shared" ca="1" si="317"/>
        <v>0</v>
      </c>
      <c r="AC454" s="50">
        <f t="shared" ca="1" si="317"/>
        <v>0</v>
      </c>
      <c r="AD454" s="50">
        <f t="shared" ca="1" si="317"/>
        <v>0</v>
      </c>
      <c r="AE454" s="50">
        <f t="shared" ca="1" si="317"/>
        <v>0</v>
      </c>
      <c r="AF454" s="50">
        <f t="shared" ca="1" si="317"/>
        <v>0</v>
      </c>
      <c r="AG454" s="50">
        <f t="shared" ca="1" si="317"/>
        <v>0</v>
      </c>
      <c r="AH454" s="50">
        <f t="shared" ref="S454:AU456" ca="1" si="318">IF(OR(AH$99&lt;InServiceYr,AH$99&gt;(InServiceYr+analysis_period-1)),0,IF($P454=0,$N454,$P454)*(1+$D454)^(AH$99-CostBaseYr))</f>
        <v>0</v>
      </c>
      <c r="AI454" s="50">
        <f t="shared" ca="1" si="318"/>
        <v>0</v>
      </c>
      <c r="AJ454" s="50">
        <f t="shared" ca="1" si="318"/>
        <v>0</v>
      </c>
      <c r="AK454" s="50">
        <f t="shared" ca="1" si="318"/>
        <v>0</v>
      </c>
      <c r="AL454" s="50">
        <f t="shared" si="318"/>
        <v>0</v>
      </c>
      <c r="AM454" s="50">
        <f t="shared" si="318"/>
        <v>0</v>
      </c>
      <c r="AN454" s="50">
        <f t="shared" si="318"/>
        <v>0</v>
      </c>
      <c r="AO454" s="50">
        <f t="shared" si="318"/>
        <v>0</v>
      </c>
      <c r="AP454" s="50">
        <f t="shared" si="318"/>
        <v>0</v>
      </c>
      <c r="AQ454" s="50">
        <f t="shared" si="318"/>
        <v>0</v>
      </c>
      <c r="AR454" s="50">
        <f t="shared" si="318"/>
        <v>0</v>
      </c>
      <c r="AS454" s="50">
        <f t="shared" si="318"/>
        <v>0</v>
      </c>
      <c r="AT454" s="50">
        <f t="shared" si="318"/>
        <v>0</v>
      </c>
      <c r="AU454" s="50">
        <f t="shared" si="318"/>
        <v>0</v>
      </c>
    </row>
    <row r="455" spans="1:47">
      <c r="A455" s="38" t="str">
        <f t="shared" si="315"/>
        <v>2X-</v>
      </c>
      <c r="B455" s="38" t="s">
        <v>263</v>
      </c>
      <c r="C455" s="38" t="str">
        <f t="shared" ref="C455:C459" si="319">C454</f>
        <v>Land Application</v>
      </c>
      <c r="D455" s="186">
        <f>OMEsc</f>
        <v>0.02</v>
      </c>
      <c r="E455" s="325"/>
      <c r="G455" s="36" t="s">
        <v>127</v>
      </c>
      <c r="I455" s="39"/>
      <c r="K455" s="39"/>
      <c r="L455" s="43" t="str">
        <f>"["&amp;CostBaseYr&amp;" $]"</f>
        <v>[2013 $]</v>
      </c>
      <c r="N455" s="70">
        <f ca="1">SUMIFS(OFFSET(Assumptions!$I$90,0,MATCH($A455,Configurations,0)-1,COUNT(Assumptions!$A$90:$A$183),1),Assumptions!$D$90:$D$183,$B455&amp;$C455)</f>
        <v>0</v>
      </c>
      <c r="O455" s="313"/>
      <c r="P455" s="323"/>
      <c r="Q455" s="313"/>
      <c r="R455" s="50">
        <f t="shared" ca="1" si="317"/>
        <v>0</v>
      </c>
      <c r="S455" s="50">
        <f t="shared" ca="1" si="318"/>
        <v>0</v>
      </c>
      <c r="T455" s="50">
        <f t="shared" ca="1" si="318"/>
        <v>0</v>
      </c>
      <c r="U455" s="50">
        <f t="shared" ca="1" si="318"/>
        <v>0</v>
      </c>
      <c r="V455" s="50">
        <f t="shared" ca="1" si="318"/>
        <v>0</v>
      </c>
      <c r="W455" s="50">
        <f t="shared" ca="1" si="318"/>
        <v>0</v>
      </c>
      <c r="X455" s="50">
        <f t="shared" ca="1" si="318"/>
        <v>0</v>
      </c>
      <c r="Y455" s="50">
        <f t="shared" ca="1" si="318"/>
        <v>0</v>
      </c>
      <c r="Z455" s="50">
        <f t="shared" ca="1" si="318"/>
        <v>0</v>
      </c>
      <c r="AA455" s="50">
        <f t="shared" ca="1" si="318"/>
        <v>0</v>
      </c>
      <c r="AB455" s="50">
        <f t="shared" ca="1" si="318"/>
        <v>0</v>
      </c>
      <c r="AC455" s="50">
        <f t="shared" ca="1" si="318"/>
        <v>0</v>
      </c>
      <c r="AD455" s="50">
        <f t="shared" ca="1" si="318"/>
        <v>0</v>
      </c>
      <c r="AE455" s="50">
        <f t="shared" ca="1" si="318"/>
        <v>0</v>
      </c>
      <c r="AF455" s="50">
        <f t="shared" ca="1" si="318"/>
        <v>0</v>
      </c>
      <c r="AG455" s="50">
        <f t="shared" ca="1" si="318"/>
        <v>0</v>
      </c>
      <c r="AH455" s="50">
        <f t="shared" ca="1" si="318"/>
        <v>0</v>
      </c>
      <c r="AI455" s="50">
        <f t="shared" ca="1" si="318"/>
        <v>0</v>
      </c>
      <c r="AJ455" s="50">
        <f t="shared" ca="1" si="318"/>
        <v>0</v>
      </c>
      <c r="AK455" s="50">
        <f t="shared" ca="1" si="318"/>
        <v>0</v>
      </c>
      <c r="AL455" s="50">
        <f t="shared" si="318"/>
        <v>0</v>
      </c>
      <c r="AM455" s="50">
        <f t="shared" si="318"/>
        <v>0</v>
      </c>
      <c r="AN455" s="50">
        <f t="shared" si="318"/>
        <v>0</v>
      </c>
      <c r="AO455" s="50">
        <f t="shared" si="318"/>
        <v>0</v>
      </c>
      <c r="AP455" s="50">
        <f t="shared" si="318"/>
        <v>0</v>
      </c>
      <c r="AQ455" s="50">
        <f t="shared" si="318"/>
        <v>0</v>
      </c>
      <c r="AR455" s="50">
        <f t="shared" si="318"/>
        <v>0</v>
      </c>
      <c r="AS455" s="50">
        <f t="shared" si="318"/>
        <v>0</v>
      </c>
      <c r="AT455" s="50">
        <f t="shared" si="318"/>
        <v>0</v>
      </c>
      <c r="AU455" s="50">
        <f t="shared" si="318"/>
        <v>0</v>
      </c>
    </row>
    <row r="456" spans="1:47">
      <c r="A456" s="38" t="str">
        <f t="shared" si="315"/>
        <v>2X-</v>
      </c>
      <c r="B456" s="38" t="s">
        <v>277</v>
      </c>
      <c r="C456" s="38" t="str">
        <f t="shared" si="319"/>
        <v>Land Application</v>
      </c>
      <c r="D456" s="186">
        <f>OMEsc</f>
        <v>0.02</v>
      </c>
      <c r="E456" s="325"/>
      <c r="G456" s="36" t="s">
        <v>276</v>
      </c>
      <c r="I456" s="39"/>
      <c r="K456" s="39"/>
      <c r="L456" s="43" t="str">
        <f>"["&amp;CostBaseYr&amp;" $]"</f>
        <v>[2013 $]</v>
      </c>
      <c r="N456" s="70">
        <f ca="1">SUMIFS(OFFSET(Assumptions!$I$90,0,MATCH($A456,Configurations,0)-1,COUNT(Assumptions!$A$90:$A$183),1),Assumptions!$D$90:$D$183,$B456&amp;$C456)</f>
        <v>447000</v>
      </c>
      <c r="O456" s="313"/>
      <c r="P456" s="323"/>
      <c r="Q456" s="313"/>
      <c r="R456" s="50">
        <f t="shared" ca="1" si="317"/>
        <v>455940</v>
      </c>
      <c r="S456" s="50">
        <f t="shared" ca="1" si="318"/>
        <v>465058.8</v>
      </c>
      <c r="T456" s="50">
        <f t="shared" ca="1" si="318"/>
        <v>474359.97599999997</v>
      </c>
      <c r="U456" s="50">
        <f t="shared" ca="1" si="318"/>
        <v>483847.17551999999</v>
      </c>
      <c r="V456" s="50">
        <f t="shared" ca="1" si="318"/>
        <v>493524.1190304</v>
      </c>
      <c r="W456" s="50">
        <f t="shared" ca="1" si="318"/>
        <v>503394.60141100804</v>
      </c>
      <c r="X456" s="50">
        <f t="shared" ca="1" si="318"/>
        <v>513462.4934392281</v>
      </c>
      <c r="Y456" s="50">
        <f t="shared" ca="1" si="318"/>
        <v>523731.74330801266</v>
      </c>
      <c r="Z456" s="50">
        <f t="shared" ca="1" si="318"/>
        <v>534206.37817417295</v>
      </c>
      <c r="AA456" s="50">
        <f t="shared" ca="1" si="318"/>
        <v>544890.50573765638</v>
      </c>
      <c r="AB456" s="50">
        <f t="shared" ca="1" si="318"/>
        <v>555788.31585240946</v>
      </c>
      <c r="AC456" s="50">
        <f t="shared" ca="1" si="318"/>
        <v>566904.08216945769</v>
      </c>
      <c r="AD456" s="50">
        <f t="shared" ca="1" si="318"/>
        <v>578242.16381284688</v>
      </c>
      <c r="AE456" s="50">
        <f t="shared" ca="1" si="318"/>
        <v>589807.0070891038</v>
      </c>
      <c r="AF456" s="50">
        <f t="shared" ca="1" si="318"/>
        <v>601603.14723088581</v>
      </c>
      <c r="AG456" s="50">
        <f t="shared" ca="1" si="318"/>
        <v>613635.21017550363</v>
      </c>
      <c r="AH456" s="50">
        <f t="shared" ca="1" si="318"/>
        <v>625907.9143790137</v>
      </c>
      <c r="AI456" s="50">
        <f t="shared" ca="1" si="318"/>
        <v>638426.07266659394</v>
      </c>
      <c r="AJ456" s="50">
        <f t="shared" ca="1" si="318"/>
        <v>651194.59411992575</v>
      </c>
      <c r="AK456" s="50">
        <f t="shared" ca="1" si="318"/>
        <v>664218.48600232438</v>
      </c>
      <c r="AL456" s="50">
        <f t="shared" si="318"/>
        <v>0</v>
      </c>
      <c r="AM456" s="50">
        <f t="shared" si="318"/>
        <v>0</v>
      </c>
      <c r="AN456" s="50">
        <f t="shared" si="318"/>
        <v>0</v>
      </c>
      <c r="AO456" s="50">
        <f t="shared" si="318"/>
        <v>0</v>
      </c>
      <c r="AP456" s="50">
        <f t="shared" si="318"/>
        <v>0</v>
      </c>
      <c r="AQ456" s="50">
        <f t="shared" si="318"/>
        <v>0</v>
      </c>
      <c r="AR456" s="50">
        <f t="shared" si="318"/>
        <v>0</v>
      </c>
      <c r="AS456" s="50">
        <f t="shared" si="318"/>
        <v>0</v>
      </c>
      <c r="AT456" s="50">
        <f t="shared" si="318"/>
        <v>0</v>
      </c>
      <c r="AU456" s="50">
        <f t="shared" si="318"/>
        <v>0</v>
      </c>
    </row>
    <row r="457" spans="1:47">
      <c r="A457" s="38" t="str">
        <f t="shared" si="315"/>
        <v>2X-</v>
      </c>
      <c r="B457" s="38" t="s">
        <v>274</v>
      </c>
      <c r="C457" s="38" t="str">
        <f t="shared" si="319"/>
        <v>Land Application</v>
      </c>
      <c r="D457" s="186"/>
      <c r="E457" s="325"/>
      <c r="G457" s="36" t="s">
        <v>16</v>
      </c>
      <c r="I457" s="39"/>
      <c r="K457" s="39"/>
      <c r="L457" s="43" t="s">
        <v>275</v>
      </c>
      <c r="N457" s="70">
        <f ca="1">SUMIFS(OFFSET(Assumptions!$I$90,0,MATCH($A457,Configurations,0)-1,COUNT(Assumptions!$A$90:$A$183),1),Assumptions!$D$90:$D$183,$B457&amp;$C457)</f>
        <v>0</v>
      </c>
      <c r="O457" s="313"/>
      <c r="P457" s="323"/>
      <c r="Q457" s="313"/>
      <c r="R457" s="50">
        <f t="shared" ref="R457:AU457" ca="1" si="320">IF(OR(R$99&lt;InServiceYr,R$99&gt;(InServiceYr+analysis_period-1)),0,IF($P457=0,$N457,$P457)*R$505)</f>
        <v>0</v>
      </c>
      <c r="S457" s="50">
        <f t="shared" ca="1" si="320"/>
        <v>0</v>
      </c>
      <c r="T457" s="50">
        <f t="shared" ca="1" si="320"/>
        <v>0</v>
      </c>
      <c r="U457" s="50">
        <f t="shared" ca="1" si="320"/>
        <v>0</v>
      </c>
      <c r="V457" s="50">
        <f t="shared" ca="1" si="320"/>
        <v>0</v>
      </c>
      <c r="W457" s="50">
        <f t="shared" ca="1" si="320"/>
        <v>0</v>
      </c>
      <c r="X457" s="50">
        <f t="shared" ca="1" si="320"/>
        <v>0</v>
      </c>
      <c r="Y457" s="50">
        <f t="shared" ca="1" si="320"/>
        <v>0</v>
      </c>
      <c r="Z457" s="50">
        <f t="shared" ca="1" si="320"/>
        <v>0</v>
      </c>
      <c r="AA457" s="50">
        <f t="shared" ca="1" si="320"/>
        <v>0</v>
      </c>
      <c r="AB457" s="50">
        <f t="shared" ca="1" si="320"/>
        <v>0</v>
      </c>
      <c r="AC457" s="50">
        <f t="shared" ca="1" si="320"/>
        <v>0</v>
      </c>
      <c r="AD457" s="50">
        <f t="shared" ca="1" si="320"/>
        <v>0</v>
      </c>
      <c r="AE457" s="50">
        <f t="shared" ca="1" si="320"/>
        <v>0</v>
      </c>
      <c r="AF457" s="50">
        <f t="shared" ca="1" si="320"/>
        <v>0</v>
      </c>
      <c r="AG457" s="50">
        <f t="shared" ca="1" si="320"/>
        <v>0</v>
      </c>
      <c r="AH457" s="50">
        <f t="shared" ca="1" si="320"/>
        <v>0</v>
      </c>
      <c r="AI457" s="50">
        <f t="shared" ca="1" si="320"/>
        <v>0</v>
      </c>
      <c r="AJ457" s="50">
        <f t="shared" ca="1" si="320"/>
        <v>0</v>
      </c>
      <c r="AK457" s="50">
        <f t="shared" ca="1" si="320"/>
        <v>0</v>
      </c>
      <c r="AL457" s="50">
        <f t="shared" si="320"/>
        <v>0</v>
      </c>
      <c r="AM457" s="50">
        <f t="shared" si="320"/>
        <v>0</v>
      </c>
      <c r="AN457" s="50">
        <f t="shared" si="320"/>
        <v>0</v>
      </c>
      <c r="AO457" s="50">
        <f t="shared" si="320"/>
        <v>0</v>
      </c>
      <c r="AP457" s="50">
        <f t="shared" si="320"/>
        <v>0</v>
      </c>
      <c r="AQ457" s="50">
        <f t="shared" si="320"/>
        <v>0</v>
      </c>
      <c r="AR457" s="50">
        <f t="shared" si="320"/>
        <v>0</v>
      </c>
      <c r="AS457" s="50">
        <f t="shared" si="320"/>
        <v>0</v>
      </c>
      <c r="AT457" s="50">
        <f t="shared" si="320"/>
        <v>0</v>
      </c>
      <c r="AU457" s="50">
        <f t="shared" si="320"/>
        <v>0</v>
      </c>
    </row>
    <row r="458" spans="1:47">
      <c r="A458" s="38" t="str">
        <f t="shared" si="315"/>
        <v>2X-</v>
      </c>
      <c r="B458" s="38" t="s">
        <v>257</v>
      </c>
      <c r="C458" s="38" t="str">
        <f t="shared" si="319"/>
        <v>Land Application</v>
      </c>
      <c r="D458" s="186"/>
      <c r="E458" s="325"/>
      <c r="G458" s="36" t="s">
        <v>284</v>
      </c>
      <c r="I458" s="39"/>
      <c r="K458" s="39"/>
      <c r="L458" s="43" t="s">
        <v>293</v>
      </c>
      <c r="N458" s="70">
        <f ca="1">SUMIFS(OFFSET(Assumptions!$I$90,0,MATCH($A458,Configurations,0)-1,COUNT(Assumptions!$A$90:$A$183),1),Assumptions!$D$90:$D$183,$B458&amp;$C458)</f>
        <v>0</v>
      </c>
      <c r="O458" s="313"/>
      <c r="P458" s="323"/>
      <c r="Q458" s="313"/>
      <c r="R458" s="50">
        <f t="shared" ref="R458:AU458" ca="1" si="321">IF(OR(R$99&lt;InServiceYr,R$99&gt;(InServiceYr+analysis_period-1)),0,IF($P458=0,$N458,$P458)*R$501)</f>
        <v>0</v>
      </c>
      <c r="S458" s="50">
        <f t="shared" ca="1" si="321"/>
        <v>0</v>
      </c>
      <c r="T458" s="50">
        <f t="shared" ca="1" si="321"/>
        <v>0</v>
      </c>
      <c r="U458" s="50">
        <f t="shared" ca="1" si="321"/>
        <v>0</v>
      </c>
      <c r="V458" s="50">
        <f t="shared" ca="1" si="321"/>
        <v>0</v>
      </c>
      <c r="W458" s="50">
        <f t="shared" ca="1" si="321"/>
        <v>0</v>
      </c>
      <c r="X458" s="50">
        <f t="shared" ca="1" si="321"/>
        <v>0</v>
      </c>
      <c r="Y458" s="50">
        <f t="shared" ca="1" si="321"/>
        <v>0</v>
      </c>
      <c r="Z458" s="50">
        <f t="shared" ca="1" si="321"/>
        <v>0</v>
      </c>
      <c r="AA458" s="50">
        <f t="shared" ca="1" si="321"/>
        <v>0</v>
      </c>
      <c r="AB458" s="50">
        <f t="shared" ca="1" si="321"/>
        <v>0</v>
      </c>
      <c r="AC458" s="50">
        <f t="shared" ca="1" si="321"/>
        <v>0</v>
      </c>
      <c r="AD458" s="50">
        <f t="shared" ca="1" si="321"/>
        <v>0</v>
      </c>
      <c r="AE458" s="50">
        <f t="shared" ca="1" si="321"/>
        <v>0</v>
      </c>
      <c r="AF458" s="50">
        <f t="shared" ca="1" si="321"/>
        <v>0</v>
      </c>
      <c r="AG458" s="50">
        <f t="shared" ca="1" si="321"/>
        <v>0</v>
      </c>
      <c r="AH458" s="50">
        <f t="shared" ca="1" si="321"/>
        <v>0</v>
      </c>
      <c r="AI458" s="50">
        <f t="shared" ca="1" si="321"/>
        <v>0</v>
      </c>
      <c r="AJ458" s="50">
        <f t="shared" ca="1" si="321"/>
        <v>0</v>
      </c>
      <c r="AK458" s="50">
        <f t="shared" ca="1" si="321"/>
        <v>0</v>
      </c>
      <c r="AL458" s="50">
        <f t="shared" si="321"/>
        <v>0</v>
      </c>
      <c r="AM458" s="50">
        <f t="shared" si="321"/>
        <v>0</v>
      </c>
      <c r="AN458" s="50">
        <f t="shared" si="321"/>
        <v>0</v>
      </c>
      <c r="AO458" s="50">
        <f t="shared" si="321"/>
        <v>0</v>
      </c>
      <c r="AP458" s="50">
        <f t="shared" si="321"/>
        <v>0</v>
      </c>
      <c r="AQ458" s="50">
        <f t="shared" si="321"/>
        <v>0</v>
      </c>
      <c r="AR458" s="50">
        <f t="shared" si="321"/>
        <v>0</v>
      </c>
      <c r="AS458" s="50">
        <f t="shared" si="321"/>
        <v>0</v>
      </c>
      <c r="AT458" s="50">
        <f t="shared" si="321"/>
        <v>0</v>
      </c>
      <c r="AU458" s="50">
        <f t="shared" si="321"/>
        <v>0</v>
      </c>
    </row>
    <row r="459" spans="1:47">
      <c r="A459" s="38" t="str">
        <f t="shared" si="315"/>
        <v>2X-</v>
      </c>
      <c r="B459" s="38" t="s">
        <v>864</v>
      </c>
      <c r="C459" s="38" t="str">
        <f t="shared" si="319"/>
        <v>Land Application</v>
      </c>
      <c r="D459" s="186">
        <f>GHGEsc</f>
        <v>0.02</v>
      </c>
      <c r="E459" s="325"/>
      <c r="G459" s="36" t="s">
        <v>865</v>
      </c>
      <c r="I459" s="39"/>
      <c r="K459" s="39"/>
      <c r="L459" s="43" t="s">
        <v>866</v>
      </c>
      <c r="N459" s="70">
        <f ca="1">SUMIFS(OFFSET(Assumptions!$I$90,0,MATCH($A459,Configurations,0)-1,COUNT(Assumptions!$A$90:$A$183),1),Assumptions!$D$90:$D$183,$B459&amp;$C459)</f>
        <v>0</v>
      </c>
      <c r="O459" s="313"/>
      <c r="P459" s="323"/>
      <c r="Q459" s="313"/>
      <c r="R459" s="50">
        <f t="shared" ref="R459:AU459" ca="1" si="322">IF(OR(R$99&lt;InServiceYr,R$99&gt;(InServiceYr+analysis_period-1)),0,IF($P459=0,$N459,$P459)*R$513)</f>
        <v>0</v>
      </c>
      <c r="S459" s="50">
        <f t="shared" ca="1" si="322"/>
        <v>0</v>
      </c>
      <c r="T459" s="50">
        <f t="shared" ca="1" si="322"/>
        <v>0</v>
      </c>
      <c r="U459" s="50">
        <f t="shared" ca="1" si="322"/>
        <v>0</v>
      </c>
      <c r="V459" s="50">
        <f t="shared" ca="1" si="322"/>
        <v>0</v>
      </c>
      <c r="W459" s="50">
        <f t="shared" ca="1" si="322"/>
        <v>0</v>
      </c>
      <c r="X459" s="50">
        <f t="shared" ca="1" si="322"/>
        <v>0</v>
      </c>
      <c r="Y459" s="50">
        <f t="shared" ca="1" si="322"/>
        <v>0</v>
      </c>
      <c r="Z459" s="50">
        <f t="shared" ca="1" si="322"/>
        <v>0</v>
      </c>
      <c r="AA459" s="50">
        <f t="shared" ca="1" si="322"/>
        <v>0</v>
      </c>
      <c r="AB459" s="50">
        <f t="shared" ca="1" si="322"/>
        <v>0</v>
      </c>
      <c r="AC459" s="50">
        <f t="shared" ca="1" si="322"/>
        <v>0</v>
      </c>
      <c r="AD459" s="50">
        <f t="shared" ca="1" si="322"/>
        <v>0</v>
      </c>
      <c r="AE459" s="50">
        <f t="shared" ca="1" si="322"/>
        <v>0</v>
      </c>
      <c r="AF459" s="50">
        <f t="shared" ca="1" si="322"/>
        <v>0</v>
      </c>
      <c r="AG459" s="50">
        <f t="shared" ca="1" si="322"/>
        <v>0</v>
      </c>
      <c r="AH459" s="50">
        <f t="shared" ca="1" si="322"/>
        <v>0</v>
      </c>
      <c r="AI459" s="50">
        <f t="shared" ca="1" si="322"/>
        <v>0</v>
      </c>
      <c r="AJ459" s="50">
        <f t="shared" ca="1" si="322"/>
        <v>0</v>
      </c>
      <c r="AK459" s="50">
        <f t="shared" ca="1" si="322"/>
        <v>0</v>
      </c>
      <c r="AL459" s="50">
        <f t="shared" si="322"/>
        <v>0</v>
      </c>
      <c r="AM459" s="50">
        <f t="shared" si="322"/>
        <v>0</v>
      </c>
      <c r="AN459" s="50">
        <f t="shared" si="322"/>
        <v>0</v>
      </c>
      <c r="AO459" s="50">
        <f t="shared" si="322"/>
        <v>0</v>
      </c>
      <c r="AP459" s="50">
        <f t="shared" si="322"/>
        <v>0</v>
      </c>
      <c r="AQ459" s="50">
        <f t="shared" si="322"/>
        <v>0</v>
      </c>
      <c r="AR459" s="50">
        <f t="shared" si="322"/>
        <v>0</v>
      </c>
      <c r="AS459" s="50">
        <f t="shared" si="322"/>
        <v>0</v>
      </c>
      <c r="AT459" s="50">
        <f t="shared" si="322"/>
        <v>0</v>
      </c>
      <c r="AU459" s="50">
        <f t="shared" si="322"/>
        <v>0</v>
      </c>
    </row>
    <row r="460" spans="1:47">
      <c r="A460" s="38" t="str">
        <f t="shared" si="315"/>
        <v>2X-</v>
      </c>
      <c r="B460" s="38" t="s">
        <v>273</v>
      </c>
      <c r="C460" s="38" t="str">
        <f>C458</f>
        <v>Land Application</v>
      </c>
      <c r="D460" s="186">
        <f>LaborEsc</f>
        <v>0.02</v>
      </c>
      <c r="E460" s="325"/>
      <c r="G460" s="36" t="s">
        <v>291</v>
      </c>
      <c r="I460" s="39"/>
      <c r="K460" s="39"/>
      <c r="L460" s="43" t="str">
        <f>"["&amp;CostBaseYr&amp;" $]"</f>
        <v>[2013 $]</v>
      </c>
      <c r="N460" s="70">
        <f ca="1">SUMIFS(OFFSET(Assumptions!$I$90,0,MATCH($A460,Configurations,0)-1,COUNT(Assumptions!$A$90:$A$183),1),Assumptions!$D$90:$D$183,$B460&amp;$C460)</f>
        <v>0</v>
      </c>
      <c r="O460" s="313"/>
      <c r="P460" s="323"/>
      <c r="Q460" s="313"/>
      <c r="R460" s="50">
        <f t="shared" ref="R460:AU460" ca="1" si="323">IF(OR(R$99&lt;InServiceYr,R$99&gt;(InServiceYr+analysis_period-1)),0,IF($P460=0,$N460,$P460)*(1+$D460)^(R$99-CostBaseYr))*R$509</f>
        <v>0</v>
      </c>
      <c r="S460" s="50">
        <f t="shared" ca="1" si="323"/>
        <v>0</v>
      </c>
      <c r="T460" s="50">
        <f t="shared" ca="1" si="323"/>
        <v>0</v>
      </c>
      <c r="U460" s="50">
        <f t="shared" ca="1" si="323"/>
        <v>0</v>
      </c>
      <c r="V460" s="50">
        <f t="shared" ca="1" si="323"/>
        <v>0</v>
      </c>
      <c r="W460" s="50">
        <f t="shared" ca="1" si="323"/>
        <v>0</v>
      </c>
      <c r="X460" s="50">
        <f t="shared" ca="1" si="323"/>
        <v>0</v>
      </c>
      <c r="Y460" s="50">
        <f t="shared" ca="1" si="323"/>
        <v>0</v>
      </c>
      <c r="Z460" s="50">
        <f t="shared" ca="1" si="323"/>
        <v>0</v>
      </c>
      <c r="AA460" s="50">
        <f t="shared" ca="1" si="323"/>
        <v>0</v>
      </c>
      <c r="AB460" s="50">
        <f t="shared" ca="1" si="323"/>
        <v>0</v>
      </c>
      <c r="AC460" s="50">
        <f t="shared" ca="1" si="323"/>
        <v>0</v>
      </c>
      <c r="AD460" s="50">
        <f t="shared" ca="1" si="323"/>
        <v>0</v>
      </c>
      <c r="AE460" s="50">
        <f t="shared" ca="1" si="323"/>
        <v>0</v>
      </c>
      <c r="AF460" s="50">
        <f t="shared" ca="1" si="323"/>
        <v>0</v>
      </c>
      <c r="AG460" s="50">
        <f t="shared" ca="1" si="323"/>
        <v>0</v>
      </c>
      <c r="AH460" s="50">
        <f t="shared" ca="1" si="323"/>
        <v>0</v>
      </c>
      <c r="AI460" s="50">
        <f t="shared" ca="1" si="323"/>
        <v>0</v>
      </c>
      <c r="AJ460" s="50">
        <f t="shared" ca="1" si="323"/>
        <v>0</v>
      </c>
      <c r="AK460" s="50">
        <f t="shared" ca="1" si="323"/>
        <v>0</v>
      </c>
      <c r="AL460" s="50">
        <f t="shared" si="323"/>
        <v>0</v>
      </c>
      <c r="AM460" s="50">
        <f t="shared" si="323"/>
        <v>0</v>
      </c>
      <c r="AN460" s="50">
        <f t="shared" si="323"/>
        <v>0</v>
      </c>
      <c r="AO460" s="50">
        <f t="shared" si="323"/>
        <v>0</v>
      </c>
      <c r="AP460" s="50">
        <f t="shared" si="323"/>
        <v>0</v>
      </c>
      <c r="AQ460" s="50">
        <f t="shared" si="323"/>
        <v>0</v>
      </c>
      <c r="AR460" s="50">
        <f t="shared" si="323"/>
        <v>0</v>
      </c>
      <c r="AS460" s="50">
        <f t="shared" si="323"/>
        <v>0</v>
      </c>
      <c r="AT460" s="50">
        <f t="shared" si="323"/>
        <v>0</v>
      </c>
      <c r="AU460" s="50">
        <f t="shared" si="323"/>
        <v>0</v>
      </c>
    </row>
    <row r="461" spans="1:47">
      <c r="D461" s="186"/>
      <c r="E461" s="325"/>
      <c r="G461" s="39" t="s">
        <v>304</v>
      </c>
      <c r="I461" s="39"/>
      <c r="K461" s="39"/>
      <c r="L461" s="43"/>
      <c r="N461" s="70"/>
      <c r="O461" s="313"/>
      <c r="P461" s="70"/>
      <c r="Q461" s="313"/>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row>
    <row r="462" spans="1:47">
      <c r="A462" s="38" t="str">
        <f>$J$4&amp;"-"</f>
        <v>2X-</v>
      </c>
      <c r="B462" s="38" t="s">
        <v>265</v>
      </c>
      <c r="C462" s="38" t="str">
        <f>C453</f>
        <v>Land Application</v>
      </c>
      <c r="D462" s="186"/>
      <c r="E462" s="325"/>
      <c r="G462" s="36" t="s">
        <v>108</v>
      </c>
      <c r="I462" s="39"/>
      <c r="K462" s="39"/>
      <c r="L462" s="43" t="s">
        <v>293</v>
      </c>
      <c r="N462" s="70">
        <f ca="1">SUMIFS(OFFSET(Assumptions!$I$90,0,MATCH($A462,Configurations,0)-1,COUNT(Assumptions!$A$90:$A$183),1),Assumptions!$D$90:$D$183,$B462&amp;$C462)</f>
        <v>0</v>
      </c>
      <c r="O462" s="313"/>
      <c r="P462" s="323"/>
      <c r="Q462" s="313"/>
      <c r="R462" s="50">
        <f t="shared" ref="R462:AU462" ca="1" si="324">IF(OR(R$99&lt;InServiceYr,R$99&gt;(InServiceYr+analysis_period-1)),0,IF($P462=0,$N462,$P462)*R$501)</f>
        <v>0</v>
      </c>
      <c r="S462" s="50">
        <f t="shared" ca="1" si="324"/>
        <v>0</v>
      </c>
      <c r="T462" s="50">
        <f t="shared" ca="1" si="324"/>
        <v>0</v>
      </c>
      <c r="U462" s="50">
        <f t="shared" ca="1" si="324"/>
        <v>0</v>
      </c>
      <c r="V462" s="50">
        <f t="shared" ca="1" si="324"/>
        <v>0</v>
      </c>
      <c r="W462" s="50">
        <f t="shared" ca="1" si="324"/>
        <v>0</v>
      </c>
      <c r="X462" s="50">
        <f t="shared" ca="1" si="324"/>
        <v>0</v>
      </c>
      <c r="Y462" s="50">
        <f t="shared" ca="1" si="324"/>
        <v>0</v>
      </c>
      <c r="Z462" s="50">
        <f t="shared" ca="1" si="324"/>
        <v>0</v>
      </c>
      <c r="AA462" s="50">
        <f t="shared" ca="1" si="324"/>
        <v>0</v>
      </c>
      <c r="AB462" s="50">
        <f t="shared" ca="1" si="324"/>
        <v>0</v>
      </c>
      <c r="AC462" s="50">
        <f t="shared" ca="1" si="324"/>
        <v>0</v>
      </c>
      <c r="AD462" s="50">
        <f t="shared" ca="1" si="324"/>
        <v>0</v>
      </c>
      <c r="AE462" s="50">
        <f t="shared" ca="1" si="324"/>
        <v>0</v>
      </c>
      <c r="AF462" s="50">
        <f t="shared" ca="1" si="324"/>
        <v>0</v>
      </c>
      <c r="AG462" s="50">
        <f t="shared" ca="1" si="324"/>
        <v>0</v>
      </c>
      <c r="AH462" s="50">
        <f t="shared" ca="1" si="324"/>
        <v>0</v>
      </c>
      <c r="AI462" s="50">
        <f t="shared" ca="1" si="324"/>
        <v>0</v>
      </c>
      <c r="AJ462" s="50">
        <f t="shared" ca="1" si="324"/>
        <v>0</v>
      </c>
      <c r="AK462" s="50">
        <f t="shared" ca="1" si="324"/>
        <v>0</v>
      </c>
      <c r="AL462" s="50">
        <f t="shared" si="324"/>
        <v>0</v>
      </c>
      <c r="AM462" s="50">
        <f t="shared" si="324"/>
        <v>0</v>
      </c>
      <c r="AN462" s="50">
        <f t="shared" si="324"/>
        <v>0</v>
      </c>
      <c r="AO462" s="50">
        <f t="shared" si="324"/>
        <v>0</v>
      </c>
      <c r="AP462" s="50">
        <f t="shared" si="324"/>
        <v>0</v>
      </c>
      <c r="AQ462" s="50">
        <f t="shared" si="324"/>
        <v>0</v>
      </c>
      <c r="AR462" s="50">
        <f t="shared" si="324"/>
        <v>0</v>
      </c>
      <c r="AS462" s="50">
        <f t="shared" si="324"/>
        <v>0</v>
      </c>
      <c r="AT462" s="50">
        <f t="shared" si="324"/>
        <v>0</v>
      </c>
      <c r="AU462" s="50">
        <f t="shared" si="324"/>
        <v>0</v>
      </c>
    </row>
    <row r="463" spans="1:47">
      <c r="A463" s="38" t="str">
        <f>$J$4&amp;"-"</f>
        <v>2X-</v>
      </c>
      <c r="B463" s="38" t="s">
        <v>289</v>
      </c>
      <c r="C463" s="38" t="str">
        <f>C453</f>
        <v>Land Application</v>
      </c>
      <c r="D463" s="186">
        <f>LaborEsc</f>
        <v>0.02</v>
      </c>
      <c r="E463" s="325"/>
      <c r="G463" s="36" t="s">
        <v>292</v>
      </c>
      <c r="I463" s="39"/>
      <c r="K463" s="39"/>
      <c r="L463" s="43" t="str">
        <f>"["&amp;CostBaseYr&amp;" $]"</f>
        <v>[2013 $]</v>
      </c>
      <c r="N463" s="70">
        <f ca="1">SUMIFS(OFFSET(Assumptions!$I$90,0,MATCH($A463,Configurations,0)-1,COUNT(Assumptions!$A$90:$A$183),1),Assumptions!$D$90:$D$183,$B463&amp;$C463)</f>
        <v>0</v>
      </c>
      <c r="O463" s="313"/>
      <c r="P463" s="323"/>
      <c r="Q463" s="313"/>
      <c r="R463" s="50">
        <f t="shared" ref="R463:AU463" ca="1" si="325">IF(OR(R$99&lt;InServiceYr,R$99&gt;(InServiceYr+analysis_period-1)),0,IF($P463=0,$N463,$P463)*(1+$D463)^(R$99-CostBaseYr))</f>
        <v>0</v>
      </c>
      <c r="S463" s="50">
        <f t="shared" ca="1" si="325"/>
        <v>0</v>
      </c>
      <c r="T463" s="50">
        <f t="shared" ca="1" si="325"/>
        <v>0</v>
      </c>
      <c r="U463" s="50">
        <f t="shared" ca="1" si="325"/>
        <v>0</v>
      </c>
      <c r="V463" s="50">
        <f t="shared" ca="1" si="325"/>
        <v>0</v>
      </c>
      <c r="W463" s="50">
        <f t="shared" ca="1" si="325"/>
        <v>0</v>
      </c>
      <c r="X463" s="50">
        <f t="shared" ca="1" si="325"/>
        <v>0</v>
      </c>
      <c r="Y463" s="50">
        <f t="shared" ca="1" si="325"/>
        <v>0</v>
      </c>
      <c r="Z463" s="50">
        <f t="shared" ca="1" si="325"/>
        <v>0</v>
      </c>
      <c r="AA463" s="50">
        <f t="shared" ca="1" si="325"/>
        <v>0</v>
      </c>
      <c r="AB463" s="50">
        <f t="shared" ca="1" si="325"/>
        <v>0</v>
      </c>
      <c r="AC463" s="50">
        <f t="shared" ca="1" si="325"/>
        <v>0</v>
      </c>
      <c r="AD463" s="50">
        <f t="shared" ca="1" si="325"/>
        <v>0</v>
      </c>
      <c r="AE463" s="50">
        <f t="shared" ca="1" si="325"/>
        <v>0</v>
      </c>
      <c r="AF463" s="50">
        <f t="shared" ca="1" si="325"/>
        <v>0</v>
      </c>
      <c r="AG463" s="50">
        <f t="shared" ca="1" si="325"/>
        <v>0</v>
      </c>
      <c r="AH463" s="50">
        <f t="shared" ca="1" si="325"/>
        <v>0</v>
      </c>
      <c r="AI463" s="50">
        <f t="shared" ca="1" si="325"/>
        <v>0</v>
      </c>
      <c r="AJ463" s="50">
        <f t="shared" ca="1" si="325"/>
        <v>0</v>
      </c>
      <c r="AK463" s="50">
        <f t="shared" ca="1" si="325"/>
        <v>0</v>
      </c>
      <c r="AL463" s="50">
        <f t="shared" si="325"/>
        <v>0</v>
      </c>
      <c r="AM463" s="50">
        <f t="shared" si="325"/>
        <v>0</v>
      </c>
      <c r="AN463" s="50">
        <f t="shared" si="325"/>
        <v>0</v>
      </c>
      <c r="AO463" s="50">
        <f t="shared" si="325"/>
        <v>0</v>
      </c>
      <c r="AP463" s="50">
        <f t="shared" si="325"/>
        <v>0</v>
      </c>
      <c r="AQ463" s="50">
        <f t="shared" si="325"/>
        <v>0</v>
      </c>
      <c r="AR463" s="50">
        <f t="shared" si="325"/>
        <v>0</v>
      </c>
      <c r="AS463" s="50">
        <f t="shared" si="325"/>
        <v>0</v>
      </c>
      <c r="AT463" s="50">
        <f t="shared" si="325"/>
        <v>0</v>
      </c>
      <c r="AU463" s="50">
        <f t="shared" si="325"/>
        <v>0</v>
      </c>
    </row>
    <row r="464" spans="1:47" s="60" customFormat="1">
      <c r="D464" s="187"/>
      <c r="E464" s="325"/>
      <c r="G464" s="39" t="s">
        <v>305</v>
      </c>
      <c r="I464" s="39"/>
      <c r="K464" s="39"/>
      <c r="L464" s="174"/>
      <c r="N464" s="188"/>
      <c r="O464" s="314"/>
      <c r="P464" s="185"/>
      <c r="Q464" s="314"/>
      <c r="R464" s="185">
        <f ca="1">SUM(R453:R460)-SUM(R462:R463)</f>
        <v>455940</v>
      </c>
      <c r="S464" s="185">
        <f t="shared" ref="S464:AU464" ca="1" si="326">SUM(S453:S460)-SUM(S462:S463)</f>
        <v>465058.8</v>
      </c>
      <c r="T464" s="185">
        <f t="shared" ca="1" si="326"/>
        <v>474359.97599999997</v>
      </c>
      <c r="U464" s="185">
        <f t="shared" ca="1" si="326"/>
        <v>483847.17551999999</v>
      </c>
      <c r="V464" s="185">
        <f t="shared" ca="1" si="326"/>
        <v>493524.1190304</v>
      </c>
      <c r="W464" s="185">
        <f t="shared" ca="1" si="326"/>
        <v>503394.60141100804</v>
      </c>
      <c r="X464" s="185">
        <f t="shared" ca="1" si="326"/>
        <v>513462.4934392281</v>
      </c>
      <c r="Y464" s="185">
        <f t="shared" ca="1" si="326"/>
        <v>523731.74330801266</v>
      </c>
      <c r="Z464" s="185">
        <f t="shared" ca="1" si="326"/>
        <v>534206.37817417295</v>
      </c>
      <c r="AA464" s="185">
        <f t="shared" ca="1" si="326"/>
        <v>544890.50573765638</v>
      </c>
      <c r="AB464" s="185">
        <f t="shared" ca="1" si="326"/>
        <v>555788.31585240946</v>
      </c>
      <c r="AC464" s="185">
        <f t="shared" ca="1" si="326"/>
        <v>566904.08216945769</v>
      </c>
      <c r="AD464" s="185">
        <f t="shared" ca="1" si="326"/>
        <v>578242.16381284688</v>
      </c>
      <c r="AE464" s="185">
        <f t="shared" ca="1" si="326"/>
        <v>589807.0070891038</v>
      </c>
      <c r="AF464" s="185">
        <f t="shared" ca="1" si="326"/>
        <v>601603.14723088581</v>
      </c>
      <c r="AG464" s="185">
        <f t="shared" ca="1" si="326"/>
        <v>613635.21017550363</v>
      </c>
      <c r="AH464" s="185">
        <f t="shared" ca="1" si="326"/>
        <v>625907.9143790137</v>
      </c>
      <c r="AI464" s="185">
        <f t="shared" ca="1" si="326"/>
        <v>638426.07266659394</v>
      </c>
      <c r="AJ464" s="185">
        <f t="shared" ca="1" si="326"/>
        <v>651194.59411992575</v>
      </c>
      <c r="AK464" s="185">
        <f t="shared" ca="1" si="326"/>
        <v>664218.48600232438</v>
      </c>
      <c r="AL464" s="185">
        <f t="shared" si="326"/>
        <v>0</v>
      </c>
      <c r="AM464" s="185">
        <f t="shared" si="326"/>
        <v>0</v>
      </c>
      <c r="AN464" s="185">
        <f t="shared" si="326"/>
        <v>0</v>
      </c>
      <c r="AO464" s="185">
        <f t="shared" si="326"/>
        <v>0</v>
      </c>
      <c r="AP464" s="185">
        <f t="shared" si="326"/>
        <v>0</v>
      </c>
      <c r="AQ464" s="185">
        <f t="shared" si="326"/>
        <v>0</v>
      </c>
      <c r="AR464" s="185">
        <f t="shared" si="326"/>
        <v>0</v>
      </c>
      <c r="AS464" s="185">
        <f t="shared" si="326"/>
        <v>0</v>
      </c>
      <c r="AT464" s="185">
        <f t="shared" si="326"/>
        <v>0</v>
      </c>
      <c r="AU464" s="185">
        <f t="shared" si="326"/>
        <v>0</v>
      </c>
    </row>
    <row r="465" spans="1:47">
      <c r="E465" s="36"/>
      <c r="G465" s="39"/>
      <c r="H465" s="39"/>
      <c r="I465" s="39"/>
      <c r="J465" s="39"/>
      <c r="K465" s="39"/>
    </row>
    <row r="466" spans="1:47">
      <c r="E466" s="327"/>
      <c r="F466" s="28"/>
      <c r="G466" s="324" t="str">
        <f>C469&amp;" O&amp;M"</f>
        <v>Land Disposal O&amp;M</v>
      </c>
      <c r="H466" s="324"/>
      <c r="I466" s="324"/>
      <c r="J466" s="324"/>
      <c r="K466" s="324"/>
      <c r="L466" s="405" t="s">
        <v>79</v>
      </c>
      <c r="M466" s="256"/>
      <c r="N466" s="325" t="s">
        <v>490</v>
      </c>
      <c r="O466" s="311"/>
      <c r="P466" s="325" t="s">
        <v>491</v>
      </c>
      <c r="Q466" s="310"/>
      <c r="R466" s="325">
        <f>R$8</f>
        <v>2014</v>
      </c>
      <c r="S466" s="325">
        <f t="shared" ref="S466:AU466" si="327">S$8</f>
        <v>2015</v>
      </c>
      <c r="T466" s="325">
        <f t="shared" si="327"/>
        <v>2016</v>
      </c>
      <c r="U466" s="325">
        <f t="shared" si="327"/>
        <v>2017</v>
      </c>
      <c r="V466" s="325">
        <f t="shared" si="327"/>
        <v>2018</v>
      </c>
      <c r="W466" s="325">
        <f t="shared" si="327"/>
        <v>2019</v>
      </c>
      <c r="X466" s="325">
        <f t="shared" si="327"/>
        <v>2020</v>
      </c>
      <c r="Y466" s="325">
        <f t="shared" si="327"/>
        <v>2021</v>
      </c>
      <c r="Z466" s="325">
        <f t="shared" si="327"/>
        <v>2022</v>
      </c>
      <c r="AA466" s="325">
        <f t="shared" si="327"/>
        <v>2023</v>
      </c>
      <c r="AB466" s="325">
        <f t="shared" si="327"/>
        <v>2024</v>
      </c>
      <c r="AC466" s="325">
        <f t="shared" si="327"/>
        <v>2025</v>
      </c>
      <c r="AD466" s="325">
        <f t="shared" si="327"/>
        <v>2026</v>
      </c>
      <c r="AE466" s="325">
        <f t="shared" si="327"/>
        <v>2027</v>
      </c>
      <c r="AF466" s="325">
        <f t="shared" si="327"/>
        <v>2028</v>
      </c>
      <c r="AG466" s="325">
        <f t="shared" si="327"/>
        <v>2029</v>
      </c>
      <c r="AH466" s="325">
        <f t="shared" si="327"/>
        <v>2030</v>
      </c>
      <c r="AI466" s="325">
        <f t="shared" si="327"/>
        <v>2031</v>
      </c>
      <c r="AJ466" s="325">
        <f t="shared" si="327"/>
        <v>2032</v>
      </c>
      <c r="AK466" s="325">
        <f t="shared" si="327"/>
        <v>2033</v>
      </c>
      <c r="AL466" s="325">
        <f t="shared" si="327"/>
        <v>2034</v>
      </c>
      <c r="AM466" s="325">
        <f t="shared" si="327"/>
        <v>2035</v>
      </c>
      <c r="AN466" s="325">
        <f t="shared" si="327"/>
        <v>2036</v>
      </c>
      <c r="AO466" s="325">
        <f t="shared" si="327"/>
        <v>2037</v>
      </c>
      <c r="AP466" s="325">
        <f t="shared" si="327"/>
        <v>2038</v>
      </c>
      <c r="AQ466" s="325">
        <f t="shared" si="327"/>
        <v>2039</v>
      </c>
      <c r="AR466" s="325">
        <f t="shared" si="327"/>
        <v>2040</v>
      </c>
      <c r="AS466" s="325">
        <f t="shared" si="327"/>
        <v>2041</v>
      </c>
      <c r="AT466" s="325">
        <f t="shared" si="327"/>
        <v>2042</v>
      </c>
      <c r="AU466" s="325">
        <f t="shared" si="327"/>
        <v>2043</v>
      </c>
    </row>
    <row r="467" spans="1:47">
      <c r="E467" s="325"/>
      <c r="G467" s="39"/>
      <c r="H467" s="39"/>
      <c r="I467" s="39"/>
      <c r="J467" s="39"/>
      <c r="K467" s="39"/>
    </row>
    <row r="468" spans="1:47">
      <c r="E468" s="325"/>
      <c r="G468" s="39" t="s">
        <v>23</v>
      </c>
      <c r="H468" s="39"/>
      <c r="I468" s="39"/>
      <c r="J468" s="39"/>
      <c r="K468" s="39"/>
    </row>
    <row r="469" spans="1:47">
      <c r="A469" s="38" t="str">
        <f t="shared" ref="A469:A476" si="328">$J$4&amp;"-"</f>
        <v>2X-</v>
      </c>
      <c r="B469" s="38" t="s">
        <v>262</v>
      </c>
      <c r="C469" s="38" t="s">
        <v>311</v>
      </c>
      <c r="D469" s="186">
        <f>LaborEsc</f>
        <v>0.02</v>
      </c>
      <c r="E469" s="325"/>
      <c r="G469" s="36" t="s">
        <v>125</v>
      </c>
      <c r="I469" s="39"/>
      <c r="K469" s="39"/>
      <c r="L469" s="43" t="s">
        <v>266</v>
      </c>
      <c r="N469" s="70">
        <f ca="1">SUMIFS(OFFSET(Assumptions!$I$90,0,MATCH($A469,Configurations,0)-1,COUNT(Assumptions!$A$90:$A$183),1),Assumptions!$D$90:$D$183,$B469&amp;$C469)</f>
        <v>0</v>
      </c>
      <c r="O469" s="313"/>
      <c r="P469" s="323"/>
      <c r="Q469" s="313"/>
      <c r="R469" s="50">
        <f t="shared" ref="R469:AU469" ca="1" si="329">IF(OR(R$99&lt;InServiceYr,R$99&gt;(InServiceYr+analysis_period-1)),0,IF($P469=0,$N469,$P469)*LaborCost*(1+$D469)^(R$99-CostBaseYr))</f>
        <v>0</v>
      </c>
      <c r="S469" s="50">
        <f t="shared" ca="1" si="329"/>
        <v>0</v>
      </c>
      <c r="T469" s="50">
        <f t="shared" ca="1" si="329"/>
        <v>0</v>
      </c>
      <c r="U469" s="50">
        <f t="shared" ca="1" si="329"/>
        <v>0</v>
      </c>
      <c r="V469" s="50">
        <f t="shared" ca="1" si="329"/>
        <v>0</v>
      </c>
      <c r="W469" s="50">
        <f t="shared" ca="1" si="329"/>
        <v>0</v>
      </c>
      <c r="X469" s="50">
        <f t="shared" ca="1" si="329"/>
        <v>0</v>
      </c>
      <c r="Y469" s="50">
        <f t="shared" ca="1" si="329"/>
        <v>0</v>
      </c>
      <c r="Z469" s="50">
        <f t="shared" ca="1" si="329"/>
        <v>0</v>
      </c>
      <c r="AA469" s="50">
        <f t="shared" ca="1" si="329"/>
        <v>0</v>
      </c>
      <c r="AB469" s="50">
        <f t="shared" ca="1" si="329"/>
        <v>0</v>
      </c>
      <c r="AC469" s="50">
        <f t="shared" ca="1" si="329"/>
        <v>0</v>
      </c>
      <c r="AD469" s="50">
        <f t="shared" ca="1" si="329"/>
        <v>0</v>
      </c>
      <c r="AE469" s="50">
        <f t="shared" ca="1" si="329"/>
        <v>0</v>
      </c>
      <c r="AF469" s="50">
        <f t="shared" ca="1" si="329"/>
        <v>0</v>
      </c>
      <c r="AG469" s="50">
        <f t="shared" ca="1" si="329"/>
        <v>0</v>
      </c>
      <c r="AH469" s="50">
        <f t="shared" ca="1" si="329"/>
        <v>0</v>
      </c>
      <c r="AI469" s="50">
        <f t="shared" ca="1" si="329"/>
        <v>0</v>
      </c>
      <c r="AJ469" s="50">
        <f t="shared" ca="1" si="329"/>
        <v>0</v>
      </c>
      <c r="AK469" s="50">
        <f t="shared" ca="1" si="329"/>
        <v>0</v>
      </c>
      <c r="AL469" s="50">
        <f t="shared" si="329"/>
        <v>0</v>
      </c>
      <c r="AM469" s="50">
        <f t="shared" si="329"/>
        <v>0</v>
      </c>
      <c r="AN469" s="50">
        <f t="shared" si="329"/>
        <v>0</v>
      </c>
      <c r="AO469" s="50">
        <f t="shared" si="329"/>
        <v>0</v>
      </c>
      <c r="AP469" s="50">
        <f t="shared" si="329"/>
        <v>0</v>
      </c>
      <c r="AQ469" s="50">
        <f t="shared" si="329"/>
        <v>0</v>
      </c>
      <c r="AR469" s="50">
        <f t="shared" si="329"/>
        <v>0</v>
      </c>
      <c r="AS469" s="50">
        <f t="shared" si="329"/>
        <v>0</v>
      </c>
      <c r="AT469" s="50">
        <f t="shared" si="329"/>
        <v>0</v>
      </c>
      <c r="AU469" s="50">
        <f t="shared" si="329"/>
        <v>0</v>
      </c>
    </row>
    <row r="470" spans="1:47">
      <c r="A470" s="38" t="str">
        <f t="shared" si="328"/>
        <v>2X-</v>
      </c>
      <c r="B470" s="38" t="s">
        <v>270</v>
      </c>
      <c r="C470" s="38" t="str">
        <f>C469</f>
        <v>Land Disposal</v>
      </c>
      <c r="D470" s="186">
        <f>OMEsc</f>
        <v>0.02</v>
      </c>
      <c r="E470" s="325"/>
      <c r="G470" s="36" t="s">
        <v>126</v>
      </c>
      <c r="I470" s="39"/>
      <c r="K470" s="39"/>
      <c r="L470" s="43" t="str">
        <f>"["&amp;CostBaseYr&amp;" $]"</f>
        <v>[2013 $]</v>
      </c>
      <c r="N470" s="70">
        <f ca="1">SUMIFS(OFFSET(Assumptions!$I$90,0,MATCH($A470,Configurations,0)-1,COUNT(Assumptions!$A$90:$A$183),1),Assumptions!$D$90:$D$183,$B470&amp;$C470)</f>
        <v>0</v>
      </c>
      <c r="O470" s="313"/>
      <c r="P470" s="323"/>
      <c r="Q470" s="313"/>
      <c r="R470" s="50">
        <f t="shared" ref="R470:AG472" ca="1" si="330">IF(OR(R$99&lt;InServiceYr,R$99&gt;(InServiceYr+analysis_period-1)),0,IF($P470=0,$N470,$P470)*(1+$D470)^(R$99-CostBaseYr))</f>
        <v>0</v>
      </c>
      <c r="S470" s="50">
        <f t="shared" ca="1" si="330"/>
        <v>0</v>
      </c>
      <c r="T470" s="50">
        <f t="shared" ca="1" si="330"/>
        <v>0</v>
      </c>
      <c r="U470" s="50">
        <f t="shared" ca="1" si="330"/>
        <v>0</v>
      </c>
      <c r="V470" s="50">
        <f t="shared" ca="1" si="330"/>
        <v>0</v>
      </c>
      <c r="W470" s="50">
        <f t="shared" ca="1" si="330"/>
        <v>0</v>
      </c>
      <c r="X470" s="50">
        <f t="shared" ca="1" si="330"/>
        <v>0</v>
      </c>
      <c r="Y470" s="50">
        <f t="shared" ca="1" si="330"/>
        <v>0</v>
      </c>
      <c r="Z470" s="50">
        <f t="shared" ca="1" si="330"/>
        <v>0</v>
      </c>
      <c r="AA470" s="50">
        <f t="shared" ca="1" si="330"/>
        <v>0</v>
      </c>
      <c r="AB470" s="50">
        <f t="shared" ca="1" si="330"/>
        <v>0</v>
      </c>
      <c r="AC470" s="50">
        <f t="shared" ca="1" si="330"/>
        <v>0</v>
      </c>
      <c r="AD470" s="50">
        <f t="shared" ca="1" si="330"/>
        <v>0</v>
      </c>
      <c r="AE470" s="50">
        <f t="shared" ca="1" si="330"/>
        <v>0</v>
      </c>
      <c r="AF470" s="50">
        <f t="shared" ca="1" si="330"/>
        <v>0</v>
      </c>
      <c r="AG470" s="50">
        <f t="shared" ca="1" si="330"/>
        <v>0</v>
      </c>
      <c r="AH470" s="50">
        <f t="shared" ref="S470:AU472" ca="1" si="331">IF(OR(AH$99&lt;InServiceYr,AH$99&gt;(InServiceYr+analysis_period-1)),0,IF($P470=0,$N470,$P470)*(1+$D470)^(AH$99-CostBaseYr))</f>
        <v>0</v>
      </c>
      <c r="AI470" s="50">
        <f t="shared" ca="1" si="331"/>
        <v>0</v>
      </c>
      <c r="AJ470" s="50">
        <f t="shared" ca="1" si="331"/>
        <v>0</v>
      </c>
      <c r="AK470" s="50">
        <f t="shared" ca="1" si="331"/>
        <v>0</v>
      </c>
      <c r="AL470" s="50">
        <f t="shared" si="331"/>
        <v>0</v>
      </c>
      <c r="AM470" s="50">
        <f t="shared" si="331"/>
        <v>0</v>
      </c>
      <c r="AN470" s="50">
        <f t="shared" si="331"/>
        <v>0</v>
      </c>
      <c r="AO470" s="50">
        <f t="shared" si="331"/>
        <v>0</v>
      </c>
      <c r="AP470" s="50">
        <f t="shared" si="331"/>
        <v>0</v>
      </c>
      <c r="AQ470" s="50">
        <f t="shared" si="331"/>
        <v>0</v>
      </c>
      <c r="AR470" s="50">
        <f t="shared" si="331"/>
        <v>0</v>
      </c>
      <c r="AS470" s="50">
        <f t="shared" si="331"/>
        <v>0</v>
      </c>
      <c r="AT470" s="50">
        <f t="shared" si="331"/>
        <v>0</v>
      </c>
      <c r="AU470" s="50">
        <f t="shared" si="331"/>
        <v>0</v>
      </c>
    </row>
    <row r="471" spans="1:47">
      <c r="A471" s="38" t="str">
        <f t="shared" si="328"/>
        <v>2X-</v>
      </c>
      <c r="B471" s="38" t="s">
        <v>263</v>
      </c>
      <c r="C471" s="38" t="str">
        <f t="shared" ref="C471:C475" si="332">C470</f>
        <v>Land Disposal</v>
      </c>
      <c r="D471" s="186">
        <f>OMEsc</f>
        <v>0.02</v>
      </c>
      <c r="E471" s="325"/>
      <c r="G471" s="36" t="s">
        <v>127</v>
      </c>
      <c r="I471" s="39"/>
      <c r="K471" s="39"/>
      <c r="L471" s="43" t="str">
        <f>"["&amp;CostBaseYr&amp;" $]"</f>
        <v>[2013 $]</v>
      </c>
      <c r="N471" s="70">
        <f ca="1">SUMIFS(OFFSET(Assumptions!$I$90,0,MATCH($A471,Configurations,0)-1,COUNT(Assumptions!$A$90:$A$183),1),Assumptions!$D$90:$D$183,$B471&amp;$C471)</f>
        <v>0</v>
      </c>
      <c r="O471" s="313"/>
      <c r="P471" s="323"/>
      <c r="Q471" s="313"/>
      <c r="R471" s="50">
        <f t="shared" ca="1" si="330"/>
        <v>0</v>
      </c>
      <c r="S471" s="50">
        <f t="shared" ca="1" si="331"/>
        <v>0</v>
      </c>
      <c r="T471" s="50">
        <f t="shared" ca="1" si="331"/>
        <v>0</v>
      </c>
      <c r="U471" s="50">
        <f t="shared" ca="1" si="331"/>
        <v>0</v>
      </c>
      <c r="V471" s="50">
        <f t="shared" ca="1" si="331"/>
        <v>0</v>
      </c>
      <c r="W471" s="50">
        <f t="shared" ca="1" si="331"/>
        <v>0</v>
      </c>
      <c r="X471" s="50">
        <f t="shared" ca="1" si="331"/>
        <v>0</v>
      </c>
      <c r="Y471" s="50">
        <f t="shared" ca="1" si="331"/>
        <v>0</v>
      </c>
      <c r="Z471" s="50">
        <f t="shared" ca="1" si="331"/>
        <v>0</v>
      </c>
      <c r="AA471" s="50">
        <f t="shared" ca="1" si="331"/>
        <v>0</v>
      </c>
      <c r="AB471" s="50">
        <f t="shared" ca="1" si="331"/>
        <v>0</v>
      </c>
      <c r="AC471" s="50">
        <f t="shared" ca="1" si="331"/>
        <v>0</v>
      </c>
      <c r="AD471" s="50">
        <f t="shared" ca="1" si="331"/>
        <v>0</v>
      </c>
      <c r="AE471" s="50">
        <f t="shared" ca="1" si="331"/>
        <v>0</v>
      </c>
      <c r="AF471" s="50">
        <f t="shared" ca="1" si="331"/>
        <v>0</v>
      </c>
      <c r="AG471" s="50">
        <f t="shared" ca="1" si="331"/>
        <v>0</v>
      </c>
      <c r="AH471" s="50">
        <f t="shared" ca="1" si="331"/>
        <v>0</v>
      </c>
      <c r="AI471" s="50">
        <f t="shared" ca="1" si="331"/>
        <v>0</v>
      </c>
      <c r="AJ471" s="50">
        <f t="shared" ca="1" si="331"/>
        <v>0</v>
      </c>
      <c r="AK471" s="50">
        <f t="shared" ca="1" si="331"/>
        <v>0</v>
      </c>
      <c r="AL471" s="50">
        <f t="shared" si="331"/>
        <v>0</v>
      </c>
      <c r="AM471" s="50">
        <f t="shared" si="331"/>
        <v>0</v>
      </c>
      <c r="AN471" s="50">
        <f t="shared" si="331"/>
        <v>0</v>
      </c>
      <c r="AO471" s="50">
        <f t="shared" si="331"/>
        <v>0</v>
      </c>
      <c r="AP471" s="50">
        <f t="shared" si="331"/>
        <v>0</v>
      </c>
      <c r="AQ471" s="50">
        <f t="shared" si="331"/>
        <v>0</v>
      </c>
      <c r="AR471" s="50">
        <f t="shared" si="331"/>
        <v>0</v>
      </c>
      <c r="AS471" s="50">
        <f t="shared" si="331"/>
        <v>0</v>
      </c>
      <c r="AT471" s="50">
        <f t="shared" si="331"/>
        <v>0</v>
      </c>
      <c r="AU471" s="50">
        <f t="shared" si="331"/>
        <v>0</v>
      </c>
    </row>
    <row r="472" spans="1:47">
      <c r="A472" s="38" t="str">
        <f t="shared" si="328"/>
        <v>2X-</v>
      </c>
      <c r="B472" s="38" t="s">
        <v>277</v>
      </c>
      <c r="C472" s="38" t="str">
        <f t="shared" si="332"/>
        <v>Land Disposal</v>
      </c>
      <c r="D472" s="186">
        <f>OMEsc</f>
        <v>0.02</v>
      </c>
      <c r="E472" s="325"/>
      <c r="G472" s="36" t="s">
        <v>276</v>
      </c>
      <c r="I472" s="39"/>
      <c r="K472" s="39"/>
      <c r="L472" s="43" t="str">
        <f>"["&amp;CostBaseYr&amp;" $]"</f>
        <v>[2013 $]</v>
      </c>
      <c r="N472" s="70">
        <f ca="1">SUMIFS(OFFSET(Assumptions!$I$90,0,MATCH($A472,Configurations,0)-1,COUNT(Assumptions!$A$90:$A$183),1),Assumptions!$D$90:$D$183,$B472&amp;$C472)</f>
        <v>0</v>
      </c>
      <c r="O472" s="313"/>
      <c r="P472" s="323"/>
      <c r="Q472" s="313"/>
      <c r="R472" s="50">
        <f t="shared" ca="1" si="330"/>
        <v>0</v>
      </c>
      <c r="S472" s="50">
        <f t="shared" ca="1" si="331"/>
        <v>0</v>
      </c>
      <c r="T472" s="50">
        <f t="shared" ca="1" si="331"/>
        <v>0</v>
      </c>
      <c r="U472" s="50">
        <f t="shared" ca="1" si="331"/>
        <v>0</v>
      </c>
      <c r="V472" s="50">
        <f t="shared" ca="1" si="331"/>
        <v>0</v>
      </c>
      <c r="W472" s="50">
        <f t="shared" ca="1" si="331"/>
        <v>0</v>
      </c>
      <c r="X472" s="50">
        <f t="shared" ca="1" si="331"/>
        <v>0</v>
      </c>
      <c r="Y472" s="50">
        <f t="shared" ca="1" si="331"/>
        <v>0</v>
      </c>
      <c r="Z472" s="50">
        <f t="shared" ca="1" si="331"/>
        <v>0</v>
      </c>
      <c r="AA472" s="50">
        <f t="shared" ca="1" si="331"/>
        <v>0</v>
      </c>
      <c r="AB472" s="50">
        <f t="shared" ca="1" si="331"/>
        <v>0</v>
      </c>
      <c r="AC472" s="50">
        <f t="shared" ca="1" si="331"/>
        <v>0</v>
      </c>
      <c r="AD472" s="50">
        <f t="shared" ca="1" si="331"/>
        <v>0</v>
      </c>
      <c r="AE472" s="50">
        <f t="shared" ca="1" si="331"/>
        <v>0</v>
      </c>
      <c r="AF472" s="50">
        <f t="shared" ca="1" si="331"/>
        <v>0</v>
      </c>
      <c r="AG472" s="50">
        <f t="shared" ca="1" si="331"/>
        <v>0</v>
      </c>
      <c r="AH472" s="50">
        <f t="shared" ca="1" si="331"/>
        <v>0</v>
      </c>
      <c r="AI472" s="50">
        <f t="shared" ca="1" si="331"/>
        <v>0</v>
      </c>
      <c r="AJ472" s="50">
        <f t="shared" ca="1" si="331"/>
        <v>0</v>
      </c>
      <c r="AK472" s="50">
        <f t="shared" ca="1" si="331"/>
        <v>0</v>
      </c>
      <c r="AL472" s="50">
        <f t="shared" si="331"/>
        <v>0</v>
      </c>
      <c r="AM472" s="50">
        <f t="shared" si="331"/>
        <v>0</v>
      </c>
      <c r="AN472" s="50">
        <f t="shared" si="331"/>
        <v>0</v>
      </c>
      <c r="AO472" s="50">
        <f t="shared" si="331"/>
        <v>0</v>
      </c>
      <c r="AP472" s="50">
        <f t="shared" si="331"/>
        <v>0</v>
      </c>
      <c r="AQ472" s="50">
        <f t="shared" si="331"/>
        <v>0</v>
      </c>
      <c r="AR472" s="50">
        <f t="shared" si="331"/>
        <v>0</v>
      </c>
      <c r="AS472" s="50">
        <f t="shared" si="331"/>
        <v>0</v>
      </c>
      <c r="AT472" s="50">
        <f t="shared" si="331"/>
        <v>0</v>
      </c>
      <c r="AU472" s="50">
        <f t="shared" si="331"/>
        <v>0</v>
      </c>
    </row>
    <row r="473" spans="1:47">
      <c r="A473" s="38" t="str">
        <f t="shared" si="328"/>
        <v>2X-</v>
      </c>
      <c r="B473" s="38" t="s">
        <v>274</v>
      </c>
      <c r="C473" s="38" t="str">
        <f t="shared" si="332"/>
        <v>Land Disposal</v>
      </c>
      <c r="D473" s="186"/>
      <c r="E473" s="325"/>
      <c r="G473" s="36" t="s">
        <v>16</v>
      </c>
      <c r="I473" s="39"/>
      <c r="K473" s="39"/>
      <c r="L473" s="43" t="s">
        <v>275</v>
      </c>
      <c r="N473" s="70">
        <f ca="1">SUMIFS(OFFSET(Assumptions!$I$90,0,MATCH($A473,Configurations,0)-1,COUNT(Assumptions!$A$90:$A$183),1),Assumptions!$D$90:$D$183,$B473&amp;$C473)</f>
        <v>0</v>
      </c>
      <c r="O473" s="313"/>
      <c r="P473" s="323"/>
      <c r="Q473" s="313"/>
      <c r="R473" s="50">
        <f t="shared" ref="R473:AU473" ca="1" si="333">IF(OR(R$99&lt;InServiceYr,R$99&gt;(InServiceYr+analysis_period-1)),0,IF($P473=0,$N473,$P473)*R$505)</f>
        <v>0</v>
      </c>
      <c r="S473" s="50">
        <f t="shared" ca="1" si="333"/>
        <v>0</v>
      </c>
      <c r="T473" s="50">
        <f t="shared" ca="1" si="333"/>
        <v>0</v>
      </c>
      <c r="U473" s="50">
        <f t="shared" ca="1" si="333"/>
        <v>0</v>
      </c>
      <c r="V473" s="50">
        <f t="shared" ca="1" si="333"/>
        <v>0</v>
      </c>
      <c r="W473" s="50">
        <f t="shared" ca="1" si="333"/>
        <v>0</v>
      </c>
      <c r="X473" s="50">
        <f t="shared" ca="1" si="333"/>
        <v>0</v>
      </c>
      <c r="Y473" s="50">
        <f t="shared" ca="1" si="333"/>
        <v>0</v>
      </c>
      <c r="Z473" s="50">
        <f t="shared" ca="1" si="333"/>
        <v>0</v>
      </c>
      <c r="AA473" s="50">
        <f t="shared" ca="1" si="333"/>
        <v>0</v>
      </c>
      <c r="AB473" s="50">
        <f t="shared" ca="1" si="333"/>
        <v>0</v>
      </c>
      <c r="AC473" s="50">
        <f t="shared" ca="1" si="333"/>
        <v>0</v>
      </c>
      <c r="AD473" s="50">
        <f t="shared" ca="1" si="333"/>
        <v>0</v>
      </c>
      <c r="AE473" s="50">
        <f t="shared" ca="1" si="333"/>
        <v>0</v>
      </c>
      <c r="AF473" s="50">
        <f t="shared" ca="1" si="333"/>
        <v>0</v>
      </c>
      <c r="AG473" s="50">
        <f t="shared" ca="1" si="333"/>
        <v>0</v>
      </c>
      <c r="AH473" s="50">
        <f t="shared" ca="1" si="333"/>
        <v>0</v>
      </c>
      <c r="AI473" s="50">
        <f t="shared" ca="1" si="333"/>
        <v>0</v>
      </c>
      <c r="AJ473" s="50">
        <f t="shared" ca="1" si="333"/>
        <v>0</v>
      </c>
      <c r="AK473" s="50">
        <f t="shared" ca="1" si="333"/>
        <v>0</v>
      </c>
      <c r="AL473" s="50">
        <f t="shared" si="333"/>
        <v>0</v>
      </c>
      <c r="AM473" s="50">
        <f t="shared" si="333"/>
        <v>0</v>
      </c>
      <c r="AN473" s="50">
        <f t="shared" si="333"/>
        <v>0</v>
      </c>
      <c r="AO473" s="50">
        <f t="shared" si="333"/>
        <v>0</v>
      </c>
      <c r="AP473" s="50">
        <f t="shared" si="333"/>
        <v>0</v>
      </c>
      <c r="AQ473" s="50">
        <f t="shared" si="333"/>
        <v>0</v>
      </c>
      <c r="AR473" s="50">
        <f t="shared" si="333"/>
        <v>0</v>
      </c>
      <c r="AS473" s="50">
        <f t="shared" si="333"/>
        <v>0</v>
      </c>
      <c r="AT473" s="50">
        <f t="shared" si="333"/>
        <v>0</v>
      </c>
      <c r="AU473" s="50">
        <f t="shared" si="333"/>
        <v>0</v>
      </c>
    </row>
    <row r="474" spans="1:47">
      <c r="A474" s="38" t="str">
        <f t="shared" si="328"/>
        <v>2X-</v>
      </c>
      <c r="B474" s="38" t="s">
        <v>257</v>
      </c>
      <c r="C474" s="38" t="str">
        <f t="shared" si="332"/>
        <v>Land Disposal</v>
      </c>
      <c r="D474" s="186"/>
      <c r="E474" s="325"/>
      <c r="G474" s="36" t="s">
        <v>284</v>
      </c>
      <c r="I474" s="39"/>
      <c r="K474" s="39"/>
      <c r="L474" s="43" t="s">
        <v>293</v>
      </c>
      <c r="N474" s="70">
        <f ca="1">SUMIFS(OFFSET(Assumptions!$I$90,0,MATCH($A474,Configurations,0)-1,COUNT(Assumptions!$A$90:$A$183),1),Assumptions!$D$90:$D$183,$B474&amp;$C474)</f>
        <v>0</v>
      </c>
      <c r="O474" s="313"/>
      <c r="P474" s="323"/>
      <c r="Q474" s="313"/>
      <c r="R474" s="50">
        <f t="shared" ref="R474:AU474" ca="1" si="334">IF(OR(R$99&lt;InServiceYr,R$99&gt;(InServiceYr+analysis_period-1)),0,IF($P474=0,$N474,$P474)*R$501)</f>
        <v>0</v>
      </c>
      <c r="S474" s="50">
        <f t="shared" ca="1" si="334"/>
        <v>0</v>
      </c>
      <c r="T474" s="50">
        <f t="shared" ca="1" si="334"/>
        <v>0</v>
      </c>
      <c r="U474" s="50">
        <f t="shared" ca="1" si="334"/>
        <v>0</v>
      </c>
      <c r="V474" s="50">
        <f t="shared" ca="1" si="334"/>
        <v>0</v>
      </c>
      <c r="W474" s="50">
        <f t="shared" ca="1" si="334"/>
        <v>0</v>
      </c>
      <c r="X474" s="50">
        <f t="shared" ca="1" si="334"/>
        <v>0</v>
      </c>
      <c r="Y474" s="50">
        <f t="shared" ca="1" si="334"/>
        <v>0</v>
      </c>
      <c r="Z474" s="50">
        <f t="shared" ca="1" si="334"/>
        <v>0</v>
      </c>
      <c r="AA474" s="50">
        <f t="shared" ca="1" si="334"/>
        <v>0</v>
      </c>
      <c r="AB474" s="50">
        <f t="shared" ca="1" si="334"/>
        <v>0</v>
      </c>
      <c r="AC474" s="50">
        <f t="shared" ca="1" si="334"/>
        <v>0</v>
      </c>
      <c r="AD474" s="50">
        <f t="shared" ca="1" si="334"/>
        <v>0</v>
      </c>
      <c r="AE474" s="50">
        <f t="shared" ca="1" si="334"/>
        <v>0</v>
      </c>
      <c r="AF474" s="50">
        <f t="shared" ca="1" si="334"/>
        <v>0</v>
      </c>
      <c r="AG474" s="50">
        <f t="shared" ca="1" si="334"/>
        <v>0</v>
      </c>
      <c r="AH474" s="50">
        <f t="shared" ca="1" si="334"/>
        <v>0</v>
      </c>
      <c r="AI474" s="50">
        <f t="shared" ca="1" si="334"/>
        <v>0</v>
      </c>
      <c r="AJ474" s="50">
        <f t="shared" ca="1" si="334"/>
        <v>0</v>
      </c>
      <c r="AK474" s="50">
        <f t="shared" ca="1" si="334"/>
        <v>0</v>
      </c>
      <c r="AL474" s="50">
        <f t="shared" si="334"/>
        <v>0</v>
      </c>
      <c r="AM474" s="50">
        <f t="shared" si="334"/>
        <v>0</v>
      </c>
      <c r="AN474" s="50">
        <f t="shared" si="334"/>
        <v>0</v>
      </c>
      <c r="AO474" s="50">
        <f t="shared" si="334"/>
        <v>0</v>
      </c>
      <c r="AP474" s="50">
        <f t="shared" si="334"/>
        <v>0</v>
      </c>
      <c r="AQ474" s="50">
        <f t="shared" si="334"/>
        <v>0</v>
      </c>
      <c r="AR474" s="50">
        <f t="shared" si="334"/>
        <v>0</v>
      </c>
      <c r="AS474" s="50">
        <f t="shared" si="334"/>
        <v>0</v>
      </c>
      <c r="AT474" s="50">
        <f t="shared" si="334"/>
        <v>0</v>
      </c>
      <c r="AU474" s="50">
        <f t="shared" si="334"/>
        <v>0</v>
      </c>
    </row>
    <row r="475" spans="1:47">
      <c r="A475" s="38" t="str">
        <f t="shared" si="328"/>
        <v>2X-</v>
      </c>
      <c r="B475" s="38" t="s">
        <v>864</v>
      </c>
      <c r="C475" s="38" t="str">
        <f t="shared" si="332"/>
        <v>Land Disposal</v>
      </c>
      <c r="D475" s="186">
        <f>GHGEsc</f>
        <v>0.02</v>
      </c>
      <c r="E475" s="325"/>
      <c r="G475" s="36" t="s">
        <v>865</v>
      </c>
      <c r="I475" s="39"/>
      <c r="K475" s="39"/>
      <c r="L475" s="43" t="s">
        <v>866</v>
      </c>
      <c r="N475" s="70">
        <f ca="1">SUMIFS(OFFSET(Assumptions!$I$90,0,MATCH($A475,Configurations,0)-1,COUNT(Assumptions!$A$90:$A$183),1),Assumptions!$D$90:$D$183,$B475&amp;$C475)</f>
        <v>0</v>
      </c>
      <c r="O475" s="313"/>
      <c r="P475" s="323"/>
      <c r="Q475" s="313"/>
      <c r="R475" s="50">
        <f t="shared" ref="R475:AU475" ca="1" si="335">IF(OR(R$99&lt;InServiceYr,R$99&gt;(InServiceYr+analysis_period-1)),0,IF($P475=0,$N475,$P475)*R$513)</f>
        <v>0</v>
      </c>
      <c r="S475" s="50">
        <f t="shared" ca="1" si="335"/>
        <v>0</v>
      </c>
      <c r="T475" s="50">
        <f t="shared" ca="1" si="335"/>
        <v>0</v>
      </c>
      <c r="U475" s="50">
        <f t="shared" ca="1" si="335"/>
        <v>0</v>
      </c>
      <c r="V475" s="50">
        <f t="shared" ca="1" si="335"/>
        <v>0</v>
      </c>
      <c r="W475" s="50">
        <f t="shared" ca="1" si="335"/>
        <v>0</v>
      </c>
      <c r="X475" s="50">
        <f t="shared" ca="1" si="335"/>
        <v>0</v>
      </c>
      <c r="Y475" s="50">
        <f t="shared" ca="1" si="335"/>
        <v>0</v>
      </c>
      <c r="Z475" s="50">
        <f t="shared" ca="1" si="335"/>
        <v>0</v>
      </c>
      <c r="AA475" s="50">
        <f t="shared" ca="1" si="335"/>
        <v>0</v>
      </c>
      <c r="AB475" s="50">
        <f t="shared" ca="1" si="335"/>
        <v>0</v>
      </c>
      <c r="AC475" s="50">
        <f t="shared" ca="1" si="335"/>
        <v>0</v>
      </c>
      <c r="AD475" s="50">
        <f t="shared" ca="1" si="335"/>
        <v>0</v>
      </c>
      <c r="AE475" s="50">
        <f t="shared" ca="1" si="335"/>
        <v>0</v>
      </c>
      <c r="AF475" s="50">
        <f t="shared" ca="1" si="335"/>
        <v>0</v>
      </c>
      <c r="AG475" s="50">
        <f t="shared" ca="1" si="335"/>
        <v>0</v>
      </c>
      <c r="AH475" s="50">
        <f t="shared" ca="1" si="335"/>
        <v>0</v>
      </c>
      <c r="AI475" s="50">
        <f t="shared" ca="1" si="335"/>
        <v>0</v>
      </c>
      <c r="AJ475" s="50">
        <f t="shared" ca="1" si="335"/>
        <v>0</v>
      </c>
      <c r="AK475" s="50">
        <f t="shared" ca="1" si="335"/>
        <v>0</v>
      </c>
      <c r="AL475" s="50">
        <f t="shared" si="335"/>
        <v>0</v>
      </c>
      <c r="AM475" s="50">
        <f t="shared" si="335"/>
        <v>0</v>
      </c>
      <c r="AN475" s="50">
        <f t="shared" si="335"/>
        <v>0</v>
      </c>
      <c r="AO475" s="50">
        <f t="shared" si="335"/>
        <v>0</v>
      </c>
      <c r="AP475" s="50">
        <f t="shared" si="335"/>
        <v>0</v>
      </c>
      <c r="AQ475" s="50">
        <f t="shared" si="335"/>
        <v>0</v>
      </c>
      <c r="AR475" s="50">
        <f t="shared" si="335"/>
        <v>0</v>
      </c>
      <c r="AS475" s="50">
        <f t="shared" si="335"/>
        <v>0</v>
      </c>
      <c r="AT475" s="50">
        <f t="shared" si="335"/>
        <v>0</v>
      </c>
      <c r="AU475" s="50">
        <f t="shared" si="335"/>
        <v>0</v>
      </c>
    </row>
    <row r="476" spans="1:47">
      <c r="A476" s="38" t="str">
        <f t="shared" si="328"/>
        <v>2X-</v>
      </c>
      <c r="B476" s="38" t="s">
        <v>273</v>
      </c>
      <c r="C476" s="38" t="str">
        <f>C474</f>
        <v>Land Disposal</v>
      </c>
      <c r="D476" s="186">
        <f>LaborEsc</f>
        <v>0.02</v>
      </c>
      <c r="E476" s="325"/>
      <c r="G476" s="36" t="s">
        <v>291</v>
      </c>
      <c r="I476" s="39"/>
      <c r="K476" s="39"/>
      <c r="L476" s="43" t="str">
        <f>"["&amp;CostBaseYr&amp;" $]"</f>
        <v>[2013 $]</v>
      </c>
      <c r="N476" s="70">
        <f ca="1">SUMIFS(OFFSET(Assumptions!$I$90,0,MATCH($A476,Configurations,0)-1,COUNT(Assumptions!$A$90:$A$183),1),Assumptions!$D$90:$D$183,$B476&amp;$C476)</f>
        <v>0</v>
      </c>
      <c r="O476" s="313"/>
      <c r="P476" s="323"/>
      <c r="Q476" s="313"/>
      <c r="R476" s="50">
        <f t="shared" ref="R476:AU476" ca="1" si="336">IF(OR(R$99&lt;InServiceYr,R$99&gt;(InServiceYr+analysis_period-1)),0,IF($P476=0,$N476,$P476)*(1+$D476)^(R$99-CostBaseYr))*R$509</f>
        <v>0</v>
      </c>
      <c r="S476" s="50">
        <f t="shared" ca="1" si="336"/>
        <v>0</v>
      </c>
      <c r="T476" s="50">
        <f t="shared" ca="1" si="336"/>
        <v>0</v>
      </c>
      <c r="U476" s="50">
        <f t="shared" ca="1" si="336"/>
        <v>0</v>
      </c>
      <c r="V476" s="50">
        <f t="shared" ca="1" si="336"/>
        <v>0</v>
      </c>
      <c r="W476" s="50">
        <f t="shared" ca="1" si="336"/>
        <v>0</v>
      </c>
      <c r="X476" s="50">
        <f t="shared" ca="1" si="336"/>
        <v>0</v>
      </c>
      <c r="Y476" s="50">
        <f t="shared" ca="1" si="336"/>
        <v>0</v>
      </c>
      <c r="Z476" s="50">
        <f t="shared" ca="1" si="336"/>
        <v>0</v>
      </c>
      <c r="AA476" s="50">
        <f t="shared" ca="1" si="336"/>
        <v>0</v>
      </c>
      <c r="AB476" s="50">
        <f t="shared" ca="1" si="336"/>
        <v>0</v>
      </c>
      <c r="AC476" s="50">
        <f t="shared" ca="1" si="336"/>
        <v>0</v>
      </c>
      <c r="AD476" s="50">
        <f t="shared" ca="1" si="336"/>
        <v>0</v>
      </c>
      <c r="AE476" s="50">
        <f t="shared" ca="1" si="336"/>
        <v>0</v>
      </c>
      <c r="AF476" s="50">
        <f t="shared" ca="1" si="336"/>
        <v>0</v>
      </c>
      <c r="AG476" s="50">
        <f t="shared" ca="1" si="336"/>
        <v>0</v>
      </c>
      <c r="AH476" s="50">
        <f t="shared" ca="1" si="336"/>
        <v>0</v>
      </c>
      <c r="AI476" s="50">
        <f t="shared" ca="1" si="336"/>
        <v>0</v>
      </c>
      <c r="AJ476" s="50">
        <f t="shared" ca="1" si="336"/>
        <v>0</v>
      </c>
      <c r="AK476" s="50">
        <f t="shared" ca="1" si="336"/>
        <v>0</v>
      </c>
      <c r="AL476" s="50">
        <f t="shared" si="336"/>
        <v>0</v>
      </c>
      <c r="AM476" s="50">
        <f t="shared" si="336"/>
        <v>0</v>
      </c>
      <c r="AN476" s="50">
        <f t="shared" si="336"/>
        <v>0</v>
      </c>
      <c r="AO476" s="50">
        <f t="shared" si="336"/>
        <v>0</v>
      </c>
      <c r="AP476" s="50">
        <f t="shared" si="336"/>
        <v>0</v>
      </c>
      <c r="AQ476" s="50">
        <f t="shared" si="336"/>
        <v>0</v>
      </c>
      <c r="AR476" s="50">
        <f t="shared" si="336"/>
        <v>0</v>
      </c>
      <c r="AS476" s="50">
        <f t="shared" si="336"/>
        <v>0</v>
      </c>
      <c r="AT476" s="50">
        <f t="shared" si="336"/>
        <v>0</v>
      </c>
      <c r="AU476" s="50">
        <f t="shared" si="336"/>
        <v>0</v>
      </c>
    </row>
    <row r="477" spans="1:47">
      <c r="D477" s="186"/>
      <c r="E477" s="325"/>
      <c r="G477" s="39" t="s">
        <v>304</v>
      </c>
      <c r="I477" s="39"/>
      <c r="K477" s="39"/>
      <c r="L477" s="43"/>
      <c r="N477" s="70"/>
      <c r="O477" s="313"/>
      <c r="P477" s="70"/>
      <c r="Q477" s="313"/>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row>
    <row r="478" spans="1:47">
      <c r="A478" s="38" t="str">
        <f>$J$4&amp;"-"</f>
        <v>2X-</v>
      </c>
      <c r="B478" s="38" t="s">
        <v>265</v>
      </c>
      <c r="C478" s="38" t="str">
        <f>C469</f>
        <v>Land Disposal</v>
      </c>
      <c r="D478" s="186"/>
      <c r="E478" s="325"/>
      <c r="G478" s="36" t="s">
        <v>108</v>
      </c>
      <c r="I478" s="39"/>
      <c r="K478" s="39"/>
      <c r="L478" s="43" t="s">
        <v>293</v>
      </c>
      <c r="N478" s="70">
        <f ca="1">SUMIFS(OFFSET(Assumptions!$I$90,0,MATCH($A478,Configurations,0)-1,COUNT(Assumptions!$A$90:$A$183),1),Assumptions!$D$90:$D$183,$B478&amp;$C478)</f>
        <v>0</v>
      </c>
      <c r="O478" s="313"/>
      <c r="P478" s="323"/>
      <c r="Q478" s="313"/>
      <c r="R478" s="50">
        <f t="shared" ref="R478:AU478" ca="1" si="337">IF(OR(R$99&lt;InServiceYr,R$99&gt;(InServiceYr+analysis_period-1)),0,IF($P478=0,$N478,$P478)*R$501)</f>
        <v>0</v>
      </c>
      <c r="S478" s="50">
        <f t="shared" ca="1" si="337"/>
        <v>0</v>
      </c>
      <c r="T478" s="50">
        <f t="shared" ca="1" si="337"/>
        <v>0</v>
      </c>
      <c r="U478" s="50">
        <f t="shared" ca="1" si="337"/>
        <v>0</v>
      </c>
      <c r="V478" s="50">
        <f t="shared" ca="1" si="337"/>
        <v>0</v>
      </c>
      <c r="W478" s="50">
        <f t="shared" ca="1" si="337"/>
        <v>0</v>
      </c>
      <c r="X478" s="50">
        <f t="shared" ca="1" si="337"/>
        <v>0</v>
      </c>
      <c r="Y478" s="50">
        <f t="shared" ca="1" si="337"/>
        <v>0</v>
      </c>
      <c r="Z478" s="50">
        <f t="shared" ca="1" si="337"/>
        <v>0</v>
      </c>
      <c r="AA478" s="50">
        <f t="shared" ca="1" si="337"/>
        <v>0</v>
      </c>
      <c r="AB478" s="50">
        <f t="shared" ca="1" si="337"/>
        <v>0</v>
      </c>
      <c r="AC478" s="50">
        <f t="shared" ca="1" si="337"/>
        <v>0</v>
      </c>
      <c r="AD478" s="50">
        <f t="shared" ca="1" si="337"/>
        <v>0</v>
      </c>
      <c r="AE478" s="50">
        <f t="shared" ca="1" si="337"/>
        <v>0</v>
      </c>
      <c r="AF478" s="50">
        <f t="shared" ca="1" si="337"/>
        <v>0</v>
      </c>
      <c r="AG478" s="50">
        <f t="shared" ca="1" si="337"/>
        <v>0</v>
      </c>
      <c r="AH478" s="50">
        <f t="shared" ca="1" si="337"/>
        <v>0</v>
      </c>
      <c r="AI478" s="50">
        <f t="shared" ca="1" si="337"/>
        <v>0</v>
      </c>
      <c r="AJ478" s="50">
        <f t="shared" ca="1" si="337"/>
        <v>0</v>
      </c>
      <c r="AK478" s="50">
        <f t="shared" ca="1" si="337"/>
        <v>0</v>
      </c>
      <c r="AL478" s="50">
        <f t="shared" si="337"/>
        <v>0</v>
      </c>
      <c r="AM478" s="50">
        <f t="shared" si="337"/>
        <v>0</v>
      </c>
      <c r="AN478" s="50">
        <f t="shared" si="337"/>
        <v>0</v>
      </c>
      <c r="AO478" s="50">
        <f t="shared" si="337"/>
        <v>0</v>
      </c>
      <c r="AP478" s="50">
        <f t="shared" si="337"/>
        <v>0</v>
      </c>
      <c r="AQ478" s="50">
        <f t="shared" si="337"/>
        <v>0</v>
      </c>
      <c r="AR478" s="50">
        <f t="shared" si="337"/>
        <v>0</v>
      </c>
      <c r="AS478" s="50">
        <f t="shared" si="337"/>
        <v>0</v>
      </c>
      <c r="AT478" s="50">
        <f t="shared" si="337"/>
        <v>0</v>
      </c>
      <c r="AU478" s="50">
        <f t="shared" si="337"/>
        <v>0</v>
      </c>
    </row>
    <row r="479" spans="1:47">
      <c r="A479" s="38" t="str">
        <f>$J$4&amp;"-"</f>
        <v>2X-</v>
      </c>
      <c r="B479" s="38" t="s">
        <v>289</v>
      </c>
      <c r="C479" s="38" t="str">
        <f>C469</f>
        <v>Land Disposal</v>
      </c>
      <c r="D479" s="186">
        <f>LaborEsc</f>
        <v>0.02</v>
      </c>
      <c r="E479" s="325"/>
      <c r="G479" s="36" t="s">
        <v>292</v>
      </c>
      <c r="I479" s="39"/>
      <c r="K479" s="39"/>
      <c r="L479" s="43" t="str">
        <f>"["&amp;CostBaseYr&amp;" $]"</f>
        <v>[2013 $]</v>
      </c>
      <c r="N479" s="70">
        <f ca="1">SUMIFS(OFFSET(Assumptions!$I$90,0,MATCH($A479,Configurations,0)-1,COUNT(Assumptions!$A$90:$A$183),1),Assumptions!$D$90:$D$183,$B479&amp;$C479)</f>
        <v>0</v>
      </c>
      <c r="O479" s="313"/>
      <c r="P479" s="323"/>
      <c r="Q479" s="313"/>
      <c r="R479" s="50">
        <f t="shared" ref="R479:AU479" ca="1" si="338">IF(OR(R$99&lt;InServiceYr,R$99&gt;(InServiceYr+analysis_period-1)),0,IF($P479=0,$N479,$P479)*(1+$D479)^(R$99-CostBaseYr))</f>
        <v>0</v>
      </c>
      <c r="S479" s="50">
        <f t="shared" ca="1" si="338"/>
        <v>0</v>
      </c>
      <c r="T479" s="50">
        <f t="shared" ca="1" si="338"/>
        <v>0</v>
      </c>
      <c r="U479" s="50">
        <f t="shared" ca="1" si="338"/>
        <v>0</v>
      </c>
      <c r="V479" s="50">
        <f t="shared" ca="1" si="338"/>
        <v>0</v>
      </c>
      <c r="W479" s="50">
        <f t="shared" ca="1" si="338"/>
        <v>0</v>
      </c>
      <c r="X479" s="50">
        <f t="shared" ca="1" si="338"/>
        <v>0</v>
      </c>
      <c r="Y479" s="50">
        <f t="shared" ca="1" si="338"/>
        <v>0</v>
      </c>
      <c r="Z479" s="50">
        <f t="shared" ca="1" si="338"/>
        <v>0</v>
      </c>
      <c r="AA479" s="50">
        <f t="shared" ca="1" si="338"/>
        <v>0</v>
      </c>
      <c r="AB479" s="50">
        <f t="shared" ca="1" si="338"/>
        <v>0</v>
      </c>
      <c r="AC479" s="50">
        <f t="shared" ca="1" si="338"/>
        <v>0</v>
      </c>
      <c r="AD479" s="50">
        <f t="shared" ca="1" si="338"/>
        <v>0</v>
      </c>
      <c r="AE479" s="50">
        <f t="shared" ca="1" si="338"/>
        <v>0</v>
      </c>
      <c r="AF479" s="50">
        <f t="shared" ca="1" si="338"/>
        <v>0</v>
      </c>
      <c r="AG479" s="50">
        <f t="shared" ca="1" si="338"/>
        <v>0</v>
      </c>
      <c r="AH479" s="50">
        <f t="shared" ca="1" si="338"/>
        <v>0</v>
      </c>
      <c r="AI479" s="50">
        <f t="shared" ca="1" si="338"/>
        <v>0</v>
      </c>
      <c r="AJ479" s="50">
        <f t="shared" ca="1" si="338"/>
        <v>0</v>
      </c>
      <c r="AK479" s="50">
        <f t="shared" ca="1" si="338"/>
        <v>0</v>
      </c>
      <c r="AL479" s="50">
        <f t="shared" si="338"/>
        <v>0</v>
      </c>
      <c r="AM479" s="50">
        <f t="shared" si="338"/>
        <v>0</v>
      </c>
      <c r="AN479" s="50">
        <f t="shared" si="338"/>
        <v>0</v>
      </c>
      <c r="AO479" s="50">
        <f t="shared" si="338"/>
        <v>0</v>
      </c>
      <c r="AP479" s="50">
        <f t="shared" si="338"/>
        <v>0</v>
      </c>
      <c r="AQ479" s="50">
        <f t="shared" si="338"/>
        <v>0</v>
      </c>
      <c r="AR479" s="50">
        <f t="shared" si="338"/>
        <v>0</v>
      </c>
      <c r="AS479" s="50">
        <f t="shared" si="338"/>
        <v>0</v>
      </c>
      <c r="AT479" s="50">
        <f t="shared" si="338"/>
        <v>0</v>
      </c>
      <c r="AU479" s="50">
        <f t="shared" si="338"/>
        <v>0</v>
      </c>
    </row>
    <row r="480" spans="1:47" s="60" customFormat="1">
      <c r="D480" s="187"/>
      <c r="E480" s="325"/>
      <c r="G480" s="39" t="s">
        <v>305</v>
      </c>
      <c r="I480" s="39"/>
      <c r="K480" s="39"/>
      <c r="L480" s="174"/>
      <c r="N480" s="188"/>
      <c r="O480" s="314"/>
      <c r="P480" s="185"/>
      <c r="Q480" s="314"/>
      <c r="R480" s="185">
        <f ca="1">SUM(R469:R476)-SUM(R478:R479)</f>
        <v>0</v>
      </c>
      <c r="S480" s="185">
        <f t="shared" ref="S480:AU480" ca="1" si="339">SUM(S469:S476)-SUM(S478:S479)</f>
        <v>0</v>
      </c>
      <c r="T480" s="185">
        <f t="shared" ca="1" si="339"/>
        <v>0</v>
      </c>
      <c r="U480" s="185">
        <f t="shared" ca="1" si="339"/>
        <v>0</v>
      </c>
      <c r="V480" s="185">
        <f t="shared" ca="1" si="339"/>
        <v>0</v>
      </c>
      <c r="W480" s="185">
        <f t="shared" ca="1" si="339"/>
        <v>0</v>
      </c>
      <c r="X480" s="185">
        <f t="shared" ca="1" si="339"/>
        <v>0</v>
      </c>
      <c r="Y480" s="185">
        <f t="shared" ca="1" si="339"/>
        <v>0</v>
      </c>
      <c r="Z480" s="185">
        <f t="shared" ca="1" si="339"/>
        <v>0</v>
      </c>
      <c r="AA480" s="185">
        <f t="shared" ca="1" si="339"/>
        <v>0</v>
      </c>
      <c r="AB480" s="185">
        <f t="shared" ca="1" si="339"/>
        <v>0</v>
      </c>
      <c r="AC480" s="185">
        <f t="shared" ca="1" si="339"/>
        <v>0</v>
      </c>
      <c r="AD480" s="185">
        <f t="shared" ca="1" si="339"/>
        <v>0</v>
      </c>
      <c r="AE480" s="185">
        <f t="shared" ca="1" si="339"/>
        <v>0</v>
      </c>
      <c r="AF480" s="185">
        <f t="shared" ca="1" si="339"/>
        <v>0</v>
      </c>
      <c r="AG480" s="185">
        <f t="shared" ca="1" si="339"/>
        <v>0</v>
      </c>
      <c r="AH480" s="185">
        <f t="shared" ca="1" si="339"/>
        <v>0</v>
      </c>
      <c r="AI480" s="185">
        <f t="shared" ca="1" si="339"/>
        <v>0</v>
      </c>
      <c r="AJ480" s="185">
        <f t="shared" ca="1" si="339"/>
        <v>0</v>
      </c>
      <c r="AK480" s="185">
        <f t="shared" ca="1" si="339"/>
        <v>0</v>
      </c>
      <c r="AL480" s="185">
        <f t="shared" si="339"/>
        <v>0</v>
      </c>
      <c r="AM480" s="185">
        <f t="shared" si="339"/>
        <v>0</v>
      </c>
      <c r="AN480" s="185">
        <f t="shared" si="339"/>
        <v>0</v>
      </c>
      <c r="AO480" s="185">
        <f t="shared" si="339"/>
        <v>0</v>
      </c>
      <c r="AP480" s="185">
        <f t="shared" si="339"/>
        <v>0</v>
      </c>
      <c r="AQ480" s="185">
        <f t="shared" si="339"/>
        <v>0</v>
      </c>
      <c r="AR480" s="185">
        <f t="shared" si="339"/>
        <v>0</v>
      </c>
      <c r="AS480" s="185">
        <f t="shared" si="339"/>
        <v>0</v>
      </c>
      <c r="AT480" s="185">
        <f t="shared" si="339"/>
        <v>0</v>
      </c>
      <c r="AU480" s="185">
        <f t="shared" si="339"/>
        <v>0</v>
      </c>
    </row>
    <row r="481" spans="1:47">
      <c r="E481" s="36"/>
      <c r="G481" s="39"/>
      <c r="H481" s="39"/>
      <c r="I481" s="39"/>
      <c r="J481" s="39"/>
      <c r="K481" s="39"/>
    </row>
    <row r="482" spans="1:47">
      <c r="E482" s="327"/>
      <c r="F482" s="28"/>
      <c r="G482" s="324" t="str">
        <f>C485&amp;" O&amp;M"</f>
        <v>General O&amp;M O&amp;M</v>
      </c>
      <c r="H482" s="324"/>
      <c r="I482" s="324"/>
      <c r="J482" s="324"/>
      <c r="K482" s="324"/>
      <c r="L482" s="405" t="s">
        <v>79</v>
      </c>
      <c r="M482" s="256"/>
      <c r="N482" s="325" t="s">
        <v>490</v>
      </c>
      <c r="O482" s="311"/>
      <c r="P482" s="325" t="s">
        <v>491</v>
      </c>
      <c r="Q482" s="310"/>
      <c r="R482" s="325">
        <f>R$8</f>
        <v>2014</v>
      </c>
      <c r="S482" s="325">
        <f t="shared" ref="S482:AU482" si="340">S$8</f>
        <v>2015</v>
      </c>
      <c r="T482" s="325">
        <f t="shared" si="340"/>
        <v>2016</v>
      </c>
      <c r="U482" s="325">
        <f t="shared" si="340"/>
        <v>2017</v>
      </c>
      <c r="V482" s="325">
        <f t="shared" si="340"/>
        <v>2018</v>
      </c>
      <c r="W482" s="325">
        <f t="shared" si="340"/>
        <v>2019</v>
      </c>
      <c r="X482" s="325">
        <f t="shared" si="340"/>
        <v>2020</v>
      </c>
      <c r="Y482" s="325">
        <f t="shared" si="340"/>
        <v>2021</v>
      </c>
      <c r="Z482" s="325">
        <f t="shared" si="340"/>
        <v>2022</v>
      </c>
      <c r="AA482" s="325">
        <f t="shared" si="340"/>
        <v>2023</v>
      </c>
      <c r="AB482" s="325">
        <f t="shared" si="340"/>
        <v>2024</v>
      </c>
      <c r="AC482" s="325">
        <f t="shared" si="340"/>
        <v>2025</v>
      </c>
      <c r="AD482" s="325">
        <f t="shared" si="340"/>
        <v>2026</v>
      </c>
      <c r="AE482" s="325">
        <f t="shared" si="340"/>
        <v>2027</v>
      </c>
      <c r="AF482" s="325">
        <f t="shared" si="340"/>
        <v>2028</v>
      </c>
      <c r="AG482" s="325">
        <f t="shared" si="340"/>
        <v>2029</v>
      </c>
      <c r="AH482" s="325">
        <f t="shared" si="340"/>
        <v>2030</v>
      </c>
      <c r="AI482" s="325">
        <f t="shared" si="340"/>
        <v>2031</v>
      </c>
      <c r="AJ482" s="325">
        <f t="shared" si="340"/>
        <v>2032</v>
      </c>
      <c r="AK482" s="325">
        <f t="shared" si="340"/>
        <v>2033</v>
      </c>
      <c r="AL482" s="325">
        <f t="shared" si="340"/>
        <v>2034</v>
      </c>
      <c r="AM482" s="325">
        <f t="shared" si="340"/>
        <v>2035</v>
      </c>
      <c r="AN482" s="325">
        <f t="shared" si="340"/>
        <v>2036</v>
      </c>
      <c r="AO482" s="325">
        <f t="shared" si="340"/>
        <v>2037</v>
      </c>
      <c r="AP482" s="325">
        <f t="shared" si="340"/>
        <v>2038</v>
      </c>
      <c r="AQ482" s="325">
        <f t="shared" si="340"/>
        <v>2039</v>
      </c>
      <c r="AR482" s="325">
        <f t="shared" si="340"/>
        <v>2040</v>
      </c>
      <c r="AS482" s="325">
        <f t="shared" si="340"/>
        <v>2041</v>
      </c>
      <c r="AT482" s="325">
        <f t="shared" si="340"/>
        <v>2042</v>
      </c>
      <c r="AU482" s="325">
        <f t="shared" si="340"/>
        <v>2043</v>
      </c>
    </row>
    <row r="483" spans="1:47">
      <c r="E483" s="325"/>
      <c r="G483" s="39"/>
      <c r="H483" s="39"/>
      <c r="I483" s="39"/>
      <c r="J483" s="39"/>
      <c r="K483" s="39"/>
    </row>
    <row r="484" spans="1:47">
      <c r="E484" s="325"/>
      <c r="G484" s="39" t="s">
        <v>23</v>
      </c>
      <c r="H484" s="39"/>
      <c r="I484" s="39"/>
      <c r="J484" s="39"/>
      <c r="K484" s="39"/>
    </row>
    <row r="485" spans="1:47">
      <c r="A485" s="38" t="str">
        <f t="shared" ref="A485:A492" si="341">$J$4&amp;"-"</f>
        <v>2X-</v>
      </c>
      <c r="B485" s="38" t="s">
        <v>262</v>
      </c>
      <c r="C485" s="38" t="s">
        <v>308</v>
      </c>
      <c r="D485" s="186">
        <f>LaborEsc</f>
        <v>0.02</v>
      </c>
      <c r="E485" s="325"/>
      <c r="G485" s="36" t="s">
        <v>125</v>
      </c>
      <c r="I485" s="39"/>
      <c r="K485" s="39"/>
      <c r="L485" s="43" t="s">
        <v>266</v>
      </c>
      <c r="N485" s="70">
        <f ca="1">SUMIFS(OFFSET(Assumptions!$I$90,0,MATCH($A485,Configurations,0)-1,COUNT(Assumptions!$A$90:$A$183),1),Assumptions!$D$90:$D$183,$B485&amp;$C485)</f>
        <v>0</v>
      </c>
      <c r="O485" s="313"/>
      <c r="P485" s="323"/>
      <c r="Q485" s="313"/>
      <c r="R485" s="50">
        <f t="shared" ref="R485:AU485" ca="1" si="342">IF(OR(R$99&lt;InServiceYr,R$99&gt;(InServiceYr+analysis_period-1)),0,IF($P485=0,$N485,$P485)*LaborCost*(1+$D485)^(R$99-CostBaseYr))</f>
        <v>0</v>
      </c>
      <c r="S485" s="50">
        <f t="shared" ca="1" si="342"/>
        <v>0</v>
      </c>
      <c r="T485" s="50">
        <f t="shared" ca="1" si="342"/>
        <v>0</v>
      </c>
      <c r="U485" s="50">
        <f t="shared" ca="1" si="342"/>
        <v>0</v>
      </c>
      <c r="V485" s="50">
        <f t="shared" ca="1" si="342"/>
        <v>0</v>
      </c>
      <c r="W485" s="50">
        <f t="shared" ca="1" si="342"/>
        <v>0</v>
      </c>
      <c r="X485" s="50">
        <f t="shared" ca="1" si="342"/>
        <v>0</v>
      </c>
      <c r="Y485" s="50">
        <f t="shared" ca="1" si="342"/>
        <v>0</v>
      </c>
      <c r="Z485" s="50">
        <f t="shared" ca="1" si="342"/>
        <v>0</v>
      </c>
      <c r="AA485" s="50">
        <f t="shared" ca="1" si="342"/>
        <v>0</v>
      </c>
      <c r="AB485" s="50">
        <f t="shared" ca="1" si="342"/>
        <v>0</v>
      </c>
      <c r="AC485" s="50">
        <f t="shared" ca="1" si="342"/>
        <v>0</v>
      </c>
      <c r="AD485" s="50">
        <f t="shared" ca="1" si="342"/>
        <v>0</v>
      </c>
      <c r="AE485" s="50">
        <f t="shared" ca="1" si="342"/>
        <v>0</v>
      </c>
      <c r="AF485" s="50">
        <f t="shared" ca="1" si="342"/>
        <v>0</v>
      </c>
      <c r="AG485" s="50">
        <f t="shared" ca="1" si="342"/>
        <v>0</v>
      </c>
      <c r="AH485" s="50">
        <f t="shared" ca="1" si="342"/>
        <v>0</v>
      </c>
      <c r="AI485" s="50">
        <f t="shared" ca="1" si="342"/>
        <v>0</v>
      </c>
      <c r="AJ485" s="50">
        <f t="shared" ca="1" si="342"/>
        <v>0</v>
      </c>
      <c r="AK485" s="50">
        <f t="shared" ca="1" si="342"/>
        <v>0</v>
      </c>
      <c r="AL485" s="50">
        <f t="shared" si="342"/>
        <v>0</v>
      </c>
      <c r="AM485" s="50">
        <f t="shared" si="342"/>
        <v>0</v>
      </c>
      <c r="AN485" s="50">
        <f t="shared" si="342"/>
        <v>0</v>
      </c>
      <c r="AO485" s="50">
        <f t="shared" si="342"/>
        <v>0</v>
      </c>
      <c r="AP485" s="50">
        <f t="shared" si="342"/>
        <v>0</v>
      </c>
      <c r="AQ485" s="50">
        <f t="shared" si="342"/>
        <v>0</v>
      </c>
      <c r="AR485" s="50">
        <f t="shared" si="342"/>
        <v>0</v>
      </c>
      <c r="AS485" s="50">
        <f t="shared" si="342"/>
        <v>0</v>
      </c>
      <c r="AT485" s="50">
        <f t="shared" si="342"/>
        <v>0</v>
      </c>
      <c r="AU485" s="50">
        <f t="shared" si="342"/>
        <v>0</v>
      </c>
    </row>
    <row r="486" spans="1:47">
      <c r="A486" s="38" t="str">
        <f t="shared" si="341"/>
        <v>2X-</v>
      </c>
      <c r="B486" s="38" t="s">
        <v>270</v>
      </c>
      <c r="C486" s="38" t="str">
        <f>C485</f>
        <v>General O&amp;M</v>
      </c>
      <c r="D486" s="186">
        <f>OMEsc</f>
        <v>0.02</v>
      </c>
      <c r="E486" s="325"/>
      <c r="G486" s="36" t="s">
        <v>126</v>
      </c>
      <c r="I486" s="39"/>
      <c r="K486" s="39"/>
      <c r="L486" s="43" t="str">
        <f>"["&amp;CostBaseYr&amp;" $]"</f>
        <v>[2013 $]</v>
      </c>
      <c r="N486" s="70">
        <f ca="1">SUMIFS(OFFSET(Assumptions!$I$90,0,MATCH($A486,Configurations,0)-1,COUNT(Assumptions!$A$90:$A$183),1),Assumptions!$D$90:$D$183,$B486&amp;$C486)</f>
        <v>0</v>
      </c>
      <c r="O486" s="313"/>
      <c r="P486" s="323"/>
      <c r="Q486" s="313"/>
      <c r="R486" s="50">
        <f t="shared" ref="R486:AG488" ca="1" si="343">IF(OR(R$99&lt;InServiceYr,R$99&gt;(InServiceYr+analysis_period-1)),0,IF($P486=0,$N486,$P486)*(1+$D486)^(R$99-CostBaseYr))</f>
        <v>0</v>
      </c>
      <c r="S486" s="50">
        <f t="shared" ca="1" si="343"/>
        <v>0</v>
      </c>
      <c r="T486" s="50">
        <f t="shared" ca="1" si="343"/>
        <v>0</v>
      </c>
      <c r="U486" s="50">
        <f t="shared" ca="1" si="343"/>
        <v>0</v>
      </c>
      <c r="V486" s="50">
        <f t="shared" ca="1" si="343"/>
        <v>0</v>
      </c>
      <c r="W486" s="50">
        <f t="shared" ca="1" si="343"/>
        <v>0</v>
      </c>
      <c r="X486" s="50">
        <f t="shared" ca="1" si="343"/>
        <v>0</v>
      </c>
      <c r="Y486" s="50">
        <f t="shared" ca="1" si="343"/>
        <v>0</v>
      </c>
      <c r="Z486" s="50">
        <f t="shared" ca="1" si="343"/>
        <v>0</v>
      </c>
      <c r="AA486" s="50">
        <f t="shared" ca="1" si="343"/>
        <v>0</v>
      </c>
      <c r="AB486" s="50">
        <f t="shared" ca="1" si="343"/>
        <v>0</v>
      </c>
      <c r="AC486" s="50">
        <f t="shared" ca="1" si="343"/>
        <v>0</v>
      </c>
      <c r="AD486" s="50">
        <f t="shared" ca="1" si="343"/>
        <v>0</v>
      </c>
      <c r="AE486" s="50">
        <f t="shared" ca="1" si="343"/>
        <v>0</v>
      </c>
      <c r="AF486" s="50">
        <f t="shared" ca="1" si="343"/>
        <v>0</v>
      </c>
      <c r="AG486" s="50">
        <f t="shared" ca="1" si="343"/>
        <v>0</v>
      </c>
      <c r="AH486" s="50">
        <f t="shared" ref="S486:AU488" ca="1" si="344">IF(OR(AH$99&lt;InServiceYr,AH$99&gt;(InServiceYr+analysis_period-1)),0,IF($P486=0,$N486,$P486)*(1+$D486)^(AH$99-CostBaseYr))</f>
        <v>0</v>
      </c>
      <c r="AI486" s="50">
        <f t="shared" ca="1" si="344"/>
        <v>0</v>
      </c>
      <c r="AJ486" s="50">
        <f t="shared" ca="1" si="344"/>
        <v>0</v>
      </c>
      <c r="AK486" s="50">
        <f t="shared" ca="1" si="344"/>
        <v>0</v>
      </c>
      <c r="AL486" s="50">
        <f t="shared" si="344"/>
        <v>0</v>
      </c>
      <c r="AM486" s="50">
        <f t="shared" si="344"/>
        <v>0</v>
      </c>
      <c r="AN486" s="50">
        <f t="shared" si="344"/>
        <v>0</v>
      </c>
      <c r="AO486" s="50">
        <f t="shared" si="344"/>
        <v>0</v>
      </c>
      <c r="AP486" s="50">
        <f t="shared" si="344"/>
        <v>0</v>
      </c>
      <c r="AQ486" s="50">
        <f t="shared" si="344"/>
        <v>0</v>
      </c>
      <c r="AR486" s="50">
        <f t="shared" si="344"/>
        <v>0</v>
      </c>
      <c r="AS486" s="50">
        <f t="shared" si="344"/>
        <v>0</v>
      </c>
      <c r="AT486" s="50">
        <f t="shared" si="344"/>
        <v>0</v>
      </c>
      <c r="AU486" s="50">
        <f t="shared" si="344"/>
        <v>0</v>
      </c>
    </row>
    <row r="487" spans="1:47">
      <c r="A487" s="38" t="str">
        <f t="shared" si="341"/>
        <v>2X-</v>
      </c>
      <c r="B487" s="38" t="s">
        <v>263</v>
      </c>
      <c r="C487" s="38" t="str">
        <f t="shared" ref="C487:C491" si="345">C486</f>
        <v>General O&amp;M</v>
      </c>
      <c r="D487" s="186">
        <f>OMEsc</f>
        <v>0.02</v>
      </c>
      <c r="E487" s="325"/>
      <c r="G487" s="36" t="s">
        <v>127</v>
      </c>
      <c r="I487" s="39"/>
      <c r="K487" s="39"/>
      <c r="L487" s="43" t="str">
        <f>"["&amp;CostBaseYr&amp;" $]"</f>
        <v>[2013 $]</v>
      </c>
      <c r="N487" s="70">
        <f ca="1">SUMIFS(OFFSET(Assumptions!$I$90,0,MATCH($A487,Configurations,0)-1,COUNT(Assumptions!$A$90:$A$183),1),Assumptions!$D$90:$D$183,$B487&amp;$C487)</f>
        <v>132000</v>
      </c>
      <c r="O487" s="313"/>
      <c r="P487" s="323"/>
      <c r="Q487" s="313"/>
      <c r="R487" s="50">
        <f t="shared" ca="1" si="343"/>
        <v>134640</v>
      </c>
      <c r="S487" s="50">
        <f t="shared" ca="1" si="344"/>
        <v>137332.79999999999</v>
      </c>
      <c r="T487" s="50">
        <f t="shared" ca="1" si="344"/>
        <v>140079.45599999998</v>
      </c>
      <c r="U487" s="50">
        <f t="shared" ca="1" si="344"/>
        <v>142881.04512</v>
      </c>
      <c r="V487" s="50">
        <f t="shared" ca="1" si="344"/>
        <v>145738.66602239999</v>
      </c>
      <c r="W487" s="50">
        <f t="shared" ca="1" si="344"/>
        <v>148653.439342848</v>
      </c>
      <c r="X487" s="50">
        <f t="shared" ca="1" si="344"/>
        <v>151626.50812970495</v>
      </c>
      <c r="Y487" s="50">
        <f t="shared" ca="1" si="344"/>
        <v>154659.03829229905</v>
      </c>
      <c r="Z487" s="50">
        <f t="shared" ca="1" si="344"/>
        <v>157752.21905814504</v>
      </c>
      <c r="AA487" s="50">
        <f t="shared" ca="1" si="344"/>
        <v>160907.26343930795</v>
      </c>
      <c r="AB487" s="50">
        <f t="shared" ca="1" si="344"/>
        <v>164125.40870809407</v>
      </c>
      <c r="AC487" s="50">
        <f t="shared" ca="1" si="344"/>
        <v>167407.91688225599</v>
      </c>
      <c r="AD487" s="50">
        <f t="shared" ca="1" si="344"/>
        <v>170756.07521990107</v>
      </c>
      <c r="AE487" s="50">
        <f t="shared" ca="1" si="344"/>
        <v>174171.19672429914</v>
      </c>
      <c r="AF487" s="50">
        <f t="shared" ca="1" si="344"/>
        <v>177654.62065878505</v>
      </c>
      <c r="AG487" s="50">
        <f t="shared" ca="1" si="344"/>
        <v>181207.71307196078</v>
      </c>
      <c r="AH487" s="50">
        <f t="shared" ca="1" si="344"/>
        <v>184831.86733340003</v>
      </c>
      <c r="AI487" s="50">
        <f t="shared" ca="1" si="344"/>
        <v>188528.504680068</v>
      </c>
      <c r="AJ487" s="50">
        <f t="shared" ca="1" si="344"/>
        <v>192299.07477366936</v>
      </c>
      <c r="AK487" s="50">
        <f t="shared" ca="1" si="344"/>
        <v>196145.05626914275</v>
      </c>
      <c r="AL487" s="50">
        <f t="shared" si="344"/>
        <v>0</v>
      </c>
      <c r="AM487" s="50">
        <f t="shared" si="344"/>
        <v>0</v>
      </c>
      <c r="AN487" s="50">
        <f t="shared" si="344"/>
        <v>0</v>
      </c>
      <c r="AO487" s="50">
        <f t="shared" si="344"/>
        <v>0</v>
      </c>
      <c r="AP487" s="50">
        <f t="shared" si="344"/>
        <v>0</v>
      </c>
      <c r="AQ487" s="50">
        <f t="shared" si="344"/>
        <v>0</v>
      </c>
      <c r="AR487" s="50">
        <f t="shared" si="344"/>
        <v>0</v>
      </c>
      <c r="AS487" s="50">
        <f t="shared" si="344"/>
        <v>0</v>
      </c>
      <c r="AT487" s="50">
        <f t="shared" si="344"/>
        <v>0</v>
      </c>
      <c r="AU487" s="50">
        <f t="shared" si="344"/>
        <v>0</v>
      </c>
    </row>
    <row r="488" spans="1:47">
      <c r="A488" s="38" t="str">
        <f t="shared" si="341"/>
        <v>2X-</v>
      </c>
      <c r="B488" s="38" t="s">
        <v>277</v>
      </c>
      <c r="C488" s="38" t="str">
        <f t="shared" si="345"/>
        <v>General O&amp;M</v>
      </c>
      <c r="D488" s="186">
        <f>OMEsc</f>
        <v>0.02</v>
      </c>
      <c r="E488" s="325"/>
      <c r="G488" s="36" t="s">
        <v>276</v>
      </c>
      <c r="I488" s="39"/>
      <c r="K488" s="39"/>
      <c r="L488" s="43" t="str">
        <f>"["&amp;CostBaseYr&amp;" $]"</f>
        <v>[2013 $]</v>
      </c>
      <c r="N488" s="70">
        <f ca="1">SUMIFS(OFFSET(Assumptions!$I$90,0,MATCH($A488,Configurations,0)-1,COUNT(Assumptions!$A$90:$A$183),1),Assumptions!$D$90:$D$183,$B488&amp;$C488)</f>
        <v>0</v>
      </c>
      <c r="O488" s="313"/>
      <c r="P488" s="323"/>
      <c r="Q488" s="313"/>
      <c r="R488" s="50">
        <f t="shared" ca="1" si="343"/>
        <v>0</v>
      </c>
      <c r="S488" s="50">
        <f t="shared" ca="1" si="344"/>
        <v>0</v>
      </c>
      <c r="T488" s="50">
        <f t="shared" ca="1" si="344"/>
        <v>0</v>
      </c>
      <c r="U488" s="50">
        <f t="shared" ca="1" si="344"/>
        <v>0</v>
      </c>
      <c r="V488" s="50">
        <f t="shared" ca="1" si="344"/>
        <v>0</v>
      </c>
      <c r="W488" s="50">
        <f t="shared" ca="1" si="344"/>
        <v>0</v>
      </c>
      <c r="X488" s="50">
        <f t="shared" ca="1" si="344"/>
        <v>0</v>
      </c>
      <c r="Y488" s="50">
        <f t="shared" ca="1" si="344"/>
        <v>0</v>
      </c>
      <c r="Z488" s="50">
        <f t="shared" ca="1" si="344"/>
        <v>0</v>
      </c>
      <c r="AA488" s="50">
        <f t="shared" ca="1" si="344"/>
        <v>0</v>
      </c>
      <c r="AB488" s="50">
        <f t="shared" ca="1" si="344"/>
        <v>0</v>
      </c>
      <c r="AC488" s="50">
        <f t="shared" ca="1" si="344"/>
        <v>0</v>
      </c>
      <c r="AD488" s="50">
        <f t="shared" ca="1" si="344"/>
        <v>0</v>
      </c>
      <c r="AE488" s="50">
        <f t="shared" ca="1" si="344"/>
        <v>0</v>
      </c>
      <c r="AF488" s="50">
        <f t="shared" ca="1" si="344"/>
        <v>0</v>
      </c>
      <c r="AG488" s="50">
        <f t="shared" ca="1" si="344"/>
        <v>0</v>
      </c>
      <c r="AH488" s="50">
        <f t="shared" ca="1" si="344"/>
        <v>0</v>
      </c>
      <c r="AI488" s="50">
        <f t="shared" ca="1" si="344"/>
        <v>0</v>
      </c>
      <c r="AJ488" s="50">
        <f t="shared" ca="1" si="344"/>
        <v>0</v>
      </c>
      <c r="AK488" s="50">
        <f t="shared" ca="1" si="344"/>
        <v>0</v>
      </c>
      <c r="AL488" s="50">
        <f t="shared" si="344"/>
        <v>0</v>
      </c>
      <c r="AM488" s="50">
        <f t="shared" si="344"/>
        <v>0</v>
      </c>
      <c r="AN488" s="50">
        <f t="shared" si="344"/>
        <v>0</v>
      </c>
      <c r="AO488" s="50">
        <f t="shared" si="344"/>
        <v>0</v>
      </c>
      <c r="AP488" s="50">
        <f t="shared" si="344"/>
        <v>0</v>
      </c>
      <c r="AQ488" s="50">
        <f t="shared" si="344"/>
        <v>0</v>
      </c>
      <c r="AR488" s="50">
        <f t="shared" si="344"/>
        <v>0</v>
      </c>
      <c r="AS488" s="50">
        <f t="shared" si="344"/>
        <v>0</v>
      </c>
      <c r="AT488" s="50">
        <f t="shared" si="344"/>
        <v>0</v>
      </c>
      <c r="AU488" s="50">
        <f t="shared" si="344"/>
        <v>0</v>
      </c>
    </row>
    <row r="489" spans="1:47">
      <c r="A489" s="38" t="str">
        <f t="shared" si="341"/>
        <v>2X-</v>
      </c>
      <c r="B489" s="38" t="s">
        <v>274</v>
      </c>
      <c r="C489" s="38" t="str">
        <f t="shared" si="345"/>
        <v>General O&amp;M</v>
      </c>
      <c r="D489" s="186"/>
      <c r="E489" s="325"/>
      <c r="G489" s="36" t="s">
        <v>16</v>
      </c>
      <c r="I489" s="39"/>
      <c r="K489" s="39"/>
      <c r="L489" s="43" t="s">
        <v>275</v>
      </c>
      <c r="N489" s="70">
        <f ca="1">SUMIFS(OFFSET(Assumptions!$I$90,0,MATCH($A489,Configurations,0)-1,COUNT(Assumptions!$A$90:$A$183),1),Assumptions!$D$90:$D$183,$B489&amp;$C489)</f>
        <v>0</v>
      </c>
      <c r="O489" s="313"/>
      <c r="P489" s="323"/>
      <c r="Q489" s="313"/>
      <c r="R489" s="50">
        <f t="shared" ref="R489:AU489" ca="1" si="346">IF(OR(R$99&lt;InServiceYr,R$99&gt;(InServiceYr+analysis_period-1)),0,IF($P489=0,$N489,$P489)*R$505)</f>
        <v>0</v>
      </c>
      <c r="S489" s="50">
        <f t="shared" ca="1" si="346"/>
        <v>0</v>
      </c>
      <c r="T489" s="50">
        <f t="shared" ca="1" si="346"/>
        <v>0</v>
      </c>
      <c r="U489" s="50">
        <f t="shared" ca="1" si="346"/>
        <v>0</v>
      </c>
      <c r="V489" s="50">
        <f t="shared" ca="1" si="346"/>
        <v>0</v>
      </c>
      <c r="W489" s="50">
        <f t="shared" ca="1" si="346"/>
        <v>0</v>
      </c>
      <c r="X489" s="50">
        <f t="shared" ca="1" si="346"/>
        <v>0</v>
      </c>
      <c r="Y489" s="50">
        <f t="shared" ca="1" si="346"/>
        <v>0</v>
      </c>
      <c r="Z489" s="50">
        <f t="shared" ca="1" si="346"/>
        <v>0</v>
      </c>
      <c r="AA489" s="50">
        <f t="shared" ca="1" si="346"/>
        <v>0</v>
      </c>
      <c r="AB489" s="50">
        <f t="shared" ca="1" si="346"/>
        <v>0</v>
      </c>
      <c r="AC489" s="50">
        <f t="shared" ca="1" si="346"/>
        <v>0</v>
      </c>
      <c r="AD489" s="50">
        <f t="shared" ca="1" si="346"/>
        <v>0</v>
      </c>
      <c r="AE489" s="50">
        <f t="shared" ca="1" si="346"/>
        <v>0</v>
      </c>
      <c r="AF489" s="50">
        <f t="shared" ca="1" si="346"/>
        <v>0</v>
      </c>
      <c r="AG489" s="50">
        <f t="shared" ca="1" si="346"/>
        <v>0</v>
      </c>
      <c r="AH489" s="50">
        <f t="shared" ca="1" si="346"/>
        <v>0</v>
      </c>
      <c r="AI489" s="50">
        <f t="shared" ca="1" si="346"/>
        <v>0</v>
      </c>
      <c r="AJ489" s="50">
        <f t="shared" ca="1" si="346"/>
        <v>0</v>
      </c>
      <c r="AK489" s="50">
        <f t="shared" ca="1" si="346"/>
        <v>0</v>
      </c>
      <c r="AL489" s="50">
        <f t="shared" si="346"/>
        <v>0</v>
      </c>
      <c r="AM489" s="50">
        <f t="shared" si="346"/>
        <v>0</v>
      </c>
      <c r="AN489" s="50">
        <f t="shared" si="346"/>
        <v>0</v>
      </c>
      <c r="AO489" s="50">
        <f t="shared" si="346"/>
        <v>0</v>
      </c>
      <c r="AP489" s="50">
        <f t="shared" si="346"/>
        <v>0</v>
      </c>
      <c r="AQ489" s="50">
        <f t="shared" si="346"/>
        <v>0</v>
      </c>
      <c r="AR489" s="50">
        <f t="shared" si="346"/>
        <v>0</v>
      </c>
      <c r="AS489" s="50">
        <f t="shared" si="346"/>
        <v>0</v>
      </c>
      <c r="AT489" s="50">
        <f t="shared" si="346"/>
        <v>0</v>
      </c>
      <c r="AU489" s="50">
        <f t="shared" si="346"/>
        <v>0</v>
      </c>
    </row>
    <row r="490" spans="1:47">
      <c r="A490" s="38" t="str">
        <f t="shared" si="341"/>
        <v>2X-</v>
      </c>
      <c r="B490" s="38" t="s">
        <v>257</v>
      </c>
      <c r="C490" s="38" t="str">
        <f t="shared" si="345"/>
        <v>General O&amp;M</v>
      </c>
      <c r="D490" s="186"/>
      <c r="E490" s="325"/>
      <c r="G490" s="36" t="s">
        <v>284</v>
      </c>
      <c r="I490" s="39"/>
      <c r="K490" s="39"/>
      <c r="L490" s="43" t="s">
        <v>293</v>
      </c>
      <c r="N490" s="70">
        <f ca="1">SUMIFS(OFFSET(Assumptions!$I$90,0,MATCH($A490,Configurations,0)-1,COUNT(Assumptions!$A$90:$A$183),1),Assumptions!$D$90:$D$183,$B490&amp;$C490)</f>
        <v>0</v>
      </c>
      <c r="O490" s="313"/>
      <c r="P490" s="323"/>
      <c r="Q490" s="313"/>
      <c r="R490" s="50">
        <f t="shared" ref="R490:AU490" ca="1" si="347">IF(OR(R$99&lt;InServiceYr,R$99&gt;(InServiceYr+analysis_period-1)),0,IF($P490=0,$N490,$P490)*R$501)</f>
        <v>0</v>
      </c>
      <c r="S490" s="50">
        <f t="shared" ca="1" si="347"/>
        <v>0</v>
      </c>
      <c r="T490" s="50">
        <f t="shared" ca="1" si="347"/>
        <v>0</v>
      </c>
      <c r="U490" s="50">
        <f t="shared" ca="1" si="347"/>
        <v>0</v>
      </c>
      <c r="V490" s="50">
        <f t="shared" ca="1" si="347"/>
        <v>0</v>
      </c>
      <c r="W490" s="50">
        <f t="shared" ca="1" si="347"/>
        <v>0</v>
      </c>
      <c r="X490" s="50">
        <f t="shared" ca="1" si="347"/>
        <v>0</v>
      </c>
      <c r="Y490" s="50">
        <f t="shared" ca="1" si="347"/>
        <v>0</v>
      </c>
      <c r="Z490" s="50">
        <f t="shared" ca="1" si="347"/>
        <v>0</v>
      </c>
      <c r="AA490" s="50">
        <f t="shared" ca="1" si="347"/>
        <v>0</v>
      </c>
      <c r="AB490" s="50">
        <f t="shared" ca="1" si="347"/>
        <v>0</v>
      </c>
      <c r="AC490" s="50">
        <f t="shared" ca="1" si="347"/>
        <v>0</v>
      </c>
      <c r="AD490" s="50">
        <f t="shared" ca="1" si="347"/>
        <v>0</v>
      </c>
      <c r="AE490" s="50">
        <f t="shared" ca="1" si="347"/>
        <v>0</v>
      </c>
      <c r="AF490" s="50">
        <f t="shared" ca="1" si="347"/>
        <v>0</v>
      </c>
      <c r="AG490" s="50">
        <f t="shared" ca="1" si="347"/>
        <v>0</v>
      </c>
      <c r="AH490" s="50">
        <f t="shared" ca="1" si="347"/>
        <v>0</v>
      </c>
      <c r="AI490" s="50">
        <f t="shared" ca="1" si="347"/>
        <v>0</v>
      </c>
      <c r="AJ490" s="50">
        <f t="shared" ca="1" si="347"/>
        <v>0</v>
      </c>
      <c r="AK490" s="50">
        <f t="shared" ca="1" si="347"/>
        <v>0</v>
      </c>
      <c r="AL490" s="50">
        <f t="shared" si="347"/>
        <v>0</v>
      </c>
      <c r="AM490" s="50">
        <f t="shared" si="347"/>
        <v>0</v>
      </c>
      <c r="AN490" s="50">
        <f t="shared" si="347"/>
        <v>0</v>
      </c>
      <c r="AO490" s="50">
        <f t="shared" si="347"/>
        <v>0</v>
      </c>
      <c r="AP490" s="50">
        <f t="shared" si="347"/>
        <v>0</v>
      </c>
      <c r="AQ490" s="50">
        <f t="shared" si="347"/>
        <v>0</v>
      </c>
      <c r="AR490" s="50">
        <f t="shared" si="347"/>
        <v>0</v>
      </c>
      <c r="AS490" s="50">
        <f t="shared" si="347"/>
        <v>0</v>
      </c>
      <c r="AT490" s="50">
        <f t="shared" si="347"/>
        <v>0</v>
      </c>
      <c r="AU490" s="50">
        <f t="shared" si="347"/>
        <v>0</v>
      </c>
    </row>
    <row r="491" spans="1:47">
      <c r="A491" s="38" t="str">
        <f t="shared" si="341"/>
        <v>2X-</v>
      </c>
      <c r="B491" s="38" t="s">
        <v>864</v>
      </c>
      <c r="C491" s="38" t="str">
        <f t="shared" si="345"/>
        <v>General O&amp;M</v>
      </c>
      <c r="D491" s="186">
        <f>GHGEsc</f>
        <v>0.02</v>
      </c>
      <c r="E491" s="325"/>
      <c r="G491" s="36" t="s">
        <v>865</v>
      </c>
      <c r="I491" s="39"/>
      <c r="K491" s="39"/>
      <c r="L491" s="43" t="s">
        <v>866</v>
      </c>
      <c r="N491" s="70">
        <f ca="1">SUMIFS(OFFSET(Assumptions!$I$90,0,MATCH($A491,Configurations,0)-1,COUNT(Assumptions!$A$90:$A$183),1),Assumptions!$D$90:$D$183,$B491&amp;$C491)</f>
        <v>0</v>
      </c>
      <c r="O491" s="313"/>
      <c r="P491" s="323"/>
      <c r="Q491" s="313"/>
      <c r="R491" s="50">
        <f t="shared" ref="R491:AU491" ca="1" si="348">IF(OR(R$99&lt;InServiceYr,R$99&gt;(InServiceYr+analysis_period-1)),0,IF($P491=0,$N491,$P491)*R$513)</f>
        <v>0</v>
      </c>
      <c r="S491" s="50">
        <f t="shared" ca="1" si="348"/>
        <v>0</v>
      </c>
      <c r="T491" s="50">
        <f t="shared" ca="1" si="348"/>
        <v>0</v>
      </c>
      <c r="U491" s="50">
        <f t="shared" ca="1" si="348"/>
        <v>0</v>
      </c>
      <c r="V491" s="50">
        <f t="shared" ca="1" si="348"/>
        <v>0</v>
      </c>
      <c r="W491" s="50">
        <f t="shared" ca="1" si="348"/>
        <v>0</v>
      </c>
      <c r="X491" s="50">
        <f t="shared" ca="1" si="348"/>
        <v>0</v>
      </c>
      <c r="Y491" s="50">
        <f t="shared" ca="1" si="348"/>
        <v>0</v>
      </c>
      <c r="Z491" s="50">
        <f t="shared" ca="1" si="348"/>
        <v>0</v>
      </c>
      <c r="AA491" s="50">
        <f t="shared" ca="1" si="348"/>
        <v>0</v>
      </c>
      <c r="AB491" s="50">
        <f t="shared" ca="1" si="348"/>
        <v>0</v>
      </c>
      <c r="AC491" s="50">
        <f t="shared" ca="1" si="348"/>
        <v>0</v>
      </c>
      <c r="AD491" s="50">
        <f t="shared" ca="1" si="348"/>
        <v>0</v>
      </c>
      <c r="AE491" s="50">
        <f t="shared" ca="1" si="348"/>
        <v>0</v>
      </c>
      <c r="AF491" s="50">
        <f t="shared" ca="1" si="348"/>
        <v>0</v>
      </c>
      <c r="AG491" s="50">
        <f t="shared" ca="1" si="348"/>
        <v>0</v>
      </c>
      <c r="AH491" s="50">
        <f t="shared" ca="1" si="348"/>
        <v>0</v>
      </c>
      <c r="AI491" s="50">
        <f t="shared" ca="1" si="348"/>
        <v>0</v>
      </c>
      <c r="AJ491" s="50">
        <f t="shared" ca="1" si="348"/>
        <v>0</v>
      </c>
      <c r="AK491" s="50">
        <f t="shared" ca="1" si="348"/>
        <v>0</v>
      </c>
      <c r="AL491" s="50">
        <f t="shared" si="348"/>
        <v>0</v>
      </c>
      <c r="AM491" s="50">
        <f t="shared" si="348"/>
        <v>0</v>
      </c>
      <c r="AN491" s="50">
        <f t="shared" si="348"/>
        <v>0</v>
      </c>
      <c r="AO491" s="50">
        <f t="shared" si="348"/>
        <v>0</v>
      </c>
      <c r="AP491" s="50">
        <f t="shared" si="348"/>
        <v>0</v>
      </c>
      <c r="AQ491" s="50">
        <f t="shared" si="348"/>
        <v>0</v>
      </c>
      <c r="AR491" s="50">
        <f t="shared" si="348"/>
        <v>0</v>
      </c>
      <c r="AS491" s="50">
        <f t="shared" si="348"/>
        <v>0</v>
      </c>
      <c r="AT491" s="50">
        <f t="shared" si="348"/>
        <v>0</v>
      </c>
      <c r="AU491" s="50">
        <f t="shared" si="348"/>
        <v>0</v>
      </c>
    </row>
    <row r="492" spans="1:47">
      <c r="A492" s="38" t="str">
        <f t="shared" si="341"/>
        <v>2X-</v>
      </c>
      <c r="B492" s="38" t="s">
        <v>273</v>
      </c>
      <c r="C492" s="38" t="str">
        <f>C490</f>
        <v>General O&amp;M</v>
      </c>
      <c r="D492" s="186">
        <f>LaborEsc</f>
        <v>0.02</v>
      </c>
      <c r="E492" s="325"/>
      <c r="G492" s="36" t="s">
        <v>291</v>
      </c>
      <c r="I492" s="39"/>
      <c r="K492" s="39"/>
      <c r="L492" s="43" t="str">
        <f>"["&amp;CostBaseYr&amp;" $]"</f>
        <v>[2013 $]</v>
      </c>
      <c r="N492" s="70">
        <f ca="1">SUMIFS(OFFSET(Assumptions!$I$90,0,MATCH($A492,Configurations,0)-1,COUNT(Assumptions!$A$90:$A$183),1),Assumptions!$D$90:$D$183,$B492&amp;$C492)</f>
        <v>0</v>
      </c>
      <c r="O492" s="313"/>
      <c r="P492" s="323"/>
      <c r="Q492" s="313"/>
      <c r="R492" s="50">
        <f t="shared" ref="R492:AU492" ca="1" si="349">IF(OR(R$99&lt;InServiceYr,R$99&gt;(InServiceYr+analysis_period-1)),0,IF($P492=0,$N492,$P492)*(1+$D492)^(R$99-CostBaseYr))*R$509</f>
        <v>0</v>
      </c>
      <c r="S492" s="50">
        <f t="shared" ca="1" si="349"/>
        <v>0</v>
      </c>
      <c r="T492" s="50">
        <f t="shared" ca="1" si="349"/>
        <v>0</v>
      </c>
      <c r="U492" s="50">
        <f t="shared" ca="1" si="349"/>
        <v>0</v>
      </c>
      <c r="V492" s="50">
        <f t="shared" ca="1" si="349"/>
        <v>0</v>
      </c>
      <c r="W492" s="50">
        <f t="shared" ca="1" si="349"/>
        <v>0</v>
      </c>
      <c r="X492" s="50">
        <f t="shared" ca="1" si="349"/>
        <v>0</v>
      </c>
      <c r="Y492" s="50">
        <f t="shared" ca="1" si="349"/>
        <v>0</v>
      </c>
      <c r="Z492" s="50">
        <f t="shared" ca="1" si="349"/>
        <v>0</v>
      </c>
      <c r="AA492" s="50">
        <f t="shared" ca="1" si="349"/>
        <v>0</v>
      </c>
      <c r="AB492" s="50">
        <f t="shared" ca="1" si="349"/>
        <v>0</v>
      </c>
      <c r="AC492" s="50">
        <f t="shared" ca="1" si="349"/>
        <v>0</v>
      </c>
      <c r="AD492" s="50">
        <f t="shared" ca="1" si="349"/>
        <v>0</v>
      </c>
      <c r="AE492" s="50">
        <f t="shared" ca="1" si="349"/>
        <v>0</v>
      </c>
      <c r="AF492" s="50">
        <f t="shared" ca="1" si="349"/>
        <v>0</v>
      </c>
      <c r="AG492" s="50">
        <f t="shared" ca="1" si="349"/>
        <v>0</v>
      </c>
      <c r="AH492" s="50">
        <f t="shared" ca="1" si="349"/>
        <v>0</v>
      </c>
      <c r="AI492" s="50">
        <f t="shared" ca="1" si="349"/>
        <v>0</v>
      </c>
      <c r="AJ492" s="50">
        <f t="shared" ca="1" si="349"/>
        <v>0</v>
      </c>
      <c r="AK492" s="50">
        <f t="shared" ca="1" si="349"/>
        <v>0</v>
      </c>
      <c r="AL492" s="50">
        <f t="shared" si="349"/>
        <v>0</v>
      </c>
      <c r="AM492" s="50">
        <f t="shared" si="349"/>
        <v>0</v>
      </c>
      <c r="AN492" s="50">
        <f t="shared" si="349"/>
        <v>0</v>
      </c>
      <c r="AO492" s="50">
        <f t="shared" si="349"/>
        <v>0</v>
      </c>
      <c r="AP492" s="50">
        <f t="shared" si="349"/>
        <v>0</v>
      </c>
      <c r="AQ492" s="50">
        <f t="shared" si="349"/>
        <v>0</v>
      </c>
      <c r="AR492" s="50">
        <f t="shared" si="349"/>
        <v>0</v>
      </c>
      <c r="AS492" s="50">
        <f t="shared" si="349"/>
        <v>0</v>
      </c>
      <c r="AT492" s="50">
        <f t="shared" si="349"/>
        <v>0</v>
      </c>
      <c r="AU492" s="50">
        <f t="shared" si="349"/>
        <v>0</v>
      </c>
    </row>
    <row r="493" spans="1:47">
      <c r="D493" s="186"/>
      <c r="E493" s="325"/>
      <c r="G493" s="39" t="s">
        <v>304</v>
      </c>
      <c r="I493" s="39"/>
      <c r="K493" s="39"/>
      <c r="L493" s="43"/>
      <c r="N493" s="70"/>
      <c r="O493" s="313"/>
      <c r="P493" s="70"/>
      <c r="Q493" s="313"/>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row>
    <row r="494" spans="1:47">
      <c r="A494" s="38" t="str">
        <f>$J$4&amp;"-"</f>
        <v>2X-</v>
      </c>
      <c r="B494" s="38" t="s">
        <v>265</v>
      </c>
      <c r="C494" s="38" t="str">
        <f>C485</f>
        <v>General O&amp;M</v>
      </c>
      <c r="D494" s="186"/>
      <c r="E494" s="325"/>
      <c r="G494" s="36" t="s">
        <v>108</v>
      </c>
      <c r="I494" s="39"/>
      <c r="K494" s="39"/>
      <c r="L494" s="43" t="s">
        <v>293</v>
      </c>
      <c r="N494" s="70">
        <f ca="1">SUMIFS(OFFSET(Assumptions!$I$90,0,MATCH($A494,Configurations,0)-1,COUNT(Assumptions!$A$90:$A$183),1),Assumptions!$D$90:$D$183,$B494&amp;$C494)</f>
        <v>0</v>
      </c>
      <c r="O494" s="313"/>
      <c r="P494" s="323"/>
      <c r="Q494" s="313"/>
      <c r="R494" s="50">
        <f t="shared" ref="R494:AU494" ca="1" si="350">IF(OR(R$99&lt;InServiceYr,R$99&gt;(InServiceYr+analysis_period-1)),0,IF($P494=0,$N494,$P494)*R$501)</f>
        <v>0</v>
      </c>
      <c r="S494" s="50">
        <f t="shared" ca="1" si="350"/>
        <v>0</v>
      </c>
      <c r="T494" s="50">
        <f t="shared" ca="1" si="350"/>
        <v>0</v>
      </c>
      <c r="U494" s="50">
        <f t="shared" ca="1" si="350"/>
        <v>0</v>
      </c>
      <c r="V494" s="50">
        <f t="shared" ca="1" si="350"/>
        <v>0</v>
      </c>
      <c r="W494" s="50">
        <f t="shared" ca="1" si="350"/>
        <v>0</v>
      </c>
      <c r="X494" s="50">
        <f t="shared" ca="1" si="350"/>
        <v>0</v>
      </c>
      <c r="Y494" s="50">
        <f t="shared" ca="1" si="350"/>
        <v>0</v>
      </c>
      <c r="Z494" s="50">
        <f t="shared" ca="1" si="350"/>
        <v>0</v>
      </c>
      <c r="AA494" s="50">
        <f t="shared" ca="1" si="350"/>
        <v>0</v>
      </c>
      <c r="AB494" s="50">
        <f t="shared" ca="1" si="350"/>
        <v>0</v>
      </c>
      <c r="AC494" s="50">
        <f t="shared" ca="1" si="350"/>
        <v>0</v>
      </c>
      <c r="AD494" s="50">
        <f t="shared" ca="1" si="350"/>
        <v>0</v>
      </c>
      <c r="AE494" s="50">
        <f t="shared" ca="1" si="350"/>
        <v>0</v>
      </c>
      <c r="AF494" s="50">
        <f t="shared" ca="1" si="350"/>
        <v>0</v>
      </c>
      <c r="AG494" s="50">
        <f t="shared" ca="1" si="350"/>
        <v>0</v>
      </c>
      <c r="AH494" s="50">
        <f t="shared" ca="1" si="350"/>
        <v>0</v>
      </c>
      <c r="AI494" s="50">
        <f t="shared" ca="1" si="350"/>
        <v>0</v>
      </c>
      <c r="AJ494" s="50">
        <f t="shared" ca="1" si="350"/>
        <v>0</v>
      </c>
      <c r="AK494" s="50">
        <f t="shared" ca="1" si="350"/>
        <v>0</v>
      </c>
      <c r="AL494" s="50">
        <f t="shared" si="350"/>
        <v>0</v>
      </c>
      <c r="AM494" s="50">
        <f t="shared" si="350"/>
        <v>0</v>
      </c>
      <c r="AN494" s="50">
        <f t="shared" si="350"/>
        <v>0</v>
      </c>
      <c r="AO494" s="50">
        <f t="shared" si="350"/>
        <v>0</v>
      </c>
      <c r="AP494" s="50">
        <f t="shared" si="350"/>
        <v>0</v>
      </c>
      <c r="AQ494" s="50">
        <f t="shared" si="350"/>
        <v>0</v>
      </c>
      <c r="AR494" s="50">
        <f t="shared" si="350"/>
        <v>0</v>
      </c>
      <c r="AS494" s="50">
        <f t="shared" si="350"/>
        <v>0</v>
      </c>
      <c r="AT494" s="50">
        <f t="shared" si="350"/>
        <v>0</v>
      </c>
      <c r="AU494" s="50">
        <f t="shared" si="350"/>
        <v>0</v>
      </c>
    </row>
    <row r="495" spans="1:47">
      <c r="A495" s="38" t="str">
        <f>$J$4&amp;"-"</f>
        <v>2X-</v>
      </c>
      <c r="B495" s="38" t="s">
        <v>289</v>
      </c>
      <c r="C495" s="38" t="str">
        <f>C485</f>
        <v>General O&amp;M</v>
      </c>
      <c r="D495" s="186">
        <f>LaborEsc</f>
        <v>0.02</v>
      </c>
      <c r="E495" s="325"/>
      <c r="G495" s="36" t="s">
        <v>292</v>
      </c>
      <c r="I495" s="39"/>
      <c r="K495" s="39"/>
      <c r="L495" s="43" t="str">
        <f>"["&amp;CostBaseYr&amp;" $]"</f>
        <v>[2013 $]</v>
      </c>
      <c r="N495" s="70">
        <f ca="1">SUMIFS(OFFSET(Assumptions!$I$90,0,MATCH($A495,Configurations,0)-1,COUNT(Assumptions!$A$90:$A$183),1),Assumptions!$D$90:$D$183,$B495&amp;$C495)</f>
        <v>0</v>
      </c>
      <c r="O495" s="313"/>
      <c r="P495" s="323"/>
      <c r="Q495" s="313"/>
      <c r="R495" s="50">
        <f t="shared" ref="R495:AU495" ca="1" si="351">IF(OR(R$99&lt;InServiceYr,R$99&gt;(InServiceYr+analysis_period-1)),0,IF($P495=0,$N495,$P495)*(1+$D495)^(R$99-CostBaseYr))</f>
        <v>0</v>
      </c>
      <c r="S495" s="50">
        <f t="shared" ca="1" si="351"/>
        <v>0</v>
      </c>
      <c r="T495" s="50">
        <f t="shared" ca="1" si="351"/>
        <v>0</v>
      </c>
      <c r="U495" s="50">
        <f t="shared" ca="1" si="351"/>
        <v>0</v>
      </c>
      <c r="V495" s="50">
        <f t="shared" ca="1" si="351"/>
        <v>0</v>
      </c>
      <c r="W495" s="50">
        <f t="shared" ca="1" si="351"/>
        <v>0</v>
      </c>
      <c r="X495" s="50">
        <f t="shared" ca="1" si="351"/>
        <v>0</v>
      </c>
      <c r="Y495" s="50">
        <f t="shared" ca="1" si="351"/>
        <v>0</v>
      </c>
      <c r="Z495" s="50">
        <f t="shared" ca="1" si="351"/>
        <v>0</v>
      </c>
      <c r="AA495" s="50">
        <f t="shared" ca="1" si="351"/>
        <v>0</v>
      </c>
      <c r="AB495" s="50">
        <f t="shared" ca="1" si="351"/>
        <v>0</v>
      </c>
      <c r="AC495" s="50">
        <f t="shared" ca="1" si="351"/>
        <v>0</v>
      </c>
      <c r="AD495" s="50">
        <f t="shared" ca="1" si="351"/>
        <v>0</v>
      </c>
      <c r="AE495" s="50">
        <f t="shared" ca="1" si="351"/>
        <v>0</v>
      </c>
      <c r="AF495" s="50">
        <f t="shared" ca="1" si="351"/>
        <v>0</v>
      </c>
      <c r="AG495" s="50">
        <f t="shared" ca="1" si="351"/>
        <v>0</v>
      </c>
      <c r="AH495" s="50">
        <f t="shared" ca="1" si="351"/>
        <v>0</v>
      </c>
      <c r="AI495" s="50">
        <f t="shared" ca="1" si="351"/>
        <v>0</v>
      </c>
      <c r="AJ495" s="50">
        <f t="shared" ca="1" si="351"/>
        <v>0</v>
      </c>
      <c r="AK495" s="50">
        <f t="shared" ca="1" si="351"/>
        <v>0</v>
      </c>
      <c r="AL495" s="50">
        <f t="shared" si="351"/>
        <v>0</v>
      </c>
      <c r="AM495" s="50">
        <f t="shared" si="351"/>
        <v>0</v>
      </c>
      <c r="AN495" s="50">
        <f t="shared" si="351"/>
        <v>0</v>
      </c>
      <c r="AO495" s="50">
        <f t="shared" si="351"/>
        <v>0</v>
      </c>
      <c r="AP495" s="50">
        <f t="shared" si="351"/>
        <v>0</v>
      </c>
      <c r="AQ495" s="50">
        <f t="shared" si="351"/>
        <v>0</v>
      </c>
      <c r="AR495" s="50">
        <f t="shared" si="351"/>
        <v>0</v>
      </c>
      <c r="AS495" s="50">
        <f t="shared" si="351"/>
        <v>0</v>
      </c>
      <c r="AT495" s="50">
        <f t="shared" si="351"/>
        <v>0</v>
      </c>
      <c r="AU495" s="50">
        <f t="shared" si="351"/>
        <v>0</v>
      </c>
    </row>
    <row r="496" spans="1:47" s="60" customFormat="1">
      <c r="D496" s="187"/>
      <c r="E496" s="325"/>
      <c r="G496" s="39" t="s">
        <v>305</v>
      </c>
      <c r="I496" s="39"/>
      <c r="K496" s="39"/>
      <c r="L496" s="174"/>
      <c r="N496" s="188"/>
      <c r="O496" s="314"/>
      <c r="P496" s="185"/>
      <c r="Q496" s="314"/>
      <c r="R496" s="185">
        <f ca="1">SUM(R485:R492)-SUM(R494:R495)</f>
        <v>134640</v>
      </c>
      <c r="S496" s="185">
        <f t="shared" ref="S496:AU496" ca="1" si="352">SUM(S485:S492)-SUM(S494:S495)</f>
        <v>137332.79999999999</v>
      </c>
      <c r="T496" s="185">
        <f t="shared" ca="1" si="352"/>
        <v>140079.45599999998</v>
      </c>
      <c r="U496" s="185">
        <f t="shared" ca="1" si="352"/>
        <v>142881.04512</v>
      </c>
      <c r="V496" s="185">
        <f t="shared" ca="1" si="352"/>
        <v>145738.66602239999</v>
      </c>
      <c r="W496" s="185">
        <f t="shared" ca="1" si="352"/>
        <v>148653.439342848</v>
      </c>
      <c r="X496" s="185">
        <f t="shared" ca="1" si="352"/>
        <v>151626.50812970495</v>
      </c>
      <c r="Y496" s="185">
        <f t="shared" ca="1" si="352"/>
        <v>154659.03829229905</v>
      </c>
      <c r="Z496" s="185">
        <f t="shared" ca="1" si="352"/>
        <v>157752.21905814504</v>
      </c>
      <c r="AA496" s="185">
        <f t="shared" ca="1" si="352"/>
        <v>160907.26343930795</v>
      </c>
      <c r="AB496" s="185">
        <f t="shared" ca="1" si="352"/>
        <v>164125.40870809407</v>
      </c>
      <c r="AC496" s="185">
        <f t="shared" ca="1" si="352"/>
        <v>167407.91688225599</v>
      </c>
      <c r="AD496" s="185">
        <f t="shared" ca="1" si="352"/>
        <v>170756.07521990107</v>
      </c>
      <c r="AE496" s="185">
        <f t="shared" ca="1" si="352"/>
        <v>174171.19672429914</v>
      </c>
      <c r="AF496" s="185">
        <f t="shared" ca="1" si="352"/>
        <v>177654.62065878505</v>
      </c>
      <c r="AG496" s="185">
        <f t="shared" ca="1" si="352"/>
        <v>181207.71307196078</v>
      </c>
      <c r="AH496" s="185">
        <f t="shared" ca="1" si="352"/>
        <v>184831.86733340003</v>
      </c>
      <c r="AI496" s="185">
        <f t="shared" ca="1" si="352"/>
        <v>188528.504680068</v>
      </c>
      <c r="AJ496" s="185">
        <f t="shared" ca="1" si="352"/>
        <v>192299.07477366936</v>
      </c>
      <c r="AK496" s="185">
        <f t="shared" ca="1" si="352"/>
        <v>196145.05626914275</v>
      </c>
      <c r="AL496" s="185">
        <f t="shared" si="352"/>
        <v>0</v>
      </c>
      <c r="AM496" s="185">
        <f t="shared" si="352"/>
        <v>0</v>
      </c>
      <c r="AN496" s="185">
        <f t="shared" si="352"/>
        <v>0</v>
      </c>
      <c r="AO496" s="185">
        <f t="shared" si="352"/>
        <v>0</v>
      </c>
      <c r="AP496" s="185">
        <f t="shared" si="352"/>
        <v>0</v>
      </c>
      <c r="AQ496" s="185">
        <f t="shared" si="352"/>
        <v>0</v>
      </c>
      <c r="AR496" s="185">
        <f t="shared" si="352"/>
        <v>0</v>
      </c>
      <c r="AS496" s="185">
        <f t="shared" si="352"/>
        <v>0</v>
      </c>
      <c r="AT496" s="185">
        <f t="shared" si="352"/>
        <v>0</v>
      </c>
      <c r="AU496" s="185">
        <f t="shared" si="352"/>
        <v>0</v>
      </c>
    </row>
    <row r="497" spans="1:16384">
      <c r="E497" s="36"/>
      <c r="G497" s="39"/>
      <c r="H497" s="39"/>
      <c r="I497" s="39"/>
      <c r="J497" s="39"/>
      <c r="K497" s="39"/>
    </row>
    <row r="498" spans="1:16384">
      <c r="E498" s="36"/>
      <c r="G498" s="39"/>
      <c r="H498" s="39"/>
      <c r="I498" s="39"/>
      <c r="J498" s="39"/>
      <c r="K498" s="39"/>
    </row>
    <row r="499" spans="1:16384">
      <c r="E499" s="327"/>
      <c r="F499" s="28"/>
      <c r="G499" s="324" t="s">
        <v>6</v>
      </c>
      <c r="H499" s="324"/>
      <c r="I499" s="324"/>
      <c r="J499" s="324"/>
      <c r="K499" s="324"/>
      <c r="L499" s="405" t="s">
        <v>79</v>
      </c>
      <c r="M499" s="256"/>
      <c r="N499" s="325"/>
      <c r="O499" s="311"/>
      <c r="P499" s="325"/>
      <c r="Q499" s="310"/>
      <c r="R499" s="325">
        <f>R$8</f>
        <v>2014</v>
      </c>
      <c r="S499" s="325">
        <f t="shared" ref="S499:AU499" si="353">S$8</f>
        <v>2015</v>
      </c>
      <c r="T499" s="325">
        <f t="shared" si="353"/>
        <v>2016</v>
      </c>
      <c r="U499" s="325">
        <f t="shared" si="353"/>
        <v>2017</v>
      </c>
      <c r="V499" s="325">
        <f t="shared" si="353"/>
        <v>2018</v>
      </c>
      <c r="W499" s="325">
        <f t="shared" si="353"/>
        <v>2019</v>
      </c>
      <c r="X499" s="325">
        <f t="shared" si="353"/>
        <v>2020</v>
      </c>
      <c r="Y499" s="325">
        <f t="shared" si="353"/>
        <v>2021</v>
      </c>
      <c r="Z499" s="325">
        <f t="shared" si="353"/>
        <v>2022</v>
      </c>
      <c r="AA499" s="325">
        <f t="shared" si="353"/>
        <v>2023</v>
      </c>
      <c r="AB499" s="325">
        <f t="shared" si="353"/>
        <v>2024</v>
      </c>
      <c r="AC499" s="325">
        <f t="shared" si="353"/>
        <v>2025</v>
      </c>
      <c r="AD499" s="325">
        <f t="shared" si="353"/>
        <v>2026</v>
      </c>
      <c r="AE499" s="325">
        <f t="shared" si="353"/>
        <v>2027</v>
      </c>
      <c r="AF499" s="325">
        <f t="shared" si="353"/>
        <v>2028</v>
      </c>
      <c r="AG499" s="325">
        <f t="shared" si="353"/>
        <v>2029</v>
      </c>
      <c r="AH499" s="325">
        <f t="shared" si="353"/>
        <v>2030</v>
      </c>
      <c r="AI499" s="325">
        <f t="shared" si="353"/>
        <v>2031</v>
      </c>
      <c r="AJ499" s="325">
        <f t="shared" si="353"/>
        <v>2032</v>
      </c>
      <c r="AK499" s="325">
        <f t="shared" si="353"/>
        <v>2033</v>
      </c>
      <c r="AL499" s="325">
        <f t="shared" si="353"/>
        <v>2034</v>
      </c>
      <c r="AM499" s="325">
        <f t="shared" si="353"/>
        <v>2035</v>
      </c>
      <c r="AN499" s="325">
        <f t="shared" si="353"/>
        <v>2036</v>
      </c>
      <c r="AO499" s="325">
        <f t="shared" si="353"/>
        <v>2037</v>
      </c>
      <c r="AP499" s="325">
        <f t="shared" si="353"/>
        <v>2038</v>
      </c>
      <c r="AQ499" s="325">
        <f t="shared" si="353"/>
        <v>2039</v>
      </c>
      <c r="AR499" s="325">
        <f t="shared" si="353"/>
        <v>2040</v>
      </c>
      <c r="AS499" s="325">
        <f t="shared" si="353"/>
        <v>2041</v>
      </c>
      <c r="AT499" s="325">
        <f t="shared" si="353"/>
        <v>2042</v>
      </c>
      <c r="AU499" s="325">
        <f t="shared" si="353"/>
        <v>2043</v>
      </c>
    </row>
    <row r="500" spans="1:16384">
      <c r="E500" s="325"/>
      <c r="G500" s="39"/>
      <c r="H500" s="39"/>
      <c r="I500" s="39"/>
      <c r="J500" s="39"/>
      <c r="K500" s="39"/>
    </row>
    <row r="501" spans="1:16384">
      <c r="E501" s="325"/>
      <c r="G501" s="36" t="s">
        <v>90</v>
      </c>
      <c r="H501" s="39"/>
      <c r="I501" s="39"/>
      <c r="J501" s="70"/>
      <c r="K501" s="39"/>
      <c r="L501" s="43" t="str">
        <f>Assumptions!G29</f>
        <v>[Nominal $/kWh]</v>
      </c>
      <c r="N501" s="320"/>
      <c r="P501" s="320"/>
      <c r="Q501" s="52"/>
      <c r="R501" s="52">
        <f>Assumptions!M29</f>
        <v>6.4581556062773368E-2</v>
      </c>
      <c r="S501" s="52">
        <f>Assumptions!N29</f>
        <v>6.4984127212630846E-2</v>
      </c>
      <c r="T501" s="52">
        <f>Assumptions!O29</f>
        <v>6.7785589135026608E-2</v>
      </c>
      <c r="U501" s="52">
        <f>Assumptions!P29</f>
        <v>6.981898718592304E-2</v>
      </c>
      <c r="V501" s="52">
        <f>Assumptions!Q29</f>
        <v>7.1503796868933267E-2</v>
      </c>
      <c r="W501" s="52">
        <f>Assumptions!R29</f>
        <v>7.2418565164272669E-2</v>
      </c>
      <c r="X501" s="52">
        <f>Assumptions!S29</f>
        <v>7.3596994326953685E-2</v>
      </c>
      <c r="Y501" s="52">
        <f>Assumptions!T29</f>
        <v>7.5410274370898506E-2</v>
      </c>
      <c r="Z501" s="52">
        <f>Assumptions!U29</f>
        <v>7.7215647759667966E-2</v>
      </c>
      <c r="AA501" s="52">
        <f>Assumptions!V29</f>
        <v>7.9146228607689051E-2</v>
      </c>
      <c r="AB501" s="52">
        <f>Assumptions!W29</f>
        <v>8.0860520329207805E-2</v>
      </c>
      <c r="AC501" s="52">
        <f>Assumptions!X29</f>
        <v>8.2417599515092449E-2</v>
      </c>
      <c r="AD501" s="52">
        <f>Assumptions!Y29</f>
        <v>8.4321429342628054E-2</v>
      </c>
      <c r="AE501" s="52">
        <f>Assumptions!Z29</f>
        <v>8.6243254567324276E-2</v>
      </c>
      <c r="AF501" s="52">
        <f>Assumptions!AA29</f>
        <v>8.829382632331699E-2</v>
      </c>
      <c r="AG501" s="52">
        <f>Assumptions!AB29</f>
        <v>9.0590950022257213E-2</v>
      </c>
      <c r="AH501" s="52">
        <f>Assumptions!AC29</f>
        <v>9.2811104018487828E-2</v>
      </c>
      <c r="AI501" s="52">
        <f>Assumptions!AD29</f>
        <v>9.521877087141481E-2</v>
      </c>
      <c r="AJ501" s="52">
        <f>Assumptions!AE29</f>
        <v>9.776763578849744E-2</v>
      </c>
      <c r="AK501" s="52">
        <f>Assumptions!AF29</f>
        <v>0.10042723479216267</v>
      </c>
      <c r="AL501" s="52">
        <f>Assumptions!AG29</f>
        <v>0.10338391809597851</v>
      </c>
      <c r="AM501" s="52">
        <f>Assumptions!AH29</f>
        <v>0.10713549812003452</v>
      </c>
      <c r="AN501" s="52">
        <f>Assumptions!AI29</f>
        <v>0.11152585678161221</v>
      </c>
      <c r="AO501" s="52">
        <f>Assumptions!AJ29</f>
        <v>0.11570324377054081</v>
      </c>
      <c r="AP501" s="52">
        <f>Assumptions!AK29</f>
        <v>0.11992306893841188</v>
      </c>
      <c r="AQ501" s="52">
        <f>Assumptions!AL29</f>
        <v>0.12437235076287895</v>
      </c>
      <c r="AR501" s="52">
        <f>Assumptions!AM29</f>
        <v>0.12798765946565488</v>
      </c>
      <c r="AS501" s="52">
        <f>Assumptions!AN29</f>
        <v>0.13080338797389929</v>
      </c>
      <c r="AT501" s="52">
        <f>Assumptions!AO29</f>
        <v>0.13368106250932507</v>
      </c>
      <c r="AU501" s="52">
        <f>Assumptions!AP29</f>
        <v>0.13662204588453022</v>
      </c>
    </row>
    <row r="502" spans="1:16384">
      <c r="E502" s="36"/>
      <c r="G502" s="37"/>
      <c r="H502" s="37"/>
      <c r="I502" s="37"/>
      <c r="J502" s="37"/>
      <c r="K502" s="37"/>
      <c r="L502" s="43"/>
      <c r="M502" s="43"/>
      <c r="N502" s="48"/>
      <c r="O502" s="43"/>
      <c r="P502" s="48"/>
      <c r="Q502" s="43"/>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row>
    <row r="503" spans="1:16384">
      <c r="E503" s="327"/>
      <c r="F503" s="28"/>
      <c r="G503" s="324" t="s">
        <v>16</v>
      </c>
      <c r="H503" s="324"/>
      <c r="I503" s="324"/>
      <c r="J503" s="324"/>
      <c r="K503" s="324"/>
      <c r="L503" s="405" t="s">
        <v>79</v>
      </c>
      <c r="M503" s="256"/>
      <c r="N503" s="325"/>
      <c r="O503" s="311"/>
      <c r="P503" s="325"/>
      <c r="Q503" s="310"/>
      <c r="R503" s="325">
        <f>R$8</f>
        <v>2014</v>
      </c>
      <c r="S503" s="325">
        <f t="shared" ref="S503:AU503" si="354">S$8</f>
        <v>2015</v>
      </c>
      <c r="T503" s="325">
        <f t="shared" si="354"/>
        <v>2016</v>
      </c>
      <c r="U503" s="325">
        <f t="shared" si="354"/>
        <v>2017</v>
      </c>
      <c r="V503" s="325">
        <f t="shared" si="354"/>
        <v>2018</v>
      </c>
      <c r="W503" s="325">
        <f t="shared" si="354"/>
        <v>2019</v>
      </c>
      <c r="X503" s="325">
        <f t="shared" si="354"/>
        <v>2020</v>
      </c>
      <c r="Y503" s="325">
        <f t="shared" si="354"/>
        <v>2021</v>
      </c>
      <c r="Z503" s="325">
        <f t="shared" si="354"/>
        <v>2022</v>
      </c>
      <c r="AA503" s="325">
        <f t="shared" si="354"/>
        <v>2023</v>
      </c>
      <c r="AB503" s="325">
        <f t="shared" si="354"/>
        <v>2024</v>
      </c>
      <c r="AC503" s="325">
        <f t="shared" si="354"/>
        <v>2025</v>
      </c>
      <c r="AD503" s="325">
        <f t="shared" si="354"/>
        <v>2026</v>
      </c>
      <c r="AE503" s="325">
        <f t="shared" si="354"/>
        <v>2027</v>
      </c>
      <c r="AF503" s="325">
        <f t="shared" si="354"/>
        <v>2028</v>
      </c>
      <c r="AG503" s="325">
        <f t="shared" si="354"/>
        <v>2029</v>
      </c>
      <c r="AH503" s="325">
        <f t="shared" si="354"/>
        <v>2030</v>
      </c>
      <c r="AI503" s="325">
        <f t="shared" si="354"/>
        <v>2031</v>
      </c>
      <c r="AJ503" s="325">
        <f t="shared" si="354"/>
        <v>2032</v>
      </c>
      <c r="AK503" s="325">
        <f t="shared" si="354"/>
        <v>2033</v>
      </c>
      <c r="AL503" s="325">
        <f t="shared" si="354"/>
        <v>2034</v>
      </c>
      <c r="AM503" s="325">
        <f t="shared" si="354"/>
        <v>2035</v>
      </c>
      <c r="AN503" s="325">
        <f t="shared" si="354"/>
        <v>2036</v>
      </c>
      <c r="AO503" s="325">
        <f t="shared" si="354"/>
        <v>2037</v>
      </c>
      <c r="AP503" s="325">
        <f t="shared" si="354"/>
        <v>2038</v>
      </c>
      <c r="AQ503" s="325">
        <f t="shared" si="354"/>
        <v>2039</v>
      </c>
      <c r="AR503" s="325">
        <f t="shared" si="354"/>
        <v>2040</v>
      </c>
      <c r="AS503" s="325">
        <f t="shared" si="354"/>
        <v>2041</v>
      </c>
      <c r="AT503" s="325">
        <f t="shared" si="354"/>
        <v>2042</v>
      </c>
      <c r="AU503" s="325">
        <f t="shared" si="354"/>
        <v>2043</v>
      </c>
    </row>
    <row r="504" spans="1:16384">
      <c r="E504" s="325"/>
      <c r="G504" s="39"/>
      <c r="H504" s="39"/>
      <c r="I504" s="39"/>
      <c r="J504" s="39"/>
      <c r="K504" s="39"/>
    </row>
    <row r="505" spans="1:16384">
      <c r="E505" s="325"/>
      <c r="G505" s="36" t="s">
        <v>4</v>
      </c>
      <c r="H505" s="39"/>
      <c r="I505" s="39"/>
      <c r="J505" s="70"/>
      <c r="K505" s="39"/>
      <c r="L505" s="43" t="str">
        <f>Assumptions!G30</f>
        <v>[Nominal $/GJ]</v>
      </c>
      <c r="N505" s="320"/>
      <c r="P505" s="320"/>
      <c r="Q505" s="52"/>
      <c r="R505" s="52">
        <f>Assumptions!M30/1000</f>
        <v>4.349162302177351E-3</v>
      </c>
      <c r="S505" s="52">
        <f>Assumptions!N30/1000</f>
        <v>4.4637464839421513E-3</v>
      </c>
      <c r="T505" s="52">
        <f>Assumptions!O30/1000</f>
        <v>4.9882201407370225E-3</v>
      </c>
      <c r="U505" s="52">
        <f>Assumptions!P30/1000</f>
        <v>5.274039417731349E-3</v>
      </c>
      <c r="V505" s="52">
        <f>Assumptions!Q30/1000</f>
        <v>5.6269550228721333E-3</v>
      </c>
      <c r="W505" s="52">
        <f>Assumptions!R30/1000</f>
        <v>5.8540511616013337E-3</v>
      </c>
      <c r="X505" s="52">
        <f>Assumptions!S30/1000</f>
        <v>6.038428026177464E-3</v>
      </c>
      <c r="Y505" s="52">
        <f>Assumptions!T30/1000</f>
        <v>6.2668036784831469E-3</v>
      </c>
      <c r="Z505" s="52">
        <f>Assumptions!U30/1000</f>
        <v>6.5922054798412668E-3</v>
      </c>
      <c r="AA505" s="52">
        <f>Assumptions!V30/1000</f>
        <v>6.9223010408478308E-3</v>
      </c>
      <c r="AB505" s="52">
        <f>Assumptions!W30/1000</f>
        <v>7.1632208510517392E-3</v>
      </c>
      <c r="AC505" s="52">
        <f>Assumptions!X30/1000</f>
        <v>7.3414909032361933E-3</v>
      </c>
      <c r="AD505" s="52">
        <f>Assumptions!Y30/1000</f>
        <v>7.6021404150132107E-3</v>
      </c>
      <c r="AE505" s="52">
        <f>Assumptions!Z30/1000</f>
        <v>7.7884635419133022E-3</v>
      </c>
      <c r="AF505" s="52">
        <f>Assumptions!AA30/1000</f>
        <v>8.0591711100798397E-3</v>
      </c>
      <c r="AG505" s="52">
        <f>Assumptions!AB30/1000</f>
        <v>8.3231988786498338E-3</v>
      </c>
      <c r="AH505" s="52">
        <f>Assumptions!AC30/1000</f>
        <v>8.5753643914497045E-3</v>
      </c>
      <c r="AI505" s="52">
        <f>Assumptions!AD30/1000</f>
        <v>8.8888916249159466E-3</v>
      </c>
      <c r="AJ505" s="52">
        <f>Assumptions!AE30/1000</f>
        <v>9.1809181054485871E-3</v>
      </c>
      <c r="AK505" s="52">
        <f>Assumptions!AF30/1000</f>
        <v>9.5487976739560727E-3</v>
      </c>
      <c r="AL505" s="52">
        <f>Assumptions!AG30/1000</f>
        <v>1.0077524695274986E-2</v>
      </c>
      <c r="AM505" s="52">
        <f>Assumptions!AH30/1000</f>
        <v>1.0655171564681258E-2</v>
      </c>
      <c r="AN505" s="52">
        <f>Assumptions!AI30/1000</f>
        <v>1.1383030107873128E-2</v>
      </c>
      <c r="AO505" s="52">
        <f>Assumptions!AJ30/1000</f>
        <v>1.2092621250722151E-2</v>
      </c>
      <c r="AP505" s="52">
        <f>Assumptions!AK30/1000</f>
        <v>1.2829558563080681E-2</v>
      </c>
      <c r="AQ505" s="52">
        <f>Assumptions!AL30/1000</f>
        <v>1.3272130091772659E-2</v>
      </c>
      <c r="AR505" s="52">
        <f>Assumptions!AM30/1000</f>
        <v>1.3882156894314641E-2</v>
      </c>
      <c r="AS505" s="52">
        <f>Assumptions!AN30/1000</f>
        <v>1.442356101319291E-2</v>
      </c>
      <c r="AT505" s="52">
        <f>Assumptions!AO30/1000</f>
        <v>1.4986079892707432E-2</v>
      </c>
      <c r="AU505" s="52">
        <f>Assumptions!AP30/1000</f>
        <v>1.5570537008523021E-2</v>
      </c>
    </row>
    <row r="506" spans="1:16384">
      <c r="G506" s="37"/>
      <c r="H506" s="37"/>
      <c r="I506" s="37"/>
      <c r="J506" s="37"/>
      <c r="K506" s="37"/>
      <c r="L506" s="43"/>
      <c r="M506" s="43"/>
      <c r="N506" s="51"/>
      <c r="O506" s="43"/>
      <c r="P506" s="51"/>
      <c r="Q506" s="43"/>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0"/>
      <c r="AW506" s="50"/>
      <c r="AX506" s="50"/>
      <c r="AY506" s="50"/>
      <c r="AZ506" s="50"/>
      <c r="BA506" s="50"/>
      <c r="BB506" s="50"/>
      <c r="BC506" s="50"/>
      <c r="BD506" s="50"/>
      <c r="BE506" s="50"/>
      <c r="BF506" s="50"/>
      <c r="BG506" s="50"/>
      <c r="BH506" s="50"/>
      <c r="BI506" s="50"/>
      <c r="BJ506" s="50"/>
      <c r="BK506" s="50"/>
      <c r="BL506" s="50"/>
      <c r="BM506" s="50"/>
      <c r="BN506" s="50"/>
      <c r="BO506" s="50"/>
      <c r="BP506" s="50"/>
      <c r="BQ506" s="50"/>
      <c r="BR506" s="50"/>
      <c r="BS506" s="50"/>
      <c r="BT506" s="50"/>
      <c r="BU506" s="50"/>
    </row>
    <row r="507" spans="1:16384">
      <c r="A507" s="327"/>
      <c r="B507" s="28"/>
      <c r="C507" s="324"/>
      <c r="D507" s="324"/>
      <c r="E507" s="324"/>
      <c r="F507" s="324"/>
      <c r="G507" s="324" t="s">
        <v>303</v>
      </c>
      <c r="H507" s="324"/>
      <c r="I507" s="256"/>
      <c r="J507" s="325"/>
      <c r="K507" s="311"/>
      <c r="L507" s="325"/>
      <c r="M507" s="310"/>
      <c r="N507" s="325"/>
      <c r="O507" s="325"/>
      <c r="P507" s="325"/>
      <c r="Q507" s="325"/>
      <c r="R507" s="325">
        <f>R$8</f>
        <v>2014</v>
      </c>
      <c r="S507" s="325">
        <f t="shared" ref="S507:AU507" si="355">S$8</f>
        <v>2015</v>
      </c>
      <c r="T507" s="325">
        <f t="shared" si="355"/>
        <v>2016</v>
      </c>
      <c r="U507" s="325">
        <f t="shared" si="355"/>
        <v>2017</v>
      </c>
      <c r="V507" s="325">
        <f t="shared" si="355"/>
        <v>2018</v>
      </c>
      <c r="W507" s="325">
        <f t="shared" si="355"/>
        <v>2019</v>
      </c>
      <c r="X507" s="325">
        <f t="shared" si="355"/>
        <v>2020</v>
      </c>
      <c r="Y507" s="325">
        <f t="shared" si="355"/>
        <v>2021</v>
      </c>
      <c r="Z507" s="325">
        <f t="shared" si="355"/>
        <v>2022</v>
      </c>
      <c r="AA507" s="325">
        <f t="shared" si="355"/>
        <v>2023</v>
      </c>
      <c r="AB507" s="325">
        <f t="shared" si="355"/>
        <v>2024</v>
      </c>
      <c r="AC507" s="325">
        <f t="shared" si="355"/>
        <v>2025</v>
      </c>
      <c r="AD507" s="325">
        <f t="shared" si="355"/>
        <v>2026</v>
      </c>
      <c r="AE507" s="325">
        <f t="shared" si="355"/>
        <v>2027</v>
      </c>
      <c r="AF507" s="325">
        <f t="shared" si="355"/>
        <v>2028</v>
      </c>
      <c r="AG507" s="325">
        <f t="shared" si="355"/>
        <v>2029</v>
      </c>
      <c r="AH507" s="325">
        <f t="shared" si="355"/>
        <v>2030</v>
      </c>
      <c r="AI507" s="325">
        <f t="shared" si="355"/>
        <v>2031</v>
      </c>
      <c r="AJ507" s="325">
        <f t="shared" si="355"/>
        <v>2032</v>
      </c>
      <c r="AK507" s="325">
        <f t="shared" si="355"/>
        <v>2033</v>
      </c>
      <c r="AL507" s="325">
        <f t="shared" si="355"/>
        <v>2034</v>
      </c>
      <c r="AM507" s="325">
        <f t="shared" si="355"/>
        <v>2035</v>
      </c>
      <c r="AN507" s="325">
        <f t="shared" si="355"/>
        <v>2036</v>
      </c>
      <c r="AO507" s="325">
        <f t="shared" si="355"/>
        <v>2037</v>
      </c>
      <c r="AP507" s="325">
        <f t="shared" si="355"/>
        <v>2038</v>
      </c>
      <c r="AQ507" s="325">
        <f t="shared" si="355"/>
        <v>2039</v>
      </c>
      <c r="AR507" s="325">
        <f t="shared" si="355"/>
        <v>2040</v>
      </c>
      <c r="AS507" s="325">
        <f t="shared" si="355"/>
        <v>2041</v>
      </c>
      <c r="AT507" s="325">
        <f t="shared" si="355"/>
        <v>2042</v>
      </c>
      <c r="AU507" s="325">
        <f t="shared" si="355"/>
        <v>2043</v>
      </c>
      <c r="BB507" s="311"/>
      <c r="BC507" s="325"/>
      <c r="BD507" s="310"/>
      <c r="BE507" s="325"/>
      <c r="BF507" s="325"/>
      <c r="BG507" s="325"/>
      <c r="BH507" s="325"/>
      <c r="BI507" s="325"/>
      <c r="BJ507" s="325"/>
      <c r="BK507" s="325"/>
      <c r="BL507" s="325"/>
      <c r="BM507" s="325"/>
      <c r="BN507" s="325"/>
      <c r="BO507" s="325"/>
      <c r="BP507" s="325"/>
      <c r="BQ507" s="325"/>
      <c r="BR507" s="325"/>
      <c r="BS507" s="325"/>
      <c r="BT507" s="325"/>
      <c r="BU507" s="325"/>
      <c r="BV507" s="325"/>
      <c r="BW507" s="325"/>
      <c r="BX507" s="325"/>
      <c r="BY507" s="325"/>
      <c r="BZ507" s="325"/>
      <c r="CA507" s="325"/>
      <c r="CB507" s="325"/>
      <c r="CC507" s="325"/>
      <c r="CD507" s="325"/>
      <c r="CE507" s="325"/>
      <c r="CF507" s="325"/>
      <c r="CG507" s="325"/>
      <c r="CH507" s="325"/>
      <c r="CI507" s="327"/>
      <c r="CJ507" s="28"/>
      <c r="CK507" s="324"/>
      <c r="CL507" s="324"/>
      <c r="CM507" s="324"/>
      <c r="CN507" s="324"/>
      <c r="CO507" s="324"/>
      <c r="CP507" s="324"/>
      <c r="CQ507" s="256"/>
      <c r="CR507" s="325"/>
      <c r="CS507" s="311"/>
      <c r="CT507" s="325"/>
      <c r="CU507" s="310"/>
      <c r="CV507" s="325"/>
      <c r="CW507" s="325"/>
      <c r="CX507" s="325"/>
      <c r="CY507" s="325"/>
      <c r="CZ507" s="325"/>
      <c r="DA507" s="325"/>
      <c r="DB507" s="325"/>
      <c r="DC507" s="325"/>
      <c r="DD507" s="325"/>
      <c r="DE507" s="325"/>
      <c r="DF507" s="325"/>
      <c r="DG507" s="325"/>
      <c r="DH507" s="325"/>
      <c r="DI507" s="325"/>
      <c r="DJ507" s="325"/>
      <c r="DK507" s="325"/>
      <c r="DL507" s="325"/>
      <c r="DM507" s="325"/>
      <c r="DN507" s="325"/>
      <c r="DO507" s="325"/>
      <c r="DP507" s="325"/>
      <c r="DQ507" s="325"/>
      <c r="DR507" s="325"/>
      <c r="DS507" s="325"/>
      <c r="DT507" s="325"/>
      <c r="DU507" s="325"/>
      <c r="DV507" s="325"/>
      <c r="DW507" s="325"/>
      <c r="DX507" s="325"/>
      <c r="DY507" s="325"/>
      <c r="DZ507" s="327"/>
      <c r="EA507" s="28"/>
      <c r="EB507" s="324"/>
      <c r="EC507" s="324"/>
      <c r="ED507" s="324"/>
      <c r="EE507" s="324"/>
      <c r="EF507" s="324"/>
      <c r="EG507" s="324"/>
      <c r="EH507" s="256"/>
      <c r="EI507" s="325"/>
      <c r="EJ507" s="311"/>
      <c r="EK507" s="325"/>
      <c r="EL507" s="310"/>
      <c r="EM507" s="325"/>
      <c r="EN507" s="325"/>
      <c r="EO507" s="325"/>
      <c r="EP507" s="325"/>
      <c r="EQ507" s="325"/>
      <c r="ER507" s="325"/>
      <c r="ES507" s="325"/>
      <c r="ET507" s="325"/>
      <c r="EU507" s="325"/>
      <c r="EV507" s="325"/>
      <c r="EW507" s="325"/>
      <c r="EX507" s="325"/>
      <c r="EY507" s="325"/>
      <c r="EZ507" s="325"/>
      <c r="FA507" s="325"/>
      <c r="FB507" s="325"/>
      <c r="FC507" s="325"/>
      <c r="FD507" s="325"/>
      <c r="FE507" s="325"/>
      <c r="FF507" s="325"/>
      <c r="FG507" s="325"/>
      <c r="FH507" s="325"/>
      <c r="FI507" s="325"/>
      <c r="FJ507" s="325"/>
      <c r="FK507" s="325"/>
      <c r="FL507" s="325"/>
      <c r="FM507" s="325"/>
      <c r="FN507" s="325"/>
      <c r="FO507" s="325"/>
      <c r="FP507" s="325"/>
      <c r="FQ507" s="327"/>
      <c r="FR507" s="28"/>
      <c r="FS507" s="324"/>
      <c r="FT507" s="324"/>
      <c r="FU507" s="324"/>
      <c r="FV507" s="324"/>
      <c r="FW507" s="324"/>
      <c r="FX507" s="324"/>
      <c r="FY507" s="256"/>
      <c r="FZ507" s="325"/>
      <c r="GA507" s="311"/>
      <c r="GB507" s="325"/>
      <c r="GC507" s="310"/>
      <c r="GD507" s="325"/>
      <c r="GE507" s="325"/>
      <c r="GF507" s="325"/>
      <c r="GG507" s="325"/>
      <c r="GH507" s="325"/>
      <c r="GI507" s="325"/>
      <c r="GJ507" s="325"/>
      <c r="GK507" s="325"/>
      <c r="GL507" s="325"/>
      <c r="GM507" s="325"/>
      <c r="GN507" s="325"/>
      <c r="GO507" s="325"/>
      <c r="GP507" s="325"/>
      <c r="GQ507" s="325"/>
      <c r="GR507" s="325"/>
      <c r="GS507" s="325"/>
      <c r="GT507" s="325"/>
      <c r="GU507" s="325"/>
      <c r="GV507" s="325"/>
      <c r="GW507" s="325"/>
      <c r="GX507" s="325"/>
      <c r="GY507" s="325"/>
      <c r="GZ507" s="325"/>
      <c r="HA507" s="325"/>
      <c r="HB507" s="325"/>
      <c r="HC507" s="325"/>
      <c r="HD507" s="325"/>
      <c r="HE507" s="325"/>
      <c r="HF507" s="325"/>
      <c r="HG507" s="325"/>
      <c r="HH507" s="327"/>
      <c r="HI507" s="28"/>
      <c r="HJ507" s="324"/>
      <c r="HK507" s="324"/>
      <c r="HL507" s="324"/>
      <c r="HM507" s="324"/>
      <c r="HN507" s="324"/>
      <c r="HO507" s="324"/>
      <c r="HP507" s="256"/>
      <c r="HQ507" s="325"/>
      <c r="HR507" s="311"/>
      <c r="HS507" s="325"/>
      <c r="HT507" s="310"/>
      <c r="HU507" s="325"/>
      <c r="HV507" s="325"/>
      <c r="HW507" s="325"/>
      <c r="HX507" s="325"/>
      <c r="HY507" s="325"/>
      <c r="HZ507" s="325"/>
      <c r="IA507" s="325"/>
      <c r="IB507" s="325"/>
      <c r="IC507" s="325"/>
      <c r="ID507" s="325"/>
      <c r="IE507" s="325"/>
      <c r="IF507" s="325"/>
      <c r="IG507" s="325"/>
      <c r="IH507" s="325"/>
      <c r="II507" s="325"/>
      <c r="IJ507" s="325"/>
      <c r="IK507" s="325"/>
      <c r="IL507" s="325"/>
      <c r="IM507" s="325"/>
      <c r="IN507" s="325"/>
      <c r="IO507" s="325"/>
      <c r="IP507" s="325"/>
      <c r="IQ507" s="325"/>
      <c r="IR507" s="325"/>
      <c r="IS507" s="325"/>
      <c r="IT507" s="325"/>
      <c r="IU507" s="325"/>
      <c r="IV507" s="325"/>
      <c r="IW507" s="325"/>
      <c r="IX507" s="325"/>
      <c r="IY507" s="327"/>
      <c r="IZ507" s="28"/>
      <c r="JA507" s="324"/>
      <c r="JB507" s="324"/>
      <c r="JC507" s="324"/>
      <c r="JD507" s="324"/>
      <c r="JE507" s="324"/>
      <c r="JF507" s="324"/>
      <c r="JG507" s="256"/>
      <c r="JH507" s="325"/>
      <c r="JI507" s="311"/>
      <c r="JJ507" s="325"/>
      <c r="JK507" s="310"/>
      <c r="JL507" s="325"/>
      <c r="JM507" s="325"/>
      <c r="JN507" s="325"/>
      <c r="JO507" s="325"/>
      <c r="JP507" s="325"/>
      <c r="JQ507" s="325"/>
      <c r="JR507" s="325"/>
      <c r="JS507" s="325"/>
      <c r="JT507" s="325"/>
      <c r="JU507" s="325"/>
      <c r="JV507" s="325"/>
      <c r="JW507" s="325"/>
      <c r="JX507" s="325"/>
      <c r="JY507" s="325"/>
      <c r="JZ507" s="325"/>
      <c r="KA507" s="325"/>
      <c r="KB507" s="325"/>
      <c r="KC507" s="325"/>
      <c r="KD507" s="325"/>
      <c r="KE507" s="325"/>
      <c r="KF507" s="325"/>
      <c r="KG507" s="325"/>
      <c r="KH507" s="325"/>
      <c r="KI507" s="325"/>
      <c r="KJ507" s="325"/>
      <c r="KK507" s="325"/>
      <c r="KL507" s="325"/>
      <c r="KM507" s="325"/>
      <c r="KN507" s="325"/>
      <c r="KO507" s="325"/>
      <c r="KP507" s="327"/>
      <c r="KQ507" s="28"/>
      <c r="KR507" s="324"/>
      <c r="KS507" s="324"/>
      <c r="KT507" s="324"/>
      <c r="KU507" s="324"/>
      <c r="KV507" s="324"/>
      <c r="KW507" s="324"/>
      <c r="KX507" s="256"/>
      <c r="KY507" s="325"/>
      <c r="KZ507" s="311"/>
      <c r="LA507" s="325"/>
      <c r="LB507" s="310"/>
      <c r="LC507" s="325"/>
      <c r="LD507" s="325"/>
      <c r="LE507" s="325"/>
      <c r="LF507" s="325"/>
      <c r="LG507" s="325"/>
      <c r="LH507" s="325"/>
      <c r="LI507" s="325"/>
      <c r="LJ507" s="325"/>
      <c r="LK507" s="325"/>
      <c r="LL507" s="325"/>
      <c r="LM507" s="325"/>
      <c r="LN507" s="325"/>
      <c r="LO507" s="325"/>
      <c r="LP507" s="325"/>
      <c r="LQ507" s="325"/>
      <c r="LR507" s="325"/>
      <c r="LS507" s="325"/>
      <c r="LT507" s="325"/>
      <c r="LU507" s="325"/>
      <c r="LV507" s="325"/>
      <c r="LW507" s="325"/>
      <c r="LX507" s="325"/>
      <c r="LY507" s="325"/>
      <c r="LZ507" s="325"/>
      <c r="MA507" s="325"/>
      <c r="MB507" s="325"/>
      <c r="MC507" s="325"/>
      <c r="MD507" s="325"/>
      <c r="ME507" s="325"/>
      <c r="MF507" s="325"/>
      <c r="MG507" s="327"/>
      <c r="MH507" s="28"/>
      <c r="MI507" s="324"/>
      <c r="MJ507" s="324"/>
      <c r="MK507" s="324"/>
      <c r="ML507" s="324"/>
      <c r="MM507" s="324"/>
      <c r="MN507" s="324"/>
      <c r="MO507" s="256"/>
      <c r="MP507" s="325"/>
      <c r="MQ507" s="311"/>
      <c r="MR507" s="325"/>
      <c r="MS507" s="310"/>
      <c r="MT507" s="325"/>
      <c r="MU507" s="325"/>
      <c r="MV507" s="325"/>
      <c r="MW507" s="325"/>
      <c r="MX507" s="325"/>
      <c r="MY507" s="325"/>
      <c r="MZ507" s="325"/>
      <c r="NA507" s="325"/>
      <c r="NB507" s="325"/>
      <c r="NC507" s="325"/>
      <c r="ND507" s="325"/>
      <c r="NE507" s="325"/>
      <c r="NF507" s="325"/>
      <c r="NG507" s="325"/>
      <c r="NH507" s="325"/>
      <c r="NI507" s="325"/>
      <c r="NJ507" s="325"/>
      <c r="NK507" s="325"/>
      <c r="NL507" s="325"/>
      <c r="NM507" s="325"/>
      <c r="NN507" s="325"/>
      <c r="NO507" s="325"/>
      <c r="NP507" s="325"/>
      <c r="NQ507" s="325"/>
      <c r="NR507" s="325"/>
      <c r="NS507" s="325"/>
      <c r="NT507" s="325"/>
      <c r="NU507" s="325"/>
      <c r="NV507" s="325"/>
      <c r="NW507" s="325"/>
      <c r="NX507" s="327"/>
      <c r="NY507" s="28"/>
      <c r="NZ507" s="324"/>
      <c r="OA507" s="324"/>
      <c r="OB507" s="324"/>
      <c r="OC507" s="324"/>
      <c r="OD507" s="324"/>
      <c r="OE507" s="324"/>
      <c r="OF507" s="256"/>
      <c r="OG507" s="325"/>
      <c r="OH507" s="311"/>
      <c r="OI507" s="325"/>
      <c r="OJ507" s="310"/>
      <c r="OK507" s="325"/>
      <c r="OL507" s="325"/>
      <c r="OM507" s="325"/>
      <c r="ON507" s="325"/>
      <c r="OO507" s="325"/>
      <c r="OP507" s="325"/>
      <c r="OQ507" s="325"/>
      <c r="OR507" s="325"/>
      <c r="OS507" s="325"/>
      <c r="OT507" s="325"/>
      <c r="OU507" s="325"/>
      <c r="OV507" s="325"/>
      <c r="OW507" s="325"/>
      <c r="OX507" s="325"/>
      <c r="OY507" s="325"/>
      <c r="OZ507" s="325"/>
      <c r="PA507" s="325"/>
      <c r="PB507" s="325"/>
      <c r="PC507" s="325"/>
      <c r="PD507" s="325"/>
      <c r="PE507" s="325"/>
      <c r="PF507" s="325"/>
      <c r="PG507" s="325"/>
      <c r="PH507" s="325"/>
      <c r="PI507" s="325"/>
      <c r="PJ507" s="325"/>
      <c r="PK507" s="325"/>
      <c r="PL507" s="325"/>
      <c r="PM507" s="325"/>
      <c r="PN507" s="325"/>
      <c r="PO507" s="327"/>
      <c r="PP507" s="28"/>
      <c r="PQ507" s="324"/>
      <c r="PR507" s="324"/>
      <c r="PS507" s="324"/>
      <c r="PT507" s="324"/>
      <c r="PU507" s="324"/>
      <c r="PV507" s="324"/>
      <c r="PW507" s="256"/>
      <c r="PX507" s="325"/>
      <c r="PY507" s="311"/>
      <c r="PZ507" s="325"/>
      <c r="QA507" s="310"/>
      <c r="QB507" s="325"/>
      <c r="QC507" s="325"/>
      <c r="QD507" s="325"/>
      <c r="QE507" s="325"/>
      <c r="QF507" s="325"/>
      <c r="QG507" s="325"/>
      <c r="QH507" s="325"/>
      <c r="QI507" s="325"/>
      <c r="QJ507" s="325"/>
      <c r="QK507" s="325"/>
      <c r="QL507" s="325"/>
      <c r="QM507" s="325"/>
      <c r="QN507" s="325"/>
      <c r="QO507" s="325"/>
      <c r="QP507" s="325"/>
      <c r="QQ507" s="325"/>
      <c r="QR507" s="325"/>
      <c r="QS507" s="325"/>
      <c r="QT507" s="325"/>
      <c r="QU507" s="325"/>
      <c r="QV507" s="325"/>
      <c r="QW507" s="325"/>
      <c r="QX507" s="325"/>
      <c r="QY507" s="325"/>
      <c r="QZ507" s="325"/>
      <c r="RA507" s="325"/>
      <c r="RB507" s="325"/>
      <c r="RC507" s="325"/>
      <c r="RD507" s="325"/>
      <c r="RE507" s="325"/>
      <c r="RF507" s="327"/>
      <c r="RG507" s="28"/>
      <c r="RH507" s="324"/>
      <c r="RI507" s="324"/>
      <c r="RJ507" s="324"/>
      <c r="RK507" s="324"/>
      <c r="RL507" s="324"/>
      <c r="RM507" s="324"/>
      <c r="RN507" s="256"/>
      <c r="RO507" s="325"/>
      <c r="RP507" s="311"/>
      <c r="RQ507" s="325"/>
      <c r="RR507" s="310"/>
      <c r="RS507" s="325"/>
      <c r="RT507" s="325"/>
      <c r="RU507" s="325"/>
      <c r="RV507" s="325"/>
      <c r="RW507" s="325"/>
      <c r="RX507" s="325"/>
      <c r="RY507" s="325"/>
      <c r="RZ507" s="325"/>
      <c r="SA507" s="325"/>
      <c r="SB507" s="325"/>
      <c r="SC507" s="325"/>
      <c r="SD507" s="325"/>
      <c r="SE507" s="325"/>
      <c r="SF507" s="325"/>
      <c r="SG507" s="325"/>
      <c r="SH507" s="325"/>
      <c r="SI507" s="325"/>
      <c r="SJ507" s="325"/>
      <c r="SK507" s="325"/>
      <c r="SL507" s="325"/>
      <c r="SM507" s="325"/>
      <c r="SN507" s="325"/>
      <c r="SO507" s="325"/>
      <c r="SP507" s="325"/>
      <c r="SQ507" s="325"/>
      <c r="SR507" s="325"/>
      <c r="SS507" s="325"/>
      <c r="ST507" s="325"/>
      <c r="SU507" s="325"/>
      <c r="SV507" s="325"/>
      <c r="SW507" s="327"/>
      <c r="SX507" s="28"/>
      <c r="SY507" s="324"/>
      <c r="SZ507" s="324"/>
      <c r="TA507" s="324"/>
      <c r="TB507" s="324"/>
      <c r="TC507" s="324"/>
      <c r="TD507" s="324"/>
      <c r="TE507" s="256"/>
      <c r="TF507" s="325"/>
      <c r="TG507" s="311"/>
      <c r="TH507" s="325"/>
      <c r="TI507" s="310"/>
      <c r="TJ507" s="325"/>
      <c r="TK507" s="325"/>
      <c r="TL507" s="325"/>
      <c r="TM507" s="325"/>
      <c r="TN507" s="325"/>
      <c r="TO507" s="325"/>
      <c r="TP507" s="325"/>
      <c r="TQ507" s="325"/>
      <c r="TR507" s="325"/>
      <c r="TS507" s="325"/>
      <c r="TT507" s="325"/>
      <c r="TU507" s="325"/>
      <c r="TV507" s="325"/>
      <c r="TW507" s="325"/>
      <c r="TX507" s="325"/>
      <c r="TY507" s="325"/>
      <c r="TZ507" s="325"/>
      <c r="UA507" s="325"/>
      <c r="UB507" s="325"/>
      <c r="UC507" s="325"/>
      <c r="UD507" s="325"/>
      <c r="UE507" s="325"/>
      <c r="UF507" s="325"/>
      <c r="UG507" s="325"/>
      <c r="UH507" s="325"/>
      <c r="UI507" s="325"/>
      <c r="UJ507" s="325"/>
      <c r="UK507" s="325"/>
      <c r="UL507" s="325"/>
      <c r="UM507" s="325"/>
      <c r="UN507" s="327"/>
      <c r="UO507" s="28"/>
      <c r="UP507" s="324"/>
      <c r="UQ507" s="324"/>
      <c r="UR507" s="324"/>
      <c r="US507" s="324"/>
      <c r="UT507" s="324"/>
      <c r="UU507" s="324"/>
      <c r="UV507" s="256"/>
      <c r="UW507" s="325"/>
      <c r="UX507" s="311"/>
      <c r="UY507" s="325"/>
      <c r="UZ507" s="310"/>
      <c r="VA507" s="325"/>
      <c r="VB507" s="325"/>
      <c r="VC507" s="325"/>
      <c r="VD507" s="325"/>
      <c r="VE507" s="325"/>
      <c r="VF507" s="325"/>
      <c r="VG507" s="325"/>
      <c r="VH507" s="325"/>
      <c r="VI507" s="325"/>
      <c r="VJ507" s="325"/>
      <c r="VK507" s="325"/>
      <c r="VL507" s="325"/>
      <c r="VM507" s="325"/>
      <c r="VN507" s="325"/>
      <c r="VO507" s="325"/>
      <c r="VP507" s="325"/>
      <c r="VQ507" s="325"/>
      <c r="VR507" s="325"/>
      <c r="VS507" s="325"/>
      <c r="VT507" s="325"/>
      <c r="VU507" s="325"/>
      <c r="VV507" s="325"/>
      <c r="VW507" s="325"/>
      <c r="VX507" s="325"/>
      <c r="VY507" s="325"/>
      <c r="VZ507" s="325"/>
      <c r="WA507" s="325"/>
      <c r="WB507" s="325"/>
      <c r="WC507" s="325"/>
      <c r="WD507" s="325"/>
      <c r="WE507" s="327"/>
      <c r="WF507" s="28"/>
      <c r="WG507" s="324"/>
      <c r="WH507" s="324"/>
      <c r="WI507" s="324"/>
      <c r="WJ507" s="324"/>
      <c r="WK507" s="324"/>
      <c r="WL507" s="324"/>
      <c r="WM507" s="256"/>
      <c r="WN507" s="325"/>
      <c r="WO507" s="311"/>
      <c r="WP507" s="325"/>
      <c r="WQ507" s="310"/>
      <c r="WR507" s="325"/>
      <c r="WS507" s="325"/>
      <c r="WT507" s="325"/>
      <c r="WU507" s="325"/>
      <c r="WV507" s="325"/>
      <c r="WW507" s="325"/>
      <c r="WX507" s="325"/>
      <c r="WY507" s="325"/>
      <c r="WZ507" s="325"/>
      <c r="XA507" s="325"/>
      <c r="XB507" s="325"/>
      <c r="XC507" s="325"/>
      <c r="XD507" s="325"/>
      <c r="XE507" s="325"/>
      <c r="XF507" s="325"/>
      <c r="XG507" s="325"/>
      <c r="XH507" s="325"/>
      <c r="XI507" s="325"/>
      <c r="XJ507" s="325"/>
      <c r="XK507" s="325"/>
      <c r="XL507" s="325"/>
      <c r="XM507" s="325"/>
      <c r="XN507" s="325"/>
      <c r="XO507" s="325"/>
      <c r="XP507" s="325"/>
      <c r="XQ507" s="325"/>
      <c r="XR507" s="325"/>
      <c r="XS507" s="325"/>
      <c r="XT507" s="325"/>
      <c r="XU507" s="325"/>
      <c r="XV507" s="327"/>
      <c r="XW507" s="28"/>
      <c r="XX507" s="324"/>
      <c r="XY507" s="324"/>
      <c r="XZ507" s="324"/>
      <c r="YA507" s="324"/>
      <c r="YB507" s="324"/>
      <c r="YC507" s="324"/>
      <c r="YD507" s="256"/>
      <c r="YE507" s="325"/>
      <c r="YF507" s="311"/>
      <c r="YG507" s="325"/>
      <c r="YH507" s="310"/>
      <c r="YI507" s="325"/>
      <c r="YJ507" s="325"/>
      <c r="YK507" s="325"/>
      <c r="YL507" s="325"/>
      <c r="YM507" s="325"/>
      <c r="YN507" s="325"/>
      <c r="YO507" s="325"/>
      <c r="YP507" s="325"/>
      <c r="YQ507" s="325"/>
      <c r="YR507" s="325"/>
      <c r="YS507" s="325"/>
      <c r="YT507" s="325"/>
      <c r="YU507" s="325"/>
      <c r="YV507" s="325"/>
      <c r="YW507" s="325"/>
      <c r="YX507" s="325"/>
      <c r="YY507" s="325"/>
      <c r="YZ507" s="325"/>
      <c r="ZA507" s="325"/>
      <c r="ZB507" s="325"/>
      <c r="ZC507" s="325"/>
      <c r="ZD507" s="325"/>
      <c r="ZE507" s="325"/>
      <c r="ZF507" s="325"/>
      <c r="ZG507" s="325"/>
      <c r="ZH507" s="325"/>
      <c r="ZI507" s="325"/>
      <c r="ZJ507" s="325"/>
      <c r="ZK507" s="325"/>
      <c r="ZL507" s="325"/>
      <c r="ZM507" s="327"/>
      <c r="ZN507" s="28"/>
      <c r="ZO507" s="324"/>
      <c r="ZP507" s="324"/>
      <c r="ZQ507" s="324"/>
      <c r="ZR507" s="324"/>
      <c r="ZS507" s="324"/>
      <c r="ZT507" s="324"/>
      <c r="ZU507" s="256"/>
      <c r="ZV507" s="325"/>
      <c r="ZW507" s="311"/>
      <c r="ZX507" s="325"/>
      <c r="ZY507" s="310"/>
      <c r="ZZ507" s="325"/>
      <c r="AAA507" s="325"/>
      <c r="AAB507" s="325"/>
      <c r="AAC507" s="325"/>
      <c r="AAD507" s="325"/>
      <c r="AAE507" s="325"/>
      <c r="AAF507" s="325"/>
      <c r="AAG507" s="325"/>
      <c r="AAH507" s="325"/>
      <c r="AAI507" s="325"/>
      <c r="AAJ507" s="325"/>
      <c r="AAK507" s="325"/>
      <c r="AAL507" s="325"/>
      <c r="AAM507" s="325"/>
      <c r="AAN507" s="325"/>
      <c r="AAO507" s="325"/>
      <c r="AAP507" s="325"/>
      <c r="AAQ507" s="325"/>
      <c r="AAR507" s="325"/>
      <c r="AAS507" s="325"/>
      <c r="AAT507" s="325"/>
      <c r="AAU507" s="325"/>
      <c r="AAV507" s="325"/>
      <c r="AAW507" s="325"/>
      <c r="AAX507" s="325"/>
      <c r="AAY507" s="325"/>
      <c r="AAZ507" s="325"/>
      <c r="ABA507" s="325"/>
      <c r="ABB507" s="325"/>
      <c r="ABC507" s="325"/>
      <c r="ABD507" s="327"/>
      <c r="ABE507" s="28"/>
      <c r="ABF507" s="324"/>
      <c r="ABG507" s="324"/>
      <c r="ABH507" s="324"/>
      <c r="ABI507" s="324"/>
      <c r="ABJ507" s="324"/>
      <c r="ABK507" s="324"/>
      <c r="ABL507" s="256"/>
      <c r="ABM507" s="325"/>
      <c r="ABN507" s="311"/>
      <c r="ABO507" s="325"/>
      <c r="ABP507" s="310"/>
      <c r="ABQ507" s="325"/>
      <c r="ABR507" s="325"/>
      <c r="ABS507" s="325"/>
      <c r="ABT507" s="325"/>
      <c r="ABU507" s="325"/>
      <c r="ABV507" s="325"/>
      <c r="ABW507" s="325"/>
      <c r="ABX507" s="325"/>
      <c r="ABY507" s="325"/>
      <c r="ABZ507" s="325"/>
      <c r="ACA507" s="325"/>
      <c r="ACB507" s="325"/>
      <c r="ACC507" s="325"/>
      <c r="ACD507" s="325"/>
      <c r="ACE507" s="325"/>
      <c r="ACF507" s="325"/>
      <c r="ACG507" s="325"/>
      <c r="ACH507" s="325"/>
      <c r="ACI507" s="325"/>
      <c r="ACJ507" s="325"/>
      <c r="ACK507" s="325"/>
      <c r="ACL507" s="325"/>
      <c r="ACM507" s="325"/>
      <c r="ACN507" s="325"/>
      <c r="ACO507" s="325"/>
      <c r="ACP507" s="325"/>
      <c r="ACQ507" s="325"/>
      <c r="ACR507" s="325"/>
      <c r="ACS507" s="325"/>
      <c r="ACT507" s="325"/>
      <c r="ACU507" s="327"/>
      <c r="ACV507" s="28"/>
      <c r="ACW507" s="324"/>
      <c r="ACX507" s="324"/>
      <c r="ACY507" s="324"/>
      <c r="ACZ507" s="324"/>
      <c r="ADA507" s="324"/>
      <c r="ADB507" s="324"/>
      <c r="ADC507" s="256"/>
      <c r="ADD507" s="325"/>
      <c r="ADE507" s="311"/>
      <c r="ADF507" s="325"/>
      <c r="ADG507" s="310"/>
      <c r="ADH507" s="325"/>
      <c r="ADI507" s="325"/>
      <c r="ADJ507" s="325"/>
      <c r="ADK507" s="325"/>
      <c r="ADL507" s="325"/>
      <c r="ADM507" s="325"/>
      <c r="ADN507" s="325"/>
      <c r="ADO507" s="325"/>
      <c r="ADP507" s="325"/>
      <c r="ADQ507" s="325"/>
      <c r="ADR507" s="325"/>
      <c r="ADS507" s="325"/>
      <c r="ADT507" s="325"/>
      <c r="ADU507" s="325"/>
      <c r="ADV507" s="325"/>
      <c r="ADW507" s="325"/>
      <c r="ADX507" s="325"/>
      <c r="ADY507" s="325"/>
      <c r="ADZ507" s="325"/>
      <c r="AEA507" s="325"/>
      <c r="AEB507" s="325"/>
      <c r="AEC507" s="325"/>
      <c r="AED507" s="325"/>
      <c r="AEE507" s="325"/>
      <c r="AEF507" s="325"/>
      <c r="AEG507" s="325"/>
      <c r="AEH507" s="325"/>
      <c r="AEI507" s="325"/>
      <c r="AEJ507" s="325"/>
      <c r="AEK507" s="325"/>
      <c r="AEL507" s="327"/>
      <c r="AEM507" s="28"/>
      <c r="AEN507" s="324"/>
      <c r="AEO507" s="324"/>
      <c r="AEP507" s="324"/>
      <c r="AEQ507" s="324"/>
      <c r="AER507" s="324"/>
      <c r="AES507" s="324"/>
      <c r="AET507" s="256"/>
      <c r="AEU507" s="325"/>
      <c r="AEV507" s="311"/>
      <c r="AEW507" s="325"/>
      <c r="AEX507" s="310"/>
      <c r="AEY507" s="325"/>
      <c r="AEZ507" s="325"/>
      <c r="AFA507" s="325"/>
      <c r="AFB507" s="325"/>
      <c r="AFC507" s="325"/>
      <c r="AFD507" s="325"/>
      <c r="AFE507" s="325"/>
      <c r="AFF507" s="325"/>
      <c r="AFG507" s="325"/>
      <c r="AFH507" s="325"/>
      <c r="AFI507" s="325"/>
      <c r="AFJ507" s="325"/>
      <c r="AFK507" s="325"/>
      <c r="AFL507" s="325"/>
      <c r="AFM507" s="325"/>
      <c r="AFN507" s="325"/>
      <c r="AFO507" s="325"/>
      <c r="AFP507" s="325"/>
      <c r="AFQ507" s="325"/>
      <c r="AFR507" s="325"/>
      <c r="AFS507" s="325"/>
      <c r="AFT507" s="325"/>
      <c r="AFU507" s="325"/>
      <c r="AFV507" s="325"/>
      <c r="AFW507" s="325"/>
      <c r="AFX507" s="325"/>
      <c r="AFY507" s="325"/>
      <c r="AFZ507" s="325"/>
      <c r="AGA507" s="325"/>
      <c r="AGB507" s="325"/>
      <c r="AGC507" s="327"/>
      <c r="AGD507" s="28"/>
      <c r="AGE507" s="324"/>
      <c r="AGF507" s="324"/>
      <c r="AGG507" s="324"/>
      <c r="AGH507" s="324"/>
      <c r="AGI507" s="324"/>
      <c r="AGJ507" s="324"/>
      <c r="AGK507" s="256"/>
      <c r="AGL507" s="325"/>
      <c r="AGM507" s="311"/>
      <c r="AGN507" s="325"/>
      <c r="AGO507" s="310"/>
      <c r="AGP507" s="325"/>
      <c r="AGQ507" s="325"/>
      <c r="AGR507" s="325"/>
      <c r="AGS507" s="325"/>
      <c r="AGT507" s="325"/>
      <c r="AGU507" s="325"/>
      <c r="AGV507" s="325"/>
      <c r="AGW507" s="325"/>
      <c r="AGX507" s="325"/>
      <c r="AGY507" s="325"/>
      <c r="AGZ507" s="325"/>
      <c r="AHA507" s="325"/>
      <c r="AHB507" s="325"/>
      <c r="AHC507" s="325"/>
      <c r="AHD507" s="325"/>
      <c r="AHE507" s="325"/>
      <c r="AHF507" s="325"/>
      <c r="AHG507" s="325"/>
      <c r="AHH507" s="325"/>
      <c r="AHI507" s="325"/>
      <c r="AHJ507" s="325"/>
      <c r="AHK507" s="325"/>
      <c r="AHL507" s="325"/>
      <c r="AHM507" s="325"/>
      <c r="AHN507" s="325"/>
      <c r="AHO507" s="325"/>
      <c r="AHP507" s="325"/>
      <c r="AHQ507" s="325"/>
      <c r="AHR507" s="325"/>
      <c r="AHS507" s="325"/>
      <c r="AHT507" s="327"/>
      <c r="AHU507" s="28"/>
      <c r="AHV507" s="324"/>
      <c r="AHW507" s="324"/>
      <c r="AHX507" s="324"/>
      <c r="AHY507" s="324"/>
      <c r="AHZ507" s="324"/>
      <c r="AIA507" s="324"/>
      <c r="AIB507" s="256"/>
      <c r="AIC507" s="325"/>
      <c r="AID507" s="311"/>
      <c r="AIE507" s="325"/>
      <c r="AIF507" s="310"/>
      <c r="AIG507" s="325"/>
      <c r="AIH507" s="325"/>
      <c r="AII507" s="325"/>
      <c r="AIJ507" s="325"/>
      <c r="AIK507" s="325"/>
      <c r="AIL507" s="325"/>
      <c r="AIM507" s="325"/>
      <c r="AIN507" s="325"/>
      <c r="AIO507" s="325"/>
      <c r="AIP507" s="325"/>
      <c r="AIQ507" s="325"/>
      <c r="AIR507" s="325"/>
      <c r="AIS507" s="325"/>
      <c r="AIT507" s="325"/>
      <c r="AIU507" s="325"/>
      <c r="AIV507" s="325"/>
      <c r="AIW507" s="325"/>
      <c r="AIX507" s="325"/>
      <c r="AIY507" s="325"/>
      <c r="AIZ507" s="325"/>
      <c r="AJA507" s="325"/>
      <c r="AJB507" s="325"/>
      <c r="AJC507" s="325"/>
      <c r="AJD507" s="325"/>
      <c r="AJE507" s="325"/>
      <c r="AJF507" s="325"/>
      <c r="AJG507" s="325"/>
      <c r="AJH507" s="325"/>
      <c r="AJI507" s="325"/>
      <c r="AJJ507" s="325"/>
      <c r="AJK507" s="327"/>
      <c r="AJL507" s="28"/>
      <c r="AJM507" s="324"/>
      <c r="AJN507" s="324"/>
      <c r="AJO507" s="324"/>
      <c r="AJP507" s="324"/>
      <c r="AJQ507" s="324"/>
      <c r="AJR507" s="324"/>
      <c r="AJS507" s="256"/>
      <c r="AJT507" s="325"/>
      <c r="AJU507" s="311"/>
      <c r="AJV507" s="325"/>
      <c r="AJW507" s="310"/>
      <c r="AJX507" s="325"/>
      <c r="AJY507" s="325"/>
      <c r="AJZ507" s="325"/>
      <c r="AKA507" s="325"/>
      <c r="AKB507" s="325"/>
      <c r="AKC507" s="325"/>
      <c r="AKD507" s="325"/>
      <c r="AKE507" s="325"/>
      <c r="AKF507" s="325"/>
      <c r="AKG507" s="325"/>
      <c r="AKH507" s="325"/>
      <c r="AKI507" s="325"/>
      <c r="AKJ507" s="325"/>
      <c r="AKK507" s="325"/>
      <c r="AKL507" s="325"/>
      <c r="AKM507" s="325"/>
      <c r="AKN507" s="325"/>
      <c r="AKO507" s="325"/>
      <c r="AKP507" s="325"/>
      <c r="AKQ507" s="325"/>
      <c r="AKR507" s="325"/>
      <c r="AKS507" s="325"/>
      <c r="AKT507" s="325"/>
      <c r="AKU507" s="325"/>
      <c r="AKV507" s="325"/>
      <c r="AKW507" s="325"/>
      <c r="AKX507" s="325"/>
      <c r="AKY507" s="325"/>
      <c r="AKZ507" s="325"/>
      <c r="ALA507" s="325"/>
      <c r="ALB507" s="327"/>
      <c r="ALC507" s="28"/>
      <c r="ALD507" s="324"/>
      <c r="ALE507" s="324"/>
      <c r="ALF507" s="324"/>
      <c r="ALG507" s="324"/>
      <c r="ALH507" s="324"/>
      <c r="ALI507" s="324"/>
      <c r="ALJ507" s="256"/>
      <c r="ALK507" s="325"/>
      <c r="ALL507" s="311"/>
      <c r="ALM507" s="325"/>
      <c r="ALN507" s="310"/>
      <c r="ALO507" s="325"/>
      <c r="ALP507" s="325"/>
      <c r="ALQ507" s="325"/>
      <c r="ALR507" s="325"/>
      <c r="ALS507" s="325"/>
      <c r="ALT507" s="325"/>
      <c r="ALU507" s="325"/>
      <c r="ALV507" s="325"/>
      <c r="ALW507" s="325"/>
      <c r="ALX507" s="325"/>
      <c r="ALY507" s="325"/>
      <c r="ALZ507" s="325"/>
      <c r="AMA507" s="325"/>
      <c r="AMB507" s="325"/>
      <c r="AMC507" s="325"/>
      <c r="AMD507" s="325"/>
      <c r="AME507" s="325"/>
      <c r="AMF507" s="325"/>
      <c r="AMG507" s="325"/>
      <c r="AMH507" s="325"/>
      <c r="AMI507" s="325"/>
      <c r="AMJ507" s="325"/>
      <c r="AMK507" s="325"/>
      <c r="AML507" s="325"/>
      <c r="AMM507" s="325"/>
      <c r="AMN507" s="325"/>
      <c r="AMO507" s="325"/>
      <c r="AMP507" s="325"/>
      <c r="AMQ507" s="325"/>
      <c r="AMR507" s="325"/>
      <c r="AMS507" s="327"/>
      <c r="AMT507" s="28"/>
      <c r="AMU507" s="324"/>
      <c r="AMV507" s="324"/>
      <c r="AMW507" s="324"/>
      <c r="AMX507" s="324"/>
      <c r="AMY507" s="324"/>
      <c r="AMZ507" s="324"/>
      <c r="ANA507" s="256"/>
      <c r="ANB507" s="325"/>
      <c r="ANC507" s="311"/>
      <c r="AND507" s="325"/>
      <c r="ANE507" s="310"/>
      <c r="ANF507" s="325"/>
      <c r="ANG507" s="325"/>
      <c r="ANH507" s="325"/>
      <c r="ANI507" s="325"/>
      <c r="ANJ507" s="325"/>
      <c r="ANK507" s="325"/>
      <c r="ANL507" s="325"/>
      <c r="ANM507" s="325"/>
      <c r="ANN507" s="325"/>
      <c r="ANO507" s="325"/>
      <c r="ANP507" s="325"/>
      <c r="ANQ507" s="325"/>
      <c r="ANR507" s="325"/>
      <c r="ANS507" s="325"/>
      <c r="ANT507" s="325"/>
      <c r="ANU507" s="325"/>
      <c r="ANV507" s="325"/>
      <c r="ANW507" s="325"/>
      <c r="ANX507" s="325"/>
      <c r="ANY507" s="325"/>
      <c r="ANZ507" s="325"/>
      <c r="AOA507" s="325"/>
      <c r="AOB507" s="325"/>
      <c r="AOC507" s="325"/>
      <c r="AOD507" s="325"/>
      <c r="AOE507" s="325"/>
      <c r="AOF507" s="325"/>
      <c r="AOG507" s="325"/>
      <c r="AOH507" s="325"/>
      <c r="AOI507" s="325"/>
      <c r="AOJ507" s="327"/>
      <c r="AOK507" s="28"/>
      <c r="AOL507" s="324"/>
      <c r="AOM507" s="324"/>
      <c r="AON507" s="324"/>
      <c r="AOO507" s="324"/>
      <c r="AOP507" s="324"/>
      <c r="AOQ507" s="324"/>
      <c r="AOR507" s="256"/>
      <c r="AOS507" s="325"/>
      <c r="AOT507" s="311"/>
      <c r="AOU507" s="325"/>
      <c r="AOV507" s="310"/>
      <c r="AOW507" s="325"/>
      <c r="AOX507" s="325"/>
      <c r="AOY507" s="325"/>
      <c r="AOZ507" s="325"/>
      <c r="APA507" s="325"/>
      <c r="APB507" s="325"/>
      <c r="APC507" s="325"/>
      <c r="APD507" s="325"/>
      <c r="APE507" s="325"/>
      <c r="APF507" s="325"/>
      <c r="APG507" s="325"/>
      <c r="APH507" s="325"/>
      <c r="API507" s="325"/>
      <c r="APJ507" s="325"/>
      <c r="APK507" s="325"/>
      <c r="APL507" s="325"/>
      <c r="APM507" s="325"/>
      <c r="APN507" s="325"/>
      <c r="APO507" s="325"/>
      <c r="APP507" s="325"/>
      <c r="APQ507" s="325"/>
      <c r="APR507" s="325"/>
      <c r="APS507" s="325"/>
      <c r="APT507" s="325"/>
      <c r="APU507" s="325"/>
      <c r="APV507" s="325"/>
      <c r="APW507" s="325"/>
      <c r="APX507" s="325"/>
      <c r="APY507" s="325"/>
      <c r="APZ507" s="325"/>
      <c r="AQA507" s="327"/>
      <c r="AQB507" s="28"/>
      <c r="AQC507" s="324"/>
      <c r="AQD507" s="324"/>
      <c r="AQE507" s="324"/>
      <c r="AQF507" s="324"/>
      <c r="AQG507" s="324"/>
      <c r="AQH507" s="324"/>
      <c r="AQI507" s="256"/>
      <c r="AQJ507" s="325"/>
      <c r="AQK507" s="311"/>
      <c r="AQL507" s="325"/>
      <c r="AQM507" s="310"/>
      <c r="AQN507" s="325"/>
      <c r="AQO507" s="325"/>
      <c r="AQP507" s="325"/>
      <c r="AQQ507" s="325"/>
      <c r="AQR507" s="325"/>
      <c r="AQS507" s="325"/>
      <c r="AQT507" s="325"/>
      <c r="AQU507" s="325"/>
      <c r="AQV507" s="325"/>
      <c r="AQW507" s="325"/>
      <c r="AQX507" s="325"/>
      <c r="AQY507" s="325"/>
      <c r="AQZ507" s="325"/>
      <c r="ARA507" s="325"/>
      <c r="ARB507" s="325"/>
      <c r="ARC507" s="325"/>
      <c r="ARD507" s="325"/>
      <c r="ARE507" s="325"/>
      <c r="ARF507" s="325"/>
      <c r="ARG507" s="325"/>
      <c r="ARH507" s="325"/>
      <c r="ARI507" s="325"/>
      <c r="ARJ507" s="325"/>
      <c r="ARK507" s="325"/>
      <c r="ARL507" s="325"/>
      <c r="ARM507" s="325"/>
      <c r="ARN507" s="325"/>
      <c r="ARO507" s="325"/>
      <c r="ARP507" s="325"/>
      <c r="ARQ507" s="325"/>
      <c r="ARR507" s="327"/>
      <c r="ARS507" s="28"/>
      <c r="ART507" s="324"/>
      <c r="ARU507" s="324"/>
      <c r="ARV507" s="324"/>
      <c r="ARW507" s="324"/>
      <c r="ARX507" s="324"/>
      <c r="ARY507" s="324"/>
      <c r="ARZ507" s="256"/>
      <c r="ASA507" s="325"/>
      <c r="ASB507" s="311"/>
      <c r="ASC507" s="325"/>
      <c r="ASD507" s="310"/>
      <c r="ASE507" s="325"/>
      <c r="ASF507" s="325"/>
      <c r="ASG507" s="325"/>
      <c r="ASH507" s="325"/>
      <c r="ASI507" s="325"/>
      <c r="ASJ507" s="325"/>
      <c r="ASK507" s="325"/>
      <c r="ASL507" s="325"/>
      <c r="ASM507" s="325"/>
      <c r="ASN507" s="325"/>
      <c r="ASO507" s="325"/>
      <c r="ASP507" s="325"/>
      <c r="ASQ507" s="325"/>
      <c r="ASR507" s="325"/>
      <c r="ASS507" s="325"/>
      <c r="AST507" s="325"/>
      <c r="ASU507" s="325"/>
      <c r="ASV507" s="325"/>
      <c r="ASW507" s="325"/>
      <c r="ASX507" s="325"/>
      <c r="ASY507" s="325"/>
      <c r="ASZ507" s="325"/>
      <c r="ATA507" s="325"/>
      <c r="ATB507" s="325"/>
      <c r="ATC507" s="325"/>
      <c r="ATD507" s="325"/>
      <c r="ATE507" s="325"/>
      <c r="ATF507" s="325"/>
      <c r="ATG507" s="325"/>
      <c r="ATH507" s="325"/>
      <c r="ATI507" s="327"/>
      <c r="ATJ507" s="28"/>
      <c r="ATK507" s="324"/>
      <c r="ATL507" s="324"/>
      <c r="ATM507" s="324"/>
      <c r="ATN507" s="324"/>
      <c r="ATO507" s="324"/>
      <c r="ATP507" s="324"/>
      <c r="ATQ507" s="256"/>
      <c r="ATR507" s="325"/>
      <c r="ATS507" s="311"/>
      <c r="ATT507" s="325"/>
      <c r="ATU507" s="310"/>
      <c r="ATV507" s="325"/>
      <c r="ATW507" s="325"/>
      <c r="ATX507" s="325"/>
      <c r="ATY507" s="325"/>
      <c r="ATZ507" s="325"/>
      <c r="AUA507" s="325"/>
      <c r="AUB507" s="325"/>
      <c r="AUC507" s="325"/>
      <c r="AUD507" s="325"/>
      <c r="AUE507" s="325"/>
      <c r="AUF507" s="325"/>
      <c r="AUG507" s="325"/>
      <c r="AUH507" s="325"/>
      <c r="AUI507" s="325"/>
      <c r="AUJ507" s="325"/>
      <c r="AUK507" s="325"/>
      <c r="AUL507" s="325"/>
      <c r="AUM507" s="325"/>
      <c r="AUN507" s="325"/>
      <c r="AUO507" s="325"/>
      <c r="AUP507" s="325"/>
      <c r="AUQ507" s="325"/>
      <c r="AUR507" s="325"/>
      <c r="AUS507" s="325"/>
      <c r="AUT507" s="325"/>
      <c r="AUU507" s="325"/>
      <c r="AUV507" s="325"/>
      <c r="AUW507" s="325"/>
      <c r="AUX507" s="325"/>
      <c r="AUY507" s="325"/>
      <c r="AUZ507" s="327"/>
      <c r="AVA507" s="28"/>
      <c r="AVB507" s="324"/>
      <c r="AVC507" s="324"/>
      <c r="AVD507" s="324"/>
      <c r="AVE507" s="324"/>
      <c r="AVF507" s="324"/>
      <c r="AVG507" s="324"/>
      <c r="AVH507" s="256"/>
      <c r="AVI507" s="325"/>
      <c r="AVJ507" s="311"/>
      <c r="AVK507" s="325"/>
      <c r="AVL507" s="310"/>
      <c r="AVM507" s="325"/>
      <c r="AVN507" s="325"/>
      <c r="AVO507" s="325"/>
      <c r="AVP507" s="325"/>
      <c r="AVQ507" s="325"/>
      <c r="AVR507" s="325"/>
      <c r="AVS507" s="325"/>
      <c r="AVT507" s="325"/>
      <c r="AVU507" s="325"/>
      <c r="AVV507" s="325"/>
      <c r="AVW507" s="325"/>
      <c r="AVX507" s="325"/>
      <c r="AVY507" s="325"/>
      <c r="AVZ507" s="325"/>
      <c r="AWA507" s="325"/>
      <c r="AWB507" s="325"/>
      <c r="AWC507" s="325"/>
      <c r="AWD507" s="325"/>
      <c r="AWE507" s="325"/>
      <c r="AWF507" s="325"/>
      <c r="AWG507" s="325"/>
      <c r="AWH507" s="325"/>
      <c r="AWI507" s="325"/>
      <c r="AWJ507" s="325"/>
      <c r="AWK507" s="325"/>
      <c r="AWL507" s="325"/>
      <c r="AWM507" s="325"/>
      <c r="AWN507" s="325"/>
      <c r="AWO507" s="325"/>
      <c r="AWP507" s="325"/>
      <c r="AWQ507" s="327"/>
      <c r="AWR507" s="28"/>
      <c r="AWS507" s="324"/>
      <c r="AWT507" s="324"/>
      <c r="AWU507" s="324"/>
      <c r="AWV507" s="324"/>
      <c r="AWW507" s="324"/>
      <c r="AWX507" s="324"/>
      <c r="AWY507" s="256"/>
      <c r="AWZ507" s="325"/>
      <c r="AXA507" s="311"/>
      <c r="AXB507" s="325"/>
      <c r="AXC507" s="310"/>
      <c r="AXD507" s="325"/>
      <c r="AXE507" s="325"/>
      <c r="AXF507" s="325"/>
      <c r="AXG507" s="325"/>
      <c r="AXH507" s="325"/>
      <c r="AXI507" s="325"/>
      <c r="AXJ507" s="325"/>
      <c r="AXK507" s="325"/>
      <c r="AXL507" s="325"/>
      <c r="AXM507" s="325"/>
      <c r="AXN507" s="325"/>
      <c r="AXO507" s="325"/>
      <c r="AXP507" s="325"/>
      <c r="AXQ507" s="325"/>
      <c r="AXR507" s="325"/>
      <c r="AXS507" s="325"/>
      <c r="AXT507" s="325"/>
      <c r="AXU507" s="325"/>
      <c r="AXV507" s="325"/>
      <c r="AXW507" s="325"/>
      <c r="AXX507" s="325"/>
      <c r="AXY507" s="325"/>
      <c r="AXZ507" s="325"/>
      <c r="AYA507" s="325"/>
      <c r="AYB507" s="325"/>
      <c r="AYC507" s="325"/>
      <c r="AYD507" s="325"/>
      <c r="AYE507" s="325"/>
      <c r="AYF507" s="325"/>
      <c r="AYG507" s="325"/>
      <c r="AYH507" s="327"/>
      <c r="AYI507" s="28"/>
      <c r="AYJ507" s="324"/>
      <c r="AYK507" s="324"/>
      <c r="AYL507" s="324"/>
      <c r="AYM507" s="324"/>
      <c r="AYN507" s="324"/>
      <c r="AYO507" s="324"/>
      <c r="AYP507" s="256"/>
      <c r="AYQ507" s="325"/>
      <c r="AYR507" s="311"/>
      <c r="AYS507" s="325"/>
      <c r="AYT507" s="310"/>
      <c r="AYU507" s="325"/>
      <c r="AYV507" s="325"/>
      <c r="AYW507" s="325"/>
      <c r="AYX507" s="325"/>
      <c r="AYY507" s="325"/>
      <c r="AYZ507" s="325"/>
      <c r="AZA507" s="325"/>
      <c r="AZB507" s="325"/>
      <c r="AZC507" s="325"/>
      <c r="AZD507" s="325"/>
      <c r="AZE507" s="325"/>
      <c r="AZF507" s="325"/>
      <c r="AZG507" s="325"/>
      <c r="AZH507" s="325"/>
      <c r="AZI507" s="325"/>
      <c r="AZJ507" s="325"/>
      <c r="AZK507" s="325"/>
      <c r="AZL507" s="325"/>
      <c r="AZM507" s="325"/>
      <c r="AZN507" s="325"/>
      <c r="AZO507" s="325"/>
      <c r="AZP507" s="325"/>
      <c r="AZQ507" s="325"/>
      <c r="AZR507" s="325"/>
      <c r="AZS507" s="325"/>
      <c r="AZT507" s="325"/>
      <c r="AZU507" s="325"/>
      <c r="AZV507" s="325"/>
      <c r="AZW507" s="325"/>
      <c r="AZX507" s="325"/>
      <c r="AZY507" s="327"/>
      <c r="AZZ507" s="28"/>
      <c r="BAA507" s="324"/>
      <c r="BAB507" s="324"/>
      <c r="BAC507" s="324"/>
      <c r="BAD507" s="324"/>
      <c r="BAE507" s="324"/>
      <c r="BAF507" s="324"/>
      <c r="BAG507" s="256"/>
      <c r="BAH507" s="325"/>
      <c r="BAI507" s="311"/>
      <c r="BAJ507" s="325"/>
      <c r="BAK507" s="310"/>
      <c r="BAL507" s="325"/>
      <c r="BAM507" s="325"/>
      <c r="BAN507" s="325"/>
      <c r="BAO507" s="325"/>
      <c r="BAP507" s="325"/>
      <c r="BAQ507" s="325"/>
      <c r="BAR507" s="325"/>
      <c r="BAS507" s="325"/>
      <c r="BAT507" s="325"/>
      <c r="BAU507" s="325"/>
      <c r="BAV507" s="325"/>
      <c r="BAW507" s="325"/>
      <c r="BAX507" s="325"/>
      <c r="BAY507" s="325"/>
      <c r="BAZ507" s="325"/>
      <c r="BBA507" s="325"/>
      <c r="BBB507" s="325"/>
      <c r="BBC507" s="325"/>
      <c r="BBD507" s="325"/>
      <c r="BBE507" s="325"/>
      <c r="BBF507" s="325"/>
      <c r="BBG507" s="325"/>
      <c r="BBH507" s="325"/>
      <c r="BBI507" s="325"/>
      <c r="BBJ507" s="325"/>
      <c r="BBK507" s="325"/>
      <c r="BBL507" s="325"/>
      <c r="BBM507" s="325"/>
      <c r="BBN507" s="325"/>
      <c r="BBO507" s="325"/>
      <c r="BBP507" s="327"/>
      <c r="BBQ507" s="28"/>
      <c r="BBR507" s="324"/>
      <c r="BBS507" s="324"/>
      <c r="BBT507" s="324"/>
      <c r="BBU507" s="324"/>
      <c r="BBV507" s="324"/>
      <c r="BBW507" s="324"/>
      <c r="BBX507" s="256"/>
      <c r="BBY507" s="325"/>
      <c r="BBZ507" s="311"/>
      <c r="BCA507" s="325"/>
      <c r="BCB507" s="310"/>
      <c r="BCC507" s="325"/>
      <c r="BCD507" s="325"/>
      <c r="BCE507" s="325"/>
      <c r="BCF507" s="325"/>
      <c r="BCG507" s="325"/>
      <c r="BCH507" s="325"/>
      <c r="BCI507" s="325"/>
      <c r="BCJ507" s="325"/>
      <c r="BCK507" s="325"/>
      <c r="BCL507" s="325"/>
      <c r="BCM507" s="325"/>
      <c r="BCN507" s="325"/>
      <c r="BCO507" s="325"/>
      <c r="BCP507" s="325"/>
      <c r="BCQ507" s="325"/>
      <c r="BCR507" s="325"/>
      <c r="BCS507" s="325"/>
      <c r="BCT507" s="325"/>
      <c r="BCU507" s="325"/>
      <c r="BCV507" s="325"/>
      <c r="BCW507" s="325"/>
      <c r="BCX507" s="325"/>
      <c r="BCY507" s="325"/>
      <c r="BCZ507" s="325"/>
      <c r="BDA507" s="325"/>
      <c r="BDB507" s="325"/>
      <c r="BDC507" s="325"/>
      <c r="BDD507" s="325"/>
      <c r="BDE507" s="325"/>
      <c r="BDF507" s="325"/>
      <c r="BDG507" s="327"/>
      <c r="BDH507" s="28"/>
      <c r="BDI507" s="324"/>
      <c r="BDJ507" s="324"/>
      <c r="BDK507" s="324"/>
      <c r="BDL507" s="324"/>
      <c r="BDM507" s="324"/>
      <c r="BDN507" s="324"/>
      <c r="BDO507" s="256"/>
      <c r="BDP507" s="325"/>
      <c r="BDQ507" s="311"/>
      <c r="BDR507" s="325"/>
      <c r="BDS507" s="310"/>
      <c r="BDT507" s="325"/>
      <c r="BDU507" s="325"/>
      <c r="BDV507" s="325"/>
      <c r="BDW507" s="325"/>
      <c r="BDX507" s="325"/>
      <c r="BDY507" s="325"/>
      <c r="BDZ507" s="325"/>
      <c r="BEA507" s="325"/>
      <c r="BEB507" s="325"/>
      <c r="BEC507" s="325"/>
      <c r="BED507" s="325"/>
      <c r="BEE507" s="325"/>
      <c r="BEF507" s="325"/>
      <c r="BEG507" s="325"/>
      <c r="BEH507" s="325"/>
      <c r="BEI507" s="325"/>
      <c r="BEJ507" s="325"/>
      <c r="BEK507" s="325"/>
      <c r="BEL507" s="325"/>
      <c r="BEM507" s="325"/>
      <c r="BEN507" s="325"/>
      <c r="BEO507" s="325"/>
      <c r="BEP507" s="325"/>
      <c r="BEQ507" s="325"/>
      <c r="BER507" s="325"/>
      <c r="BES507" s="325"/>
      <c r="BET507" s="325"/>
      <c r="BEU507" s="325"/>
      <c r="BEV507" s="325"/>
      <c r="BEW507" s="325"/>
      <c r="BEX507" s="327"/>
      <c r="BEY507" s="28"/>
      <c r="BEZ507" s="324"/>
      <c r="BFA507" s="324"/>
      <c r="BFB507" s="324"/>
      <c r="BFC507" s="324"/>
      <c r="BFD507" s="324"/>
      <c r="BFE507" s="324"/>
      <c r="BFF507" s="256"/>
      <c r="BFG507" s="325"/>
      <c r="BFH507" s="311"/>
      <c r="BFI507" s="325"/>
      <c r="BFJ507" s="310"/>
      <c r="BFK507" s="325"/>
      <c r="BFL507" s="325"/>
      <c r="BFM507" s="325"/>
      <c r="BFN507" s="325"/>
      <c r="BFO507" s="325"/>
      <c r="BFP507" s="325"/>
      <c r="BFQ507" s="325"/>
      <c r="BFR507" s="325"/>
      <c r="BFS507" s="325"/>
      <c r="BFT507" s="325"/>
      <c r="BFU507" s="325"/>
      <c r="BFV507" s="325"/>
      <c r="BFW507" s="325"/>
      <c r="BFX507" s="325"/>
      <c r="BFY507" s="325"/>
      <c r="BFZ507" s="325"/>
      <c r="BGA507" s="325"/>
      <c r="BGB507" s="325"/>
      <c r="BGC507" s="325"/>
      <c r="BGD507" s="325"/>
      <c r="BGE507" s="325"/>
      <c r="BGF507" s="325"/>
      <c r="BGG507" s="325"/>
      <c r="BGH507" s="325"/>
      <c r="BGI507" s="325"/>
      <c r="BGJ507" s="325"/>
      <c r="BGK507" s="325"/>
      <c r="BGL507" s="325"/>
      <c r="BGM507" s="325"/>
      <c r="BGN507" s="325"/>
      <c r="BGO507" s="327"/>
      <c r="BGP507" s="28"/>
      <c r="BGQ507" s="324"/>
      <c r="BGR507" s="324"/>
      <c r="BGS507" s="324"/>
      <c r="BGT507" s="324"/>
      <c r="BGU507" s="324"/>
      <c r="BGV507" s="324"/>
      <c r="BGW507" s="256"/>
      <c r="BGX507" s="325"/>
      <c r="BGY507" s="311"/>
      <c r="BGZ507" s="325"/>
      <c r="BHA507" s="310"/>
      <c r="BHB507" s="325"/>
      <c r="BHC507" s="325"/>
      <c r="BHD507" s="325"/>
      <c r="BHE507" s="325"/>
      <c r="BHF507" s="325"/>
      <c r="BHG507" s="325"/>
      <c r="BHH507" s="325"/>
      <c r="BHI507" s="325"/>
      <c r="BHJ507" s="325"/>
      <c r="BHK507" s="325"/>
      <c r="BHL507" s="325"/>
      <c r="BHM507" s="325"/>
      <c r="BHN507" s="325"/>
      <c r="BHO507" s="325"/>
      <c r="BHP507" s="325"/>
      <c r="BHQ507" s="325"/>
      <c r="BHR507" s="325"/>
      <c r="BHS507" s="325"/>
      <c r="BHT507" s="325"/>
      <c r="BHU507" s="325"/>
      <c r="BHV507" s="325"/>
      <c r="BHW507" s="325"/>
      <c r="BHX507" s="325"/>
      <c r="BHY507" s="325"/>
      <c r="BHZ507" s="325"/>
      <c r="BIA507" s="325"/>
      <c r="BIB507" s="325"/>
      <c r="BIC507" s="325"/>
      <c r="BID507" s="325"/>
      <c r="BIE507" s="325"/>
      <c r="BIF507" s="327"/>
      <c r="BIG507" s="28"/>
      <c r="BIH507" s="324"/>
      <c r="BII507" s="324"/>
      <c r="BIJ507" s="324"/>
      <c r="BIK507" s="324"/>
      <c r="BIL507" s="324"/>
      <c r="BIM507" s="324"/>
      <c r="BIN507" s="256"/>
      <c r="BIO507" s="325"/>
      <c r="BIP507" s="311"/>
      <c r="BIQ507" s="325"/>
      <c r="BIR507" s="310"/>
      <c r="BIS507" s="325"/>
      <c r="BIT507" s="325"/>
      <c r="BIU507" s="325"/>
      <c r="BIV507" s="325"/>
      <c r="BIW507" s="325"/>
      <c r="BIX507" s="325"/>
      <c r="BIY507" s="325"/>
      <c r="BIZ507" s="325"/>
      <c r="BJA507" s="325"/>
      <c r="BJB507" s="325"/>
      <c r="BJC507" s="325"/>
      <c r="BJD507" s="325"/>
      <c r="BJE507" s="325"/>
      <c r="BJF507" s="325"/>
      <c r="BJG507" s="325"/>
      <c r="BJH507" s="325"/>
      <c r="BJI507" s="325"/>
      <c r="BJJ507" s="325"/>
      <c r="BJK507" s="325"/>
      <c r="BJL507" s="325"/>
      <c r="BJM507" s="325"/>
      <c r="BJN507" s="325"/>
      <c r="BJO507" s="325"/>
      <c r="BJP507" s="325"/>
      <c r="BJQ507" s="325"/>
      <c r="BJR507" s="325"/>
      <c r="BJS507" s="325"/>
      <c r="BJT507" s="325"/>
      <c r="BJU507" s="325"/>
      <c r="BJV507" s="325"/>
      <c r="BJW507" s="327"/>
      <c r="BJX507" s="28"/>
      <c r="BJY507" s="324"/>
      <c r="BJZ507" s="324"/>
      <c r="BKA507" s="324"/>
      <c r="BKB507" s="324"/>
      <c r="BKC507" s="324"/>
      <c r="BKD507" s="324"/>
      <c r="BKE507" s="256"/>
      <c r="BKF507" s="325"/>
      <c r="BKG507" s="311"/>
      <c r="BKH507" s="325"/>
      <c r="BKI507" s="310"/>
      <c r="BKJ507" s="325"/>
      <c r="BKK507" s="325"/>
      <c r="BKL507" s="325"/>
      <c r="BKM507" s="325"/>
      <c r="BKN507" s="325"/>
      <c r="BKO507" s="325"/>
      <c r="BKP507" s="325"/>
      <c r="BKQ507" s="325"/>
      <c r="BKR507" s="325"/>
      <c r="BKS507" s="325"/>
      <c r="BKT507" s="325"/>
      <c r="BKU507" s="325"/>
      <c r="BKV507" s="325"/>
      <c r="BKW507" s="325"/>
      <c r="BKX507" s="325"/>
      <c r="BKY507" s="325"/>
      <c r="BKZ507" s="325"/>
      <c r="BLA507" s="325"/>
      <c r="BLB507" s="325"/>
      <c r="BLC507" s="325"/>
      <c r="BLD507" s="325"/>
      <c r="BLE507" s="325"/>
      <c r="BLF507" s="325"/>
      <c r="BLG507" s="325"/>
      <c r="BLH507" s="325"/>
      <c r="BLI507" s="325"/>
      <c r="BLJ507" s="325"/>
      <c r="BLK507" s="325"/>
      <c r="BLL507" s="325"/>
      <c r="BLM507" s="325"/>
      <c r="BLN507" s="327"/>
      <c r="BLO507" s="28"/>
      <c r="BLP507" s="324"/>
      <c r="BLQ507" s="324"/>
      <c r="BLR507" s="324"/>
      <c r="BLS507" s="324"/>
      <c r="BLT507" s="324"/>
      <c r="BLU507" s="324"/>
      <c r="BLV507" s="256"/>
      <c r="BLW507" s="325"/>
      <c r="BLX507" s="311"/>
      <c r="BLY507" s="325"/>
      <c r="BLZ507" s="310"/>
      <c r="BMA507" s="325"/>
      <c r="BMB507" s="325"/>
      <c r="BMC507" s="325"/>
      <c r="BMD507" s="325"/>
      <c r="BME507" s="325"/>
      <c r="BMF507" s="325"/>
      <c r="BMG507" s="325"/>
      <c r="BMH507" s="325"/>
      <c r="BMI507" s="325"/>
      <c r="BMJ507" s="325"/>
      <c r="BMK507" s="325"/>
      <c r="BML507" s="325"/>
      <c r="BMM507" s="325"/>
      <c r="BMN507" s="325"/>
      <c r="BMO507" s="325"/>
      <c r="BMP507" s="325"/>
      <c r="BMQ507" s="325"/>
      <c r="BMR507" s="325"/>
      <c r="BMS507" s="325"/>
      <c r="BMT507" s="325"/>
      <c r="BMU507" s="325"/>
      <c r="BMV507" s="325"/>
      <c r="BMW507" s="325"/>
      <c r="BMX507" s="325"/>
      <c r="BMY507" s="325"/>
      <c r="BMZ507" s="325"/>
      <c r="BNA507" s="325"/>
      <c r="BNB507" s="325"/>
      <c r="BNC507" s="325"/>
      <c r="BND507" s="325"/>
      <c r="BNE507" s="327"/>
      <c r="BNF507" s="28"/>
      <c r="BNG507" s="324"/>
      <c r="BNH507" s="324"/>
      <c r="BNI507" s="324"/>
      <c r="BNJ507" s="324"/>
      <c r="BNK507" s="324"/>
      <c r="BNL507" s="324"/>
      <c r="BNM507" s="256"/>
      <c r="BNN507" s="325"/>
      <c r="BNO507" s="311"/>
      <c r="BNP507" s="325"/>
      <c r="BNQ507" s="310"/>
      <c r="BNR507" s="325"/>
      <c r="BNS507" s="325"/>
      <c r="BNT507" s="325"/>
      <c r="BNU507" s="325"/>
      <c r="BNV507" s="325"/>
      <c r="BNW507" s="325"/>
      <c r="BNX507" s="325"/>
      <c r="BNY507" s="325"/>
      <c r="BNZ507" s="325"/>
      <c r="BOA507" s="325"/>
      <c r="BOB507" s="325"/>
      <c r="BOC507" s="325"/>
      <c r="BOD507" s="325"/>
      <c r="BOE507" s="325"/>
      <c r="BOF507" s="325"/>
      <c r="BOG507" s="325"/>
      <c r="BOH507" s="325"/>
      <c r="BOI507" s="325"/>
      <c r="BOJ507" s="325"/>
      <c r="BOK507" s="325"/>
      <c r="BOL507" s="325"/>
      <c r="BOM507" s="325"/>
      <c r="BON507" s="325"/>
      <c r="BOO507" s="325"/>
      <c r="BOP507" s="325"/>
      <c r="BOQ507" s="325"/>
      <c r="BOR507" s="325"/>
      <c r="BOS507" s="325"/>
      <c r="BOT507" s="325"/>
      <c r="BOU507" s="325"/>
      <c r="BOV507" s="327"/>
      <c r="BOW507" s="28"/>
      <c r="BOX507" s="324"/>
      <c r="BOY507" s="324"/>
      <c r="BOZ507" s="324"/>
      <c r="BPA507" s="324"/>
      <c r="BPB507" s="324"/>
      <c r="BPC507" s="324"/>
      <c r="BPD507" s="256"/>
      <c r="BPE507" s="325"/>
      <c r="BPF507" s="311"/>
      <c r="BPG507" s="325"/>
      <c r="BPH507" s="310"/>
      <c r="BPI507" s="325"/>
      <c r="BPJ507" s="325"/>
      <c r="BPK507" s="325"/>
      <c r="BPL507" s="325"/>
      <c r="BPM507" s="325"/>
      <c r="BPN507" s="325"/>
      <c r="BPO507" s="325"/>
      <c r="BPP507" s="325"/>
      <c r="BPQ507" s="325"/>
      <c r="BPR507" s="325"/>
      <c r="BPS507" s="325"/>
      <c r="BPT507" s="325"/>
      <c r="BPU507" s="325"/>
      <c r="BPV507" s="325"/>
      <c r="BPW507" s="325"/>
      <c r="BPX507" s="325"/>
      <c r="BPY507" s="325"/>
      <c r="BPZ507" s="325"/>
      <c r="BQA507" s="325"/>
      <c r="BQB507" s="325"/>
      <c r="BQC507" s="325"/>
      <c r="BQD507" s="325"/>
      <c r="BQE507" s="325"/>
      <c r="BQF507" s="325"/>
      <c r="BQG507" s="325"/>
      <c r="BQH507" s="325"/>
      <c r="BQI507" s="325"/>
      <c r="BQJ507" s="325"/>
      <c r="BQK507" s="325"/>
      <c r="BQL507" s="325"/>
      <c r="BQM507" s="327"/>
      <c r="BQN507" s="28"/>
      <c r="BQO507" s="324"/>
      <c r="BQP507" s="324"/>
      <c r="BQQ507" s="324"/>
      <c r="BQR507" s="324"/>
      <c r="BQS507" s="324"/>
      <c r="BQT507" s="324"/>
      <c r="BQU507" s="256"/>
      <c r="BQV507" s="325"/>
      <c r="BQW507" s="311"/>
      <c r="BQX507" s="325"/>
      <c r="BQY507" s="310"/>
      <c r="BQZ507" s="325"/>
      <c r="BRA507" s="325"/>
      <c r="BRB507" s="325"/>
      <c r="BRC507" s="325"/>
      <c r="BRD507" s="325"/>
      <c r="BRE507" s="325"/>
      <c r="BRF507" s="325"/>
      <c r="BRG507" s="325"/>
      <c r="BRH507" s="325"/>
      <c r="BRI507" s="325"/>
      <c r="BRJ507" s="325"/>
      <c r="BRK507" s="325"/>
      <c r="BRL507" s="325"/>
      <c r="BRM507" s="325"/>
      <c r="BRN507" s="325"/>
      <c r="BRO507" s="325"/>
      <c r="BRP507" s="325"/>
      <c r="BRQ507" s="325"/>
      <c r="BRR507" s="325"/>
      <c r="BRS507" s="325"/>
      <c r="BRT507" s="325"/>
      <c r="BRU507" s="325"/>
      <c r="BRV507" s="325"/>
      <c r="BRW507" s="325"/>
      <c r="BRX507" s="325"/>
      <c r="BRY507" s="325"/>
      <c r="BRZ507" s="325"/>
      <c r="BSA507" s="325"/>
      <c r="BSB507" s="325"/>
      <c r="BSC507" s="325"/>
      <c r="BSD507" s="327"/>
      <c r="BSE507" s="28"/>
      <c r="BSF507" s="324"/>
      <c r="BSG507" s="324"/>
      <c r="BSH507" s="324"/>
      <c r="BSI507" s="324"/>
      <c r="BSJ507" s="324"/>
      <c r="BSK507" s="324"/>
      <c r="BSL507" s="256"/>
      <c r="BSM507" s="325"/>
      <c r="BSN507" s="311"/>
      <c r="BSO507" s="325"/>
      <c r="BSP507" s="310"/>
      <c r="BSQ507" s="325"/>
      <c r="BSR507" s="325"/>
      <c r="BSS507" s="325"/>
      <c r="BST507" s="325"/>
      <c r="BSU507" s="325"/>
      <c r="BSV507" s="325"/>
      <c r="BSW507" s="325"/>
      <c r="BSX507" s="325"/>
      <c r="BSY507" s="325"/>
      <c r="BSZ507" s="325"/>
      <c r="BTA507" s="325"/>
      <c r="BTB507" s="325"/>
      <c r="BTC507" s="325"/>
      <c r="BTD507" s="325"/>
      <c r="BTE507" s="325"/>
      <c r="BTF507" s="325"/>
      <c r="BTG507" s="325"/>
      <c r="BTH507" s="325"/>
      <c r="BTI507" s="325"/>
      <c r="BTJ507" s="325"/>
      <c r="BTK507" s="325"/>
      <c r="BTL507" s="325"/>
      <c r="BTM507" s="325"/>
      <c r="BTN507" s="325"/>
      <c r="BTO507" s="325"/>
      <c r="BTP507" s="325"/>
      <c r="BTQ507" s="325"/>
      <c r="BTR507" s="325"/>
      <c r="BTS507" s="325"/>
      <c r="BTT507" s="325"/>
      <c r="BTU507" s="327"/>
      <c r="BTV507" s="28"/>
      <c r="BTW507" s="324"/>
      <c r="BTX507" s="324"/>
      <c r="BTY507" s="324"/>
      <c r="BTZ507" s="324"/>
      <c r="BUA507" s="324"/>
      <c r="BUB507" s="324"/>
      <c r="BUC507" s="256"/>
      <c r="BUD507" s="325"/>
      <c r="BUE507" s="311"/>
      <c r="BUF507" s="325"/>
      <c r="BUG507" s="310"/>
      <c r="BUH507" s="325"/>
      <c r="BUI507" s="325"/>
      <c r="BUJ507" s="325"/>
      <c r="BUK507" s="325"/>
      <c r="BUL507" s="325"/>
      <c r="BUM507" s="325"/>
      <c r="BUN507" s="325"/>
      <c r="BUO507" s="325"/>
      <c r="BUP507" s="325"/>
      <c r="BUQ507" s="325"/>
      <c r="BUR507" s="325"/>
      <c r="BUS507" s="325"/>
      <c r="BUT507" s="325"/>
      <c r="BUU507" s="325"/>
      <c r="BUV507" s="325"/>
      <c r="BUW507" s="325"/>
      <c r="BUX507" s="325"/>
      <c r="BUY507" s="325"/>
      <c r="BUZ507" s="325"/>
      <c r="BVA507" s="325"/>
      <c r="BVB507" s="325"/>
      <c r="BVC507" s="325"/>
      <c r="BVD507" s="325"/>
      <c r="BVE507" s="325"/>
      <c r="BVF507" s="325"/>
      <c r="BVG507" s="325"/>
      <c r="BVH507" s="325"/>
      <c r="BVI507" s="325"/>
      <c r="BVJ507" s="325"/>
      <c r="BVK507" s="325"/>
      <c r="BVL507" s="327"/>
      <c r="BVM507" s="28"/>
      <c r="BVN507" s="324"/>
      <c r="BVO507" s="324"/>
      <c r="BVP507" s="324"/>
      <c r="BVQ507" s="324"/>
      <c r="BVR507" s="324"/>
      <c r="BVS507" s="324"/>
      <c r="BVT507" s="256"/>
      <c r="BVU507" s="325"/>
      <c r="BVV507" s="311"/>
      <c r="BVW507" s="325"/>
      <c r="BVX507" s="310"/>
      <c r="BVY507" s="325"/>
      <c r="BVZ507" s="325"/>
      <c r="BWA507" s="325"/>
      <c r="BWB507" s="325"/>
      <c r="BWC507" s="325"/>
      <c r="BWD507" s="325"/>
      <c r="BWE507" s="325"/>
      <c r="BWF507" s="325"/>
      <c r="BWG507" s="325"/>
      <c r="BWH507" s="325"/>
      <c r="BWI507" s="325"/>
      <c r="BWJ507" s="325"/>
      <c r="BWK507" s="325"/>
      <c r="BWL507" s="325"/>
      <c r="BWM507" s="325"/>
      <c r="BWN507" s="325"/>
      <c r="BWO507" s="325"/>
      <c r="BWP507" s="325"/>
      <c r="BWQ507" s="325"/>
      <c r="BWR507" s="325"/>
      <c r="BWS507" s="325"/>
      <c r="BWT507" s="325"/>
      <c r="BWU507" s="325"/>
      <c r="BWV507" s="325"/>
      <c r="BWW507" s="325"/>
      <c r="BWX507" s="325"/>
      <c r="BWY507" s="325"/>
      <c r="BWZ507" s="325"/>
      <c r="BXA507" s="325"/>
      <c r="BXB507" s="325"/>
      <c r="BXC507" s="327"/>
      <c r="BXD507" s="28"/>
      <c r="BXE507" s="324"/>
      <c r="BXF507" s="324"/>
      <c r="BXG507" s="324"/>
      <c r="BXH507" s="324"/>
      <c r="BXI507" s="324"/>
      <c r="BXJ507" s="324"/>
      <c r="BXK507" s="256"/>
      <c r="BXL507" s="325"/>
      <c r="BXM507" s="311"/>
      <c r="BXN507" s="325"/>
      <c r="BXO507" s="310"/>
      <c r="BXP507" s="325"/>
      <c r="BXQ507" s="325"/>
      <c r="BXR507" s="325"/>
      <c r="BXS507" s="325"/>
      <c r="BXT507" s="325"/>
      <c r="BXU507" s="325"/>
      <c r="BXV507" s="325"/>
      <c r="BXW507" s="325"/>
      <c r="BXX507" s="325"/>
      <c r="BXY507" s="325"/>
      <c r="BXZ507" s="325"/>
      <c r="BYA507" s="325"/>
      <c r="BYB507" s="325"/>
      <c r="BYC507" s="325"/>
      <c r="BYD507" s="325"/>
      <c r="BYE507" s="325"/>
      <c r="BYF507" s="325"/>
      <c r="BYG507" s="325"/>
      <c r="BYH507" s="325"/>
      <c r="BYI507" s="325"/>
      <c r="BYJ507" s="325"/>
      <c r="BYK507" s="325"/>
      <c r="BYL507" s="325"/>
      <c r="BYM507" s="325"/>
      <c r="BYN507" s="325"/>
      <c r="BYO507" s="325"/>
      <c r="BYP507" s="325"/>
      <c r="BYQ507" s="325"/>
      <c r="BYR507" s="325"/>
      <c r="BYS507" s="325"/>
      <c r="BYT507" s="327"/>
      <c r="BYU507" s="28"/>
      <c r="BYV507" s="324"/>
      <c r="BYW507" s="324"/>
      <c r="BYX507" s="324"/>
      <c r="BYY507" s="324"/>
      <c r="BYZ507" s="324"/>
      <c r="BZA507" s="324"/>
      <c r="BZB507" s="256"/>
      <c r="BZC507" s="325"/>
      <c r="BZD507" s="311"/>
      <c r="BZE507" s="325"/>
      <c r="BZF507" s="310"/>
      <c r="BZG507" s="325"/>
      <c r="BZH507" s="325"/>
      <c r="BZI507" s="325"/>
      <c r="BZJ507" s="325"/>
      <c r="BZK507" s="325"/>
      <c r="BZL507" s="325"/>
      <c r="BZM507" s="325"/>
      <c r="BZN507" s="325"/>
      <c r="BZO507" s="325"/>
      <c r="BZP507" s="325"/>
      <c r="BZQ507" s="325"/>
      <c r="BZR507" s="325"/>
      <c r="BZS507" s="325"/>
      <c r="BZT507" s="325"/>
      <c r="BZU507" s="325"/>
      <c r="BZV507" s="325"/>
      <c r="BZW507" s="325"/>
      <c r="BZX507" s="325"/>
      <c r="BZY507" s="325"/>
      <c r="BZZ507" s="325"/>
      <c r="CAA507" s="325"/>
      <c r="CAB507" s="325"/>
      <c r="CAC507" s="325"/>
      <c r="CAD507" s="325"/>
      <c r="CAE507" s="325"/>
      <c r="CAF507" s="325"/>
      <c r="CAG507" s="325"/>
      <c r="CAH507" s="325"/>
      <c r="CAI507" s="325"/>
      <c r="CAJ507" s="325"/>
      <c r="CAK507" s="327"/>
      <c r="CAL507" s="28"/>
      <c r="CAM507" s="324"/>
      <c r="CAN507" s="324"/>
      <c r="CAO507" s="324"/>
      <c r="CAP507" s="324"/>
      <c r="CAQ507" s="324"/>
      <c r="CAR507" s="324"/>
      <c r="CAS507" s="256"/>
      <c r="CAT507" s="325"/>
      <c r="CAU507" s="311"/>
      <c r="CAV507" s="325"/>
      <c r="CAW507" s="310"/>
      <c r="CAX507" s="325"/>
      <c r="CAY507" s="325"/>
      <c r="CAZ507" s="325"/>
      <c r="CBA507" s="325"/>
      <c r="CBB507" s="325"/>
      <c r="CBC507" s="325"/>
      <c r="CBD507" s="325"/>
      <c r="CBE507" s="325"/>
      <c r="CBF507" s="325"/>
      <c r="CBG507" s="325"/>
      <c r="CBH507" s="325"/>
      <c r="CBI507" s="325"/>
      <c r="CBJ507" s="325"/>
      <c r="CBK507" s="325"/>
      <c r="CBL507" s="325"/>
      <c r="CBM507" s="325"/>
      <c r="CBN507" s="325"/>
      <c r="CBO507" s="325"/>
      <c r="CBP507" s="325"/>
      <c r="CBQ507" s="325"/>
      <c r="CBR507" s="325"/>
      <c r="CBS507" s="325"/>
      <c r="CBT507" s="325"/>
      <c r="CBU507" s="325"/>
      <c r="CBV507" s="325"/>
      <c r="CBW507" s="325"/>
      <c r="CBX507" s="325"/>
      <c r="CBY507" s="325"/>
      <c r="CBZ507" s="325"/>
      <c r="CCA507" s="325"/>
      <c r="CCB507" s="327"/>
      <c r="CCC507" s="28"/>
      <c r="CCD507" s="324"/>
      <c r="CCE507" s="324"/>
      <c r="CCF507" s="324"/>
      <c r="CCG507" s="324"/>
      <c r="CCH507" s="324"/>
      <c r="CCI507" s="324"/>
      <c r="CCJ507" s="256"/>
      <c r="CCK507" s="325"/>
      <c r="CCL507" s="311"/>
      <c r="CCM507" s="325"/>
      <c r="CCN507" s="310"/>
      <c r="CCO507" s="325"/>
      <c r="CCP507" s="325"/>
      <c r="CCQ507" s="325"/>
      <c r="CCR507" s="325"/>
      <c r="CCS507" s="325"/>
      <c r="CCT507" s="325"/>
      <c r="CCU507" s="325"/>
      <c r="CCV507" s="325"/>
      <c r="CCW507" s="325"/>
      <c r="CCX507" s="325"/>
      <c r="CCY507" s="325"/>
      <c r="CCZ507" s="325"/>
      <c r="CDA507" s="325"/>
      <c r="CDB507" s="325"/>
      <c r="CDC507" s="325"/>
      <c r="CDD507" s="325"/>
      <c r="CDE507" s="325"/>
      <c r="CDF507" s="325"/>
      <c r="CDG507" s="325"/>
      <c r="CDH507" s="325"/>
      <c r="CDI507" s="325"/>
      <c r="CDJ507" s="325"/>
      <c r="CDK507" s="325"/>
      <c r="CDL507" s="325"/>
      <c r="CDM507" s="325"/>
      <c r="CDN507" s="325"/>
      <c r="CDO507" s="325"/>
      <c r="CDP507" s="325"/>
      <c r="CDQ507" s="325"/>
      <c r="CDR507" s="325"/>
      <c r="CDS507" s="327"/>
      <c r="CDT507" s="28"/>
      <c r="CDU507" s="324"/>
      <c r="CDV507" s="324"/>
      <c r="CDW507" s="324"/>
      <c r="CDX507" s="324"/>
      <c r="CDY507" s="324"/>
      <c r="CDZ507" s="324"/>
      <c r="CEA507" s="256"/>
      <c r="CEB507" s="325"/>
      <c r="CEC507" s="311"/>
      <c r="CED507" s="325"/>
      <c r="CEE507" s="310"/>
      <c r="CEF507" s="325"/>
      <c r="CEG507" s="325"/>
      <c r="CEH507" s="325"/>
      <c r="CEI507" s="325"/>
      <c r="CEJ507" s="325"/>
      <c r="CEK507" s="325"/>
      <c r="CEL507" s="325"/>
      <c r="CEM507" s="325"/>
      <c r="CEN507" s="325"/>
      <c r="CEO507" s="325"/>
      <c r="CEP507" s="325"/>
      <c r="CEQ507" s="325"/>
      <c r="CER507" s="325"/>
      <c r="CES507" s="325"/>
      <c r="CET507" s="325"/>
      <c r="CEU507" s="325"/>
      <c r="CEV507" s="325"/>
      <c r="CEW507" s="325"/>
      <c r="CEX507" s="325"/>
      <c r="CEY507" s="325"/>
      <c r="CEZ507" s="325"/>
      <c r="CFA507" s="325"/>
      <c r="CFB507" s="325"/>
      <c r="CFC507" s="325"/>
      <c r="CFD507" s="325"/>
      <c r="CFE507" s="325"/>
      <c r="CFF507" s="325"/>
      <c r="CFG507" s="325"/>
      <c r="CFH507" s="325"/>
      <c r="CFI507" s="325"/>
      <c r="CFJ507" s="327"/>
      <c r="CFK507" s="28"/>
      <c r="CFL507" s="324"/>
      <c r="CFM507" s="324"/>
      <c r="CFN507" s="324"/>
      <c r="CFO507" s="324"/>
      <c r="CFP507" s="324"/>
      <c r="CFQ507" s="324"/>
      <c r="CFR507" s="256"/>
      <c r="CFS507" s="325"/>
      <c r="CFT507" s="311"/>
      <c r="CFU507" s="325"/>
      <c r="CFV507" s="310"/>
      <c r="CFW507" s="325"/>
      <c r="CFX507" s="325"/>
      <c r="CFY507" s="325"/>
      <c r="CFZ507" s="325"/>
      <c r="CGA507" s="325"/>
      <c r="CGB507" s="325"/>
      <c r="CGC507" s="325"/>
      <c r="CGD507" s="325"/>
      <c r="CGE507" s="325"/>
      <c r="CGF507" s="325"/>
      <c r="CGG507" s="325"/>
      <c r="CGH507" s="325"/>
      <c r="CGI507" s="325"/>
      <c r="CGJ507" s="325"/>
      <c r="CGK507" s="325"/>
      <c r="CGL507" s="325"/>
      <c r="CGM507" s="325"/>
      <c r="CGN507" s="325"/>
      <c r="CGO507" s="325"/>
      <c r="CGP507" s="325"/>
      <c r="CGQ507" s="325"/>
      <c r="CGR507" s="325"/>
      <c r="CGS507" s="325"/>
      <c r="CGT507" s="325"/>
      <c r="CGU507" s="325"/>
      <c r="CGV507" s="325"/>
      <c r="CGW507" s="325"/>
      <c r="CGX507" s="325"/>
      <c r="CGY507" s="325"/>
      <c r="CGZ507" s="325"/>
      <c r="CHA507" s="327"/>
      <c r="CHB507" s="28"/>
      <c r="CHC507" s="324"/>
      <c r="CHD507" s="324"/>
      <c r="CHE507" s="324"/>
      <c r="CHF507" s="324"/>
      <c r="CHG507" s="324"/>
      <c r="CHH507" s="324"/>
      <c r="CHI507" s="256"/>
      <c r="CHJ507" s="325"/>
      <c r="CHK507" s="311"/>
      <c r="CHL507" s="325"/>
      <c r="CHM507" s="310"/>
      <c r="CHN507" s="325"/>
      <c r="CHO507" s="325"/>
      <c r="CHP507" s="325"/>
      <c r="CHQ507" s="325"/>
      <c r="CHR507" s="325"/>
      <c r="CHS507" s="325"/>
      <c r="CHT507" s="325"/>
      <c r="CHU507" s="325"/>
      <c r="CHV507" s="325"/>
      <c r="CHW507" s="325"/>
      <c r="CHX507" s="325"/>
      <c r="CHY507" s="325"/>
      <c r="CHZ507" s="325"/>
      <c r="CIA507" s="325"/>
      <c r="CIB507" s="325"/>
      <c r="CIC507" s="325"/>
      <c r="CID507" s="325"/>
      <c r="CIE507" s="325"/>
      <c r="CIF507" s="325"/>
      <c r="CIG507" s="325"/>
      <c r="CIH507" s="325"/>
      <c r="CII507" s="325"/>
      <c r="CIJ507" s="325"/>
      <c r="CIK507" s="325"/>
      <c r="CIL507" s="325"/>
      <c r="CIM507" s="325"/>
      <c r="CIN507" s="325"/>
      <c r="CIO507" s="325"/>
      <c r="CIP507" s="325"/>
      <c r="CIQ507" s="325"/>
      <c r="CIR507" s="327"/>
      <c r="CIS507" s="28"/>
      <c r="CIT507" s="324"/>
      <c r="CIU507" s="324"/>
      <c r="CIV507" s="324"/>
      <c r="CIW507" s="324"/>
      <c r="CIX507" s="324"/>
      <c r="CIY507" s="324"/>
      <c r="CIZ507" s="256"/>
      <c r="CJA507" s="325"/>
      <c r="CJB507" s="311"/>
      <c r="CJC507" s="325"/>
      <c r="CJD507" s="310"/>
      <c r="CJE507" s="325"/>
      <c r="CJF507" s="325"/>
      <c r="CJG507" s="325"/>
      <c r="CJH507" s="325"/>
      <c r="CJI507" s="325"/>
      <c r="CJJ507" s="325"/>
      <c r="CJK507" s="325"/>
      <c r="CJL507" s="325"/>
      <c r="CJM507" s="325"/>
      <c r="CJN507" s="325"/>
      <c r="CJO507" s="325"/>
      <c r="CJP507" s="325"/>
      <c r="CJQ507" s="325"/>
      <c r="CJR507" s="325"/>
      <c r="CJS507" s="325"/>
      <c r="CJT507" s="325"/>
      <c r="CJU507" s="325"/>
      <c r="CJV507" s="325"/>
      <c r="CJW507" s="325"/>
      <c r="CJX507" s="325"/>
      <c r="CJY507" s="325"/>
      <c r="CJZ507" s="325"/>
      <c r="CKA507" s="325"/>
      <c r="CKB507" s="325"/>
      <c r="CKC507" s="325"/>
      <c r="CKD507" s="325"/>
      <c r="CKE507" s="325"/>
      <c r="CKF507" s="325"/>
      <c r="CKG507" s="325"/>
      <c r="CKH507" s="325"/>
      <c r="CKI507" s="327"/>
      <c r="CKJ507" s="28"/>
      <c r="CKK507" s="324"/>
      <c r="CKL507" s="324"/>
      <c r="CKM507" s="324"/>
      <c r="CKN507" s="324"/>
      <c r="CKO507" s="324"/>
      <c r="CKP507" s="324"/>
      <c r="CKQ507" s="256"/>
      <c r="CKR507" s="325"/>
      <c r="CKS507" s="311"/>
      <c r="CKT507" s="325"/>
      <c r="CKU507" s="310"/>
      <c r="CKV507" s="325"/>
      <c r="CKW507" s="325"/>
      <c r="CKX507" s="325"/>
      <c r="CKY507" s="325"/>
      <c r="CKZ507" s="325"/>
      <c r="CLA507" s="325"/>
      <c r="CLB507" s="325"/>
      <c r="CLC507" s="325"/>
      <c r="CLD507" s="325"/>
      <c r="CLE507" s="325"/>
      <c r="CLF507" s="325"/>
      <c r="CLG507" s="325"/>
      <c r="CLH507" s="325"/>
      <c r="CLI507" s="325"/>
      <c r="CLJ507" s="325"/>
      <c r="CLK507" s="325"/>
      <c r="CLL507" s="325"/>
      <c r="CLM507" s="325"/>
      <c r="CLN507" s="325"/>
      <c r="CLO507" s="325"/>
      <c r="CLP507" s="325"/>
      <c r="CLQ507" s="325"/>
      <c r="CLR507" s="325"/>
      <c r="CLS507" s="325"/>
      <c r="CLT507" s="325"/>
      <c r="CLU507" s="325"/>
      <c r="CLV507" s="325"/>
      <c r="CLW507" s="325"/>
      <c r="CLX507" s="325"/>
      <c r="CLY507" s="325"/>
      <c r="CLZ507" s="327"/>
      <c r="CMA507" s="28"/>
      <c r="CMB507" s="324"/>
      <c r="CMC507" s="324"/>
      <c r="CMD507" s="324"/>
      <c r="CME507" s="324"/>
      <c r="CMF507" s="324"/>
      <c r="CMG507" s="324"/>
      <c r="CMH507" s="256"/>
      <c r="CMI507" s="325"/>
      <c r="CMJ507" s="311"/>
      <c r="CMK507" s="325"/>
      <c r="CML507" s="310"/>
      <c r="CMM507" s="325"/>
      <c r="CMN507" s="325"/>
      <c r="CMO507" s="325"/>
      <c r="CMP507" s="325"/>
      <c r="CMQ507" s="325"/>
      <c r="CMR507" s="325"/>
      <c r="CMS507" s="325"/>
      <c r="CMT507" s="325"/>
      <c r="CMU507" s="325"/>
      <c r="CMV507" s="325"/>
      <c r="CMW507" s="325"/>
      <c r="CMX507" s="325"/>
      <c r="CMY507" s="325"/>
      <c r="CMZ507" s="325"/>
      <c r="CNA507" s="325"/>
      <c r="CNB507" s="325"/>
      <c r="CNC507" s="325"/>
      <c r="CND507" s="325"/>
      <c r="CNE507" s="325"/>
      <c r="CNF507" s="325"/>
      <c r="CNG507" s="325"/>
      <c r="CNH507" s="325"/>
      <c r="CNI507" s="325"/>
      <c r="CNJ507" s="325"/>
      <c r="CNK507" s="325"/>
      <c r="CNL507" s="325"/>
      <c r="CNM507" s="325"/>
      <c r="CNN507" s="325"/>
      <c r="CNO507" s="325"/>
      <c r="CNP507" s="325"/>
      <c r="CNQ507" s="327"/>
      <c r="CNR507" s="28"/>
      <c r="CNS507" s="324"/>
      <c r="CNT507" s="324"/>
      <c r="CNU507" s="324"/>
      <c r="CNV507" s="324"/>
      <c r="CNW507" s="324"/>
      <c r="CNX507" s="324"/>
      <c r="CNY507" s="256"/>
      <c r="CNZ507" s="325"/>
      <c r="COA507" s="311"/>
      <c r="COB507" s="325"/>
      <c r="COC507" s="310"/>
      <c r="COD507" s="325"/>
      <c r="COE507" s="325"/>
      <c r="COF507" s="325"/>
      <c r="COG507" s="325"/>
      <c r="COH507" s="325"/>
      <c r="COI507" s="325"/>
      <c r="COJ507" s="325"/>
      <c r="COK507" s="325"/>
      <c r="COL507" s="325"/>
      <c r="COM507" s="325"/>
      <c r="CON507" s="325"/>
      <c r="COO507" s="325"/>
      <c r="COP507" s="325"/>
      <c r="COQ507" s="325"/>
      <c r="COR507" s="325"/>
      <c r="COS507" s="325"/>
      <c r="COT507" s="325"/>
      <c r="COU507" s="325"/>
      <c r="COV507" s="325"/>
      <c r="COW507" s="325"/>
      <c r="COX507" s="325"/>
      <c r="COY507" s="325"/>
      <c r="COZ507" s="325"/>
      <c r="CPA507" s="325"/>
      <c r="CPB507" s="325"/>
      <c r="CPC507" s="325"/>
      <c r="CPD507" s="325"/>
      <c r="CPE507" s="325"/>
      <c r="CPF507" s="325"/>
      <c r="CPG507" s="325"/>
      <c r="CPH507" s="327"/>
      <c r="CPI507" s="28"/>
      <c r="CPJ507" s="324"/>
      <c r="CPK507" s="324"/>
      <c r="CPL507" s="324"/>
      <c r="CPM507" s="324"/>
      <c r="CPN507" s="324"/>
      <c r="CPO507" s="324"/>
      <c r="CPP507" s="256"/>
      <c r="CPQ507" s="325"/>
      <c r="CPR507" s="311"/>
      <c r="CPS507" s="325"/>
      <c r="CPT507" s="310"/>
      <c r="CPU507" s="325"/>
      <c r="CPV507" s="325"/>
      <c r="CPW507" s="325"/>
      <c r="CPX507" s="325"/>
      <c r="CPY507" s="325"/>
      <c r="CPZ507" s="325"/>
      <c r="CQA507" s="325"/>
      <c r="CQB507" s="325"/>
      <c r="CQC507" s="325"/>
      <c r="CQD507" s="325"/>
      <c r="CQE507" s="325"/>
      <c r="CQF507" s="325"/>
      <c r="CQG507" s="325"/>
      <c r="CQH507" s="325"/>
      <c r="CQI507" s="325"/>
      <c r="CQJ507" s="325"/>
      <c r="CQK507" s="325"/>
      <c r="CQL507" s="325"/>
      <c r="CQM507" s="325"/>
      <c r="CQN507" s="325"/>
      <c r="CQO507" s="325"/>
      <c r="CQP507" s="325"/>
      <c r="CQQ507" s="325"/>
      <c r="CQR507" s="325"/>
      <c r="CQS507" s="325"/>
      <c r="CQT507" s="325"/>
      <c r="CQU507" s="325"/>
      <c r="CQV507" s="325"/>
      <c r="CQW507" s="325"/>
      <c r="CQX507" s="325"/>
      <c r="CQY507" s="327"/>
      <c r="CQZ507" s="28"/>
      <c r="CRA507" s="324"/>
      <c r="CRB507" s="324"/>
      <c r="CRC507" s="324"/>
      <c r="CRD507" s="324"/>
      <c r="CRE507" s="324"/>
      <c r="CRF507" s="324"/>
      <c r="CRG507" s="256"/>
      <c r="CRH507" s="325"/>
      <c r="CRI507" s="311"/>
      <c r="CRJ507" s="325"/>
      <c r="CRK507" s="310"/>
      <c r="CRL507" s="325"/>
      <c r="CRM507" s="325"/>
      <c r="CRN507" s="325"/>
      <c r="CRO507" s="325"/>
      <c r="CRP507" s="325"/>
      <c r="CRQ507" s="325"/>
      <c r="CRR507" s="325"/>
      <c r="CRS507" s="325"/>
      <c r="CRT507" s="325"/>
      <c r="CRU507" s="325"/>
      <c r="CRV507" s="325"/>
      <c r="CRW507" s="325"/>
      <c r="CRX507" s="325"/>
      <c r="CRY507" s="325"/>
      <c r="CRZ507" s="325"/>
      <c r="CSA507" s="325"/>
      <c r="CSB507" s="325"/>
      <c r="CSC507" s="325"/>
      <c r="CSD507" s="325"/>
      <c r="CSE507" s="325"/>
      <c r="CSF507" s="325"/>
      <c r="CSG507" s="325"/>
      <c r="CSH507" s="325"/>
      <c r="CSI507" s="325"/>
      <c r="CSJ507" s="325"/>
      <c r="CSK507" s="325"/>
      <c r="CSL507" s="325"/>
      <c r="CSM507" s="325"/>
      <c r="CSN507" s="325"/>
      <c r="CSO507" s="325"/>
      <c r="CSP507" s="327"/>
      <c r="CSQ507" s="28"/>
      <c r="CSR507" s="324"/>
      <c r="CSS507" s="324"/>
      <c r="CST507" s="324"/>
      <c r="CSU507" s="324"/>
      <c r="CSV507" s="324"/>
      <c r="CSW507" s="324"/>
      <c r="CSX507" s="256"/>
      <c r="CSY507" s="325"/>
      <c r="CSZ507" s="311"/>
      <c r="CTA507" s="325"/>
      <c r="CTB507" s="310"/>
      <c r="CTC507" s="325"/>
      <c r="CTD507" s="325"/>
      <c r="CTE507" s="325"/>
      <c r="CTF507" s="325"/>
      <c r="CTG507" s="325"/>
      <c r="CTH507" s="325"/>
      <c r="CTI507" s="325"/>
      <c r="CTJ507" s="325"/>
      <c r="CTK507" s="325"/>
      <c r="CTL507" s="325"/>
      <c r="CTM507" s="325"/>
      <c r="CTN507" s="325"/>
      <c r="CTO507" s="325"/>
      <c r="CTP507" s="325"/>
      <c r="CTQ507" s="325"/>
      <c r="CTR507" s="325"/>
      <c r="CTS507" s="325"/>
      <c r="CTT507" s="325"/>
      <c r="CTU507" s="325"/>
      <c r="CTV507" s="325"/>
      <c r="CTW507" s="325"/>
      <c r="CTX507" s="325"/>
      <c r="CTY507" s="325"/>
      <c r="CTZ507" s="325"/>
      <c r="CUA507" s="325"/>
      <c r="CUB507" s="325"/>
      <c r="CUC507" s="325"/>
      <c r="CUD507" s="325"/>
      <c r="CUE507" s="325"/>
      <c r="CUF507" s="325"/>
      <c r="CUG507" s="327"/>
      <c r="CUH507" s="28"/>
      <c r="CUI507" s="324"/>
      <c r="CUJ507" s="324"/>
      <c r="CUK507" s="324"/>
      <c r="CUL507" s="324"/>
      <c r="CUM507" s="324"/>
      <c r="CUN507" s="324"/>
      <c r="CUO507" s="256"/>
      <c r="CUP507" s="325"/>
      <c r="CUQ507" s="311"/>
      <c r="CUR507" s="325"/>
      <c r="CUS507" s="310"/>
      <c r="CUT507" s="325"/>
      <c r="CUU507" s="325"/>
      <c r="CUV507" s="325"/>
      <c r="CUW507" s="325"/>
      <c r="CUX507" s="325"/>
      <c r="CUY507" s="325"/>
      <c r="CUZ507" s="325"/>
      <c r="CVA507" s="325"/>
      <c r="CVB507" s="325"/>
      <c r="CVC507" s="325"/>
      <c r="CVD507" s="325"/>
      <c r="CVE507" s="325"/>
      <c r="CVF507" s="325"/>
      <c r="CVG507" s="325"/>
      <c r="CVH507" s="325"/>
      <c r="CVI507" s="325"/>
      <c r="CVJ507" s="325"/>
      <c r="CVK507" s="325"/>
      <c r="CVL507" s="325"/>
      <c r="CVM507" s="325"/>
      <c r="CVN507" s="325"/>
      <c r="CVO507" s="325"/>
      <c r="CVP507" s="325"/>
      <c r="CVQ507" s="325"/>
      <c r="CVR507" s="325"/>
      <c r="CVS507" s="325"/>
      <c r="CVT507" s="325"/>
      <c r="CVU507" s="325"/>
      <c r="CVV507" s="325"/>
      <c r="CVW507" s="325"/>
      <c r="CVX507" s="327"/>
      <c r="CVY507" s="28"/>
      <c r="CVZ507" s="324"/>
      <c r="CWA507" s="324"/>
      <c r="CWB507" s="324"/>
      <c r="CWC507" s="324"/>
      <c r="CWD507" s="324"/>
      <c r="CWE507" s="324"/>
      <c r="CWF507" s="256"/>
      <c r="CWG507" s="325"/>
      <c r="CWH507" s="311"/>
      <c r="CWI507" s="325"/>
      <c r="CWJ507" s="310"/>
      <c r="CWK507" s="325"/>
      <c r="CWL507" s="325"/>
      <c r="CWM507" s="325"/>
      <c r="CWN507" s="325"/>
      <c r="CWO507" s="325"/>
      <c r="CWP507" s="325"/>
      <c r="CWQ507" s="325"/>
      <c r="CWR507" s="325"/>
      <c r="CWS507" s="325"/>
      <c r="CWT507" s="325"/>
      <c r="CWU507" s="325"/>
      <c r="CWV507" s="325"/>
      <c r="CWW507" s="325"/>
      <c r="CWX507" s="325"/>
      <c r="CWY507" s="325"/>
      <c r="CWZ507" s="325"/>
      <c r="CXA507" s="325"/>
      <c r="CXB507" s="325"/>
      <c r="CXC507" s="325"/>
      <c r="CXD507" s="325"/>
      <c r="CXE507" s="325"/>
      <c r="CXF507" s="325"/>
      <c r="CXG507" s="325"/>
      <c r="CXH507" s="325"/>
      <c r="CXI507" s="325"/>
      <c r="CXJ507" s="325"/>
      <c r="CXK507" s="325"/>
      <c r="CXL507" s="325"/>
      <c r="CXM507" s="325"/>
      <c r="CXN507" s="325"/>
      <c r="CXO507" s="327"/>
      <c r="CXP507" s="28"/>
      <c r="CXQ507" s="324"/>
      <c r="CXR507" s="324"/>
      <c r="CXS507" s="324"/>
      <c r="CXT507" s="324"/>
      <c r="CXU507" s="324"/>
      <c r="CXV507" s="324"/>
      <c r="CXW507" s="256"/>
      <c r="CXX507" s="325"/>
      <c r="CXY507" s="311"/>
      <c r="CXZ507" s="325"/>
      <c r="CYA507" s="310"/>
      <c r="CYB507" s="325"/>
      <c r="CYC507" s="325"/>
      <c r="CYD507" s="325"/>
      <c r="CYE507" s="325"/>
      <c r="CYF507" s="325"/>
      <c r="CYG507" s="325"/>
      <c r="CYH507" s="325"/>
      <c r="CYI507" s="325"/>
      <c r="CYJ507" s="325"/>
      <c r="CYK507" s="325"/>
      <c r="CYL507" s="325"/>
      <c r="CYM507" s="325"/>
      <c r="CYN507" s="325"/>
      <c r="CYO507" s="325"/>
      <c r="CYP507" s="325"/>
      <c r="CYQ507" s="325"/>
      <c r="CYR507" s="325"/>
      <c r="CYS507" s="325"/>
      <c r="CYT507" s="325"/>
      <c r="CYU507" s="325"/>
      <c r="CYV507" s="325"/>
      <c r="CYW507" s="325"/>
      <c r="CYX507" s="325"/>
      <c r="CYY507" s="325"/>
      <c r="CYZ507" s="325"/>
      <c r="CZA507" s="325"/>
      <c r="CZB507" s="325"/>
      <c r="CZC507" s="325"/>
      <c r="CZD507" s="325"/>
      <c r="CZE507" s="325"/>
      <c r="CZF507" s="327"/>
      <c r="CZG507" s="28"/>
      <c r="CZH507" s="324"/>
      <c r="CZI507" s="324"/>
      <c r="CZJ507" s="324"/>
      <c r="CZK507" s="324"/>
      <c r="CZL507" s="324"/>
      <c r="CZM507" s="324"/>
      <c r="CZN507" s="256"/>
      <c r="CZO507" s="325"/>
      <c r="CZP507" s="311"/>
      <c r="CZQ507" s="325"/>
      <c r="CZR507" s="310"/>
      <c r="CZS507" s="325"/>
      <c r="CZT507" s="325"/>
      <c r="CZU507" s="325"/>
      <c r="CZV507" s="325"/>
      <c r="CZW507" s="325"/>
      <c r="CZX507" s="325"/>
      <c r="CZY507" s="325"/>
      <c r="CZZ507" s="325"/>
      <c r="DAA507" s="325"/>
      <c r="DAB507" s="325"/>
      <c r="DAC507" s="325"/>
      <c r="DAD507" s="325"/>
      <c r="DAE507" s="325"/>
      <c r="DAF507" s="325"/>
      <c r="DAG507" s="325"/>
      <c r="DAH507" s="325"/>
      <c r="DAI507" s="325"/>
      <c r="DAJ507" s="325"/>
      <c r="DAK507" s="325"/>
      <c r="DAL507" s="325"/>
      <c r="DAM507" s="325"/>
      <c r="DAN507" s="325"/>
      <c r="DAO507" s="325"/>
      <c r="DAP507" s="325"/>
      <c r="DAQ507" s="325"/>
      <c r="DAR507" s="325"/>
      <c r="DAS507" s="325"/>
      <c r="DAT507" s="325"/>
      <c r="DAU507" s="325"/>
      <c r="DAV507" s="325"/>
      <c r="DAW507" s="327"/>
      <c r="DAX507" s="28"/>
      <c r="DAY507" s="324"/>
      <c r="DAZ507" s="324"/>
      <c r="DBA507" s="324"/>
      <c r="DBB507" s="324"/>
      <c r="DBC507" s="324"/>
      <c r="DBD507" s="324"/>
      <c r="DBE507" s="256"/>
      <c r="DBF507" s="325"/>
      <c r="DBG507" s="311"/>
      <c r="DBH507" s="325"/>
      <c r="DBI507" s="310"/>
      <c r="DBJ507" s="325"/>
      <c r="DBK507" s="325"/>
      <c r="DBL507" s="325"/>
      <c r="DBM507" s="325"/>
      <c r="DBN507" s="325"/>
      <c r="DBO507" s="325"/>
      <c r="DBP507" s="325"/>
      <c r="DBQ507" s="325"/>
      <c r="DBR507" s="325"/>
      <c r="DBS507" s="325"/>
      <c r="DBT507" s="325"/>
      <c r="DBU507" s="325"/>
      <c r="DBV507" s="325"/>
      <c r="DBW507" s="325"/>
      <c r="DBX507" s="325"/>
      <c r="DBY507" s="325"/>
      <c r="DBZ507" s="325"/>
      <c r="DCA507" s="325"/>
      <c r="DCB507" s="325"/>
      <c r="DCC507" s="325"/>
      <c r="DCD507" s="325"/>
      <c r="DCE507" s="325"/>
      <c r="DCF507" s="325"/>
      <c r="DCG507" s="325"/>
      <c r="DCH507" s="325"/>
      <c r="DCI507" s="325"/>
      <c r="DCJ507" s="325"/>
      <c r="DCK507" s="325"/>
      <c r="DCL507" s="325"/>
      <c r="DCM507" s="325"/>
      <c r="DCN507" s="327"/>
      <c r="DCO507" s="28"/>
      <c r="DCP507" s="324"/>
      <c r="DCQ507" s="324"/>
      <c r="DCR507" s="324"/>
      <c r="DCS507" s="324"/>
      <c r="DCT507" s="324"/>
      <c r="DCU507" s="324"/>
      <c r="DCV507" s="256"/>
      <c r="DCW507" s="325"/>
      <c r="DCX507" s="311"/>
      <c r="DCY507" s="325"/>
      <c r="DCZ507" s="310"/>
      <c r="DDA507" s="325"/>
      <c r="DDB507" s="325"/>
      <c r="DDC507" s="325"/>
      <c r="DDD507" s="325"/>
      <c r="DDE507" s="325"/>
      <c r="DDF507" s="325"/>
      <c r="DDG507" s="325"/>
      <c r="DDH507" s="325"/>
      <c r="DDI507" s="325"/>
      <c r="DDJ507" s="325"/>
      <c r="DDK507" s="325"/>
      <c r="DDL507" s="325"/>
      <c r="DDM507" s="325"/>
      <c r="DDN507" s="325"/>
      <c r="DDO507" s="325"/>
      <c r="DDP507" s="325"/>
      <c r="DDQ507" s="325"/>
      <c r="DDR507" s="325"/>
      <c r="DDS507" s="325"/>
      <c r="DDT507" s="325"/>
      <c r="DDU507" s="325"/>
      <c r="DDV507" s="325"/>
      <c r="DDW507" s="325"/>
      <c r="DDX507" s="325"/>
      <c r="DDY507" s="325"/>
      <c r="DDZ507" s="325"/>
      <c r="DEA507" s="325"/>
      <c r="DEB507" s="325"/>
      <c r="DEC507" s="325"/>
      <c r="DED507" s="325"/>
      <c r="DEE507" s="327"/>
      <c r="DEF507" s="28"/>
      <c r="DEG507" s="324"/>
      <c r="DEH507" s="324"/>
      <c r="DEI507" s="324"/>
      <c r="DEJ507" s="324"/>
      <c r="DEK507" s="324"/>
      <c r="DEL507" s="324"/>
      <c r="DEM507" s="256"/>
      <c r="DEN507" s="325"/>
      <c r="DEO507" s="311"/>
      <c r="DEP507" s="325"/>
      <c r="DEQ507" s="310"/>
      <c r="DER507" s="325"/>
      <c r="DES507" s="325"/>
      <c r="DET507" s="325"/>
      <c r="DEU507" s="325"/>
      <c r="DEV507" s="325"/>
      <c r="DEW507" s="325"/>
      <c r="DEX507" s="325"/>
      <c r="DEY507" s="325"/>
      <c r="DEZ507" s="325"/>
      <c r="DFA507" s="325"/>
      <c r="DFB507" s="325"/>
      <c r="DFC507" s="325"/>
      <c r="DFD507" s="325"/>
      <c r="DFE507" s="325"/>
      <c r="DFF507" s="325"/>
      <c r="DFG507" s="325"/>
      <c r="DFH507" s="325"/>
      <c r="DFI507" s="325"/>
      <c r="DFJ507" s="325"/>
      <c r="DFK507" s="325"/>
      <c r="DFL507" s="325"/>
      <c r="DFM507" s="325"/>
      <c r="DFN507" s="325"/>
      <c r="DFO507" s="325"/>
      <c r="DFP507" s="325"/>
      <c r="DFQ507" s="325"/>
      <c r="DFR507" s="325"/>
      <c r="DFS507" s="325"/>
      <c r="DFT507" s="325"/>
      <c r="DFU507" s="325"/>
      <c r="DFV507" s="327"/>
      <c r="DFW507" s="28"/>
      <c r="DFX507" s="324"/>
      <c r="DFY507" s="324"/>
      <c r="DFZ507" s="324"/>
      <c r="DGA507" s="324"/>
      <c r="DGB507" s="324"/>
      <c r="DGC507" s="324"/>
      <c r="DGD507" s="256"/>
      <c r="DGE507" s="325"/>
      <c r="DGF507" s="311"/>
      <c r="DGG507" s="325"/>
      <c r="DGH507" s="310"/>
      <c r="DGI507" s="325"/>
      <c r="DGJ507" s="325"/>
      <c r="DGK507" s="325"/>
      <c r="DGL507" s="325"/>
      <c r="DGM507" s="325"/>
      <c r="DGN507" s="325"/>
      <c r="DGO507" s="325"/>
      <c r="DGP507" s="325"/>
      <c r="DGQ507" s="325"/>
      <c r="DGR507" s="325"/>
      <c r="DGS507" s="325"/>
      <c r="DGT507" s="325"/>
      <c r="DGU507" s="325"/>
      <c r="DGV507" s="325"/>
      <c r="DGW507" s="325"/>
      <c r="DGX507" s="325"/>
      <c r="DGY507" s="325"/>
      <c r="DGZ507" s="325"/>
      <c r="DHA507" s="325"/>
      <c r="DHB507" s="325"/>
      <c r="DHC507" s="325"/>
      <c r="DHD507" s="325"/>
      <c r="DHE507" s="325"/>
      <c r="DHF507" s="325"/>
      <c r="DHG507" s="325"/>
      <c r="DHH507" s="325"/>
      <c r="DHI507" s="325"/>
      <c r="DHJ507" s="325"/>
      <c r="DHK507" s="325"/>
      <c r="DHL507" s="325"/>
      <c r="DHM507" s="327"/>
      <c r="DHN507" s="28"/>
      <c r="DHO507" s="324"/>
      <c r="DHP507" s="324"/>
      <c r="DHQ507" s="324"/>
      <c r="DHR507" s="324"/>
      <c r="DHS507" s="324"/>
      <c r="DHT507" s="324"/>
      <c r="DHU507" s="256"/>
      <c r="DHV507" s="325"/>
      <c r="DHW507" s="311"/>
      <c r="DHX507" s="325"/>
      <c r="DHY507" s="310"/>
      <c r="DHZ507" s="325"/>
      <c r="DIA507" s="325"/>
      <c r="DIB507" s="325"/>
      <c r="DIC507" s="325"/>
      <c r="DID507" s="325"/>
      <c r="DIE507" s="325"/>
      <c r="DIF507" s="325"/>
      <c r="DIG507" s="325"/>
      <c r="DIH507" s="325"/>
      <c r="DII507" s="325"/>
      <c r="DIJ507" s="325"/>
      <c r="DIK507" s="325"/>
      <c r="DIL507" s="325"/>
      <c r="DIM507" s="325"/>
      <c r="DIN507" s="325"/>
      <c r="DIO507" s="325"/>
      <c r="DIP507" s="325"/>
      <c r="DIQ507" s="325"/>
      <c r="DIR507" s="325"/>
      <c r="DIS507" s="325"/>
      <c r="DIT507" s="325"/>
      <c r="DIU507" s="325"/>
      <c r="DIV507" s="325"/>
      <c r="DIW507" s="325"/>
      <c r="DIX507" s="325"/>
      <c r="DIY507" s="325"/>
      <c r="DIZ507" s="325"/>
      <c r="DJA507" s="325"/>
      <c r="DJB507" s="325"/>
      <c r="DJC507" s="325"/>
      <c r="DJD507" s="327"/>
      <c r="DJE507" s="28"/>
      <c r="DJF507" s="324"/>
      <c r="DJG507" s="324"/>
      <c r="DJH507" s="324"/>
      <c r="DJI507" s="324"/>
      <c r="DJJ507" s="324"/>
      <c r="DJK507" s="324"/>
      <c r="DJL507" s="256"/>
      <c r="DJM507" s="325"/>
      <c r="DJN507" s="311"/>
      <c r="DJO507" s="325"/>
      <c r="DJP507" s="310"/>
      <c r="DJQ507" s="325"/>
      <c r="DJR507" s="325"/>
      <c r="DJS507" s="325"/>
      <c r="DJT507" s="325"/>
      <c r="DJU507" s="325"/>
      <c r="DJV507" s="325"/>
      <c r="DJW507" s="325"/>
      <c r="DJX507" s="325"/>
      <c r="DJY507" s="325"/>
      <c r="DJZ507" s="325"/>
      <c r="DKA507" s="325"/>
      <c r="DKB507" s="325"/>
      <c r="DKC507" s="325"/>
      <c r="DKD507" s="325"/>
      <c r="DKE507" s="325"/>
      <c r="DKF507" s="325"/>
      <c r="DKG507" s="325"/>
      <c r="DKH507" s="325"/>
      <c r="DKI507" s="325"/>
      <c r="DKJ507" s="325"/>
      <c r="DKK507" s="325"/>
      <c r="DKL507" s="325"/>
      <c r="DKM507" s="325"/>
      <c r="DKN507" s="325"/>
      <c r="DKO507" s="325"/>
      <c r="DKP507" s="325"/>
      <c r="DKQ507" s="325"/>
      <c r="DKR507" s="325"/>
      <c r="DKS507" s="325"/>
      <c r="DKT507" s="325"/>
      <c r="DKU507" s="327"/>
      <c r="DKV507" s="28"/>
      <c r="DKW507" s="324"/>
      <c r="DKX507" s="324"/>
      <c r="DKY507" s="324"/>
      <c r="DKZ507" s="324"/>
      <c r="DLA507" s="324"/>
      <c r="DLB507" s="324"/>
      <c r="DLC507" s="256"/>
      <c r="DLD507" s="325"/>
      <c r="DLE507" s="311"/>
      <c r="DLF507" s="325"/>
      <c r="DLG507" s="310"/>
      <c r="DLH507" s="325"/>
      <c r="DLI507" s="325"/>
      <c r="DLJ507" s="325"/>
      <c r="DLK507" s="325"/>
      <c r="DLL507" s="325"/>
      <c r="DLM507" s="325"/>
      <c r="DLN507" s="325"/>
      <c r="DLO507" s="325"/>
      <c r="DLP507" s="325"/>
      <c r="DLQ507" s="325"/>
      <c r="DLR507" s="325"/>
      <c r="DLS507" s="325"/>
      <c r="DLT507" s="325"/>
      <c r="DLU507" s="325"/>
      <c r="DLV507" s="325"/>
      <c r="DLW507" s="325"/>
      <c r="DLX507" s="325"/>
      <c r="DLY507" s="325"/>
      <c r="DLZ507" s="325"/>
      <c r="DMA507" s="325"/>
      <c r="DMB507" s="325"/>
      <c r="DMC507" s="325"/>
      <c r="DMD507" s="325"/>
      <c r="DME507" s="325"/>
      <c r="DMF507" s="325"/>
      <c r="DMG507" s="325"/>
      <c r="DMH507" s="325"/>
      <c r="DMI507" s="325"/>
      <c r="DMJ507" s="325"/>
      <c r="DMK507" s="325"/>
      <c r="DML507" s="327"/>
      <c r="DMM507" s="28"/>
      <c r="DMN507" s="324"/>
      <c r="DMO507" s="324"/>
      <c r="DMP507" s="324"/>
      <c r="DMQ507" s="324"/>
      <c r="DMR507" s="324"/>
      <c r="DMS507" s="324"/>
      <c r="DMT507" s="256"/>
      <c r="DMU507" s="325"/>
      <c r="DMV507" s="311"/>
      <c r="DMW507" s="325"/>
      <c r="DMX507" s="310"/>
      <c r="DMY507" s="325"/>
      <c r="DMZ507" s="325"/>
      <c r="DNA507" s="325"/>
      <c r="DNB507" s="325"/>
      <c r="DNC507" s="325"/>
      <c r="DND507" s="325"/>
      <c r="DNE507" s="325"/>
      <c r="DNF507" s="325"/>
      <c r="DNG507" s="325"/>
      <c r="DNH507" s="325"/>
      <c r="DNI507" s="325"/>
      <c r="DNJ507" s="325"/>
      <c r="DNK507" s="325"/>
      <c r="DNL507" s="325"/>
      <c r="DNM507" s="325"/>
      <c r="DNN507" s="325"/>
      <c r="DNO507" s="325"/>
      <c r="DNP507" s="325"/>
      <c r="DNQ507" s="325"/>
      <c r="DNR507" s="325"/>
      <c r="DNS507" s="325"/>
      <c r="DNT507" s="325"/>
      <c r="DNU507" s="325"/>
      <c r="DNV507" s="325"/>
      <c r="DNW507" s="325"/>
      <c r="DNX507" s="325"/>
      <c r="DNY507" s="325"/>
      <c r="DNZ507" s="325"/>
      <c r="DOA507" s="325"/>
      <c r="DOB507" s="325"/>
      <c r="DOC507" s="327"/>
      <c r="DOD507" s="28"/>
      <c r="DOE507" s="324"/>
      <c r="DOF507" s="324"/>
      <c r="DOG507" s="324"/>
      <c r="DOH507" s="324"/>
      <c r="DOI507" s="324"/>
      <c r="DOJ507" s="324"/>
      <c r="DOK507" s="256"/>
      <c r="DOL507" s="325"/>
      <c r="DOM507" s="311"/>
      <c r="DON507" s="325"/>
      <c r="DOO507" s="310"/>
      <c r="DOP507" s="325"/>
      <c r="DOQ507" s="325"/>
      <c r="DOR507" s="325"/>
      <c r="DOS507" s="325"/>
      <c r="DOT507" s="325"/>
      <c r="DOU507" s="325"/>
      <c r="DOV507" s="325"/>
      <c r="DOW507" s="325"/>
      <c r="DOX507" s="325"/>
      <c r="DOY507" s="325"/>
      <c r="DOZ507" s="325"/>
      <c r="DPA507" s="325"/>
      <c r="DPB507" s="325"/>
      <c r="DPC507" s="325"/>
      <c r="DPD507" s="325"/>
      <c r="DPE507" s="325"/>
      <c r="DPF507" s="325"/>
      <c r="DPG507" s="325"/>
      <c r="DPH507" s="325"/>
      <c r="DPI507" s="325"/>
      <c r="DPJ507" s="325"/>
      <c r="DPK507" s="325"/>
      <c r="DPL507" s="325"/>
      <c r="DPM507" s="325"/>
      <c r="DPN507" s="325"/>
      <c r="DPO507" s="325"/>
      <c r="DPP507" s="325"/>
      <c r="DPQ507" s="325"/>
      <c r="DPR507" s="325"/>
      <c r="DPS507" s="325"/>
      <c r="DPT507" s="327"/>
      <c r="DPU507" s="28"/>
      <c r="DPV507" s="324"/>
      <c r="DPW507" s="324"/>
      <c r="DPX507" s="324"/>
      <c r="DPY507" s="324"/>
      <c r="DPZ507" s="324"/>
      <c r="DQA507" s="324"/>
      <c r="DQB507" s="256"/>
      <c r="DQC507" s="325"/>
      <c r="DQD507" s="311"/>
      <c r="DQE507" s="325"/>
      <c r="DQF507" s="310"/>
      <c r="DQG507" s="325"/>
      <c r="DQH507" s="325"/>
      <c r="DQI507" s="325"/>
      <c r="DQJ507" s="325"/>
      <c r="DQK507" s="325"/>
      <c r="DQL507" s="325"/>
      <c r="DQM507" s="325"/>
      <c r="DQN507" s="325"/>
      <c r="DQO507" s="325"/>
      <c r="DQP507" s="325"/>
      <c r="DQQ507" s="325"/>
      <c r="DQR507" s="325"/>
      <c r="DQS507" s="325"/>
      <c r="DQT507" s="325"/>
      <c r="DQU507" s="325"/>
      <c r="DQV507" s="325"/>
      <c r="DQW507" s="325"/>
      <c r="DQX507" s="325"/>
      <c r="DQY507" s="325"/>
      <c r="DQZ507" s="325"/>
      <c r="DRA507" s="325"/>
      <c r="DRB507" s="325"/>
      <c r="DRC507" s="325"/>
      <c r="DRD507" s="325"/>
      <c r="DRE507" s="325"/>
      <c r="DRF507" s="325"/>
      <c r="DRG507" s="325"/>
      <c r="DRH507" s="325"/>
      <c r="DRI507" s="325"/>
      <c r="DRJ507" s="325"/>
      <c r="DRK507" s="327"/>
      <c r="DRL507" s="28"/>
      <c r="DRM507" s="324"/>
      <c r="DRN507" s="324"/>
      <c r="DRO507" s="324"/>
      <c r="DRP507" s="324"/>
      <c r="DRQ507" s="324"/>
      <c r="DRR507" s="324"/>
      <c r="DRS507" s="256"/>
      <c r="DRT507" s="325"/>
      <c r="DRU507" s="311"/>
      <c r="DRV507" s="325"/>
      <c r="DRW507" s="310"/>
      <c r="DRX507" s="325"/>
      <c r="DRY507" s="325"/>
      <c r="DRZ507" s="325"/>
      <c r="DSA507" s="325"/>
      <c r="DSB507" s="325"/>
      <c r="DSC507" s="325"/>
      <c r="DSD507" s="325"/>
      <c r="DSE507" s="325"/>
      <c r="DSF507" s="325"/>
      <c r="DSG507" s="325"/>
      <c r="DSH507" s="325"/>
      <c r="DSI507" s="325"/>
      <c r="DSJ507" s="325"/>
      <c r="DSK507" s="325"/>
      <c r="DSL507" s="325"/>
      <c r="DSM507" s="325"/>
      <c r="DSN507" s="325"/>
      <c r="DSO507" s="325"/>
      <c r="DSP507" s="325"/>
      <c r="DSQ507" s="325"/>
      <c r="DSR507" s="325"/>
      <c r="DSS507" s="325"/>
      <c r="DST507" s="325"/>
      <c r="DSU507" s="325"/>
      <c r="DSV507" s="325"/>
      <c r="DSW507" s="325"/>
      <c r="DSX507" s="325"/>
      <c r="DSY507" s="325"/>
      <c r="DSZ507" s="325"/>
      <c r="DTA507" s="325"/>
      <c r="DTB507" s="327"/>
      <c r="DTC507" s="28"/>
      <c r="DTD507" s="324"/>
      <c r="DTE507" s="324"/>
      <c r="DTF507" s="324"/>
      <c r="DTG507" s="324"/>
      <c r="DTH507" s="324"/>
      <c r="DTI507" s="324"/>
      <c r="DTJ507" s="256"/>
      <c r="DTK507" s="325"/>
      <c r="DTL507" s="311"/>
      <c r="DTM507" s="325"/>
      <c r="DTN507" s="310"/>
      <c r="DTO507" s="325"/>
      <c r="DTP507" s="325"/>
      <c r="DTQ507" s="325"/>
      <c r="DTR507" s="325"/>
      <c r="DTS507" s="325"/>
      <c r="DTT507" s="325"/>
      <c r="DTU507" s="325"/>
      <c r="DTV507" s="325"/>
      <c r="DTW507" s="325"/>
      <c r="DTX507" s="325"/>
      <c r="DTY507" s="325"/>
      <c r="DTZ507" s="325"/>
      <c r="DUA507" s="325"/>
      <c r="DUB507" s="325"/>
      <c r="DUC507" s="325"/>
      <c r="DUD507" s="325"/>
      <c r="DUE507" s="325"/>
      <c r="DUF507" s="325"/>
      <c r="DUG507" s="325"/>
      <c r="DUH507" s="325"/>
      <c r="DUI507" s="325"/>
      <c r="DUJ507" s="325"/>
      <c r="DUK507" s="325"/>
      <c r="DUL507" s="325"/>
      <c r="DUM507" s="325"/>
      <c r="DUN507" s="325"/>
      <c r="DUO507" s="325"/>
      <c r="DUP507" s="325"/>
      <c r="DUQ507" s="325"/>
      <c r="DUR507" s="325"/>
      <c r="DUS507" s="327"/>
      <c r="DUT507" s="28"/>
      <c r="DUU507" s="324"/>
      <c r="DUV507" s="324"/>
      <c r="DUW507" s="324"/>
      <c r="DUX507" s="324"/>
      <c r="DUY507" s="324"/>
      <c r="DUZ507" s="324"/>
      <c r="DVA507" s="256"/>
      <c r="DVB507" s="325"/>
      <c r="DVC507" s="311"/>
      <c r="DVD507" s="325"/>
      <c r="DVE507" s="310"/>
      <c r="DVF507" s="325"/>
      <c r="DVG507" s="325"/>
      <c r="DVH507" s="325"/>
      <c r="DVI507" s="325"/>
      <c r="DVJ507" s="325"/>
      <c r="DVK507" s="325"/>
      <c r="DVL507" s="325"/>
      <c r="DVM507" s="325"/>
      <c r="DVN507" s="325"/>
      <c r="DVO507" s="325"/>
      <c r="DVP507" s="325"/>
      <c r="DVQ507" s="325"/>
      <c r="DVR507" s="325"/>
      <c r="DVS507" s="325"/>
      <c r="DVT507" s="325"/>
      <c r="DVU507" s="325"/>
      <c r="DVV507" s="325"/>
      <c r="DVW507" s="325"/>
      <c r="DVX507" s="325"/>
      <c r="DVY507" s="325"/>
      <c r="DVZ507" s="325"/>
      <c r="DWA507" s="325"/>
      <c r="DWB507" s="325"/>
      <c r="DWC507" s="325"/>
      <c r="DWD507" s="325"/>
      <c r="DWE507" s="325"/>
      <c r="DWF507" s="325"/>
      <c r="DWG507" s="325"/>
      <c r="DWH507" s="325"/>
      <c r="DWI507" s="325"/>
      <c r="DWJ507" s="327"/>
      <c r="DWK507" s="28"/>
      <c r="DWL507" s="324"/>
      <c r="DWM507" s="324"/>
      <c r="DWN507" s="324"/>
      <c r="DWO507" s="324"/>
      <c r="DWP507" s="324"/>
      <c r="DWQ507" s="324"/>
      <c r="DWR507" s="256"/>
      <c r="DWS507" s="325"/>
      <c r="DWT507" s="311"/>
      <c r="DWU507" s="325"/>
      <c r="DWV507" s="310"/>
      <c r="DWW507" s="325"/>
      <c r="DWX507" s="325"/>
      <c r="DWY507" s="325"/>
      <c r="DWZ507" s="325"/>
      <c r="DXA507" s="325"/>
      <c r="DXB507" s="325"/>
      <c r="DXC507" s="325"/>
      <c r="DXD507" s="325"/>
      <c r="DXE507" s="325"/>
      <c r="DXF507" s="325"/>
      <c r="DXG507" s="325"/>
      <c r="DXH507" s="325"/>
      <c r="DXI507" s="325"/>
      <c r="DXJ507" s="325"/>
      <c r="DXK507" s="325"/>
      <c r="DXL507" s="325"/>
      <c r="DXM507" s="325"/>
      <c r="DXN507" s="325"/>
      <c r="DXO507" s="325"/>
      <c r="DXP507" s="325"/>
      <c r="DXQ507" s="325"/>
      <c r="DXR507" s="325"/>
      <c r="DXS507" s="325"/>
      <c r="DXT507" s="325"/>
      <c r="DXU507" s="325"/>
      <c r="DXV507" s="325"/>
      <c r="DXW507" s="325"/>
      <c r="DXX507" s="325"/>
      <c r="DXY507" s="325"/>
      <c r="DXZ507" s="325"/>
      <c r="DYA507" s="327"/>
      <c r="DYB507" s="28"/>
      <c r="DYC507" s="324"/>
      <c r="DYD507" s="324"/>
      <c r="DYE507" s="324"/>
      <c r="DYF507" s="324"/>
      <c r="DYG507" s="324"/>
      <c r="DYH507" s="324"/>
      <c r="DYI507" s="256"/>
      <c r="DYJ507" s="325"/>
      <c r="DYK507" s="311"/>
      <c r="DYL507" s="325"/>
      <c r="DYM507" s="310"/>
      <c r="DYN507" s="325"/>
      <c r="DYO507" s="325"/>
      <c r="DYP507" s="325"/>
      <c r="DYQ507" s="325"/>
      <c r="DYR507" s="325"/>
      <c r="DYS507" s="325"/>
      <c r="DYT507" s="325"/>
      <c r="DYU507" s="325"/>
      <c r="DYV507" s="325"/>
      <c r="DYW507" s="325"/>
      <c r="DYX507" s="325"/>
      <c r="DYY507" s="325"/>
      <c r="DYZ507" s="325"/>
      <c r="DZA507" s="325"/>
      <c r="DZB507" s="325"/>
      <c r="DZC507" s="325"/>
      <c r="DZD507" s="325"/>
      <c r="DZE507" s="325"/>
      <c r="DZF507" s="325"/>
      <c r="DZG507" s="325"/>
      <c r="DZH507" s="325"/>
      <c r="DZI507" s="325"/>
      <c r="DZJ507" s="325"/>
      <c r="DZK507" s="325"/>
      <c r="DZL507" s="325"/>
      <c r="DZM507" s="325"/>
      <c r="DZN507" s="325"/>
      <c r="DZO507" s="325"/>
      <c r="DZP507" s="325"/>
      <c r="DZQ507" s="325"/>
      <c r="DZR507" s="327"/>
      <c r="DZS507" s="28"/>
      <c r="DZT507" s="324"/>
      <c r="DZU507" s="324"/>
      <c r="DZV507" s="324"/>
      <c r="DZW507" s="324"/>
      <c r="DZX507" s="324"/>
      <c r="DZY507" s="324"/>
      <c r="DZZ507" s="256"/>
      <c r="EAA507" s="325"/>
      <c r="EAB507" s="311"/>
      <c r="EAC507" s="325"/>
      <c r="EAD507" s="310"/>
      <c r="EAE507" s="325"/>
      <c r="EAF507" s="325"/>
      <c r="EAG507" s="325"/>
      <c r="EAH507" s="325"/>
      <c r="EAI507" s="325"/>
      <c r="EAJ507" s="325"/>
      <c r="EAK507" s="325"/>
      <c r="EAL507" s="325"/>
      <c r="EAM507" s="325"/>
      <c r="EAN507" s="325"/>
      <c r="EAO507" s="325"/>
      <c r="EAP507" s="325"/>
      <c r="EAQ507" s="325"/>
      <c r="EAR507" s="325"/>
      <c r="EAS507" s="325"/>
      <c r="EAT507" s="325"/>
      <c r="EAU507" s="325"/>
      <c r="EAV507" s="325"/>
      <c r="EAW507" s="325"/>
      <c r="EAX507" s="325"/>
      <c r="EAY507" s="325"/>
      <c r="EAZ507" s="325"/>
      <c r="EBA507" s="325"/>
      <c r="EBB507" s="325"/>
      <c r="EBC507" s="325"/>
      <c r="EBD507" s="325"/>
      <c r="EBE507" s="325"/>
      <c r="EBF507" s="325"/>
      <c r="EBG507" s="325"/>
      <c r="EBH507" s="325"/>
      <c r="EBI507" s="327"/>
      <c r="EBJ507" s="28"/>
      <c r="EBK507" s="324"/>
      <c r="EBL507" s="324"/>
      <c r="EBM507" s="324"/>
      <c r="EBN507" s="324"/>
      <c r="EBO507" s="324"/>
      <c r="EBP507" s="324"/>
      <c r="EBQ507" s="256"/>
      <c r="EBR507" s="325"/>
      <c r="EBS507" s="311"/>
      <c r="EBT507" s="325"/>
      <c r="EBU507" s="310"/>
      <c r="EBV507" s="325"/>
      <c r="EBW507" s="325"/>
      <c r="EBX507" s="325"/>
      <c r="EBY507" s="325"/>
      <c r="EBZ507" s="325"/>
      <c r="ECA507" s="325"/>
      <c r="ECB507" s="325"/>
      <c r="ECC507" s="325"/>
      <c r="ECD507" s="325"/>
      <c r="ECE507" s="325"/>
      <c r="ECF507" s="325"/>
      <c r="ECG507" s="325"/>
      <c r="ECH507" s="325"/>
      <c r="ECI507" s="325"/>
      <c r="ECJ507" s="325"/>
      <c r="ECK507" s="325"/>
      <c r="ECL507" s="325"/>
      <c r="ECM507" s="325"/>
      <c r="ECN507" s="325"/>
      <c r="ECO507" s="325"/>
      <c r="ECP507" s="325"/>
      <c r="ECQ507" s="325"/>
      <c r="ECR507" s="325"/>
      <c r="ECS507" s="325"/>
      <c r="ECT507" s="325"/>
      <c r="ECU507" s="325"/>
      <c r="ECV507" s="325"/>
      <c r="ECW507" s="325"/>
      <c r="ECX507" s="325"/>
      <c r="ECY507" s="325"/>
      <c r="ECZ507" s="327"/>
      <c r="EDA507" s="28"/>
      <c r="EDB507" s="324"/>
      <c r="EDC507" s="324"/>
      <c r="EDD507" s="324"/>
      <c r="EDE507" s="324"/>
      <c r="EDF507" s="324"/>
      <c r="EDG507" s="324"/>
      <c r="EDH507" s="256"/>
      <c r="EDI507" s="325"/>
      <c r="EDJ507" s="311"/>
      <c r="EDK507" s="325"/>
      <c r="EDL507" s="310"/>
      <c r="EDM507" s="325"/>
      <c r="EDN507" s="325"/>
      <c r="EDO507" s="325"/>
      <c r="EDP507" s="325"/>
      <c r="EDQ507" s="325"/>
      <c r="EDR507" s="325"/>
      <c r="EDS507" s="325"/>
      <c r="EDT507" s="325"/>
      <c r="EDU507" s="325"/>
      <c r="EDV507" s="325"/>
      <c r="EDW507" s="325"/>
      <c r="EDX507" s="325"/>
      <c r="EDY507" s="325"/>
      <c r="EDZ507" s="325"/>
      <c r="EEA507" s="325"/>
      <c r="EEB507" s="325"/>
      <c r="EEC507" s="325"/>
      <c r="EED507" s="325"/>
      <c r="EEE507" s="325"/>
      <c r="EEF507" s="325"/>
      <c r="EEG507" s="325"/>
      <c r="EEH507" s="325"/>
      <c r="EEI507" s="325"/>
      <c r="EEJ507" s="325"/>
      <c r="EEK507" s="325"/>
      <c r="EEL507" s="325"/>
      <c r="EEM507" s="325"/>
      <c r="EEN507" s="325"/>
      <c r="EEO507" s="325"/>
      <c r="EEP507" s="325"/>
      <c r="EEQ507" s="327"/>
      <c r="EER507" s="28"/>
      <c r="EES507" s="324"/>
      <c r="EET507" s="324"/>
      <c r="EEU507" s="324"/>
      <c r="EEV507" s="324"/>
      <c r="EEW507" s="324"/>
      <c r="EEX507" s="324"/>
      <c r="EEY507" s="256"/>
      <c r="EEZ507" s="325"/>
      <c r="EFA507" s="311"/>
      <c r="EFB507" s="325"/>
      <c r="EFC507" s="310"/>
      <c r="EFD507" s="325"/>
      <c r="EFE507" s="325"/>
      <c r="EFF507" s="325"/>
      <c r="EFG507" s="325"/>
      <c r="EFH507" s="325"/>
      <c r="EFI507" s="325"/>
      <c r="EFJ507" s="325"/>
      <c r="EFK507" s="325"/>
      <c r="EFL507" s="325"/>
      <c r="EFM507" s="325"/>
      <c r="EFN507" s="325"/>
      <c r="EFO507" s="325"/>
      <c r="EFP507" s="325"/>
      <c r="EFQ507" s="325"/>
      <c r="EFR507" s="325"/>
      <c r="EFS507" s="325"/>
      <c r="EFT507" s="325"/>
      <c r="EFU507" s="325"/>
      <c r="EFV507" s="325"/>
      <c r="EFW507" s="325"/>
      <c r="EFX507" s="325"/>
      <c r="EFY507" s="325"/>
      <c r="EFZ507" s="325"/>
      <c r="EGA507" s="325"/>
      <c r="EGB507" s="325"/>
      <c r="EGC507" s="325"/>
      <c r="EGD507" s="325"/>
      <c r="EGE507" s="325"/>
      <c r="EGF507" s="325"/>
      <c r="EGG507" s="325"/>
      <c r="EGH507" s="327"/>
      <c r="EGI507" s="28"/>
      <c r="EGJ507" s="324"/>
      <c r="EGK507" s="324"/>
      <c r="EGL507" s="324"/>
      <c r="EGM507" s="324"/>
      <c r="EGN507" s="324"/>
      <c r="EGO507" s="324"/>
      <c r="EGP507" s="256"/>
      <c r="EGQ507" s="325"/>
      <c r="EGR507" s="311"/>
      <c r="EGS507" s="325"/>
      <c r="EGT507" s="310"/>
      <c r="EGU507" s="325"/>
      <c r="EGV507" s="325"/>
      <c r="EGW507" s="325"/>
      <c r="EGX507" s="325"/>
      <c r="EGY507" s="325"/>
      <c r="EGZ507" s="325"/>
      <c r="EHA507" s="325"/>
      <c r="EHB507" s="325"/>
      <c r="EHC507" s="325"/>
      <c r="EHD507" s="325"/>
      <c r="EHE507" s="325"/>
      <c r="EHF507" s="325"/>
      <c r="EHG507" s="325"/>
      <c r="EHH507" s="325"/>
      <c r="EHI507" s="325"/>
      <c r="EHJ507" s="325"/>
      <c r="EHK507" s="325"/>
      <c r="EHL507" s="325"/>
      <c r="EHM507" s="325"/>
      <c r="EHN507" s="325"/>
      <c r="EHO507" s="325"/>
      <c r="EHP507" s="325"/>
      <c r="EHQ507" s="325"/>
      <c r="EHR507" s="325"/>
      <c r="EHS507" s="325"/>
      <c r="EHT507" s="325"/>
      <c r="EHU507" s="325"/>
      <c r="EHV507" s="325"/>
      <c r="EHW507" s="325"/>
      <c r="EHX507" s="325"/>
      <c r="EHY507" s="327"/>
      <c r="EHZ507" s="28"/>
      <c r="EIA507" s="324"/>
      <c r="EIB507" s="324"/>
      <c r="EIC507" s="324"/>
      <c r="EID507" s="324"/>
      <c r="EIE507" s="324"/>
      <c r="EIF507" s="324"/>
      <c r="EIG507" s="256"/>
      <c r="EIH507" s="325"/>
      <c r="EII507" s="311"/>
      <c r="EIJ507" s="325"/>
      <c r="EIK507" s="310"/>
      <c r="EIL507" s="325"/>
      <c r="EIM507" s="325"/>
      <c r="EIN507" s="325"/>
      <c r="EIO507" s="325"/>
      <c r="EIP507" s="325"/>
      <c r="EIQ507" s="325"/>
      <c r="EIR507" s="325"/>
      <c r="EIS507" s="325"/>
      <c r="EIT507" s="325"/>
      <c r="EIU507" s="325"/>
      <c r="EIV507" s="325"/>
      <c r="EIW507" s="325"/>
      <c r="EIX507" s="325"/>
      <c r="EIY507" s="325"/>
      <c r="EIZ507" s="325"/>
      <c r="EJA507" s="325"/>
      <c r="EJB507" s="325"/>
      <c r="EJC507" s="325"/>
      <c r="EJD507" s="325"/>
      <c r="EJE507" s="325"/>
      <c r="EJF507" s="325"/>
      <c r="EJG507" s="325"/>
      <c r="EJH507" s="325"/>
      <c r="EJI507" s="325"/>
      <c r="EJJ507" s="325"/>
      <c r="EJK507" s="325"/>
      <c r="EJL507" s="325"/>
      <c r="EJM507" s="325"/>
      <c r="EJN507" s="325"/>
      <c r="EJO507" s="325"/>
      <c r="EJP507" s="327"/>
      <c r="EJQ507" s="28"/>
      <c r="EJR507" s="324"/>
      <c r="EJS507" s="324"/>
      <c r="EJT507" s="324"/>
      <c r="EJU507" s="324"/>
      <c r="EJV507" s="324"/>
      <c r="EJW507" s="324"/>
      <c r="EJX507" s="256"/>
      <c r="EJY507" s="325"/>
      <c r="EJZ507" s="311"/>
      <c r="EKA507" s="325"/>
      <c r="EKB507" s="310"/>
      <c r="EKC507" s="325"/>
      <c r="EKD507" s="325"/>
      <c r="EKE507" s="325"/>
      <c r="EKF507" s="325"/>
      <c r="EKG507" s="325"/>
      <c r="EKH507" s="325"/>
      <c r="EKI507" s="325"/>
      <c r="EKJ507" s="325"/>
      <c r="EKK507" s="325"/>
      <c r="EKL507" s="325"/>
      <c r="EKM507" s="325"/>
      <c r="EKN507" s="325"/>
      <c r="EKO507" s="325"/>
      <c r="EKP507" s="325"/>
      <c r="EKQ507" s="325"/>
      <c r="EKR507" s="325"/>
      <c r="EKS507" s="325"/>
      <c r="EKT507" s="325"/>
      <c r="EKU507" s="325"/>
      <c r="EKV507" s="325"/>
      <c r="EKW507" s="325"/>
      <c r="EKX507" s="325"/>
      <c r="EKY507" s="325"/>
      <c r="EKZ507" s="325"/>
      <c r="ELA507" s="325"/>
      <c r="ELB507" s="325"/>
      <c r="ELC507" s="325"/>
      <c r="ELD507" s="325"/>
      <c r="ELE507" s="325"/>
      <c r="ELF507" s="325"/>
      <c r="ELG507" s="327"/>
      <c r="ELH507" s="28"/>
      <c r="ELI507" s="324"/>
      <c r="ELJ507" s="324"/>
      <c r="ELK507" s="324"/>
      <c r="ELL507" s="324"/>
      <c r="ELM507" s="324"/>
      <c r="ELN507" s="324"/>
      <c r="ELO507" s="256"/>
      <c r="ELP507" s="325"/>
      <c r="ELQ507" s="311"/>
      <c r="ELR507" s="325"/>
      <c r="ELS507" s="310"/>
      <c r="ELT507" s="325"/>
      <c r="ELU507" s="325"/>
      <c r="ELV507" s="325"/>
      <c r="ELW507" s="325"/>
      <c r="ELX507" s="325"/>
      <c r="ELY507" s="325"/>
      <c r="ELZ507" s="325"/>
      <c r="EMA507" s="325"/>
      <c r="EMB507" s="325"/>
      <c r="EMC507" s="325"/>
      <c r="EMD507" s="325"/>
      <c r="EME507" s="325"/>
      <c r="EMF507" s="325"/>
      <c r="EMG507" s="325"/>
      <c r="EMH507" s="325"/>
      <c r="EMI507" s="325"/>
      <c r="EMJ507" s="325"/>
      <c r="EMK507" s="325"/>
      <c r="EML507" s="325"/>
      <c r="EMM507" s="325"/>
      <c r="EMN507" s="325"/>
      <c r="EMO507" s="325"/>
      <c r="EMP507" s="325"/>
      <c r="EMQ507" s="325"/>
      <c r="EMR507" s="325"/>
      <c r="EMS507" s="325"/>
      <c r="EMT507" s="325"/>
      <c r="EMU507" s="325"/>
      <c r="EMV507" s="325"/>
      <c r="EMW507" s="325"/>
      <c r="EMX507" s="327"/>
      <c r="EMY507" s="28"/>
      <c r="EMZ507" s="324"/>
      <c r="ENA507" s="324"/>
      <c r="ENB507" s="324"/>
      <c r="ENC507" s="324"/>
      <c r="END507" s="324"/>
      <c r="ENE507" s="324"/>
      <c r="ENF507" s="256"/>
      <c r="ENG507" s="325"/>
      <c r="ENH507" s="311"/>
      <c r="ENI507" s="325"/>
      <c r="ENJ507" s="310"/>
      <c r="ENK507" s="325"/>
      <c r="ENL507" s="325"/>
      <c r="ENM507" s="325"/>
      <c r="ENN507" s="325"/>
      <c r="ENO507" s="325"/>
      <c r="ENP507" s="325"/>
      <c r="ENQ507" s="325"/>
      <c r="ENR507" s="325"/>
      <c r="ENS507" s="325"/>
      <c r="ENT507" s="325"/>
      <c r="ENU507" s="325"/>
      <c r="ENV507" s="325"/>
      <c r="ENW507" s="325"/>
      <c r="ENX507" s="325"/>
      <c r="ENY507" s="325"/>
      <c r="ENZ507" s="325"/>
      <c r="EOA507" s="325"/>
      <c r="EOB507" s="325"/>
      <c r="EOC507" s="325"/>
      <c r="EOD507" s="325"/>
      <c r="EOE507" s="325"/>
      <c r="EOF507" s="325"/>
      <c r="EOG507" s="325"/>
      <c r="EOH507" s="325"/>
      <c r="EOI507" s="325"/>
      <c r="EOJ507" s="325"/>
      <c r="EOK507" s="325"/>
      <c r="EOL507" s="325"/>
      <c r="EOM507" s="325"/>
      <c r="EON507" s="325"/>
      <c r="EOO507" s="327"/>
      <c r="EOP507" s="28"/>
      <c r="EOQ507" s="324"/>
      <c r="EOR507" s="324"/>
      <c r="EOS507" s="324"/>
      <c r="EOT507" s="324"/>
      <c r="EOU507" s="324"/>
      <c r="EOV507" s="324"/>
      <c r="EOW507" s="256"/>
      <c r="EOX507" s="325"/>
      <c r="EOY507" s="311"/>
      <c r="EOZ507" s="325"/>
      <c r="EPA507" s="310"/>
      <c r="EPB507" s="325"/>
      <c r="EPC507" s="325"/>
      <c r="EPD507" s="325"/>
      <c r="EPE507" s="325"/>
      <c r="EPF507" s="325"/>
      <c r="EPG507" s="325"/>
      <c r="EPH507" s="325"/>
      <c r="EPI507" s="325"/>
      <c r="EPJ507" s="325"/>
      <c r="EPK507" s="325"/>
      <c r="EPL507" s="325"/>
      <c r="EPM507" s="325"/>
      <c r="EPN507" s="325"/>
      <c r="EPO507" s="325"/>
      <c r="EPP507" s="325"/>
      <c r="EPQ507" s="325"/>
      <c r="EPR507" s="325"/>
      <c r="EPS507" s="325"/>
      <c r="EPT507" s="325"/>
      <c r="EPU507" s="325"/>
      <c r="EPV507" s="325"/>
      <c r="EPW507" s="325"/>
      <c r="EPX507" s="325"/>
      <c r="EPY507" s="325"/>
      <c r="EPZ507" s="325"/>
      <c r="EQA507" s="325"/>
      <c r="EQB507" s="325"/>
      <c r="EQC507" s="325"/>
      <c r="EQD507" s="325"/>
      <c r="EQE507" s="325"/>
      <c r="EQF507" s="327"/>
      <c r="EQG507" s="28"/>
      <c r="EQH507" s="324"/>
      <c r="EQI507" s="324"/>
      <c r="EQJ507" s="324"/>
      <c r="EQK507" s="324"/>
      <c r="EQL507" s="324"/>
      <c r="EQM507" s="324"/>
      <c r="EQN507" s="256"/>
      <c r="EQO507" s="325"/>
      <c r="EQP507" s="311"/>
      <c r="EQQ507" s="325"/>
      <c r="EQR507" s="310"/>
      <c r="EQS507" s="325"/>
      <c r="EQT507" s="325"/>
      <c r="EQU507" s="325"/>
      <c r="EQV507" s="325"/>
      <c r="EQW507" s="325"/>
      <c r="EQX507" s="325"/>
      <c r="EQY507" s="325"/>
      <c r="EQZ507" s="325"/>
      <c r="ERA507" s="325"/>
      <c r="ERB507" s="325"/>
      <c r="ERC507" s="325"/>
      <c r="ERD507" s="325"/>
      <c r="ERE507" s="325"/>
      <c r="ERF507" s="325"/>
      <c r="ERG507" s="325"/>
      <c r="ERH507" s="325"/>
      <c r="ERI507" s="325"/>
      <c r="ERJ507" s="325"/>
      <c r="ERK507" s="325"/>
      <c r="ERL507" s="325"/>
      <c r="ERM507" s="325"/>
      <c r="ERN507" s="325"/>
      <c r="ERO507" s="325"/>
      <c r="ERP507" s="325"/>
      <c r="ERQ507" s="325"/>
      <c r="ERR507" s="325"/>
      <c r="ERS507" s="325"/>
      <c r="ERT507" s="325"/>
      <c r="ERU507" s="325"/>
      <c r="ERV507" s="325"/>
      <c r="ERW507" s="327"/>
      <c r="ERX507" s="28"/>
      <c r="ERY507" s="324"/>
      <c r="ERZ507" s="324"/>
      <c r="ESA507" s="324"/>
      <c r="ESB507" s="324"/>
      <c r="ESC507" s="324"/>
      <c r="ESD507" s="324"/>
      <c r="ESE507" s="256"/>
      <c r="ESF507" s="325"/>
      <c r="ESG507" s="311"/>
      <c r="ESH507" s="325"/>
      <c r="ESI507" s="310"/>
      <c r="ESJ507" s="325"/>
      <c r="ESK507" s="325"/>
      <c r="ESL507" s="325"/>
      <c r="ESM507" s="325"/>
      <c r="ESN507" s="325"/>
      <c r="ESO507" s="325"/>
      <c r="ESP507" s="325"/>
      <c r="ESQ507" s="325"/>
      <c r="ESR507" s="325"/>
      <c r="ESS507" s="325"/>
      <c r="EST507" s="325"/>
      <c r="ESU507" s="325"/>
      <c r="ESV507" s="325"/>
      <c r="ESW507" s="325"/>
      <c r="ESX507" s="325"/>
      <c r="ESY507" s="325"/>
      <c r="ESZ507" s="325"/>
      <c r="ETA507" s="325"/>
      <c r="ETB507" s="325"/>
      <c r="ETC507" s="325"/>
      <c r="ETD507" s="325"/>
      <c r="ETE507" s="325"/>
      <c r="ETF507" s="325"/>
      <c r="ETG507" s="325"/>
      <c r="ETH507" s="325"/>
      <c r="ETI507" s="325"/>
      <c r="ETJ507" s="325"/>
      <c r="ETK507" s="325"/>
      <c r="ETL507" s="325"/>
      <c r="ETM507" s="325"/>
      <c r="ETN507" s="327"/>
      <c r="ETO507" s="28"/>
      <c r="ETP507" s="324"/>
      <c r="ETQ507" s="324"/>
      <c r="ETR507" s="324"/>
      <c r="ETS507" s="324"/>
      <c r="ETT507" s="324"/>
      <c r="ETU507" s="324"/>
      <c r="ETV507" s="256"/>
      <c r="ETW507" s="325"/>
      <c r="ETX507" s="311"/>
      <c r="ETY507" s="325"/>
      <c r="ETZ507" s="310"/>
      <c r="EUA507" s="325"/>
      <c r="EUB507" s="325"/>
      <c r="EUC507" s="325"/>
      <c r="EUD507" s="325"/>
      <c r="EUE507" s="325"/>
      <c r="EUF507" s="325"/>
      <c r="EUG507" s="325"/>
      <c r="EUH507" s="325"/>
      <c r="EUI507" s="325"/>
      <c r="EUJ507" s="325"/>
      <c r="EUK507" s="325"/>
      <c r="EUL507" s="325"/>
      <c r="EUM507" s="325"/>
      <c r="EUN507" s="325"/>
      <c r="EUO507" s="325"/>
      <c r="EUP507" s="325"/>
      <c r="EUQ507" s="325"/>
      <c r="EUR507" s="325"/>
      <c r="EUS507" s="325"/>
      <c r="EUT507" s="325"/>
      <c r="EUU507" s="325"/>
      <c r="EUV507" s="325"/>
      <c r="EUW507" s="325"/>
      <c r="EUX507" s="325"/>
      <c r="EUY507" s="325"/>
      <c r="EUZ507" s="325"/>
      <c r="EVA507" s="325"/>
      <c r="EVB507" s="325"/>
      <c r="EVC507" s="325"/>
      <c r="EVD507" s="325"/>
      <c r="EVE507" s="327"/>
      <c r="EVF507" s="28"/>
      <c r="EVG507" s="324"/>
      <c r="EVH507" s="324"/>
      <c r="EVI507" s="324"/>
      <c r="EVJ507" s="324"/>
      <c r="EVK507" s="324"/>
      <c r="EVL507" s="324"/>
      <c r="EVM507" s="256"/>
      <c r="EVN507" s="325"/>
      <c r="EVO507" s="311"/>
      <c r="EVP507" s="325"/>
      <c r="EVQ507" s="310"/>
      <c r="EVR507" s="325"/>
      <c r="EVS507" s="325"/>
      <c r="EVT507" s="325"/>
      <c r="EVU507" s="325"/>
      <c r="EVV507" s="325"/>
      <c r="EVW507" s="325"/>
      <c r="EVX507" s="325"/>
      <c r="EVY507" s="325"/>
      <c r="EVZ507" s="325"/>
      <c r="EWA507" s="325"/>
      <c r="EWB507" s="325"/>
      <c r="EWC507" s="325"/>
      <c r="EWD507" s="325"/>
      <c r="EWE507" s="325"/>
      <c r="EWF507" s="325"/>
      <c r="EWG507" s="325"/>
      <c r="EWH507" s="325"/>
      <c r="EWI507" s="325"/>
      <c r="EWJ507" s="325"/>
      <c r="EWK507" s="325"/>
      <c r="EWL507" s="325"/>
      <c r="EWM507" s="325"/>
      <c r="EWN507" s="325"/>
      <c r="EWO507" s="325"/>
      <c r="EWP507" s="325"/>
      <c r="EWQ507" s="325"/>
      <c r="EWR507" s="325"/>
      <c r="EWS507" s="325"/>
      <c r="EWT507" s="325"/>
      <c r="EWU507" s="325"/>
      <c r="EWV507" s="327"/>
      <c r="EWW507" s="28"/>
      <c r="EWX507" s="324"/>
      <c r="EWY507" s="324"/>
      <c r="EWZ507" s="324"/>
      <c r="EXA507" s="324"/>
      <c r="EXB507" s="324"/>
      <c r="EXC507" s="324"/>
      <c r="EXD507" s="256"/>
      <c r="EXE507" s="325"/>
      <c r="EXF507" s="311"/>
      <c r="EXG507" s="325"/>
      <c r="EXH507" s="310"/>
      <c r="EXI507" s="325"/>
      <c r="EXJ507" s="325"/>
      <c r="EXK507" s="325"/>
      <c r="EXL507" s="325"/>
      <c r="EXM507" s="325"/>
      <c r="EXN507" s="325"/>
      <c r="EXO507" s="325"/>
      <c r="EXP507" s="325"/>
      <c r="EXQ507" s="325"/>
      <c r="EXR507" s="325"/>
      <c r="EXS507" s="325"/>
      <c r="EXT507" s="325"/>
      <c r="EXU507" s="325"/>
      <c r="EXV507" s="325"/>
      <c r="EXW507" s="325"/>
      <c r="EXX507" s="325"/>
      <c r="EXY507" s="325"/>
      <c r="EXZ507" s="325"/>
      <c r="EYA507" s="325"/>
      <c r="EYB507" s="325"/>
      <c r="EYC507" s="325"/>
      <c r="EYD507" s="325"/>
      <c r="EYE507" s="325"/>
      <c r="EYF507" s="325"/>
      <c r="EYG507" s="325"/>
      <c r="EYH507" s="325"/>
      <c r="EYI507" s="325"/>
      <c r="EYJ507" s="325"/>
      <c r="EYK507" s="325"/>
      <c r="EYL507" s="325"/>
      <c r="EYM507" s="327"/>
      <c r="EYN507" s="28"/>
      <c r="EYO507" s="324"/>
      <c r="EYP507" s="324"/>
      <c r="EYQ507" s="324"/>
      <c r="EYR507" s="324"/>
      <c r="EYS507" s="324"/>
      <c r="EYT507" s="324"/>
      <c r="EYU507" s="256"/>
      <c r="EYV507" s="325"/>
      <c r="EYW507" s="311"/>
      <c r="EYX507" s="325"/>
      <c r="EYY507" s="310"/>
      <c r="EYZ507" s="325"/>
      <c r="EZA507" s="325"/>
      <c r="EZB507" s="325"/>
      <c r="EZC507" s="325"/>
      <c r="EZD507" s="325"/>
      <c r="EZE507" s="325"/>
      <c r="EZF507" s="325"/>
      <c r="EZG507" s="325"/>
      <c r="EZH507" s="325"/>
      <c r="EZI507" s="325"/>
      <c r="EZJ507" s="325"/>
      <c r="EZK507" s="325"/>
      <c r="EZL507" s="325"/>
      <c r="EZM507" s="325"/>
      <c r="EZN507" s="325"/>
      <c r="EZO507" s="325"/>
      <c r="EZP507" s="325"/>
      <c r="EZQ507" s="325"/>
      <c r="EZR507" s="325"/>
      <c r="EZS507" s="325"/>
      <c r="EZT507" s="325"/>
      <c r="EZU507" s="325"/>
      <c r="EZV507" s="325"/>
      <c r="EZW507" s="325"/>
      <c r="EZX507" s="325"/>
      <c r="EZY507" s="325"/>
      <c r="EZZ507" s="325"/>
      <c r="FAA507" s="325"/>
      <c r="FAB507" s="325"/>
      <c r="FAC507" s="325"/>
      <c r="FAD507" s="327"/>
      <c r="FAE507" s="28"/>
      <c r="FAF507" s="324"/>
      <c r="FAG507" s="324"/>
      <c r="FAH507" s="324"/>
      <c r="FAI507" s="324"/>
      <c r="FAJ507" s="324"/>
      <c r="FAK507" s="324"/>
      <c r="FAL507" s="256"/>
      <c r="FAM507" s="325"/>
      <c r="FAN507" s="311"/>
      <c r="FAO507" s="325"/>
      <c r="FAP507" s="310"/>
      <c r="FAQ507" s="325"/>
      <c r="FAR507" s="325"/>
      <c r="FAS507" s="325"/>
      <c r="FAT507" s="325"/>
      <c r="FAU507" s="325"/>
      <c r="FAV507" s="325"/>
      <c r="FAW507" s="325"/>
      <c r="FAX507" s="325"/>
      <c r="FAY507" s="325"/>
      <c r="FAZ507" s="325"/>
      <c r="FBA507" s="325"/>
      <c r="FBB507" s="325"/>
      <c r="FBC507" s="325"/>
      <c r="FBD507" s="325"/>
      <c r="FBE507" s="325"/>
      <c r="FBF507" s="325"/>
      <c r="FBG507" s="325"/>
      <c r="FBH507" s="325"/>
      <c r="FBI507" s="325"/>
      <c r="FBJ507" s="325"/>
      <c r="FBK507" s="325"/>
      <c r="FBL507" s="325"/>
      <c r="FBM507" s="325"/>
      <c r="FBN507" s="325"/>
      <c r="FBO507" s="325"/>
      <c r="FBP507" s="325"/>
      <c r="FBQ507" s="325"/>
      <c r="FBR507" s="325"/>
      <c r="FBS507" s="325"/>
      <c r="FBT507" s="325"/>
      <c r="FBU507" s="327"/>
      <c r="FBV507" s="28"/>
      <c r="FBW507" s="324"/>
      <c r="FBX507" s="324"/>
      <c r="FBY507" s="324"/>
      <c r="FBZ507" s="324"/>
      <c r="FCA507" s="324"/>
      <c r="FCB507" s="324"/>
      <c r="FCC507" s="256"/>
      <c r="FCD507" s="325"/>
      <c r="FCE507" s="311"/>
      <c r="FCF507" s="325"/>
      <c r="FCG507" s="310"/>
      <c r="FCH507" s="325"/>
      <c r="FCI507" s="325"/>
      <c r="FCJ507" s="325"/>
      <c r="FCK507" s="325"/>
      <c r="FCL507" s="325"/>
      <c r="FCM507" s="325"/>
      <c r="FCN507" s="325"/>
      <c r="FCO507" s="325"/>
      <c r="FCP507" s="325"/>
      <c r="FCQ507" s="325"/>
      <c r="FCR507" s="325"/>
      <c r="FCS507" s="325"/>
      <c r="FCT507" s="325"/>
      <c r="FCU507" s="325"/>
      <c r="FCV507" s="325"/>
      <c r="FCW507" s="325"/>
      <c r="FCX507" s="325"/>
      <c r="FCY507" s="325"/>
      <c r="FCZ507" s="325"/>
      <c r="FDA507" s="325"/>
      <c r="FDB507" s="325"/>
      <c r="FDC507" s="325"/>
      <c r="FDD507" s="325"/>
      <c r="FDE507" s="325"/>
      <c r="FDF507" s="325"/>
      <c r="FDG507" s="325"/>
      <c r="FDH507" s="325"/>
      <c r="FDI507" s="325"/>
      <c r="FDJ507" s="325"/>
      <c r="FDK507" s="325"/>
      <c r="FDL507" s="327"/>
      <c r="FDM507" s="28"/>
      <c r="FDN507" s="324"/>
      <c r="FDO507" s="324"/>
      <c r="FDP507" s="324"/>
      <c r="FDQ507" s="324"/>
      <c r="FDR507" s="324"/>
      <c r="FDS507" s="324"/>
      <c r="FDT507" s="256"/>
      <c r="FDU507" s="325"/>
      <c r="FDV507" s="311"/>
      <c r="FDW507" s="325"/>
      <c r="FDX507" s="310"/>
      <c r="FDY507" s="325"/>
      <c r="FDZ507" s="325"/>
      <c r="FEA507" s="325"/>
      <c r="FEB507" s="325"/>
      <c r="FEC507" s="325"/>
      <c r="FED507" s="325"/>
      <c r="FEE507" s="325"/>
      <c r="FEF507" s="325"/>
      <c r="FEG507" s="325"/>
      <c r="FEH507" s="325"/>
      <c r="FEI507" s="325"/>
      <c r="FEJ507" s="325"/>
      <c r="FEK507" s="325"/>
      <c r="FEL507" s="325"/>
      <c r="FEM507" s="325"/>
      <c r="FEN507" s="325"/>
      <c r="FEO507" s="325"/>
      <c r="FEP507" s="325"/>
      <c r="FEQ507" s="325"/>
      <c r="FER507" s="325"/>
      <c r="FES507" s="325"/>
      <c r="FET507" s="325"/>
      <c r="FEU507" s="325"/>
      <c r="FEV507" s="325"/>
      <c r="FEW507" s="325"/>
      <c r="FEX507" s="325"/>
      <c r="FEY507" s="325"/>
      <c r="FEZ507" s="325"/>
      <c r="FFA507" s="325"/>
      <c r="FFB507" s="325"/>
      <c r="FFC507" s="327"/>
      <c r="FFD507" s="28"/>
      <c r="FFE507" s="324"/>
      <c r="FFF507" s="324"/>
      <c r="FFG507" s="324"/>
      <c r="FFH507" s="324"/>
      <c r="FFI507" s="324"/>
      <c r="FFJ507" s="324"/>
      <c r="FFK507" s="256"/>
      <c r="FFL507" s="325"/>
      <c r="FFM507" s="311"/>
      <c r="FFN507" s="325"/>
      <c r="FFO507" s="310"/>
      <c r="FFP507" s="325"/>
      <c r="FFQ507" s="325"/>
      <c r="FFR507" s="325"/>
      <c r="FFS507" s="325"/>
      <c r="FFT507" s="325"/>
      <c r="FFU507" s="325"/>
      <c r="FFV507" s="325"/>
      <c r="FFW507" s="325"/>
      <c r="FFX507" s="325"/>
      <c r="FFY507" s="325"/>
      <c r="FFZ507" s="325"/>
      <c r="FGA507" s="325"/>
      <c r="FGB507" s="325"/>
      <c r="FGC507" s="325"/>
      <c r="FGD507" s="325"/>
      <c r="FGE507" s="325"/>
      <c r="FGF507" s="325"/>
      <c r="FGG507" s="325"/>
      <c r="FGH507" s="325"/>
      <c r="FGI507" s="325"/>
      <c r="FGJ507" s="325"/>
      <c r="FGK507" s="325"/>
      <c r="FGL507" s="325"/>
      <c r="FGM507" s="325"/>
      <c r="FGN507" s="325"/>
      <c r="FGO507" s="325"/>
      <c r="FGP507" s="325"/>
      <c r="FGQ507" s="325"/>
      <c r="FGR507" s="325"/>
      <c r="FGS507" s="325"/>
      <c r="FGT507" s="327"/>
      <c r="FGU507" s="28"/>
      <c r="FGV507" s="324"/>
      <c r="FGW507" s="324"/>
      <c r="FGX507" s="324"/>
      <c r="FGY507" s="324"/>
      <c r="FGZ507" s="324"/>
      <c r="FHA507" s="324"/>
      <c r="FHB507" s="256"/>
      <c r="FHC507" s="325"/>
      <c r="FHD507" s="311"/>
      <c r="FHE507" s="325"/>
      <c r="FHF507" s="310"/>
      <c r="FHG507" s="325"/>
      <c r="FHH507" s="325"/>
      <c r="FHI507" s="325"/>
      <c r="FHJ507" s="325"/>
      <c r="FHK507" s="325"/>
      <c r="FHL507" s="325"/>
      <c r="FHM507" s="325"/>
      <c r="FHN507" s="325"/>
      <c r="FHO507" s="325"/>
      <c r="FHP507" s="325"/>
      <c r="FHQ507" s="325"/>
      <c r="FHR507" s="325"/>
      <c r="FHS507" s="325"/>
      <c r="FHT507" s="325"/>
      <c r="FHU507" s="325"/>
      <c r="FHV507" s="325"/>
      <c r="FHW507" s="325"/>
      <c r="FHX507" s="325"/>
      <c r="FHY507" s="325"/>
      <c r="FHZ507" s="325"/>
      <c r="FIA507" s="325"/>
      <c r="FIB507" s="325"/>
      <c r="FIC507" s="325"/>
      <c r="FID507" s="325"/>
      <c r="FIE507" s="325"/>
      <c r="FIF507" s="325"/>
      <c r="FIG507" s="325"/>
      <c r="FIH507" s="325"/>
      <c r="FII507" s="325"/>
      <c r="FIJ507" s="325"/>
      <c r="FIK507" s="327"/>
      <c r="FIL507" s="28"/>
      <c r="FIM507" s="324"/>
      <c r="FIN507" s="324"/>
      <c r="FIO507" s="324"/>
      <c r="FIP507" s="324"/>
      <c r="FIQ507" s="324"/>
      <c r="FIR507" s="324"/>
      <c r="FIS507" s="256"/>
      <c r="FIT507" s="325"/>
      <c r="FIU507" s="311"/>
      <c r="FIV507" s="325"/>
      <c r="FIW507" s="310"/>
      <c r="FIX507" s="325"/>
      <c r="FIY507" s="325"/>
      <c r="FIZ507" s="325"/>
      <c r="FJA507" s="325"/>
      <c r="FJB507" s="325"/>
      <c r="FJC507" s="325"/>
      <c r="FJD507" s="325"/>
      <c r="FJE507" s="325"/>
      <c r="FJF507" s="325"/>
      <c r="FJG507" s="325"/>
      <c r="FJH507" s="325"/>
      <c r="FJI507" s="325"/>
      <c r="FJJ507" s="325"/>
      <c r="FJK507" s="325"/>
      <c r="FJL507" s="325"/>
      <c r="FJM507" s="325"/>
      <c r="FJN507" s="325"/>
      <c r="FJO507" s="325"/>
      <c r="FJP507" s="325"/>
      <c r="FJQ507" s="325"/>
      <c r="FJR507" s="325"/>
      <c r="FJS507" s="325"/>
      <c r="FJT507" s="325"/>
      <c r="FJU507" s="325"/>
      <c r="FJV507" s="325"/>
      <c r="FJW507" s="325"/>
      <c r="FJX507" s="325"/>
      <c r="FJY507" s="325"/>
      <c r="FJZ507" s="325"/>
      <c r="FKA507" s="325"/>
      <c r="FKB507" s="327"/>
      <c r="FKC507" s="28"/>
      <c r="FKD507" s="324"/>
      <c r="FKE507" s="324"/>
      <c r="FKF507" s="324"/>
      <c r="FKG507" s="324"/>
      <c r="FKH507" s="324"/>
      <c r="FKI507" s="324"/>
      <c r="FKJ507" s="256"/>
      <c r="FKK507" s="325"/>
      <c r="FKL507" s="311"/>
      <c r="FKM507" s="325"/>
      <c r="FKN507" s="310"/>
      <c r="FKO507" s="325"/>
      <c r="FKP507" s="325"/>
      <c r="FKQ507" s="325"/>
      <c r="FKR507" s="325"/>
      <c r="FKS507" s="325"/>
      <c r="FKT507" s="325"/>
      <c r="FKU507" s="325"/>
      <c r="FKV507" s="325"/>
      <c r="FKW507" s="325"/>
      <c r="FKX507" s="325"/>
      <c r="FKY507" s="325"/>
      <c r="FKZ507" s="325"/>
      <c r="FLA507" s="325"/>
      <c r="FLB507" s="325"/>
      <c r="FLC507" s="325"/>
      <c r="FLD507" s="325"/>
      <c r="FLE507" s="325"/>
      <c r="FLF507" s="325"/>
      <c r="FLG507" s="325"/>
      <c r="FLH507" s="325"/>
      <c r="FLI507" s="325"/>
      <c r="FLJ507" s="325"/>
      <c r="FLK507" s="325"/>
      <c r="FLL507" s="325"/>
      <c r="FLM507" s="325"/>
      <c r="FLN507" s="325"/>
      <c r="FLO507" s="325"/>
      <c r="FLP507" s="325"/>
      <c r="FLQ507" s="325"/>
      <c r="FLR507" s="325"/>
      <c r="FLS507" s="327"/>
      <c r="FLT507" s="28"/>
      <c r="FLU507" s="324"/>
      <c r="FLV507" s="324"/>
      <c r="FLW507" s="324"/>
      <c r="FLX507" s="324"/>
      <c r="FLY507" s="324"/>
      <c r="FLZ507" s="324"/>
      <c r="FMA507" s="256"/>
      <c r="FMB507" s="325"/>
      <c r="FMC507" s="311"/>
      <c r="FMD507" s="325"/>
      <c r="FME507" s="310"/>
      <c r="FMF507" s="325"/>
      <c r="FMG507" s="325"/>
      <c r="FMH507" s="325"/>
      <c r="FMI507" s="325"/>
      <c r="FMJ507" s="325"/>
      <c r="FMK507" s="325"/>
      <c r="FML507" s="325"/>
      <c r="FMM507" s="325"/>
      <c r="FMN507" s="325"/>
      <c r="FMO507" s="325"/>
      <c r="FMP507" s="325"/>
      <c r="FMQ507" s="325"/>
      <c r="FMR507" s="325"/>
      <c r="FMS507" s="325"/>
      <c r="FMT507" s="325"/>
      <c r="FMU507" s="325"/>
      <c r="FMV507" s="325"/>
      <c r="FMW507" s="325"/>
      <c r="FMX507" s="325"/>
      <c r="FMY507" s="325"/>
      <c r="FMZ507" s="325"/>
      <c r="FNA507" s="325"/>
      <c r="FNB507" s="325"/>
      <c r="FNC507" s="325"/>
      <c r="FND507" s="325"/>
      <c r="FNE507" s="325"/>
      <c r="FNF507" s="325"/>
      <c r="FNG507" s="325"/>
      <c r="FNH507" s="325"/>
      <c r="FNI507" s="325"/>
      <c r="FNJ507" s="327"/>
      <c r="FNK507" s="28"/>
      <c r="FNL507" s="324"/>
      <c r="FNM507" s="324"/>
      <c r="FNN507" s="324"/>
      <c r="FNO507" s="324"/>
      <c r="FNP507" s="324"/>
      <c r="FNQ507" s="324"/>
      <c r="FNR507" s="256"/>
      <c r="FNS507" s="325"/>
      <c r="FNT507" s="311"/>
      <c r="FNU507" s="325"/>
      <c r="FNV507" s="310"/>
      <c r="FNW507" s="325"/>
      <c r="FNX507" s="325"/>
      <c r="FNY507" s="325"/>
      <c r="FNZ507" s="325"/>
      <c r="FOA507" s="325"/>
      <c r="FOB507" s="325"/>
      <c r="FOC507" s="325"/>
      <c r="FOD507" s="325"/>
      <c r="FOE507" s="325"/>
      <c r="FOF507" s="325"/>
      <c r="FOG507" s="325"/>
      <c r="FOH507" s="325"/>
      <c r="FOI507" s="325"/>
      <c r="FOJ507" s="325"/>
      <c r="FOK507" s="325"/>
      <c r="FOL507" s="325"/>
      <c r="FOM507" s="325"/>
      <c r="FON507" s="325"/>
      <c r="FOO507" s="325"/>
      <c r="FOP507" s="325"/>
      <c r="FOQ507" s="325"/>
      <c r="FOR507" s="325"/>
      <c r="FOS507" s="325"/>
      <c r="FOT507" s="325"/>
      <c r="FOU507" s="325"/>
      <c r="FOV507" s="325"/>
      <c r="FOW507" s="325"/>
      <c r="FOX507" s="325"/>
      <c r="FOY507" s="325"/>
      <c r="FOZ507" s="325"/>
      <c r="FPA507" s="327"/>
      <c r="FPB507" s="28"/>
      <c r="FPC507" s="324"/>
      <c r="FPD507" s="324"/>
      <c r="FPE507" s="324"/>
      <c r="FPF507" s="324"/>
      <c r="FPG507" s="324"/>
      <c r="FPH507" s="324"/>
      <c r="FPI507" s="256"/>
      <c r="FPJ507" s="325"/>
      <c r="FPK507" s="311"/>
      <c r="FPL507" s="325"/>
      <c r="FPM507" s="310"/>
      <c r="FPN507" s="325"/>
      <c r="FPO507" s="325"/>
      <c r="FPP507" s="325"/>
      <c r="FPQ507" s="325"/>
      <c r="FPR507" s="325"/>
      <c r="FPS507" s="325"/>
      <c r="FPT507" s="325"/>
      <c r="FPU507" s="325"/>
      <c r="FPV507" s="325"/>
      <c r="FPW507" s="325"/>
      <c r="FPX507" s="325"/>
      <c r="FPY507" s="325"/>
      <c r="FPZ507" s="325"/>
      <c r="FQA507" s="325"/>
      <c r="FQB507" s="325"/>
      <c r="FQC507" s="325"/>
      <c r="FQD507" s="325"/>
      <c r="FQE507" s="325"/>
      <c r="FQF507" s="325"/>
      <c r="FQG507" s="325"/>
      <c r="FQH507" s="325"/>
      <c r="FQI507" s="325"/>
      <c r="FQJ507" s="325"/>
      <c r="FQK507" s="325"/>
      <c r="FQL507" s="325"/>
      <c r="FQM507" s="325"/>
      <c r="FQN507" s="325"/>
      <c r="FQO507" s="325"/>
      <c r="FQP507" s="325"/>
      <c r="FQQ507" s="325"/>
      <c r="FQR507" s="327"/>
      <c r="FQS507" s="28"/>
      <c r="FQT507" s="324"/>
      <c r="FQU507" s="324"/>
      <c r="FQV507" s="324"/>
      <c r="FQW507" s="324"/>
      <c r="FQX507" s="324"/>
      <c r="FQY507" s="324"/>
      <c r="FQZ507" s="256"/>
      <c r="FRA507" s="325"/>
      <c r="FRB507" s="311"/>
      <c r="FRC507" s="325"/>
      <c r="FRD507" s="310"/>
      <c r="FRE507" s="325"/>
      <c r="FRF507" s="325"/>
      <c r="FRG507" s="325"/>
      <c r="FRH507" s="325"/>
      <c r="FRI507" s="325"/>
      <c r="FRJ507" s="325"/>
      <c r="FRK507" s="325"/>
      <c r="FRL507" s="325"/>
      <c r="FRM507" s="325"/>
      <c r="FRN507" s="325"/>
      <c r="FRO507" s="325"/>
      <c r="FRP507" s="325"/>
      <c r="FRQ507" s="325"/>
      <c r="FRR507" s="325"/>
      <c r="FRS507" s="325"/>
      <c r="FRT507" s="325"/>
      <c r="FRU507" s="325"/>
      <c r="FRV507" s="325"/>
      <c r="FRW507" s="325"/>
      <c r="FRX507" s="325"/>
      <c r="FRY507" s="325"/>
      <c r="FRZ507" s="325"/>
      <c r="FSA507" s="325"/>
      <c r="FSB507" s="325"/>
      <c r="FSC507" s="325"/>
      <c r="FSD507" s="325"/>
      <c r="FSE507" s="325"/>
      <c r="FSF507" s="325"/>
      <c r="FSG507" s="325"/>
      <c r="FSH507" s="325"/>
      <c r="FSI507" s="327"/>
      <c r="FSJ507" s="28"/>
      <c r="FSK507" s="324"/>
      <c r="FSL507" s="324"/>
      <c r="FSM507" s="324"/>
      <c r="FSN507" s="324"/>
      <c r="FSO507" s="324"/>
      <c r="FSP507" s="324"/>
      <c r="FSQ507" s="256"/>
      <c r="FSR507" s="325"/>
      <c r="FSS507" s="311"/>
      <c r="FST507" s="325"/>
      <c r="FSU507" s="310"/>
      <c r="FSV507" s="325"/>
      <c r="FSW507" s="325"/>
      <c r="FSX507" s="325"/>
      <c r="FSY507" s="325"/>
      <c r="FSZ507" s="325"/>
      <c r="FTA507" s="325"/>
      <c r="FTB507" s="325"/>
      <c r="FTC507" s="325"/>
      <c r="FTD507" s="325"/>
      <c r="FTE507" s="325"/>
      <c r="FTF507" s="325"/>
      <c r="FTG507" s="325"/>
      <c r="FTH507" s="325"/>
      <c r="FTI507" s="325"/>
      <c r="FTJ507" s="325"/>
      <c r="FTK507" s="325"/>
      <c r="FTL507" s="325"/>
      <c r="FTM507" s="325"/>
      <c r="FTN507" s="325"/>
      <c r="FTO507" s="325"/>
      <c r="FTP507" s="325"/>
      <c r="FTQ507" s="325"/>
      <c r="FTR507" s="325"/>
      <c r="FTS507" s="325"/>
      <c r="FTT507" s="325"/>
      <c r="FTU507" s="325"/>
      <c r="FTV507" s="325"/>
      <c r="FTW507" s="325"/>
      <c r="FTX507" s="325"/>
      <c r="FTY507" s="325"/>
      <c r="FTZ507" s="327"/>
      <c r="FUA507" s="28"/>
      <c r="FUB507" s="324"/>
      <c r="FUC507" s="324"/>
      <c r="FUD507" s="324"/>
      <c r="FUE507" s="324"/>
      <c r="FUF507" s="324"/>
      <c r="FUG507" s="324"/>
      <c r="FUH507" s="256"/>
      <c r="FUI507" s="325"/>
      <c r="FUJ507" s="311"/>
      <c r="FUK507" s="325"/>
      <c r="FUL507" s="310"/>
      <c r="FUM507" s="325"/>
      <c r="FUN507" s="325"/>
      <c r="FUO507" s="325"/>
      <c r="FUP507" s="325"/>
      <c r="FUQ507" s="325"/>
      <c r="FUR507" s="325"/>
      <c r="FUS507" s="325"/>
      <c r="FUT507" s="325"/>
      <c r="FUU507" s="325"/>
      <c r="FUV507" s="325"/>
      <c r="FUW507" s="325"/>
      <c r="FUX507" s="325"/>
      <c r="FUY507" s="325"/>
      <c r="FUZ507" s="325"/>
      <c r="FVA507" s="325"/>
      <c r="FVB507" s="325"/>
      <c r="FVC507" s="325"/>
      <c r="FVD507" s="325"/>
      <c r="FVE507" s="325"/>
      <c r="FVF507" s="325"/>
      <c r="FVG507" s="325"/>
      <c r="FVH507" s="325"/>
      <c r="FVI507" s="325"/>
      <c r="FVJ507" s="325"/>
      <c r="FVK507" s="325"/>
      <c r="FVL507" s="325"/>
      <c r="FVM507" s="325"/>
      <c r="FVN507" s="325"/>
      <c r="FVO507" s="325"/>
      <c r="FVP507" s="325"/>
      <c r="FVQ507" s="327"/>
      <c r="FVR507" s="28"/>
      <c r="FVS507" s="324"/>
      <c r="FVT507" s="324"/>
      <c r="FVU507" s="324"/>
      <c r="FVV507" s="324"/>
      <c r="FVW507" s="324"/>
      <c r="FVX507" s="324"/>
      <c r="FVY507" s="256"/>
      <c r="FVZ507" s="325"/>
      <c r="FWA507" s="311"/>
      <c r="FWB507" s="325"/>
      <c r="FWC507" s="310"/>
      <c r="FWD507" s="325"/>
      <c r="FWE507" s="325"/>
      <c r="FWF507" s="325"/>
      <c r="FWG507" s="325"/>
      <c r="FWH507" s="325"/>
      <c r="FWI507" s="325"/>
      <c r="FWJ507" s="325"/>
      <c r="FWK507" s="325"/>
      <c r="FWL507" s="325"/>
      <c r="FWM507" s="325"/>
      <c r="FWN507" s="325"/>
      <c r="FWO507" s="325"/>
      <c r="FWP507" s="325"/>
      <c r="FWQ507" s="325"/>
      <c r="FWR507" s="325"/>
      <c r="FWS507" s="325"/>
      <c r="FWT507" s="325"/>
      <c r="FWU507" s="325"/>
      <c r="FWV507" s="325"/>
      <c r="FWW507" s="325"/>
      <c r="FWX507" s="325"/>
      <c r="FWY507" s="325"/>
      <c r="FWZ507" s="325"/>
      <c r="FXA507" s="325"/>
      <c r="FXB507" s="325"/>
      <c r="FXC507" s="325"/>
      <c r="FXD507" s="325"/>
      <c r="FXE507" s="325"/>
      <c r="FXF507" s="325"/>
      <c r="FXG507" s="325"/>
      <c r="FXH507" s="327"/>
      <c r="FXI507" s="28"/>
      <c r="FXJ507" s="324"/>
      <c r="FXK507" s="324"/>
      <c r="FXL507" s="324"/>
      <c r="FXM507" s="324"/>
      <c r="FXN507" s="324"/>
      <c r="FXO507" s="324"/>
      <c r="FXP507" s="256"/>
      <c r="FXQ507" s="325"/>
      <c r="FXR507" s="311"/>
      <c r="FXS507" s="325"/>
      <c r="FXT507" s="310"/>
      <c r="FXU507" s="325"/>
      <c r="FXV507" s="325"/>
      <c r="FXW507" s="325"/>
      <c r="FXX507" s="325"/>
      <c r="FXY507" s="325"/>
      <c r="FXZ507" s="325"/>
      <c r="FYA507" s="325"/>
      <c r="FYB507" s="325"/>
      <c r="FYC507" s="325"/>
      <c r="FYD507" s="325"/>
      <c r="FYE507" s="325"/>
      <c r="FYF507" s="325"/>
      <c r="FYG507" s="325"/>
      <c r="FYH507" s="325"/>
      <c r="FYI507" s="325"/>
      <c r="FYJ507" s="325"/>
      <c r="FYK507" s="325"/>
      <c r="FYL507" s="325"/>
      <c r="FYM507" s="325"/>
      <c r="FYN507" s="325"/>
      <c r="FYO507" s="325"/>
      <c r="FYP507" s="325"/>
      <c r="FYQ507" s="325"/>
      <c r="FYR507" s="325"/>
      <c r="FYS507" s="325"/>
      <c r="FYT507" s="325"/>
      <c r="FYU507" s="325"/>
      <c r="FYV507" s="325"/>
      <c r="FYW507" s="325"/>
      <c r="FYX507" s="325"/>
      <c r="FYY507" s="327"/>
      <c r="FYZ507" s="28"/>
      <c r="FZA507" s="324"/>
      <c r="FZB507" s="324"/>
      <c r="FZC507" s="324"/>
      <c r="FZD507" s="324"/>
      <c r="FZE507" s="324"/>
      <c r="FZF507" s="324"/>
      <c r="FZG507" s="256"/>
      <c r="FZH507" s="325"/>
      <c r="FZI507" s="311"/>
      <c r="FZJ507" s="325"/>
      <c r="FZK507" s="310"/>
      <c r="FZL507" s="325"/>
      <c r="FZM507" s="325"/>
      <c r="FZN507" s="325"/>
      <c r="FZO507" s="325"/>
      <c r="FZP507" s="325"/>
      <c r="FZQ507" s="325"/>
      <c r="FZR507" s="325"/>
      <c r="FZS507" s="325"/>
      <c r="FZT507" s="325"/>
      <c r="FZU507" s="325"/>
      <c r="FZV507" s="325"/>
      <c r="FZW507" s="325"/>
      <c r="FZX507" s="325"/>
      <c r="FZY507" s="325"/>
      <c r="FZZ507" s="325"/>
      <c r="GAA507" s="325"/>
      <c r="GAB507" s="325"/>
      <c r="GAC507" s="325"/>
      <c r="GAD507" s="325"/>
      <c r="GAE507" s="325"/>
      <c r="GAF507" s="325"/>
      <c r="GAG507" s="325"/>
      <c r="GAH507" s="325"/>
      <c r="GAI507" s="325"/>
      <c r="GAJ507" s="325"/>
      <c r="GAK507" s="325"/>
      <c r="GAL507" s="325"/>
      <c r="GAM507" s="325"/>
      <c r="GAN507" s="325"/>
      <c r="GAO507" s="325"/>
      <c r="GAP507" s="327"/>
      <c r="GAQ507" s="28"/>
      <c r="GAR507" s="324"/>
      <c r="GAS507" s="324"/>
      <c r="GAT507" s="324"/>
      <c r="GAU507" s="324"/>
      <c r="GAV507" s="324"/>
      <c r="GAW507" s="324"/>
      <c r="GAX507" s="256"/>
      <c r="GAY507" s="325"/>
      <c r="GAZ507" s="311"/>
      <c r="GBA507" s="325"/>
      <c r="GBB507" s="310"/>
      <c r="GBC507" s="325"/>
      <c r="GBD507" s="325"/>
      <c r="GBE507" s="325"/>
      <c r="GBF507" s="325"/>
      <c r="GBG507" s="325"/>
      <c r="GBH507" s="325"/>
      <c r="GBI507" s="325"/>
      <c r="GBJ507" s="325"/>
      <c r="GBK507" s="325"/>
      <c r="GBL507" s="325"/>
      <c r="GBM507" s="325"/>
      <c r="GBN507" s="325"/>
      <c r="GBO507" s="325"/>
      <c r="GBP507" s="325"/>
      <c r="GBQ507" s="325"/>
      <c r="GBR507" s="325"/>
      <c r="GBS507" s="325"/>
      <c r="GBT507" s="325"/>
      <c r="GBU507" s="325"/>
      <c r="GBV507" s="325"/>
      <c r="GBW507" s="325"/>
      <c r="GBX507" s="325"/>
      <c r="GBY507" s="325"/>
      <c r="GBZ507" s="325"/>
      <c r="GCA507" s="325"/>
      <c r="GCB507" s="325"/>
      <c r="GCC507" s="325"/>
      <c r="GCD507" s="325"/>
      <c r="GCE507" s="325"/>
      <c r="GCF507" s="325"/>
      <c r="GCG507" s="327"/>
      <c r="GCH507" s="28"/>
      <c r="GCI507" s="324"/>
      <c r="GCJ507" s="324"/>
      <c r="GCK507" s="324"/>
      <c r="GCL507" s="324"/>
      <c r="GCM507" s="324"/>
      <c r="GCN507" s="324"/>
      <c r="GCO507" s="256"/>
      <c r="GCP507" s="325"/>
      <c r="GCQ507" s="311"/>
      <c r="GCR507" s="325"/>
      <c r="GCS507" s="310"/>
      <c r="GCT507" s="325"/>
      <c r="GCU507" s="325"/>
      <c r="GCV507" s="325"/>
      <c r="GCW507" s="325"/>
      <c r="GCX507" s="325"/>
      <c r="GCY507" s="325"/>
      <c r="GCZ507" s="325"/>
      <c r="GDA507" s="325"/>
      <c r="GDB507" s="325"/>
      <c r="GDC507" s="325"/>
      <c r="GDD507" s="325"/>
      <c r="GDE507" s="325"/>
      <c r="GDF507" s="325"/>
      <c r="GDG507" s="325"/>
      <c r="GDH507" s="325"/>
      <c r="GDI507" s="325"/>
      <c r="GDJ507" s="325"/>
      <c r="GDK507" s="325"/>
      <c r="GDL507" s="325"/>
      <c r="GDM507" s="325"/>
      <c r="GDN507" s="325"/>
      <c r="GDO507" s="325"/>
      <c r="GDP507" s="325"/>
      <c r="GDQ507" s="325"/>
      <c r="GDR507" s="325"/>
      <c r="GDS507" s="325"/>
      <c r="GDT507" s="325"/>
      <c r="GDU507" s="325"/>
      <c r="GDV507" s="325"/>
      <c r="GDW507" s="325"/>
      <c r="GDX507" s="327"/>
      <c r="GDY507" s="28"/>
      <c r="GDZ507" s="324"/>
      <c r="GEA507" s="324"/>
      <c r="GEB507" s="324"/>
      <c r="GEC507" s="324"/>
      <c r="GED507" s="324"/>
      <c r="GEE507" s="324"/>
      <c r="GEF507" s="256"/>
      <c r="GEG507" s="325"/>
      <c r="GEH507" s="311"/>
      <c r="GEI507" s="325"/>
      <c r="GEJ507" s="310"/>
      <c r="GEK507" s="325"/>
      <c r="GEL507" s="325"/>
      <c r="GEM507" s="325"/>
      <c r="GEN507" s="325"/>
      <c r="GEO507" s="325"/>
      <c r="GEP507" s="325"/>
      <c r="GEQ507" s="325"/>
      <c r="GER507" s="325"/>
      <c r="GES507" s="325"/>
      <c r="GET507" s="325"/>
      <c r="GEU507" s="325"/>
      <c r="GEV507" s="325"/>
      <c r="GEW507" s="325"/>
      <c r="GEX507" s="325"/>
      <c r="GEY507" s="325"/>
      <c r="GEZ507" s="325"/>
      <c r="GFA507" s="325"/>
      <c r="GFB507" s="325"/>
      <c r="GFC507" s="325"/>
      <c r="GFD507" s="325"/>
      <c r="GFE507" s="325"/>
      <c r="GFF507" s="325"/>
      <c r="GFG507" s="325"/>
      <c r="GFH507" s="325"/>
      <c r="GFI507" s="325"/>
      <c r="GFJ507" s="325"/>
      <c r="GFK507" s="325"/>
      <c r="GFL507" s="325"/>
      <c r="GFM507" s="325"/>
      <c r="GFN507" s="325"/>
      <c r="GFO507" s="327"/>
      <c r="GFP507" s="28"/>
      <c r="GFQ507" s="324"/>
      <c r="GFR507" s="324"/>
      <c r="GFS507" s="324"/>
      <c r="GFT507" s="324"/>
      <c r="GFU507" s="324"/>
      <c r="GFV507" s="324"/>
      <c r="GFW507" s="256"/>
      <c r="GFX507" s="325"/>
      <c r="GFY507" s="311"/>
      <c r="GFZ507" s="325"/>
      <c r="GGA507" s="310"/>
      <c r="GGB507" s="325"/>
      <c r="GGC507" s="325"/>
      <c r="GGD507" s="325"/>
      <c r="GGE507" s="325"/>
      <c r="GGF507" s="325"/>
      <c r="GGG507" s="325"/>
      <c r="GGH507" s="325"/>
      <c r="GGI507" s="325"/>
      <c r="GGJ507" s="325"/>
      <c r="GGK507" s="325"/>
      <c r="GGL507" s="325"/>
      <c r="GGM507" s="325"/>
      <c r="GGN507" s="325"/>
      <c r="GGO507" s="325"/>
      <c r="GGP507" s="325"/>
      <c r="GGQ507" s="325"/>
      <c r="GGR507" s="325"/>
      <c r="GGS507" s="325"/>
      <c r="GGT507" s="325"/>
      <c r="GGU507" s="325"/>
      <c r="GGV507" s="325"/>
      <c r="GGW507" s="325"/>
      <c r="GGX507" s="325"/>
      <c r="GGY507" s="325"/>
      <c r="GGZ507" s="325"/>
      <c r="GHA507" s="325"/>
      <c r="GHB507" s="325"/>
      <c r="GHC507" s="325"/>
      <c r="GHD507" s="325"/>
      <c r="GHE507" s="325"/>
      <c r="GHF507" s="327"/>
      <c r="GHG507" s="28"/>
      <c r="GHH507" s="324"/>
      <c r="GHI507" s="324"/>
      <c r="GHJ507" s="324"/>
      <c r="GHK507" s="324"/>
      <c r="GHL507" s="324"/>
      <c r="GHM507" s="324"/>
      <c r="GHN507" s="256"/>
      <c r="GHO507" s="325"/>
      <c r="GHP507" s="311"/>
      <c r="GHQ507" s="325"/>
      <c r="GHR507" s="310"/>
      <c r="GHS507" s="325"/>
      <c r="GHT507" s="325"/>
      <c r="GHU507" s="325"/>
      <c r="GHV507" s="325"/>
      <c r="GHW507" s="325"/>
      <c r="GHX507" s="325"/>
      <c r="GHY507" s="325"/>
      <c r="GHZ507" s="325"/>
      <c r="GIA507" s="325"/>
      <c r="GIB507" s="325"/>
      <c r="GIC507" s="325"/>
      <c r="GID507" s="325"/>
      <c r="GIE507" s="325"/>
      <c r="GIF507" s="325"/>
      <c r="GIG507" s="325"/>
      <c r="GIH507" s="325"/>
      <c r="GII507" s="325"/>
      <c r="GIJ507" s="325"/>
      <c r="GIK507" s="325"/>
      <c r="GIL507" s="325"/>
      <c r="GIM507" s="325"/>
      <c r="GIN507" s="325"/>
      <c r="GIO507" s="325"/>
      <c r="GIP507" s="325"/>
      <c r="GIQ507" s="325"/>
      <c r="GIR507" s="325"/>
      <c r="GIS507" s="325"/>
      <c r="GIT507" s="325"/>
      <c r="GIU507" s="325"/>
      <c r="GIV507" s="325"/>
      <c r="GIW507" s="327"/>
      <c r="GIX507" s="28"/>
      <c r="GIY507" s="324"/>
      <c r="GIZ507" s="324"/>
      <c r="GJA507" s="324"/>
      <c r="GJB507" s="324"/>
      <c r="GJC507" s="324"/>
      <c r="GJD507" s="324"/>
      <c r="GJE507" s="256"/>
      <c r="GJF507" s="325"/>
      <c r="GJG507" s="311"/>
      <c r="GJH507" s="325"/>
      <c r="GJI507" s="310"/>
      <c r="GJJ507" s="325"/>
      <c r="GJK507" s="325"/>
      <c r="GJL507" s="325"/>
      <c r="GJM507" s="325"/>
      <c r="GJN507" s="325"/>
      <c r="GJO507" s="325"/>
      <c r="GJP507" s="325"/>
      <c r="GJQ507" s="325"/>
      <c r="GJR507" s="325"/>
      <c r="GJS507" s="325"/>
      <c r="GJT507" s="325"/>
      <c r="GJU507" s="325"/>
      <c r="GJV507" s="325"/>
      <c r="GJW507" s="325"/>
      <c r="GJX507" s="325"/>
      <c r="GJY507" s="325"/>
      <c r="GJZ507" s="325"/>
      <c r="GKA507" s="325"/>
      <c r="GKB507" s="325"/>
      <c r="GKC507" s="325"/>
      <c r="GKD507" s="325"/>
      <c r="GKE507" s="325"/>
      <c r="GKF507" s="325"/>
      <c r="GKG507" s="325"/>
      <c r="GKH507" s="325"/>
      <c r="GKI507" s="325"/>
      <c r="GKJ507" s="325"/>
      <c r="GKK507" s="325"/>
      <c r="GKL507" s="325"/>
      <c r="GKM507" s="325"/>
      <c r="GKN507" s="327"/>
      <c r="GKO507" s="28"/>
      <c r="GKP507" s="324"/>
      <c r="GKQ507" s="324"/>
      <c r="GKR507" s="324"/>
      <c r="GKS507" s="324"/>
      <c r="GKT507" s="324"/>
      <c r="GKU507" s="324"/>
      <c r="GKV507" s="256"/>
      <c r="GKW507" s="325"/>
      <c r="GKX507" s="311"/>
      <c r="GKY507" s="325"/>
      <c r="GKZ507" s="310"/>
      <c r="GLA507" s="325"/>
      <c r="GLB507" s="325"/>
      <c r="GLC507" s="325"/>
      <c r="GLD507" s="325"/>
      <c r="GLE507" s="325"/>
      <c r="GLF507" s="325"/>
      <c r="GLG507" s="325"/>
      <c r="GLH507" s="325"/>
      <c r="GLI507" s="325"/>
      <c r="GLJ507" s="325"/>
      <c r="GLK507" s="325"/>
      <c r="GLL507" s="325"/>
      <c r="GLM507" s="325"/>
      <c r="GLN507" s="325"/>
      <c r="GLO507" s="325"/>
      <c r="GLP507" s="325"/>
      <c r="GLQ507" s="325"/>
      <c r="GLR507" s="325"/>
      <c r="GLS507" s="325"/>
      <c r="GLT507" s="325"/>
      <c r="GLU507" s="325"/>
      <c r="GLV507" s="325"/>
      <c r="GLW507" s="325"/>
      <c r="GLX507" s="325"/>
      <c r="GLY507" s="325"/>
      <c r="GLZ507" s="325"/>
      <c r="GMA507" s="325"/>
      <c r="GMB507" s="325"/>
      <c r="GMC507" s="325"/>
      <c r="GMD507" s="325"/>
      <c r="GME507" s="327"/>
      <c r="GMF507" s="28"/>
      <c r="GMG507" s="324"/>
      <c r="GMH507" s="324"/>
      <c r="GMI507" s="324"/>
      <c r="GMJ507" s="324"/>
      <c r="GMK507" s="324"/>
      <c r="GML507" s="324"/>
      <c r="GMM507" s="256"/>
      <c r="GMN507" s="325"/>
      <c r="GMO507" s="311"/>
      <c r="GMP507" s="325"/>
      <c r="GMQ507" s="310"/>
      <c r="GMR507" s="325"/>
      <c r="GMS507" s="325"/>
      <c r="GMT507" s="325"/>
      <c r="GMU507" s="325"/>
      <c r="GMV507" s="325"/>
      <c r="GMW507" s="325"/>
      <c r="GMX507" s="325"/>
      <c r="GMY507" s="325"/>
      <c r="GMZ507" s="325"/>
      <c r="GNA507" s="325"/>
      <c r="GNB507" s="325"/>
      <c r="GNC507" s="325"/>
      <c r="GND507" s="325"/>
      <c r="GNE507" s="325"/>
      <c r="GNF507" s="325"/>
      <c r="GNG507" s="325"/>
      <c r="GNH507" s="325"/>
      <c r="GNI507" s="325"/>
      <c r="GNJ507" s="325"/>
      <c r="GNK507" s="325"/>
      <c r="GNL507" s="325"/>
      <c r="GNM507" s="325"/>
      <c r="GNN507" s="325"/>
      <c r="GNO507" s="325"/>
      <c r="GNP507" s="325"/>
      <c r="GNQ507" s="325"/>
      <c r="GNR507" s="325"/>
      <c r="GNS507" s="325"/>
      <c r="GNT507" s="325"/>
      <c r="GNU507" s="325"/>
      <c r="GNV507" s="327"/>
      <c r="GNW507" s="28"/>
      <c r="GNX507" s="324"/>
      <c r="GNY507" s="324"/>
      <c r="GNZ507" s="324"/>
      <c r="GOA507" s="324"/>
      <c r="GOB507" s="324"/>
      <c r="GOC507" s="324"/>
      <c r="GOD507" s="256"/>
      <c r="GOE507" s="325"/>
      <c r="GOF507" s="311"/>
      <c r="GOG507" s="325"/>
      <c r="GOH507" s="310"/>
      <c r="GOI507" s="325"/>
      <c r="GOJ507" s="325"/>
      <c r="GOK507" s="325"/>
      <c r="GOL507" s="325"/>
      <c r="GOM507" s="325"/>
      <c r="GON507" s="325"/>
      <c r="GOO507" s="325"/>
      <c r="GOP507" s="325"/>
      <c r="GOQ507" s="325"/>
      <c r="GOR507" s="325"/>
      <c r="GOS507" s="325"/>
      <c r="GOT507" s="325"/>
      <c r="GOU507" s="325"/>
      <c r="GOV507" s="325"/>
      <c r="GOW507" s="325"/>
      <c r="GOX507" s="325"/>
      <c r="GOY507" s="325"/>
      <c r="GOZ507" s="325"/>
      <c r="GPA507" s="325"/>
      <c r="GPB507" s="325"/>
      <c r="GPC507" s="325"/>
      <c r="GPD507" s="325"/>
      <c r="GPE507" s="325"/>
      <c r="GPF507" s="325"/>
      <c r="GPG507" s="325"/>
      <c r="GPH507" s="325"/>
      <c r="GPI507" s="325"/>
      <c r="GPJ507" s="325"/>
      <c r="GPK507" s="325"/>
      <c r="GPL507" s="325"/>
      <c r="GPM507" s="327"/>
      <c r="GPN507" s="28"/>
      <c r="GPO507" s="324"/>
      <c r="GPP507" s="324"/>
      <c r="GPQ507" s="324"/>
      <c r="GPR507" s="324"/>
      <c r="GPS507" s="324"/>
      <c r="GPT507" s="324"/>
      <c r="GPU507" s="256"/>
      <c r="GPV507" s="325"/>
      <c r="GPW507" s="311"/>
      <c r="GPX507" s="325"/>
      <c r="GPY507" s="310"/>
      <c r="GPZ507" s="325"/>
      <c r="GQA507" s="325"/>
      <c r="GQB507" s="325"/>
      <c r="GQC507" s="325"/>
      <c r="GQD507" s="325"/>
      <c r="GQE507" s="325"/>
      <c r="GQF507" s="325"/>
      <c r="GQG507" s="325"/>
      <c r="GQH507" s="325"/>
      <c r="GQI507" s="325"/>
      <c r="GQJ507" s="325"/>
      <c r="GQK507" s="325"/>
      <c r="GQL507" s="325"/>
      <c r="GQM507" s="325"/>
      <c r="GQN507" s="325"/>
      <c r="GQO507" s="325"/>
      <c r="GQP507" s="325"/>
      <c r="GQQ507" s="325"/>
      <c r="GQR507" s="325"/>
      <c r="GQS507" s="325"/>
      <c r="GQT507" s="325"/>
      <c r="GQU507" s="325"/>
      <c r="GQV507" s="325"/>
      <c r="GQW507" s="325"/>
      <c r="GQX507" s="325"/>
      <c r="GQY507" s="325"/>
      <c r="GQZ507" s="325"/>
      <c r="GRA507" s="325"/>
      <c r="GRB507" s="325"/>
      <c r="GRC507" s="325"/>
      <c r="GRD507" s="327"/>
      <c r="GRE507" s="28"/>
      <c r="GRF507" s="324"/>
      <c r="GRG507" s="324"/>
      <c r="GRH507" s="324"/>
      <c r="GRI507" s="324"/>
      <c r="GRJ507" s="324"/>
      <c r="GRK507" s="324"/>
      <c r="GRL507" s="256"/>
      <c r="GRM507" s="325"/>
      <c r="GRN507" s="311"/>
      <c r="GRO507" s="325"/>
      <c r="GRP507" s="310"/>
      <c r="GRQ507" s="325"/>
      <c r="GRR507" s="325"/>
      <c r="GRS507" s="325"/>
      <c r="GRT507" s="325"/>
      <c r="GRU507" s="325"/>
      <c r="GRV507" s="325"/>
      <c r="GRW507" s="325"/>
      <c r="GRX507" s="325"/>
      <c r="GRY507" s="325"/>
      <c r="GRZ507" s="325"/>
      <c r="GSA507" s="325"/>
      <c r="GSB507" s="325"/>
      <c r="GSC507" s="325"/>
      <c r="GSD507" s="325"/>
      <c r="GSE507" s="325"/>
      <c r="GSF507" s="325"/>
      <c r="GSG507" s="325"/>
      <c r="GSH507" s="325"/>
      <c r="GSI507" s="325"/>
      <c r="GSJ507" s="325"/>
      <c r="GSK507" s="325"/>
      <c r="GSL507" s="325"/>
      <c r="GSM507" s="325"/>
      <c r="GSN507" s="325"/>
      <c r="GSO507" s="325"/>
      <c r="GSP507" s="325"/>
      <c r="GSQ507" s="325"/>
      <c r="GSR507" s="325"/>
      <c r="GSS507" s="325"/>
      <c r="GST507" s="325"/>
      <c r="GSU507" s="327"/>
      <c r="GSV507" s="28"/>
      <c r="GSW507" s="324"/>
      <c r="GSX507" s="324"/>
      <c r="GSY507" s="324"/>
      <c r="GSZ507" s="324"/>
      <c r="GTA507" s="324"/>
      <c r="GTB507" s="324"/>
      <c r="GTC507" s="256"/>
      <c r="GTD507" s="325"/>
      <c r="GTE507" s="311"/>
      <c r="GTF507" s="325"/>
      <c r="GTG507" s="310"/>
      <c r="GTH507" s="325"/>
      <c r="GTI507" s="325"/>
      <c r="GTJ507" s="325"/>
      <c r="GTK507" s="325"/>
      <c r="GTL507" s="325"/>
      <c r="GTM507" s="325"/>
      <c r="GTN507" s="325"/>
      <c r="GTO507" s="325"/>
      <c r="GTP507" s="325"/>
      <c r="GTQ507" s="325"/>
      <c r="GTR507" s="325"/>
      <c r="GTS507" s="325"/>
      <c r="GTT507" s="325"/>
      <c r="GTU507" s="325"/>
      <c r="GTV507" s="325"/>
      <c r="GTW507" s="325"/>
      <c r="GTX507" s="325"/>
      <c r="GTY507" s="325"/>
      <c r="GTZ507" s="325"/>
      <c r="GUA507" s="325"/>
      <c r="GUB507" s="325"/>
      <c r="GUC507" s="325"/>
      <c r="GUD507" s="325"/>
      <c r="GUE507" s="325"/>
      <c r="GUF507" s="325"/>
      <c r="GUG507" s="325"/>
      <c r="GUH507" s="325"/>
      <c r="GUI507" s="325"/>
      <c r="GUJ507" s="325"/>
      <c r="GUK507" s="325"/>
      <c r="GUL507" s="327"/>
      <c r="GUM507" s="28"/>
      <c r="GUN507" s="324"/>
      <c r="GUO507" s="324"/>
      <c r="GUP507" s="324"/>
      <c r="GUQ507" s="324"/>
      <c r="GUR507" s="324"/>
      <c r="GUS507" s="324"/>
      <c r="GUT507" s="256"/>
      <c r="GUU507" s="325"/>
      <c r="GUV507" s="311"/>
      <c r="GUW507" s="325"/>
      <c r="GUX507" s="310"/>
      <c r="GUY507" s="325"/>
      <c r="GUZ507" s="325"/>
      <c r="GVA507" s="325"/>
      <c r="GVB507" s="325"/>
      <c r="GVC507" s="325"/>
      <c r="GVD507" s="325"/>
      <c r="GVE507" s="325"/>
      <c r="GVF507" s="325"/>
      <c r="GVG507" s="325"/>
      <c r="GVH507" s="325"/>
      <c r="GVI507" s="325"/>
      <c r="GVJ507" s="325"/>
      <c r="GVK507" s="325"/>
      <c r="GVL507" s="325"/>
      <c r="GVM507" s="325"/>
      <c r="GVN507" s="325"/>
      <c r="GVO507" s="325"/>
      <c r="GVP507" s="325"/>
      <c r="GVQ507" s="325"/>
      <c r="GVR507" s="325"/>
      <c r="GVS507" s="325"/>
      <c r="GVT507" s="325"/>
      <c r="GVU507" s="325"/>
      <c r="GVV507" s="325"/>
      <c r="GVW507" s="325"/>
      <c r="GVX507" s="325"/>
      <c r="GVY507" s="325"/>
      <c r="GVZ507" s="325"/>
      <c r="GWA507" s="325"/>
      <c r="GWB507" s="325"/>
      <c r="GWC507" s="327"/>
      <c r="GWD507" s="28"/>
      <c r="GWE507" s="324"/>
      <c r="GWF507" s="324"/>
      <c r="GWG507" s="324"/>
      <c r="GWH507" s="324"/>
      <c r="GWI507" s="324"/>
      <c r="GWJ507" s="324"/>
      <c r="GWK507" s="256"/>
      <c r="GWL507" s="325"/>
      <c r="GWM507" s="311"/>
      <c r="GWN507" s="325"/>
      <c r="GWO507" s="310"/>
      <c r="GWP507" s="325"/>
      <c r="GWQ507" s="325"/>
      <c r="GWR507" s="325"/>
      <c r="GWS507" s="325"/>
      <c r="GWT507" s="325"/>
      <c r="GWU507" s="325"/>
      <c r="GWV507" s="325"/>
      <c r="GWW507" s="325"/>
      <c r="GWX507" s="325"/>
      <c r="GWY507" s="325"/>
      <c r="GWZ507" s="325"/>
      <c r="GXA507" s="325"/>
      <c r="GXB507" s="325"/>
      <c r="GXC507" s="325"/>
      <c r="GXD507" s="325"/>
      <c r="GXE507" s="325"/>
      <c r="GXF507" s="325"/>
      <c r="GXG507" s="325"/>
      <c r="GXH507" s="325"/>
      <c r="GXI507" s="325"/>
      <c r="GXJ507" s="325"/>
      <c r="GXK507" s="325"/>
      <c r="GXL507" s="325"/>
      <c r="GXM507" s="325"/>
      <c r="GXN507" s="325"/>
      <c r="GXO507" s="325"/>
      <c r="GXP507" s="325"/>
      <c r="GXQ507" s="325"/>
      <c r="GXR507" s="325"/>
      <c r="GXS507" s="325"/>
      <c r="GXT507" s="327"/>
      <c r="GXU507" s="28"/>
      <c r="GXV507" s="324"/>
      <c r="GXW507" s="324"/>
      <c r="GXX507" s="324"/>
      <c r="GXY507" s="324"/>
      <c r="GXZ507" s="324"/>
      <c r="GYA507" s="324"/>
      <c r="GYB507" s="256"/>
      <c r="GYC507" s="325"/>
      <c r="GYD507" s="311"/>
      <c r="GYE507" s="325"/>
      <c r="GYF507" s="310"/>
      <c r="GYG507" s="325"/>
      <c r="GYH507" s="325"/>
      <c r="GYI507" s="325"/>
      <c r="GYJ507" s="325"/>
      <c r="GYK507" s="325"/>
      <c r="GYL507" s="325"/>
      <c r="GYM507" s="325"/>
      <c r="GYN507" s="325"/>
      <c r="GYO507" s="325"/>
      <c r="GYP507" s="325"/>
      <c r="GYQ507" s="325"/>
      <c r="GYR507" s="325"/>
      <c r="GYS507" s="325"/>
      <c r="GYT507" s="325"/>
      <c r="GYU507" s="325"/>
      <c r="GYV507" s="325"/>
      <c r="GYW507" s="325"/>
      <c r="GYX507" s="325"/>
      <c r="GYY507" s="325"/>
      <c r="GYZ507" s="325"/>
      <c r="GZA507" s="325"/>
      <c r="GZB507" s="325"/>
      <c r="GZC507" s="325"/>
      <c r="GZD507" s="325"/>
      <c r="GZE507" s="325"/>
      <c r="GZF507" s="325"/>
      <c r="GZG507" s="325"/>
      <c r="GZH507" s="325"/>
      <c r="GZI507" s="325"/>
      <c r="GZJ507" s="325"/>
      <c r="GZK507" s="327"/>
      <c r="GZL507" s="28"/>
      <c r="GZM507" s="324"/>
      <c r="GZN507" s="324"/>
      <c r="GZO507" s="324"/>
      <c r="GZP507" s="324"/>
      <c r="GZQ507" s="324"/>
      <c r="GZR507" s="324"/>
      <c r="GZS507" s="256"/>
      <c r="GZT507" s="325"/>
      <c r="GZU507" s="311"/>
      <c r="GZV507" s="325"/>
      <c r="GZW507" s="310"/>
      <c r="GZX507" s="325"/>
      <c r="GZY507" s="325"/>
      <c r="GZZ507" s="325"/>
      <c r="HAA507" s="325"/>
      <c r="HAB507" s="325"/>
      <c r="HAC507" s="325"/>
      <c r="HAD507" s="325"/>
      <c r="HAE507" s="325"/>
      <c r="HAF507" s="325"/>
      <c r="HAG507" s="325"/>
      <c r="HAH507" s="325"/>
      <c r="HAI507" s="325"/>
      <c r="HAJ507" s="325"/>
      <c r="HAK507" s="325"/>
      <c r="HAL507" s="325"/>
      <c r="HAM507" s="325"/>
      <c r="HAN507" s="325"/>
      <c r="HAO507" s="325"/>
      <c r="HAP507" s="325"/>
      <c r="HAQ507" s="325"/>
      <c r="HAR507" s="325"/>
      <c r="HAS507" s="325"/>
      <c r="HAT507" s="325"/>
      <c r="HAU507" s="325"/>
      <c r="HAV507" s="325"/>
      <c r="HAW507" s="325"/>
      <c r="HAX507" s="325"/>
      <c r="HAY507" s="325"/>
      <c r="HAZ507" s="325"/>
      <c r="HBA507" s="325"/>
      <c r="HBB507" s="327"/>
      <c r="HBC507" s="28"/>
      <c r="HBD507" s="324"/>
      <c r="HBE507" s="324"/>
      <c r="HBF507" s="324"/>
      <c r="HBG507" s="324"/>
      <c r="HBH507" s="324"/>
      <c r="HBI507" s="324"/>
      <c r="HBJ507" s="256"/>
      <c r="HBK507" s="325"/>
      <c r="HBL507" s="311"/>
      <c r="HBM507" s="325"/>
      <c r="HBN507" s="310"/>
      <c r="HBO507" s="325"/>
      <c r="HBP507" s="325"/>
      <c r="HBQ507" s="325"/>
      <c r="HBR507" s="325"/>
      <c r="HBS507" s="325"/>
      <c r="HBT507" s="325"/>
      <c r="HBU507" s="325"/>
      <c r="HBV507" s="325"/>
      <c r="HBW507" s="325"/>
      <c r="HBX507" s="325"/>
      <c r="HBY507" s="325"/>
      <c r="HBZ507" s="325"/>
      <c r="HCA507" s="325"/>
      <c r="HCB507" s="325"/>
      <c r="HCC507" s="325"/>
      <c r="HCD507" s="325"/>
      <c r="HCE507" s="325"/>
      <c r="HCF507" s="325"/>
      <c r="HCG507" s="325"/>
      <c r="HCH507" s="325"/>
      <c r="HCI507" s="325"/>
      <c r="HCJ507" s="325"/>
      <c r="HCK507" s="325"/>
      <c r="HCL507" s="325"/>
      <c r="HCM507" s="325"/>
      <c r="HCN507" s="325"/>
      <c r="HCO507" s="325"/>
      <c r="HCP507" s="325"/>
      <c r="HCQ507" s="325"/>
      <c r="HCR507" s="325"/>
      <c r="HCS507" s="327"/>
      <c r="HCT507" s="28"/>
      <c r="HCU507" s="324"/>
      <c r="HCV507" s="324"/>
      <c r="HCW507" s="324"/>
      <c r="HCX507" s="324"/>
      <c r="HCY507" s="324"/>
      <c r="HCZ507" s="324"/>
      <c r="HDA507" s="256"/>
      <c r="HDB507" s="325"/>
      <c r="HDC507" s="311"/>
      <c r="HDD507" s="325"/>
      <c r="HDE507" s="310"/>
      <c r="HDF507" s="325"/>
      <c r="HDG507" s="325"/>
      <c r="HDH507" s="325"/>
      <c r="HDI507" s="325"/>
      <c r="HDJ507" s="325"/>
      <c r="HDK507" s="325"/>
      <c r="HDL507" s="325"/>
      <c r="HDM507" s="325"/>
      <c r="HDN507" s="325"/>
      <c r="HDO507" s="325"/>
      <c r="HDP507" s="325"/>
      <c r="HDQ507" s="325"/>
      <c r="HDR507" s="325"/>
      <c r="HDS507" s="325"/>
      <c r="HDT507" s="325"/>
      <c r="HDU507" s="325"/>
      <c r="HDV507" s="325"/>
      <c r="HDW507" s="325"/>
      <c r="HDX507" s="325"/>
      <c r="HDY507" s="325"/>
      <c r="HDZ507" s="325"/>
      <c r="HEA507" s="325"/>
      <c r="HEB507" s="325"/>
      <c r="HEC507" s="325"/>
      <c r="HED507" s="325"/>
      <c r="HEE507" s="325"/>
      <c r="HEF507" s="325"/>
      <c r="HEG507" s="325"/>
      <c r="HEH507" s="325"/>
      <c r="HEI507" s="325"/>
      <c r="HEJ507" s="327"/>
      <c r="HEK507" s="28"/>
      <c r="HEL507" s="324"/>
      <c r="HEM507" s="324"/>
      <c r="HEN507" s="324"/>
      <c r="HEO507" s="324"/>
      <c r="HEP507" s="324"/>
      <c r="HEQ507" s="324"/>
      <c r="HER507" s="256"/>
      <c r="HES507" s="325"/>
      <c r="HET507" s="311"/>
      <c r="HEU507" s="325"/>
      <c r="HEV507" s="310"/>
      <c r="HEW507" s="325"/>
      <c r="HEX507" s="325"/>
      <c r="HEY507" s="325"/>
      <c r="HEZ507" s="325"/>
      <c r="HFA507" s="325"/>
      <c r="HFB507" s="325"/>
      <c r="HFC507" s="325"/>
      <c r="HFD507" s="325"/>
      <c r="HFE507" s="325"/>
      <c r="HFF507" s="325"/>
      <c r="HFG507" s="325"/>
      <c r="HFH507" s="325"/>
      <c r="HFI507" s="325"/>
      <c r="HFJ507" s="325"/>
      <c r="HFK507" s="325"/>
      <c r="HFL507" s="325"/>
      <c r="HFM507" s="325"/>
      <c r="HFN507" s="325"/>
      <c r="HFO507" s="325"/>
      <c r="HFP507" s="325"/>
      <c r="HFQ507" s="325"/>
      <c r="HFR507" s="325"/>
      <c r="HFS507" s="325"/>
      <c r="HFT507" s="325"/>
      <c r="HFU507" s="325"/>
      <c r="HFV507" s="325"/>
      <c r="HFW507" s="325"/>
      <c r="HFX507" s="325"/>
      <c r="HFY507" s="325"/>
      <c r="HFZ507" s="325"/>
      <c r="HGA507" s="327"/>
      <c r="HGB507" s="28"/>
      <c r="HGC507" s="324"/>
      <c r="HGD507" s="324"/>
      <c r="HGE507" s="324"/>
      <c r="HGF507" s="324"/>
      <c r="HGG507" s="324"/>
      <c r="HGH507" s="324"/>
      <c r="HGI507" s="256"/>
      <c r="HGJ507" s="325"/>
      <c r="HGK507" s="311"/>
      <c r="HGL507" s="325"/>
      <c r="HGM507" s="310"/>
      <c r="HGN507" s="325"/>
      <c r="HGO507" s="325"/>
      <c r="HGP507" s="325"/>
      <c r="HGQ507" s="325"/>
      <c r="HGR507" s="325"/>
      <c r="HGS507" s="325"/>
      <c r="HGT507" s="325"/>
      <c r="HGU507" s="325"/>
      <c r="HGV507" s="325"/>
      <c r="HGW507" s="325"/>
      <c r="HGX507" s="325"/>
      <c r="HGY507" s="325"/>
      <c r="HGZ507" s="325"/>
      <c r="HHA507" s="325"/>
      <c r="HHB507" s="325"/>
      <c r="HHC507" s="325"/>
      <c r="HHD507" s="325"/>
      <c r="HHE507" s="325"/>
      <c r="HHF507" s="325"/>
      <c r="HHG507" s="325"/>
      <c r="HHH507" s="325"/>
      <c r="HHI507" s="325"/>
      <c r="HHJ507" s="325"/>
      <c r="HHK507" s="325"/>
      <c r="HHL507" s="325"/>
      <c r="HHM507" s="325"/>
      <c r="HHN507" s="325"/>
      <c r="HHO507" s="325"/>
      <c r="HHP507" s="325"/>
      <c r="HHQ507" s="325"/>
      <c r="HHR507" s="327"/>
      <c r="HHS507" s="28"/>
      <c r="HHT507" s="324"/>
      <c r="HHU507" s="324"/>
      <c r="HHV507" s="324"/>
      <c r="HHW507" s="324"/>
      <c r="HHX507" s="324"/>
      <c r="HHY507" s="324"/>
      <c r="HHZ507" s="256"/>
      <c r="HIA507" s="325"/>
      <c r="HIB507" s="311"/>
      <c r="HIC507" s="325"/>
      <c r="HID507" s="310"/>
      <c r="HIE507" s="325"/>
      <c r="HIF507" s="325"/>
      <c r="HIG507" s="325"/>
      <c r="HIH507" s="325"/>
      <c r="HII507" s="325"/>
      <c r="HIJ507" s="325"/>
      <c r="HIK507" s="325"/>
      <c r="HIL507" s="325"/>
      <c r="HIM507" s="325"/>
      <c r="HIN507" s="325"/>
      <c r="HIO507" s="325"/>
      <c r="HIP507" s="325"/>
      <c r="HIQ507" s="325"/>
      <c r="HIR507" s="325"/>
      <c r="HIS507" s="325"/>
      <c r="HIT507" s="325"/>
      <c r="HIU507" s="325"/>
      <c r="HIV507" s="325"/>
      <c r="HIW507" s="325"/>
      <c r="HIX507" s="325"/>
      <c r="HIY507" s="325"/>
      <c r="HIZ507" s="325"/>
      <c r="HJA507" s="325"/>
      <c r="HJB507" s="325"/>
      <c r="HJC507" s="325"/>
      <c r="HJD507" s="325"/>
      <c r="HJE507" s="325"/>
      <c r="HJF507" s="325"/>
      <c r="HJG507" s="325"/>
      <c r="HJH507" s="325"/>
      <c r="HJI507" s="327"/>
      <c r="HJJ507" s="28"/>
      <c r="HJK507" s="324"/>
      <c r="HJL507" s="324"/>
      <c r="HJM507" s="324"/>
      <c r="HJN507" s="324"/>
      <c r="HJO507" s="324"/>
      <c r="HJP507" s="324"/>
      <c r="HJQ507" s="256"/>
      <c r="HJR507" s="325"/>
      <c r="HJS507" s="311"/>
      <c r="HJT507" s="325"/>
      <c r="HJU507" s="310"/>
      <c r="HJV507" s="325"/>
      <c r="HJW507" s="325"/>
      <c r="HJX507" s="325"/>
      <c r="HJY507" s="325"/>
      <c r="HJZ507" s="325"/>
      <c r="HKA507" s="325"/>
      <c r="HKB507" s="325"/>
      <c r="HKC507" s="325"/>
      <c r="HKD507" s="325"/>
      <c r="HKE507" s="325"/>
      <c r="HKF507" s="325"/>
      <c r="HKG507" s="325"/>
      <c r="HKH507" s="325"/>
      <c r="HKI507" s="325"/>
      <c r="HKJ507" s="325"/>
      <c r="HKK507" s="325"/>
      <c r="HKL507" s="325"/>
      <c r="HKM507" s="325"/>
      <c r="HKN507" s="325"/>
      <c r="HKO507" s="325"/>
      <c r="HKP507" s="325"/>
      <c r="HKQ507" s="325"/>
      <c r="HKR507" s="325"/>
      <c r="HKS507" s="325"/>
      <c r="HKT507" s="325"/>
      <c r="HKU507" s="325"/>
      <c r="HKV507" s="325"/>
      <c r="HKW507" s="325"/>
      <c r="HKX507" s="325"/>
      <c r="HKY507" s="325"/>
      <c r="HKZ507" s="327"/>
      <c r="HLA507" s="28"/>
      <c r="HLB507" s="324"/>
      <c r="HLC507" s="324"/>
      <c r="HLD507" s="324"/>
      <c r="HLE507" s="324"/>
      <c r="HLF507" s="324"/>
      <c r="HLG507" s="324"/>
      <c r="HLH507" s="256"/>
      <c r="HLI507" s="325"/>
      <c r="HLJ507" s="311"/>
      <c r="HLK507" s="325"/>
      <c r="HLL507" s="310"/>
      <c r="HLM507" s="325"/>
      <c r="HLN507" s="325"/>
      <c r="HLO507" s="325"/>
      <c r="HLP507" s="325"/>
      <c r="HLQ507" s="325"/>
      <c r="HLR507" s="325"/>
      <c r="HLS507" s="325"/>
      <c r="HLT507" s="325"/>
      <c r="HLU507" s="325"/>
      <c r="HLV507" s="325"/>
      <c r="HLW507" s="325"/>
      <c r="HLX507" s="325"/>
      <c r="HLY507" s="325"/>
      <c r="HLZ507" s="325"/>
      <c r="HMA507" s="325"/>
      <c r="HMB507" s="325"/>
      <c r="HMC507" s="325"/>
      <c r="HMD507" s="325"/>
      <c r="HME507" s="325"/>
      <c r="HMF507" s="325"/>
      <c r="HMG507" s="325"/>
      <c r="HMH507" s="325"/>
      <c r="HMI507" s="325"/>
      <c r="HMJ507" s="325"/>
      <c r="HMK507" s="325"/>
      <c r="HML507" s="325"/>
      <c r="HMM507" s="325"/>
      <c r="HMN507" s="325"/>
      <c r="HMO507" s="325"/>
      <c r="HMP507" s="325"/>
      <c r="HMQ507" s="327"/>
      <c r="HMR507" s="28"/>
      <c r="HMS507" s="324"/>
      <c r="HMT507" s="324"/>
      <c r="HMU507" s="324"/>
      <c r="HMV507" s="324"/>
      <c r="HMW507" s="324"/>
      <c r="HMX507" s="324"/>
      <c r="HMY507" s="256"/>
      <c r="HMZ507" s="325"/>
      <c r="HNA507" s="311"/>
      <c r="HNB507" s="325"/>
      <c r="HNC507" s="310"/>
      <c r="HND507" s="325"/>
      <c r="HNE507" s="325"/>
      <c r="HNF507" s="325"/>
      <c r="HNG507" s="325"/>
      <c r="HNH507" s="325"/>
      <c r="HNI507" s="325"/>
      <c r="HNJ507" s="325"/>
      <c r="HNK507" s="325"/>
      <c r="HNL507" s="325"/>
      <c r="HNM507" s="325"/>
      <c r="HNN507" s="325"/>
      <c r="HNO507" s="325"/>
      <c r="HNP507" s="325"/>
      <c r="HNQ507" s="325"/>
      <c r="HNR507" s="325"/>
      <c r="HNS507" s="325"/>
      <c r="HNT507" s="325"/>
      <c r="HNU507" s="325"/>
      <c r="HNV507" s="325"/>
      <c r="HNW507" s="325"/>
      <c r="HNX507" s="325"/>
      <c r="HNY507" s="325"/>
      <c r="HNZ507" s="325"/>
      <c r="HOA507" s="325"/>
      <c r="HOB507" s="325"/>
      <c r="HOC507" s="325"/>
      <c r="HOD507" s="325"/>
      <c r="HOE507" s="325"/>
      <c r="HOF507" s="325"/>
      <c r="HOG507" s="325"/>
      <c r="HOH507" s="327"/>
      <c r="HOI507" s="28"/>
      <c r="HOJ507" s="324"/>
      <c r="HOK507" s="324"/>
      <c r="HOL507" s="324"/>
      <c r="HOM507" s="324"/>
      <c r="HON507" s="324"/>
      <c r="HOO507" s="324"/>
      <c r="HOP507" s="256"/>
      <c r="HOQ507" s="325"/>
      <c r="HOR507" s="311"/>
      <c r="HOS507" s="325"/>
      <c r="HOT507" s="310"/>
      <c r="HOU507" s="325"/>
      <c r="HOV507" s="325"/>
      <c r="HOW507" s="325"/>
      <c r="HOX507" s="325"/>
      <c r="HOY507" s="325"/>
      <c r="HOZ507" s="325"/>
      <c r="HPA507" s="325"/>
      <c r="HPB507" s="325"/>
      <c r="HPC507" s="325"/>
      <c r="HPD507" s="325"/>
      <c r="HPE507" s="325"/>
      <c r="HPF507" s="325"/>
      <c r="HPG507" s="325"/>
      <c r="HPH507" s="325"/>
      <c r="HPI507" s="325"/>
      <c r="HPJ507" s="325"/>
      <c r="HPK507" s="325"/>
      <c r="HPL507" s="325"/>
      <c r="HPM507" s="325"/>
      <c r="HPN507" s="325"/>
      <c r="HPO507" s="325"/>
      <c r="HPP507" s="325"/>
      <c r="HPQ507" s="325"/>
      <c r="HPR507" s="325"/>
      <c r="HPS507" s="325"/>
      <c r="HPT507" s="325"/>
      <c r="HPU507" s="325"/>
      <c r="HPV507" s="325"/>
      <c r="HPW507" s="325"/>
      <c r="HPX507" s="325"/>
      <c r="HPY507" s="327"/>
      <c r="HPZ507" s="28"/>
      <c r="HQA507" s="324"/>
      <c r="HQB507" s="324"/>
      <c r="HQC507" s="324"/>
      <c r="HQD507" s="324"/>
      <c r="HQE507" s="324"/>
      <c r="HQF507" s="324"/>
      <c r="HQG507" s="256"/>
      <c r="HQH507" s="325"/>
      <c r="HQI507" s="311"/>
      <c r="HQJ507" s="325"/>
      <c r="HQK507" s="310"/>
      <c r="HQL507" s="325"/>
      <c r="HQM507" s="325"/>
      <c r="HQN507" s="325"/>
      <c r="HQO507" s="325"/>
      <c r="HQP507" s="325"/>
      <c r="HQQ507" s="325"/>
      <c r="HQR507" s="325"/>
      <c r="HQS507" s="325"/>
      <c r="HQT507" s="325"/>
      <c r="HQU507" s="325"/>
      <c r="HQV507" s="325"/>
      <c r="HQW507" s="325"/>
      <c r="HQX507" s="325"/>
      <c r="HQY507" s="325"/>
      <c r="HQZ507" s="325"/>
      <c r="HRA507" s="325"/>
      <c r="HRB507" s="325"/>
      <c r="HRC507" s="325"/>
      <c r="HRD507" s="325"/>
      <c r="HRE507" s="325"/>
      <c r="HRF507" s="325"/>
      <c r="HRG507" s="325"/>
      <c r="HRH507" s="325"/>
      <c r="HRI507" s="325"/>
      <c r="HRJ507" s="325"/>
      <c r="HRK507" s="325"/>
      <c r="HRL507" s="325"/>
      <c r="HRM507" s="325"/>
      <c r="HRN507" s="325"/>
      <c r="HRO507" s="325"/>
      <c r="HRP507" s="327"/>
      <c r="HRQ507" s="28"/>
      <c r="HRR507" s="324"/>
      <c r="HRS507" s="324"/>
      <c r="HRT507" s="324"/>
      <c r="HRU507" s="324"/>
      <c r="HRV507" s="324"/>
      <c r="HRW507" s="324"/>
      <c r="HRX507" s="256"/>
      <c r="HRY507" s="325"/>
      <c r="HRZ507" s="311"/>
      <c r="HSA507" s="325"/>
      <c r="HSB507" s="310"/>
      <c r="HSC507" s="325"/>
      <c r="HSD507" s="325"/>
      <c r="HSE507" s="325"/>
      <c r="HSF507" s="325"/>
      <c r="HSG507" s="325"/>
      <c r="HSH507" s="325"/>
      <c r="HSI507" s="325"/>
      <c r="HSJ507" s="325"/>
      <c r="HSK507" s="325"/>
      <c r="HSL507" s="325"/>
      <c r="HSM507" s="325"/>
      <c r="HSN507" s="325"/>
      <c r="HSO507" s="325"/>
      <c r="HSP507" s="325"/>
      <c r="HSQ507" s="325"/>
      <c r="HSR507" s="325"/>
      <c r="HSS507" s="325"/>
      <c r="HST507" s="325"/>
      <c r="HSU507" s="325"/>
      <c r="HSV507" s="325"/>
      <c r="HSW507" s="325"/>
      <c r="HSX507" s="325"/>
      <c r="HSY507" s="325"/>
      <c r="HSZ507" s="325"/>
      <c r="HTA507" s="325"/>
      <c r="HTB507" s="325"/>
      <c r="HTC507" s="325"/>
      <c r="HTD507" s="325"/>
      <c r="HTE507" s="325"/>
      <c r="HTF507" s="325"/>
      <c r="HTG507" s="327"/>
      <c r="HTH507" s="28"/>
      <c r="HTI507" s="324"/>
      <c r="HTJ507" s="324"/>
      <c r="HTK507" s="324"/>
      <c r="HTL507" s="324"/>
      <c r="HTM507" s="324"/>
      <c r="HTN507" s="324"/>
      <c r="HTO507" s="256"/>
      <c r="HTP507" s="325"/>
      <c r="HTQ507" s="311"/>
      <c r="HTR507" s="325"/>
      <c r="HTS507" s="310"/>
      <c r="HTT507" s="325"/>
      <c r="HTU507" s="325"/>
      <c r="HTV507" s="325"/>
      <c r="HTW507" s="325"/>
      <c r="HTX507" s="325"/>
      <c r="HTY507" s="325"/>
      <c r="HTZ507" s="325"/>
      <c r="HUA507" s="325"/>
      <c r="HUB507" s="325"/>
      <c r="HUC507" s="325"/>
      <c r="HUD507" s="325"/>
      <c r="HUE507" s="325"/>
      <c r="HUF507" s="325"/>
      <c r="HUG507" s="325"/>
      <c r="HUH507" s="325"/>
      <c r="HUI507" s="325"/>
      <c r="HUJ507" s="325"/>
      <c r="HUK507" s="325"/>
      <c r="HUL507" s="325"/>
      <c r="HUM507" s="325"/>
      <c r="HUN507" s="325"/>
      <c r="HUO507" s="325"/>
      <c r="HUP507" s="325"/>
      <c r="HUQ507" s="325"/>
      <c r="HUR507" s="325"/>
      <c r="HUS507" s="325"/>
      <c r="HUT507" s="325"/>
      <c r="HUU507" s="325"/>
      <c r="HUV507" s="325"/>
      <c r="HUW507" s="325"/>
      <c r="HUX507" s="327"/>
      <c r="HUY507" s="28"/>
      <c r="HUZ507" s="324"/>
      <c r="HVA507" s="324"/>
      <c r="HVB507" s="324"/>
      <c r="HVC507" s="324"/>
      <c r="HVD507" s="324"/>
      <c r="HVE507" s="324"/>
      <c r="HVF507" s="256"/>
      <c r="HVG507" s="325"/>
      <c r="HVH507" s="311"/>
      <c r="HVI507" s="325"/>
      <c r="HVJ507" s="310"/>
      <c r="HVK507" s="325"/>
      <c r="HVL507" s="325"/>
      <c r="HVM507" s="325"/>
      <c r="HVN507" s="325"/>
      <c r="HVO507" s="325"/>
      <c r="HVP507" s="325"/>
      <c r="HVQ507" s="325"/>
      <c r="HVR507" s="325"/>
      <c r="HVS507" s="325"/>
      <c r="HVT507" s="325"/>
      <c r="HVU507" s="325"/>
      <c r="HVV507" s="325"/>
      <c r="HVW507" s="325"/>
      <c r="HVX507" s="325"/>
      <c r="HVY507" s="325"/>
      <c r="HVZ507" s="325"/>
      <c r="HWA507" s="325"/>
      <c r="HWB507" s="325"/>
      <c r="HWC507" s="325"/>
      <c r="HWD507" s="325"/>
      <c r="HWE507" s="325"/>
      <c r="HWF507" s="325"/>
      <c r="HWG507" s="325"/>
      <c r="HWH507" s="325"/>
      <c r="HWI507" s="325"/>
      <c r="HWJ507" s="325"/>
      <c r="HWK507" s="325"/>
      <c r="HWL507" s="325"/>
      <c r="HWM507" s="325"/>
      <c r="HWN507" s="325"/>
      <c r="HWO507" s="327"/>
      <c r="HWP507" s="28"/>
      <c r="HWQ507" s="324"/>
      <c r="HWR507" s="324"/>
      <c r="HWS507" s="324"/>
      <c r="HWT507" s="324"/>
      <c r="HWU507" s="324"/>
      <c r="HWV507" s="324"/>
      <c r="HWW507" s="256"/>
      <c r="HWX507" s="325"/>
      <c r="HWY507" s="311"/>
      <c r="HWZ507" s="325"/>
      <c r="HXA507" s="310"/>
      <c r="HXB507" s="325"/>
      <c r="HXC507" s="325"/>
      <c r="HXD507" s="325"/>
      <c r="HXE507" s="325"/>
      <c r="HXF507" s="325"/>
      <c r="HXG507" s="325"/>
      <c r="HXH507" s="325"/>
      <c r="HXI507" s="325"/>
      <c r="HXJ507" s="325"/>
      <c r="HXK507" s="325"/>
      <c r="HXL507" s="325"/>
      <c r="HXM507" s="325"/>
      <c r="HXN507" s="325"/>
      <c r="HXO507" s="325"/>
      <c r="HXP507" s="325"/>
      <c r="HXQ507" s="325"/>
      <c r="HXR507" s="325"/>
      <c r="HXS507" s="325"/>
      <c r="HXT507" s="325"/>
      <c r="HXU507" s="325"/>
      <c r="HXV507" s="325"/>
      <c r="HXW507" s="325"/>
      <c r="HXX507" s="325"/>
      <c r="HXY507" s="325"/>
      <c r="HXZ507" s="325"/>
      <c r="HYA507" s="325"/>
      <c r="HYB507" s="325"/>
      <c r="HYC507" s="325"/>
      <c r="HYD507" s="325"/>
      <c r="HYE507" s="325"/>
      <c r="HYF507" s="327"/>
      <c r="HYG507" s="28"/>
      <c r="HYH507" s="324"/>
      <c r="HYI507" s="324"/>
      <c r="HYJ507" s="324"/>
      <c r="HYK507" s="324"/>
      <c r="HYL507" s="324"/>
      <c r="HYM507" s="324"/>
      <c r="HYN507" s="256"/>
      <c r="HYO507" s="325"/>
      <c r="HYP507" s="311"/>
      <c r="HYQ507" s="325"/>
      <c r="HYR507" s="310"/>
      <c r="HYS507" s="325"/>
      <c r="HYT507" s="325"/>
      <c r="HYU507" s="325"/>
      <c r="HYV507" s="325"/>
      <c r="HYW507" s="325"/>
      <c r="HYX507" s="325"/>
      <c r="HYY507" s="325"/>
      <c r="HYZ507" s="325"/>
      <c r="HZA507" s="325"/>
      <c r="HZB507" s="325"/>
      <c r="HZC507" s="325"/>
      <c r="HZD507" s="325"/>
      <c r="HZE507" s="325"/>
      <c r="HZF507" s="325"/>
      <c r="HZG507" s="325"/>
      <c r="HZH507" s="325"/>
      <c r="HZI507" s="325"/>
      <c r="HZJ507" s="325"/>
      <c r="HZK507" s="325"/>
      <c r="HZL507" s="325"/>
      <c r="HZM507" s="325"/>
      <c r="HZN507" s="325"/>
      <c r="HZO507" s="325"/>
      <c r="HZP507" s="325"/>
      <c r="HZQ507" s="325"/>
      <c r="HZR507" s="325"/>
      <c r="HZS507" s="325"/>
      <c r="HZT507" s="325"/>
      <c r="HZU507" s="325"/>
      <c r="HZV507" s="325"/>
      <c r="HZW507" s="327"/>
      <c r="HZX507" s="28"/>
      <c r="HZY507" s="324"/>
      <c r="HZZ507" s="324"/>
      <c r="IAA507" s="324"/>
      <c r="IAB507" s="324"/>
      <c r="IAC507" s="324"/>
      <c r="IAD507" s="324"/>
      <c r="IAE507" s="256"/>
      <c r="IAF507" s="325"/>
      <c r="IAG507" s="311"/>
      <c r="IAH507" s="325"/>
      <c r="IAI507" s="310"/>
      <c r="IAJ507" s="325"/>
      <c r="IAK507" s="325"/>
      <c r="IAL507" s="325"/>
      <c r="IAM507" s="325"/>
      <c r="IAN507" s="325"/>
      <c r="IAO507" s="325"/>
      <c r="IAP507" s="325"/>
      <c r="IAQ507" s="325"/>
      <c r="IAR507" s="325"/>
      <c r="IAS507" s="325"/>
      <c r="IAT507" s="325"/>
      <c r="IAU507" s="325"/>
      <c r="IAV507" s="325"/>
      <c r="IAW507" s="325"/>
      <c r="IAX507" s="325"/>
      <c r="IAY507" s="325"/>
      <c r="IAZ507" s="325"/>
      <c r="IBA507" s="325"/>
      <c r="IBB507" s="325"/>
      <c r="IBC507" s="325"/>
      <c r="IBD507" s="325"/>
      <c r="IBE507" s="325"/>
      <c r="IBF507" s="325"/>
      <c r="IBG507" s="325"/>
      <c r="IBH507" s="325"/>
      <c r="IBI507" s="325"/>
      <c r="IBJ507" s="325"/>
      <c r="IBK507" s="325"/>
      <c r="IBL507" s="325"/>
      <c r="IBM507" s="325"/>
      <c r="IBN507" s="327"/>
      <c r="IBO507" s="28"/>
      <c r="IBP507" s="324"/>
      <c r="IBQ507" s="324"/>
      <c r="IBR507" s="324"/>
      <c r="IBS507" s="324"/>
      <c r="IBT507" s="324"/>
      <c r="IBU507" s="324"/>
      <c r="IBV507" s="256"/>
      <c r="IBW507" s="325"/>
      <c r="IBX507" s="311"/>
      <c r="IBY507" s="325"/>
      <c r="IBZ507" s="310"/>
      <c r="ICA507" s="325"/>
      <c r="ICB507" s="325"/>
      <c r="ICC507" s="325"/>
      <c r="ICD507" s="325"/>
      <c r="ICE507" s="325"/>
      <c r="ICF507" s="325"/>
      <c r="ICG507" s="325"/>
      <c r="ICH507" s="325"/>
      <c r="ICI507" s="325"/>
      <c r="ICJ507" s="325"/>
      <c r="ICK507" s="325"/>
      <c r="ICL507" s="325"/>
      <c r="ICM507" s="325"/>
      <c r="ICN507" s="325"/>
      <c r="ICO507" s="325"/>
      <c r="ICP507" s="325"/>
      <c r="ICQ507" s="325"/>
      <c r="ICR507" s="325"/>
      <c r="ICS507" s="325"/>
      <c r="ICT507" s="325"/>
      <c r="ICU507" s="325"/>
      <c r="ICV507" s="325"/>
      <c r="ICW507" s="325"/>
      <c r="ICX507" s="325"/>
      <c r="ICY507" s="325"/>
      <c r="ICZ507" s="325"/>
      <c r="IDA507" s="325"/>
      <c r="IDB507" s="325"/>
      <c r="IDC507" s="325"/>
      <c r="IDD507" s="325"/>
      <c r="IDE507" s="327"/>
      <c r="IDF507" s="28"/>
      <c r="IDG507" s="324"/>
      <c r="IDH507" s="324"/>
      <c r="IDI507" s="324"/>
      <c r="IDJ507" s="324"/>
      <c r="IDK507" s="324"/>
      <c r="IDL507" s="324"/>
      <c r="IDM507" s="256"/>
      <c r="IDN507" s="325"/>
      <c r="IDO507" s="311"/>
      <c r="IDP507" s="325"/>
      <c r="IDQ507" s="310"/>
      <c r="IDR507" s="325"/>
      <c r="IDS507" s="325"/>
      <c r="IDT507" s="325"/>
      <c r="IDU507" s="325"/>
      <c r="IDV507" s="325"/>
      <c r="IDW507" s="325"/>
      <c r="IDX507" s="325"/>
      <c r="IDY507" s="325"/>
      <c r="IDZ507" s="325"/>
      <c r="IEA507" s="325"/>
      <c r="IEB507" s="325"/>
      <c r="IEC507" s="325"/>
      <c r="IED507" s="325"/>
      <c r="IEE507" s="325"/>
      <c r="IEF507" s="325"/>
      <c r="IEG507" s="325"/>
      <c r="IEH507" s="325"/>
      <c r="IEI507" s="325"/>
      <c r="IEJ507" s="325"/>
      <c r="IEK507" s="325"/>
      <c r="IEL507" s="325"/>
      <c r="IEM507" s="325"/>
      <c r="IEN507" s="325"/>
      <c r="IEO507" s="325"/>
      <c r="IEP507" s="325"/>
      <c r="IEQ507" s="325"/>
      <c r="IER507" s="325"/>
      <c r="IES507" s="325"/>
      <c r="IET507" s="325"/>
      <c r="IEU507" s="325"/>
      <c r="IEV507" s="327"/>
      <c r="IEW507" s="28"/>
      <c r="IEX507" s="324"/>
      <c r="IEY507" s="324"/>
      <c r="IEZ507" s="324"/>
      <c r="IFA507" s="324"/>
      <c r="IFB507" s="324"/>
      <c r="IFC507" s="324"/>
      <c r="IFD507" s="256"/>
      <c r="IFE507" s="325"/>
      <c r="IFF507" s="311"/>
      <c r="IFG507" s="325"/>
      <c r="IFH507" s="310"/>
      <c r="IFI507" s="325"/>
      <c r="IFJ507" s="325"/>
      <c r="IFK507" s="325"/>
      <c r="IFL507" s="325"/>
      <c r="IFM507" s="325"/>
      <c r="IFN507" s="325"/>
      <c r="IFO507" s="325"/>
      <c r="IFP507" s="325"/>
      <c r="IFQ507" s="325"/>
      <c r="IFR507" s="325"/>
      <c r="IFS507" s="325"/>
      <c r="IFT507" s="325"/>
      <c r="IFU507" s="325"/>
      <c r="IFV507" s="325"/>
      <c r="IFW507" s="325"/>
      <c r="IFX507" s="325"/>
      <c r="IFY507" s="325"/>
      <c r="IFZ507" s="325"/>
      <c r="IGA507" s="325"/>
      <c r="IGB507" s="325"/>
      <c r="IGC507" s="325"/>
      <c r="IGD507" s="325"/>
      <c r="IGE507" s="325"/>
      <c r="IGF507" s="325"/>
      <c r="IGG507" s="325"/>
      <c r="IGH507" s="325"/>
      <c r="IGI507" s="325"/>
      <c r="IGJ507" s="325"/>
      <c r="IGK507" s="325"/>
      <c r="IGL507" s="325"/>
      <c r="IGM507" s="327"/>
      <c r="IGN507" s="28"/>
      <c r="IGO507" s="324"/>
      <c r="IGP507" s="324"/>
      <c r="IGQ507" s="324"/>
      <c r="IGR507" s="324"/>
      <c r="IGS507" s="324"/>
      <c r="IGT507" s="324"/>
      <c r="IGU507" s="256"/>
      <c r="IGV507" s="325"/>
      <c r="IGW507" s="311"/>
      <c r="IGX507" s="325"/>
      <c r="IGY507" s="310"/>
      <c r="IGZ507" s="325"/>
      <c r="IHA507" s="325"/>
      <c r="IHB507" s="325"/>
      <c r="IHC507" s="325"/>
      <c r="IHD507" s="325"/>
      <c r="IHE507" s="325"/>
      <c r="IHF507" s="325"/>
      <c r="IHG507" s="325"/>
      <c r="IHH507" s="325"/>
      <c r="IHI507" s="325"/>
      <c r="IHJ507" s="325"/>
      <c r="IHK507" s="325"/>
      <c r="IHL507" s="325"/>
      <c r="IHM507" s="325"/>
      <c r="IHN507" s="325"/>
      <c r="IHO507" s="325"/>
      <c r="IHP507" s="325"/>
      <c r="IHQ507" s="325"/>
      <c r="IHR507" s="325"/>
      <c r="IHS507" s="325"/>
      <c r="IHT507" s="325"/>
      <c r="IHU507" s="325"/>
      <c r="IHV507" s="325"/>
      <c r="IHW507" s="325"/>
      <c r="IHX507" s="325"/>
      <c r="IHY507" s="325"/>
      <c r="IHZ507" s="325"/>
      <c r="IIA507" s="325"/>
      <c r="IIB507" s="325"/>
      <c r="IIC507" s="325"/>
      <c r="IID507" s="327"/>
      <c r="IIE507" s="28"/>
      <c r="IIF507" s="324"/>
      <c r="IIG507" s="324"/>
      <c r="IIH507" s="324"/>
      <c r="III507" s="324"/>
      <c r="IIJ507" s="324"/>
      <c r="IIK507" s="324"/>
      <c r="IIL507" s="256"/>
      <c r="IIM507" s="325"/>
      <c r="IIN507" s="311"/>
      <c r="IIO507" s="325"/>
      <c r="IIP507" s="310"/>
      <c r="IIQ507" s="325"/>
      <c r="IIR507" s="325"/>
      <c r="IIS507" s="325"/>
      <c r="IIT507" s="325"/>
      <c r="IIU507" s="325"/>
      <c r="IIV507" s="325"/>
      <c r="IIW507" s="325"/>
      <c r="IIX507" s="325"/>
      <c r="IIY507" s="325"/>
      <c r="IIZ507" s="325"/>
      <c r="IJA507" s="325"/>
      <c r="IJB507" s="325"/>
      <c r="IJC507" s="325"/>
      <c r="IJD507" s="325"/>
      <c r="IJE507" s="325"/>
      <c r="IJF507" s="325"/>
      <c r="IJG507" s="325"/>
      <c r="IJH507" s="325"/>
      <c r="IJI507" s="325"/>
      <c r="IJJ507" s="325"/>
      <c r="IJK507" s="325"/>
      <c r="IJL507" s="325"/>
      <c r="IJM507" s="325"/>
      <c r="IJN507" s="325"/>
      <c r="IJO507" s="325"/>
      <c r="IJP507" s="325"/>
      <c r="IJQ507" s="325"/>
      <c r="IJR507" s="325"/>
      <c r="IJS507" s="325"/>
      <c r="IJT507" s="325"/>
      <c r="IJU507" s="327"/>
      <c r="IJV507" s="28"/>
      <c r="IJW507" s="324"/>
      <c r="IJX507" s="324"/>
      <c r="IJY507" s="324"/>
      <c r="IJZ507" s="324"/>
      <c r="IKA507" s="324"/>
      <c r="IKB507" s="324"/>
      <c r="IKC507" s="256"/>
      <c r="IKD507" s="325"/>
      <c r="IKE507" s="311"/>
      <c r="IKF507" s="325"/>
      <c r="IKG507" s="310"/>
      <c r="IKH507" s="325"/>
      <c r="IKI507" s="325"/>
      <c r="IKJ507" s="325"/>
      <c r="IKK507" s="325"/>
      <c r="IKL507" s="325"/>
      <c r="IKM507" s="325"/>
      <c r="IKN507" s="325"/>
      <c r="IKO507" s="325"/>
      <c r="IKP507" s="325"/>
      <c r="IKQ507" s="325"/>
      <c r="IKR507" s="325"/>
      <c r="IKS507" s="325"/>
      <c r="IKT507" s="325"/>
      <c r="IKU507" s="325"/>
      <c r="IKV507" s="325"/>
      <c r="IKW507" s="325"/>
      <c r="IKX507" s="325"/>
      <c r="IKY507" s="325"/>
      <c r="IKZ507" s="325"/>
      <c r="ILA507" s="325"/>
      <c r="ILB507" s="325"/>
      <c r="ILC507" s="325"/>
      <c r="ILD507" s="325"/>
      <c r="ILE507" s="325"/>
      <c r="ILF507" s="325"/>
      <c r="ILG507" s="325"/>
      <c r="ILH507" s="325"/>
      <c r="ILI507" s="325"/>
      <c r="ILJ507" s="325"/>
      <c r="ILK507" s="325"/>
      <c r="ILL507" s="327"/>
      <c r="ILM507" s="28"/>
      <c r="ILN507" s="324"/>
      <c r="ILO507" s="324"/>
      <c r="ILP507" s="324"/>
      <c r="ILQ507" s="324"/>
      <c r="ILR507" s="324"/>
      <c r="ILS507" s="324"/>
      <c r="ILT507" s="256"/>
      <c r="ILU507" s="325"/>
      <c r="ILV507" s="311"/>
      <c r="ILW507" s="325"/>
      <c r="ILX507" s="310"/>
      <c r="ILY507" s="325"/>
      <c r="ILZ507" s="325"/>
      <c r="IMA507" s="325"/>
      <c r="IMB507" s="325"/>
      <c r="IMC507" s="325"/>
      <c r="IMD507" s="325"/>
      <c r="IME507" s="325"/>
      <c r="IMF507" s="325"/>
      <c r="IMG507" s="325"/>
      <c r="IMH507" s="325"/>
      <c r="IMI507" s="325"/>
      <c r="IMJ507" s="325"/>
      <c r="IMK507" s="325"/>
      <c r="IML507" s="325"/>
      <c r="IMM507" s="325"/>
      <c r="IMN507" s="325"/>
      <c r="IMO507" s="325"/>
      <c r="IMP507" s="325"/>
      <c r="IMQ507" s="325"/>
      <c r="IMR507" s="325"/>
      <c r="IMS507" s="325"/>
      <c r="IMT507" s="325"/>
      <c r="IMU507" s="325"/>
      <c r="IMV507" s="325"/>
      <c r="IMW507" s="325"/>
      <c r="IMX507" s="325"/>
      <c r="IMY507" s="325"/>
      <c r="IMZ507" s="325"/>
      <c r="INA507" s="325"/>
      <c r="INB507" s="325"/>
      <c r="INC507" s="327"/>
      <c r="IND507" s="28"/>
      <c r="INE507" s="324"/>
      <c r="INF507" s="324"/>
      <c r="ING507" s="324"/>
      <c r="INH507" s="324"/>
      <c r="INI507" s="324"/>
      <c r="INJ507" s="324"/>
      <c r="INK507" s="256"/>
      <c r="INL507" s="325"/>
      <c r="INM507" s="311"/>
      <c r="INN507" s="325"/>
      <c r="INO507" s="310"/>
      <c r="INP507" s="325"/>
      <c r="INQ507" s="325"/>
      <c r="INR507" s="325"/>
      <c r="INS507" s="325"/>
      <c r="INT507" s="325"/>
      <c r="INU507" s="325"/>
      <c r="INV507" s="325"/>
      <c r="INW507" s="325"/>
      <c r="INX507" s="325"/>
      <c r="INY507" s="325"/>
      <c r="INZ507" s="325"/>
      <c r="IOA507" s="325"/>
      <c r="IOB507" s="325"/>
      <c r="IOC507" s="325"/>
      <c r="IOD507" s="325"/>
      <c r="IOE507" s="325"/>
      <c r="IOF507" s="325"/>
      <c r="IOG507" s="325"/>
      <c r="IOH507" s="325"/>
      <c r="IOI507" s="325"/>
      <c r="IOJ507" s="325"/>
      <c r="IOK507" s="325"/>
      <c r="IOL507" s="325"/>
      <c r="IOM507" s="325"/>
      <c r="ION507" s="325"/>
      <c r="IOO507" s="325"/>
      <c r="IOP507" s="325"/>
      <c r="IOQ507" s="325"/>
      <c r="IOR507" s="325"/>
      <c r="IOS507" s="325"/>
      <c r="IOT507" s="327"/>
      <c r="IOU507" s="28"/>
      <c r="IOV507" s="324"/>
      <c r="IOW507" s="324"/>
      <c r="IOX507" s="324"/>
      <c r="IOY507" s="324"/>
      <c r="IOZ507" s="324"/>
      <c r="IPA507" s="324"/>
      <c r="IPB507" s="256"/>
      <c r="IPC507" s="325"/>
      <c r="IPD507" s="311"/>
      <c r="IPE507" s="325"/>
      <c r="IPF507" s="310"/>
      <c r="IPG507" s="325"/>
      <c r="IPH507" s="325"/>
      <c r="IPI507" s="325"/>
      <c r="IPJ507" s="325"/>
      <c r="IPK507" s="325"/>
      <c r="IPL507" s="325"/>
      <c r="IPM507" s="325"/>
      <c r="IPN507" s="325"/>
      <c r="IPO507" s="325"/>
      <c r="IPP507" s="325"/>
      <c r="IPQ507" s="325"/>
      <c r="IPR507" s="325"/>
      <c r="IPS507" s="325"/>
      <c r="IPT507" s="325"/>
      <c r="IPU507" s="325"/>
      <c r="IPV507" s="325"/>
      <c r="IPW507" s="325"/>
      <c r="IPX507" s="325"/>
      <c r="IPY507" s="325"/>
      <c r="IPZ507" s="325"/>
      <c r="IQA507" s="325"/>
      <c r="IQB507" s="325"/>
      <c r="IQC507" s="325"/>
      <c r="IQD507" s="325"/>
      <c r="IQE507" s="325"/>
      <c r="IQF507" s="325"/>
      <c r="IQG507" s="325"/>
      <c r="IQH507" s="325"/>
      <c r="IQI507" s="325"/>
      <c r="IQJ507" s="325"/>
      <c r="IQK507" s="327"/>
      <c r="IQL507" s="28"/>
      <c r="IQM507" s="324"/>
      <c r="IQN507" s="324"/>
      <c r="IQO507" s="324"/>
      <c r="IQP507" s="324"/>
      <c r="IQQ507" s="324"/>
      <c r="IQR507" s="324"/>
      <c r="IQS507" s="256"/>
      <c r="IQT507" s="325"/>
      <c r="IQU507" s="311"/>
      <c r="IQV507" s="325"/>
      <c r="IQW507" s="310"/>
      <c r="IQX507" s="325"/>
      <c r="IQY507" s="325"/>
      <c r="IQZ507" s="325"/>
      <c r="IRA507" s="325"/>
      <c r="IRB507" s="325"/>
      <c r="IRC507" s="325"/>
      <c r="IRD507" s="325"/>
      <c r="IRE507" s="325"/>
      <c r="IRF507" s="325"/>
      <c r="IRG507" s="325"/>
      <c r="IRH507" s="325"/>
      <c r="IRI507" s="325"/>
      <c r="IRJ507" s="325"/>
      <c r="IRK507" s="325"/>
      <c r="IRL507" s="325"/>
      <c r="IRM507" s="325"/>
      <c r="IRN507" s="325"/>
      <c r="IRO507" s="325"/>
      <c r="IRP507" s="325"/>
      <c r="IRQ507" s="325"/>
      <c r="IRR507" s="325"/>
      <c r="IRS507" s="325"/>
      <c r="IRT507" s="325"/>
      <c r="IRU507" s="325"/>
      <c r="IRV507" s="325"/>
      <c r="IRW507" s="325"/>
      <c r="IRX507" s="325"/>
      <c r="IRY507" s="325"/>
      <c r="IRZ507" s="325"/>
      <c r="ISA507" s="325"/>
      <c r="ISB507" s="327"/>
      <c r="ISC507" s="28"/>
      <c r="ISD507" s="324"/>
      <c r="ISE507" s="324"/>
      <c r="ISF507" s="324"/>
      <c r="ISG507" s="324"/>
      <c r="ISH507" s="324"/>
      <c r="ISI507" s="324"/>
      <c r="ISJ507" s="256"/>
      <c r="ISK507" s="325"/>
      <c r="ISL507" s="311"/>
      <c r="ISM507" s="325"/>
      <c r="ISN507" s="310"/>
      <c r="ISO507" s="325"/>
      <c r="ISP507" s="325"/>
      <c r="ISQ507" s="325"/>
      <c r="ISR507" s="325"/>
      <c r="ISS507" s="325"/>
      <c r="IST507" s="325"/>
      <c r="ISU507" s="325"/>
      <c r="ISV507" s="325"/>
      <c r="ISW507" s="325"/>
      <c r="ISX507" s="325"/>
      <c r="ISY507" s="325"/>
      <c r="ISZ507" s="325"/>
      <c r="ITA507" s="325"/>
      <c r="ITB507" s="325"/>
      <c r="ITC507" s="325"/>
      <c r="ITD507" s="325"/>
      <c r="ITE507" s="325"/>
      <c r="ITF507" s="325"/>
      <c r="ITG507" s="325"/>
      <c r="ITH507" s="325"/>
      <c r="ITI507" s="325"/>
      <c r="ITJ507" s="325"/>
      <c r="ITK507" s="325"/>
      <c r="ITL507" s="325"/>
      <c r="ITM507" s="325"/>
      <c r="ITN507" s="325"/>
      <c r="ITO507" s="325"/>
      <c r="ITP507" s="325"/>
      <c r="ITQ507" s="325"/>
      <c r="ITR507" s="325"/>
      <c r="ITS507" s="327"/>
      <c r="ITT507" s="28"/>
      <c r="ITU507" s="324"/>
      <c r="ITV507" s="324"/>
      <c r="ITW507" s="324"/>
      <c r="ITX507" s="324"/>
      <c r="ITY507" s="324"/>
      <c r="ITZ507" s="324"/>
      <c r="IUA507" s="256"/>
      <c r="IUB507" s="325"/>
      <c r="IUC507" s="311"/>
      <c r="IUD507" s="325"/>
      <c r="IUE507" s="310"/>
      <c r="IUF507" s="325"/>
      <c r="IUG507" s="325"/>
      <c r="IUH507" s="325"/>
      <c r="IUI507" s="325"/>
      <c r="IUJ507" s="325"/>
      <c r="IUK507" s="325"/>
      <c r="IUL507" s="325"/>
      <c r="IUM507" s="325"/>
      <c r="IUN507" s="325"/>
      <c r="IUO507" s="325"/>
      <c r="IUP507" s="325"/>
      <c r="IUQ507" s="325"/>
      <c r="IUR507" s="325"/>
      <c r="IUS507" s="325"/>
      <c r="IUT507" s="325"/>
      <c r="IUU507" s="325"/>
      <c r="IUV507" s="325"/>
      <c r="IUW507" s="325"/>
      <c r="IUX507" s="325"/>
      <c r="IUY507" s="325"/>
      <c r="IUZ507" s="325"/>
      <c r="IVA507" s="325"/>
      <c r="IVB507" s="325"/>
      <c r="IVC507" s="325"/>
      <c r="IVD507" s="325"/>
      <c r="IVE507" s="325"/>
      <c r="IVF507" s="325"/>
      <c r="IVG507" s="325"/>
      <c r="IVH507" s="325"/>
      <c r="IVI507" s="325"/>
      <c r="IVJ507" s="327"/>
      <c r="IVK507" s="28"/>
      <c r="IVL507" s="324"/>
      <c r="IVM507" s="324"/>
      <c r="IVN507" s="324"/>
      <c r="IVO507" s="324"/>
      <c r="IVP507" s="324"/>
      <c r="IVQ507" s="324"/>
      <c r="IVR507" s="256"/>
      <c r="IVS507" s="325"/>
      <c r="IVT507" s="311"/>
      <c r="IVU507" s="325"/>
      <c r="IVV507" s="310"/>
      <c r="IVW507" s="325"/>
      <c r="IVX507" s="325"/>
      <c r="IVY507" s="325"/>
      <c r="IVZ507" s="325"/>
      <c r="IWA507" s="325"/>
      <c r="IWB507" s="325"/>
      <c r="IWC507" s="325"/>
      <c r="IWD507" s="325"/>
      <c r="IWE507" s="325"/>
      <c r="IWF507" s="325"/>
      <c r="IWG507" s="325"/>
      <c r="IWH507" s="325"/>
      <c r="IWI507" s="325"/>
      <c r="IWJ507" s="325"/>
      <c r="IWK507" s="325"/>
      <c r="IWL507" s="325"/>
      <c r="IWM507" s="325"/>
      <c r="IWN507" s="325"/>
      <c r="IWO507" s="325"/>
      <c r="IWP507" s="325"/>
      <c r="IWQ507" s="325"/>
      <c r="IWR507" s="325"/>
      <c r="IWS507" s="325"/>
      <c r="IWT507" s="325"/>
      <c r="IWU507" s="325"/>
      <c r="IWV507" s="325"/>
      <c r="IWW507" s="325"/>
      <c r="IWX507" s="325"/>
      <c r="IWY507" s="325"/>
      <c r="IWZ507" s="325"/>
      <c r="IXA507" s="327"/>
      <c r="IXB507" s="28"/>
      <c r="IXC507" s="324"/>
      <c r="IXD507" s="324"/>
      <c r="IXE507" s="324"/>
      <c r="IXF507" s="324"/>
      <c r="IXG507" s="324"/>
      <c r="IXH507" s="324"/>
      <c r="IXI507" s="256"/>
      <c r="IXJ507" s="325"/>
      <c r="IXK507" s="311"/>
      <c r="IXL507" s="325"/>
      <c r="IXM507" s="310"/>
      <c r="IXN507" s="325"/>
      <c r="IXO507" s="325"/>
      <c r="IXP507" s="325"/>
      <c r="IXQ507" s="325"/>
      <c r="IXR507" s="325"/>
      <c r="IXS507" s="325"/>
      <c r="IXT507" s="325"/>
      <c r="IXU507" s="325"/>
      <c r="IXV507" s="325"/>
      <c r="IXW507" s="325"/>
      <c r="IXX507" s="325"/>
      <c r="IXY507" s="325"/>
      <c r="IXZ507" s="325"/>
      <c r="IYA507" s="325"/>
      <c r="IYB507" s="325"/>
      <c r="IYC507" s="325"/>
      <c r="IYD507" s="325"/>
      <c r="IYE507" s="325"/>
      <c r="IYF507" s="325"/>
      <c r="IYG507" s="325"/>
      <c r="IYH507" s="325"/>
      <c r="IYI507" s="325"/>
      <c r="IYJ507" s="325"/>
      <c r="IYK507" s="325"/>
      <c r="IYL507" s="325"/>
      <c r="IYM507" s="325"/>
      <c r="IYN507" s="325"/>
      <c r="IYO507" s="325"/>
      <c r="IYP507" s="325"/>
      <c r="IYQ507" s="325"/>
      <c r="IYR507" s="327"/>
      <c r="IYS507" s="28"/>
      <c r="IYT507" s="324"/>
      <c r="IYU507" s="324"/>
      <c r="IYV507" s="324"/>
      <c r="IYW507" s="324"/>
      <c r="IYX507" s="324"/>
      <c r="IYY507" s="324"/>
      <c r="IYZ507" s="256"/>
      <c r="IZA507" s="325"/>
      <c r="IZB507" s="311"/>
      <c r="IZC507" s="325"/>
      <c r="IZD507" s="310"/>
      <c r="IZE507" s="325"/>
      <c r="IZF507" s="325"/>
      <c r="IZG507" s="325"/>
      <c r="IZH507" s="325"/>
      <c r="IZI507" s="325"/>
      <c r="IZJ507" s="325"/>
      <c r="IZK507" s="325"/>
      <c r="IZL507" s="325"/>
      <c r="IZM507" s="325"/>
      <c r="IZN507" s="325"/>
      <c r="IZO507" s="325"/>
      <c r="IZP507" s="325"/>
      <c r="IZQ507" s="325"/>
      <c r="IZR507" s="325"/>
      <c r="IZS507" s="325"/>
      <c r="IZT507" s="325"/>
      <c r="IZU507" s="325"/>
      <c r="IZV507" s="325"/>
      <c r="IZW507" s="325"/>
      <c r="IZX507" s="325"/>
      <c r="IZY507" s="325"/>
      <c r="IZZ507" s="325"/>
      <c r="JAA507" s="325"/>
      <c r="JAB507" s="325"/>
      <c r="JAC507" s="325"/>
      <c r="JAD507" s="325"/>
      <c r="JAE507" s="325"/>
      <c r="JAF507" s="325"/>
      <c r="JAG507" s="325"/>
      <c r="JAH507" s="325"/>
      <c r="JAI507" s="327"/>
      <c r="JAJ507" s="28"/>
      <c r="JAK507" s="324"/>
      <c r="JAL507" s="324"/>
      <c r="JAM507" s="324"/>
      <c r="JAN507" s="324"/>
      <c r="JAO507" s="324"/>
      <c r="JAP507" s="324"/>
      <c r="JAQ507" s="256"/>
      <c r="JAR507" s="325"/>
      <c r="JAS507" s="311"/>
      <c r="JAT507" s="325"/>
      <c r="JAU507" s="310"/>
      <c r="JAV507" s="325"/>
      <c r="JAW507" s="325"/>
      <c r="JAX507" s="325"/>
      <c r="JAY507" s="325"/>
      <c r="JAZ507" s="325"/>
      <c r="JBA507" s="325"/>
      <c r="JBB507" s="325"/>
      <c r="JBC507" s="325"/>
      <c r="JBD507" s="325"/>
      <c r="JBE507" s="325"/>
      <c r="JBF507" s="325"/>
      <c r="JBG507" s="325"/>
      <c r="JBH507" s="325"/>
      <c r="JBI507" s="325"/>
      <c r="JBJ507" s="325"/>
      <c r="JBK507" s="325"/>
      <c r="JBL507" s="325"/>
      <c r="JBM507" s="325"/>
      <c r="JBN507" s="325"/>
      <c r="JBO507" s="325"/>
      <c r="JBP507" s="325"/>
      <c r="JBQ507" s="325"/>
      <c r="JBR507" s="325"/>
      <c r="JBS507" s="325"/>
      <c r="JBT507" s="325"/>
      <c r="JBU507" s="325"/>
      <c r="JBV507" s="325"/>
      <c r="JBW507" s="325"/>
      <c r="JBX507" s="325"/>
      <c r="JBY507" s="325"/>
      <c r="JBZ507" s="327"/>
      <c r="JCA507" s="28"/>
      <c r="JCB507" s="324"/>
      <c r="JCC507" s="324"/>
      <c r="JCD507" s="324"/>
      <c r="JCE507" s="324"/>
      <c r="JCF507" s="324"/>
      <c r="JCG507" s="324"/>
      <c r="JCH507" s="256"/>
      <c r="JCI507" s="325"/>
      <c r="JCJ507" s="311"/>
      <c r="JCK507" s="325"/>
      <c r="JCL507" s="310"/>
      <c r="JCM507" s="325"/>
      <c r="JCN507" s="325"/>
      <c r="JCO507" s="325"/>
      <c r="JCP507" s="325"/>
      <c r="JCQ507" s="325"/>
      <c r="JCR507" s="325"/>
      <c r="JCS507" s="325"/>
      <c r="JCT507" s="325"/>
      <c r="JCU507" s="325"/>
      <c r="JCV507" s="325"/>
      <c r="JCW507" s="325"/>
      <c r="JCX507" s="325"/>
      <c r="JCY507" s="325"/>
      <c r="JCZ507" s="325"/>
      <c r="JDA507" s="325"/>
      <c r="JDB507" s="325"/>
      <c r="JDC507" s="325"/>
      <c r="JDD507" s="325"/>
      <c r="JDE507" s="325"/>
      <c r="JDF507" s="325"/>
      <c r="JDG507" s="325"/>
      <c r="JDH507" s="325"/>
      <c r="JDI507" s="325"/>
      <c r="JDJ507" s="325"/>
      <c r="JDK507" s="325"/>
      <c r="JDL507" s="325"/>
      <c r="JDM507" s="325"/>
      <c r="JDN507" s="325"/>
      <c r="JDO507" s="325"/>
      <c r="JDP507" s="325"/>
      <c r="JDQ507" s="327"/>
      <c r="JDR507" s="28"/>
      <c r="JDS507" s="324"/>
      <c r="JDT507" s="324"/>
      <c r="JDU507" s="324"/>
      <c r="JDV507" s="324"/>
      <c r="JDW507" s="324"/>
      <c r="JDX507" s="324"/>
      <c r="JDY507" s="256"/>
      <c r="JDZ507" s="325"/>
      <c r="JEA507" s="311"/>
      <c r="JEB507" s="325"/>
      <c r="JEC507" s="310"/>
      <c r="JED507" s="325"/>
      <c r="JEE507" s="325"/>
      <c r="JEF507" s="325"/>
      <c r="JEG507" s="325"/>
      <c r="JEH507" s="325"/>
      <c r="JEI507" s="325"/>
      <c r="JEJ507" s="325"/>
      <c r="JEK507" s="325"/>
      <c r="JEL507" s="325"/>
      <c r="JEM507" s="325"/>
      <c r="JEN507" s="325"/>
      <c r="JEO507" s="325"/>
      <c r="JEP507" s="325"/>
      <c r="JEQ507" s="325"/>
      <c r="JER507" s="325"/>
      <c r="JES507" s="325"/>
      <c r="JET507" s="325"/>
      <c r="JEU507" s="325"/>
      <c r="JEV507" s="325"/>
      <c r="JEW507" s="325"/>
      <c r="JEX507" s="325"/>
      <c r="JEY507" s="325"/>
      <c r="JEZ507" s="325"/>
      <c r="JFA507" s="325"/>
      <c r="JFB507" s="325"/>
      <c r="JFC507" s="325"/>
      <c r="JFD507" s="325"/>
      <c r="JFE507" s="325"/>
      <c r="JFF507" s="325"/>
      <c r="JFG507" s="325"/>
      <c r="JFH507" s="327"/>
      <c r="JFI507" s="28"/>
      <c r="JFJ507" s="324"/>
      <c r="JFK507" s="324"/>
      <c r="JFL507" s="324"/>
      <c r="JFM507" s="324"/>
      <c r="JFN507" s="324"/>
      <c r="JFO507" s="324"/>
      <c r="JFP507" s="256"/>
      <c r="JFQ507" s="325"/>
      <c r="JFR507" s="311"/>
      <c r="JFS507" s="325"/>
      <c r="JFT507" s="310"/>
      <c r="JFU507" s="325"/>
      <c r="JFV507" s="325"/>
      <c r="JFW507" s="325"/>
      <c r="JFX507" s="325"/>
      <c r="JFY507" s="325"/>
      <c r="JFZ507" s="325"/>
      <c r="JGA507" s="325"/>
      <c r="JGB507" s="325"/>
      <c r="JGC507" s="325"/>
      <c r="JGD507" s="325"/>
      <c r="JGE507" s="325"/>
      <c r="JGF507" s="325"/>
      <c r="JGG507" s="325"/>
      <c r="JGH507" s="325"/>
      <c r="JGI507" s="325"/>
      <c r="JGJ507" s="325"/>
      <c r="JGK507" s="325"/>
      <c r="JGL507" s="325"/>
      <c r="JGM507" s="325"/>
      <c r="JGN507" s="325"/>
      <c r="JGO507" s="325"/>
      <c r="JGP507" s="325"/>
      <c r="JGQ507" s="325"/>
      <c r="JGR507" s="325"/>
      <c r="JGS507" s="325"/>
      <c r="JGT507" s="325"/>
      <c r="JGU507" s="325"/>
      <c r="JGV507" s="325"/>
      <c r="JGW507" s="325"/>
      <c r="JGX507" s="325"/>
      <c r="JGY507" s="327"/>
      <c r="JGZ507" s="28"/>
      <c r="JHA507" s="324"/>
      <c r="JHB507" s="324"/>
      <c r="JHC507" s="324"/>
      <c r="JHD507" s="324"/>
      <c r="JHE507" s="324"/>
      <c r="JHF507" s="324"/>
      <c r="JHG507" s="256"/>
      <c r="JHH507" s="325"/>
      <c r="JHI507" s="311"/>
      <c r="JHJ507" s="325"/>
      <c r="JHK507" s="310"/>
      <c r="JHL507" s="325"/>
      <c r="JHM507" s="325"/>
      <c r="JHN507" s="325"/>
      <c r="JHO507" s="325"/>
      <c r="JHP507" s="325"/>
      <c r="JHQ507" s="325"/>
      <c r="JHR507" s="325"/>
      <c r="JHS507" s="325"/>
      <c r="JHT507" s="325"/>
      <c r="JHU507" s="325"/>
      <c r="JHV507" s="325"/>
      <c r="JHW507" s="325"/>
      <c r="JHX507" s="325"/>
      <c r="JHY507" s="325"/>
      <c r="JHZ507" s="325"/>
      <c r="JIA507" s="325"/>
      <c r="JIB507" s="325"/>
      <c r="JIC507" s="325"/>
      <c r="JID507" s="325"/>
      <c r="JIE507" s="325"/>
      <c r="JIF507" s="325"/>
      <c r="JIG507" s="325"/>
      <c r="JIH507" s="325"/>
      <c r="JII507" s="325"/>
      <c r="JIJ507" s="325"/>
      <c r="JIK507" s="325"/>
      <c r="JIL507" s="325"/>
      <c r="JIM507" s="325"/>
      <c r="JIN507" s="325"/>
      <c r="JIO507" s="325"/>
      <c r="JIP507" s="327"/>
      <c r="JIQ507" s="28"/>
      <c r="JIR507" s="324"/>
      <c r="JIS507" s="324"/>
      <c r="JIT507" s="324"/>
      <c r="JIU507" s="324"/>
      <c r="JIV507" s="324"/>
      <c r="JIW507" s="324"/>
      <c r="JIX507" s="256"/>
      <c r="JIY507" s="325"/>
      <c r="JIZ507" s="311"/>
      <c r="JJA507" s="325"/>
      <c r="JJB507" s="310"/>
      <c r="JJC507" s="325"/>
      <c r="JJD507" s="325"/>
      <c r="JJE507" s="325"/>
      <c r="JJF507" s="325"/>
      <c r="JJG507" s="325"/>
      <c r="JJH507" s="325"/>
      <c r="JJI507" s="325"/>
      <c r="JJJ507" s="325"/>
      <c r="JJK507" s="325"/>
      <c r="JJL507" s="325"/>
      <c r="JJM507" s="325"/>
      <c r="JJN507" s="325"/>
      <c r="JJO507" s="325"/>
      <c r="JJP507" s="325"/>
      <c r="JJQ507" s="325"/>
      <c r="JJR507" s="325"/>
      <c r="JJS507" s="325"/>
      <c r="JJT507" s="325"/>
      <c r="JJU507" s="325"/>
      <c r="JJV507" s="325"/>
      <c r="JJW507" s="325"/>
      <c r="JJX507" s="325"/>
      <c r="JJY507" s="325"/>
      <c r="JJZ507" s="325"/>
      <c r="JKA507" s="325"/>
      <c r="JKB507" s="325"/>
      <c r="JKC507" s="325"/>
      <c r="JKD507" s="325"/>
      <c r="JKE507" s="325"/>
      <c r="JKF507" s="325"/>
      <c r="JKG507" s="327"/>
      <c r="JKH507" s="28"/>
      <c r="JKI507" s="324"/>
      <c r="JKJ507" s="324"/>
      <c r="JKK507" s="324"/>
      <c r="JKL507" s="324"/>
      <c r="JKM507" s="324"/>
      <c r="JKN507" s="324"/>
      <c r="JKO507" s="256"/>
      <c r="JKP507" s="325"/>
      <c r="JKQ507" s="311"/>
      <c r="JKR507" s="325"/>
      <c r="JKS507" s="310"/>
      <c r="JKT507" s="325"/>
      <c r="JKU507" s="325"/>
      <c r="JKV507" s="325"/>
      <c r="JKW507" s="325"/>
      <c r="JKX507" s="325"/>
      <c r="JKY507" s="325"/>
      <c r="JKZ507" s="325"/>
      <c r="JLA507" s="325"/>
      <c r="JLB507" s="325"/>
      <c r="JLC507" s="325"/>
      <c r="JLD507" s="325"/>
      <c r="JLE507" s="325"/>
      <c r="JLF507" s="325"/>
      <c r="JLG507" s="325"/>
      <c r="JLH507" s="325"/>
      <c r="JLI507" s="325"/>
      <c r="JLJ507" s="325"/>
      <c r="JLK507" s="325"/>
      <c r="JLL507" s="325"/>
      <c r="JLM507" s="325"/>
      <c r="JLN507" s="325"/>
      <c r="JLO507" s="325"/>
      <c r="JLP507" s="325"/>
      <c r="JLQ507" s="325"/>
      <c r="JLR507" s="325"/>
      <c r="JLS507" s="325"/>
      <c r="JLT507" s="325"/>
      <c r="JLU507" s="325"/>
      <c r="JLV507" s="325"/>
      <c r="JLW507" s="325"/>
      <c r="JLX507" s="327"/>
      <c r="JLY507" s="28"/>
      <c r="JLZ507" s="324"/>
      <c r="JMA507" s="324"/>
      <c r="JMB507" s="324"/>
      <c r="JMC507" s="324"/>
      <c r="JMD507" s="324"/>
      <c r="JME507" s="324"/>
      <c r="JMF507" s="256"/>
      <c r="JMG507" s="325"/>
      <c r="JMH507" s="311"/>
      <c r="JMI507" s="325"/>
      <c r="JMJ507" s="310"/>
      <c r="JMK507" s="325"/>
      <c r="JML507" s="325"/>
      <c r="JMM507" s="325"/>
      <c r="JMN507" s="325"/>
      <c r="JMO507" s="325"/>
      <c r="JMP507" s="325"/>
      <c r="JMQ507" s="325"/>
      <c r="JMR507" s="325"/>
      <c r="JMS507" s="325"/>
      <c r="JMT507" s="325"/>
      <c r="JMU507" s="325"/>
      <c r="JMV507" s="325"/>
      <c r="JMW507" s="325"/>
      <c r="JMX507" s="325"/>
      <c r="JMY507" s="325"/>
      <c r="JMZ507" s="325"/>
      <c r="JNA507" s="325"/>
      <c r="JNB507" s="325"/>
      <c r="JNC507" s="325"/>
      <c r="JND507" s="325"/>
      <c r="JNE507" s="325"/>
      <c r="JNF507" s="325"/>
      <c r="JNG507" s="325"/>
      <c r="JNH507" s="325"/>
      <c r="JNI507" s="325"/>
      <c r="JNJ507" s="325"/>
      <c r="JNK507" s="325"/>
      <c r="JNL507" s="325"/>
      <c r="JNM507" s="325"/>
      <c r="JNN507" s="325"/>
      <c r="JNO507" s="327"/>
      <c r="JNP507" s="28"/>
      <c r="JNQ507" s="324"/>
      <c r="JNR507" s="324"/>
      <c r="JNS507" s="324"/>
      <c r="JNT507" s="324"/>
      <c r="JNU507" s="324"/>
      <c r="JNV507" s="324"/>
      <c r="JNW507" s="256"/>
      <c r="JNX507" s="325"/>
      <c r="JNY507" s="311"/>
      <c r="JNZ507" s="325"/>
      <c r="JOA507" s="310"/>
      <c r="JOB507" s="325"/>
      <c r="JOC507" s="325"/>
      <c r="JOD507" s="325"/>
      <c r="JOE507" s="325"/>
      <c r="JOF507" s="325"/>
      <c r="JOG507" s="325"/>
      <c r="JOH507" s="325"/>
      <c r="JOI507" s="325"/>
      <c r="JOJ507" s="325"/>
      <c r="JOK507" s="325"/>
      <c r="JOL507" s="325"/>
      <c r="JOM507" s="325"/>
      <c r="JON507" s="325"/>
      <c r="JOO507" s="325"/>
      <c r="JOP507" s="325"/>
      <c r="JOQ507" s="325"/>
      <c r="JOR507" s="325"/>
      <c r="JOS507" s="325"/>
      <c r="JOT507" s="325"/>
      <c r="JOU507" s="325"/>
      <c r="JOV507" s="325"/>
      <c r="JOW507" s="325"/>
      <c r="JOX507" s="325"/>
      <c r="JOY507" s="325"/>
      <c r="JOZ507" s="325"/>
      <c r="JPA507" s="325"/>
      <c r="JPB507" s="325"/>
      <c r="JPC507" s="325"/>
      <c r="JPD507" s="325"/>
      <c r="JPE507" s="325"/>
      <c r="JPF507" s="327"/>
      <c r="JPG507" s="28"/>
      <c r="JPH507" s="324"/>
      <c r="JPI507" s="324"/>
      <c r="JPJ507" s="324"/>
      <c r="JPK507" s="324"/>
      <c r="JPL507" s="324"/>
      <c r="JPM507" s="324"/>
      <c r="JPN507" s="256"/>
      <c r="JPO507" s="325"/>
      <c r="JPP507" s="311"/>
      <c r="JPQ507" s="325"/>
      <c r="JPR507" s="310"/>
      <c r="JPS507" s="325"/>
      <c r="JPT507" s="325"/>
      <c r="JPU507" s="325"/>
      <c r="JPV507" s="325"/>
      <c r="JPW507" s="325"/>
      <c r="JPX507" s="325"/>
      <c r="JPY507" s="325"/>
      <c r="JPZ507" s="325"/>
      <c r="JQA507" s="325"/>
      <c r="JQB507" s="325"/>
      <c r="JQC507" s="325"/>
      <c r="JQD507" s="325"/>
      <c r="JQE507" s="325"/>
      <c r="JQF507" s="325"/>
      <c r="JQG507" s="325"/>
      <c r="JQH507" s="325"/>
      <c r="JQI507" s="325"/>
      <c r="JQJ507" s="325"/>
      <c r="JQK507" s="325"/>
      <c r="JQL507" s="325"/>
      <c r="JQM507" s="325"/>
      <c r="JQN507" s="325"/>
      <c r="JQO507" s="325"/>
      <c r="JQP507" s="325"/>
      <c r="JQQ507" s="325"/>
      <c r="JQR507" s="325"/>
      <c r="JQS507" s="325"/>
      <c r="JQT507" s="325"/>
      <c r="JQU507" s="325"/>
      <c r="JQV507" s="325"/>
      <c r="JQW507" s="327"/>
      <c r="JQX507" s="28"/>
      <c r="JQY507" s="324"/>
      <c r="JQZ507" s="324"/>
      <c r="JRA507" s="324"/>
      <c r="JRB507" s="324"/>
      <c r="JRC507" s="324"/>
      <c r="JRD507" s="324"/>
      <c r="JRE507" s="256"/>
      <c r="JRF507" s="325"/>
      <c r="JRG507" s="311"/>
      <c r="JRH507" s="325"/>
      <c r="JRI507" s="310"/>
      <c r="JRJ507" s="325"/>
      <c r="JRK507" s="325"/>
      <c r="JRL507" s="325"/>
      <c r="JRM507" s="325"/>
      <c r="JRN507" s="325"/>
      <c r="JRO507" s="325"/>
      <c r="JRP507" s="325"/>
      <c r="JRQ507" s="325"/>
      <c r="JRR507" s="325"/>
      <c r="JRS507" s="325"/>
      <c r="JRT507" s="325"/>
      <c r="JRU507" s="325"/>
      <c r="JRV507" s="325"/>
      <c r="JRW507" s="325"/>
      <c r="JRX507" s="325"/>
      <c r="JRY507" s="325"/>
      <c r="JRZ507" s="325"/>
      <c r="JSA507" s="325"/>
      <c r="JSB507" s="325"/>
      <c r="JSC507" s="325"/>
      <c r="JSD507" s="325"/>
      <c r="JSE507" s="325"/>
      <c r="JSF507" s="325"/>
      <c r="JSG507" s="325"/>
      <c r="JSH507" s="325"/>
      <c r="JSI507" s="325"/>
      <c r="JSJ507" s="325"/>
      <c r="JSK507" s="325"/>
      <c r="JSL507" s="325"/>
      <c r="JSM507" s="325"/>
      <c r="JSN507" s="327"/>
      <c r="JSO507" s="28"/>
      <c r="JSP507" s="324"/>
      <c r="JSQ507" s="324"/>
      <c r="JSR507" s="324"/>
      <c r="JSS507" s="324"/>
      <c r="JST507" s="324"/>
      <c r="JSU507" s="324"/>
      <c r="JSV507" s="256"/>
      <c r="JSW507" s="325"/>
      <c r="JSX507" s="311"/>
      <c r="JSY507" s="325"/>
      <c r="JSZ507" s="310"/>
      <c r="JTA507" s="325"/>
      <c r="JTB507" s="325"/>
      <c r="JTC507" s="325"/>
      <c r="JTD507" s="325"/>
      <c r="JTE507" s="325"/>
      <c r="JTF507" s="325"/>
      <c r="JTG507" s="325"/>
      <c r="JTH507" s="325"/>
      <c r="JTI507" s="325"/>
      <c r="JTJ507" s="325"/>
      <c r="JTK507" s="325"/>
      <c r="JTL507" s="325"/>
      <c r="JTM507" s="325"/>
      <c r="JTN507" s="325"/>
      <c r="JTO507" s="325"/>
      <c r="JTP507" s="325"/>
      <c r="JTQ507" s="325"/>
      <c r="JTR507" s="325"/>
      <c r="JTS507" s="325"/>
      <c r="JTT507" s="325"/>
      <c r="JTU507" s="325"/>
      <c r="JTV507" s="325"/>
      <c r="JTW507" s="325"/>
      <c r="JTX507" s="325"/>
      <c r="JTY507" s="325"/>
      <c r="JTZ507" s="325"/>
      <c r="JUA507" s="325"/>
      <c r="JUB507" s="325"/>
      <c r="JUC507" s="325"/>
      <c r="JUD507" s="325"/>
      <c r="JUE507" s="327"/>
      <c r="JUF507" s="28"/>
      <c r="JUG507" s="324"/>
      <c r="JUH507" s="324"/>
      <c r="JUI507" s="324"/>
      <c r="JUJ507" s="324"/>
      <c r="JUK507" s="324"/>
      <c r="JUL507" s="324"/>
      <c r="JUM507" s="256"/>
      <c r="JUN507" s="325"/>
      <c r="JUO507" s="311"/>
      <c r="JUP507" s="325"/>
      <c r="JUQ507" s="310"/>
      <c r="JUR507" s="325"/>
      <c r="JUS507" s="325"/>
      <c r="JUT507" s="325"/>
      <c r="JUU507" s="325"/>
      <c r="JUV507" s="325"/>
      <c r="JUW507" s="325"/>
      <c r="JUX507" s="325"/>
      <c r="JUY507" s="325"/>
      <c r="JUZ507" s="325"/>
      <c r="JVA507" s="325"/>
      <c r="JVB507" s="325"/>
      <c r="JVC507" s="325"/>
      <c r="JVD507" s="325"/>
      <c r="JVE507" s="325"/>
      <c r="JVF507" s="325"/>
      <c r="JVG507" s="325"/>
      <c r="JVH507" s="325"/>
      <c r="JVI507" s="325"/>
      <c r="JVJ507" s="325"/>
      <c r="JVK507" s="325"/>
      <c r="JVL507" s="325"/>
      <c r="JVM507" s="325"/>
      <c r="JVN507" s="325"/>
      <c r="JVO507" s="325"/>
      <c r="JVP507" s="325"/>
      <c r="JVQ507" s="325"/>
      <c r="JVR507" s="325"/>
      <c r="JVS507" s="325"/>
      <c r="JVT507" s="325"/>
      <c r="JVU507" s="325"/>
      <c r="JVV507" s="327"/>
      <c r="JVW507" s="28"/>
      <c r="JVX507" s="324"/>
      <c r="JVY507" s="324"/>
      <c r="JVZ507" s="324"/>
      <c r="JWA507" s="324"/>
      <c r="JWB507" s="324"/>
      <c r="JWC507" s="324"/>
      <c r="JWD507" s="256"/>
      <c r="JWE507" s="325"/>
      <c r="JWF507" s="311"/>
      <c r="JWG507" s="325"/>
      <c r="JWH507" s="310"/>
      <c r="JWI507" s="325"/>
      <c r="JWJ507" s="325"/>
      <c r="JWK507" s="325"/>
      <c r="JWL507" s="325"/>
      <c r="JWM507" s="325"/>
      <c r="JWN507" s="325"/>
      <c r="JWO507" s="325"/>
      <c r="JWP507" s="325"/>
      <c r="JWQ507" s="325"/>
      <c r="JWR507" s="325"/>
      <c r="JWS507" s="325"/>
      <c r="JWT507" s="325"/>
      <c r="JWU507" s="325"/>
      <c r="JWV507" s="325"/>
      <c r="JWW507" s="325"/>
      <c r="JWX507" s="325"/>
      <c r="JWY507" s="325"/>
      <c r="JWZ507" s="325"/>
      <c r="JXA507" s="325"/>
      <c r="JXB507" s="325"/>
      <c r="JXC507" s="325"/>
      <c r="JXD507" s="325"/>
      <c r="JXE507" s="325"/>
      <c r="JXF507" s="325"/>
      <c r="JXG507" s="325"/>
      <c r="JXH507" s="325"/>
      <c r="JXI507" s="325"/>
      <c r="JXJ507" s="325"/>
      <c r="JXK507" s="325"/>
      <c r="JXL507" s="325"/>
      <c r="JXM507" s="327"/>
      <c r="JXN507" s="28"/>
      <c r="JXO507" s="324"/>
      <c r="JXP507" s="324"/>
      <c r="JXQ507" s="324"/>
      <c r="JXR507" s="324"/>
      <c r="JXS507" s="324"/>
      <c r="JXT507" s="324"/>
      <c r="JXU507" s="256"/>
      <c r="JXV507" s="325"/>
      <c r="JXW507" s="311"/>
      <c r="JXX507" s="325"/>
      <c r="JXY507" s="310"/>
      <c r="JXZ507" s="325"/>
      <c r="JYA507" s="325"/>
      <c r="JYB507" s="325"/>
      <c r="JYC507" s="325"/>
      <c r="JYD507" s="325"/>
      <c r="JYE507" s="325"/>
      <c r="JYF507" s="325"/>
      <c r="JYG507" s="325"/>
      <c r="JYH507" s="325"/>
      <c r="JYI507" s="325"/>
      <c r="JYJ507" s="325"/>
      <c r="JYK507" s="325"/>
      <c r="JYL507" s="325"/>
      <c r="JYM507" s="325"/>
      <c r="JYN507" s="325"/>
      <c r="JYO507" s="325"/>
      <c r="JYP507" s="325"/>
      <c r="JYQ507" s="325"/>
      <c r="JYR507" s="325"/>
      <c r="JYS507" s="325"/>
      <c r="JYT507" s="325"/>
      <c r="JYU507" s="325"/>
      <c r="JYV507" s="325"/>
      <c r="JYW507" s="325"/>
      <c r="JYX507" s="325"/>
      <c r="JYY507" s="325"/>
      <c r="JYZ507" s="325"/>
      <c r="JZA507" s="325"/>
      <c r="JZB507" s="325"/>
      <c r="JZC507" s="325"/>
      <c r="JZD507" s="327"/>
      <c r="JZE507" s="28"/>
      <c r="JZF507" s="324"/>
      <c r="JZG507" s="324"/>
      <c r="JZH507" s="324"/>
      <c r="JZI507" s="324"/>
      <c r="JZJ507" s="324"/>
      <c r="JZK507" s="324"/>
      <c r="JZL507" s="256"/>
      <c r="JZM507" s="325"/>
      <c r="JZN507" s="311"/>
      <c r="JZO507" s="325"/>
      <c r="JZP507" s="310"/>
      <c r="JZQ507" s="325"/>
      <c r="JZR507" s="325"/>
      <c r="JZS507" s="325"/>
      <c r="JZT507" s="325"/>
      <c r="JZU507" s="325"/>
      <c r="JZV507" s="325"/>
      <c r="JZW507" s="325"/>
      <c r="JZX507" s="325"/>
      <c r="JZY507" s="325"/>
      <c r="JZZ507" s="325"/>
      <c r="KAA507" s="325"/>
      <c r="KAB507" s="325"/>
      <c r="KAC507" s="325"/>
      <c r="KAD507" s="325"/>
      <c r="KAE507" s="325"/>
      <c r="KAF507" s="325"/>
      <c r="KAG507" s="325"/>
      <c r="KAH507" s="325"/>
      <c r="KAI507" s="325"/>
      <c r="KAJ507" s="325"/>
      <c r="KAK507" s="325"/>
      <c r="KAL507" s="325"/>
      <c r="KAM507" s="325"/>
      <c r="KAN507" s="325"/>
      <c r="KAO507" s="325"/>
      <c r="KAP507" s="325"/>
      <c r="KAQ507" s="325"/>
      <c r="KAR507" s="325"/>
      <c r="KAS507" s="325"/>
      <c r="KAT507" s="325"/>
      <c r="KAU507" s="327"/>
      <c r="KAV507" s="28"/>
      <c r="KAW507" s="324"/>
      <c r="KAX507" s="324"/>
      <c r="KAY507" s="324"/>
      <c r="KAZ507" s="324"/>
      <c r="KBA507" s="324"/>
      <c r="KBB507" s="324"/>
      <c r="KBC507" s="256"/>
      <c r="KBD507" s="325"/>
      <c r="KBE507" s="311"/>
      <c r="KBF507" s="325"/>
      <c r="KBG507" s="310"/>
      <c r="KBH507" s="325"/>
      <c r="KBI507" s="325"/>
      <c r="KBJ507" s="325"/>
      <c r="KBK507" s="325"/>
      <c r="KBL507" s="325"/>
      <c r="KBM507" s="325"/>
      <c r="KBN507" s="325"/>
      <c r="KBO507" s="325"/>
      <c r="KBP507" s="325"/>
      <c r="KBQ507" s="325"/>
      <c r="KBR507" s="325"/>
      <c r="KBS507" s="325"/>
      <c r="KBT507" s="325"/>
      <c r="KBU507" s="325"/>
      <c r="KBV507" s="325"/>
      <c r="KBW507" s="325"/>
      <c r="KBX507" s="325"/>
      <c r="KBY507" s="325"/>
      <c r="KBZ507" s="325"/>
      <c r="KCA507" s="325"/>
      <c r="KCB507" s="325"/>
      <c r="KCC507" s="325"/>
      <c r="KCD507" s="325"/>
      <c r="KCE507" s="325"/>
      <c r="KCF507" s="325"/>
      <c r="KCG507" s="325"/>
      <c r="KCH507" s="325"/>
      <c r="KCI507" s="325"/>
      <c r="KCJ507" s="325"/>
      <c r="KCK507" s="325"/>
      <c r="KCL507" s="327"/>
      <c r="KCM507" s="28"/>
      <c r="KCN507" s="324"/>
      <c r="KCO507" s="324"/>
      <c r="KCP507" s="324"/>
      <c r="KCQ507" s="324"/>
      <c r="KCR507" s="324"/>
      <c r="KCS507" s="324"/>
      <c r="KCT507" s="256"/>
      <c r="KCU507" s="325"/>
      <c r="KCV507" s="311"/>
      <c r="KCW507" s="325"/>
      <c r="KCX507" s="310"/>
      <c r="KCY507" s="325"/>
      <c r="KCZ507" s="325"/>
      <c r="KDA507" s="325"/>
      <c r="KDB507" s="325"/>
      <c r="KDC507" s="325"/>
      <c r="KDD507" s="325"/>
      <c r="KDE507" s="325"/>
      <c r="KDF507" s="325"/>
      <c r="KDG507" s="325"/>
      <c r="KDH507" s="325"/>
      <c r="KDI507" s="325"/>
      <c r="KDJ507" s="325"/>
      <c r="KDK507" s="325"/>
      <c r="KDL507" s="325"/>
      <c r="KDM507" s="325"/>
      <c r="KDN507" s="325"/>
      <c r="KDO507" s="325"/>
      <c r="KDP507" s="325"/>
      <c r="KDQ507" s="325"/>
      <c r="KDR507" s="325"/>
      <c r="KDS507" s="325"/>
      <c r="KDT507" s="325"/>
      <c r="KDU507" s="325"/>
      <c r="KDV507" s="325"/>
      <c r="KDW507" s="325"/>
      <c r="KDX507" s="325"/>
      <c r="KDY507" s="325"/>
      <c r="KDZ507" s="325"/>
      <c r="KEA507" s="325"/>
      <c r="KEB507" s="325"/>
      <c r="KEC507" s="327"/>
      <c r="KED507" s="28"/>
      <c r="KEE507" s="324"/>
      <c r="KEF507" s="324"/>
      <c r="KEG507" s="324"/>
      <c r="KEH507" s="324"/>
      <c r="KEI507" s="324"/>
      <c r="KEJ507" s="324"/>
      <c r="KEK507" s="256"/>
      <c r="KEL507" s="325"/>
      <c r="KEM507" s="311"/>
      <c r="KEN507" s="325"/>
      <c r="KEO507" s="310"/>
      <c r="KEP507" s="325"/>
      <c r="KEQ507" s="325"/>
      <c r="KER507" s="325"/>
      <c r="KES507" s="325"/>
      <c r="KET507" s="325"/>
      <c r="KEU507" s="325"/>
      <c r="KEV507" s="325"/>
      <c r="KEW507" s="325"/>
      <c r="KEX507" s="325"/>
      <c r="KEY507" s="325"/>
      <c r="KEZ507" s="325"/>
      <c r="KFA507" s="325"/>
      <c r="KFB507" s="325"/>
      <c r="KFC507" s="325"/>
      <c r="KFD507" s="325"/>
      <c r="KFE507" s="325"/>
      <c r="KFF507" s="325"/>
      <c r="KFG507" s="325"/>
      <c r="KFH507" s="325"/>
      <c r="KFI507" s="325"/>
      <c r="KFJ507" s="325"/>
      <c r="KFK507" s="325"/>
      <c r="KFL507" s="325"/>
      <c r="KFM507" s="325"/>
      <c r="KFN507" s="325"/>
      <c r="KFO507" s="325"/>
      <c r="KFP507" s="325"/>
      <c r="KFQ507" s="325"/>
      <c r="KFR507" s="325"/>
      <c r="KFS507" s="325"/>
      <c r="KFT507" s="327"/>
      <c r="KFU507" s="28"/>
      <c r="KFV507" s="324"/>
      <c r="KFW507" s="324"/>
      <c r="KFX507" s="324"/>
      <c r="KFY507" s="324"/>
      <c r="KFZ507" s="324"/>
      <c r="KGA507" s="324"/>
      <c r="KGB507" s="256"/>
      <c r="KGC507" s="325"/>
      <c r="KGD507" s="311"/>
      <c r="KGE507" s="325"/>
      <c r="KGF507" s="310"/>
      <c r="KGG507" s="325"/>
      <c r="KGH507" s="325"/>
      <c r="KGI507" s="325"/>
      <c r="KGJ507" s="325"/>
      <c r="KGK507" s="325"/>
      <c r="KGL507" s="325"/>
      <c r="KGM507" s="325"/>
      <c r="KGN507" s="325"/>
      <c r="KGO507" s="325"/>
      <c r="KGP507" s="325"/>
      <c r="KGQ507" s="325"/>
      <c r="KGR507" s="325"/>
      <c r="KGS507" s="325"/>
      <c r="KGT507" s="325"/>
      <c r="KGU507" s="325"/>
      <c r="KGV507" s="325"/>
      <c r="KGW507" s="325"/>
      <c r="KGX507" s="325"/>
      <c r="KGY507" s="325"/>
      <c r="KGZ507" s="325"/>
      <c r="KHA507" s="325"/>
      <c r="KHB507" s="325"/>
      <c r="KHC507" s="325"/>
      <c r="KHD507" s="325"/>
      <c r="KHE507" s="325"/>
      <c r="KHF507" s="325"/>
      <c r="KHG507" s="325"/>
      <c r="KHH507" s="325"/>
      <c r="KHI507" s="325"/>
      <c r="KHJ507" s="325"/>
      <c r="KHK507" s="327"/>
      <c r="KHL507" s="28"/>
      <c r="KHM507" s="324"/>
      <c r="KHN507" s="324"/>
      <c r="KHO507" s="324"/>
      <c r="KHP507" s="324"/>
      <c r="KHQ507" s="324"/>
      <c r="KHR507" s="324"/>
      <c r="KHS507" s="256"/>
      <c r="KHT507" s="325"/>
      <c r="KHU507" s="311"/>
      <c r="KHV507" s="325"/>
      <c r="KHW507" s="310"/>
      <c r="KHX507" s="325"/>
      <c r="KHY507" s="325"/>
      <c r="KHZ507" s="325"/>
      <c r="KIA507" s="325"/>
      <c r="KIB507" s="325"/>
      <c r="KIC507" s="325"/>
      <c r="KID507" s="325"/>
      <c r="KIE507" s="325"/>
      <c r="KIF507" s="325"/>
      <c r="KIG507" s="325"/>
      <c r="KIH507" s="325"/>
      <c r="KII507" s="325"/>
      <c r="KIJ507" s="325"/>
      <c r="KIK507" s="325"/>
      <c r="KIL507" s="325"/>
      <c r="KIM507" s="325"/>
      <c r="KIN507" s="325"/>
      <c r="KIO507" s="325"/>
      <c r="KIP507" s="325"/>
      <c r="KIQ507" s="325"/>
      <c r="KIR507" s="325"/>
      <c r="KIS507" s="325"/>
      <c r="KIT507" s="325"/>
      <c r="KIU507" s="325"/>
      <c r="KIV507" s="325"/>
      <c r="KIW507" s="325"/>
      <c r="KIX507" s="325"/>
      <c r="KIY507" s="325"/>
      <c r="KIZ507" s="325"/>
      <c r="KJA507" s="325"/>
      <c r="KJB507" s="327"/>
      <c r="KJC507" s="28"/>
      <c r="KJD507" s="324"/>
      <c r="KJE507" s="324"/>
      <c r="KJF507" s="324"/>
      <c r="KJG507" s="324"/>
      <c r="KJH507" s="324"/>
      <c r="KJI507" s="324"/>
      <c r="KJJ507" s="256"/>
      <c r="KJK507" s="325"/>
      <c r="KJL507" s="311"/>
      <c r="KJM507" s="325"/>
      <c r="KJN507" s="310"/>
      <c r="KJO507" s="325"/>
      <c r="KJP507" s="325"/>
      <c r="KJQ507" s="325"/>
      <c r="KJR507" s="325"/>
      <c r="KJS507" s="325"/>
      <c r="KJT507" s="325"/>
      <c r="KJU507" s="325"/>
      <c r="KJV507" s="325"/>
      <c r="KJW507" s="325"/>
      <c r="KJX507" s="325"/>
      <c r="KJY507" s="325"/>
      <c r="KJZ507" s="325"/>
      <c r="KKA507" s="325"/>
      <c r="KKB507" s="325"/>
      <c r="KKC507" s="325"/>
      <c r="KKD507" s="325"/>
      <c r="KKE507" s="325"/>
      <c r="KKF507" s="325"/>
      <c r="KKG507" s="325"/>
      <c r="KKH507" s="325"/>
      <c r="KKI507" s="325"/>
      <c r="KKJ507" s="325"/>
      <c r="KKK507" s="325"/>
      <c r="KKL507" s="325"/>
      <c r="KKM507" s="325"/>
      <c r="KKN507" s="325"/>
      <c r="KKO507" s="325"/>
      <c r="KKP507" s="325"/>
      <c r="KKQ507" s="325"/>
      <c r="KKR507" s="325"/>
      <c r="KKS507" s="327"/>
      <c r="KKT507" s="28"/>
      <c r="KKU507" s="324"/>
      <c r="KKV507" s="324"/>
      <c r="KKW507" s="324"/>
      <c r="KKX507" s="324"/>
      <c r="KKY507" s="324"/>
      <c r="KKZ507" s="324"/>
      <c r="KLA507" s="256"/>
      <c r="KLB507" s="325"/>
      <c r="KLC507" s="311"/>
      <c r="KLD507" s="325"/>
      <c r="KLE507" s="310"/>
      <c r="KLF507" s="325"/>
      <c r="KLG507" s="325"/>
      <c r="KLH507" s="325"/>
      <c r="KLI507" s="325"/>
      <c r="KLJ507" s="325"/>
      <c r="KLK507" s="325"/>
      <c r="KLL507" s="325"/>
      <c r="KLM507" s="325"/>
      <c r="KLN507" s="325"/>
      <c r="KLO507" s="325"/>
      <c r="KLP507" s="325"/>
      <c r="KLQ507" s="325"/>
      <c r="KLR507" s="325"/>
      <c r="KLS507" s="325"/>
      <c r="KLT507" s="325"/>
      <c r="KLU507" s="325"/>
      <c r="KLV507" s="325"/>
      <c r="KLW507" s="325"/>
      <c r="KLX507" s="325"/>
      <c r="KLY507" s="325"/>
      <c r="KLZ507" s="325"/>
      <c r="KMA507" s="325"/>
      <c r="KMB507" s="325"/>
      <c r="KMC507" s="325"/>
      <c r="KMD507" s="325"/>
      <c r="KME507" s="325"/>
      <c r="KMF507" s="325"/>
      <c r="KMG507" s="325"/>
      <c r="KMH507" s="325"/>
      <c r="KMI507" s="325"/>
      <c r="KMJ507" s="327"/>
      <c r="KMK507" s="28"/>
      <c r="KML507" s="324"/>
      <c r="KMM507" s="324"/>
      <c r="KMN507" s="324"/>
      <c r="KMO507" s="324"/>
      <c r="KMP507" s="324"/>
      <c r="KMQ507" s="324"/>
      <c r="KMR507" s="256"/>
      <c r="KMS507" s="325"/>
      <c r="KMT507" s="311"/>
      <c r="KMU507" s="325"/>
      <c r="KMV507" s="310"/>
      <c r="KMW507" s="325"/>
      <c r="KMX507" s="325"/>
      <c r="KMY507" s="325"/>
      <c r="KMZ507" s="325"/>
      <c r="KNA507" s="325"/>
      <c r="KNB507" s="325"/>
      <c r="KNC507" s="325"/>
      <c r="KND507" s="325"/>
      <c r="KNE507" s="325"/>
      <c r="KNF507" s="325"/>
      <c r="KNG507" s="325"/>
      <c r="KNH507" s="325"/>
      <c r="KNI507" s="325"/>
      <c r="KNJ507" s="325"/>
      <c r="KNK507" s="325"/>
      <c r="KNL507" s="325"/>
      <c r="KNM507" s="325"/>
      <c r="KNN507" s="325"/>
      <c r="KNO507" s="325"/>
      <c r="KNP507" s="325"/>
      <c r="KNQ507" s="325"/>
      <c r="KNR507" s="325"/>
      <c r="KNS507" s="325"/>
      <c r="KNT507" s="325"/>
      <c r="KNU507" s="325"/>
      <c r="KNV507" s="325"/>
      <c r="KNW507" s="325"/>
      <c r="KNX507" s="325"/>
      <c r="KNY507" s="325"/>
      <c r="KNZ507" s="325"/>
      <c r="KOA507" s="327"/>
      <c r="KOB507" s="28"/>
      <c r="KOC507" s="324"/>
      <c r="KOD507" s="324"/>
      <c r="KOE507" s="324"/>
      <c r="KOF507" s="324"/>
      <c r="KOG507" s="324"/>
      <c r="KOH507" s="324"/>
      <c r="KOI507" s="256"/>
      <c r="KOJ507" s="325"/>
      <c r="KOK507" s="311"/>
      <c r="KOL507" s="325"/>
      <c r="KOM507" s="310"/>
      <c r="KON507" s="325"/>
      <c r="KOO507" s="325"/>
      <c r="KOP507" s="325"/>
      <c r="KOQ507" s="325"/>
      <c r="KOR507" s="325"/>
      <c r="KOS507" s="325"/>
      <c r="KOT507" s="325"/>
      <c r="KOU507" s="325"/>
      <c r="KOV507" s="325"/>
      <c r="KOW507" s="325"/>
      <c r="KOX507" s="325"/>
      <c r="KOY507" s="325"/>
      <c r="KOZ507" s="325"/>
      <c r="KPA507" s="325"/>
      <c r="KPB507" s="325"/>
      <c r="KPC507" s="325"/>
      <c r="KPD507" s="325"/>
      <c r="KPE507" s="325"/>
      <c r="KPF507" s="325"/>
      <c r="KPG507" s="325"/>
      <c r="KPH507" s="325"/>
      <c r="KPI507" s="325"/>
      <c r="KPJ507" s="325"/>
      <c r="KPK507" s="325"/>
      <c r="KPL507" s="325"/>
      <c r="KPM507" s="325"/>
      <c r="KPN507" s="325"/>
      <c r="KPO507" s="325"/>
      <c r="KPP507" s="325"/>
      <c r="KPQ507" s="325"/>
      <c r="KPR507" s="327"/>
      <c r="KPS507" s="28"/>
      <c r="KPT507" s="324"/>
      <c r="KPU507" s="324"/>
      <c r="KPV507" s="324"/>
      <c r="KPW507" s="324"/>
      <c r="KPX507" s="324"/>
      <c r="KPY507" s="324"/>
      <c r="KPZ507" s="256"/>
      <c r="KQA507" s="325"/>
      <c r="KQB507" s="311"/>
      <c r="KQC507" s="325"/>
      <c r="KQD507" s="310"/>
      <c r="KQE507" s="325"/>
      <c r="KQF507" s="325"/>
      <c r="KQG507" s="325"/>
      <c r="KQH507" s="325"/>
      <c r="KQI507" s="325"/>
      <c r="KQJ507" s="325"/>
      <c r="KQK507" s="325"/>
      <c r="KQL507" s="325"/>
      <c r="KQM507" s="325"/>
      <c r="KQN507" s="325"/>
      <c r="KQO507" s="325"/>
      <c r="KQP507" s="325"/>
      <c r="KQQ507" s="325"/>
      <c r="KQR507" s="325"/>
      <c r="KQS507" s="325"/>
      <c r="KQT507" s="325"/>
      <c r="KQU507" s="325"/>
      <c r="KQV507" s="325"/>
      <c r="KQW507" s="325"/>
      <c r="KQX507" s="325"/>
      <c r="KQY507" s="325"/>
      <c r="KQZ507" s="325"/>
      <c r="KRA507" s="325"/>
      <c r="KRB507" s="325"/>
      <c r="KRC507" s="325"/>
      <c r="KRD507" s="325"/>
      <c r="KRE507" s="325"/>
      <c r="KRF507" s="325"/>
      <c r="KRG507" s="325"/>
      <c r="KRH507" s="325"/>
      <c r="KRI507" s="327"/>
      <c r="KRJ507" s="28"/>
      <c r="KRK507" s="324"/>
      <c r="KRL507" s="324"/>
      <c r="KRM507" s="324"/>
      <c r="KRN507" s="324"/>
      <c r="KRO507" s="324"/>
      <c r="KRP507" s="324"/>
      <c r="KRQ507" s="256"/>
      <c r="KRR507" s="325"/>
      <c r="KRS507" s="311"/>
      <c r="KRT507" s="325"/>
      <c r="KRU507" s="310"/>
      <c r="KRV507" s="325"/>
      <c r="KRW507" s="325"/>
      <c r="KRX507" s="325"/>
      <c r="KRY507" s="325"/>
      <c r="KRZ507" s="325"/>
      <c r="KSA507" s="325"/>
      <c r="KSB507" s="325"/>
      <c r="KSC507" s="325"/>
      <c r="KSD507" s="325"/>
      <c r="KSE507" s="325"/>
      <c r="KSF507" s="325"/>
      <c r="KSG507" s="325"/>
      <c r="KSH507" s="325"/>
      <c r="KSI507" s="325"/>
      <c r="KSJ507" s="325"/>
      <c r="KSK507" s="325"/>
      <c r="KSL507" s="325"/>
      <c r="KSM507" s="325"/>
      <c r="KSN507" s="325"/>
      <c r="KSO507" s="325"/>
      <c r="KSP507" s="325"/>
      <c r="KSQ507" s="325"/>
      <c r="KSR507" s="325"/>
      <c r="KSS507" s="325"/>
      <c r="KST507" s="325"/>
      <c r="KSU507" s="325"/>
      <c r="KSV507" s="325"/>
      <c r="KSW507" s="325"/>
      <c r="KSX507" s="325"/>
      <c r="KSY507" s="325"/>
      <c r="KSZ507" s="327"/>
      <c r="KTA507" s="28"/>
      <c r="KTB507" s="324"/>
      <c r="KTC507" s="324"/>
      <c r="KTD507" s="324"/>
      <c r="KTE507" s="324"/>
      <c r="KTF507" s="324"/>
      <c r="KTG507" s="324"/>
      <c r="KTH507" s="256"/>
      <c r="KTI507" s="325"/>
      <c r="KTJ507" s="311"/>
      <c r="KTK507" s="325"/>
      <c r="KTL507" s="310"/>
      <c r="KTM507" s="325"/>
      <c r="KTN507" s="325"/>
      <c r="KTO507" s="325"/>
      <c r="KTP507" s="325"/>
      <c r="KTQ507" s="325"/>
      <c r="KTR507" s="325"/>
      <c r="KTS507" s="325"/>
      <c r="KTT507" s="325"/>
      <c r="KTU507" s="325"/>
      <c r="KTV507" s="325"/>
      <c r="KTW507" s="325"/>
      <c r="KTX507" s="325"/>
      <c r="KTY507" s="325"/>
      <c r="KTZ507" s="325"/>
      <c r="KUA507" s="325"/>
      <c r="KUB507" s="325"/>
      <c r="KUC507" s="325"/>
      <c r="KUD507" s="325"/>
      <c r="KUE507" s="325"/>
      <c r="KUF507" s="325"/>
      <c r="KUG507" s="325"/>
      <c r="KUH507" s="325"/>
      <c r="KUI507" s="325"/>
      <c r="KUJ507" s="325"/>
      <c r="KUK507" s="325"/>
      <c r="KUL507" s="325"/>
      <c r="KUM507" s="325"/>
      <c r="KUN507" s="325"/>
      <c r="KUO507" s="325"/>
      <c r="KUP507" s="325"/>
      <c r="KUQ507" s="327"/>
      <c r="KUR507" s="28"/>
      <c r="KUS507" s="324"/>
      <c r="KUT507" s="324"/>
      <c r="KUU507" s="324"/>
      <c r="KUV507" s="324"/>
      <c r="KUW507" s="324"/>
      <c r="KUX507" s="324"/>
      <c r="KUY507" s="256"/>
      <c r="KUZ507" s="325"/>
      <c r="KVA507" s="311"/>
      <c r="KVB507" s="325"/>
      <c r="KVC507" s="310"/>
      <c r="KVD507" s="325"/>
      <c r="KVE507" s="325"/>
      <c r="KVF507" s="325"/>
      <c r="KVG507" s="325"/>
      <c r="KVH507" s="325"/>
      <c r="KVI507" s="325"/>
      <c r="KVJ507" s="325"/>
      <c r="KVK507" s="325"/>
      <c r="KVL507" s="325"/>
      <c r="KVM507" s="325"/>
      <c r="KVN507" s="325"/>
      <c r="KVO507" s="325"/>
      <c r="KVP507" s="325"/>
      <c r="KVQ507" s="325"/>
      <c r="KVR507" s="325"/>
      <c r="KVS507" s="325"/>
      <c r="KVT507" s="325"/>
      <c r="KVU507" s="325"/>
      <c r="KVV507" s="325"/>
      <c r="KVW507" s="325"/>
      <c r="KVX507" s="325"/>
      <c r="KVY507" s="325"/>
      <c r="KVZ507" s="325"/>
      <c r="KWA507" s="325"/>
      <c r="KWB507" s="325"/>
      <c r="KWC507" s="325"/>
      <c r="KWD507" s="325"/>
      <c r="KWE507" s="325"/>
      <c r="KWF507" s="325"/>
      <c r="KWG507" s="325"/>
      <c r="KWH507" s="327"/>
      <c r="KWI507" s="28"/>
      <c r="KWJ507" s="324"/>
      <c r="KWK507" s="324"/>
      <c r="KWL507" s="324"/>
      <c r="KWM507" s="324"/>
      <c r="KWN507" s="324"/>
      <c r="KWO507" s="324"/>
      <c r="KWP507" s="256"/>
      <c r="KWQ507" s="325"/>
      <c r="KWR507" s="311"/>
      <c r="KWS507" s="325"/>
      <c r="KWT507" s="310"/>
      <c r="KWU507" s="325"/>
      <c r="KWV507" s="325"/>
      <c r="KWW507" s="325"/>
      <c r="KWX507" s="325"/>
      <c r="KWY507" s="325"/>
      <c r="KWZ507" s="325"/>
      <c r="KXA507" s="325"/>
      <c r="KXB507" s="325"/>
      <c r="KXC507" s="325"/>
      <c r="KXD507" s="325"/>
      <c r="KXE507" s="325"/>
      <c r="KXF507" s="325"/>
      <c r="KXG507" s="325"/>
      <c r="KXH507" s="325"/>
      <c r="KXI507" s="325"/>
      <c r="KXJ507" s="325"/>
      <c r="KXK507" s="325"/>
      <c r="KXL507" s="325"/>
      <c r="KXM507" s="325"/>
      <c r="KXN507" s="325"/>
      <c r="KXO507" s="325"/>
      <c r="KXP507" s="325"/>
      <c r="KXQ507" s="325"/>
      <c r="KXR507" s="325"/>
      <c r="KXS507" s="325"/>
      <c r="KXT507" s="325"/>
      <c r="KXU507" s="325"/>
      <c r="KXV507" s="325"/>
      <c r="KXW507" s="325"/>
      <c r="KXX507" s="325"/>
      <c r="KXY507" s="327"/>
      <c r="KXZ507" s="28"/>
      <c r="KYA507" s="324"/>
      <c r="KYB507" s="324"/>
      <c r="KYC507" s="324"/>
      <c r="KYD507" s="324"/>
      <c r="KYE507" s="324"/>
      <c r="KYF507" s="324"/>
      <c r="KYG507" s="256"/>
      <c r="KYH507" s="325"/>
      <c r="KYI507" s="311"/>
      <c r="KYJ507" s="325"/>
      <c r="KYK507" s="310"/>
      <c r="KYL507" s="325"/>
      <c r="KYM507" s="325"/>
      <c r="KYN507" s="325"/>
      <c r="KYO507" s="325"/>
      <c r="KYP507" s="325"/>
      <c r="KYQ507" s="325"/>
      <c r="KYR507" s="325"/>
      <c r="KYS507" s="325"/>
      <c r="KYT507" s="325"/>
      <c r="KYU507" s="325"/>
      <c r="KYV507" s="325"/>
      <c r="KYW507" s="325"/>
      <c r="KYX507" s="325"/>
      <c r="KYY507" s="325"/>
      <c r="KYZ507" s="325"/>
      <c r="KZA507" s="325"/>
      <c r="KZB507" s="325"/>
      <c r="KZC507" s="325"/>
      <c r="KZD507" s="325"/>
      <c r="KZE507" s="325"/>
      <c r="KZF507" s="325"/>
      <c r="KZG507" s="325"/>
      <c r="KZH507" s="325"/>
      <c r="KZI507" s="325"/>
      <c r="KZJ507" s="325"/>
      <c r="KZK507" s="325"/>
      <c r="KZL507" s="325"/>
      <c r="KZM507" s="325"/>
      <c r="KZN507" s="325"/>
      <c r="KZO507" s="325"/>
      <c r="KZP507" s="327"/>
      <c r="KZQ507" s="28"/>
      <c r="KZR507" s="324"/>
      <c r="KZS507" s="324"/>
      <c r="KZT507" s="324"/>
      <c r="KZU507" s="324"/>
      <c r="KZV507" s="324"/>
      <c r="KZW507" s="324"/>
      <c r="KZX507" s="256"/>
      <c r="KZY507" s="325"/>
      <c r="KZZ507" s="311"/>
      <c r="LAA507" s="325"/>
      <c r="LAB507" s="310"/>
      <c r="LAC507" s="325"/>
      <c r="LAD507" s="325"/>
      <c r="LAE507" s="325"/>
      <c r="LAF507" s="325"/>
      <c r="LAG507" s="325"/>
      <c r="LAH507" s="325"/>
      <c r="LAI507" s="325"/>
      <c r="LAJ507" s="325"/>
      <c r="LAK507" s="325"/>
      <c r="LAL507" s="325"/>
      <c r="LAM507" s="325"/>
      <c r="LAN507" s="325"/>
      <c r="LAO507" s="325"/>
      <c r="LAP507" s="325"/>
      <c r="LAQ507" s="325"/>
      <c r="LAR507" s="325"/>
      <c r="LAS507" s="325"/>
      <c r="LAT507" s="325"/>
      <c r="LAU507" s="325"/>
      <c r="LAV507" s="325"/>
      <c r="LAW507" s="325"/>
      <c r="LAX507" s="325"/>
      <c r="LAY507" s="325"/>
      <c r="LAZ507" s="325"/>
      <c r="LBA507" s="325"/>
      <c r="LBB507" s="325"/>
      <c r="LBC507" s="325"/>
      <c r="LBD507" s="325"/>
      <c r="LBE507" s="325"/>
      <c r="LBF507" s="325"/>
      <c r="LBG507" s="327"/>
      <c r="LBH507" s="28"/>
      <c r="LBI507" s="324"/>
      <c r="LBJ507" s="324"/>
      <c r="LBK507" s="324"/>
      <c r="LBL507" s="324"/>
      <c r="LBM507" s="324"/>
      <c r="LBN507" s="324"/>
      <c r="LBO507" s="256"/>
      <c r="LBP507" s="325"/>
      <c r="LBQ507" s="311"/>
      <c r="LBR507" s="325"/>
      <c r="LBS507" s="310"/>
      <c r="LBT507" s="325"/>
      <c r="LBU507" s="325"/>
      <c r="LBV507" s="325"/>
      <c r="LBW507" s="325"/>
      <c r="LBX507" s="325"/>
      <c r="LBY507" s="325"/>
      <c r="LBZ507" s="325"/>
      <c r="LCA507" s="325"/>
      <c r="LCB507" s="325"/>
      <c r="LCC507" s="325"/>
      <c r="LCD507" s="325"/>
      <c r="LCE507" s="325"/>
      <c r="LCF507" s="325"/>
      <c r="LCG507" s="325"/>
      <c r="LCH507" s="325"/>
      <c r="LCI507" s="325"/>
      <c r="LCJ507" s="325"/>
      <c r="LCK507" s="325"/>
      <c r="LCL507" s="325"/>
      <c r="LCM507" s="325"/>
      <c r="LCN507" s="325"/>
      <c r="LCO507" s="325"/>
      <c r="LCP507" s="325"/>
      <c r="LCQ507" s="325"/>
      <c r="LCR507" s="325"/>
      <c r="LCS507" s="325"/>
      <c r="LCT507" s="325"/>
      <c r="LCU507" s="325"/>
      <c r="LCV507" s="325"/>
      <c r="LCW507" s="325"/>
      <c r="LCX507" s="327"/>
      <c r="LCY507" s="28"/>
      <c r="LCZ507" s="324"/>
      <c r="LDA507" s="324"/>
      <c r="LDB507" s="324"/>
      <c r="LDC507" s="324"/>
      <c r="LDD507" s="324"/>
      <c r="LDE507" s="324"/>
      <c r="LDF507" s="256"/>
      <c r="LDG507" s="325"/>
      <c r="LDH507" s="311"/>
      <c r="LDI507" s="325"/>
      <c r="LDJ507" s="310"/>
      <c r="LDK507" s="325"/>
      <c r="LDL507" s="325"/>
      <c r="LDM507" s="325"/>
      <c r="LDN507" s="325"/>
      <c r="LDO507" s="325"/>
      <c r="LDP507" s="325"/>
      <c r="LDQ507" s="325"/>
      <c r="LDR507" s="325"/>
      <c r="LDS507" s="325"/>
      <c r="LDT507" s="325"/>
      <c r="LDU507" s="325"/>
      <c r="LDV507" s="325"/>
      <c r="LDW507" s="325"/>
      <c r="LDX507" s="325"/>
      <c r="LDY507" s="325"/>
      <c r="LDZ507" s="325"/>
      <c r="LEA507" s="325"/>
      <c r="LEB507" s="325"/>
      <c r="LEC507" s="325"/>
      <c r="LED507" s="325"/>
      <c r="LEE507" s="325"/>
      <c r="LEF507" s="325"/>
      <c r="LEG507" s="325"/>
      <c r="LEH507" s="325"/>
      <c r="LEI507" s="325"/>
      <c r="LEJ507" s="325"/>
      <c r="LEK507" s="325"/>
      <c r="LEL507" s="325"/>
      <c r="LEM507" s="325"/>
      <c r="LEN507" s="325"/>
      <c r="LEO507" s="327"/>
      <c r="LEP507" s="28"/>
      <c r="LEQ507" s="324"/>
      <c r="LER507" s="324"/>
      <c r="LES507" s="324"/>
      <c r="LET507" s="324"/>
      <c r="LEU507" s="324"/>
      <c r="LEV507" s="324"/>
      <c r="LEW507" s="256"/>
      <c r="LEX507" s="325"/>
      <c r="LEY507" s="311"/>
      <c r="LEZ507" s="325"/>
      <c r="LFA507" s="310"/>
      <c r="LFB507" s="325"/>
      <c r="LFC507" s="325"/>
      <c r="LFD507" s="325"/>
      <c r="LFE507" s="325"/>
      <c r="LFF507" s="325"/>
      <c r="LFG507" s="325"/>
      <c r="LFH507" s="325"/>
      <c r="LFI507" s="325"/>
      <c r="LFJ507" s="325"/>
      <c r="LFK507" s="325"/>
      <c r="LFL507" s="325"/>
      <c r="LFM507" s="325"/>
      <c r="LFN507" s="325"/>
      <c r="LFO507" s="325"/>
      <c r="LFP507" s="325"/>
      <c r="LFQ507" s="325"/>
      <c r="LFR507" s="325"/>
      <c r="LFS507" s="325"/>
      <c r="LFT507" s="325"/>
      <c r="LFU507" s="325"/>
      <c r="LFV507" s="325"/>
      <c r="LFW507" s="325"/>
      <c r="LFX507" s="325"/>
      <c r="LFY507" s="325"/>
      <c r="LFZ507" s="325"/>
      <c r="LGA507" s="325"/>
      <c r="LGB507" s="325"/>
      <c r="LGC507" s="325"/>
      <c r="LGD507" s="325"/>
      <c r="LGE507" s="325"/>
      <c r="LGF507" s="327"/>
      <c r="LGG507" s="28"/>
      <c r="LGH507" s="324"/>
      <c r="LGI507" s="324"/>
      <c r="LGJ507" s="324"/>
      <c r="LGK507" s="324"/>
      <c r="LGL507" s="324"/>
      <c r="LGM507" s="324"/>
      <c r="LGN507" s="256"/>
      <c r="LGO507" s="325"/>
      <c r="LGP507" s="311"/>
      <c r="LGQ507" s="325"/>
      <c r="LGR507" s="310"/>
      <c r="LGS507" s="325"/>
      <c r="LGT507" s="325"/>
      <c r="LGU507" s="325"/>
      <c r="LGV507" s="325"/>
      <c r="LGW507" s="325"/>
      <c r="LGX507" s="325"/>
      <c r="LGY507" s="325"/>
      <c r="LGZ507" s="325"/>
      <c r="LHA507" s="325"/>
      <c r="LHB507" s="325"/>
      <c r="LHC507" s="325"/>
      <c r="LHD507" s="325"/>
      <c r="LHE507" s="325"/>
      <c r="LHF507" s="325"/>
      <c r="LHG507" s="325"/>
      <c r="LHH507" s="325"/>
      <c r="LHI507" s="325"/>
      <c r="LHJ507" s="325"/>
      <c r="LHK507" s="325"/>
      <c r="LHL507" s="325"/>
      <c r="LHM507" s="325"/>
      <c r="LHN507" s="325"/>
      <c r="LHO507" s="325"/>
      <c r="LHP507" s="325"/>
      <c r="LHQ507" s="325"/>
      <c r="LHR507" s="325"/>
      <c r="LHS507" s="325"/>
      <c r="LHT507" s="325"/>
      <c r="LHU507" s="325"/>
      <c r="LHV507" s="325"/>
      <c r="LHW507" s="327"/>
      <c r="LHX507" s="28"/>
      <c r="LHY507" s="324"/>
      <c r="LHZ507" s="324"/>
      <c r="LIA507" s="324"/>
      <c r="LIB507" s="324"/>
      <c r="LIC507" s="324"/>
      <c r="LID507" s="324"/>
      <c r="LIE507" s="256"/>
      <c r="LIF507" s="325"/>
      <c r="LIG507" s="311"/>
      <c r="LIH507" s="325"/>
      <c r="LII507" s="310"/>
      <c r="LIJ507" s="325"/>
      <c r="LIK507" s="325"/>
      <c r="LIL507" s="325"/>
      <c r="LIM507" s="325"/>
      <c r="LIN507" s="325"/>
      <c r="LIO507" s="325"/>
      <c r="LIP507" s="325"/>
      <c r="LIQ507" s="325"/>
      <c r="LIR507" s="325"/>
      <c r="LIS507" s="325"/>
      <c r="LIT507" s="325"/>
      <c r="LIU507" s="325"/>
      <c r="LIV507" s="325"/>
      <c r="LIW507" s="325"/>
      <c r="LIX507" s="325"/>
      <c r="LIY507" s="325"/>
      <c r="LIZ507" s="325"/>
      <c r="LJA507" s="325"/>
      <c r="LJB507" s="325"/>
      <c r="LJC507" s="325"/>
      <c r="LJD507" s="325"/>
      <c r="LJE507" s="325"/>
      <c r="LJF507" s="325"/>
      <c r="LJG507" s="325"/>
      <c r="LJH507" s="325"/>
      <c r="LJI507" s="325"/>
      <c r="LJJ507" s="325"/>
      <c r="LJK507" s="325"/>
      <c r="LJL507" s="325"/>
      <c r="LJM507" s="325"/>
      <c r="LJN507" s="327"/>
      <c r="LJO507" s="28"/>
      <c r="LJP507" s="324"/>
      <c r="LJQ507" s="324"/>
      <c r="LJR507" s="324"/>
      <c r="LJS507" s="324"/>
      <c r="LJT507" s="324"/>
      <c r="LJU507" s="324"/>
      <c r="LJV507" s="256"/>
      <c r="LJW507" s="325"/>
      <c r="LJX507" s="311"/>
      <c r="LJY507" s="325"/>
      <c r="LJZ507" s="310"/>
      <c r="LKA507" s="325"/>
      <c r="LKB507" s="325"/>
      <c r="LKC507" s="325"/>
      <c r="LKD507" s="325"/>
      <c r="LKE507" s="325"/>
      <c r="LKF507" s="325"/>
      <c r="LKG507" s="325"/>
      <c r="LKH507" s="325"/>
      <c r="LKI507" s="325"/>
      <c r="LKJ507" s="325"/>
      <c r="LKK507" s="325"/>
      <c r="LKL507" s="325"/>
      <c r="LKM507" s="325"/>
      <c r="LKN507" s="325"/>
      <c r="LKO507" s="325"/>
      <c r="LKP507" s="325"/>
      <c r="LKQ507" s="325"/>
      <c r="LKR507" s="325"/>
      <c r="LKS507" s="325"/>
      <c r="LKT507" s="325"/>
      <c r="LKU507" s="325"/>
      <c r="LKV507" s="325"/>
      <c r="LKW507" s="325"/>
      <c r="LKX507" s="325"/>
      <c r="LKY507" s="325"/>
      <c r="LKZ507" s="325"/>
      <c r="LLA507" s="325"/>
      <c r="LLB507" s="325"/>
      <c r="LLC507" s="325"/>
      <c r="LLD507" s="325"/>
      <c r="LLE507" s="327"/>
      <c r="LLF507" s="28"/>
      <c r="LLG507" s="324"/>
      <c r="LLH507" s="324"/>
      <c r="LLI507" s="324"/>
      <c r="LLJ507" s="324"/>
      <c r="LLK507" s="324"/>
      <c r="LLL507" s="324"/>
      <c r="LLM507" s="256"/>
      <c r="LLN507" s="325"/>
      <c r="LLO507" s="311"/>
      <c r="LLP507" s="325"/>
      <c r="LLQ507" s="310"/>
      <c r="LLR507" s="325"/>
      <c r="LLS507" s="325"/>
      <c r="LLT507" s="325"/>
      <c r="LLU507" s="325"/>
      <c r="LLV507" s="325"/>
      <c r="LLW507" s="325"/>
      <c r="LLX507" s="325"/>
      <c r="LLY507" s="325"/>
      <c r="LLZ507" s="325"/>
      <c r="LMA507" s="325"/>
      <c r="LMB507" s="325"/>
      <c r="LMC507" s="325"/>
      <c r="LMD507" s="325"/>
      <c r="LME507" s="325"/>
      <c r="LMF507" s="325"/>
      <c r="LMG507" s="325"/>
      <c r="LMH507" s="325"/>
      <c r="LMI507" s="325"/>
      <c r="LMJ507" s="325"/>
      <c r="LMK507" s="325"/>
      <c r="LML507" s="325"/>
      <c r="LMM507" s="325"/>
      <c r="LMN507" s="325"/>
      <c r="LMO507" s="325"/>
      <c r="LMP507" s="325"/>
      <c r="LMQ507" s="325"/>
      <c r="LMR507" s="325"/>
      <c r="LMS507" s="325"/>
      <c r="LMT507" s="325"/>
      <c r="LMU507" s="325"/>
      <c r="LMV507" s="327"/>
      <c r="LMW507" s="28"/>
      <c r="LMX507" s="324"/>
      <c r="LMY507" s="324"/>
      <c r="LMZ507" s="324"/>
      <c r="LNA507" s="324"/>
      <c r="LNB507" s="324"/>
      <c r="LNC507" s="324"/>
      <c r="LND507" s="256"/>
      <c r="LNE507" s="325"/>
      <c r="LNF507" s="311"/>
      <c r="LNG507" s="325"/>
      <c r="LNH507" s="310"/>
      <c r="LNI507" s="325"/>
      <c r="LNJ507" s="325"/>
      <c r="LNK507" s="325"/>
      <c r="LNL507" s="325"/>
      <c r="LNM507" s="325"/>
      <c r="LNN507" s="325"/>
      <c r="LNO507" s="325"/>
      <c r="LNP507" s="325"/>
      <c r="LNQ507" s="325"/>
      <c r="LNR507" s="325"/>
      <c r="LNS507" s="325"/>
      <c r="LNT507" s="325"/>
      <c r="LNU507" s="325"/>
      <c r="LNV507" s="325"/>
      <c r="LNW507" s="325"/>
      <c r="LNX507" s="325"/>
      <c r="LNY507" s="325"/>
      <c r="LNZ507" s="325"/>
      <c r="LOA507" s="325"/>
      <c r="LOB507" s="325"/>
      <c r="LOC507" s="325"/>
      <c r="LOD507" s="325"/>
      <c r="LOE507" s="325"/>
      <c r="LOF507" s="325"/>
      <c r="LOG507" s="325"/>
      <c r="LOH507" s="325"/>
      <c r="LOI507" s="325"/>
      <c r="LOJ507" s="325"/>
      <c r="LOK507" s="325"/>
      <c r="LOL507" s="325"/>
      <c r="LOM507" s="327"/>
      <c r="LON507" s="28"/>
      <c r="LOO507" s="324"/>
      <c r="LOP507" s="324"/>
      <c r="LOQ507" s="324"/>
      <c r="LOR507" s="324"/>
      <c r="LOS507" s="324"/>
      <c r="LOT507" s="324"/>
      <c r="LOU507" s="256"/>
      <c r="LOV507" s="325"/>
      <c r="LOW507" s="311"/>
      <c r="LOX507" s="325"/>
      <c r="LOY507" s="310"/>
      <c r="LOZ507" s="325"/>
      <c r="LPA507" s="325"/>
      <c r="LPB507" s="325"/>
      <c r="LPC507" s="325"/>
      <c r="LPD507" s="325"/>
      <c r="LPE507" s="325"/>
      <c r="LPF507" s="325"/>
      <c r="LPG507" s="325"/>
      <c r="LPH507" s="325"/>
      <c r="LPI507" s="325"/>
      <c r="LPJ507" s="325"/>
      <c r="LPK507" s="325"/>
      <c r="LPL507" s="325"/>
      <c r="LPM507" s="325"/>
      <c r="LPN507" s="325"/>
      <c r="LPO507" s="325"/>
      <c r="LPP507" s="325"/>
      <c r="LPQ507" s="325"/>
      <c r="LPR507" s="325"/>
      <c r="LPS507" s="325"/>
      <c r="LPT507" s="325"/>
      <c r="LPU507" s="325"/>
      <c r="LPV507" s="325"/>
      <c r="LPW507" s="325"/>
      <c r="LPX507" s="325"/>
      <c r="LPY507" s="325"/>
      <c r="LPZ507" s="325"/>
      <c r="LQA507" s="325"/>
      <c r="LQB507" s="325"/>
      <c r="LQC507" s="325"/>
      <c r="LQD507" s="327"/>
      <c r="LQE507" s="28"/>
      <c r="LQF507" s="324"/>
      <c r="LQG507" s="324"/>
      <c r="LQH507" s="324"/>
      <c r="LQI507" s="324"/>
      <c r="LQJ507" s="324"/>
      <c r="LQK507" s="324"/>
      <c r="LQL507" s="256"/>
      <c r="LQM507" s="325"/>
      <c r="LQN507" s="311"/>
      <c r="LQO507" s="325"/>
      <c r="LQP507" s="310"/>
      <c r="LQQ507" s="325"/>
      <c r="LQR507" s="325"/>
      <c r="LQS507" s="325"/>
      <c r="LQT507" s="325"/>
      <c r="LQU507" s="325"/>
      <c r="LQV507" s="325"/>
      <c r="LQW507" s="325"/>
      <c r="LQX507" s="325"/>
      <c r="LQY507" s="325"/>
      <c r="LQZ507" s="325"/>
      <c r="LRA507" s="325"/>
      <c r="LRB507" s="325"/>
      <c r="LRC507" s="325"/>
      <c r="LRD507" s="325"/>
      <c r="LRE507" s="325"/>
      <c r="LRF507" s="325"/>
      <c r="LRG507" s="325"/>
      <c r="LRH507" s="325"/>
      <c r="LRI507" s="325"/>
      <c r="LRJ507" s="325"/>
      <c r="LRK507" s="325"/>
      <c r="LRL507" s="325"/>
      <c r="LRM507" s="325"/>
      <c r="LRN507" s="325"/>
      <c r="LRO507" s="325"/>
      <c r="LRP507" s="325"/>
      <c r="LRQ507" s="325"/>
      <c r="LRR507" s="325"/>
      <c r="LRS507" s="325"/>
      <c r="LRT507" s="325"/>
      <c r="LRU507" s="327"/>
      <c r="LRV507" s="28"/>
      <c r="LRW507" s="324"/>
      <c r="LRX507" s="324"/>
      <c r="LRY507" s="324"/>
      <c r="LRZ507" s="324"/>
      <c r="LSA507" s="324"/>
      <c r="LSB507" s="324"/>
      <c r="LSC507" s="256"/>
      <c r="LSD507" s="325"/>
      <c r="LSE507" s="311"/>
      <c r="LSF507" s="325"/>
      <c r="LSG507" s="310"/>
      <c r="LSH507" s="325"/>
      <c r="LSI507" s="325"/>
      <c r="LSJ507" s="325"/>
      <c r="LSK507" s="325"/>
      <c r="LSL507" s="325"/>
      <c r="LSM507" s="325"/>
      <c r="LSN507" s="325"/>
      <c r="LSO507" s="325"/>
      <c r="LSP507" s="325"/>
      <c r="LSQ507" s="325"/>
      <c r="LSR507" s="325"/>
      <c r="LSS507" s="325"/>
      <c r="LST507" s="325"/>
      <c r="LSU507" s="325"/>
      <c r="LSV507" s="325"/>
      <c r="LSW507" s="325"/>
      <c r="LSX507" s="325"/>
      <c r="LSY507" s="325"/>
      <c r="LSZ507" s="325"/>
      <c r="LTA507" s="325"/>
      <c r="LTB507" s="325"/>
      <c r="LTC507" s="325"/>
      <c r="LTD507" s="325"/>
      <c r="LTE507" s="325"/>
      <c r="LTF507" s="325"/>
      <c r="LTG507" s="325"/>
      <c r="LTH507" s="325"/>
      <c r="LTI507" s="325"/>
      <c r="LTJ507" s="325"/>
      <c r="LTK507" s="325"/>
      <c r="LTL507" s="327"/>
      <c r="LTM507" s="28"/>
      <c r="LTN507" s="324"/>
      <c r="LTO507" s="324"/>
      <c r="LTP507" s="324"/>
      <c r="LTQ507" s="324"/>
      <c r="LTR507" s="324"/>
      <c r="LTS507" s="324"/>
      <c r="LTT507" s="256"/>
      <c r="LTU507" s="325"/>
      <c r="LTV507" s="311"/>
      <c r="LTW507" s="325"/>
      <c r="LTX507" s="310"/>
      <c r="LTY507" s="325"/>
      <c r="LTZ507" s="325"/>
      <c r="LUA507" s="325"/>
      <c r="LUB507" s="325"/>
      <c r="LUC507" s="325"/>
      <c r="LUD507" s="325"/>
      <c r="LUE507" s="325"/>
      <c r="LUF507" s="325"/>
      <c r="LUG507" s="325"/>
      <c r="LUH507" s="325"/>
      <c r="LUI507" s="325"/>
      <c r="LUJ507" s="325"/>
      <c r="LUK507" s="325"/>
      <c r="LUL507" s="325"/>
      <c r="LUM507" s="325"/>
      <c r="LUN507" s="325"/>
      <c r="LUO507" s="325"/>
      <c r="LUP507" s="325"/>
      <c r="LUQ507" s="325"/>
      <c r="LUR507" s="325"/>
      <c r="LUS507" s="325"/>
      <c r="LUT507" s="325"/>
      <c r="LUU507" s="325"/>
      <c r="LUV507" s="325"/>
      <c r="LUW507" s="325"/>
      <c r="LUX507" s="325"/>
      <c r="LUY507" s="325"/>
      <c r="LUZ507" s="325"/>
      <c r="LVA507" s="325"/>
      <c r="LVB507" s="325"/>
      <c r="LVC507" s="327"/>
      <c r="LVD507" s="28"/>
      <c r="LVE507" s="324"/>
      <c r="LVF507" s="324"/>
      <c r="LVG507" s="324"/>
      <c r="LVH507" s="324"/>
      <c r="LVI507" s="324"/>
      <c r="LVJ507" s="324"/>
      <c r="LVK507" s="256"/>
      <c r="LVL507" s="325"/>
      <c r="LVM507" s="311"/>
      <c r="LVN507" s="325"/>
      <c r="LVO507" s="310"/>
      <c r="LVP507" s="325"/>
      <c r="LVQ507" s="325"/>
      <c r="LVR507" s="325"/>
      <c r="LVS507" s="325"/>
      <c r="LVT507" s="325"/>
      <c r="LVU507" s="325"/>
      <c r="LVV507" s="325"/>
      <c r="LVW507" s="325"/>
      <c r="LVX507" s="325"/>
      <c r="LVY507" s="325"/>
      <c r="LVZ507" s="325"/>
      <c r="LWA507" s="325"/>
      <c r="LWB507" s="325"/>
      <c r="LWC507" s="325"/>
      <c r="LWD507" s="325"/>
      <c r="LWE507" s="325"/>
      <c r="LWF507" s="325"/>
      <c r="LWG507" s="325"/>
      <c r="LWH507" s="325"/>
      <c r="LWI507" s="325"/>
      <c r="LWJ507" s="325"/>
      <c r="LWK507" s="325"/>
      <c r="LWL507" s="325"/>
      <c r="LWM507" s="325"/>
      <c r="LWN507" s="325"/>
      <c r="LWO507" s="325"/>
      <c r="LWP507" s="325"/>
      <c r="LWQ507" s="325"/>
      <c r="LWR507" s="325"/>
      <c r="LWS507" s="325"/>
      <c r="LWT507" s="327"/>
      <c r="LWU507" s="28"/>
      <c r="LWV507" s="324"/>
      <c r="LWW507" s="324"/>
      <c r="LWX507" s="324"/>
      <c r="LWY507" s="324"/>
      <c r="LWZ507" s="324"/>
      <c r="LXA507" s="324"/>
      <c r="LXB507" s="256"/>
      <c r="LXC507" s="325"/>
      <c r="LXD507" s="311"/>
      <c r="LXE507" s="325"/>
      <c r="LXF507" s="310"/>
      <c r="LXG507" s="325"/>
      <c r="LXH507" s="325"/>
      <c r="LXI507" s="325"/>
      <c r="LXJ507" s="325"/>
      <c r="LXK507" s="325"/>
      <c r="LXL507" s="325"/>
      <c r="LXM507" s="325"/>
      <c r="LXN507" s="325"/>
      <c r="LXO507" s="325"/>
      <c r="LXP507" s="325"/>
      <c r="LXQ507" s="325"/>
      <c r="LXR507" s="325"/>
      <c r="LXS507" s="325"/>
      <c r="LXT507" s="325"/>
      <c r="LXU507" s="325"/>
      <c r="LXV507" s="325"/>
      <c r="LXW507" s="325"/>
      <c r="LXX507" s="325"/>
      <c r="LXY507" s="325"/>
      <c r="LXZ507" s="325"/>
      <c r="LYA507" s="325"/>
      <c r="LYB507" s="325"/>
      <c r="LYC507" s="325"/>
      <c r="LYD507" s="325"/>
      <c r="LYE507" s="325"/>
      <c r="LYF507" s="325"/>
      <c r="LYG507" s="325"/>
      <c r="LYH507" s="325"/>
      <c r="LYI507" s="325"/>
      <c r="LYJ507" s="325"/>
      <c r="LYK507" s="327"/>
      <c r="LYL507" s="28"/>
      <c r="LYM507" s="324"/>
      <c r="LYN507" s="324"/>
      <c r="LYO507" s="324"/>
      <c r="LYP507" s="324"/>
      <c r="LYQ507" s="324"/>
      <c r="LYR507" s="324"/>
      <c r="LYS507" s="256"/>
      <c r="LYT507" s="325"/>
      <c r="LYU507" s="311"/>
      <c r="LYV507" s="325"/>
      <c r="LYW507" s="310"/>
      <c r="LYX507" s="325"/>
      <c r="LYY507" s="325"/>
      <c r="LYZ507" s="325"/>
      <c r="LZA507" s="325"/>
      <c r="LZB507" s="325"/>
      <c r="LZC507" s="325"/>
      <c r="LZD507" s="325"/>
      <c r="LZE507" s="325"/>
      <c r="LZF507" s="325"/>
      <c r="LZG507" s="325"/>
      <c r="LZH507" s="325"/>
      <c r="LZI507" s="325"/>
      <c r="LZJ507" s="325"/>
      <c r="LZK507" s="325"/>
      <c r="LZL507" s="325"/>
      <c r="LZM507" s="325"/>
      <c r="LZN507" s="325"/>
      <c r="LZO507" s="325"/>
      <c r="LZP507" s="325"/>
      <c r="LZQ507" s="325"/>
      <c r="LZR507" s="325"/>
      <c r="LZS507" s="325"/>
      <c r="LZT507" s="325"/>
      <c r="LZU507" s="325"/>
      <c r="LZV507" s="325"/>
      <c r="LZW507" s="325"/>
      <c r="LZX507" s="325"/>
      <c r="LZY507" s="325"/>
      <c r="LZZ507" s="325"/>
      <c r="MAA507" s="325"/>
      <c r="MAB507" s="327"/>
      <c r="MAC507" s="28"/>
      <c r="MAD507" s="324"/>
      <c r="MAE507" s="324"/>
      <c r="MAF507" s="324"/>
      <c r="MAG507" s="324"/>
      <c r="MAH507" s="324"/>
      <c r="MAI507" s="324"/>
      <c r="MAJ507" s="256"/>
      <c r="MAK507" s="325"/>
      <c r="MAL507" s="311"/>
      <c r="MAM507" s="325"/>
      <c r="MAN507" s="310"/>
      <c r="MAO507" s="325"/>
      <c r="MAP507" s="325"/>
      <c r="MAQ507" s="325"/>
      <c r="MAR507" s="325"/>
      <c r="MAS507" s="325"/>
      <c r="MAT507" s="325"/>
      <c r="MAU507" s="325"/>
      <c r="MAV507" s="325"/>
      <c r="MAW507" s="325"/>
      <c r="MAX507" s="325"/>
      <c r="MAY507" s="325"/>
      <c r="MAZ507" s="325"/>
      <c r="MBA507" s="325"/>
      <c r="MBB507" s="325"/>
      <c r="MBC507" s="325"/>
      <c r="MBD507" s="325"/>
      <c r="MBE507" s="325"/>
      <c r="MBF507" s="325"/>
      <c r="MBG507" s="325"/>
      <c r="MBH507" s="325"/>
      <c r="MBI507" s="325"/>
      <c r="MBJ507" s="325"/>
      <c r="MBK507" s="325"/>
      <c r="MBL507" s="325"/>
      <c r="MBM507" s="325"/>
      <c r="MBN507" s="325"/>
      <c r="MBO507" s="325"/>
      <c r="MBP507" s="325"/>
      <c r="MBQ507" s="325"/>
      <c r="MBR507" s="325"/>
      <c r="MBS507" s="327"/>
      <c r="MBT507" s="28"/>
      <c r="MBU507" s="324"/>
      <c r="MBV507" s="324"/>
      <c r="MBW507" s="324"/>
      <c r="MBX507" s="324"/>
      <c r="MBY507" s="324"/>
      <c r="MBZ507" s="324"/>
      <c r="MCA507" s="256"/>
      <c r="MCB507" s="325"/>
      <c r="MCC507" s="311"/>
      <c r="MCD507" s="325"/>
      <c r="MCE507" s="310"/>
      <c r="MCF507" s="325"/>
      <c r="MCG507" s="325"/>
      <c r="MCH507" s="325"/>
      <c r="MCI507" s="325"/>
      <c r="MCJ507" s="325"/>
      <c r="MCK507" s="325"/>
      <c r="MCL507" s="325"/>
      <c r="MCM507" s="325"/>
      <c r="MCN507" s="325"/>
      <c r="MCO507" s="325"/>
      <c r="MCP507" s="325"/>
      <c r="MCQ507" s="325"/>
      <c r="MCR507" s="325"/>
      <c r="MCS507" s="325"/>
      <c r="MCT507" s="325"/>
      <c r="MCU507" s="325"/>
      <c r="MCV507" s="325"/>
      <c r="MCW507" s="325"/>
      <c r="MCX507" s="325"/>
      <c r="MCY507" s="325"/>
      <c r="MCZ507" s="325"/>
      <c r="MDA507" s="325"/>
      <c r="MDB507" s="325"/>
      <c r="MDC507" s="325"/>
      <c r="MDD507" s="325"/>
      <c r="MDE507" s="325"/>
      <c r="MDF507" s="325"/>
      <c r="MDG507" s="325"/>
      <c r="MDH507" s="325"/>
      <c r="MDI507" s="325"/>
      <c r="MDJ507" s="327"/>
      <c r="MDK507" s="28"/>
      <c r="MDL507" s="324"/>
      <c r="MDM507" s="324"/>
      <c r="MDN507" s="324"/>
      <c r="MDO507" s="324"/>
      <c r="MDP507" s="324"/>
      <c r="MDQ507" s="324"/>
      <c r="MDR507" s="256"/>
      <c r="MDS507" s="325"/>
      <c r="MDT507" s="311"/>
      <c r="MDU507" s="325"/>
      <c r="MDV507" s="310"/>
      <c r="MDW507" s="325"/>
      <c r="MDX507" s="325"/>
      <c r="MDY507" s="325"/>
      <c r="MDZ507" s="325"/>
      <c r="MEA507" s="325"/>
      <c r="MEB507" s="325"/>
      <c r="MEC507" s="325"/>
      <c r="MED507" s="325"/>
      <c r="MEE507" s="325"/>
      <c r="MEF507" s="325"/>
      <c r="MEG507" s="325"/>
      <c r="MEH507" s="325"/>
      <c r="MEI507" s="325"/>
      <c r="MEJ507" s="325"/>
      <c r="MEK507" s="325"/>
      <c r="MEL507" s="325"/>
      <c r="MEM507" s="325"/>
      <c r="MEN507" s="325"/>
      <c r="MEO507" s="325"/>
      <c r="MEP507" s="325"/>
      <c r="MEQ507" s="325"/>
      <c r="MER507" s="325"/>
      <c r="MES507" s="325"/>
      <c r="MET507" s="325"/>
      <c r="MEU507" s="325"/>
      <c r="MEV507" s="325"/>
      <c r="MEW507" s="325"/>
      <c r="MEX507" s="325"/>
      <c r="MEY507" s="325"/>
      <c r="MEZ507" s="325"/>
      <c r="MFA507" s="327"/>
      <c r="MFB507" s="28"/>
      <c r="MFC507" s="324"/>
      <c r="MFD507" s="324"/>
      <c r="MFE507" s="324"/>
      <c r="MFF507" s="324"/>
      <c r="MFG507" s="324"/>
      <c r="MFH507" s="324"/>
      <c r="MFI507" s="256"/>
      <c r="MFJ507" s="325"/>
      <c r="MFK507" s="311"/>
      <c r="MFL507" s="325"/>
      <c r="MFM507" s="310"/>
      <c r="MFN507" s="325"/>
      <c r="MFO507" s="325"/>
      <c r="MFP507" s="325"/>
      <c r="MFQ507" s="325"/>
      <c r="MFR507" s="325"/>
      <c r="MFS507" s="325"/>
      <c r="MFT507" s="325"/>
      <c r="MFU507" s="325"/>
      <c r="MFV507" s="325"/>
      <c r="MFW507" s="325"/>
      <c r="MFX507" s="325"/>
      <c r="MFY507" s="325"/>
      <c r="MFZ507" s="325"/>
      <c r="MGA507" s="325"/>
      <c r="MGB507" s="325"/>
      <c r="MGC507" s="325"/>
      <c r="MGD507" s="325"/>
      <c r="MGE507" s="325"/>
      <c r="MGF507" s="325"/>
      <c r="MGG507" s="325"/>
      <c r="MGH507" s="325"/>
      <c r="MGI507" s="325"/>
      <c r="MGJ507" s="325"/>
      <c r="MGK507" s="325"/>
      <c r="MGL507" s="325"/>
      <c r="MGM507" s="325"/>
      <c r="MGN507" s="325"/>
      <c r="MGO507" s="325"/>
      <c r="MGP507" s="325"/>
      <c r="MGQ507" s="325"/>
      <c r="MGR507" s="327"/>
      <c r="MGS507" s="28"/>
      <c r="MGT507" s="324"/>
      <c r="MGU507" s="324"/>
      <c r="MGV507" s="324"/>
      <c r="MGW507" s="324"/>
      <c r="MGX507" s="324"/>
      <c r="MGY507" s="324"/>
      <c r="MGZ507" s="256"/>
      <c r="MHA507" s="325"/>
      <c r="MHB507" s="311"/>
      <c r="MHC507" s="325"/>
      <c r="MHD507" s="310"/>
      <c r="MHE507" s="325"/>
      <c r="MHF507" s="325"/>
      <c r="MHG507" s="325"/>
      <c r="MHH507" s="325"/>
      <c r="MHI507" s="325"/>
      <c r="MHJ507" s="325"/>
      <c r="MHK507" s="325"/>
      <c r="MHL507" s="325"/>
      <c r="MHM507" s="325"/>
      <c r="MHN507" s="325"/>
      <c r="MHO507" s="325"/>
      <c r="MHP507" s="325"/>
      <c r="MHQ507" s="325"/>
      <c r="MHR507" s="325"/>
      <c r="MHS507" s="325"/>
      <c r="MHT507" s="325"/>
      <c r="MHU507" s="325"/>
      <c r="MHV507" s="325"/>
      <c r="MHW507" s="325"/>
      <c r="MHX507" s="325"/>
      <c r="MHY507" s="325"/>
      <c r="MHZ507" s="325"/>
      <c r="MIA507" s="325"/>
      <c r="MIB507" s="325"/>
      <c r="MIC507" s="325"/>
      <c r="MID507" s="325"/>
      <c r="MIE507" s="325"/>
      <c r="MIF507" s="325"/>
      <c r="MIG507" s="325"/>
      <c r="MIH507" s="325"/>
      <c r="MII507" s="327"/>
      <c r="MIJ507" s="28"/>
      <c r="MIK507" s="324"/>
      <c r="MIL507" s="324"/>
      <c r="MIM507" s="324"/>
      <c r="MIN507" s="324"/>
      <c r="MIO507" s="324"/>
      <c r="MIP507" s="324"/>
      <c r="MIQ507" s="256"/>
      <c r="MIR507" s="325"/>
      <c r="MIS507" s="311"/>
      <c r="MIT507" s="325"/>
      <c r="MIU507" s="310"/>
      <c r="MIV507" s="325"/>
      <c r="MIW507" s="325"/>
      <c r="MIX507" s="325"/>
      <c r="MIY507" s="325"/>
      <c r="MIZ507" s="325"/>
      <c r="MJA507" s="325"/>
      <c r="MJB507" s="325"/>
      <c r="MJC507" s="325"/>
      <c r="MJD507" s="325"/>
      <c r="MJE507" s="325"/>
      <c r="MJF507" s="325"/>
      <c r="MJG507" s="325"/>
      <c r="MJH507" s="325"/>
      <c r="MJI507" s="325"/>
      <c r="MJJ507" s="325"/>
      <c r="MJK507" s="325"/>
      <c r="MJL507" s="325"/>
      <c r="MJM507" s="325"/>
      <c r="MJN507" s="325"/>
      <c r="MJO507" s="325"/>
      <c r="MJP507" s="325"/>
      <c r="MJQ507" s="325"/>
      <c r="MJR507" s="325"/>
      <c r="MJS507" s="325"/>
      <c r="MJT507" s="325"/>
      <c r="MJU507" s="325"/>
      <c r="MJV507" s="325"/>
      <c r="MJW507" s="325"/>
      <c r="MJX507" s="325"/>
      <c r="MJY507" s="325"/>
      <c r="MJZ507" s="327"/>
      <c r="MKA507" s="28"/>
      <c r="MKB507" s="324"/>
      <c r="MKC507" s="324"/>
      <c r="MKD507" s="324"/>
      <c r="MKE507" s="324"/>
      <c r="MKF507" s="324"/>
      <c r="MKG507" s="324"/>
      <c r="MKH507" s="256"/>
      <c r="MKI507" s="325"/>
      <c r="MKJ507" s="311"/>
      <c r="MKK507" s="325"/>
      <c r="MKL507" s="310"/>
      <c r="MKM507" s="325"/>
      <c r="MKN507" s="325"/>
      <c r="MKO507" s="325"/>
      <c r="MKP507" s="325"/>
      <c r="MKQ507" s="325"/>
      <c r="MKR507" s="325"/>
      <c r="MKS507" s="325"/>
      <c r="MKT507" s="325"/>
      <c r="MKU507" s="325"/>
      <c r="MKV507" s="325"/>
      <c r="MKW507" s="325"/>
      <c r="MKX507" s="325"/>
      <c r="MKY507" s="325"/>
      <c r="MKZ507" s="325"/>
      <c r="MLA507" s="325"/>
      <c r="MLB507" s="325"/>
      <c r="MLC507" s="325"/>
      <c r="MLD507" s="325"/>
      <c r="MLE507" s="325"/>
      <c r="MLF507" s="325"/>
      <c r="MLG507" s="325"/>
      <c r="MLH507" s="325"/>
      <c r="MLI507" s="325"/>
      <c r="MLJ507" s="325"/>
      <c r="MLK507" s="325"/>
      <c r="MLL507" s="325"/>
      <c r="MLM507" s="325"/>
      <c r="MLN507" s="325"/>
      <c r="MLO507" s="325"/>
      <c r="MLP507" s="325"/>
      <c r="MLQ507" s="327"/>
      <c r="MLR507" s="28"/>
      <c r="MLS507" s="324"/>
      <c r="MLT507" s="324"/>
      <c r="MLU507" s="324"/>
      <c r="MLV507" s="324"/>
      <c r="MLW507" s="324"/>
      <c r="MLX507" s="324"/>
      <c r="MLY507" s="256"/>
      <c r="MLZ507" s="325"/>
      <c r="MMA507" s="311"/>
      <c r="MMB507" s="325"/>
      <c r="MMC507" s="310"/>
      <c r="MMD507" s="325"/>
      <c r="MME507" s="325"/>
      <c r="MMF507" s="325"/>
      <c r="MMG507" s="325"/>
      <c r="MMH507" s="325"/>
      <c r="MMI507" s="325"/>
      <c r="MMJ507" s="325"/>
      <c r="MMK507" s="325"/>
      <c r="MML507" s="325"/>
      <c r="MMM507" s="325"/>
      <c r="MMN507" s="325"/>
      <c r="MMO507" s="325"/>
      <c r="MMP507" s="325"/>
      <c r="MMQ507" s="325"/>
      <c r="MMR507" s="325"/>
      <c r="MMS507" s="325"/>
      <c r="MMT507" s="325"/>
      <c r="MMU507" s="325"/>
      <c r="MMV507" s="325"/>
      <c r="MMW507" s="325"/>
      <c r="MMX507" s="325"/>
      <c r="MMY507" s="325"/>
      <c r="MMZ507" s="325"/>
      <c r="MNA507" s="325"/>
      <c r="MNB507" s="325"/>
      <c r="MNC507" s="325"/>
      <c r="MND507" s="325"/>
      <c r="MNE507" s="325"/>
      <c r="MNF507" s="325"/>
      <c r="MNG507" s="325"/>
      <c r="MNH507" s="327"/>
      <c r="MNI507" s="28"/>
      <c r="MNJ507" s="324"/>
      <c r="MNK507" s="324"/>
      <c r="MNL507" s="324"/>
      <c r="MNM507" s="324"/>
      <c r="MNN507" s="324"/>
      <c r="MNO507" s="324"/>
      <c r="MNP507" s="256"/>
      <c r="MNQ507" s="325"/>
      <c r="MNR507" s="311"/>
      <c r="MNS507" s="325"/>
      <c r="MNT507" s="310"/>
      <c r="MNU507" s="325"/>
      <c r="MNV507" s="325"/>
      <c r="MNW507" s="325"/>
      <c r="MNX507" s="325"/>
      <c r="MNY507" s="325"/>
      <c r="MNZ507" s="325"/>
      <c r="MOA507" s="325"/>
      <c r="MOB507" s="325"/>
      <c r="MOC507" s="325"/>
      <c r="MOD507" s="325"/>
      <c r="MOE507" s="325"/>
      <c r="MOF507" s="325"/>
      <c r="MOG507" s="325"/>
      <c r="MOH507" s="325"/>
      <c r="MOI507" s="325"/>
      <c r="MOJ507" s="325"/>
      <c r="MOK507" s="325"/>
      <c r="MOL507" s="325"/>
      <c r="MOM507" s="325"/>
      <c r="MON507" s="325"/>
      <c r="MOO507" s="325"/>
      <c r="MOP507" s="325"/>
      <c r="MOQ507" s="325"/>
      <c r="MOR507" s="325"/>
      <c r="MOS507" s="325"/>
      <c r="MOT507" s="325"/>
      <c r="MOU507" s="325"/>
      <c r="MOV507" s="325"/>
      <c r="MOW507" s="325"/>
      <c r="MOX507" s="325"/>
      <c r="MOY507" s="327"/>
      <c r="MOZ507" s="28"/>
      <c r="MPA507" s="324"/>
      <c r="MPB507" s="324"/>
      <c r="MPC507" s="324"/>
      <c r="MPD507" s="324"/>
      <c r="MPE507" s="324"/>
      <c r="MPF507" s="324"/>
      <c r="MPG507" s="256"/>
      <c r="MPH507" s="325"/>
      <c r="MPI507" s="311"/>
      <c r="MPJ507" s="325"/>
      <c r="MPK507" s="310"/>
      <c r="MPL507" s="325"/>
      <c r="MPM507" s="325"/>
      <c r="MPN507" s="325"/>
      <c r="MPO507" s="325"/>
      <c r="MPP507" s="325"/>
      <c r="MPQ507" s="325"/>
      <c r="MPR507" s="325"/>
      <c r="MPS507" s="325"/>
      <c r="MPT507" s="325"/>
      <c r="MPU507" s="325"/>
      <c r="MPV507" s="325"/>
      <c r="MPW507" s="325"/>
      <c r="MPX507" s="325"/>
      <c r="MPY507" s="325"/>
      <c r="MPZ507" s="325"/>
      <c r="MQA507" s="325"/>
      <c r="MQB507" s="325"/>
      <c r="MQC507" s="325"/>
      <c r="MQD507" s="325"/>
      <c r="MQE507" s="325"/>
      <c r="MQF507" s="325"/>
      <c r="MQG507" s="325"/>
      <c r="MQH507" s="325"/>
      <c r="MQI507" s="325"/>
      <c r="MQJ507" s="325"/>
      <c r="MQK507" s="325"/>
      <c r="MQL507" s="325"/>
      <c r="MQM507" s="325"/>
      <c r="MQN507" s="325"/>
      <c r="MQO507" s="325"/>
      <c r="MQP507" s="327"/>
      <c r="MQQ507" s="28"/>
      <c r="MQR507" s="324"/>
      <c r="MQS507" s="324"/>
      <c r="MQT507" s="324"/>
      <c r="MQU507" s="324"/>
      <c r="MQV507" s="324"/>
      <c r="MQW507" s="324"/>
      <c r="MQX507" s="256"/>
      <c r="MQY507" s="325"/>
      <c r="MQZ507" s="311"/>
      <c r="MRA507" s="325"/>
      <c r="MRB507" s="310"/>
      <c r="MRC507" s="325"/>
      <c r="MRD507" s="325"/>
      <c r="MRE507" s="325"/>
      <c r="MRF507" s="325"/>
      <c r="MRG507" s="325"/>
      <c r="MRH507" s="325"/>
      <c r="MRI507" s="325"/>
      <c r="MRJ507" s="325"/>
      <c r="MRK507" s="325"/>
      <c r="MRL507" s="325"/>
      <c r="MRM507" s="325"/>
      <c r="MRN507" s="325"/>
      <c r="MRO507" s="325"/>
      <c r="MRP507" s="325"/>
      <c r="MRQ507" s="325"/>
      <c r="MRR507" s="325"/>
      <c r="MRS507" s="325"/>
      <c r="MRT507" s="325"/>
      <c r="MRU507" s="325"/>
      <c r="MRV507" s="325"/>
      <c r="MRW507" s="325"/>
      <c r="MRX507" s="325"/>
      <c r="MRY507" s="325"/>
      <c r="MRZ507" s="325"/>
      <c r="MSA507" s="325"/>
      <c r="MSB507" s="325"/>
      <c r="MSC507" s="325"/>
      <c r="MSD507" s="325"/>
      <c r="MSE507" s="325"/>
      <c r="MSF507" s="325"/>
      <c r="MSG507" s="327"/>
      <c r="MSH507" s="28"/>
      <c r="MSI507" s="324"/>
      <c r="MSJ507" s="324"/>
      <c r="MSK507" s="324"/>
      <c r="MSL507" s="324"/>
      <c r="MSM507" s="324"/>
      <c r="MSN507" s="324"/>
      <c r="MSO507" s="256"/>
      <c r="MSP507" s="325"/>
      <c r="MSQ507" s="311"/>
      <c r="MSR507" s="325"/>
      <c r="MSS507" s="310"/>
      <c r="MST507" s="325"/>
      <c r="MSU507" s="325"/>
      <c r="MSV507" s="325"/>
      <c r="MSW507" s="325"/>
      <c r="MSX507" s="325"/>
      <c r="MSY507" s="325"/>
      <c r="MSZ507" s="325"/>
      <c r="MTA507" s="325"/>
      <c r="MTB507" s="325"/>
      <c r="MTC507" s="325"/>
      <c r="MTD507" s="325"/>
      <c r="MTE507" s="325"/>
      <c r="MTF507" s="325"/>
      <c r="MTG507" s="325"/>
      <c r="MTH507" s="325"/>
      <c r="MTI507" s="325"/>
      <c r="MTJ507" s="325"/>
      <c r="MTK507" s="325"/>
      <c r="MTL507" s="325"/>
      <c r="MTM507" s="325"/>
      <c r="MTN507" s="325"/>
      <c r="MTO507" s="325"/>
      <c r="MTP507" s="325"/>
      <c r="MTQ507" s="325"/>
      <c r="MTR507" s="325"/>
      <c r="MTS507" s="325"/>
      <c r="MTT507" s="325"/>
      <c r="MTU507" s="325"/>
      <c r="MTV507" s="325"/>
      <c r="MTW507" s="325"/>
      <c r="MTX507" s="327"/>
      <c r="MTY507" s="28"/>
      <c r="MTZ507" s="324"/>
      <c r="MUA507" s="324"/>
      <c r="MUB507" s="324"/>
      <c r="MUC507" s="324"/>
      <c r="MUD507" s="324"/>
      <c r="MUE507" s="324"/>
      <c r="MUF507" s="256"/>
      <c r="MUG507" s="325"/>
      <c r="MUH507" s="311"/>
      <c r="MUI507" s="325"/>
      <c r="MUJ507" s="310"/>
      <c r="MUK507" s="325"/>
      <c r="MUL507" s="325"/>
      <c r="MUM507" s="325"/>
      <c r="MUN507" s="325"/>
      <c r="MUO507" s="325"/>
      <c r="MUP507" s="325"/>
      <c r="MUQ507" s="325"/>
      <c r="MUR507" s="325"/>
      <c r="MUS507" s="325"/>
      <c r="MUT507" s="325"/>
      <c r="MUU507" s="325"/>
      <c r="MUV507" s="325"/>
      <c r="MUW507" s="325"/>
      <c r="MUX507" s="325"/>
      <c r="MUY507" s="325"/>
      <c r="MUZ507" s="325"/>
      <c r="MVA507" s="325"/>
      <c r="MVB507" s="325"/>
      <c r="MVC507" s="325"/>
      <c r="MVD507" s="325"/>
      <c r="MVE507" s="325"/>
      <c r="MVF507" s="325"/>
      <c r="MVG507" s="325"/>
      <c r="MVH507" s="325"/>
      <c r="MVI507" s="325"/>
      <c r="MVJ507" s="325"/>
      <c r="MVK507" s="325"/>
      <c r="MVL507" s="325"/>
      <c r="MVM507" s="325"/>
      <c r="MVN507" s="325"/>
      <c r="MVO507" s="327"/>
      <c r="MVP507" s="28"/>
      <c r="MVQ507" s="324"/>
      <c r="MVR507" s="324"/>
      <c r="MVS507" s="324"/>
      <c r="MVT507" s="324"/>
      <c r="MVU507" s="324"/>
      <c r="MVV507" s="324"/>
      <c r="MVW507" s="256"/>
      <c r="MVX507" s="325"/>
      <c r="MVY507" s="311"/>
      <c r="MVZ507" s="325"/>
      <c r="MWA507" s="310"/>
      <c r="MWB507" s="325"/>
      <c r="MWC507" s="325"/>
      <c r="MWD507" s="325"/>
      <c r="MWE507" s="325"/>
      <c r="MWF507" s="325"/>
      <c r="MWG507" s="325"/>
      <c r="MWH507" s="325"/>
      <c r="MWI507" s="325"/>
      <c r="MWJ507" s="325"/>
      <c r="MWK507" s="325"/>
      <c r="MWL507" s="325"/>
      <c r="MWM507" s="325"/>
      <c r="MWN507" s="325"/>
      <c r="MWO507" s="325"/>
      <c r="MWP507" s="325"/>
      <c r="MWQ507" s="325"/>
      <c r="MWR507" s="325"/>
      <c r="MWS507" s="325"/>
      <c r="MWT507" s="325"/>
      <c r="MWU507" s="325"/>
      <c r="MWV507" s="325"/>
      <c r="MWW507" s="325"/>
      <c r="MWX507" s="325"/>
      <c r="MWY507" s="325"/>
      <c r="MWZ507" s="325"/>
      <c r="MXA507" s="325"/>
      <c r="MXB507" s="325"/>
      <c r="MXC507" s="325"/>
      <c r="MXD507" s="325"/>
      <c r="MXE507" s="325"/>
      <c r="MXF507" s="327"/>
      <c r="MXG507" s="28"/>
      <c r="MXH507" s="324"/>
      <c r="MXI507" s="324"/>
      <c r="MXJ507" s="324"/>
      <c r="MXK507" s="324"/>
      <c r="MXL507" s="324"/>
      <c r="MXM507" s="324"/>
      <c r="MXN507" s="256"/>
      <c r="MXO507" s="325"/>
      <c r="MXP507" s="311"/>
      <c r="MXQ507" s="325"/>
      <c r="MXR507" s="310"/>
      <c r="MXS507" s="325"/>
      <c r="MXT507" s="325"/>
      <c r="MXU507" s="325"/>
      <c r="MXV507" s="325"/>
      <c r="MXW507" s="325"/>
      <c r="MXX507" s="325"/>
      <c r="MXY507" s="325"/>
      <c r="MXZ507" s="325"/>
      <c r="MYA507" s="325"/>
      <c r="MYB507" s="325"/>
      <c r="MYC507" s="325"/>
      <c r="MYD507" s="325"/>
      <c r="MYE507" s="325"/>
      <c r="MYF507" s="325"/>
      <c r="MYG507" s="325"/>
      <c r="MYH507" s="325"/>
      <c r="MYI507" s="325"/>
      <c r="MYJ507" s="325"/>
      <c r="MYK507" s="325"/>
      <c r="MYL507" s="325"/>
      <c r="MYM507" s="325"/>
      <c r="MYN507" s="325"/>
      <c r="MYO507" s="325"/>
      <c r="MYP507" s="325"/>
      <c r="MYQ507" s="325"/>
      <c r="MYR507" s="325"/>
      <c r="MYS507" s="325"/>
      <c r="MYT507" s="325"/>
      <c r="MYU507" s="325"/>
      <c r="MYV507" s="325"/>
      <c r="MYW507" s="327"/>
      <c r="MYX507" s="28"/>
      <c r="MYY507" s="324"/>
      <c r="MYZ507" s="324"/>
      <c r="MZA507" s="324"/>
      <c r="MZB507" s="324"/>
      <c r="MZC507" s="324"/>
      <c r="MZD507" s="324"/>
      <c r="MZE507" s="256"/>
      <c r="MZF507" s="325"/>
      <c r="MZG507" s="311"/>
      <c r="MZH507" s="325"/>
      <c r="MZI507" s="310"/>
      <c r="MZJ507" s="325"/>
      <c r="MZK507" s="325"/>
      <c r="MZL507" s="325"/>
      <c r="MZM507" s="325"/>
      <c r="MZN507" s="325"/>
      <c r="MZO507" s="325"/>
      <c r="MZP507" s="325"/>
      <c r="MZQ507" s="325"/>
      <c r="MZR507" s="325"/>
      <c r="MZS507" s="325"/>
      <c r="MZT507" s="325"/>
      <c r="MZU507" s="325"/>
      <c r="MZV507" s="325"/>
      <c r="MZW507" s="325"/>
      <c r="MZX507" s="325"/>
      <c r="MZY507" s="325"/>
      <c r="MZZ507" s="325"/>
      <c r="NAA507" s="325"/>
      <c r="NAB507" s="325"/>
      <c r="NAC507" s="325"/>
      <c r="NAD507" s="325"/>
      <c r="NAE507" s="325"/>
      <c r="NAF507" s="325"/>
      <c r="NAG507" s="325"/>
      <c r="NAH507" s="325"/>
      <c r="NAI507" s="325"/>
      <c r="NAJ507" s="325"/>
      <c r="NAK507" s="325"/>
      <c r="NAL507" s="325"/>
      <c r="NAM507" s="325"/>
      <c r="NAN507" s="327"/>
      <c r="NAO507" s="28"/>
      <c r="NAP507" s="324"/>
      <c r="NAQ507" s="324"/>
      <c r="NAR507" s="324"/>
      <c r="NAS507" s="324"/>
      <c r="NAT507" s="324"/>
      <c r="NAU507" s="324"/>
      <c r="NAV507" s="256"/>
      <c r="NAW507" s="325"/>
      <c r="NAX507" s="311"/>
      <c r="NAY507" s="325"/>
      <c r="NAZ507" s="310"/>
      <c r="NBA507" s="325"/>
      <c r="NBB507" s="325"/>
      <c r="NBC507" s="325"/>
      <c r="NBD507" s="325"/>
      <c r="NBE507" s="325"/>
      <c r="NBF507" s="325"/>
      <c r="NBG507" s="325"/>
      <c r="NBH507" s="325"/>
      <c r="NBI507" s="325"/>
      <c r="NBJ507" s="325"/>
      <c r="NBK507" s="325"/>
      <c r="NBL507" s="325"/>
      <c r="NBM507" s="325"/>
      <c r="NBN507" s="325"/>
      <c r="NBO507" s="325"/>
      <c r="NBP507" s="325"/>
      <c r="NBQ507" s="325"/>
      <c r="NBR507" s="325"/>
      <c r="NBS507" s="325"/>
      <c r="NBT507" s="325"/>
      <c r="NBU507" s="325"/>
      <c r="NBV507" s="325"/>
      <c r="NBW507" s="325"/>
      <c r="NBX507" s="325"/>
      <c r="NBY507" s="325"/>
      <c r="NBZ507" s="325"/>
      <c r="NCA507" s="325"/>
      <c r="NCB507" s="325"/>
      <c r="NCC507" s="325"/>
      <c r="NCD507" s="325"/>
      <c r="NCE507" s="327"/>
      <c r="NCF507" s="28"/>
      <c r="NCG507" s="324"/>
      <c r="NCH507" s="324"/>
      <c r="NCI507" s="324"/>
      <c r="NCJ507" s="324"/>
      <c r="NCK507" s="324"/>
      <c r="NCL507" s="324"/>
      <c r="NCM507" s="256"/>
      <c r="NCN507" s="325"/>
      <c r="NCO507" s="311"/>
      <c r="NCP507" s="325"/>
      <c r="NCQ507" s="310"/>
      <c r="NCR507" s="325"/>
      <c r="NCS507" s="325"/>
      <c r="NCT507" s="325"/>
      <c r="NCU507" s="325"/>
      <c r="NCV507" s="325"/>
      <c r="NCW507" s="325"/>
      <c r="NCX507" s="325"/>
      <c r="NCY507" s="325"/>
      <c r="NCZ507" s="325"/>
      <c r="NDA507" s="325"/>
      <c r="NDB507" s="325"/>
      <c r="NDC507" s="325"/>
      <c r="NDD507" s="325"/>
      <c r="NDE507" s="325"/>
      <c r="NDF507" s="325"/>
      <c r="NDG507" s="325"/>
      <c r="NDH507" s="325"/>
      <c r="NDI507" s="325"/>
      <c r="NDJ507" s="325"/>
      <c r="NDK507" s="325"/>
      <c r="NDL507" s="325"/>
      <c r="NDM507" s="325"/>
      <c r="NDN507" s="325"/>
      <c r="NDO507" s="325"/>
      <c r="NDP507" s="325"/>
      <c r="NDQ507" s="325"/>
      <c r="NDR507" s="325"/>
      <c r="NDS507" s="325"/>
      <c r="NDT507" s="325"/>
      <c r="NDU507" s="325"/>
      <c r="NDV507" s="327"/>
      <c r="NDW507" s="28"/>
      <c r="NDX507" s="324"/>
      <c r="NDY507" s="324"/>
      <c r="NDZ507" s="324"/>
      <c r="NEA507" s="324"/>
      <c r="NEB507" s="324"/>
      <c r="NEC507" s="324"/>
      <c r="NED507" s="256"/>
      <c r="NEE507" s="325"/>
      <c r="NEF507" s="311"/>
      <c r="NEG507" s="325"/>
      <c r="NEH507" s="310"/>
      <c r="NEI507" s="325"/>
      <c r="NEJ507" s="325"/>
      <c r="NEK507" s="325"/>
      <c r="NEL507" s="325"/>
      <c r="NEM507" s="325"/>
      <c r="NEN507" s="325"/>
      <c r="NEO507" s="325"/>
      <c r="NEP507" s="325"/>
      <c r="NEQ507" s="325"/>
      <c r="NER507" s="325"/>
      <c r="NES507" s="325"/>
      <c r="NET507" s="325"/>
      <c r="NEU507" s="325"/>
      <c r="NEV507" s="325"/>
      <c r="NEW507" s="325"/>
      <c r="NEX507" s="325"/>
      <c r="NEY507" s="325"/>
      <c r="NEZ507" s="325"/>
      <c r="NFA507" s="325"/>
      <c r="NFB507" s="325"/>
      <c r="NFC507" s="325"/>
      <c r="NFD507" s="325"/>
      <c r="NFE507" s="325"/>
      <c r="NFF507" s="325"/>
      <c r="NFG507" s="325"/>
      <c r="NFH507" s="325"/>
      <c r="NFI507" s="325"/>
      <c r="NFJ507" s="325"/>
      <c r="NFK507" s="325"/>
      <c r="NFL507" s="325"/>
      <c r="NFM507" s="327"/>
      <c r="NFN507" s="28"/>
      <c r="NFO507" s="324"/>
      <c r="NFP507" s="324"/>
      <c r="NFQ507" s="324"/>
      <c r="NFR507" s="324"/>
      <c r="NFS507" s="324"/>
      <c r="NFT507" s="324"/>
      <c r="NFU507" s="256"/>
      <c r="NFV507" s="325"/>
      <c r="NFW507" s="311"/>
      <c r="NFX507" s="325"/>
      <c r="NFY507" s="310"/>
      <c r="NFZ507" s="325"/>
      <c r="NGA507" s="325"/>
      <c r="NGB507" s="325"/>
      <c r="NGC507" s="325"/>
      <c r="NGD507" s="325"/>
      <c r="NGE507" s="325"/>
      <c r="NGF507" s="325"/>
      <c r="NGG507" s="325"/>
      <c r="NGH507" s="325"/>
      <c r="NGI507" s="325"/>
      <c r="NGJ507" s="325"/>
      <c r="NGK507" s="325"/>
      <c r="NGL507" s="325"/>
      <c r="NGM507" s="325"/>
      <c r="NGN507" s="325"/>
      <c r="NGO507" s="325"/>
      <c r="NGP507" s="325"/>
      <c r="NGQ507" s="325"/>
      <c r="NGR507" s="325"/>
      <c r="NGS507" s="325"/>
      <c r="NGT507" s="325"/>
      <c r="NGU507" s="325"/>
      <c r="NGV507" s="325"/>
      <c r="NGW507" s="325"/>
      <c r="NGX507" s="325"/>
      <c r="NGY507" s="325"/>
      <c r="NGZ507" s="325"/>
      <c r="NHA507" s="325"/>
      <c r="NHB507" s="325"/>
      <c r="NHC507" s="325"/>
      <c r="NHD507" s="327"/>
      <c r="NHE507" s="28"/>
      <c r="NHF507" s="324"/>
      <c r="NHG507" s="324"/>
      <c r="NHH507" s="324"/>
      <c r="NHI507" s="324"/>
      <c r="NHJ507" s="324"/>
      <c r="NHK507" s="324"/>
      <c r="NHL507" s="256"/>
      <c r="NHM507" s="325"/>
      <c r="NHN507" s="311"/>
      <c r="NHO507" s="325"/>
      <c r="NHP507" s="310"/>
      <c r="NHQ507" s="325"/>
      <c r="NHR507" s="325"/>
      <c r="NHS507" s="325"/>
      <c r="NHT507" s="325"/>
      <c r="NHU507" s="325"/>
      <c r="NHV507" s="325"/>
      <c r="NHW507" s="325"/>
      <c r="NHX507" s="325"/>
      <c r="NHY507" s="325"/>
      <c r="NHZ507" s="325"/>
      <c r="NIA507" s="325"/>
      <c r="NIB507" s="325"/>
      <c r="NIC507" s="325"/>
      <c r="NID507" s="325"/>
      <c r="NIE507" s="325"/>
      <c r="NIF507" s="325"/>
      <c r="NIG507" s="325"/>
      <c r="NIH507" s="325"/>
      <c r="NII507" s="325"/>
      <c r="NIJ507" s="325"/>
      <c r="NIK507" s="325"/>
      <c r="NIL507" s="325"/>
      <c r="NIM507" s="325"/>
      <c r="NIN507" s="325"/>
      <c r="NIO507" s="325"/>
      <c r="NIP507" s="325"/>
      <c r="NIQ507" s="325"/>
      <c r="NIR507" s="325"/>
      <c r="NIS507" s="325"/>
      <c r="NIT507" s="325"/>
      <c r="NIU507" s="327"/>
      <c r="NIV507" s="28"/>
      <c r="NIW507" s="324"/>
      <c r="NIX507" s="324"/>
      <c r="NIY507" s="324"/>
      <c r="NIZ507" s="324"/>
      <c r="NJA507" s="324"/>
      <c r="NJB507" s="324"/>
      <c r="NJC507" s="256"/>
      <c r="NJD507" s="325"/>
      <c r="NJE507" s="311"/>
      <c r="NJF507" s="325"/>
      <c r="NJG507" s="310"/>
      <c r="NJH507" s="325"/>
      <c r="NJI507" s="325"/>
      <c r="NJJ507" s="325"/>
      <c r="NJK507" s="325"/>
      <c r="NJL507" s="325"/>
      <c r="NJM507" s="325"/>
      <c r="NJN507" s="325"/>
      <c r="NJO507" s="325"/>
      <c r="NJP507" s="325"/>
      <c r="NJQ507" s="325"/>
      <c r="NJR507" s="325"/>
      <c r="NJS507" s="325"/>
      <c r="NJT507" s="325"/>
      <c r="NJU507" s="325"/>
      <c r="NJV507" s="325"/>
      <c r="NJW507" s="325"/>
      <c r="NJX507" s="325"/>
      <c r="NJY507" s="325"/>
      <c r="NJZ507" s="325"/>
      <c r="NKA507" s="325"/>
      <c r="NKB507" s="325"/>
      <c r="NKC507" s="325"/>
      <c r="NKD507" s="325"/>
      <c r="NKE507" s="325"/>
      <c r="NKF507" s="325"/>
      <c r="NKG507" s="325"/>
      <c r="NKH507" s="325"/>
      <c r="NKI507" s="325"/>
      <c r="NKJ507" s="325"/>
      <c r="NKK507" s="325"/>
      <c r="NKL507" s="327"/>
      <c r="NKM507" s="28"/>
      <c r="NKN507" s="324"/>
      <c r="NKO507" s="324"/>
      <c r="NKP507" s="324"/>
      <c r="NKQ507" s="324"/>
      <c r="NKR507" s="324"/>
      <c r="NKS507" s="324"/>
      <c r="NKT507" s="256"/>
      <c r="NKU507" s="325"/>
      <c r="NKV507" s="311"/>
      <c r="NKW507" s="325"/>
      <c r="NKX507" s="310"/>
      <c r="NKY507" s="325"/>
      <c r="NKZ507" s="325"/>
      <c r="NLA507" s="325"/>
      <c r="NLB507" s="325"/>
      <c r="NLC507" s="325"/>
      <c r="NLD507" s="325"/>
      <c r="NLE507" s="325"/>
      <c r="NLF507" s="325"/>
      <c r="NLG507" s="325"/>
      <c r="NLH507" s="325"/>
      <c r="NLI507" s="325"/>
      <c r="NLJ507" s="325"/>
      <c r="NLK507" s="325"/>
      <c r="NLL507" s="325"/>
      <c r="NLM507" s="325"/>
      <c r="NLN507" s="325"/>
      <c r="NLO507" s="325"/>
      <c r="NLP507" s="325"/>
      <c r="NLQ507" s="325"/>
      <c r="NLR507" s="325"/>
      <c r="NLS507" s="325"/>
      <c r="NLT507" s="325"/>
      <c r="NLU507" s="325"/>
      <c r="NLV507" s="325"/>
      <c r="NLW507" s="325"/>
      <c r="NLX507" s="325"/>
      <c r="NLY507" s="325"/>
      <c r="NLZ507" s="325"/>
      <c r="NMA507" s="325"/>
      <c r="NMB507" s="325"/>
      <c r="NMC507" s="327"/>
      <c r="NMD507" s="28"/>
      <c r="NME507" s="324"/>
      <c r="NMF507" s="324"/>
      <c r="NMG507" s="324"/>
      <c r="NMH507" s="324"/>
      <c r="NMI507" s="324"/>
      <c r="NMJ507" s="324"/>
      <c r="NMK507" s="256"/>
      <c r="NML507" s="325"/>
      <c r="NMM507" s="311"/>
      <c r="NMN507" s="325"/>
      <c r="NMO507" s="310"/>
      <c r="NMP507" s="325"/>
      <c r="NMQ507" s="325"/>
      <c r="NMR507" s="325"/>
      <c r="NMS507" s="325"/>
      <c r="NMT507" s="325"/>
      <c r="NMU507" s="325"/>
      <c r="NMV507" s="325"/>
      <c r="NMW507" s="325"/>
      <c r="NMX507" s="325"/>
      <c r="NMY507" s="325"/>
      <c r="NMZ507" s="325"/>
      <c r="NNA507" s="325"/>
      <c r="NNB507" s="325"/>
      <c r="NNC507" s="325"/>
      <c r="NND507" s="325"/>
      <c r="NNE507" s="325"/>
      <c r="NNF507" s="325"/>
      <c r="NNG507" s="325"/>
      <c r="NNH507" s="325"/>
      <c r="NNI507" s="325"/>
      <c r="NNJ507" s="325"/>
      <c r="NNK507" s="325"/>
      <c r="NNL507" s="325"/>
      <c r="NNM507" s="325"/>
      <c r="NNN507" s="325"/>
      <c r="NNO507" s="325"/>
      <c r="NNP507" s="325"/>
      <c r="NNQ507" s="325"/>
      <c r="NNR507" s="325"/>
      <c r="NNS507" s="325"/>
      <c r="NNT507" s="327"/>
      <c r="NNU507" s="28"/>
      <c r="NNV507" s="324"/>
      <c r="NNW507" s="324"/>
      <c r="NNX507" s="324"/>
      <c r="NNY507" s="324"/>
      <c r="NNZ507" s="324"/>
      <c r="NOA507" s="324"/>
      <c r="NOB507" s="256"/>
      <c r="NOC507" s="325"/>
      <c r="NOD507" s="311"/>
      <c r="NOE507" s="325"/>
      <c r="NOF507" s="310"/>
      <c r="NOG507" s="325"/>
      <c r="NOH507" s="325"/>
      <c r="NOI507" s="325"/>
      <c r="NOJ507" s="325"/>
      <c r="NOK507" s="325"/>
      <c r="NOL507" s="325"/>
      <c r="NOM507" s="325"/>
      <c r="NON507" s="325"/>
      <c r="NOO507" s="325"/>
      <c r="NOP507" s="325"/>
      <c r="NOQ507" s="325"/>
      <c r="NOR507" s="325"/>
      <c r="NOS507" s="325"/>
      <c r="NOT507" s="325"/>
      <c r="NOU507" s="325"/>
      <c r="NOV507" s="325"/>
      <c r="NOW507" s="325"/>
      <c r="NOX507" s="325"/>
      <c r="NOY507" s="325"/>
      <c r="NOZ507" s="325"/>
      <c r="NPA507" s="325"/>
      <c r="NPB507" s="325"/>
      <c r="NPC507" s="325"/>
      <c r="NPD507" s="325"/>
      <c r="NPE507" s="325"/>
      <c r="NPF507" s="325"/>
      <c r="NPG507" s="325"/>
      <c r="NPH507" s="325"/>
      <c r="NPI507" s="325"/>
      <c r="NPJ507" s="325"/>
      <c r="NPK507" s="327"/>
      <c r="NPL507" s="28"/>
      <c r="NPM507" s="324"/>
      <c r="NPN507" s="324"/>
      <c r="NPO507" s="324"/>
      <c r="NPP507" s="324"/>
      <c r="NPQ507" s="324"/>
      <c r="NPR507" s="324"/>
      <c r="NPS507" s="256"/>
      <c r="NPT507" s="325"/>
      <c r="NPU507" s="311"/>
      <c r="NPV507" s="325"/>
      <c r="NPW507" s="310"/>
      <c r="NPX507" s="325"/>
      <c r="NPY507" s="325"/>
      <c r="NPZ507" s="325"/>
      <c r="NQA507" s="325"/>
      <c r="NQB507" s="325"/>
      <c r="NQC507" s="325"/>
      <c r="NQD507" s="325"/>
      <c r="NQE507" s="325"/>
      <c r="NQF507" s="325"/>
      <c r="NQG507" s="325"/>
      <c r="NQH507" s="325"/>
      <c r="NQI507" s="325"/>
      <c r="NQJ507" s="325"/>
      <c r="NQK507" s="325"/>
      <c r="NQL507" s="325"/>
      <c r="NQM507" s="325"/>
      <c r="NQN507" s="325"/>
      <c r="NQO507" s="325"/>
      <c r="NQP507" s="325"/>
      <c r="NQQ507" s="325"/>
      <c r="NQR507" s="325"/>
      <c r="NQS507" s="325"/>
      <c r="NQT507" s="325"/>
      <c r="NQU507" s="325"/>
      <c r="NQV507" s="325"/>
      <c r="NQW507" s="325"/>
      <c r="NQX507" s="325"/>
      <c r="NQY507" s="325"/>
      <c r="NQZ507" s="325"/>
      <c r="NRA507" s="325"/>
      <c r="NRB507" s="327"/>
      <c r="NRC507" s="28"/>
      <c r="NRD507" s="324"/>
      <c r="NRE507" s="324"/>
      <c r="NRF507" s="324"/>
      <c r="NRG507" s="324"/>
      <c r="NRH507" s="324"/>
      <c r="NRI507" s="324"/>
      <c r="NRJ507" s="256"/>
      <c r="NRK507" s="325"/>
      <c r="NRL507" s="311"/>
      <c r="NRM507" s="325"/>
      <c r="NRN507" s="310"/>
      <c r="NRO507" s="325"/>
      <c r="NRP507" s="325"/>
      <c r="NRQ507" s="325"/>
      <c r="NRR507" s="325"/>
      <c r="NRS507" s="325"/>
      <c r="NRT507" s="325"/>
      <c r="NRU507" s="325"/>
      <c r="NRV507" s="325"/>
      <c r="NRW507" s="325"/>
      <c r="NRX507" s="325"/>
      <c r="NRY507" s="325"/>
      <c r="NRZ507" s="325"/>
      <c r="NSA507" s="325"/>
      <c r="NSB507" s="325"/>
      <c r="NSC507" s="325"/>
      <c r="NSD507" s="325"/>
      <c r="NSE507" s="325"/>
      <c r="NSF507" s="325"/>
      <c r="NSG507" s="325"/>
      <c r="NSH507" s="325"/>
      <c r="NSI507" s="325"/>
      <c r="NSJ507" s="325"/>
      <c r="NSK507" s="325"/>
      <c r="NSL507" s="325"/>
      <c r="NSM507" s="325"/>
      <c r="NSN507" s="325"/>
      <c r="NSO507" s="325"/>
      <c r="NSP507" s="325"/>
      <c r="NSQ507" s="325"/>
      <c r="NSR507" s="325"/>
      <c r="NSS507" s="327"/>
      <c r="NST507" s="28"/>
      <c r="NSU507" s="324"/>
      <c r="NSV507" s="324"/>
      <c r="NSW507" s="324"/>
      <c r="NSX507" s="324"/>
      <c r="NSY507" s="324"/>
      <c r="NSZ507" s="324"/>
      <c r="NTA507" s="256"/>
      <c r="NTB507" s="325"/>
      <c r="NTC507" s="311"/>
      <c r="NTD507" s="325"/>
      <c r="NTE507" s="310"/>
      <c r="NTF507" s="325"/>
      <c r="NTG507" s="325"/>
      <c r="NTH507" s="325"/>
      <c r="NTI507" s="325"/>
      <c r="NTJ507" s="325"/>
      <c r="NTK507" s="325"/>
      <c r="NTL507" s="325"/>
      <c r="NTM507" s="325"/>
      <c r="NTN507" s="325"/>
      <c r="NTO507" s="325"/>
      <c r="NTP507" s="325"/>
      <c r="NTQ507" s="325"/>
      <c r="NTR507" s="325"/>
      <c r="NTS507" s="325"/>
      <c r="NTT507" s="325"/>
      <c r="NTU507" s="325"/>
      <c r="NTV507" s="325"/>
      <c r="NTW507" s="325"/>
      <c r="NTX507" s="325"/>
      <c r="NTY507" s="325"/>
      <c r="NTZ507" s="325"/>
      <c r="NUA507" s="325"/>
      <c r="NUB507" s="325"/>
      <c r="NUC507" s="325"/>
      <c r="NUD507" s="325"/>
      <c r="NUE507" s="325"/>
      <c r="NUF507" s="325"/>
      <c r="NUG507" s="325"/>
      <c r="NUH507" s="325"/>
      <c r="NUI507" s="325"/>
      <c r="NUJ507" s="327"/>
      <c r="NUK507" s="28"/>
      <c r="NUL507" s="324"/>
      <c r="NUM507" s="324"/>
      <c r="NUN507" s="324"/>
      <c r="NUO507" s="324"/>
      <c r="NUP507" s="324"/>
      <c r="NUQ507" s="324"/>
      <c r="NUR507" s="256"/>
      <c r="NUS507" s="325"/>
      <c r="NUT507" s="311"/>
      <c r="NUU507" s="325"/>
      <c r="NUV507" s="310"/>
      <c r="NUW507" s="325"/>
      <c r="NUX507" s="325"/>
      <c r="NUY507" s="325"/>
      <c r="NUZ507" s="325"/>
      <c r="NVA507" s="325"/>
      <c r="NVB507" s="325"/>
      <c r="NVC507" s="325"/>
      <c r="NVD507" s="325"/>
      <c r="NVE507" s="325"/>
      <c r="NVF507" s="325"/>
      <c r="NVG507" s="325"/>
      <c r="NVH507" s="325"/>
      <c r="NVI507" s="325"/>
      <c r="NVJ507" s="325"/>
      <c r="NVK507" s="325"/>
      <c r="NVL507" s="325"/>
      <c r="NVM507" s="325"/>
      <c r="NVN507" s="325"/>
      <c r="NVO507" s="325"/>
      <c r="NVP507" s="325"/>
      <c r="NVQ507" s="325"/>
      <c r="NVR507" s="325"/>
      <c r="NVS507" s="325"/>
      <c r="NVT507" s="325"/>
      <c r="NVU507" s="325"/>
      <c r="NVV507" s="325"/>
      <c r="NVW507" s="325"/>
      <c r="NVX507" s="325"/>
      <c r="NVY507" s="325"/>
      <c r="NVZ507" s="325"/>
      <c r="NWA507" s="327"/>
      <c r="NWB507" s="28"/>
      <c r="NWC507" s="324"/>
      <c r="NWD507" s="324"/>
      <c r="NWE507" s="324"/>
      <c r="NWF507" s="324"/>
      <c r="NWG507" s="324"/>
      <c r="NWH507" s="324"/>
      <c r="NWI507" s="256"/>
      <c r="NWJ507" s="325"/>
      <c r="NWK507" s="311"/>
      <c r="NWL507" s="325"/>
      <c r="NWM507" s="310"/>
      <c r="NWN507" s="325"/>
      <c r="NWO507" s="325"/>
      <c r="NWP507" s="325"/>
      <c r="NWQ507" s="325"/>
      <c r="NWR507" s="325"/>
      <c r="NWS507" s="325"/>
      <c r="NWT507" s="325"/>
      <c r="NWU507" s="325"/>
      <c r="NWV507" s="325"/>
      <c r="NWW507" s="325"/>
      <c r="NWX507" s="325"/>
      <c r="NWY507" s="325"/>
      <c r="NWZ507" s="325"/>
      <c r="NXA507" s="325"/>
      <c r="NXB507" s="325"/>
      <c r="NXC507" s="325"/>
      <c r="NXD507" s="325"/>
      <c r="NXE507" s="325"/>
      <c r="NXF507" s="325"/>
      <c r="NXG507" s="325"/>
      <c r="NXH507" s="325"/>
      <c r="NXI507" s="325"/>
      <c r="NXJ507" s="325"/>
      <c r="NXK507" s="325"/>
      <c r="NXL507" s="325"/>
      <c r="NXM507" s="325"/>
      <c r="NXN507" s="325"/>
      <c r="NXO507" s="325"/>
      <c r="NXP507" s="325"/>
      <c r="NXQ507" s="325"/>
      <c r="NXR507" s="327"/>
      <c r="NXS507" s="28"/>
      <c r="NXT507" s="324"/>
      <c r="NXU507" s="324"/>
      <c r="NXV507" s="324"/>
      <c r="NXW507" s="324"/>
      <c r="NXX507" s="324"/>
      <c r="NXY507" s="324"/>
      <c r="NXZ507" s="256"/>
      <c r="NYA507" s="325"/>
      <c r="NYB507" s="311"/>
      <c r="NYC507" s="325"/>
      <c r="NYD507" s="310"/>
      <c r="NYE507" s="325"/>
      <c r="NYF507" s="325"/>
      <c r="NYG507" s="325"/>
      <c r="NYH507" s="325"/>
      <c r="NYI507" s="325"/>
      <c r="NYJ507" s="325"/>
      <c r="NYK507" s="325"/>
      <c r="NYL507" s="325"/>
      <c r="NYM507" s="325"/>
      <c r="NYN507" s="325"/>
      <c r="NYO507" s="325"/>
      <c r="NYP507" s="325"/>
      <c r="NYQ507" s="325"/>
      <c r="NYR507" s="325"/>
      <c r="NYS507" s="325"/>
      <c r="NYT507" s="325"/>
      <c r="NYU507" s="325"/>
      <c r="NYV507" s="325"/>
      <c r="NYW507" s="325"/>
      <c r="NYX507" s="325"/>
      <c r="NYY507" s="325"/>
      <c r="NYZ507" s="325"/>
      <c r="NZA507" s="325"/>
      <c r="NZB507" s="325"/>
      <c r="NZC507" s="325"/>
      <c r="NZD507" s="325"/>
      <c r="NZE507" s="325"/>
      <c r="NZF507" s="325"/>
      <c r="NZG507" s="325"/>
      <c r="NZH507" s="325"/>
      <c r="NZI507" s="327"/>
      <c r="NZJ507" s="28"/>
      <c r="NZK507" s="324"/>
      <c r="NZL507" s="324"/>
      <c r="NZM507" s="324"/>
      <c r="NZN507" s="324"/>
      <c r="NZO507" s="324"/>
      <c r="NZP507" s="324"/>
      <c r="NZQ507" s="256"/>
      <c r="NZR507" s="325"/>
      <c r="NZS507" s="311"/>
      <c r="NZT507" s="325"/>
      <c r="NZU507" s="310"/>
      <c r="NZV507" s="325"/>
      <c r="NZW507" s="325"/>
      <c r="NZX507" s="325"/>
      <c r="NZY507" s="325"/>
      <c r="NZZ507" s="325"/>
      <c r="OAA507" s="325"/>
      <c r="OAB507" s="325"/>
      <c r="OAC507" s="325"/>
      <c r="OAD507" s="325"/>
      <c r="OAE507" s="325"/>
      <c r="OAF507" s="325"/>
      <c r="OAG507" s="325"/>
      <c r="OAH507" s="325"/>
      <c r="OAI507" s="325"/>
      <c r="OAJ507" s="325"/>
      <c r="OAK507" s="325"/>
      <c r="OAL507" s="325"/>
      <c r="OAM507" s="325"/>
      <c r="OAN507" s="325"/>
      <c r="OAO507" s="325"/>
      <c r="OAP507" s="325"/>
      <c r="OAQ507" s="325"/>
      <c r="OAR507" s="325"/>
      <c r="OAS507" s="325"/>
      <c r="OAT507" s="325"/>
      <c r="OAU507" s="325"/>
      <c r="OAV507" s="325"/>
      <c r="OAW507" s="325"/>
      <c r="OAX507" s="325"/>
      <c r="OAY507" s="325"/>
      <c r="OAZ507" s="327"/>
      <c r="OBA507" s="28"/>
      <c r="OBB507" s="324"/>
      <c r="OBC507" s="324"/>
      <c r="OBD507" s="324"/>
      <c r="OBE507" s="324"/>
      <c r="OBF507" s="324"/>
      <c r="OBG507" s="324"/>
      <c r="OBH507" s="256"/>
      <c r="OBI507" s="325"/>
      <c r="OBJ507" s="311"/>
      <c r="OBK507" s="325"/>
      <c r="OBL507" s="310"/>
      <c r="OBM507" s="325"/>
      <c r="OBN507" s="325"/>
      <c r="OBO507" s="325"/>
      <c r="OBP507" s="325"/>
      <c r="OBQ507" s="325"/>
      <c r="OBR507" s="325"/>
      <c r="OBS507" s="325"/>
      <c r="OBT507" s="325"/>
      <c r="OBU507" s="325"/>
      <c r="OBV507" s="325"/>
      <c r="OBW507" s="325"/>
      <c r="OBX507" s="325"/>
      <c r="OBY507" s="325"/>
      <c r="OBZ507" s="325"/>
      <c r="OCA507" s="325"/>
      <c r="OCB507" s="325"/>
      <c r="OCC507" s="325"/>
      <c r="OCD507" s="325"/>
      <c r="OCE507" s="325"/>
      <c r="OCF507" s="325"/>
      <c r="OCG507" s="325"/>
      <c r="OCH507" s="325"/>
      <c r="OCI507" s="325"/>
      <c r="OCJ507" s="325"/>
      <c r="OCK507" s="325"/>
      <c r="OCL507" s="325"/>
      <c r="OCM507" s="325"/>
      <c r="OCN507" s="325"/>
      <c r="OCO507" s="325"/>
      <c r="OCP507" s="325"/>
      <c r="OCQ507" s="327"/>
      <c r="OCR507" s="28"/>
      <c r="OCS507" s="324"/>
      <c r="OCT507" s="324"/>
      <c r="OCU507" s="324"/>
      <c r="OCV507" s="324"/>
      <c r="OCW507" s="324"/>
      <c r="OCX507" s="324"/>
      <c r="OCY507" s="256"/>
      <c r="OCZ507" s="325"/>
      <c r="ODA507" s="311"/>
      <c r="ODB507" s="325"/>
      <c r="ODC507" s="310"/>
      <c r="ODD507" s="325"/>
      <c r="ODE507" s="325"/>
      <c r="ODF507" s="325"/>
      <c r="ODG507" s="325"/>
      <c r="ODH507" s="325"/>
      <c r="ODI507" s="325"/>
      <c r="ODJ507" s="325"/>
      <c r="ODK507" s="325"/>
      <c r="ODL507" s="325"/>
      <c r="ODM507" s="325"/>
      <c r="ODN507" s="325"/>
      <c r="ODO507" s="325"/>
      <c r="ODP507" s="325"/>
      <c r="ODQ507" s="325"/>
      <c r="ODR507" s="325"/>
      <c r="ODS507" s="325"/>
      <c r="ODT507" s="325"/>
      <c r="ODU507" s="325"/>
      <c r="ODV507" s="325"/>
      <c r="ODW507" s="325"/>
      <c r="ODX507" s="325"/>
      <c r="ODY507" s="325"/>
      <c r="ODZ507" s="325"/>
      <c r="OEA507" s="325"/>
      <c r="OEB507" s="325"/>
      <c r="OEC507" s="325"/>
      <c r="OED507" s="325"/>
      <c r="OEE507" s="325"/>
      <c r="OEF507" s="325"/>
      <c r="OEG507" s="325"/>
      <c r="OEH507" s="327"/>
      <c r="OEI507" s="28"/>
      <c r="OEJ507" s="324"/>
      <c r="OEK507" s="324"/>
      <c r="OEL507" s="324"/>
      <c r="OEM507" s="324"/>
      <c r="OEN507" s="324"/>
      <c r="OEO507" s="324"/>
      <c r="OEP507" s="256"/>
      <c r="OEQ507" s="325"/>
      <c r="OER507" s="311"/>
      <c r="OES507" s="325"/>
      <c r="OET507" s="310"/>
      <c r="OEU507" s="325"/>
      <c r="OEV507" s="325"/>
      <c r="OEW507" s="325"/>
      <c r="OEX507" s="325"/>
      <c r="OEY507" s="325"/>
      <c r="OEZ507" s="325"/>
      <c r="OFA507" s="325"/>
      <c r="OFB507" s="325"/>
      <c r="OFC507" s="325"/>
      <c r="OFD507" s="325"/>
      <c r="OFE507" s="325"/>
      <c r="OFF507" s="325"/>
      <c r="OFG507" s="325"/>
      <c r="OFH507" s="325"/>
      <c r="OFI507" s="325"/>
      <c r="OFJ507" s="325"/>
      <c r="OFK507" s="325"/>
      <c r="OFL507" s="325"/>
      <c r="OFM507" s="325"/>
      <c r="OFN507" s="325"/>
      <c r="OFO507" s="325"/>
      <c r="OFP507" s="325"/>
      <c r="OFQ507" s="325"/>
      <c r="OFR507" s="325"/>
      <c r="OFS507" s="325"/>
      <c r="OFT507" s="325"/>
      <c r="OFU507" s="325"/>
      <c r="OFV507" s="325"/>
      <c r="OFW507" s="325"/>
      <c r="OFX507" s="325"/>
      <c r="OFY507" s="327"/>
      <c r="OFZ507" s="28"/>
      <c r="OGA507" s="324"/>
      <c r="OGB507" s="324"/>
      <c r="OGC507" s="324"/>
      <c r="OGD507" s="324"/>
      <c r="OGE507" s="324"/>
      <c r="OGF507" s="324"/>
      <c r="OGG507" s="256"/>
      <c r="OGH507" s="325"/>
      <c r="OGI507" s="311"/>
      <c r="OGJ507" s="325"/>
      <c r="OGK507" s="310"/>
      <c r="OGL507" s="325"/>
      <c r="OGM507" s="325"/>
      <c r="OGN507" s="325"/>
      <c r="OGO507" s="325"/>
      <c r="OGP507" s="325"/>
      <c r="OGQ507" s="325"/>
      <c r="OGR507" s="325"/>
      <c r="OGS507" s="325"/>
      <c r="OGT507" s="325"/>
      <c r="OGU507" s="325"/>
      <c r="OGV507" s="325"/>
      <c r="OGW507" s="325"/>
      <c r="OGX507" s="325"/>
      <c r="OGY507" s="325"/>
      <c r="OGZ507" s="325"/>
      <c r="OHA507" s="325"/>
      <c r="OHB507" s="325"/>
      <c r="OHC507" s="325"/>
      <c r="OHD507" s="325"/>
      <c r="OHE507" s="325"/>
      <c r="OHF507" s="325"/>
      <c r="OHG507" s="325"/>
      <c r="OHH507" s="325"/>
      <c r="OHI507" s="325"/>
      <c r="OHJ507" s="325"/>
      <c r="OHK507" s="325"/>
      <c r="OHL507" s="325"/>
      <c r="OHM507" s="325"/>
      <c r="OHN507" s="325"/>
      <c r="OHO507" s="325"/>
      <c r="OHP507" s="327"/>
      <c r="OHQ507" s="28"/>
      <c r="OHR507" s="324"/>
      <c r="OHS507" s="324"/>
      <c r="OHT507" s="324"/>
      <c r="OHU507" s="324"/>
      <c r="OHV507" s="324"/>
      <c r="OHW507" s="324"/>
      <c r="OHX507" s="256"/>
      <c r="OHY507" s="325"/>
      <c r="OHZ507" s="311"/>
      <c r="OIA507" s="325"/>
      <c r="OIB507" s="310"/>
      <c r="OIC507" s="325"/>
      <c r="OID507" s="325"/>
      <c r="OIE507" s="325"/>
      <c r="OIF507" s="325"/>
      <c r="OIG507" s="325"/>
      <c r="OIH507" s="325"/>
      <c r="OII507" s="325"/>
      <c r="OIJ507" s="325"/>
      <c r="OIK507" s="325"/>
      <c r="OIL507" s="325"/>
      <c r="OIM507" s="325"/>
      <c r="OIN507" s="325"/>
      <c r="OIO507" s="325"/>
      <c r="OIP507" s="325"/>
      <c r="OIQ507" s="325"/>
      <c r="OIR507" s="325"/>
      <c r="OIS507" s="325"/>
      <c r="OIT507" s="325"/>
      <c r="OIU507" s="325"/>
      <c r="OIV507" s="325"/>
      <c r="OIW507" s="325"/>
      <c r="OIX507" s="325"/>
      <c r="OIY507" s="325"/>
      <c r="OIZ507" s="325"/>
      <c r="OJA507" s="325"/>
      <c r="OJB507" s="325"/>
      <c r="OJC507" s="325"/>
      <c r="OJD507" s="325"/>
      <c r="OJE507" s="325"/>
      <c r="OJF507" s="325"/>
      <c r="OJG507" s="327"/>
      <c r="OJH507" s="28"/>
      <c r="OJI507" s="324"/>
      <c r="OJJ507" s="324"/>
      <c r="OJK507" s="324"/>
      <c r="OJL507" s="324"/>
      <c r="OJM507" s="324"/>
      <c r="OJN507" s="324"/>
      <c r="OJO507" s="256"/>
      <c r="OJP507" s="325"/>
      <c r="OJQ507" s="311"/>
      <c r="OJR507" s="325"/>
      <c r="OJS507" s="310"/>
      <c r="OJT507" s="325"/>
      <c r="OJU507" s="325"/>
      <c r="OJV507" s="325"/>
      <c r="OJW507" s="325"/>
      <c r="OJX507" s="325"/>
      <c r="OJY507" s="325"/>
      <c r="OJZ507" s="325"/>
      <c r="OKA507" s="325"/>
      <c r="OKB507" s="325"/>
      <c r="OKC507" s="325"/>
      <c r="OKD507" s="325"/>
      <c r="OKE507" s="325"/>
      <c r="OKF507" s="325"/>
      <c r="OKG507" s="325"/>
      <c r="OKH507" s="325"/>
      <c r="OKI507" s="325"/>
      <c r="OKJ507" s="325"/>
      <c r="OKK507" s="325"/>
      <c r="OKL507" s="325"/>
      <c r="OKM507" s="325"/>
      <c r="OKN507" s="325"/>
      <c r="OKO507" s="325"/>
      <c r="OKP507" s="325"/>
      <c r="OKQ507" s="325"/>
      <c r="OKR507" s="325"/>
      <c r="OKS507" s="325"/>
      <c r="OKT507" s="325"/>
      <c r="OKU507" s="325"/>
      <c r="OKV507" s="325"/>
      <c r="OKW507" s="325"/>
      <c r="OKX507" s="327"/>
      <c r="OKY507" s="28"/>
      <c r="OKZ507" s="324"/>
      <c r="OLA507" s="324"/>
      <c r="OLB507" s="324"/>
      <c r="OLC507" s="324"/>
      <c r="OLD507" s="324"/>
      <c r="OLE507" s="324"/>
      <c r="OLF507" s="256"/>
      <c r="OLG507" s="325"/>
      <c r="OLH507" s="311"/>
      <c r="OLI507" s="325"/>
      <c r="OLJ507" s="310"/>
      <c r="OLK507" s="325"/>
      <c r="OLL507" s="325"/>
      <c r="OLM507" s="325"/>
      <c r="OLN507" s="325"/>
      <c r="OLO507" s="325"/>
      <c r="OLP507" s="325"/>
      <c r="OLQ507" s="325"/>
      <c r="OLR507" s="325"/>
      <c r="OLS507" s="325"/>
      <c r="OLT507" s="325"/>
      <c r="OLU507" s="325"/>
      <c r="OLV507" s="325"/>
      <c r="OLW507" s="325"/>
      <c r="OLX507" s="325"/>
      <c r="OLY507" s="325"/>
      <c r="OLZ507" s="325"/>
      <c r="OMA507" s="325"/>
      <c r="OMB507" s="325"/>
      <c r="OMC507" s="325"/>
      <c r="OMD507" s="325"/>
      <c r="OME507" s="325"/>
      <c r="OMF507" s="325"/>
      <c r="OMG507" s="325"/>
      <c r="OMH507" s="325"/>
      <c r="OMI507" s="325"/>
      <c r="OMJ507" s="325"/>
      <c r="OMK507" s="325"/>
      <c r="OML507" s="325"/>
      <c r="OMM507" s="325"/>
      <c r="OMN507" s="325"/>
      <c r="OMO507" s="327"/>
      <c r="OMP507" s="28"/>
      <c r="OMQ507" s="324"/>
      <c r="OMR507" s="324"/>
      <c r="OMS507" s="324"/>
      <c r="OMT507" s="324"/>
      <c r="OMU507" s="324"/>
      <c r="OMV507" s="324"/>
      <c r="OMW507" s="256"/>
      <c r="OMX507" s="325"/>
      <c r="OMY507" s="311"/>
      <c r="OMZ507" s="325"/>
      <c r="ONA507" s="310"/>
      <c r="ONB507" s="325"/>
      <c r="ONC507" s="325"/>
      <c r="OND507" s="325"/>
      <c r="ONE507" s="325"/>
      <c r="ONF507" s="325"/>
      <c r="ONG507" s="325"/>
      <c r="ONH507" s="325"/>
      <c r="ONI507" s="325"/>
      <c r="ONJ507" s="325"/>
      <c r="ONK507" s="325"/>
      <c r="ONL507" s="325"/>
      <c r="ONM507" s="325"/>
      <c r="ONN507" s="325"/>
      <c r="ONO507" s="325"/>
      <c r="ONP507" s="325"/>
      <c r="ONQ507" s="325"/>
      <c r="ONR507" s="325"/>
      <c r="ONS507" s="325"/>
      <c r="ONT507" s="325"/>
      <c r="ONU507" s="325"/>
      <c r="ONV507" s="325"/>
      <c r="ONW507" s="325"/>
      <c r="ONX507" s="325"/>
      <c r="ONY507" s="325"/>
      <c r="ONZ507" s="325"/>
      <c r="OOA507" s="325"/>
      <c r="OOB507" s="325"/>
      <c r="OOC507" s="325"/>
      <c r="OOD507" s="325"/>
      <c r="OOE507" s="325"/>
      <c r="OOF507" s="327"/>
      <c r="OOG507" s="28"/>
      <c r="OOH507" s="324"/>
      <c r="OOI507" s="324"/>
      <c r="OOJ507" s="324"/>
      <c r="OOK507" s="324"/>
      <c r="OOL507" s="324"/>
      <c r="OOM507" s="324"/>
      <c r="OON507" s="256"/>
      <c r="OOO507" s="325"/>
      <c r="OOP507" s="311"/>
      <c r="OOQ507" s="325"/>
      <c r="OOR507" s="310"/>
      <c r="OOS507" s="325"/>
      <c r="OOT507" s="325"/>
      <c r="OOU507" s="325"/>
      <c r="OOV507" s="325"/>
      <c r="OOW507" s="325"/>
      <c r="OOX507" s="325"/>
      <c r="OOY507" s="325"/>
      <c r="OOZ507" s="325"/>
      <c r="OPA507" s="325"/>
      <c r="OPB507" s="325"/>
      <c r="OPC507" s="325"/>
      <c r="OPD507" s="325"/>
      <c r="OPE507" s="325"/>
      <c r="OPF507" s="325"/>
      <c r="OPG507" s="325"/>
      <c r="OPH507" s="325"/>
      <c r="OPI507" s="325"/>
      <c r="OPJ507" s="325"/>
      <c r="OPK507" s="325"/>
      <c r="OPL507" s="325"/>
      <c r="OPM507" s="325"/>
      <c r="OPN507" s="325"/>
      <c r="OPO507" s="325"/>
      <c r="OPP507" s="325"/>
      <c r="OPQ507" s="325"/>
      <c r="OPR507" s="325"/>
      <c r="OPS507" s="325"/>
      <c r="OPT507" s="325"/>
      <c r="OPU507" s="325"/>
      <c r="OPV507" s="325"/>
      <c r="OPW507" s="327"/>
      <c r="OPX507" s="28"/>
      <c r="OPY507" s="324"/>
      <c r="OPZ507" s="324"/>
      <c r="OQA507" s="324"/>
      <c r="OQB507" s="324"/>
      <c r="OQC507" s="324"/>
      <c r="OQD507" s="324"/>
      <c r="OQE507" s="256"/>
      <c r="OQF507" s="325"/>
      <c r="OQG507" s="311"/>
      <c r="OQH507" s="325"/>
      <c r="OQI507" s="310"/>
      <c r="OQJ507" s="325"/>
      <c r="OQK507" s="325"/>
      <c r="OQL507" s="325"/>
      <c r="OQM507" s="325"/>
      <c r="OQN507" s="325"/>
      <c r="OQO507" s="325"/>
      <c r="OQP507" s="325"/>
      <c r="OQQ507" s="325"/>
      <c r="OQR507" s="325"/>
      <c r="OQS507" s="325"/>
      <c r="OQT507" s="325"/>
      <c r="OQU507" s="325"/>
      <c r="OQV507" s="325"/>
      <c r="OQW507" s="325"/>
      <c r="OQX507" s="325"/>
      <c r="OQY507" s="325"/>
      <c r="OQZ507" s="325"/>
      <c r="ORA507" s="325"/>
      <c r="ORB507" s="325"/>
      <c r="ORC507" s="325"/>
      <c r="ORD507" s="325"/>
      <c r="ORE507" s="325"/>
      <c r="ORF507" s="325"/>
      <c r="ORG507" s="325"/>
      <c r="ORH507" s="325"/>
      <c r="ORI507" s="325"/>
      <c r="ORJ507" s="325"/>
      <c r="ORK507" s="325"/>
      <c r="ORL507" s="325"/>
      <c r="ORM507" s="325"/>
      <c r="ORN507" s="327"/>
      <c r="ORO507" s="28"/>
      <c r="ORP507" s="324"/>
      <c r="ORQ507" s="324"/>
      <c r="ORR507" s="324"/>
      <c r="ORS507" s="324"/>
      <c r="ORT507" s="324"/>
      <c r="ORU507" s="324"/>
      <c r="ORV507" s="256"/>
      <c r="ORW507" s="325"/>
      <c r="ORX507" s="311"/>
      <c r="ORY507" s="325"/>
      <c r="ORZ507" s="310"/>
      <c r="OSA507" s="325"/>
      <c r="OSB507" s="325"/>
      <c r="OSC507" s="325"/>
      <c r="OSD507" s="325"/>
      <c r="OSE507" s="325"/>
      <c r="OSF507" s="325"/>
      <c r="OSG507" s="325"/>
      <c r="OSH507" s="325"/>
      <c r="OSI507" s="325"/>
      <c r="OSJ507" s="325"/>
      <c r="OSK507" s="325"/>
      <c r="OSL507" s="325"/>
      <c r="OSM507" s="325"/>
      <c r="OSN507" s="325"/>
      <c r="OSO507" s="325"/>
      <c r="OSP507" s="325"/>
      <c r="OSQ507" s="325"/>
      <c r="OSR507" s="325"/>
      <c r="OSS507" s="325"/>
      <c r="OST507" s="325"/>
      <c r="OSU507" s="325"/>
      <c r="OSV507" s="325"/>
      <c r="OSW507" s="325"/>
      <c r="OSX507" s="325"/>
      <c r="OSY507" s="325"/>
      <c r="OSZ507" s="325"/>
      <c r="OTA507" s="325"/>
      <c r="OTB507" s="325"/>
      <c r="OTC507" s="325"/>
      <c r="OTD507" s="325"/>
      <c r="OTE507" s="327"/>
      <c r="OTF507" s="28"/>
      <c r="OTG507" s="324"/>
      <c r="OTH507" s="324"/>
      <c r="OTI507" s="324"/>
      <c r="OTJ507" s="324"/>
      <c r="OTK507" s="324"/>
      <c r="OTL507" s="324"/>
      <c r="OTM507" s="256"/>
      <c r="OTN507" s="325"/>
      <c r="OTO507" s="311"/>
      <c r="OTP507" s="325"/>
      <c r="OTQ507" s="310"/>
      <c r="OTR507" s="325"/>
      <c r="OTS507" s="325"/>
      <c r="OTT507" s="325"/>
      <c r="OTU507" s="325"/>
      <c r="OTV507" s="325"/>
      <c r="OTW507" s="325"/>
      <c r="OTX507" s="325"/>
      <c r="OTY507" s="325"/>
      <c r="OTZ507" s="325"/>
      <c r="OUA507" s="325"/>
      <c r="OUB507" s="325"/>
      <c r="OUC507" s="325"/>
      <c r="OUD507" s="325"/>
      <c r="OUE507" s="325"/>
      <c r="OUF507" s="325"/>
      <c r="OUG507" s="325"/>
      <c r="OUH507" s="325"/>
      <c r="OUI507" s="325"/>
      <c r="OUJ507" s="325"/>
      <c r="OUK507" s="325"/>
      <c r="OUL507" s="325"/>
      <c r="OUM507" s="325"/>
      <c r="OUN507" s="325"/>
      <c r="OUO507" s="325"/>
      <c r="OUP507" s="325"/>
      <c r="OUQ507" s="325"/>
      <c r="OUR507" s="325"/>
      <c r="OUS507" s="325"/>
      <c r="OUT507" s="325"/>
      <c r="OUU507" s="325"/>
      <c r="OUV507" s="327"/>
      <c r="OUW507" s="28"/>
      <c r="OUX507" s="324"/>
      <c r="OUY507" s="324"/>
      <c r="OUZ507" s="324"/>
      <c r="OVA507" s="324"/>
      <c r="OVB507" s="324"/>
      <c r="OVC507" s="324"/>
      <c r="OVD507" s="256"/>
      <c r="OVE507" s="325"/>
      <c r="OVF507" s="311"/>
      <c r="OVG507" s="325"/>
      <c r="OVH507" s="310"/>
      <c r="OVI507" s="325"/>
      <c r="OVJ507" s="325"/>
      <c r="OVK507" s="325"/>
      <c r="OVL507" s="325"/>
      <c r="OVM507" s="325"/>
      <c r="OVN507" s="325"/>
      <c r="OVO507" s="325"/>
      <c r="OVP507" s="325"/>
      <c r="OVQ507" s="325"/>
      <c r="OVR507" s="325"/>
      <c r="OVS507" s="325"/>
      <c r="OVT507" s="325"/>
      <c r="OVU507" s="325"/>
      <c r="OVV507" s="325"/>
      <c r="OVW507" s="325"/>
      <c r="OVX507" s="325"/>
      <c r="OVY507" s="325"/>
      <c r="OVZ507" s="325"/>
      <c r="OWA507" s="325"/>
      <c r="OWB507" s="325"/>
      <c r="OWC507" s="325"/>
      <c r="OWD507" s="325"/>
      <c r="OWE507" s="325"/>
      <c r="OWF507" s="325"/>
      <c r="OWG507" s="325"/>
      <c r="OWH507" s="325"/>
      <c r="OWI507" s="325"/>
      <c r="OWJ507" s="325"/>
      <c r="OWK507" s="325"/>
      <c r="OWL507" s="325"/>
      <c r="OWM507" s="327"/>
      <c r="OWN507" s="28"/>
      <c r="OWO507" s="324"/>
      <c r="OWP507" s="324"/>
      <c r="OWQ507" s="324"/>
      <c r="OWR507" s="324"/>
      <c r="OWS507" s="324"/>
      <c r="OWT507" s="324"/>
      <c r="OWU507" s="256"/>
      <c r="OWV507" s="325"/>
      <c r="OWW507" s="311"/>
      <c r="OWX507" s="325"/>
      <c r="OWY507" s="310"/>
      <c r="OWZ507" s="325"/>
      <c r="OXA507" s="325"/>
      <c r="OXB507" s="325"/>
      <c r="OXC507" s="325"/>
      <c r="OXD507" s="325"/>
      <c r="OXE507" s="325"/>
      <c r="OXF507" s="325"/>
      <c r="OXG507" s="325"/>
      <c r="OXH507" s="325"/>
      <c r="OXI507" s="325"/>
      <c r="OXJ507" s="325"/>
      <c r="OXK507" s="325"/>
      <c r="OXL507" s="325"/>
      <c r="OXM507" s="325"/>
      <c r="OXN507" s="325"/>
      <c r="OXO507" s="325"/>
      <c r="OXP507" s="325"/>
      <c r="OXQ507" s="325"/>
      <c r="OXR507" s="325"/>
      <c r="OXS507" s="325"/>
      <c r="OXT507" s="325"/>
      <c r="OXU507" s="325"/>
      <c r="OXV507" s="325"/>
      <c r="OXW507" s="325"/>
      <c r="OXX507" s="325"/>
      <c r="OXY507" s="325"/>
      <c r="OXZ507" s="325"/>
      <c r="OYA507" s="325"/>
      <c r="OYB507" s="325"/>
      <c r="OYC507" s="325"/>
      <c r="OYD507" s="327"/>
      <c r="OYE507" s="28"/>
      <c r="OYF507" s="324"/>
      <c r="OYG507" s="324"/>
      <c r="OYH507" s="324"/>
      <c r="OYI507" s="324"/>
      <c r="OYJ507" s="324"/>
      <c r="OYK507" s="324"/>
      <c r="OYL507" s="256"/>
      <c r="OYM507" s="325"/>
      <c r="OYN507" s="311"/>
      <c r="OYO507" s="325"/>
      <c r="OYP507" s="310"/>
      <c r="OYQ507" s="325"/>
      <c r="OYR507" s="325"/>
      <c r="OYS507" s="325"/>
      <c r="OYT507" s="325"/>
      <c r="OYU507" s="325"/>
      <c r="OYV507" s="325"/>
      <c r="OYW507" s="325"/>
      <c r="OYX507" s="325"/>
      <c r="OYY507" s="325"/>
      <c r="OYZ507" s="325"/>
      <c r="OZA507" s="325"/>
      <c r="OZB507" s="325"/>
      <c r="OZC507" s="325"/>
      <c r="OZD507" s="325"/>
      <c r="OZE507" s="325"/>
      <c r="OZF507" s="325"/>
      <c r="OZG507" s="325"/>
      <c r="OZH507" s="325"/>
      <c r="OZI507" s="325"/>
      <c r="OZJ507" s="325"/>
      <c r="OZK507" s="325"/>
      <c r="OZL507" s="325"/>
      <c r="OZM507" s="325"/>
      <c r="OZN507" s="325"/>
      <c r="OZO507" s="325"/>
      <c r="OZP507" s="325"/>
      <c r="OZQ507" s="325"/>
      <c r="OZR507" s="325"/>
      <c r="OZS507" s="325"/>
      <c r="OZT507" s="325"/>
      <c r="OZU507" s="327"/>
      <c r="OZV507" s="28"/>
      <c r="OZW507" s="324"/>
      <c r="OZX507" s="324"/>
      <c r="OZY507" s="324"/>
      <c r="OZZ507" s="324"/>
      <c r="PAA507" s="324"/>
      <c r="PAB507" s="324"/>
      <c r="PAC507" s="256"/>
      <c r="PAD507" s="325"/>
      <c r="PAE507" s="311"/>
      <c r="PAF507" s="325"/>
      <c r="PAG507" s="310"/>
      <c r="PAH507" s="325"/>
      <c r="PAI507" s="325"/>
      <c r="PAJ507" s="325"/>
      <c r="PAK507" s="325"/>
      <c r="PAL507" s="325"/>
      <c r="PAM507" s="325"/>
      <c r="PAN507" s="325"/>
      <c r="PAO507" s="325"/>
      <c r="PAP507" s="325"/>
      <c r="PAQ507" s="325"/>
      <c r="PAR507" s="325"/>
      <c r="PAS507" s="325"/>
      <c r="PAT507" s="325"/>
      <c r="PAU507" s="325"/>
      <c r="PAV507" s="325"/>
      <c r="PAW507" s="325"/>
      <c r="PAX507" s="325"/>
      <c r="PAY507" s="325"/>
      <c r="PAZ507" s="325"/>
      <c r="PBA507" s="325"/>
      <c r="PBB507" s="325"/>
      <c r="PBC507" s="325"/>
      <c r="PBD507" s="325"/>
      <c r="PBE507" s="325"/>
      <c r="PBF507" s="325"/>
      <c r="PBG507" s="325"/>
      <c r="PBH507" s="325"/>
      <c r="PBI507" s="325"/>
      <c r="PBJ507" s="325"/>
      <c r="PBK507" s="325"/>
      <c r="PBL507" s="327"/>
      <c r="PBM507" s="28"/>
      <c r="PBN507" s="324"/>
      <c r="PBO507" s="324"/>
      <c r="PBP507" s="324"/>
      <c r="PBQ507" s="324"/>
      <c r="PBR507" s="324"/>
      <c r="PBS507" s="324"/>
      <c r="PBT507" s="256"/>
      <c r="PBU507" s="325"/>
      <c r="PBV507" s="311"/>
      <c r="PBW507" s="325"/>
      <c r="PBX507" s="310"/>
      <c r="PBY507" s="325"/>
      <c r="PBZ507" s="325"/>
      <c r="PCA507" s="325"/>
      <c r="PCB507" s="325"/>
      <c r="PCC507" s="325"/>
      <c r="PCD507" s="325"/>
      <c r="PCE507" s="325"/>
      <c r="PCF507" s="325"/>
      <c r="PCG507" s="325"/>
      <c r="PCH507" s="325"/>
      <c r="PCI507" s="325"/>
      <c r="PCJ507" s="325"/>
      <c r="PCK507" s="325"/>
      <c r="PCL507" s="325"/>
      <c r="PCM507" s="325"/>
      <c r="PCN507" s="325"/>
      <c r="PCO507" s="325"/>
      <c r="PCP507" s="325"/>
      <c r="PCQ507" s="325"/>
      <c r="PCR507" s="325"/>
      <c r="PCS507" s="325"/>
      <c r="PCT507" s="325"/>
      <c r="PCU507" s="325"/>
      <c r="PCV507" s="325"/>
      <c r="PCW507" s="325"/>
      <c r="PCX507" s="325"/>
      <c r="PCY507" s="325"/>
      <c r="PCZ507" s="325"/>
      <c r="PDA507" s="325"/>
      <c r="PDB507" s="325"/>
      <c r="PDC507" s="327"/>
      <c r="PDD507" s="28"/>
      <c r="PDE507" s="324"/>
      <c r="PDF507" s="324"/>
      <c r="PDG507" s="324"/>
      <c r="PDH507" s="324"/>
      <c r="PDI507" s="324"/>
      <c r="PDJ507" s="324"/>
      <c r="PDK507" s="256"/>
      <c r="PDL507" s="325"/>
      <c r="PDM507" s="311"/>
      <c r="PDN507" s="325"/>
      <c r="PDO507" s="310"/>
      <c r="PDP507" s="325"/>
      <c r="PDQ507" s="325"/>
      <c r="PDR507" s="325"/>
      <c r="PDS507" s="325"/>
      <c r="PDT507" s="325"/>
      <c r="PDU507" s="325"/>
      <c r="PDV507" s="325"/>
      <c r="PDW507" s="325"/>
      <c r="PDX507" s="325"/>
      <c r="PDY507" s="325"/>
      <c r="PDZ507" s="325"/>
      <c r="PEA507" s="325"/>
      <c r="PEB507" s="325"/>
      <c r="PEC507" s="325"/>
      <c r="PED507" s="325"/>
      <c r="PEE507" s="325"/>
      <c r="PEF507" s="325"/>
      <c r="PEG507" s="325"/>
      <c r="PEH507" s="325"/>
      <c r="PEI507" s="325"/>
      <c r="PEJ507" s="325"/>
      <c r="PEK507" s="325"/>
      <c r="PEL507" s="325"/>
      <c r="PEM507" s="325"/>
      <c r="PEN507" s="325"/>
      <c r="PEO507" s="325"/>
      <c r="PEP507" s="325"/>
      <c r="PEQ507" s="325"/>
      <c r="PER507" s="325"/>
      <c r="PES507" s="325"/>
      <c r="PET507" s="327"/>
      <c r="PEU507" s="28"/>
      <c r="PEV507" s="324"/>
      <c r="PEW507" s="324"/>
      <c r="PEX507" s="324"/>
      <c r="PEY507" s="324"/>
      <c r="PEZ507" s="324"/>
      <c r="PFA507" s="324"/>
      <c r="PFB507" s="256"/>
      <c r="PFC507" s="325"/>
      <c r="PFD507" s="311"/>
      <c r="PFE507" s="325"/>
      <c r="PFF507" s="310"/>
      <c r="PFG507" s="325"/>
      <c r="PFH507" s="325"/>
      <c r="PFI507" s="325"/>
      <c r="PFJ507" s="325"/>
      <c r="PFK507" s="325"/>
      <c r="PFL507" s="325"/>
      <c r="PFM507" s="325"/>
      <c r="PFN507" s="325"/>
      <c r="PFO507" s="325"/>
      <c r="PFP507" s="325"/>
      <c r="PFQ507" s="325"/>
      <c r="PFR507" s="325"/>
      <c r="PFS507" s="325"/>
      <c r="PFT507" s="325"/>
      <c r="PFU507" s="325"/>
      <c r="PFV507" s="325"/>
      <c r="PFW507" s="325"/>
      <c r="PFX507" s="325"/>
      <c r="PFY507" s="325"/>
      <c r="PFZ507" s="325"/>
      <c r="PGA507" s="325"/>
      <c r="PGB507" s="325"/>
      <c r="PGC507" s="325"/>
      <c r="PGD507" s="325"/>
      <c r="PGE507" s="325"/>
      <c r="PGF507" s="325"/>
      <c r="PGG507" s="325"/>
      <c r="PGH507" s="325"/>
      <c r="PGI507" s="325"/>
      <c r="PGJ507" s="325"/>
      <c r="PGK507" s="327"/>
      <c r="PGL507" s="28"/>
      <c r="PGM507" s="324"/>
      <c r="PGN507" s="324"/>
      <c r="PGO507" s="324"/>
      <c r="PGP507" s="324"/>
      <c r="PGQ507" s="324"/>
      <c r="PGR507" s="324"/>
      <c r="PGS507" s="256"/>
      <c r="PGT507" s="325"/>
      <c r="PGU507" s="311"/>
      <c r="PGV507" s="325"/>
      <c r="PGW507" s="310"/>
      <c r="PGX507" s="325"/>
      <c r="PGY507" s="325"/>
      <c r="PGZ507" s="325"/>
      <c r="PHA507" s="325"/>
      <c r="PHB507" s="325"/>
      <c r="PHC507" s="325"/>
      <c r="PHD507" s="325"/>
      <c r="PHE507" s="325"/>
      <c r="PHF507" s="325"/>
      <c r="PHG507" s="325"/>
      <c r="PHH507" s="325"/>
      <c r="PHI507" s="325"/>
      <c r="PHJ507" s="325"/>
      <c r="PHK507" s="325"/>
      <c r="PHL507" s="325"/>
      <c r="PHM507" s="325"/>
      <c r="PHN507" s="325"/>
      <c r="PHO507" s="325"/>
      <c r="PHP507" s="325"/>
      <c r="PHQ507" s="325"/>
      <c r="PHR507" s="325"/>
      <c r="PHS507" s="325"/>
      <c r="PHT507" s="325"/>
      <c r="PHU507" s="325"/>
      <c r="PHV507" s="325"/>
      <c r="PHW507" s="325"/>
      <c r="PHX507" s="325"/>
      <c r="PHY507" s="325"/>
      <c r="PHZ507" s="325"/>
      <c r="PIA507" s="325"/>
      <c r="PIB507" s="327"/>
      <c r="PIC507" s="28"/>
      <c r="PID507" s="324"/>
      <c r="PIE507" s="324"/>
      <c r="PIF507" s="324"/>
      <c r="PIG507" s="324"/>
      <c r="PIH507" s="324"/>
      <c r="PII507" s="324"/>
      <c r="PIJ507" s="256"/>
      <c r="PIK507" s="325"/>
      <c r="PIL507" s="311"/>
      <c r="PIM507" s="325"/>
      <c r="PIN507" s="310"/>
      <c r="PIO507" s="325"/>
      <c r="PIP507" s="325"/>
      <c r="PIQ507" s="325"/>
      <c r="PIR507" s="325"/>
      <c r="PIS507" s="325"/>
      <c r="PIT507" s="325"/>
      <c r="PIU507" s="325"/>
      <c r="PIV507" s="325"/>
      <c r="PIW507" s="325"/>
      <c r="PIX507" s="325"/>
      <c r="PIY507" s="325"/>
      <c r="PIZ507" s="325"/>
      <c r="PJA507" s="325"/>
      <c r="PJB507" s="325"/>
      <c r="PJC507" s="325"/>
      <c r="PJD507" s="325"/>
      <c r="PJE507" s="325"/>
      <c r="PJF507" s="325"/>
      <c r="PJG507" s="325"/>
      <c r="PJH507" s="325"/>
      <c r="PJI507" s="325"/>
      <c r="PJJ507" s="325"/>
      <c r="PJK507" s="325"/>
      <c r="PJL507" s="325"/>
      <c r="PJM507" s="325"/>
      <c r="PJN507" s="325"/>
      <c r="PJO507" s="325"/>
      <c r="PJP507" s="325"/>
      <c r="PJQ507" s="325"/>
      <c r="PJR507" s="325"/>
      <c r="PJS507" s="327"/>
      <c r="PJT507" s="28"/>
      <c r="PJU507" s="324"/>
      <c r="PJV507" s="324"/>
      <c r="PJW507" s="324"/>
      <c r="PJX507" s="324"/>
      <c r="PJY507" s="324"/>
      <c r="PJZ507" s="324"/>
      <c r="PKA507" s="256"/>
      <c r="PKB507" s="325"/>
      <c r="PKC507" s="311"/>
      <c r="PKD507" s="325"/>
      <c r="PKE507" s="310"/>
      <c r="PKF507" s="325"/>
      <c r="PKG507" s="325"/>
      <c r="PKH507" s="325"/>
      <c r="PKI507" s="325"/>
      <c r="PKJ507" s="325"/>
      <c r="PKK507" s="325"/>
      <c r="PKL507" s="325"/>
      <c r="PKM507" s="325"/>
      <c r="PKN507" s="325"/>
      <c r="PKO507" s="325"/>
      <c r="PKP507" s="325"/>
      <c r="PKQ507" s="325"/>
      <c r="PKR507" s="325"/>
      <c r="PKS507" s="325"/>
      <c r="PKT507" s="325"/>
      <c r="PKU507" s="325"/>
      <c r="PKV507" s="325"/>
      <c r="PKW507" s="325"/>
      <c r="PKX507" s="325"/>
      <c r="PKY507" s="325"/>
      <c r="PKZ507" s="325"/>
      <c r="PLA507" s="325"/>
      <c r="PLB507" s="325"/>
      <c r="PLC507" s="325"/>
      <c r="PLD507" s="325"/>
      <c r="PLE507" s="325"/>
      <c r="PLF507" s="325"/>
      <c r="PLG507" s="325"/>
      <c r="PLH507" s="325"/>
      <c r="PLI507" s="325"/>
      <c r="PLJ507" s="327"/>
      <c r="PLK507" s="28"/>
      <c r="PLL507" s="324"/>
      <c r="PLM507" s="324"/>
      <c r="PLN507" s="324"/>
      <c r="PLO507" s="324"/>
      <c r="PLP507" s="324"/>
      <c r="PLQ507" s="324"/>
      <c r="PLR507" s="256"/>
      <c r="PLS507" s="325"/>
      <c r="PLT507" s="311"/>
      <c r="PLU507" s="325"/>
      <c r="PLV507" s="310"/>
      <c r="PLW507" s="325"/>
      <c r="PLX507" s="325"/>
      <c r="PLY507" s="325"/>
      <c r="PLZ507" s="325"/>
      <c r="PMA507" s="325"/>
      <c r="PMB507" s="325"/>
      <c r="PMC507" s="325"/>
      <c r="PMD507" s="325"/>
      <c r="PME507" s="325"/>
      <c r="PMF507" s="325"/>
      <c r="PMG507" s="325"/>
      <c r="PMH507" s="325"/>
      <c r="PMI507" s="325"/>
      <c r="PMJ507" s="325"/>
      <c r="PMK507" s="325"/>
      <c r="PML507" s="325"/>
      <c r="PMM507" s="325"/>
      <c r="PMN507" s="325"/>
      <c r="PMO507" s="325"/>
      <c r="PMP507" s="325"/>
      <c r="PMQ507" s="325"/>
      <c r="PMR507" s="325"/>
      <c r="PMS507" s="325"/>
      <c r="PMT507" s="325"/>
      <c r="PMU507" s="325"/>
      <c r="PMV507" s="325"/>
      <c r="PMW507" s="325"/>
      <c r="PMX507" s="325"/>
      <c r="PMY507" s="325"/>
      <c r="PMZ507" s="325"/>
      <c r="PNA507" s="327"/>
      <c r="PNB507" s="28"/>
      <c r="PNC507" s="324"/>
      <c r="PND507" s="324"/>
      <c r="PNE507" s="324"/>
      <c r="PNF507" s="324"/>
      <c r="PNG507" s="324"/>
      <c r="PNH507" s="324"/>
      <c r="PNI507" s="256"/>
      <c r="PNJ507" s="325"/>
      <c r="PNK507" s="311"/>
      <c r="PNL507" s="325"/>
      <c r="PNM507" s="310"/>
      <c r="PNN507" s="325"/>
      <c r="PNO507" s="325"/>
      <c r="PNP507" s="325"/>
      <c r="PNQ507" s="325"/>
      <c r="PNR507" s="325"/>
      <c r="PNS507" s="325"/>
      <c r="PNT507" s="325"/>
      <c r="PNU507" s="325"/>
      <c r="PNV507" s="325"/>
      <c r="PNW507" s="325"/>
      <c r="PNX507" s="325"/>
      <c r="PNY507" s="325"/>
      <c r="PNZ507" s="325"/>
      <c r="POA507" s="325"/>
      <c r="POB507" s="325"/>
      <c r="POC507" s="325"/>
      <c r="POD507" s="325"/>
      <c r="POE507" s="325"/>
      <c r="POF507" s="325"/>
      <c r="POG507" s="325"/>
      <c r="POH507" s="325"/>
      <c r="POI507" s="325"/>
      <c r="POJ507" s="325"/>
      <c r="POK507" s="325"/>
      <c r="POL507" s="325"/>
      <c r="POM507" s="325"/>
      <c r="PON507" s="325"/>
      <c r="POO507" s="325"/>
      <c r="POP507" s="325"/>
      <c r="POQ507" s="325"/>
      <c r="POR507" s="327"/>
      <c r="POS507" s="28"/>
      <c r="POT507" s="324"/>
      <c r="POU507" s="324"/>
      <c r="POV507" s="324"/>
      <c r="POW507" s="324"/>
      <c r="POX507" s="324"/>
      <c r="POY507" s="324"/>
      <c r="POZ507" s="256"/>
      <c r="PPA507" s="325"/>
      <c r="PPB507" s="311"/>
      <c r="PPC507" s="325"/>
      <c r="PPD507" s="310"/>
      <c r="PPE507" s="325"/>
      <c r="PPF507" s="325"/>
      <c r="PPG507" s="325"/>
      <c r="PPH507" s="325"/>
      <c r="PPI507" s="325"/>
      <c r="PPJ507" s="325"/>
      <c r="PPK507" s="325"/>
      <c r="PPL507" s="325"/>
      <c r="PPM507" s="325"/>
      <c r="PPN507" s="325"/>
      <c r="PPO507" s="325"/>
      <c r="PPP507" s="325"/>
      <c r="PPQ507" s="325"/>
      <c r="PPR507" s="325"/>
      <c r="PPS507" s="325"/>
      <c r="PPT507" s="325"/>
      <c r="PPU507" s="325"/>
      <c r="PPV507" s="325"/>
      <c r="PPW507" s="325"/>
      <c r="PPX507" s="325"/>
      <c r="PPY507" s="325"/>
      <c r="PPZ507" s="325"/>
      <c r="PQA507" s="325"/>
      <c r="PQB507" s="325"/>
      <c r="PQC507" s="325"/>
      <c r="PQD507" s="325"/>
      <c r="PQE507" s="325"/>
      <c r="PQF507" s="325"/>
      <c r="PQG507" s="325"/>
      <c r="PQH507" s="325"/>
      <c r="PQI507" s="327"/>
      <c r="PQJ507" s="28"/>
      <c r="PQK507" s="324"/>
      <c r="PQL507" s="324"/>
      <c r="PQM507" s="324"/>
      <c r="PQN507" s="324"/>
      <c r="PQO507" s="324"/>
      <c r="PQP507" s="324"/>
      <c r="PQQ507" s="256"/>
      <c r="PQR507" s="325"/>
      <c r="PQS507" s="311"/>
      <c r="PQT507" s="325"/>
      <c r="PQU507" s="310"/>
      <c r="PQV507" s="325"/>
      <c r="PQW507" s="325"/>
      <c r="PQX507" s="325"/>
      <c r="PQY507" s="325"/>
      <c r="PQZ507" s="325"/>
      <c r="PRA507" s="325"/>
      <c r="PRB507" s="325"/>
      <c r="PRC507" s="325"/>
      <c r="PRD507" s="325"/>
      <c r="PRE507" s="325"/>
      <c r="PRF507" s="325"/>
      <c r="PRG507" s="325"/>
      <c r="PRH507" s="325"/>
      <c r="PRI507" s="325"/>
      <c r="PRJ507" s="325"/>
      <c r="PRK507" s="325"/>
      <c r="PRL507" s="325"/>
      <c r="PRM507" s="325"/>
      <c r="PRN507" s="325"/>
      <c r="PRO507" s="325"/>
      <c r="PRP507" s="325"/>
      <c r="PRQ507" s="325"/>
      <c r="PRR507" s="325"/>
      <c r="PRS507" s="325"/>
      <c r="PRT507" s="325"/>
      <c r="PRU507" s="325"/>
      <c r="PRV507" s="325"/>
      <c r="PRW507" s="325"/>
      <c r="PRX507" s="325"/>
      <c r="PRY507" s="325"/>
      <c r="PRZ507" s="327"/>
      <c r="PSA507" s="28"/>
      <c r="PSB507" s="324"/>
      <c r="PSC507" s="324"/>
      <c r="PSD507" s="324"/>
      <c r="PSE507" s="324"/>
      <c r="PSF507" s="324"/>
      <c r="PSG507" s="324"/>
      <c r="PSH507" s="256"/>
      <c r="PSI507" s="325"/>
      <c r="PSJ507" s="311"/>
      <c r="PSK507" s="325"/>
      <c r="PSL507" s="310"/>
      <c r="PSM507" s="325"/>
      <c r="PSN507" s="325"/>
      <c r="PSO507" s="325"/>
      <c r="PSP507" s="325"/>
      <c r="PSQ507" s="325"/>
      <c r="PSR507" s="325"/>
      <c r="PSS507" s="325"/>
      <c r="PST507" s="325"/>
      <c r="PSU507" s="325"/>
      <c r="PSV507" s="325"/>
      <c r="PSW507" s="325"/>
      <c r="PSX507" s="325"/>
      <c r="PSY507" s="325"/>
      <c r="PSZ507" s="325"/>
      <c r="PTA507" s="325"/>
      <c r="PTB507" s="325"/>
      <c r="PTC507" s="325"/>
      <c r="PTD507" s="325"/>
      <c r="PTE507" s="325"/>
      <c r="PTF507" s="325"/>
      <c r="PTG507" s="325"/>
      <c r="PTH507" s="325"/>
      <c r="PTI507" s="325"/>
      <c r="PTJ507" s="325"/>
      <c r="PTK507" s="325"/>
      <c r="PTL507" s="325"/>
      <c r="PTM507" s="325"/>
      <c r="PTN507" s="325"/>
      <c r="PTO507" s="325"/>
      <c r="PTP507" s="325"/>
      <c r="PTQ507" s="327"/>
      <c r="PTR507" s="28"/>
      <c r="PTS507" s="324"/>
      <c r="PTT507" s="324"/>
      <c r="PTU507" s="324"/>
      <c r="PTV507" s="324"/>
      <c r="PTW507" s="324"/>
      <c r="PTX507" s="324"/>
      <c r="PTY507" s="256"/>
      <c r="PTZ507" s="325"/>
      <c r="PUA507" s="311"/>
      <c r="PUB507" s="325"/>
      <c r="PUC507" s="310"/>
      <c r="PUD507" s="325"/>
      <c r="PUE507" s="325"/>
      <c r="PUF507" s="325"/>
      <c r="PUG507" s="325"/>
      <c r="PUH507" s="325"/>
      <c r="PUI507" s="325"/>
      <c r="PUJ507" s="325"/>
      <c r="PUK507" s="325"/>
      <c r="PUL507" s="325"/>
      <c r="PUM507" s="325"/>
      <c r="PUN507" s="325"/>
      <c r="PUO507" s="325"/>
      <c r="PUP507" s="325"/>
      <c r="PUQ507" s="325"/>
      <c r="PUR507" s="325"/>
      <c r="PUS507" s="325"/>
      <c r="PUT507" s="325"/>
      <c r="PUU507" s="325"/>
      <c r="PUV507" s="325"/>
      <c r="PUW507" s="325"/>
      <c r="PUX507" s="325"/>
      <c r="PUY507" s="325"/>
      <c r="PUZ507" s="325"/>
      <c r="PVA507" s="325"/>
      <c r="PVB507" s="325"/>
      <c r="PVC507" s="325"/>
      <c r="PVD507" s="325"/>
      <c r="PVE507" s="325"/>
      <c r="PVF507" s="325"/>
      <c r="PVG507" s="325"/>
      <c r="PVH507" s="327"/>
      <c r="PVI507" s="28"/>
      <c r="PVJ507" s="324"/>
      <c r="PVK507" s="324"/>
      <c r="PVL507" s="324"/>
      <c r="PVM507" s="324"/>
      <c r="PVN507" s="324"/>
      <c r="PVO507" s="324"/>
      <c r="PVP507" s="256"/>
      <c r="PVQ507" s="325"/>
      <c r="PVR507" s="311"/>
      <c r="PVS507" s="325"/>
      <c r="PVT507" s="310"/>
      <c r="PVU507" s="325"/>
      <c r="PVV507" s="325"/>
      <c r="PVW507" s="325"/>
      <c r="PVX507" s="325"/>
      <c r="PVY507" s="325"/>
      <c r="PVZ507" s="325"/>
      <c r="PWA507" s="325"/>
      <c r="PWB507" s="325"/>
      <c r="PWC507" s="325"/>
      <c r="PWD507" s="325"/>
      <c r="PWE507" s="325"/>
      <c r="PWF507" s="325"/>
      <c r="PWG507" s="325"/>
      <c r="PWH507" s="325"/>
      <c r="PWI507" s="325"/>
      <c r="PWJ507" s="325"/>
      <c r="PWK507" s="325"/>
      <c r="PWL507" s="325"/>
      <c r="PWM507" s="325"/>
      <c r="PWN507" s="325"/>
      <c r="PWO507" s="325"/>
      <c r="PWP507" s="325"/>
      <c r="PWQ507" s="325"/>
      <c r="PWR507" s="325"/>
      <c r="PWS507" s="325"/>
      <c r="PWT507" s="325"/>
      <c r="PWU507" s="325"/>
      <c r="PWV507" s="325"/>
      <c r="PWW507" s="325"/>
      <c r="PWX507" s="325"/>
      <c r="PWY507" s="327"/>
      <c r="PWZ507" s="28"/>
      <c r="PXA507" s="324"/>
      <c r="PXB507" s="324"/>
      <c r="PXC507" s="324"/>
      <c r="PXD507" s="324"/>
      <c r="PXE507" s="324"/>
      <c r="PXF507" s="324"/>
      <c r="PXG507" s="256"/>
      <c r="PXH507" s="325"/>
      <c r="PXI507" s="311"/>
      <c r="PXJ507" s="325"/>
      <c r="PXK507" s="310"/>
      <c r="PXL507" s="325"/>
      <c r="PXM507" s="325"/>
      <c r="PXN507" s="325"/>
      <c r="PXO507" s="325"/>
      <c r="PXP507" s="325"/>
      <c r="PXQ507" s="325"/>
      <c r="PXR507" s="325"/>
      <c r="PXS507" s="325"/>
      <c r="PXT507" s="325"/>
      <c r="PXU507" s="325"/>
      <c r="PXV507" s="325"/>
      <c r="PXW507" s="325"/>
      <c r="PXX507" s="325"/>
      <c r="PXY507" s="325"/>
      <c r="PXZ507" s="325"/>
      <c r="PYA507" s="325"/>
      <c r="PYB507" s="325"/>
      <c r="PYC507" s="325"/>
      <c r="PYD507" s="325"/>
      <c r="PYE507" s="325"/>
      <c r="PYF507" s="325"/>
      <c r="PYG507" s="325"/>
      <c r="PYH507" s="325"/>
      <c r="PYI507" s="325"/>
      <c r="PYJ507" s="325"/>
      <c r="PYK507" s="325"/>
      <c r="PYL507" s="325"/>
      <c r="PYM507" s="325"/>
      <c r="PYN507" s="325"/>
      <c r="PYO507" s="325"/>
      <c r="PYP507" s="327"/>
      <c r="PYQ507" s="28"/>
      <c r="PYR507" s="324"/>
      <c r="PYS507" s="324"/>
      <c r="PYT507" s="324"/>
      <c r="PYU507" s="324"/>
      <c r="PYV507" s="324"/>
      <c r="PYW507" s="324"/>
      <c r="PYX507" s="256"/>
      <c r="PYY507" s="325"/>
      <c r="PYZ507" s="311"/>
      <c r="PZA507" s="325"/>
      <c r="PZB507" s="310"/>
      <c r="PZC507" s="325"/>
      <c r="PZD507" s="325"/>
      <c r="PZE507" s="325"/>
      <c r="PZF507" s="325"/>
      <c r="PZG507" s="325"/>
      <c r="PZH507" s="325"/>
      <c r="PZI507" s="325"/>
      <c r="PZJ507" s="325"/>
      <c r="PZK507" s="325"/>
      <c r="PZL507" s="325"/>
      <c r="PZM507" s="325"/>
      <c r="PZN507" s="325"/>
      <c r="PZO507" s="325"/>
      <c r="PZP507" s="325"/>
      <c r="PZQ507" s="325"/>
      <c r="PZR507" s="325"/>
      <c r="PZS507" s="325"/>
      <c r="PZT507" s="325"/>
      <c r="PZU507" s="325"/>
      <c r="PZV507" s="325"/>
      <c r="PZW507" s="325"/>
      <c r="PZX507" s="325"/>
      <c r="PZY507" s="325"/>
      <c r="PZZ507" s="325"/>
      <c r="QAA507" s="325"/>
      <c r="QAB507" s="325"/>
      <c r="QAC507" s="325"/>
      <c r="QAD507" s="325"/>
      <c r="QAE507" s="325"/>
      <c r="QAF507" s="325"/>
      <c r="QAG507" s="327"/>
      <c r="QAH507" s="28"/>
      <c r="QAI507" s="324"/>
      <c r="QAJ507" s="324"/>
      <c r="QAK507" s="324"/>
      <c r="QAL507" s="324"/>
      <c r="QAM507" s="324"/>
      <c r="QAN507" s="324"/>
      <c r="QAO507" s="256"/>
      <c r="QAP507" s="325"/>
      <c r="QAQ507" s="311"/>
      <c r="QAR507" s="325"/>
      <c r="QAS507" s="310"/>
      <c r="QAT507" s="325"/>
      <c r="QAU507" s="325"/>
      <c r="QAV507" s="325"/>
      <c r="QAW507" s="325"/>
      <c r="QAX507" s="325"/>
      <c r="QAY507" s="325"/>
      <c r="QAZ507" s="325"/>
      <c r="QBA507" s="325"/>
      <c r="QBB507" s="325"/>
      <c r="QBC507" s="325"/>
      <c r="QBD507" s="325"/>
      <c r="QBE507" s="325"/>
      <c r="QBF507" s="325"/>
      <c r="QBG507" s="325"/>
      <c r="QBH507" s="325"/>
      <c r="QBI507" s="325"/>
      <c r="QBJ507" s="325"/>
      <c r="QBK507" s="325"/>
      <c r="QBL507" s="325"/>
      <c r="QBM507" s="325"/>
      <c r="QBN507" s="325"/>
      <c r="QBO507" s="325"/>
      <c r="QBP507" s="325"/>
      <c r="QBQ507" s="325"/>
      <c r="QBR507" s="325"/>
      <c r="QBS507" s="325"/>
      <c r="QBT507" s="325"/>
      <c r="QBU507" s="325"/>
      <c r="QBV507" s="325"/>
      <c r="QBW507" s="325"/>
      <c r="QBX507" s="327"/>
      <c r="QBY507" s="28"/>
      <c r="QBZ507" s="324"/>
      <c r="QCA507" s="324"/>
      <c r="QCB507" s="324"/>
      <c r="QCC507" s="324"/>
      <c r="QCD507" s="324"/>
      <c r="QCE507" s="324"/>
      <c r="QCF507" s="256"/>
      <c r="QCG507" s="325"/>
      <c r="QCH507" s="311"/>
      <c r="QCI507" s="325"/>
      <c r="QCJ507" s="310"/>
      <c r="QCK507" s="325"/>
      <c r="QCL507" s="325"/>
      <c r="QCM507" s="325"/>
      <c r="QCN507" s="325"/>
      <c r="QCO507" s="325"/>
      <c r="QCP507" s="325"/>
      <c r="QCQ507" s="325"/>
      <c r="QCR507" s="325"/>
      <c r="QCS507" s="325"/>
      <c r="QCT507" s="325"/>
      <c r="QCU507" s="325"/>
      <c r="QCV507" s="325"/>
      <c r="QCW507" s="325"/>
      <c r="QCX507" s="325"/>
      <c r="QCY507" s="325"/>
      <c r="QCZ507" s="325"/>
      <c r="QDA507" s="325"/>
      <c r="QDB507" s="325"/>
      <c r="QDC507" s="325"/>
      <c r="QDD507" s="325"/>
      <c r="QDE507" s="325"/>
      <c r="QDF507" s="325"/>
      <c r="QDG507" s="325"/>
      <c r="QDH507" s="325"/>
      <c r="QDI507" s="325"/>
      <c r="QDJ507" s="325"/>
      <c r="QDK507" s="325"/>
      <c r="QDL507" s="325"/>
      <c r="QDM507" s="325"/>
      <c r="QDN507" s="325"/>
      <c r="QDO507" s="327"/>
      <c r="QDP507" s="28"/>
      <c r="QDQ507" s="324"/>
      <c r="QDR507" s="324"/>
      <c r="QDS507" s="324"/>
      <c r="QDT507" s="324"/>
      <c r="QDU507" s="324"/>
      <c r="QDV507" s="324"/>
      <c r="QDW507" s="256"/>
      <c r="QDX507" s="325"/>
      <c r="QDY507" s="311"/>
      <c r="QDZ507" s="325"/>
      <c r="QEA507" s="310"/>
      <c r="QEB507" s="325"/>
      <c r="QEC507" s="325"/>
      <c r="QED507" s="325"/>
      <c r="QEE507" s="325"/>
      <c r="QEF507" s="325"/>
      <c r="QEG507" s="325"/>
      <c r="QEH507" s="325"/>
      <c r="QEI507" s="325"/>
      <c r="QEJ507" s="325"/>
      <c r="QEK507" s="325"/>
      <c r="QEL507" s="325"/>
      <c r="QEM507" s="325"/>
      <c r="QEN507" s="325"/>
      <c r="QEO507" s="325"/>
      <c r="QEP507" s="325"/>
      <c r="QEQ507" s="325"/>
      <c r="QER507" s="325"/>
      <c r="QES507" s="325"/>
      <c r="QET507" s="325"/>
      <c r="QEU507" s="325"/>
      <c r="QEV507" s="325"/>
      <c r="QEW507" s="325"/>
      <c r="QEX507" s="325"/>
      <c r="QEY507" s="325"/>
      <c r="QEZ507" s="325"/>
      <c r="QFA507" s="325"/>
      <c r="QFB507" s="325"/>
      <c r="QFC507" s="325"/>
      <c r="QFD507" s="325"/>
      <c r="QFE507" s="325"/>
      <c r="QFF507" s="327"/>
      <c r="QFG507" s="28"/>
      <c r="QFH507" s="324"/>
      <c r="QFI507" s="324"/>
      <c r="QFJ507" s="324"/>
      <c r="QFK507" s="324"/>
      <c r="QFL507" s="324"/>
      <c r="QFM507" s="324"/>
      <c r="QFN507" s="256"/>
      <c r="QFO507" s="325"/>
      <c r="QFP507" s="311"/>
      <c r="QFQ507" s="325"/>
      <c r="QFR507" s="310"/>
      <c r="QFS507" s="325"/>
      <c r="QFT507" s="325"/>
      <c r="QFU507" s="325"/>
      <c r="QFV507" s="325"/>
      <c r="QFW507" s="325"/>
      <c r="QFX507" s="325"/>
      <c r="QFY507" s="325"/>
      <c r="QFZ507" s="325"/>
      <c r="QGA507" s="325"/>
      <c r="QGB507" s="325"/>
      <c r="QGC507" s="325"/>
      <c r="QGD507" s="325"/>
      <c r="QGE507" s="325"/>
      <c r="QGF507" s="325"/>
      <c r="QGG507" s="325"/>
      <c r="QGH507" s="325"/>
      <c r="QGI507" s="325"/>
      <c r="QGJ507" s="325"/>
      <c r="QGK507" s="325"/>
      <c r="QGL507" s="325"/>
      <c r="QGM507" s="325"/>
      <c r="QGN507" s="325"/>
      <c r="QGO507" s="325"/>
      <c r="QGP507" s="325"/>
      <c r="QGQ507" s="325"/>
      <c r="QGR507" s="325"/>
      <c r="QGS507" s="325"/>
      <c r="QGT507" s="325"/>
      <c r="QGU507" s="325"/>
      <c r="QGV507" s="325"/>
      <c r="QGW507" s="327"/>
      <c r="QGX507" s="28"/>
      <c r="QGY507" s="324"/>
      <c r="QGZ507" s="324"/>
      <c r="QHA507" s="324"/>
      <c r="QHB507" s="324"/>
      <c r="QHC507" s="324"/>
      <c r="QHD507" s="324"/>
      <c r="QHE507" s="256"/>
      <c r="QHF507" s="325"/>
      <c r="QHG507" s="311"/>
      <c r="QHH507" s="325"/>
      <c r="QHI507" s="310"/>
      <c r="QHJ507" s="325"/>
      <c r="QHK507" s="325"/>
      <c r="QHL507" s="325"/>
      <c r="QHM507" s="325"/>
      <c r="QHN507" s="325"/>
      <c r="QHO507" s="325"/>
      <c r="QHP507" s="325"/>
      <c r="QHQ507" s="325"/>
      <c r="QHR507" s="325"/>
      <c r="QHS507" s="325"/>
      <c r="QHT507" s="325"/>
      <c r="QHU507" s="325"/>
      <c r="QHV507" s="325"/>
      <c r="QHW507" s="325"/>
      <c r="QHX507" s="325"/>
      <c r="QHY507" s="325"/>
      <c r="QHZ507" s="325"/>
      <c r="QIA507" s="325"/>
      <c r="QIB507" s="325"/>
      <c r="QIC507" s="325"/>
      <c r="QID507" s="325"/>
      <c r="QIE507" s="325"/>
      <c r="QIF507" s="325"/>
      <c r="QIG507" s="325"/>
      <c r="QIH507" s="325"/>
      <c r="QII507" s="325"/>
      <c r="QIJ507" s="325"/>
      <c r="QIK507" s="325"/>
      <c r="QIL507" s="325"/>
      <c r="QIM507" s="325"/>
      <c r="QIN507" s="327"/>
      <c r="QIO507" s="28"/>
      <c r="QIP507" s="324"/>
      <c r="QIQ507" s="324"/>
      <c r="QIR507" s="324"/>
      <c r="QIS507" s="324"/>
      <c r="QIT507" s="324"/>
      <c r="QIU507" s="324"/>
      <c r="QIV507" s="256"/>
      <c r="QIW507" s="325"/>
      <c r="QIX507" s="311"/>
      <c r="QIY507" s="325"/>
      <c r="QIZ507" s="310"/>
      <c r="QJA507" s="325"/>
      <c r="QJB507" s="325"/>
      <c r="QJC507" s="325"/>
      <c r="QJD507" s="325"/>
      <c r="QJE507" s="325"/>
      <c r="QJF507" s="325"/>
      <c r="QJG507" s="325"/>
      <c r="QJH507" s="325"/>
      <c r="QJI507" s="325"/>
      <c r="QJJ507" s="325"/>
      <c r="QJK507" s="325"/>
      <c r="QJL507" s="325"/>
      <c r="QJM507" s="325"/>
      <c r="QJN507" s="325"/>
      <c r="QJO507" s="325"/>
      <c r="QJP507" s="325"/>
      <c r="QJQ507" s="325"/>
      <c r="QJR507" s="325"/>
      <c r="QJS507" s="325"/>
      <c r="QJT507" s="325"/>
      <c r="QJU507" s="325"/>
      <c r="QJV507" s="325"/>
      <c r="QJW507" s="325"/>
      <c r="QJX507" s="325"/>
      <c r="QJY507" s="325"/>
      <c r="QJZ507" s="325"/>
      <c r="QKA507" s="325"/>
      <c r="QKB507" s="325"/>
      <c r="QKC507" s="325"/>
      <c r="QKD507" s="325"/>
      <c r="QKE507" s="327"/>
      <c r="QKF507" s="28"/>
      <c r="QKG507" s="324"/>
      <c r="QKH507" s="324"/>
      <c r="QKI507" s="324"/>
      <c r="QKJ507" s="324"/>
      <c r="QKK507" s="324"/>
      <c r="QKL507" s="324"/>
      <c r="QKM507" s="256"/>
      <c r="QKN507" s="325"/>
      <c r="QKO507" s="311"/>
      <c r="QKP507" s="325"/>
      <c r="QKQ507" s="310"/>
      <c r="QKR507" s="325"/>
      <c r="QKS507" s="325"/>
      <c r="QKT507" s="325"/>
      <c r="QKU507" s="325"/>
      <c r="QKV507" s="325"/>
      <c r="QKW507" s="325"/>
      <c r="QKX507" s="325"/>
      <c r="QKY507" s="325"/>
      <c r="QKZ507" s="325"/>
      <c r="QLA507" s="325"/>
      <c r="QLB507" s="325"/>
      <c r="QLC507" s="325"/>
      <c r="QLD507" s="325"/>
      <c r="QLE507" s="325"/>
      <c r="QLF507" s="325"/>
      <c r="QLG507" s="325"/>
      <c r="QLH507" s="325"/>
      <c r="QLI507" s="325"/>
      <c r="QLJ507" s="325"/>
      <c r="QLK507" s="325"/>
      <c r="QLL507" s="325"/>
      <c r="QLM507" s="325"/>
      <c r="QLN507" s="325"/>
      <c r="QLO507" s="325"/>
      <c r="QLP507" s="325"/>
      <c r="QLQ507" s="325"/>
      <c r="QLR507" s="325"/>
      <c r="QLS507" s="325"/>
      <c r="QLT507" s="325"/>
      <c r="QLU507" s="325"/>
      <c r="QLV507" s="327"/>
      <c r="QLW507" s="28"/>
      <c r="QLX507" s="324"/>
      <c r="QLY507" s="324"/>
      <c r="QLZ507" s="324"/>
      <c r="QMA507" s="324"/>
      <c r="QMB507" s="324"/>
      <c r="QMC507" s="324"/>
      <c r="QMD507" s="256"/>
      <c r="QME507" s="325"/>
      <c r="QMF507" s="311"/>
      <c r="QMG507" s="325"/>
      <c r="QMH507" s="310"/>
      <c r="QMI507" s="325"/>
      <c r="QMJ507" s="325"/>
      <c r="QMK507" s="325"/>
      <c r="QML507" s="325"/>
      <c r="QMM507" s="325"/>
      <c r="QMN507" s="325"/>
      <c r="QMO507" s="325"/>
      <c r="QMP507" s="325"/>
      <c r="QMQ507" s="325"/>
      <c r="QMR507" s="325"/>
      <c r="QMS507" s="325"/>
      <c r="QMT507" s="325"/>
      <c r="QMU507" s="325"/>
      <c r="QMV507" s="325"/>
      <c r="QMW507" s="325"/>
      <c r="QMX507" s="325"/>
      <c r="QMY507" s="325"/>
      <c r="QMZ507" s="325"/>
      <c r="QNA507" s="325"/>
      <c r="QNB507" s="325"/>
      <c r="QNC507" s="325"/>
      <c r="QND507" s="325"/>
      <c r="QNE507" s="325"/>
      <c r="QNF507" s="325"/>
      <c r="QNG507" s="325"/>
      <c r="QNH507" s="325"/>
      <c r="QNI507" s="325"/>
      <c r="QNJ507" s="325"/>
      <c r="QNK507" s="325"/>
      <c r="QNL507" s="325"/>
      <c r="QNM507" s="327"/>
      <c r="QNN507" s="28"/>
      <c r="QNO507" s="324"/>
      <c r="QNP507" s="324"/>
      <c r="QNQ507" s="324"/>
      <c r="QNR507" s="324"/>
      <c r="QNS507" s="324"/>
      <c r="QNT507" s="324"/>
      <c r="QNU507" s="256"/>
      <c r="QNV507" s="325"/>
      <c r="QNW507" s="311"/>
      <c r="QNX507" s="325"/>
      <c r="QNY507" s="310"/>
      <c r="QNZ507" s="325"/>
      <c r="QOA507" s="325"/>
      <c r="QOB507" s="325"/>
      <c r="QOC507" s="325"/>
      <c r="QOD507" s="325"/>
      <c r="QOE507" s="325"/>
      <c r="QOF507" s="325"/>
      <c r="QOG507" s="325"/>
      <c r="QOH507" s="325"/>
      <c r="QOI507" s="325"/>
      <c r="QOJ507" s="325"/>
      <c r="QOK507" s="325"/>
      <c r="QOL507" s="325"/>
      <c r="QOM507" s="325"/>
      <c r="QON507" s="325"/>
      <c r="QOO507" s="325"/>
      <c r="QOP507" s="325"/>
      <c r="QOQ507" s="325"/>
      <c r="QOR507" s="325"/>
      <c r="QOS507" s="325"/>
      <c r="QOT507" s="325"/>
      <c r="QOU507" s="325"/>
      <c r="QOV507" s="325"/>
      <c r="QOW507" s="325"/>
      <c r="QOX507" s="325"/>
      <c r="QOY507" s="325"/>
      <c r="QOZ507" s="325"/>
      <c r="QPA507" s="325"/>
      <c r="QPB507" s="325"/>
      <c r="QPC507" s="325"/>
      <c r="QPD507" s="327"/>
      <c r="QPE507" s="28"/>
      <c r="QPF507" s="324"/>
      <c r="QPG507" s="324"/>
      <c r="QPH507" s="324"/>
      <c r="QPI507" s="324"/>
      <c r="QPJ507" s="324"/>
      <c r="QPK507" s="324"/>
      <c r="QPL507" s="256"/>
      <c r="QPM507" s="325"/>
      <c r="QPN507" s="311"/>
      <c r="QPO507" s="325"/>
      <c r="QPP507" s="310"/>
      <c r="QPQ507" s="325"/>
      <c r="QPR507" s="325"/>
      <c r="QPS507" s="325"/>
      <c r="QPT507" s="325"/>
      <c r="QPU507" s="325"/>
      <c r="QPV507" s="325"/>
      <c r="QPW507" s="325"/>
      <c r="QPX507" s="325"/>
      <c r="QPY507" s="325"/>
      <c r="QPZ507" s="325"/>
      <c r="QQA507" s="325"/>
      <c r="QQB507" s="325"/>
      <c r="QQC507" s="325"/>
      <c r="QQD507" s="325"/>
      <c r="QQE507" s="325"/>
      <c r="QQF507" s="325"/>
      <c r="QQG507" s="325"/>
      <c r="QQH507" s="325"/>
      <c r="QQI507" s="325"/>
      <c r="QQJ507" s="325"/>
      <c r="QQK507" s="325"/>
      <c r="QQL507" s="325"/>
      <c r="QQM507" s="325"/>
      <c r="QQN507" s="325"/>
      <c r="QQO507" s="325"/>
      <c r="QQP507" s="325"/>
      <c r="QQQ507" s="325"/>
      <c r="QQR507" s="325"/>
      <c r="QQS507" s="325"/>
      <c r="QQT507" s="325"/>
      <c r="QQU507" s="327"/>
      <c r="QQV507" s="28"/>
      <c r="QQW507" s="324"/>
      <c r="QQX507" s="324"/>
      <c r="QQY507" s="324"/>
      <c r="QQZ507" s="324"/>
      <c r="QRA507" s="324"/>
      <c r="QRB507" s="324"/>
      <c r="QRC507" s="256"/>
      <c r="QRD507" s="325"/>
      <c r="QRE507" s="311"/>
      <c r="QRF507" s="325"/>
      <c r="QRG507" s="310"/>
      <c r="QRH507" s="325"/>
      <c r="QRI507" s="325"/>
      <c r="QRJ507" s="325"/>
      <c r="QRK507" s="325"/>
      <c r="QRL507" s="325"/>
      <c r="QRM507" s="325"/>
      <c r="QRN507" s="325"/>
      <c r="QRO507" s="325"/>
      <c r="QRP507" s="325"/>
      <c r="QRQ507" s="325"/>
      <c r="QRR507" s="325"/>
      <c r="QRS507" s="325"/>
      <c r="QRT507" s="325"/>
      <c r="QRU507" s="325"/>
      <c r="QRV507" s="325"/>
      <c r="QRW507" s="325"/>
      <c r="QRX507" s="325"/>
      <c r="QRY507" s="325"/>
      <c r="QRZ507" s="325"/>
      <c r="QSA507" s="325"/>
      <c r="QSB507" s="325"/>
      <c r="QSC507" s="325"/>
      <c r="QSD507" s="325"/>
      <c r="QSE507" s="325"/>
      <c r="QSF507" s="325"/>
      <c r="QSG507" s="325"/>
      <c r="QSH507" s="325"/>
      <c r="QSI507" s="325"/>
      <c r="QSJ507" s="325"/>
      <c r="QSK507" s="325"/>
      <c r="QSL507" s="327"/>
      <c r="QSM507" s="28"/>
      <c r="QSN507" s="324"/>
      <c r="QSO507" s="324"/>
      <c r="QSP507" s="324"/>
      <c r="QSQ507" s="324"/>
      <c r="QSR507" s="324"/>
      <c r="QSS507" s="324"/>
      <c r="QST507" s="256"/>
      <c r="QSU507" s="325"/>
      <c r="QSV507" s="311"/>
      <c r="QSW507" s="325"/>
      <c r="QSX507" s="310"/>
      <c r="QSY507" s="325"/>
      <c r="QSZ507" s="325"/>
      <c r="QTA507" s="325"/>
      <c r="QTB507" s="325"/>
      <c r="QTC507" s="325"/>
      <c r="QTD507" s="325"/>
      <c r="QTE507" s="325"/>
      <c r="QTF507" s="325"/>
      <c r="QTG507" s="325"/>
      <c r="QTH507" s="325"/>
      <c r="QTI507" s="325"/>
      <c r="QTJ507" s="325"/>
      <c r="QTK507" s="325"/>
      <c r="QTL507" s="325"/>
      <c r="QTM507" s="325"/>
      <c r="QTN507" s="325"/>
      <c r="QTO507" s="325"/>
      <c r="QTP507" s="325"/>
      <c r="QTQ507" s="325"/>
      <c r="QTR507" s="325"/>
      <c r="QTS507" s="325"/>
      <c r="QTT507" s="325"/>
      <c r="QTU507" s="325"/>
      <c r="QTV507" s="325"/>
      <c r="QTW507" s="325"/>
      <c r="QTX507" s="325"/>
      <c r="QTY507" s="325"/>
      <c r="QTZ507" s="325"/>
      <c r="QUA507" s="325"/>
      <c r="QUB507" s="325"/>
      <c r="QUC507" s="327"/>
      <c r="QUD507" s="28"/>
      <c r="QUE507" s="324"/>
      <c r="QUF507" s="324"/>
      <c r="QUG507" s="324"/>
      <c r="QUH507" s="324"/>
      <c r="QUI507" s="324"/>
      <c r="QUJ507" s="324"/>
      <c r="QUK507" s="256"/>
      <c r="QUL507" s="325"/>
      <c r="QUM507" s="311"/>
      <c r="QUN507" s="325"/>
      <c r="QUO507" s="310"/>
      <c r="QUP507" s="325"/>
      <c r="QUQ507" s="325"/>
      <c r="QUR507" s="325"/>
      <c r="QUS507" s="325"/>
      <c r="QUT507" s="325"/>
      <c r="QUU507" s="325"/>
      <c r="QUV507" s="325"/>
      <c r="QUW507" s="325"/>
      <c r="QUX507" s="325"/>
      <c r="QUY507" s="325"/>
      <c r="QUZ507" s="325"/>
      <c r="QVA507" s="325"/>
      <c r="QVB507" s="325"/>
      <c r="QVC507" s="325"/>
      <c r="QVD507" s="325"/>
      <c r="QVE507" s="325"/>
      <c r="QVF507" s="325"/>
      <c r="QVG507" s="325"/>
      <c r="QVH507" s="325"/>
      <c r="QVI507" s="325"/>
      <c r="QVJ507" s="325"/>
      <c r="QVK507" s="325"/>
      <c r="QVL507" s="325"/>
      <c r="QVM507" s="325"/>
      <c r="QVN507" s="325"/>
      <c r="QVO507" s="325"/>
      <c r="QVP507" s="325"/>
      <c r="QVQ507" s="325"/>
      <c r="QVR507" s="325"/>
      <c r="QVS507" s="325"/>
      <c r="QVT507" s="327"/>
      <c r="QVU507" s="28"/>
      <c r="QVV507" s="324"/>
      <c r="QVW507" s="324"/>
      <c r="QVX507" s="324"/>
      <c r="QVY507" s="324"/>
      <c r="QVZ507" s="324"/>
      <c r="QWA507" s="324"/>
      <c r="QWB507" s="256"/>
      <c r="QWC507" s="325"/>
      <c r="QWD507" s="311"/>
      <c r="QWE507" s="325"/>
      <c r="QWF507" s="310"/>
      <c r="QWG507" s="325"/>
      <c r="QWH507" s="325"/>
      <c r="QWI507" s="325"/>
      <c r="QWJ507" s="325"/>
      <c r="QWK507" s="325"/>
      <c r="QWL507" s="325"/>
      <c r="QWM507" s="325"/>
      <c r="QWN507" s="325"/>
      <c r="QWO507" s="325"/>
      <c r="QWP507" s="325"/>
      <c r="QWQ507" s="325"/>
      <c r="QWR507" s="325"/>
      <c r="QWS507" s="325"/>
      <c r="QWT507" s="325"/>
      <c r="QWU507" s="325"/>
      <c r="QWV507" s="325"/>
      <c r="QWW507" s="325"/>
      <c r="QWX507" s="325"/>
      <c r="QWY507" s="325"/>
      <c r="QWZ507" s="325"/>
      <c r="QXA507" s="325"/>
      <c r="QXB507" s="325"/>
      <c r="QXC507" s="325"/>
      <c r="QXD507" s="325"/>
      <c r="QXE507" s="325"/>
      <c r="QXF507" s="325"/>
      <c r="QXG507" s="325"/>
      <c r="QXH507" s="325"/>
      <c r="QXI507" s="325"/>
      <c r="QXJ507" s="325"/>
      <c r="QXK507" s="327"/>
      <c r="QXL507" s="28"/>
      <c r="QXM507" s="324"/>
      <c r="QXN507" s="324"/>
      <c r="QXO507" s="324"/>
      <c r="QXP507" s="324"/>
      <c r="QXQ507" s="324"/>
      <c r="QXR507" s="324"/>
      <c r="QXS507" s="256"/>
      <c r="QXT507" s="325"/>
      <c r="QXU507" s="311"/>
      <c r="QXV507" s="325"/>
      <c r="QXW507" s="310"/>
      <c r="QXX507" s="325"/>
      <c r="QXY507" s="325"/>
      <c r="QXZ507" s="325"/>
      <c r="QYA507" s="325"/>
      <c r="QYB507" s="325"/>
      <c r="QYC507" s="325"/>
      <c r="QYD507" s="325"/>
      <c r="QYE507" s="325"/>
      <c r="QYF507" s="325"/>
      <c r="QYG507" s="325"/>
      <c r="QYH507" s="325"/>
      <c r="QYI507" s="325"/>
      <c r="QYJ507" s="325"/>
      <c r="QYK507" s="325"/>
      <c r="QYL507" s="325"/>
      <c r="QYM507" s="325"/>
      <c r="QYN507" s="325"/>
      <c r="QYO507" s="325"/>
      <c r="QYP507" s="325"/>
      <c r="QYQ507" s="325"/>
      <c r="QYR507" s="325"/>
      <c r="QYS507" s="325"/>
      <c r="QYT507" s="325"/>
      <c r="QYU507" s="325"/>
      <c r="QYV507" s="325"/>
      <c r="QYW507" s="325"/>
      <c r="QYX507" s="325"/>
      <c r="QYY507" s="325"/>
      <c r="QYZ507" s="325"/>
      <c r="QZA507" s="325"/>
      <c r="QZB507" s="327"/>
      <c r="QZC507" s="28"/>
      <c r="QZD507" s="324"/>
      <c r="QZE507" s="324"/>
      <c r="QZF507" s="324"/>
      <c r="QZG507" s="324"/>
      <c r="QZH507" s="324"/>
      <c r="QZI507" s="324"/>
      <c r="QZJ507" s="256"/>
      <c r="QZK507" s="325"/>
      <c r="QZL507" s="311"/>
      <c r="QZM507" s="325"/>
      <c r="QZN507" s="310"/>
      <c r="QZO507" s="325"/>
      <c r="QZP507" s="325"/>
      <c r="QZQ507" s="325"/>
      <c r="QZR507" s="325"/>
      <c r="QZS507" s="325"/>
      <c r="QZT507" s="325"/>
      <c r="QZU507" s="325"/>
      <c r="QZV507" s="325"/>
      <c r="QZW507" s="325"/>
      <c r="QZX507" s="325"/>
      <c r="QZY507" s="325"/>
      <c r="QZZ507" s="325"/>
      <c r="RAA507" s="325"/>
      <c r="RAB507" s="325"/>
      <c r="RAC507" s="325"/>
      <c r="RAD507" s="325"/>
      <c r="RAE507" s="325"/>
      <c r="RAF507" s="325"/>
      <c r="RAG507" s="325"/>
      <c r="RAH507" s="325"/>
      <c r="RAI507" s="325"/>
      <c r="RAJ507" s="325"/>
      <c r="RAK507" s="325"/>
      <c r="RAL507" s="325"/>
      <c r="RAM507" s="325"/>
      <c r="RAN507" s="325"/>
      <c r="RAO507" s="325"/>
      <c r="RAP507" s="325"/>
      <c r="RAQ507" s="325"/>
      <c r="RAR507" s="325"/>
      <c r="RAS507" s="327"/>
      <c r="RAT507" s="28"/>
      <c r="RAU507" s="324"/>
      <c r="RAV507" s="324"/>
      <c r="RAW507" s="324"/>
      <c r="RAX507" s="324"/>
      <c r="RAY507" s="324"/>
      <c r="RAZ507" s="324"/>
      <c r="RBA507" s="256"/>
      <c r="RBB507" s="325"/>
      <c r="RBC507" s="311"/>
      <c r="RBD507" s="325"/>
      <c r="RBE507" s="310"/>
      <c r="RBF507" s="325"/>
      <c r="RBG507" s="325"/>
      <c r="RBH507" s="325"/>
      <c r="RBI507" s="325"/>
      <c r="RBJ507" s="325"/>
      <c r="RBK507" s="325"/>
      <c r="RBL507" s="325"/>
      <c r="RBM507" s="325"/>
      <c r="RBN507" s="325"/>
      <c r="RBO507" s="325"/>
      <c r="RBP507" s="325"/>
      <c r="RBQ507" s="325"/>
      <c r="RBR507" s="325"/>
      <c r="RBS507" s="325"/>
      <c r="RBT507" s="325"/>
      <c r="RBU507" s="325"/>
      <c r="RBV507" s="325"/>
      <c r="RBW507" s="325"/>
      <c r="RBX507" s="325"/>
      <c r="RBY507" s="325"/>
      <c r="RBZ507" s="325"/>
      <c r="RCA507" s="325"/>
      <c r="RCB507" s="325"/>
      <c r="RCC507" s="325"/>
      <c r="RCD507" s="325"/>
      <c r="RCE507" s="325"/>
      <c r="RCF507" s="325"/>
      <c r="RCG507" s="325"/>
      <c r="RCH507" s="325"/>
      <c r="RCI507" s="325"/>
      <c r="RCJ507" s="327"/>
      <c r="RCK507" s="28"/>
      <c r="RCL507" s="324"/>
      <c r="RCM507" s="324"/>
      <c r="RCN507" s="324"/>
      <c r="RCO507" s="324"/>
      <c r="RCP507" s="324"/>
      <c r="RCQ507" s="324"/>
      <c r="RCR507" s="256"/>
      <c r="RCS507" s="325"/>
      <c r="RCT507" s="311"/>
      <c r="RCU507" s="325"/>
      <c r="RCV507" s="310"/>
      <c r="RCW507" s="325"/>
      <c r="RCX507" s="325"/>
      <c r="RCY507" s="325"/>
      <c r="RCZ507" s="325"/>
      <c r="RDA507" s="325"/>
      <c r="RDB507" s="325"/>
      <c r="RDC507" s="325"/>
      <c r="RDD507" s="325"/>
      <c r="RDE507" s="325"/>
      <c r="RDF507" s="325"/>
      <c r="RDG507" s="325"/>
      <c r="RDH507" s="325"/>
      <c r="RDI507" s="325"/>
      <c r="RDJ507" s="325"/>
      <c r="RDK507" s="325"/>
      <c r="RDL507" s="325"/>
      <c r="RDM507" s="325"/>
      <c r="RDN507" s="325"/>
      <c r="RDO507" s="325"/>
      <c r="RDP507" s="325"/>
      <c r="RDQ507" s="325"/>
      <c r="RDR507" s="325"/>
      <c r="RDS507" s="325"/>
      <c r="RDT507" s="325"/>
      <c r="RDU507" s="325"/>
      <c r="RDV507" s="325"/>
      <c r="RDW507" s="325"/>
      <c r="RDX507" s="325"/>
      <c r="RDY507" s="325"/>
      <c r="RDZ507" s="325"/>
      <c r="REA507" s="327"/>
      <c r="REB507" s="28"/>
      <c r="REC507" s="324"/>
      <c r="RED507" s="324"/>
      <c r="REE507" s="324"/>
      <c r="REF507" s="324"/>
      <c r="REG507" s="324"/>
      <c r="REH507" s="324"/>
      <c r="REI507" s="256"/>
      <c r="REJ507" s="325"/>
      <c r="REK507" s="311"/>
      <c r="REL507" s="325"/>
      <c r="REM507" s="310"/>
      <c r="REN507" s="325"/>
      <c r="REO507" s="325"/>
      <c r="REP507" s="325"/>
      <c r="REQ507" s="325"/>
      <c r="RER507" s="325"/>
      <c r="RES507" s="325"/>
      <c r="RET507" s="325"/>
      <c r="REU507" s="325"/>
      <c r="REV507" s="325"/>
      <c r="REW507" s="325"/>
      <c r="REX507" s="325"/>
      <c r="REY507" s="325"/>
      <c r="REZ507" s="325"/>
      <c r="RFA507" s="325"/>
      <c r="RFB507" s="325"/>
      <c r="RFC507" s="325"/>
      <c r="RFD507" s="325"/>
      <c r="RFE507" s="325"/>
      <c r="RFF507" s="325"/>
      <c r="RFG507" s="325"/>
      <c r="RFH507" s="325"/>
      <c r="RFI507" s="325"/>
      <c r="RFJ507" s="325"/>
      <c r="RFK507" s="325"/>
      <c r="RFL507" s="325"/>
      <c r="RFM507" s="325"/>
      <c r="RFN507" s="325"/>
      <c r="RFO507" s="325"/>
      <c r="RFP507" s="325"/>
      <c r="RFQ507" s="325"/>
      <c r="RFR507" s="327"/>
      <c r="RFS507" s="28"/>
      <c r="RFT507" s="324"/>
      <c r="RFU507" s="324"/>
      <c r="RFV507" s="324"/>
      <c r="RFW507" s="324"/>
      <c r="RFX507" s="324"/>
      <c r="RFY507" s="324"/>
      <c r="RFZ507" s="256"/>
      <c r="RGA507" s="325"/>
      <c r="RGB507" s="311"/>
      <c r="RGC507" s="325"/>
      <c r="RGD507" s="310"/>
      <c r="RGE507" s="325"/>
      <c r="RGF507" s="325"/>
      <c r="RGG507" s="325"/>
      <c r="RGH507" s="325"/>
      <c r="RGI507" s="325"/>
      <c r="RGJ507" s="325"/>
      <c r="RGK507" s="325"/>
      <c r="RGL507" s="325"/>
      <c r="RGM507" s="325"/>
      <c r="RGN507" s="325"/>
      <c r="RGO507" s="325"/>
      <c r="RGP507" s="325"/>
      <c r="RGQ507" s="325"/>
      <c r="RGR507" s="325"/>
      <c r="RGS507" s="325"/>
      <c r="RGT507" s="325"/>
      <c r="RGU507" s="325"/>
      <c r="RGV507" s="325"/>
      <c r="RGW507" s="325"/>
      <c r="RGX507" s="325"/>
      <c r="RGY507" s="325"/>
      <c r="RGZ507" s="325"/>
      <c r="RHA507" s="325"/>
      <c r="RHB507" s="325"/>
      <c r="RHC507" s="325"/>
      <c r="RHD507" s="325"/>
      <c r="RHE507" s="325"/>
      <c r="RHF507" s="325"/>
      <c r="RHG507" s="325"/>
      <c r="RHH507" s="325"/>
      <c r="RHI507" s="327"/>
      <c r="RHJ507" s="28"/>
      <c r="RHK507" s="324"/>
      <c r="RHL507" s="324"/>
      <c r="RHM507" s="324"/>
      <c r="RHN507" s="324"/>
      <c r="RHO507" s="324"/>
      <c r="RHP507" s="324"/>
      <c r="RHQ507" s="256"/>
      <c r="RHR507" s="325"/>
      <c r="RHS507" s="311"/>
      <c r="RHT507" s="325"/>
      <c r="RHU507" s="310"/>
      <c r="RHV507" s="325"/>
      <c r="RHW507" s="325"/>
      <c r="RHX507" s="325"/>
      <c r="RHY507" s="325"/>
      <c r="RHZ507" s="325"/>
      <c r="RIA507" s="325"/>
      <c r="RIB507" s="325"/>
      <c r="RIC507" s="325"/>
      <c r="RID507" s="325"/>
      <c r="RIE507" s="325"/>
      <c r="RIF507" s="325"/>
      <c r="RIG507" s="325"/>
      <c r="RIH507" s="325"/>
      <c r="RII507" s="325"/>
      <c r="RIJ507" s="325"/>
      <c r="RIK507" s="325"/>
      <c r="RIL507" s="325"/>
      <c r="RIM507" s="325"/>
      <c r="RIN507" s="325"/>
      <c r="RIO507" s="325"/>
      <c r="RIP507" s="325"/>
      <c r="RIQ507" s="325"/>
      <c r="RIR507" s="325"/>
      <c r="RIS507" s="325"/>
      <c r="RIT507" s="325"/>
      <c r="RIU507" s="325"/>
      <c r="RIV507" s="325"/>
      <c r="RIW507" s="325"/>
      <c r="RIX507" s="325"/>
      <c r="RIY507" s="325"/>
      <c r="RIZ507" s="327"/>
      <c r="RJA507" s="28"/>
      <c r="RJB507" s="324"/>
      <c r="RJC507" s="324"/>
      <c r="RJD507" s="324"/>
      <c r="RJE507" s="324"/>
      <c r="RJF507" s="324"/>
      <c r="RJG507" s="324"/>
      <c r="RJH507" s="256"/>
      <c r="RJI507" s="325"/>
      <c r="RJJ507" s="311"/>
      <c r="RJK507" s="325"/>
      <c r="RJL507" s="310"/>
      <c r="RJM507" s="325"/>
      <c r="RJN507" s="325"/>
      <c r="RJO507" s="325"/>
      <c r="RJP507" s="325"/>
      <c r="RJQ507" s="325"/>
      <c r="RJR507" s="325"/>
      <c r="RJS507" s="325"/>
      <c r="RJT507" s="325"/>
      <c r="RJU507" s="325"/>
      <c r="RJV507" s="325"/>
      <c r="RJW507" s="325"/>
      <c r="RJX507" s="325"/>
      <c r="RJY507" s="325"/>
      <c r="RJZ507" s="325"/>
      <c r="RKA507" s="325"/>
      <c r="RKB507" s="325"/>
      <c r="RKC507" s="325"/>
      <c r="RKD507" s="325"/>
      <c r="RKE507" s="325"/>
      <c r="RKF507" s="325"/>
      <c r="RKG507" s="325"/>
      <c r="RKH507" s="325"/>
      <c r="RKI507" s="325"/>
      <c r="RKJ507" s="325"/>
      <c r="RKK507" s="325"/>
      <c r="RKL507" s="325"/>
      <c r="RKM507" s="325"/>
      <c r="RKN507" s="325"/>
      <c r="RKO507" s="325"/>
      <c r="RKP507" s="325"/>
      <c r="RKQ507" s="327"/>
      <c r="RKR507" s="28"/>
      <c r="RKS507" s="324"/>
      <c r="RKT507" s="324"/>
      <c r="RKU507" s="324"/>
      <c r="RKV507" s="324"/>
      <c r="RKW507" s="324"/>
      <c r="RKX507" s="324"/>
      <c r="RKY507" s="256"/>
      <c r="RKZ507" s="325"/>
      <c r="RLA507" s="311"/>
      <c r="RLB507" s="325"/>
      <c r="RLC507" s="310"/>
      <c r="RLD507" s="325"/>
      <c r="RLE507" s="325"/>
      <c r="RLF507" s="325"/>
      <c r="RLG507" s="325"/>
      <c r="RLH507" s="325"/>
      <c r="RLI507" s="325"/>
      <c r="RLJ507" s="325"/>
      <c r="RLK507" s="325"/>
      <c r="RLL507" s="325"/>
      <c r="RLM507" s="325"/>
      <c r="RLN507" s="325"/>
      <c r="RLO507" s="325"/>
      <c r="RLP507" s="325"/>
      <c r="RLQ507" s="325"/>
      <c r="RLR507" s="325"/>
      <c r="RLS507" s="325"/>
      <c r="RLT507" s="325"/>
      <c r="RLU507" s="325"/>
      <c r="RLV507" s="325"/>
      <c r="RLW507" s="325"/>
      <c r="RLX507" s="325"/>
      <c r="RLY507" s="325"/>
      <c r="RLZ507" s="325"/>
      <c r="RMA507" s="325"/>
      <c r="RMB507" s="325"/>
      <c r="RMC507" s="325"/>
      <c r="RMD507" s="325"/>
      <c r="RME507" s="325"/>
      <c r="RMF507" s="325"/>
      <c r="RMG507" s="325"/>
      <c r="RMH507" s="327"/>
      <c r="RMI507" s="28"/>
      <c r="RMJ507" s="324"/>
      <c r="RMK507" s="324"/>
      <c r="RML507" s="324"/>
      <c r="RMM507" s="324"/>
      <c r="RMN507" s="324"/>
      <c r="RMO507" s="324"/>
      <c r="RMP507" s="256"/>
      <c r="RMQ507" s="325"/>
      <c r="RMR507" s="311"/>
      <c r="RMS507" s="325"/>
      <c r="RMT507" s="310"/>
      <c r="RMU507" s="325"/>
      <c r="RMV507" s="325"/>
      <c r="RMW507" s="325"/>
      <c r="RMX507" s="325"/>
      <c r="RMY507" s="325"/>
      <c r="RMZ507" s="325"/>
      <c r="RNA507" s="325"/>
      <c r="RNB507" s="325"/>
      <c r="RNC507" s="325"/>
      <c r="RND507" s="325"/>
      <c r="RNE507" s="325"/>
      <c r="RNF507" s="325"/>
      <c r="RNG507" s="325"/>
      <c r="RNH507" s="325"/>
      <c r="RNI507" s="325"/>
      <c r="RNJ507" s="325"/>
      <c r="RNK507" s="325"/>
      <c r="RNL507" s="325"/>
      <c r="RNM507" s="325"/>
      <c r="RNN507" s="325"/>
      <c r="RNO507" s="325"/>
      <c r="RNP507" s="325"/>
      <c r="RNQ507" s="325"/>
      <c r="RNR507" s="325"/>
      <c r="RNS507" s="325"/>
      <c r="RNT507" s="325"/>
      <c r="RNU507" s="325"/>
      <c r="RNV507" s="325"/>
      <c r="RNW507" s="325"/>
      <c r="RNX507" s="325"/>
      <c r="RNY507" s="327"/>
      <c r="RNZ507" s="28"/>
      <c r="ROA507" s="324"/>
      <c r="ROB507" s="324"/>
      <c r="ROC507" s="324"/>
      <c r="ROD507" s="324"/>
      <c r="ROE507" s="324"/>
      <c r="ROF507" s="324"/>
      <c r="ROG507" s="256"/>
      <c r="ROH507" s="325"/>
      <c r="ROI507" s="311"/>
      <c r="ROJ507" s="325"/>
      <c r="ROK507" s="310"/>
      <c r="ROL507" s="325"/>
      <c r="ROM507" s="325"/>
      <c r="RON507" s="325"/>
      <c r="ROO507" s="325"/>
      <c r="ROP507" s="325"/>
      <c r="ROQ507" s="325"/>
      <c r="ROR507" s="325"/>
      <c r="ROS507" s="325"/>
      <c r="ROT507" s="325"/>
      <c r="ROU507" s="325"/>
      <c r="ROV507" s="325"/>
      <c r="ROW507" s="325"/>
      <c r="ROX507" s="325"/>
      <c r="ROY507" s="325"/>
      <c r="ROZ507" s="325"/>
      <c r="RPA507" s="325"/>
      <c r="RPB507" s="325"/>
      <c r="RPC507" s="325"/>
      <c r="RPD507" s="325"/>
      <c r="RPE507" s="325"/>
      <c r="RPF507" s="325"/>
      <c r="RPG507" s="325"/>
      <c r="RPH507" s="325"/>
      <c r="RPI507" s="325"/>
      <c r="RPJ507" s="325"/>
      <c r="RPK507" s="325"/>
      <c r="RPL507" s="325"/>
      <c r="RPM507" s="325"/>
      <c r="RPN507" s="325"/>
      <c r="RPO507" s="325"/>
      <c r="RPP507" s="327"/>
      <c r="RPQ507" s="28"/>
      <c r="RPR507" s="324"/>
      <c r="RPS507" s="324"/>
      <c r="RPT507" s="324"/>
      <c r="RPU507" s="324"/>
      <c r="RPV507" s="324"/>
      <c r="RPW507" s="324"/>
      <c r="RPX507" s="256"/>
      <c r="RPY507" s="325"/>
      <c r="RPZ507" s="311"/>
      <c r="RQA507" s="325"/>
      <c r="RQB507" s="310"/>
      <c r="RQC507" s="325"/>
      <c r="RQD507" s="325"/>
      <c r="RQE507" s="325"/>
      <c r="RQF507" s="325"/>
      <c r="RQG507" s="325"/>
      <c r="RQH507" s="325"/>
      <c r="RQI507" s="325"/>
      <c r="RQJ507" s="325"/>
      <c r="RQK507" s="325"/>
      <c r="RQL507" s="325"/>
      <c r="RQM507" s="325"/>
      <c r="RQN507" s="325"/>
      <c r="RQO507" s="325"/>
      <c r="RQP507" s="325"/>
      <c r="RQQ507" s="325"/>
      <c r="RQR507" s="325"/>
      <c r="RQS507" s="325"/>
      <c r="RQT507" s="325"/>
      <c r="RQU507" s="325"/>
      <c r="RQV507" s="325"/>
      <c r="RQW507" s="325"/>
      <c r="RQX507" s="325"/>
      <c r="RQY507" s="325"/>
      <c r="RQZ507" s="325"/>
      <c r="RRA507" s="325"/>
      <c r="RRB507" s="325"/>
      <c r="RRC507" s="325"/>
      <c r="RRD507" s="325"/>
      <c r="RRE507" s="325"/>
      <c r="RRF507" s="325"/>
      <c r="RRG507" s="327"/>
      <c r="RRH507" s="28"/>
      <c r="RRI507" s="324"/>
      <c r="RRJ507" s="324"/>
      <c r="RRK507" s="324"/>
      <c r="RRL507" s="324"/>
      <c r="RRM507" s="324"/>
      <c r="RRN507" s="324"/>
      <c r="RRO507" s="256"/>
      <c r="RRP507" s="325"/>
      <c r="RRQ507" s="311"/>
      <c r="RRR507" s="325"/>
      <c r="RRS507" s="310"/>
      <c r="RRT507" s="325"/>
      <c r="RRU507" s="325"/>
      <c r="RRV507" s="325"/>
      <c r="RRW507" s="325"/>
      <c r="RRX507" s="325"/>
      <c r="RRY507" s="325"/>
      <c r="RRZ507" s="325"/>
      <c r="RSA507" s="325"/>
      <c r="RSB507" s="325"/>
      <c r="RSC507" s="325"/>
      <c r="RSD507" s="325"/>
      <c r="RSE507" s="325"/>
      <c r="RSF507" s="325"/>
      <c r="RSG507" s="325"/>
      <c r="RSH507" s="325"/>
      <c r="RSI507" s="325"/>
      <c r="RSJ507" s="325"/>
      <c r="RSK507" s="325"/>
      <c r="RSL507" s="325"/>
      <c r="RSM507" s="325"/>
      <c r="RSN507" s="325"/>
      <c r="RSO507" s="325"/>
      <c r="RSP507" s="325"/>
      <c r="RSQ507" s="325"/>
      <c r="RSR507" s="325"/>
      <c r="RSS507" s="325"/>
      <c r="RST507" s="325"/>
      <c r="RSU507" s="325"/>
      <c r="RSV507" s="325"/>
      <c r="RSW507" s="325"/>
      <c r="RSX507" s="327"/>
      <c r="RSY507" s="28"/>
      <c r="RSZ507" s="324"/>
      <c r="RTA507" s="324"/>
      <c r="RTB507" s="324"/>
      <c r="RTC507" s="324"/>
      <c r="RTD507" s="324"/>
      <c r="RTE507" s="324"/>
      <c r="RTF507" s="256"/>
      <c r="RTG507" s="325"/>
      <c r="RTH507" s="311"/>
      <c r="RTI507" s="325"/>
      <c r="RTJ507" s="310"/>
      <c r="RTK507" s="325"/>
      <c r="RTL507" s="325"/>
      <c r="RTM507" s="325"/>
      <c r="RTN507" s="325"/>
      <c r="RTO507" s="325"/>
      <c r="RTP507" s="325"/>
      <c r="RTQ507" s="325"/>
      <c r="RTR507" s="325"/>
      <c r="RTS507" s="325"/>
      <c r="RTT507" s="325"/>
      <c r="RTU507" s="325"/>
      <c r="RTV507" s="325"/>
      <c r="RTW507" s="325"/>
      <c r="RTX507" s="325"/>
      <c r="RTY507" s="325"/>
      <c r="RTZ507" s="325"/>
      <c r="RUA507" s="325"/>
      <c r="RUB507" s="325"/>
      <c r="RUC507" s="325"/>
      <c r="RUD507" s="325"/>
      <c r="RUE507" s="325"/>
      <c r="RUF507" s="325"/>
      <c r="RUG507" s="325"/>
      <c r="RUH507" s="325"/>
      <c r="RUI507" s="325"/>
      <c r="RUJ507" s="325"/>
      <c r="RUK507" s="325"/>
      <c r="RUL507" s="325"/>
      <c r="RUM507" s="325"/>
      <c r="RUN507" s="325"/>
      <c r="RUO507" s="327"/>
      <c r="RUP507" s="28"/>
      <c r="RUQ507" s="324"/>
      <c r="RUR507" s="324"/>
      <c r="RUS507" s="324"/>
      <c r="RUT507" s="324"/>
      <c r="RUU507" s="324"/>
      <c r="RUV507" s="324"/>
      <c r="RUW507" s="256"/>
      <c r="RUX507" s="325"/>
      <c r="RUY507" s="311"/>
      <c r="RUZ507" s="325"/>
      <c r="RVA507" s="310"/>
      <c r="RVB507" s="325"/>
      <c r="RVC507" s="325"/>
      <c r="RVD507" s="325"/>
      <c r="RVE507" s="325"/>
      <c r="RVF507" s="325"/>
      <c r="RVG507" s="325"/>
      <c r="RVH507" s="325"/>
      <c r="RVI507" s="325"/>
      <c r="RVJ507" s="325"/>
      <c r="RVK507" s="325"/>
      <c r="RVL507" s="325"/>
      <c r="RVM507" s="325"/>
      <c r="RVN507" s="325"/>
      <c r="RVO507" s="325"/>
      <c r="RVP507" s="325"/>
      <c r="RVQ507" s="325"/>
      <c r="RVR507" s="325"/>
      <c r="RVS507" s="325"/>
      <c r="RVT507" s="325"/>
      <c r="RVU507" s="325"/>
      <c r="RVV507" s="325"/>
      <c r="RVW507" s="325"/>
      <c r="RVX507" s="325"/>
      <c r="RVY507" s="325"/>
      <c r="RVZ507" s="325"/>
      <c r="RWA507" s="325"/>
      <c r="RWB507" s="325"/>
      <c r="RWC507" s="325"/>
      <c r="RWD507" s="325"/>
      <c r="RWE507" s="325"/>
      <c r="RWF507" s="327"/>
      <c r="RWG507" s="28"/>
      <c r="RWH507" s="324"/>
      <c r="RWI507" s="324"/>
      <c r="RWJ507" s="324"/>
      <c r="RWK507" s="324"/>
      <c r="RWL507" s="324"/>
      <c r="RWM507" s="324"/>
      <c r="RWN507" s="256"/>
      <c r="RWO507" s="325"/>
      <c r="RWP507" s="311"/>
      <c r="RWQ507" s="325"/>
      <c r="RWR507" s="310"/>
      <c r="RWS507" s="325"/>
      <c r="RWT507" s="325"/>
      <c r="RWU507" s="325"/>
      <c r="RWV507" s="325"/>
      <c r="RWW507" s="325"/>
      <c r="RWX507" s="325"/>
      <c r="RWY507" s="325"/>
      <c r="RWZ507" s="325"/>
      <c r="RXA507" s="325"/>
      <c r="RXB507" s="325"/>
      <c r="RXC507" s="325"/>
      <c r="RXD507" s="325"/>
      <c r="RXE507" s="325"/>
      <c r="RXF507" s="325"/>
      <c r="RXG507" s="325"/>
      <c r="RXH507" s="325"/>
      <c r="RXI507" s="325"/>
      <c r="RXJ507" s="325"/>
      <c r="RXK507" s="325"/>
      <c r="RXL507" s="325"/>
      <c r="RXM507" s="325"/>
      <c r="RXN507" s="325"/>
      <c r="RXO507" s="325"/>
      <c r="RXP507" s="325"/>
      <c r="RXQ507" s="325"/>
      <c r="RXR507" s="325"/>
      <c r="RXS507" s="325"/>
      <c r="RXT507" s="325"/>
      <c r="RXU507" s="325"/>
      <c r="RXV507" s="325"/>
      <c r="RXW507" s="327"/>
      <c r="RXX507" s="28"/>
      <c r="RXY507" s="324"/>
      <c r="RXZ507" s="324"/>
      <c r="RYA507" s="324"/>
      <c r="RYB507" s="324"/>
      <c r="RYC507" s="324"/>
      <c r="RYD507" s="324"/>
      <c r="RYE507" s="256"/>
      <c r="RYF507" s="325"/>
      <c r="RYG507" s="311"/>
      <c r="RYH507" s="325"/>
      <c r="RYI507" s="310"/>
      <c r="RYJ507" s="325"/>
      <c r="RYK507" s="325"/>
      <c r="RYL507" s="325"/>
      <c r="RYM507" s="325"/>
      <c r="RYN507" s="325"/>
      <c r="RYO507" s="325"/>
      <c r="RYP507" s="325"/>
      <c r="RYQ507" s="325"/>
      <c r="RYR507" s="325"/>
      <c r="RYS507" s="325"/>
      <c r="RYT507" s="325"/>
      <c r="RYU507" s="325"/>
      <c r="RYV507" s="325"/>
      <c r="RYW507" s="325"/>
      <c r="RYX507" s="325"/>
      <c r="RYY507" s="325"/>
      <c r="RYZ507" s="325"/>
      <c r="RZA507" s="325"/>
      <c r="RZB507" s="325"/>
      <c r="RZC507" s="325"/>
      <c r="RZD507" s="325"/>
      <c r="RZE507" s="325"/>
      <c r="RZF507" s="325"/>
      <c r="RZG507" s="325"/>
      <c r="RZH507" s="325"/>
      <c r="RZI507" s="325"/>
      <c r="RZJ507" s="325"/>
      <c r="RZK507" s="325"/>
      <c r="RZL507" s="325"/>
      <c r="RZM507" s="325"/>
      <c r="RZN507" s="327"/>
      <c r="RZO507" s="28"/>
      <c r="RZP507" s="324"/>
      <c r="RZQ507" s="324"/>
      <c r="RZR507" s="324"/>
      <c r="RZS507" s="324"/>
      <c r="RZT507" s="324"/>
      <c r="RZU507" s="324"/>
      <c r="RZV507" s="256"/>
      <c r="RZW507" s="325"/>
      <c r="RZX507" s="311"/>
      <c r="RZY507" s="325"/>
      <c r="RZZ507" s="310"/>
      <c r="SAA507" s="325"/>
      <c r="SAB507" s="325"/>
      <c r="SAC507" s="325"/>
      <c r="SAD507" s="325"/>
      <c r="SAE507" s="325"/>
      <c r="SAF507" s="325"/>
      <c r="SAG507" s="325"/>
      <c r="SAH507" s="325"/>
      <c r="SAI507" s="325"/>
      <c r="SAJ507" s="325"/>
      <c r="SAK507" s="325"/>
      <c r="SAL507" s="325"/>
      <c r="SAM507" s="325"/>
      <c r="SAN507" s="325"/>
      <c r="SAO507" s="325"/>
      <c r="SAP507" s="325"/>
      <c r="SAQ507" s="325"/>
      <c r="SAR507" s="325"/>
      <c r="SAS507" s="325"/>
      <c r="SAT507" s="325"/>
      <c r="SAU507" s="325"/>
      <c r="SAV507" s="325"/>
      <c r="SAW507" s="325"/>
      <c r="SAX507" s="325"/>
      <c r="SAY507" s="325"/>
      <c r="SAZ507" s="325"/>
      <c r="SBA507" s="325"/>
      <c r="SBB507" s="325"/>
      <c r="SBC507" s="325"/>
      <c r="SBD507" s="325"/>
      <c r="SBE507" s="327"/>
      <c r="SBF507" s="28"/>
      <c r="SBG507" s="324"/>
      <c r="SBH507" s="324"/>
      <c r="SBI507" s="324"/>
      <c r="SBJ507" s="324"/>
      <c r="SBK507" s="324"/>
      <c r="SBL507" s="324"/>
      <c r="SBM507" s="256"/>
      <c r="SBN507" s="325"/>
      <c r="SBO507" s="311"/>
      <c r="SBP507" s="325"/>
      <c r="SBQ507" s="310"/>
      <c r="SBR507" s="325"/>
      <c r="SBS507" s="325"/>
      <c r="SBT507" s="325"/>
      <c r="SBU507" s="325"/>
      <c r="SBV507" s="325"/>
      <c r="SBW507" s="325"/>
      <c r="SBX507" s="325"/>
      <c r="SBY507" s="325"/>
      <c r="SBZ507" s="325"/>
      <c r="SCA507" s="325"/>
      <c r="SCB507" s="325"/>
      <c r="SCC507" s="325"/>
      <c r="SCD507" s="325"/>
      <c r="SCE507" s="325"/>
      <c r="SCF507" s="325"/>
      <c r="SCG507" s="325"/>
      <c r="SCH507" s="325"/>
      <c r="SCI507" s="325"/>
      <c r="SCJ507" s="325"/>
      <c r="SCK507" s="325"/>
      <c r="SCL507" s="325"/>
      <c r="SCM507" s="325"/>
      <c r="SCN507" s="325"/>
      <c r="SCO507" s="325"/>
      <c r="SCP507" s="325"/>
      <c r="SCQ507" s="325"/>
      <c r="SCR507" s="325"/>
      <c r="SCS507" s="325"/>
      <c r="SCT507" s="325"/>
      <c r="SCU507" s="325"/>
      <c r="SCV507" s="327"/>
      <c r="SCW507" s="28"/>
      <c r="SCX507" s="324"/>
      <c r="SCY507" s="324"/>
      <c r="SCZ507" s="324"/>
      <c r="SDA507" s="324"/>
      <c r="SDB507" s="324"/>
      <c r="SDC507" s="324"/>
      <c r="SDD507" s="256"/>
      <c r="SDE507" s="325"/>
      <c r="SDF507" s="311"/>
      <c r="SDG507" s="325"/>
      <c r="SDH507" s="310"/>
      <c r="SDI507" s="325"/>
      <c r="SDJ507" s="325"/>
      <c r="SDK507" s="325"/>
      <c r="SDL507" s="325"/>
      <c r="SDM507" s="325"/>
      <c r="SDN507" s="325"/>
      <c r="SDO507" s="325"/>
      <c r="SDP507" s="325"/>
      <c r="SDQ507" s="325"/>
      <c r="SDR507" s="325"/>
      <c r="SDS507" s="325"/>
      <c r="SDT507" s="325"/>
      <c r="SDU507" s="325"/>
      <c r="SDV507" s="325"/>
      <c r="SDW507" s="325"/>
      <c r="SDX507" s="325"/>
      <c r="SDY507" s="325"/>
      <c r="SDZ507" s="325"/>
      <c r="SEA507" s="325"/>
      <c r="SEB507" s="325"/>
      <c r="SEC507" s="325"/>
      <c r="SED507" s="325"/>
      <c r="SEE507" s="325"/>
      <c r="SEF507" s="325"/>
      <c r="SEG507" s="325"/>
      <c r="SEH507" s="325"/>
      <c r="SEI507" s="325"/>
      <c r="SEJ507" s="325"/>
      <c r="SEK507" s="325"/>
      <c r="SEL507" s="325"/>
      <c r="SEM507" s="327"/>
      <c r="SEN507" s="28"/>
      <c r="SEO507" s="324"/>
      <c r="SEP507" s="324"/>
      <c r="SEQ507" s="324"/>
      <c r="SER507" s="324"/>
      <c r="SES507" s="324"/>
      <c r="SET507" s="324"/>
      <c r="SEU507" s="256"/>
      <c r="SEV507" s="325"/>
      <c r="SEW507" s="311"/>
      <c r="SEX507" s="325"/>
      <c r="SEY507" s="310"/>
      <c r="SEZ507" s="325"/>
      <c r="SFA507" s="325"/>
      <c r="SFB507" s="325"/>
      <c r="SFC507" s="325"/>
      <c r="SFD507" s="325"/>
      <c r="SFE507" s="325"/>
      <c r="SFF507" s="325"/>
      <c r="SFG507" s="325"/>
      <c r="SFH507" s="325"/>
      <c r="SFI507" s="325"/>
      <c r="SFJ507" s="325"/>
      <c r="SFK507" s="325"/>
      <c r="SFL507" s="325"/>
      <c r="SFM507" s="325"/>
      <c r="SFN507" s="325"/>
      <c r="SFO507" s="325"/>
      <c r="SFP507" s="325"/>
      <c r="SFQ507" s="325"/>
      <c r="SFR507" s="325"/>
      <c r="SFS507" s="325"/>
      <c r="SFT507" s="325"/>
      <c r="SFU507" s="325"/>
      <c r="SFV507" s="325"/>
      <c r="SFW507" s="325"/>
      <c r="SFX507" s="325"/>
      <c r="SFY507" s="325"/>
      <c r="SFZ507" s="325"/>
      <c r="SGA507" s="325"/>
      <c r="SGB507" s="325"/>
      <c r="SGC507" s="325"/>
      <c r="SGD507" s="327"/>
      <c r="SGE507" s="28"/>
      <c r="SGF507" s="324"/>
      <c r="SGG507" s="324"/>
      <c r="SGH507" s="324"/>
      <c r="SGI507" s="324"/>
      <c r="SGJ507" s="324"/>
      <c r="SGK507" s="324"/>
      <c r="SGL507" s="256"/>
      <c r="SGM507" s="325"/>
      <c r="SGN507" s="311"/>
      <c r="SGO507" s="325"/>
      <c r="SGP507" s="310"/>
      <c r="SGQ507" s="325"/>
      <c r="SGR507" s="325"/>
      <c r="SGS507" s="325"/>
      <c r="SGT507" s="325"/>
      <c r="SGU507" s="325"/>
      <c r="SGV507" s="325"/>
      <c r="SGW507" s="325"/>
      <c r="SGX507" s="325"/>
      <c r="SGY507" s="325"/>
      <c r="SGZ507" s="325"/>
      <c r="SHA507" s="325"/>
      <c r="SHB507" s="325"/>
      <c r="SHC507" s="325"/>
      <c r="SHD507" s="325"/>
      <c r="SHE507" s="325"/>
      <c r="SHF507" s="325"/>
      <c r="SHG507" s="325"/>
      <c r="SHH507" s="325"/>
      <c r="SHI507" s="325"/>
      <c r="SHJ507" s="325"/>
      <c r="SHK507" s="325"/>
      <c r="SHL507" s="325"/>
      <c r="SHM507" s="325"/>
      <c r="SHN507" s="325"/>
      <c r="SHO507" s="325"/>
      <c r="SHP507" s="325"/>
      <c r="SHQ507" s="325"/>
      <c r="SHR507" s="325"/>
      <c r="SHS507" s="325"/>
      <c r="SHT507" s="325"/>
      <c r="SHU507" s="327"/>
      <c r="SHV507" s="28"/>
      <c r="SHW507" s="324"/>
      <c r="SHX507" s="324"/>
      <c r="SHY507" s="324"/>
      <c r="SHZ507" s="324"/>
      <c r="SIA507" s="324"/>
      <c r="SIB507" s="324"/>
      <c r="SIC507" s="256"/>
      <c r="SID507" s="325"/>
      <c r="SIE507" s="311"/>
      <c r="SIF507" s="325"/>
      <c r="SIG507" s="310"/>
      <c r="SIH507" s="325"/>
      <c r="SII507" s="325"/>
      <c r="SIJ507" s="325"/>
      <c r="SIK507" s="325"/>
      <c r="SIL507" s="325"/>
      <c r="SIM507" s="325"/>
      <c r="SIN507" s="325"/>
      <c r="SIO507" s="325"/>
      <c r="SIP507" s="325"/>
      <c r="SIQ507" s="325"/>
      <c r="SIR507" s="325"/>
      <c r="SIS507" s="325"/>
      <c r="SIT507" s="325"/>
      <c r="SIU507" s="325"/>
      <c r="SIV507" s="325"/>
      <c r="SIW507" s="325"/>
      <c r="SIX507" s="325"/>
      <c r="SIY507" s="325"/>
      <c r="SIZ507" s="325"/>
      <c r="SJA507" s="325"/>
      <c r="SJB507" s="325"/>
      <c r="SJC507" s="325"/>
      <c r="SJD507" s="325"/>
      <c r="SJE507" s="325"/>
      <c r="SJF507" s="325"/>
      <c r="SJG507" s="325"/>
      <c r="SJH507" s="325"/>
      <c r="SJI507" s="325"/>
      <c r="SJJ507" s="325"/>
      <c r="SJK507" s="325"/>
      <c r="SJL507" s="327"/>
      <c r="SJM507" s="28"/>
      <c r="SJN507" s="324"/>
      <c r="SJO507" s="324"/>
      <c r="SJP507" s="324"/>
      <c r="SJQ507" s="324"/>
      <c r="SJR507" s="324"/>
      <c r="SJS507" s="324"/>
      <c r="SJT507" s="256"/>
      <c r="SJU507" s="325"/>
      <c r="SJV507" s="311"/>
      <c r="SJW507" s="325"/>
      <c r="SJX507" s="310"/>
      <c r="SJY507" s="325"/>
      <c r="SJZ507" s="325"/>
      <c r="SKA507" s="325"/>
      <c r="SKB507" s="325"/>
      <c r="SKC507" s="325"/>
      <c r="SKD507" s="325"/>
      <c r="SKE507" s="325"/>
      <c r="SKF507" s="325"/>
      <c r="SKG507" s="325"/>
      <c r="SKH507" s="325"/>
      <c r="SKI507" s="325"/>
      <c r="SKJ507" s="325"/>
      <c r="SKK507" s="325"/>
      <c r="SKL507" s="325"/>
      <c r="SKM507" s="325"/>
      <c r="SKN507" s="325"/>
      <c r="SKO507" s="325"/>
      <c r="SKP507" s="325"/>
      <c r="SKQ507" s="325"/>
      <c r="SKR507" s="325"/>
      <c r="SKS507" s="325"/>
      <c r="SKT507" s="325"/>
      <c r="SKU507" s="325"/>
      <c r="SKV507" s="325"/>
      <c r="SKW507" s="325"/>
      <c r="SKX507" s="325"/>
      <c r="SKY507" s="325"/>
      <c r="SKZ507" s="325"/>
      <c r="SLA507" s="325"/>
      <c r="SLB507" s="325"/>
      <c r="SLC507" s="327"/>
      <c r="SLD507" s="28"/>
      <c r="SLE507" s="324"/>
      <c r="SLF507" s="324"/>
      <c r="SLG507" s="324"/>
      <c r="SLH507" s="324"/>
      <c r="SLI507" s="324"/>
      <c r="SLJ507" s="324"/>
      <c r="SLK507" s="256"/>
      <c r="SLL507" s="325"/>
      <c r="SLM507" s="311"/>
      <c r="SLN507" s="325"/>
      <c r="SLO507" s="310"/>
      <c r="SLP507" s="325"/>
      <c r="SLQ507" s="325"/>
      <c r="SLR507" s="325"/>
      <c r="SLS507" s="325"/>
      <c r="SLT507" s="325"/>
      <c r="SLU507" s="325"/>
      <c r="SLV507" s="325"/>
      <c r="SLW507" s="325"/>
      <c r="SLX507" s="325"/>
      <c r="SLY507" s="325"/>
      <c r="SLZ507" s="325"/>
      <c r="SMA507" s="325"/>
      <c r="SMB507" s="325"/>
      <c r="SMC507" s="325"/>
      <c r="SMD507" s="325"/>
      <c r="SME507" s="325"/>
      <c r="SMF507" s="325"/>
      <c r="SMG507" s="325"/>
      <c r="SMH507" s="325"/>
      <c r="SMI507" s="325"/>
      <c r="SMJ507" s="325"/>
      <c r="SMK507" s="325"/>
      <c r="SML507" s="325"/>
      <c r="SMM507" s="325"/>
      <c r="SMN507" s="325"/>
      <c r="SMO507" s="325"/>
      <c r="SMP507" s="325"/>
      <c r="SMQ507" s="325"/>
      <c r="SMR507" s="325"/>
      <c r="SMS507" s="325"/>
      <c r="SMT507" s="327"/>
      <c r="SMU507" s="28"/>
      <c r="SMV507" s="324"/>
      <c r="SMW507" s="324"/>
      <c r="SMX507" s="324"/>
      <c r="SMY507" s="324"/>
      <c r="SMZ507" s="324"/>
      <c r="SNA507" s="324"/>
      <c r="SNB507" s="256"/>
      <c r="SNC507" s="325"/>
      <c r="SND507" s="311"/>
      <c r="SNE507" s="325"/>
      <c r="SNF507" s="310"/>
      <c r="SNG507" s="325"/>
      <c r="SNH507" s="325"/>
      <c r="SNI507" s="325"/>
      <c r="SNJ507" s="325"/>
      <c r="SNK507" s="325"/>
      <c r="SNL507" s="325"/>
      <c r="SNM507" s="325"/>
      <c r="SNN507" s="325"/>
      <c r="SNO507" s="325"/>
      <c r="SNP507" s="325"/>
      <c r="SNQ507" s="325"/>
      <c r="SNR507" s="325"/>
      <c r="SNS507" s="325"/>
      <c r="SNT507" s="325"/>
      <c r="SNU507" s="325"/>
      <c r="SNV507" s="325"/>
      <c r="SNW507" s="325"/>
      <c r="SNX507" s="325"/>
      <c r="SNY507" s="325"/>
      <c r="SNZ507" s="325"/>
      <c r="SOA507" s="325"/>
      <c r="SOB507" s="325"/>
      <c r="SOC507" s="325"/>
      <c r="SOD507" s="325"/>
      <c r="SOE507" s="325"/>
      <c r="SOF507" s="325"/>
      <c r="SOG507" s="325"/>
      <c r="SOH507" s="325"/>
      <c r="SOI507" s="325"/>
      <c r="SOJ507" s="325"/>
      <c r="SOK507" s="327"/>
      <c r="SOL507" s="28"/>
      <c r="SOM507" s="324"/>
      <c r="SON507" s="324"/>
      <c r="SOO507" s="324"/>
      <c r="SOP507" s="324"/>
      <c r="SOQ507" s="324"/>
      <c r="SOR507" s="324"/>
      <c r="SOS507" s="256"/>
      <c r="SOT507" s="325"/>
      <c r="SOU507" s="311"/>
      <c r="SOV507" s="325"/>
      <c r="SOW507" s="310"/>
      <c r="SOX507" s="325"/>
      <c r="SOY507" s="325"/>
      <c r="SOZ507" s="325"/>
      <c r="SPA507" s="325"/>
      <c r="SPB507" s="325"/>
      <c r="SPC507" s="325"/>
      <c r="SPD507" s="325"/>
      <c r="SPE507" s="325"/>
      <c r="SPF507" s="325"/>
      <c r="SPG507" s="325"/>
      <c r="SPH507" s="325"/>
      <c r="SPI507" s="325"/>
      <c r="SPJ507" s="325"/>
      <c r="SPK507" s="325"/>
      <c r="SPL507" s="325"/>
      <c r="SPM507" s="325"/>
      <c r="SPN507" s="325"/>
      <c r="SPO507" s="325"/>
      <c r="SPP507" s="325"/>
      <c r="SPQ507" s="325"/>
      <c r="SPR507" s="325"/>
      <c r="SPS507" s="325"/>
      <c r="SPT507" s="325"/>
      <c r="SPU507" s="325"/>
      <c r="SPV507" s="325"/>
      <c r="SPW507" s="325"/>
      <c r="SPX507" s="325"/>
      <c r="SPY507" s="325"/>
      <c r="SPZ507" s="325"/>
      <c r="SQA507" s="325"/>
      <c r="SQB507" s="327"/>
      <c r="SQC507" s="28"/>
      <c r="SQD507" s="324"/>
      <c r="SQE507" s="324"/>
      <c r="SQF507" s="324"/>
      <c r="SQG507" s="324"/>
      <c r="SQH507" s="324"/>
      <c r="SQI507" s="324"/>
      <c r="SQJ507" s="256"/>
      <c r="SQK507" s="325"/>
      <c r="SQL507" s="311"/>
      <c r="SQM507" s="325"/>
      <c r="SQN507" s="310"/>
      <c r="SQO507" s="325"/>
      <c r="SQP507" s="325"/>
      <c r="SQQ507" s="325"/>
      <c r="SQR507" s="325"/>
      <c r="SQS507" s="325"/>
      <c r="SQT507" s="325"/>
      <c r="SQU507" s="325"/>
      <c r="SQV507" s="325"/>
      <c r="SQW507" s="325"/>
      <c r="SQX507" s="325"/>
      <c r="SQY507" s="325"/>
      <c r="SQZ507" s="325"/>
      <c r="SRA507" s="325"/>
      <c r="SRB507" s="325"/>
      <c r="SRC507" s="325"/>
      <c r="SRD507" s="325"/>
      <c r="SRE507" s="325"/>
      <c r="SRF507" s="325"/>
      <c r="SRG507" s="325"/>
      <c r="SRH507" s="325"/>
      <c r="SRI507" s="325"/>
      <c r="SRJ507" s="325"/>
      <c r="SRK507" s="325"/>
      <c r="SRL507" s="325"/>
      <c r="SRM507" s="325"/>
      <c r="SRN507" s="325"/>
      <c r="SRO507" s="325"/>
      <c r="SRP507" s="325"/>
      <c r="SRQ507" s="325"/>
      <c r="SRR507" s="325"/>
      <c r="SRS507" s="327"/>
      <c r="SRT507" s="28"/>
      <c r="SRU507" s="324"/>
      <c r="SRV507" s="324"/>
      <c r="SRW507" s="324"/>
      <c r="SRX507" s="324"/>
      <c r="SRY507" s="324"/>
      <c r="SRZ507" s="324"/>
      <c r="SSA507" s="256"/>
      <c r="SSB507" s="325"/>
      <c r="SSC507" s="311"/>
      <c r="SSD507" s="325"/>
      <c r="SSE507" s="310"/>
      <c r="SSF507" s="325"/>
      <c r="SSG507" s="325"/>
      <c r="SSH507" s="325"/>
      <c r="SSI507" s="325"/>
      <c r="SSJ507" s="325"/>
      <c r="SSK507" s="325"/>
      <c r="SSL507" s="325"/>
      <c r="SSM507" s="325"/>
      <c r="SSN507" s="325"/>
      <c r="SSO507" s="325"/>
      <c r="SSP507" s="325"/>
      <c r="SSQ507" s="325"/>
      <c r="SSR507" s="325"/>
      <c r="SSS507" s="325"/>
      <c r="SST507" s="325"/>
      <c r="SSU507" s="325"/>
      <c r="SSV507" s="325"/>
      <c r="SSW507" s="325"/>
      <c r="SSX507" s="325"/>
      <c r="SSY507" s="325"/>
      <c r="SSZ507" s="325"/>
      <c r="STA507" s="325"/>
      <c r="STB507" s="325"/>
      <c r="STC507" s="325"/>
      <c r="STD507" s="325"/>
      <c r="STE507" s="325"/>
      <c r="STF507" s="325"/>
      <c r="STG507" s="325"/>
      <c r="STH507" s="325"/>
      <c r="STI507" s="325"/>
      <c r="STJ507" s="327"/>
      <c r="STK507" s="28"/>
      <c r="STL507" s="324"/>
      <c r="STM507" s="324"/>
      <c r="STN507" s="324"/>
      <c r="STO507" s="324"/>
      <c r="STP507" s="324"/>
      <c r="STQ507" s="324"/>
      <c r="STR507" s="256"/>
      <c r="STS507" s="325"/>
      <c r="STT507" s="311"/>
      <c r="STU507" s="325"/>
      <c r="STV507" s="310"/>
      <c r="STW507" s="325"/>
      <c r="STX507" s="325"/>
      <c r="STY507" s="325"/>
      <c r="STZ507" s="325"/>
      <c r="SUA507" s="325"/>
      <c r="SUB507" s="325"/>
      <c r="SUC507" s="325"/>
      <c r="SUD507" s="325"/>
      <c r="SUE507" s="325"/>
      <c r="SUF507" s="325"/>
      <c r="SUG507" s="325"/>
      <c r="SUH507" s="325"/>
      <c r="SUI507" s="325"/>
      <c r="SUJ507" s="325"/>
      <c r="SUK507" s="325"/>
      <c r="SUL507" s="325"/>
      <c r="SUM507" s="325"/>
      <c r="SUN507" s="325"/>
      <c r="SUO507" s="325"/>
      <c r="SUP507" s="325"/>
      <c r="SUQ507" s="325"/>
      <c r="SUR507" s="325"/>
      <c r="SUS507" s="325"/>
      <c r="SUT507" s="325"/>
      <c r="SUU507" s="325"/>
      <c r="SUV507" s="325"/>
      <c r="SUW507" s="325"/>
      <c r="SUX507" s="325"/>
      <c r="SUY507" s="325"/>
      <c r="SUZ507" s="325"/>
      <c r="SVA507" s="327"/>
      <c r="SVB507" s="28"/>
      <c r="SVC507" s="324"/>
      <c r="SVD507" s="324"/>
      <c r="SVE507" s="324"/>
      <c r="SVF507" s="324"/>
      <c r="SVG507" s="324"/>
      <c r="SVH507" s="324"/>
      <c r="SVI507" s="256"/>
      <c r="SVJ507" s="325"/>
      <c r="SVK507" s="311"/>
      <c r="SVL507" s="325"/>
      <c r="SVM507" s="310"/>
      <c r="SVN507" s="325"/>
      <c r="SVO507" s="325"/>
      <c r="SVP507" s="325"/>
      <c r="SVQ507" s="325"/>
      <c r="SVR507" s="325"/>
      <c r="SVS507" s="325"/>
      <c r="SVT507" s="325"/>
      <c r="SVU507" s="325"/>
      <c r="SVV507" s="325"/>
      <c r="SVW507" s="325"/>
      <c r="SVX507" s="325"/>
      <c r="SVY507" s="325"/>
      <c r="SVZ507" s="325"/>
      <c r="SWA507" s="325"/>
      <c r="SWB507" s="325"/>
      <c r="SWC507" s="325"/>
      <c r="SWD507" s="325"/>
      <c r="SWE507" s="325"/>
      <c r="SWF507" s="325"/>
      <c r="SWG507" s="325"/>
      <c r="SWH507" s="325"/>
      <c r="SWI507" s="325"/>
      <c r="SWJ507" s="325"/>
      <c r="SWK507" s="325"/>
      <c r="SWL507" s="325"/>
      <c r="SWM507" s="325"/>
      <c r="SWN507" s="325"/>
      <c r="SWO507" s="325"/>
      <c r="SWP507" s="325"/>
      <c r="SWQ507" s="325"/>
      <c r="SWR507" s="327"/>
      <c r="SWS507" s="28"/>
      <c r="SWT507" s="324"/>
      <c r="SWU507" s="324"/>
      <c r="SWV507" s="324"/>
      <c r="SWW507" s="324"/>
      <c r="SWX507" s="324"/>
      <c r="SWY507" s="324"/>
      <c r="SWZ507" s="256"/>
      <c r="SXA507" s="325"/>
      <c r="SXB507" s="311"/>
      <c r="SXC507" s="325"/>
      <c r="SXD507" s="310"/>
      <c r="SXE507" s="325"/>
      <c r="SXF507" s="325"/>
      <c r="SXG507" s="325"/>
      <c r="SXH507" s="325"/>
      <c r="SXI507" s="325"/>
      <c r="SXJ507" s="325"/>
      <c r="SXK507" s="325"/>
      <c r="SXL507" s="325"/>
      <c r="SXM507" s="325"/>
      <c r="SXN507" s="325"/>
      <c r="SXO507" s="325"/>
      <c r="SXP507" s="325"/>
      <c r="SXQ507" s="325"/>
      <c r="SXR507" s="325"/>
      <c r="SXS507" s="325"/>
      <c r="SXT507" s="325"/>
      <c r="SXU507" s="325"/>
      <c r="SXV507" s="325"/>
      <c r="SXW507" s="325"/>
      <c r="SXX507" s="325"/>
      <c r="SXY507" s="325"/>
      <c r="SXZ507" s="325"/>
      <c r="SYA507" s="325"/>
      <c r="SYB507" s="325"/>
      <c r="SYC507" s="325"/>
      <c r="SYD507" s="325"/>
      <c r="SYE507" s="325"/>
      <c r="SYF507" s="325"/>
      <c r="SYG507" s="325"/>
      <c r="SYH507" s="325"/>
      <c r="SYI507" s="327"/>
      <c r="SYJ507" s="28"/>
      <c r="SYK507" s="324"/>
      <c r="SYL507" s="324"/>
      <c r="SYM507" s="324"/>
      <c r="SYN507" s="324"/>
      <c r="SYO507" s="324"/>
      <c r="SYP507" s="324"/>
      <c r="SYQ507" s="256"/>
      <c r="SYR507" s="325"/>
      <c r="SYS507" s="311"/>
      <c r="SYT507" s="325"/>
      <c r="SYU507" s="310"/>
      <c r="SYV507" s="325"/>
      <c r="SYW507" s="325"/>
      <c r="SYX507" s="325"/>
      <c r="SYY507" s="325"/>
      <c r="SYZ507" s="325"/>
      <c r="SZA507" s="325"/>
      <c r="SZB507" s="325"/>
      <c r="SZC507" s="325"/>
      <c r="SZD507" s="325"/>
      <c r="SZE507" s="325"/>
      <c r="SZF507" s="325"/>
      <c r="SZG507" s="325"/>
      <c r="SZH507" s="325"/>
      <c r="SZI507" s="325"/>
      <c r="SZJ507" s="325"/>
      <c r="SZK507" s="325"/>
      <c r="SZL507" s="325"/>
      <c r="SZM507" s="325"/>
      <c r="SZN507" s="325"/>
      <c r="SZO507" s="325"/>
      <c r="SZP507" s="325"/>
      <c r="SZQ507" s="325"/>
      <c r="SZR507" s="325"/>
      <c r="SZS507" s="325"/>
      <c r="SZT507" s="325"/>
      <c r="SZU507" s="325"/>
      <c r="SZV507" s="325"/>
      <c r="SZW507" s="325"/>
      <c r="SZX507" s="325"/>
      <c r="SZY507" s="325"/>
      <c r="SZZ507" s="327"/>
      <c r="TAA507" s="28"/>
      <c r="TAB507" s="324"/>
      <c r="TAC507" s="324"/>
      <c r="TAD507" s="324"/>
      <c r="TAE507" s="324"/>
      <c r="TAF507" s="324"/>
      <c r="TAG507" s="324"/>
      <c r="TAH507" s="256"/>
      <c r="TAI507" s="325"/>
      <c r="TAJ507" s="311"/>
      <c r="TAK507" s="325"/>
      <c r="TAL507" s="310"/>
      <c r="TAM507" s="325"/>
      <c r="TAN507" s="325"/>
      <c r="TAO507" s="325"/>
      <c r="TAP507" s="325"/>
      <c r="TAQ507" s="325"/>
      <c r="TAR507" s="325"/>
      <c r="TAS507" s="325"/>
      <c r="TAT507" s="325"/>
      <c r="TAU507" s="325"/>
      <c r="TAV507" s="325"/>
      <c r="TAW507" s="325"/>
      <c r="TAX507" s="325"/>
      <c r="TAY507" s="325"/>
      <c r="TAZ507" s="325"/>
      <c r="TBA507" s="325"/>
      <c r="TBB507" s="325"/>
      <c r="TBC507" s="325"/>
      <c r="TBD507" s="325"/>
      <c r="TBE507" s="325"/>
      <c r="TBF507" s="325"/>
      <c r="TBG507" s="325"/>
      <c r="TBH507" s="325"/>
      <c r="TBI507" s="325"/>
      <c r="TBJ507" s="325"/>
      <c r="TBK507" s="325"/>
      <c r="TBL507" s="325"/>
      <c r="TBM507" s="325"/>
      <c r="TBN507" s="325"/>
      <c r="TBO507" s="325"/>
      <c r="TBP507" s="325"/>
      <c r="TBQ507" s="327"/>
      <c r="TBR507" s="28"/>
      <c r="TBS507" s="324"/>
      <c r="TBT507" s="324"/>
      <c r="TBU507" s="324"/>
      <c r="TBV507" s="324"/>
      <c r="TBW507" s="324"/>
      <c r="TBX507" s="324"/>
      <c r="TBY507" s="256"/>
      <c r="TBZ507" s="325"/>
      <c r="TCA507" s="311"/>
      <c r="TCB507" s="325"/>
      <c r="TCC507" s="310"/>
      <c r="TCD507" s="325"/>
      <c r="TCE507" s="325"/>
      <c r="TCF507" s="325"/>
      <c r="TCG507" s="325"/>
      <c r="TCH507" s="325"/>
      <c r="TCI507" s="325"/>
      <c r="TCJ507" s="325"/>
      <c r="TCK507" s="325"/>
      <c r="TCL507" s="325"/>
      <c r="TCM507" s="325"/>
      <c r="TCN507" s="325"/>
      <c r="TCO507" s="325"/>
      <c r="TCP507" s="325"/>
      <c r="TCQ507" s="325"/>
      <c r="TCR507" s="325"/>
      <c r="TCS507" s="325"/>
      <c r="TCT507" s="325"/>
      <c r="TCU507" s="325"/>
      <c r="TCV507" s="325"/>
      <c r="TCW507" s="325"/>
      <c r="TCX507" s="325"/>
      <c r="TCY507" s="325"/>
      <c r="TCZ507" s="325"/>
      <c r="TDA507" s="325"/>
      <c r="TDB507" s="325"/>
      <c r="TDC507" s="325"/>
      <c r="TDD507" s="325"/>
      <c r="TDE507" s="325"/>
      <c r="TDF507" s="325"/>
      <c r="TDG507" s="325"/>
      <c r="TDH507" s="327"/>
      <c r="TDI507" s="28"/>
      <c r="TDJ507" s="324"/>
      <c r="TDK507" s="324"/>
      <c r="TDL507" s="324"/>
      <c r="TDM507" s="324"/>
      <c r="TDN507" s="324"/>
      <c r="TDO507" s="324"/>
      <c r="TDP507" s="256"/>
      <c r="TDQ507" s="325"/>
      <c r="TDR507" s="311"/>
      <c r="TDS507" s="325"/>
      <c r="TDT507" s="310"/>
      <c r="TDU507" s="325"/>
      <c r="TDV507" s="325"/>
      <c r="TDW507" s="325"/>
      <c r="TDX507" s="325"/>
      <c r="TDY507" s="325"/>
      <c r="TDZ507" s="325"/>
      <c r="TEA507" s="325"/>
      <c r="TEB507" s="325"/>
      <c r="TEC507" s="325"/>
      <c r="TED507" s="325"/>
      <c r="TEE507" s="325"/>
      <c r="TEF507" s="325"/>
      <c r="TEG507" s="325"/>
      <c r="TEH507" s="325"/>
      <c r="TEI507" s="325"/>
      <c r="TEJ507" s="325"/>
      <c r="TEK507" s="325"/>
      <c r="TEL507" s="325"/>
      <c r="TEM507" s="325"/>
      <c r="TEN507" s="325"/>
      <c r="TEO507" s="325"/>
      <c r="TEP507" s="325"/>
      <c r="TEQ507" s="325"/>
      <c r="TER507" s="325"/>
      <c r="TES507" s="325"/>
      <c r="TET507" s="325"/>
      <c r="TEU507" s="325"/>
      <c r="TEV507" s="325"/>
      <c r="TEW507" s="325"/>
      <c r="TEX507" s="325"/>
      <c r="TEY507" s="327"/>
      <c r="TEZ507" s="28"/>
      <c r="TFA507" s="324"/>
      <c r="TFB507" s="324"/>
      <c r="TFC507" s="324"/>
      <c r="TFD507" s="324"/>
      <c r="TFE507" s="324"/>
      <c r="TFF507" s="324"/>
      <c r="TFG507" s="256"/>
      <c r="TFH507" s="325"/>
      <c r="TFI507" s="311"/>
      <c r="TFJ507" s="325"/>
      <c r="TFK507" s="310"/>
      <c r="TFL507" s="325"/>
      <c r="TFM507" s="325"/>
      <c r="TFN507" s="325"/>
      <c r="TFO507" s="325"/>
      <c r="TFP507" s="325"/>
      <c r="TFQ507" s="325"/>
      <c r="TFR507" s="325"/>
      <c r="TFS507" s="325"/>
      <c r="TFT507" s="325"/>
      <c r="TFU507" s="325"/>
      <c r="TFV507" s="325"/>
      <c r="TFW507" s="325"/>
      <c r="TFX507" s="325"/>
      <c r="TFY507" s="325"/>
      <c r="TFZ507" s="325"/>
      <c r="TGA507" s="325"/>
      <c r="TGB507" s="325"/>
      <c r="TGC507" s="325"/>
      <c r="TGD507" s="325"/>
      <c r="TGE507" s="325"/>
      <c r="TGF507" s="325"/>
      <c r="TGG507" s="325"/>
      <c r="TGH507" s="325"/>
      <c r="TGI507" s="325"/>
      <c r="TGJ507" s="325"/>
      <c r="TGK507" s="325"/>
      <c r="TGL507" s="325"/>
      <c r="TGM507" s="325"/>
      <c r="TGN507" s="325"/>
      <c r="TGO507" s="325"/>
      <c r="TGP507" s="327"/>
      <c r="TGQ507" s="28"/>
      <c r="TGR507" s="324"/>
      <c r="TGS507" s="324"/>
      <c r="TGT507" s="324"/>
      <c r="TGU507" s="324"/>
      <c r="TGV507" s="324"/>
      <c r="TGW507" s="324"/>
      <c r="TGX507" s="256"/>
      <c r="TGY507" s="325"/>
      <c r="TGZ507" s="311"/>
      <c r="THA507" s="325"/>
      <c r="THB507" s="310"/>
      <c r="THC507" s="325"/>
      <c r="THD507" s="325"/>
      <c r="THE507" s="325"/>
      <c r="THF507" s="325"/>
      <c r="THG507" s="325"/>
      <c r="THH507" s="325"/>
      <c r="THI507" s="325"/>
      <c r="THJ507" s="325"/>
      <c r="THK507" s="325"/>
      <c r="THL507" s="325"/>
      <c r="THM507" s="325"/>
      <c r="THN507" s="325"/>
      <c r="THO507" s="325"/>
      <c r="THP507" s="325"/>
      <c r="THQ507" s="325"/>
      <c r="THR507" s="325"/>
      <c r="THS507" s="325"/>
      <c r="THT507" s="325"/>
      <c r="THU507" s="325"/>
      <c r="THV507" s="325"/>
      <c r="THW507" s="325"/>
      <c r="THX507" s="325"/>
      <c r="THY507" s="325"/>
      <c r="THZ507" s="325"/>
      <c r="TIA507" s="325"/>
      <c r="TIB507" s="325"/>
      <c r="TIC507" s="325"/>
      <c r="TID507" s="325"/>
      <c r="TIE507" s="325"/>
      <c r="TIF507" s="325"/>
      <c r="TIG507" s="327"/>
      <c r="TIH507" s="28"/>
      <c r="TII507" s="324"/>
      <c r="TIJ507" s="324"/>
      <c r="TIK507" s="324"/>
      <c r="TIL507" s="324"/>
      <c r="TIM507" s="324"/>
      <c r="TIN507" s="324"/>
      <c r="TIO507" s="256"/>
      <c r="TIP507" s="325"/>
      <c r="TIQ507" s="311"/>
      <c r="TIR507" s="325"/>
      <c r="TIS507" s="310"/>
      <c r="TIT507" s="325"/>
      <c r="TIU507" s="325"/>
      <c r="TIV507" s="325"/>
      <c r="TIW507" s="325"/>
      <c r="TIX507" s="325"/>
      <c r="TIY507" s="325"/>
      <c r="TIZ507" s="325"/>
      <c r="TJA507" s="325"/>
      <c r="TJB507" s="325"/>
      <c r="TJC507" s="325"/>
      <c r="TJD507" s="325"/>
      <c r="TJE507" s="325"/>
      <c r="TJF507" s="325"/>
      <c r="TJG507" s="325"/>
      <c r="TJH507" s="325"/>
      <c r="TJI507" s="325"/>
      <c r="TJJ507" s="325"/>
      <c r="TJK507" s="325"/>
      <c r="TJL507" s="325"/>
      <c r="TJM507" s="325"/>
      <c r="TJN507" s="325"/>
      <c r="TJO507" s="325"/>
      <c r="TJP507" s="325"/>
      <c r="TJQ507" s="325"/>
      <c r="TJR507" s="325"/>
      <c r="TJS507" s="325"/>
      <c r="TJT507" s="325"/>
      <c r="TJU507" s="325"/>
      <c r="TJV507" s="325"/>
      <c r="TJW507" s="325"/>
      <c r="TJX507" s="327"/>
      <c r="TJY507" s="28"/>
      <c r="TJZ507" s="324"/>
      <c r="TKA507" s="324"/>
      <c r="TKB507" s="324"/>
      <c r="TKC507" s="324"/>
      <c r="TKD507" s="324"/>
      <c r="TKE507" s="324"/>
      <c r="TKF507" s="256"/>
      <c r="TKG507" s="325"/>
      <c r="TKH507" s="311"/>
      <c r="TKI507" s="325"/>
      <c r="TKJ507" s="310"/>
      <c r="TKK507" s="325"/>
      <c r="TKL507" s="325"/>
      <c r="TKM507" s="325"/>
      <c r="TKN507" s="325"/>
      <c r="TKO507" s="325"/>
      <c r="TKP507" s="325"/>
      <c r="TKQ507" s="325"/>
      <c r="TKR507" s="325"/>
      <c r="TKS507" s="325"/>
      <c r="TKT507" s="325"/>
      <c r="TKU507" s="325"/>
      <c r="TKV507" s="325"/>
      <c r="TKW507" s="325"/>
      <c r="TKX507" s="325"/>
      <c r="TKY507" s="325"/>
      <c r="TKZ507" s="325"/>
      <c r="TLA507" s="325"/>
      <c r="TLB507" s="325"/>
      <c r="TLC507" s="325"/>
      <c r="TLD507" s="325"/>
      <c r="TLE507" s="325"/>
      <c r="TLF507" s="325"/>
      <c r="TLG507" s="325"/>
      <c r="TLH507" s="325"/>
      <c r="TLI507" s="325"/>
      <c r="TLJ507" s="325"/>
      <c r="TLK507" s="325"/>
      <c r="TLL507" s="325"/>
      <c r="TLM507" s="325"/>
      <c r="TLN507" s="325"/>
      <c r="TLO507" s="327"/>
      <c r="TLP507" s="28"/>
      <c r="TLQ507" s="324"/>
      <c r="TLR507" s="324"/>
      <c r="TLS507" s="324"/>
      <c r="TLT507" s="324"/>
      <c r="TLU507" s="324"/>
      <c r="TLV507" s="324"/>
      <c r="TLW507" s="256"/>
      <c r="TLX507" s="325"/>
      <c r="TLY507" s="311"/>
      <c r="TLZ507" s="325"/>
      <c r="TMA507" s="310"/>
      <c r="TMB507" s="325"/>
      <c r="TMC507" s="325"/>
      <c r="TMD507" s="325"/>
      <c r="TME507" s="325"/>
      <c r="TMF507" s="325"/>
      <c r="TMG507" s="325"/>
      <c r="TMH507" s="325"/>
      <c r="TMI507" s="325"/>
      <c r="TMJ507" s="325"/>
      <c r="TMK507" s="325"/>
      <c r="TML507" s="325"/>
      <c r="TMM507" s="325"/>
      <c r="TMN507" s="325"/>
      <c r="TMO507" s="325"/>
      <c r="TMP507" s="325"/>
      <c r="TMQ507" s="325"/>
      <c r="TMR507" s="325"/>
      <c r="TMS507" s="325"/>
      <c r="TMT507" s="325"/>
      <c r="TMU507" s="325"/>
      <c r="TMV507" s="325"/>
      <c r="TMW507" s="325"/>
      <c r="TMX507" s="325"/>
      <c r="TMY507" s="325"/>
      <c r="TMZ507" s="325"/>
      <c r="TNA507" s="325"/>
      <c r="TNB507" s="325"/>
      <c r="TNC507" s="325"/>
      <c r="TND507" s="325"/>
      <c r="TNE507" s="325"/>
      <c r="TNF507" s="327"/>
      <c r="TNG507" s="28"/>
      <c r="TNH507" s="324"/>
      <c r="TNI507" s="324"/>
      <c r="TNJ507" s="324"/>
      <c r="TNK507" s="324"/>
      <c r="TNL507" s="324"/>
      <c r="TNM507" s="324"/>
      <c r="TNN507" s="256"/>
      <c r="TNO507" s="325"/>
      <c r="TNP507" s="311"/>
      <c r="TNQ507" s="325"/>
      <c r="TNR507" s="310"/>
      <c r="TNS507" s="325"/>
      <c r="TNT507" s="325"/>
      <c r="TNU507" s="325"/>
      <c r="TNV507" s="325"/>
      <c r="TNW507" s="325"/>
      <c r="TNX507" s="325"/>
      <c r="TNY507" s="325"/>
      <c r="TNZ507" s="325"/>
      <c r="TOA507" s="325"/>
      <c r="TOB507" s="325"/>
      <c r="TOC507" s="325"/>
      <c r="TOD507" s="325"/>
      <c r="TOE507" s="325"/>
      <c r="TOF507" s="325"/>
      <c r="TOG507" s="325"/>
      <c r="TOH507" s="325"/>
      <c r="TOI507" s="325"/>
      <c r="TOJ507" s="325"/>
      <c r="TOK507" s="325"/>
      <c r="TOL507" s="325"/>
      <c r="TOM507" s="325"/>
      <c r="TON507" s="325"/>
      <c r="TOO507" s="325"/>
      <c r="TOP507" s="325"/>
      <c r="TOQ507" s="325"/>
      <c r="TOR507" s="325"/>
      <c r="TOS507" s="325"/>
      <c r="TOT507" s="325"/>
      <c r="TOU507" s="325"/>
      <c r="TOV507" s="325"/>
      <c r="TOW507" s="327"/>
      <c r="TOX507" s="28"/>
      <c r="TOY507" s="324"/>
      <c r="TOZ507" s="324"/>
      <c r="TPA507" s="324"/>
      <c r="TPB507" s="324"/>
      <c r="TPC507" s="324"/>
      <c r="TPD507" s="324"/>
      <c r="TPE507" s="256"/>
      <c r="TPF507" s="325"/>
      <c r="TPG507" s="311"/>
      <c r="TPH507" s="325"/>
      <c r="TPI507" s="310"/>
      <c r="TPJ507" s="325"/>
      <c r="TPK507" s="325"/>
      <c r="TPL507" s="325"/>
      <c r="TPM507" s="325"/>
      <c r="TPN507" s="325"/>
      <c r="TPO507" s="325"/>
      <c r="TPP507" s="325"/>
      <c r="TPQ507" s="325"/>
      <c r="TPR507" s="325"/>
      <c r="TPS507" s="325"/>
      <c r="TPT507" s="325"/>
      <c r="TPU507" s="325"/>
      <c r="TPV507" s="325"/>
      <c r="TPW507" s="325"/>
      <c r="TPX507" s="325"/>
      <c r="TPY507" s="325"/>
      <c r="TPZ507" s="325"/>
      <c r="TQA507" s="325"/>
      <c r="TQB507" s="325"/>
      <c r="TQC507" s="325"/>
      <c r="TQD507" s="325"/>
      <c r="TQE507" s="325"/>
      <c r="TQF507" s="325"/>
      <c r="TQG507" s="325"/>
      <c r="TQH507" s="325"/>
      <c r="TQI507" s="325"/>
      <c r="TQJ507" s="325"/>
      <c r="TQK507" s="325"/>
      <c r="TQL507" s="325"/>
      <c r="TQM507" s="325"/>
      <c r="TQN507" s="327"/>
      <c r="TQO507" s="28"/>
      <c r="TQP507" s="324"/>
      <c r="TQQ507" s="324"/>
      <c r="TQR507" s="324"/>
      <c r="TQS507" s="324"/>
      <c r="TQT507" s="324"/>
      <c r="TQU507" s="324"/>
      <c r="TQV507" s="256"/>
      <c r="TQW507" s="325"/>
      <c r="TQX507" s="311"/>
      <c r="TQY507" s="325"/>
      <c r="TQZ507" s="310"/>
      <c r="TRA507" s="325"/>
      <c r="TRB507" s="325"/>
      <c r="TRC507" s="325"/>
      <c r="TRD507" s="325"/>
      <c r="TRE507" s="325"/>
      <c r="TRF507" s="325"/>
      <c r="TRG507" s="325"/>
      <c r="TRH507" s="325"/>
      <c r="TRI507" s="325"/>
      <c r="TRJ507" s="325"/>
      <c r="TRK507" s="325"/>
      <c r="TRL507" s="325"/>
      <c r="TRM507" s="325"/>
      <c r="TRN507" s="325"/>
      <c r="TRO507" s="325"/>
      <c r="TRP507" s="325"/>
      <c r="TRQ507" s="325"/>
      <c r="TRR507" s="325"/>
      <c r="TRS507" s="325"/>
      <c r="TRT507" s="325"/>
      <c r="TRU507" s="325"/>
      <c r="TRV507" s="325"/>
      <c r="TRW507" s="325"/>
      <c r="TRX507" s="325"/>
      <c r="TRY507" s="325"/>
      <c r="TRZ507" s="325"/>
      <c r="TSA507" s="325"/>
      <c r="TSB507" s="325"/>
      <c r="TSC507" s="325"/>
      <c r="TSD507" s="325"/>
      <c r="TSE507" s="327"/>
      <c r="TSF507" s="28"/>
      <c r="TSG507" s="324"/>
      <c r="TSH507" s="324"/>
      <c r="TSI507" s="324"/>
      <c r="TSJ507" s="324"/>
      <c r="TSK507" s="324"/>
      <c r="TSL507" s="324"/>
      <c r="TSM507" s="256"/>
      <c r="TSN507" s="325"/>
      <c r="TSO507" s="311"/>
      <c r="TSP507" s="325"/>
      <c r="TSQ507" s="310"/>
      <c r="TSR507" s="325"/>
      <c r="TSS507" s="325"/>
      <c r="TST507" s="325"/>
      <c r="TSU507" s="325"/>
      <c r="TSV507" s="325"/>
      <c r="TSW507" s="325"/>
      <c r="TSX507" s="325"/>
      <c r="TSY507" s="325"/>
      <c r="TSZ507" s="325"/>
      <c r="TTA507" s="325"/>
      <c r="TTB507" s="325"/>
      <c r="TTC507" s="325"/>
      <c r="TTD507" s="325"/>
      <c r="TTE507" s="325"/>
      <c r="TTF507" s="325"/>
      <c r="TTG507" s="325"/>
      <c r="TTH507" s="325"/>
      <c r="TTI507" s="325"/>
      <c r="TTJ507" s="325"/>
      <c r="TTK507" s="325"/>
      <c r="TTL507" s="325"/>
      <c r="TTM507" s="325"/>
      <c r="TTN507" s="325"/>
      <c r="TTO507" s="325"/>
      <c r="TTP507" s="325"/>
      <c r="TTQ507" s="325"/>
      <c r="TTR507" s="325"/>
      <c r="TTS507" s="325"/>
      <c r="TTT507" s="325"/>
      <c r="TTU507" s="325"/>
      <c r="TTV507" s="327"/>
      <c r="TTW507" s="28"/>
      <c r="TTX507" s="324"/>
      <c r="TTY507" s="324"/>
      <c r="TTZ507" s="324"/>
      <c r="TUA507" s="324"/>
      <c r="TUB507" s="324"/>
      <c r="TUC507" s="324"/>
      <c r="TUD507" s="256"/>
      <c r="TUE507" s="325"/>
      <c r="TUF507" s="311"/>
      <c r="TUG507" s="325"/>
      <c r="TUH507" s="310"/>
      <c r="TUI507" s="325"/>
      <c r="TUJ507" s="325"/>
      <c r="TUK507" s="325"/>
      <c r="TUL507" s="325"/>
      <c r="TUM507" s="325"/>
      <c r="TUN507" s="325"/>
      <c r="TUO507" s="325"/>
      <c r="TUP507" s="325"/>
      <c r="TUQ507" s="325"/>
      <c r="TUR507" s="325"/>
      <c r="TUS507" s="325"/>
      <c r="TUT507" s="325"/>
      <c r="TUU507" s="325"/>
      <c r="TUV507" s="325"/>
      <c r="TUW507" s="325"/>
      <c r="TUX507" s="325"/>
      <c r="TUY507" s="325"/>
      <c r="TUZ507" s="325"/>
      <c r="TVA507" s="325"/>
      <c r="TVB507" s="325"/>
      <c r="TVC507" s="325"/>
      <c r="TVD507" s="325"/>
      <c r="TVE507" s="325"/>
      <c r="TVF507" s="325"/>
      <c r="TVG507" s="325"/>
      <c r="TVH507" s="325"/>
      <c r="TVI507" s="325"/>
      <c r="TVJ507" s="325"/>
      <c r="TVK507" s="325"/>
      <c r="TVL507" s="325"/>
      <c r="TVM507" s="327"/>
      <c r="TVN507" s="28"/>
      <c r="TVO507" s="324"/>
      <c r="TVP507" s="324"/>
      <c r="TVQ507" s="324"/>
      <c r="TVR507" s="324"/>
      <c r="TVS507" s="324"/>
      <c r="TVT507" s="324"/>
      <c r="TVU507" s="256"/>
      <c r="TVV507" s="325"/>
      <c r="TVW507" s="311"/>
      <c r="TVX507" s="325"/>
      <c r="TVY507" s="310"/>
      <c r="TVZ507" s="325"/>
      <c r="TWA507" s="325"/>
      <c r="TWB507" s="325"/>
      <c r="TWC507" s="325"/>
      <c r="TWD507" s="325"/>
      <c r="TWE507" s="325"/>
      <c r="TWF507" s="325"/>
      <c r="TWG507" s="325"/>
      <c r="TWH507" s="325"/>
      <c r="TWI507" s="325"/>
      <c r="TWJ507" s="325"/>
      <c r="TWK507" s="325"/>
      <c r="TWL507" s="325"/>
      <c r="TWM507" s="325"/>
      <c r="TWN507" s="325"/>
      <c r="TWO507" s="325"/>
      <c r="TWP507" s="325"/>
      <c r="TWQ507" s="325"/>
      <c r="TWR507" s="325"/>
      <c r="TWS507" s="325"/>
      <c r="TWT507" s="325"/>
      <c r="TWU507" s="325"/>
      <c r="TWV507" s="325"/>
      <c r="TWW507" s="325"/>
      <c r="TWX507" s="325"/>
      <c r="TWY507" s="325"/>
      <c r="TWZ507" s="325"/>
      <c r="TXA507" s="325"/>
      <c r="TXB507" s="325"/>
      <c r="TXC507" s="325"/>
      <c r="TXD507" s="327"/>
      <c r="TXE507" s="28"/>
      <c r="TXF507" s="324"/>
      <c r="TXG507" s="324"/>
      <c r="TXH507" s="324"/>
      <c r="TXI507" s="324"/>
      <c r="TXJ507" s="324"/>
      <c r="TXK507" s="324"/>
      <c r="TXL507" s="256"/>
      <c r="TXM507" s="325"/>
      <c r="TXN507" s="311"/>
      <c r="TXO507" s="325"/>
      <c r="TXP507" s="310"/>
      <c r="TXQ507" s="325"/>
      <c r="TXR507" s="325"/>
      <c r="TXS507" s="325"/>
      <c r="TXT507" s="325"/>
      <c r="TXU507" s="325"/>
      <c r="TXV507" s="325"/>
      <c r="TXW507" s="325"/>
      <c r="TXX507" s="325"/>
      <c r="TXY507" s="325"/>
      <c r="TXZ507" s="325"/>
      <c r="TYA507" s="325"/>
      <c r="TYB507" s="325"/>
      <c r="TYC507" s="325"/>
      <c r="TYD507" s="325"/>
      <c r="TYE507" s="325"/>
      <c r="TYF507" s="325"/>
      <c r="TYG507" s="325"/>
      <c r="TYH507" s="325"/>
      <c r="TYI507" s="325"/>
      <c r="TYJ507" s="325"/>
      <c r="TYK507" s="325"/>
      <c r="TYL507" s="325"/>
      <c r="TYM507" s="325"/>
      <c r="TYN507" s="325"/>
      <c r="TYO507" s="325"/>
      <c r="TYP507" s="325"/>
      <c r="TYQ507" s="325"/>
      <c r="TYR507" s="325"/>
      <c r="TYS507" s="325"/>
      <c r="TYT507" s="325"/>
      <c r="TYU507" s="327"/>
      <c r="TYV507" s="28"/>
      <c r="TYW507" s="324"/>
      <c r="TYX507" s="324"/>
      <c r="TYY507" s="324"/>
      <c r="TYZ507" s="324"/>
      <c r="TZA507" s="324"/>
      <c r="TZB507" s="324"/>
      <c r="TZC507" s="256"/>
      <c r="TZD507" s="325"/>
      <c r="TZE507" s="311"/>
      <c r="TZF507" s="325"/>
      <c r="TZG507" s="310"/>
      <c r="TZH507" s="325"/>
      <c r="TZI507" s="325"/>
      <c r="TZJ507" s="325"/>
      <c r="TZK507" s="325"/>
      <c r="TZL507" s="325"/>
      <c r="TZM507" s="325"/>
      <c r="TZN507" s="325"/>
      <c r="TZO507" s="325"/>
      <c r="TZP507" s="325"/>
      <c r="TZQ507" s="325"/>
      <c r="TZR507" s="325"/>
      <c r="TZS507" s="325"/>
      <c r="TZT507" s="325"/>
      <c r="TZU507" s="325"/>
      <c r="TZV507" s="325"/>
      <c r="TZW507" s="325"/>
      <c r="TZX507" s="325"/>
      <c r="TZY507" s="325"/>
      <c r="TZZ507" s="325"/>
      <c r="UAA507" s="325"/>
      <c r="UAB507" s="325"/>
      <c r="UAC507" s="325"/>
      <c r="UAD507" s="325"/>
      <c r="UAE507" s="325"/>
      <c r="UAF507" s="325"/>
      <c r="UAG507" s="325"/>
      <c r="UAH507" s="325"/>
      <c r="UAI507" s="325"/>
      <c r="UAJ507" s="325"/>
      <c r="UAK507" s="325"/>
      <c r="UAL507" s="327"/>
      <c r="UAM507" s="28"/>
      <c r="UAN507" s="324"/>
      <c r="UAO507" s="324"/>
      <c r="UAP507" s="324"/>
      <c r="UAQ507" s="324"/>
      <c r="UAR507" s="324"/>
      <c r="UAS507" s="324"/>
      <c r="UAT507" s="256"/>
      <c r="UAU507" s="325"/>
      <c r="UAV507" s="311"/>
      <c r="UAW507" s="325"/>
      <c r="UAX507" s="310"/>
      <c r="UAY507" s="325"/>
      <c r="UAZ507" s="325"/>
      <c r="UBA507" s="325"/>
      <c r="UBB507" s="325"/>
      <c r="UBC507" s="325"/>
      <c r="UBD507" s="325"/>
      <c r="UBE507" s="325"/>
      <c r="UBF507" s="325"/>
      <c r="UBG507" s="325"/>
      <c r="UBH507" s="325"/>
      <c r="UBI507" s="325"/>
      <c r="UBJ507" s="325"/>
      <c r="UBK507" s="325"/>
      <c r="UBL507" s="325"/>
      <c r="UBM507" s="325"/>
      <c r="UBN507" s="325"/>
      <c r="UBO507" s="325"/>
      <c r="UBP507" s="325"/>
      <c r="UBQ507" s="325"/>
      <c r="UBR507" s="325"/>
      <c r="UBS507" s="325"/>
      <c r="UBT507" s="325"/>
      <c r="UBU507" s="325"/>
      <c r="UBV507" s="325"/>
      <c r="UBW507" s="325"/>
      <c r="UBX507" s="325"/>
      <c r="UBY507" s="325"/>
      <c r="UBZ507" s="325"/>
      <c r="UCA507" s="325"/>
      <c r="UCB507" s="325"/>
      <c r="UCC507" s="327"/>
      <c r="UCD507" s="28"/>
      <c r="UCE507" s="324"/>
      <c r="UCF507" s="324"/>
      <c r="UCG507" s="324"/>
      <c r="UCH507" s="324"/>
      <c r="UCI507" s="324"/>
      <c r="UCJ507" s="324"/>
      <c r="UCK507" s="256"/>
      <c r="UCL507" s="325"/>
      <c r="UCM507" s="311"/>
      <c r="UCN507" s="325"/>
      <c r="UCO507" s="310"/>
      <c r="UCP507" s="325"/>
      <c r="UCQ507" s="325"/>
      <c r="UCR507" s="325"/>
      <c r="UCS507" s="325"/>
      <c r="UCT507" s="325"/>
      <c r="UCU507" s="325"/>
      <c r="UCV507" s="325"/>
      <c r="UCW507" s="325"/>
      <c r="UCX507" s="325"/>
      <c r="UCY507" s="325"/>
      <c r="UCZ507" s="325"/>
      <c r="UDA507" s="325"/>
      <c r="UDB507" s="325"/>
      <c r="UDC507" s="325"/>
      <c r="UDD507" s="325"/>
      <c r="UDE507" s="325"/>
      <c r="UDF507" s="325"/>
      <c r="UDG507" s="325"/>
      <c r="UDH507" s="325"/>
      <c r="UDI507" s="325"/>
      <c r="UDJ507" s="325"/>
      <c r="UDK507" s="325"/>
      <c r="UDL507" s="325"/>
      <c r="UDM507" s="325"/>
      <c r="UDN507" s="325"/>
      <c r="UDO507" s="325"/>
      <c r="UDP507" s="325"/>
      <c r="UDQ507" s="325"/>
      <c r="UDR507" s="325"/>
      <c r="UDS507" s="325"/>
      <c r="UDT507" s="327"/>
      <c r="UDU507" s="28"/>
      <c r="UDV507" s="324"/>
      <c r="UDW507" s="324"/>
      <c r="UDX507" s="324"/>
      <c r="UDY507" s="324"/>
      <c r="UDZ507" s="324"/>
      <c r="UEA507" s="324"/>
      <c r="UEB507" s="256"/>
      <c r="UEC507" s="325"/>
      <c r="UED507" s="311"/>
      <c r="UEE507" s="325"/>
      <c r="UEF507" s="310"/>
      <c r="UEG507" s="325"/>
      <c r="UEH507" s="325"/>
      <c r="UEI507" s="325"/>
      <c r="UEJ507" s="325"/>
      <c r="UEK507" s="325"/>
      <c r="UEL507" s="325"/>
      <c r="UEM507" s="325"/>
      <c r="UEN507" s="325"/>
      <c r="UEO507" s="325"/>
      <c r="UEP507" s="325"/>
      <c r="UEQ507" s="325"/>
      <c r="UER507" s="325"/>
      <c r="UES507" s="325"/>
      <c r="UET507" s="325"/>
      <c r="UEU507" s="325"/>
      <c r="UEV507" s="325"/>
      <c r="UEW507" s="325"/>
      <c r="UEX507" s="325"/>
      <c r="UEY507" s="325"/>
      <c r="UEZ507" s="325"/>
      <c r="UFA507" s="325"/>
      <c r="UFB507" s="325"/>
      <c r="UFC507" s="325"/>
      <c r="UFD507" s="325"/>
      <c r="UFE507" s="325"/>
      <c r="UFF507" s="325"/>
      <c r="UFG507" s="325"/>
      <c r="UFH507" s="325"/>
      <c r="UFI507" s="325"/>
      <c r="UFJ507" s="325"/>
      <c r="UFK507" s="327"/>
      <c r="UFL507" s="28"/>
      <c r="UFM507" s="324"/>
      <c r="UFN507" s="324"/>
      <c r="UFO507" s="324"/>
      <c r="UFP507" s="324"/>
      <c r="UFQ507" s="324"/>
      <c r="UFR507" s="324"/>
      <c r="UFS507" s="256"/>
      <c r="UFT507" s="325"/>
      <c r="UFU507" s="311"/>
      <c r="UFV507" s="325"/>
      <c r="UFW507" s="310"/>
      <c r="UFX507" s="325"/>
      <c r="UFY507" s="325"/>
      <c r="UFZ507" s="325"/>
      <c r="UGA507" s="325"/>
      <c r="UGB507" s="325"/>
      <c r="UGC507" s="325"/>
      <c r="UGD507" s="325"/>
      <c r="UGE507" s="325"/>
      <c r="UGF507" s="325"/>
      <c r="UGG507" s="325"/>
      <c r="UGH507" s="325"/>
      <c r="UGI507" s="325"/>
      <c r="UGJ507" s="325"/>
      <c r="UGK507" s="325"/>
      <c r="UGL507" s="325"/>
      <c r="UGM507" s="325"/>
      <c r="UGN507" s="325"/>
      <c r="UGO507" s="325"/>
      <c r="UGP507" s="325"/>
      <c r="UGQ507" s="325"/>
      <c r="UGR507" s="325"/>
      <c r="UGS507" s="325"/>
      <c r="UGT507" s="325"/>
      <c r="UGU507" s="325"/>
      <c r="UGV507" s="325"/>
      <c r="UGW507" s="325"/>
      <c r="UGX507" s="325"/>
      <c r="UGY507" s="325"/>
      <c r="UGZ507" s="325"/>
      <c r="UHA507" s="325"/>
      <c r="UHB507" s="327"/>
      <c r="UHC507" s="28"/>
      <c r="UHD507" s="324"/>
      <c r="UHE507" s="324"/>
      <c r="UHF507" s="324"/>
      <c r="UHG507" s="324"/>
      <c r="UHH507" s="324"/>
      <c r="UHI507" s="324"/>
      <c r="UHJ507" s="256"/>
      <c r="UHK507" s="325"/>
      <c r="UHL507" s="311"/>
      <c r="UHM507" s="325"/>
      <c r="UHN507" s="310"/>
      <c r="UHO507" s="325"/>
      <c r="UHP507" s="325"/>
      <c r="UHQ507" s="325"/>
      <c r="UHR507" s="325"/>
      <c r="UHS507" s="325"/>
      <c r="UHT507" s="325"/>
      <c r="UHU507" s="325"/>
      <c r="UHV507" s="325"/>
      <c r="UHW507" s="325"/>
      <c r="UHX507" s="325"/>
      <c r="UHY507" s="325"/>
      <c r="UHZ507" s="325"/>
      <c r="UIA507" s="325"/>
      <c r="UIB507" s="325"/>
      <c r="UIC507" s="325"/>
      <c r="UID507" s="325"/>
      <c r="UIE507" s="325"/>
      <c r="UIF507" s="325"/>
      <c r="UIG507" s="325"/>
      <c r="UIH507" s="325"/>
      <c r="UII507" s="325"/>
      <c r="UIJ507" s="325"/>
      <c r="UIK507" s="325"/>
      <c r="UIL507" s="325"/>
      <c r="UIM507" s="325"/>
      <c r="UIN507" s="325"/>
      <c r="UIO507" s="325"/>
      <c r="UIP507" s="325"/>
      <c r="UIQ507" s="325"/>
      <c r="UIR507" s="325"/>
      <c r="UIS507" s="327"/>
      <c r="UIT507" s="28"/>
      <c r="UIU507" s="324"/>
      <c r="UIV507" s="324"/>
      <c r="UIW507" s="324"/>
      <c r="UIX507" s="324"/>
      <c r="UIY507" s="324"/>
      <c r="UIZ507" s="324"/>
      <c r="UJA507" s="256"/>
      <c r="UJB507" s="325"/>
      <c r="UJC507" s="311"/>
      <c r="UJD507" s="325"/>
      <c r="UJE507" s="310"/>
      <c r="UJF507" s="325"/>
      <c r="UJG507" s="325"/>
      <c r="UJH507" s="325"/>
      <c r="UJI507" s="325"/>
      <c r="UJJ507" s="325"/>
      <c r="UJK507" s="325"/>
      <c r="UJL507" s="325"/>
      <c r="UJM507" s="325"/>
      <c r="UJN507" s="325"/>
      <c r="UJO507" s="325"/>
      <c r="UJP507" s="325"/>
      <c r="UJQ507" s="325"/>
      <c r="UJR507" s="325"/>
      <c r="UJS507" s="325"/>
      <c r="UJT507" s="325"/>
      <c r="UJU507" s="325"/>
      <c r="UJV507" s="325"/>
      <c r="UJW507" s="325"/>
      <c r="UJX507" s="325"/>
      <c r="UJY507" s="325"/>
      <c r="UJZ507" s="325"/>
      <c r="UKA507" s="325"/>
      <c r="UKB507" s="325"/>
      <c r="UKC507" s="325"/>
      <c r="UKD507" s="325"/>
      <c r="UKE507" s="325"/>
      <c r="UKF507" s="325"/>
      <c r="UKG507" s="325"/>
      <c r="UKH507" s="325"/>
      <c r="UKI507" s="325"/>
      <c r="UKJ507" s="327"/>
      <c r="UKK507" s="28"/>
      <c r="UKL507" s="324"/>
      <c r="UKM507" s="324"/>
      <c r="UKN507" s="324"/>
      <c r="UKO507" s="324"/>
      <c r="UKP507" s="324"/>
      <c r="UKQ507" s="324"/>
      <c r="UKR507" s="256"/>
      <c r="UKS507" s="325"/>
      <c r="UKT507" s="311"/>
      <c r="UKU507" s="325"/>
      <c r="UKV507" s="310"/>
      <c r="UKW507" s="325"/>
      <c r="UKX507" s="325"/>
      <c r="UKY507" s="325"/>
      <c r="UKZ507" s="325"/>
      <c r="ULA507" s="325"/>
      <c r="ULB507" s="325"/>
      <c r="ULC507" s="325"/>
      <c r="ULD507" s="325"/>
      <c r="ULE507" s="325"/>
      <c r="ULF507" s="325"/>
      <c r="ULG507" s="325"/>
      <c r="ULH507" s="325"/>
      <c r="ULI507" s="325"/>
      <c r="ULJ507" s="325"/>
      <c r="ULK507" s="325"/>
      <c r="ULL507" s="325"/>
      <c r="ULM507" s="325"/>
      <c r="ULN507" s="325"/>
      <c r="ULO507" s="325"/>
      <c r="ULP507" s="325"/>
      <c r="ULQ507" s="325"/>
      <c r="ULR507" s="325"/>
      <c r="ULS507" s="325"/>
      <c r="ULT507" s="325"/>
      <c r="ULU507" s="325"/>
      <c r="ULV507" s="325"/>
      <c r="ULW507" s="325"/>
      <c r="ULX507" s="325"/>
      <c r="ULY507" s="325"/>
      <c r="ULZ507" s="325"/>
      <c r="UMA507" s="327"/>
      <c r="UMB507" s="28"/>
      <c r="UMC507" s="324"/>
      <c r="UMD507" s="324"/>
      <c r="UME507" s="324"/>
      <c r="UMF507" s="324"/>
      <c r="UMG507" s="324"/>
      <c r="UMH507" s="324"/>
      <c r="UMI507" s="256"/>
      <c r="UMJ507" s="325"/>
      <c r="UMK507" s="311"/>
      <c r="UML507" s="325"/>
      <c r="UMM507" s="310"/>
      <c r="UMN507" s="325"/>
      <c r="UMO507" s="325"/>
      <c r="UMP507" s="325"/>
      <c r="UMQ507" s="325"/>
      <c r="UMR507" s="325"/>
      <c r="UMS507" s="325"/>
      <c r="UMT507" s="325"/>
      <c r="UMU507" s="325"/>
      <c r="UMV507" s="325"/>
      <c r="UMW507" s="325"/>
      <c r="UMX507" s="325"/>
      <c r="UMY507" s="325"/>
      <c r="UMZ507" s="325"/>
      <c r="UNA507" s="325"/>
      <c r="UNB507" s="325"/>
      <c r="UNC507" s="325"/>
      <c r="UND507" s="325"/>
      <c r="UNE507" s="325"/>
      <c r="UNF507" s="325"/>
      <c r="UNG507" s="325"/>
      <c r="UNH507" s="325"/>
      <c r="UNI507" s="325"/>
      <c r="UNJ507" s="325"/>
      <c r="UNK507" s="325"/>
      <c r="UNL507" s="325"/>
      <c r="UNM507" s="325"/>
      <c r="UNN507" s="325"/>
      <c r="UNO507" s="325"/>
      <c r="UNP507" s="325"/>
      <c r="UNQ507" s="325"/>
      <c r="UNR507" s="327"/>
      <c r="UNS507" s="28"/>
      <c r="UNT507" s="324"/>
      <c r="UNU507" s="324"/>
      <c r="UNV507" s="324"/>
      <c r="UNW507" s="324"/>
      <c r="UNX507" s="324"/>
      <c r="UNY507" s="324"/>
      <c r="UNZ507" s="256"/>
      <c r="UOA507" s="325"/>
      <c r="UOB507" s="311"/>
      <c r="UOC507" s="325"/>
      <c r="UOD507" s="310"/>
      <c r="UOE507" s="325"/>
      <c r="UOF507" s="325"/>
      <c r="UOG507" s="325"/>
      <c r="UOH507" s="325"/>
      <c r="UOI507" s="325"/>
      <c r="UOJ507" s="325"/>
      <c r="UOK507" s="325"/>
      <c r="UOL507" s="325"/>
      <c r="UOM507" s="325"/>
      <c r="UON507" s="325"/>
      <c r="UOO507" s="325"/>
      <c r="UOP507" s="325"/>
      <c r="UOQ507" s="325"/>
      <c r="UOR507" s="325"/>
      <c r="UOS507" s="325"/>
      <c r="UOT507" s="325"/>
      <c r="UOU507" s="325"/>
      <c r="UOV507" s="325"/>
      <c r="UOW507" s="325"/>
      <c r="UOX507" s="325"/>
      <c r="UOY507" s="325"/>
      <c r="UOZ507" s="325"/>
      <c r="UPA507" s="325"/>
      <c r="UPB507" s="325"/>
      <c r="UPC507" s="325"/>
      <c r="UPD507" s="325"/>
      <c r="UPE507" s="325"/>
      <c r="UPF507" s="325"/>
      <c r="UPG507" s="325"/>
      <c r="UPH507" s="325"/>
      <c r="UPI507" s="327"/>
      <c r="UPJ507" s="28"/>
      <c r="UPK507" s="324"/>
      <c r="UPL507" s="324"/>
      <c r="UPM507" s="324"/>
      <c r="UPN507" s="324"/>
      <c r="UPO507" s="324"/>
      <c r="UPP507" s="324"/>
      <c r="UPQ507" s="256"/>
      <c r="UPR507" s="325"/>
      <c r="UPS507" s="311"/>
      <c r="UPT507" s="325"/>
      <c r="UPU507" s="310"/>
      <c r="UPV507" s="325"/>
      <c r="UPW507" s="325"/>
      <c r="UPX507" s="325"/>
      <c r="UPY507" s="325"/>
      <c r="UPZ507" s="325"/>
      <c r="UQA507" s="325"/>
      <c r="UQB507" s="325"/>
      <c r="UQC507" s="325"/>
      <c r="UQD507" s="325"/>
      <c r="UQE507" s="325"/>
      <c r="UQF507" s="325"/>
      <c r="UQG507" s="325"/>
      <c r="UQH507" s="325"/>
      <c r="UQI507" s="325"/>
      <c r="UQJ507" s="325"/>
      <c r="UQK507" s="325"/>
      <c r="UQL507" s="325"/>
      <c r="UQM507" s="325"/>
      <c r="UQN507" s="325"/>
      <c r="UQO507" s="325"/>
      <c r="UQP507" s="325"/>
      <c r="UQQ507" s="325"/>
      <c r="UQR507" s="325"/>
      <c r="UQS507" s="325"/>
      <c r="UQT507" s="325"/>
      <c r="UQU507" s="325"/>
      <c r="UQV507" s="325"/>
      <c r="UQW507" s="325"/>
      <c r="UQX507" s="325"/>
      <c r="UQY507" s="325"/>
      <c r="UQZ507" s="327"/>
      <c r="URA507" s="28"/>
      <c r="URB507" s="324"/>
      <c r="URC507" s="324"/>
      <c r="URD507" s="324"/>
      <c r="URE507" s="324"/>
      <c r="URF507" s="324"/>
      <c r="URG507" s="324"/>
      <c r="URH507" s="256"/>
      <c r="URI507" s="325"/>
      <c r="URJ507" s="311"/>
      <c r="URK507" s="325"/>
      <c r="URL507" s="310"/>
      <c r="URM507" s="325"/>
      <c r="URN507" s="325"/>
      <c r="URO507" s="325"/>
      <c r="URP507" s="325"/>
      <c r="URQ507" s="325"/>
      <c r="URR507" s="325"/>
      <c r="URS507" s="325"/>
      <c r="URT507" s="325"/>
      <c r="URU507" s="325"/>
      <c r="URV507" s="325"/>
      <c r="URW507" s="325"/>
      <c r="URX507" s="325"/>
      <c r="URY507" s="325"/>
      <c r="URZ507" s="325"/>
      <c r="USA507" s="325"/>
      <c r="USB507" s="325"/>
      <c r="USC507" s="325"/>
      <c r="USD507" s="325"/>
      <c r="USE507" s="325"/>
      <c r="USF507" s="325"/>
      <c r="USG507" s="325"/>
      <c r="USH507" s="325"/>
      <c r="USI507" s="325"/>
      <c r="USJ507" s="325"/>
      <c r="USK507" s="325"/>
      <c r="USL507" s="325"/>
      <c r="USM507" s="325"/>
      <c r="USN507" s="325"/>
      <c r="USO507" s="325"/>
      <c r="USP507" s="325"/>
      <c r="USQ507" s="327"/>
      <c r="USR507" s="28"/>
      <c r="USS507" s="324"/>
      <c r="UST507" s="324"/>
      <c r="USU507" s="324"/>
      <c r="USV507" s="324"/>
      <c r="USW507" s="324"/>
      <c r="USX507" s="324"/>
      <c r="USY507" s="256"/>
      <c r="USZ507" s="325"/>
      <c r="UTA507" s="311"/>
      <c r="UTB507" s="325"/>
      <c r="UTC507" s="310"/>
      <c r="UTD507" s="325"/>
      <c r="UTE507" s="325"/>
      <c r="UTF507" s="325"/>
      <c r="UTG507" s="325"/>
      <c r="UTH507" s="325"/>
      <c r="UTI507" s="325"/>
      <c r="UTJ507" s="325"/>
      <c r="UTK507" s="325"/>
      <c r="UTL507" s="325"/>
      <c r="UTM507" s="325"/>
      <c r="UTN507" s="325"/>
      <c r="UTO507" s="325"/>
      <c r="UTP507" s="325"/>
      <c r="UTQ507" s="325"/>
      <c r="UTR507" s="325"/>
      <c r="UTS507" s="325"/>
      <c r="UTT507" s="325"/>
      <c r="UTU507" s="325"/>
      <c r="UTV507" s="325"/>
      <c r="UTW507" s="325"/>
      <c r="UTX507" s="325"/>
      <c r="UTY507" s="325"/>
      <c r="UTZ507" s="325"/>
      <c r="UUA507" s="325"/>
      <c r="UUB507" s="325"/>
      <c r="UUC507" s="325"/>
      <c r="UUD507" s="325"/>
      <c r="UUE507" s="325"/>
      <c r="UUF507" s="325"/>
      <c r="UUG507" s="325"/>
      <c r="UUH507" s="327"/>
      <c r="UUI507" s="28"/>
      <c r="UUJ507" s="324"/>
      <c r="UUK507" s="324"/>
      <c r="UUL507" s="324"/>
      <c r="UUM507" s="324"/>
      <c r="UUN507" s="324"/>
      <c r="UUO507" s="324"/>
      <c r="UUP507" s="256"/>
      <c r="UUQ507" s="325"/>
      <c r="UUR507" s="311"/>
      <c r="UUS507" s="325"/>
      <c r="UUT507" s="310"/>
      <c r="UUU507" s="325"/>
      <c r="UUV507" s="325"/>
      <c r="UUW507" s="325"/>
      <c r="UUX507" s="325"/>
      <c r="UUY507" s="325"/>
      <c r="UUZ507" s="325"/>
      <c r="UVA507" s="325"/>
      <c r="UVB507" s="325"/>
      <c r="UVC507" s="325"/>
      <c r="UVD507" s="325"/>
      <c r="UVE507" s="325"/>
      <c r="UVF507" s="325"/>
      <c r="UVG507" s="325"/>
      <c r="UVH507" s="325"/>
      <c r="UVI507" s="325"/>
      <c r="UVJ507" s="325"/>
      <c r="UVK507" s="325"/>
      <c r="UVL507" s="325"/>
      <c r="UVM507" s="325"/>
      <c r="UVN507" s="325"/>
      <c r="UVO507" s="325"/>
      <c r="UVP507" s="325"/>
      <c r="UVQ507" s="325"/>
      <c r="UVR507" s="325"/>
      <c r="UVS507" s="325"/>
      <c r="UVT507" s="325"/>
      <c r="UVU507" s="325"/>
      <c r="UVV507" s="325"/>
      <c r="UVW507" s="325"/>
      <c r="UVX507" s="325"/>
      <c r="UVY507" s="327"/>
      <c r="UVZ507" s="28"/>
      <c r="UWA507" s="324"/>
      <c r="UWB507" s="324"/>
      <c r="UWC507" s="324"/>
      <c r="UWD507" s="324"/>
      <c r="UWE507" s="324"/>
      <c r="UWF507" s="324"/>
      <c r="UWG507" s="256"/>
      <c r="UWH507" s="325"/>
      <c r="UWI507" s="311"/>
      <c r="UWJ507" s="325"/>
      <c r="UWK507" s="310"/>
      <c r="UWL507" s="325"/>
      <c r="UWM507" s="325"/>
      <c r="UWN507" s="325"/>
      <c r="UWO507" s="325"/>
      <c r="UWP507" s="325"/>
      <c r="UWQ507" s="325"/>
      <c r="UWR507" s="325"/>
      <c r="UWS507" s="325"/>
      <c r="UWT507" s="325"/>
      <c r="UWU507" s="325"/>
      <c r="UWV507" s="325"/>
      <c r="UWW507" s="325"/>
      <c r="UWX507" s="325"/>
      <c r="UWY507" s="325"/>
      <c r="UWZ507" s="325"/>
      <c r="UXA507" s="325"/>
      <c r="UXB507" s="325"/>
      <c r="UXC507" s="325"/>
      <c r="UXD507" s="325"/>
      <c r="UXE507" s="325"/>
      <c r="UXF507" s="325"/>
      <c r="UXG507" s="325"/>
      <c r="UXH507" s="325"/>
      <c r="UXI507" s="325"/>
      <c r="UXJ507" s="325"/>
      <c r="UXK507" s="325"/>
      <c r="UXL507" s="325"/>
      <c r="UXM507" s="325"/>
      <c r="UXN507" s="325"/>
      <c r="UXO507" s="325"/>
      <c r="UXP507" s="327"/>
      <c r="UXQ507" s="28"/>
      <c r="UXR507" s="324"/>
      <c r="UXS507" s="324"/>
      <c r="UXT507" s="324"/>
      <c r="UXU507" s="324"/>
      <c r="UXV507" s="324"/>
      <c r="UXW507" s="324"/>
      <c r="UXX507" s="256"/>
      <c r="UXY507" s="325"/>
      <c r="UXZ507" s="311"/>
      <c r="UYA507" s="325"/>
      <c r="UYB507" s="310"/>
      <c r="UYC507" s="325"/>
      <c r="UYD507" s="325"/>
      <c r="UYE507" s="325"/>
      <c r="UYF507" s="325"/>
      <c r="UYG507" s="325"/>
      <c r="UYH507" s="325"/>
      <c r="UYI507" s="325"/>
      <c r="UYJ507" s="325"/>
      <c r="UYK507" s="325"/>
      <c r="UYL507" s="325"/>
      <c r="UYM507" s="325"/>
      <c r="UYN507" s="325"/>
      <c r="UYO507" s="325"/>
      <c r="UYP507" s="325"/>
      <c r="UYQ507" s="325"/>
      <c r="UYR507" s="325"/>
      <c r="UYS507" s="325"/>
      <c r="UYT507" s="325"/>
      <c r="UYU507" s="325"/>
      <c r="UYV507" s="325"/>
      <c r="UYW507" s="325"/>
      <c r="UYX507" s="325"/>
      <c r="UYY507" s="325"/>
      <c r="UYZ507" s="325"/>
      <c r="UZA507" s="325"/>
      <c r="UZB507" s="325"/>
      <c r="UZC507" s="325"/>
      <c r="UZD507" s="325"/>
      <c r="UZE507" s="325"/>
      <c r="UZF507" s="325"/>
      <c r="UZG507" s="327"/>
      <c r="UZH507" s="28"/>
      <c r="UZI507" s="324"/>
      <c r="UZJ507" s="324"/>
      <c r="UZK507" s="324"/>
      <c r="UZL507" s="324"/>
      <c r="UZM507" s="324"/>
      <c r="UZN507" s="324"/>
      <c r="UZO507" s="256"/>
      <c r="UZP507" s="325"/>
      <c r="UZQ507" s="311"/>
      <c r="UZR507" s="325"/>
      <c r="UZS507" s="310"/>
      <c r="UZT507" s="325"/>
      <c r="UZU507" s="325"/>
      <c r="UZV507" s="325"/>
      <c r="UZW507" s="325"/>
      <c r="UZX507" s="325"/>
      <c r="UZY507" s="325"/>
      <c r="UZZ507" s="325"/>
      <c r="VAA507" s="325"/>
      <c r="VAB507" s="325"/>
      <c r="VAC507" s="325"/>
      <c r="VAD507" s="325"/>
      <c r="VAE507" s="325"/>
      <c r="VAF507" s="325"/>
      <c r="VAG507" s="325"/>
      <c r="VAH507" s="325"/>
      <c r="VAI507" s="325"/>
      <c r="VAJ507" s="325"/>
      <c r="VAK507" s="325"/>
      <c r="VAL507" s="325"/>
      <c r="VAM507" s="325"/>
      <c r="VAN507" s="325"/>
      <c r="VAO507" s="325"/>
      <c r="VAP507" s="325"/>
      <c r="VAQ507" s="325"/>
      <c r="VAR507" s="325"/>
      <c r="VAS507" s="325"/>
      <c r="VAT507" s="325"/>
      <c r="VAU507" s="325"/>
      <c r="VAV507" s="325"/>
      <c r="VAW507" s="325"/>
      <c r="VAX507" s="327"/>
      <c r="VAY507" s="28"/>
      <c r="VAZ507" s="324"/>
      <c r="VBA507" s="324"/>
      <c r="VBB507" s="324"/>
      <c r="VBC507" s="324"/>
      <c r="VBD507" s="324"/>
      <c r="VBE507" s="324"/>
      <c r="VBF507" s="256"/>
      <c r="VBG507" s="325"/>
      <c r="VBH507" s="311"/>
      <c r="VBI507" s="325"/>
      <c r="VBJ507" s="310"/>
      <c r="VBK507" s="325"/>
      <c r="VBL507" s="325"/>
      <c r="VBM507" s="325"/>
      <c r="VBN507" s="325"/>
      <c r="VBO507" s="325"/>
      <c r="VBP507" s="325"/>
      <c r="VBQ507" s="325"/>
      <c r="VBR507" s="325"/>
      <c r="VBS507" s="325"/>
      <c r="VBT507" s="325"/>
      <c r="VBU507" s="325"/>
      <c r="VBV507" s="325"/>
      <c r="VBW507" s="325"/>
      <c r="VBX507" s="325"/>
      <c r="VBY507" s="325"/>
      <c r="VBZ507" s="325"/>
      <c r="VCA507" s="325"/>
      <c r="VCB507" s="325"/>
      <c r="VCC507" s="325"/>
      <c r="VCD507" s="325"/>
      <c r="VCE507" s="325"/>
      <c r="VCF507" s="325"/>
      <c r="VCG507" s="325"/>
      <c r="VCH507" s="325"/>
      <c r="VCI507" s="325"/>
      <c r="VCJ507" s="325"/>
      <c r="VCK507" s="325"/>
      <c r="VCL507" s="325"/>
      <c r="VCM507" s="325"/>
      <c r="VCN507" s="325"/>
      <c r="VCO507" s="327"/>
      <c r="VCP507" s="28"/>
      <c r="VCQ507" s="324"/>
      <c r="VCR507" s="324"/>
      <c r="VCS507" s="324"/>
      <c r="VCT507" s="324"/>
      <c r="VCU507" s="324"/>
      <c r="VCV507" s="324"/>
      <c r="VCW507" s="256"/>
      <c r="VCX507" s="325"/>
      <c r="VCY507" s="311"/>
      <c r="VCZ507" s="325"/>
      <c r="VDA507" s="310"/>
      <c r="VDB507" s="325"/>
      <c r="VDC507" s="325"/>
      <c r="VDD507" s="325"/>
      <c r="VDE507" s="325"/>
      <c r="VDF507" s="325"/>
      <c r="VDG507" s="325"/>
      <c r="VDH507" s="325"/>
      <c r="VDI507" s="325"/>
      <c r="VDJ507" s="325"/>
      <c r="VDK507" s="325"/>
      <c r="VDL507" s="325"/>
      <c r="VDM507" s="325"/>
      <c r="VDN507" s="325"/>
      <c r="VDO507" s="325"/>
      <c r="VDP507" s="325"/>
      <c r="VDQ507" s="325"/>
      <c r="VDR507" s="325"/>
      <c r="VDS507" s="325"/>
      <c r="VDT507" s="325"/>
      <c r="VDU507" s="325"/>
      <c r="VDV507" s="325"/>
      <c r="VDW507" s="325"/>
      <c r="VDX507" s="325"/>
      <c r="VDY507" s="325"/>
      <c r="VDZ507" s="325"/>
      <c r="VEA507" s="325"/>
      <c r="VEB507" s="325"/>
      <c r="VEC507" s="325"/>
      <c r="VED507" s="325"/>
      <c r="VEE507" s="325"/>
      <c r="VEF507" s="327"/>
      <c r="VEG507" s="28"/>
      <c r="VEH507" s="324"/>
      <c r="VEI507" s="324"/>
      <c r="VEJ507" s="324"/>
      <c r="VEK507" s="324"/>
      <c r="VEL507" s="324"/>
      <c r="VEM507" s="324"/>
      <c r="VEN507" s="256"/>
      <c r="VEO507" s="325"/>
      <c r="VEP507" s="311"/>
      <c r="VEQ507" s="325"/>
      <c r="VER507" s="310"/>
      <c r="VES507" s="325"/>
      <c r="VET507" s="325"/>
      <c r="VEU507" s="325"/>
      <c r="VEV507" s="325"/>
      <c r="VEW507" s="325"/>
      <c r="VEX507" s="325"/>
      <c r="VEY507" s="325"/>
      <c r="VEZ507" s="325"/>
      <c r="VFA507" s="325"/>
      <c r="VFB507" s="325"/>
      <c r="VFC507" s="325"/>
      <c r="VFD507" s="325"/>
      <c r="VFE507" s="325"/>
      <c r="VFF507" s="325"/>
      <c r="VFG507" s="325"/>
      <c r="VFH507" s="325"/>
      <c r="VFI507" s="325"/>
      <c r="VFJ507" s="325"/>
      <c r="VFK507" s="325"/>
      <c r="VFL507" s="325"/>
      <c r="VFM507" s="325"/>
      <c r="VFN507" s="325"/>
      <c r="VFO507" s="325"/>
      <c r="VFP507" s="325"/>
      <c r="VFQ507" s="325"/>
      <c r="VFR507" s="325"/>
      <c r="VFS507" s="325"/>
      <c r="VFT507" s="325"/>
      <c r="VFU507" s="325"/>
      <c r="VFV507" s="325"/>
      <c r="VFW507" s="327"/>
      <c r="VFX507" s="28"/>
      <c r="VFY507" s="324"/>
      <c r="VFZ507" s="324"/>
      <c r="VGA507" s="324"/>
      <c r="VGB507" s="324"/>
      <c r="VGC507" s="324"/>
      <c r="VGD507" s="324"/>
      <c r="VGE507" s="256"/>
      <c r="VGF507" s="325"/>
      <c r="VGG507" s="311"/>
      <c r="VGH507" s="325"/>
      <c r="VGI507" s="310"/>
      <c r="VGJ507" s="325"/>
      <c r="VGK507" s="325"/>
      <c r="VGL507" s="325"/>
      <c r="VGM507" s="325"/>
      <c r="VGN507" s="325"/>
      <c r="VGO507" s="325"/>
      <c r="VGP507" s="325"/>
      <c r="VGQ507" s="325"/>
      <c r="VGR507" s="325"/>
      <c r="VGS507" s="325"/>
      <c r="VGT507" s="325"/>
      <c r="VGU507" s="325"/>
      <c r="VGV507" s="325"/>
      <c r="VGW507" s="325"/>
      <c r="VGX507" s="325"/>
      <c r="VGY507" s="325"/>
      <c r="VGZ507" s="325"/>
      <c r="VHA507" s="325"/>
      <c r="VHB507" s="325"/>
      <c r="VHC507" s="325"/>
      <c r="VHD507" s="325"/>
      <c r="VHE507" s="325"/>
      <c r="VHF507" s="325"/>
      <c r="VHG507" s="325"/>
      <c r="VHH507" s="325"/>
      <c r="VHI507" s="325"/>
      <c r="VHJ507" s="325"/>
      <c r="VHK507" s="325"/>
      <c r="VHL507" s="325"/>
      <c r="VHM507" s="325"/>
      <c r="VHN507" s="327"/>
      <c r="VHO507" s="28"/>
      <c r="VHP507" s="324"/>
      <c r="VHQ507" s="324"/>
      <c r="VHR507" s="324"/>
      <c r="VHS507" s="324"/>
      <c r="VHT507" s="324"/>
      <c r="VHU507" s="324"/>
      <c r="VHV507" s="256"/>
      <c r="VHW507" s="325"/>
      <c r="VHX507" s="311"/>
      <c r="VHY507" s="325"/>
      <c r="VHZ507" s="310"/>
      <c r="VIA507" s="325"/>
      <c r="VIB507" s="325"/>
      <c r="VIC507" s="325"/>
      <c r="VID507" s="325"/>
      <c r="VIE507" s="325"/>
      <c r="VIF507" s="325"/>
      <c r="VIG507" s="325"/>
      <c r="VIH507" s="325"/>
      <c r="VII507" s="325"/>
      <c r="VIJ507" s="325"/>
      <c r="VIK507" s="325"/>
      <c r="VIL507" s="325"/>
      <c r="VIM507" s="325"/>
      <c r="VIN507" s="325"/>
      <c r="VIO507" s="325"/>
      <c r="VIP507" s="325"/>
      <c r="VIQ507" s="325"/>
      <c r="VIR507" s="325"/>
      <c r="VIS507" s="325"/>
      <c r="VIT507" s="325"/>
      <c r="VIU507" s="325"/>
      <c r="VIV507" s="325"/>
      <c r="VIW507" s="325"/>
      <c r="VIX507" s="325"/>
      <c r="VIY507" s="325"/>
      <c r="VIZ507" s="325"/>
      <c r="VJA507" s="325"/>
      <c r="VJB507" s="325"/>
      <c r="VJC507" s="325"/>
      <c r="VJD507" s="325"/>
      <c r="VJE507" s="327"/>
      <c r="VJF507" s="28"/>
      <c r="VJG507" s="324"/>
      <c r="VJH507" s="324"/>
      <c r="VJI507" s="324"/>
      <c r="VJJ507" s="324"/>
      <c r="VJK507" s="324"/>
      <c r="VJL507" s="324"/>
      <c r="VJM507" s="256"/>
      <c r="VJN507" s="325"/>
      <c r="VJO507" s="311"/>
      <c r="VJP507" s="325"/>
      <c r="VJQ507" s="310"/>
      <c r="VJR507" s="325"/>
      <c r="VJS507" s="325"/>
      <c r="VJT507" s="325"/>
      <c r="VJU507" s="325"/>
      <c r="VJV507" s="325"/>
      <c r="VJW507" s="325"/>
      <c r="VJX507" s="325"/>
      <c r="VJY507" s="325"/>
      <c r="VJZ507" s="325"/>
      <c r="VKA507" s="325"/>
      <c r="VKB507" s="325"/>
      <c r="VKC507" s="325"/>
      <c r="VKD507" s="325"/>
      <c r="VKE507" s="325"/>
      <c r="VKF507" s="325"/>
      <c r="VKG507" s="325"/>
      <c r="VKH507" s="325"/>
      <c r="VKI507" s="325"/>
      <c r="VKJ507" s="325"/>
      <c r="VKK507" s="325"/>
      <c r="VKL507" s="325"/>
      <c r="VKM507" s="325"/>
      <c r="VKN507" s="325"/>
      <c r="VKO507" s="325"/>
      <c r="VKP507" s="325"/>
      <c r="VKQ507" s="325"/>
      <c r="VKR507" s="325"/>
      <c r="VKS507" s="325"/>
      <c r="VKT507" s="325"/>
      <c r="VKU507" s="325"/>
      <c r="VKV507" s="327"/>
      <c r="VKW507" s="28"/>
      <c r="VKX507" s="324"/>
      <c r="VKY507" s="324"/>
      <c r="VKZ507" s="324"/>
      <c r="VLA507" s="324"/>
      <c r="VLB507" s="324"/>
      <c r="VLC507" s="324"/>
      <c r="VLD507" s="256"/>
      <c r="VLE507" s="325"/>
      <c r="VLF507" s="311"/>
      <c r="VLG507" s="325"/>
      <c r="VLH507" s="310"/>
      <c r="VLI507" s="325"/>
      <c r="VLJ507" s="325"/>
      <c r="VLK507" s="325"/>
      <c r="VLL507" s="325"/>
      <c r="VLM507" s="325"/>
      <c r="VLN507" s="325"/>
      <c r="VLO507" s="325"/>
      <c r="VLP507" s="325"/>
      <c r="VLQ507" s="325"/>
      <c r="VLR507" s="325"/>
      <c r="VLS507" s="325"/>
      <c r="VLT507" s="325"/>
      <c r="VLU507" s="325"/>
      <c r="VLV507" s="325"/>
      <c r="VLW507" s="325"/>
      <c r="VLX507" s="325"/>
      <c r="VLY507" s="325"/>
      <c r="VLZ507" s="325"/>
      <c r="VMA507" s="325"/>
      <c r="VMB507" s="325"/>
      <c r="VMC507" s="325"/>
      <c r="VMD507" s="325"/>
      <c r="VME507" s="325"/>
      <c r="VMF507" s="325"/>
      <c r="VMG507" s="325"/>
      <c r="VMH507" s="325"/>
      <c r="VMI507" s="325"/>
      <c r="VMJ507" s="325"/>
      <c r="VMK507" s="325"/>
      <c r="VML507" s="325"/>
      <c r="VMM507" s="327"/>
      <c r="VMN507" s="28"/>
      <c r="VMO507" s="324"/>
      <c r="VMP507" s="324"/>
      <c r="VMQ507" s="324"/>
      <c r="VMR507" s="324"/>
      <c r="VMS507" s="324"/>
      <c r="VMT507" s="324"/>
      <c r="VMU507" s="256"/>
      <c r="VMV507" s="325"/>
      <c r="VMW507" s="311"/>
      <c r="VMX507" s="325"/>
      <c r="VMY507" s="310"/>
      <c r="VMZ507" s="325"/>
      <c r="VNA507" s="325"/>
      <c r="VNB507" s="325"/>
      <c r="VNC507" s="325"/>
      <c r="VND507" s="325"/>
      <c r="VNE507" s="325"/>
      <c r="VNF507" s="325"/>
      <c r="VNG507" s="325"/>
      <c r="VNH507" s="325"/>
      <c r="VNI507" s="325"/>
      <c r="VNJ507" s="325"/>
      <c r="VNK507" s="325"/>
      <c r="VNL507" s="325"/>
      <c r="VNM507" s="325"/>
      <c r="VNN507" s="325"/>
      <c r="VNO507" s="325"/>
      <c r="VNP507" s="325"/>
      <c r="VNQ507" s="325"/>
      <c r="VNR507" s="325"/>
      <c r="VNS507" s="325"/>
      <c r="VNT507" s="325"/>
      <c r="VNU507" s="325"/>
      <c r="VNV507" s="325"/>
      <c r="VNW507" s="325"/>
      <c r="VNX507" s="325"/>
      <c r="VNY507" s="325"/>
      <c r="VNZ507" s="325"/>
      <c r="VOA507" s="325"/>
      <c r="VOB507" s="325"/>
      <c r="VOC507" s="325"/>
      <c r="VOD507" s="327"/>
      <c r="VOE507" s="28"/>
      <c r="VOF507" s="324"/>
      <c r="VOG507" s="324"/>
      <c r="VOH507" s="324"/>
      <c r="VOI507" s="324"/>
      <c r="VOJ507" s="324"/>
      <c r="VOK507" s="324"/>
      <c r="VOL507" s="256"/>
      <c r="VOM507" s="325"/>
      <c r="VON507" s="311"/>
      <c r="VOO507" s="325"/>
      <c r="VOP507" s="310"/>
      <c r="VOQ507" s="325"/>
      <c r="VOR507" s="325"/>
      <c r="VOS507" s="325"/>
      <c r="VOT507" s="325"/>
      <c r="VOU507" s="325"/>
      <c r="VOV507" s="325"/>
      <c r="VOW507" s="325"/>
      <c r="VOX507" s="325"/>
      <c r="VOY507" s="325"/>
      <c r="VOZ507" s="325"/>
      <c r="VPA507" s="325"/>
      <c r="VPB507" s="325"/>
      <c r="VPC507" s="325"/>
      <c r="VPD507" s="325"/>
      <c r="VPE507" s="325"/>
      <c r="VPF507" s="325"/>
      <c r="VPG507" s="325"/>
      <c r="VPH507" s="325"/>
      <c r="VPI507" s="325"/>
      <c r="VPJ507" s="325"/>
      <c r="VPK507" s="325"/>
      <c r="VPL507" s="325"/>
      <c r="VPM507" s="325"/>
      <c r="VPN507" s="325"/>
      <c r="VPO507" s="325"/>
      <c r="VPP507" s="325"/>
      <c r="VPQ507" s="325"/>
      <c r="VPR507" s="325"/>
      <c r="VPS507" s="325"/>
      <c r="VPT507" s="325"/>
      <c r="VPU507" s="327"/>
      <c r="VPV507" s="28"/>
      <c r="VPW507" s="324"/>
      <c r="VPX507" s="324"/>
      <c r="VPY507" s="324"/>
      <c r="VPZ507" s="324"/>
      <c r="VQA507" s="324"/>
      <c r="VQB507" s="324"/>
      <c r="VQC507" s="256"/>
      <c r="VQD507" s="325"/>
      <c r="VQE507" s="311"/>
      <c r="VQF507" s="325"/>
      <c r="VQG507" s="310"/>
      <c r="VQH507" s="325"/>
      <c r="VQI507" s="325"/>
      <c r="VQJ507" s="325"/>
      <c r="VQK507" s="325"/>
      <c r="VQL507" s="325"/>
      <c r="VQM507" s="325"/>
      <c r="VQN507" s="325"/>
      <c r="VQO507" s="325"/>
      <c r="VQP507" s="325"/>
      <c r="VQQ507" s="325"/>
      <c r="VQR507" s="325"/>
      <c r="VQS507" s="325"/>
      <c r="VQT507" s="325"/>
      <c r="VQU507" s="325"/>
      <c r="VQV507" s="325"/>
      <c r="VQW507" s="325"/>
      <c r="VQX507" s="325"/>
      <c r="VQY507" s="325"/>
      <c r="VQZ507" s="325"/>
      <c r="VRA507" s="325"/>
      <c r="VRB507" s="325"/>
      <c r="VRC507" s="325"/>
      <c r="VRD507" s="325"/>
      <c r="VRE507" s="325"/>
      <c r="VRF507" s="325"/>
      <c r="VRG507" s="325"/>
      <c r="VRH507" s="325"/>
      <c r="VRI507" s="325"/>
      <c r="VRJ507" s="325"/>
      <c r="VRK507" s="325"/>
      <c r="VRL507" s="327"/>
      <c r="VRM507" s="28"/>
      <c r="VRN507" s="324"/>
      <c r="VRO507" s="324"/>
      <c r="VRP507" s="324"/>
      <c r="VRQ507" s="324"/>
      <c r="VRR507" s="324"/>
      <c r="VRS507" s="324"/>
      <c r="VRT507" s="256"/>
      <c r="VRU507" s="325"/>
      <c r="VRV507" s="311"/>
      <c r="VRW507" s="325"/>
      <c r="VRX507" s="310"/>
      <c r="VRY507" s="325"/>
      <c r="VRZ507" s="325"/>
      <c r="VSA507" s="325"/>
      <c r="VSB507" s="325"/>
      <c r="VSC507" s="325"/>
      <c r="VSD507" s="325"/>
      <c r="VSE507" s="325"/>
      <c r="VSF507" s="325"/>
      <c r="VSG507" s="325"/>
      <c r="VSH507" s="325"/>
      <c r="VSI507" s="325"/>
      <c r="VSJ507" s="325"/>
      <c r="VSK507" s="325"/>
      <c r="VSL507" s="325"/>
      <c r="VSM507" s="325"/>
      <c r="VSN507" s="325"/>
      <c r="VSO507" s="325"/>
      <c r="VSP507" s="325"/>
      <c r="VSQ507" s="325"/>
      <c r="VSR507" s="325"/>
      <c r="VSS507" s="325"/>
      <c r="VST507" s="325"/>
      <c r="VSU507" s="325"/>
      <c r="VSV507" s="325"/>
      <c r="VSW507" s="325"/>
      <c r="VSX507" s="325"/>
      <c r="VSY507" s="325"/>
      <c r="VSZ507" s="325"/>
      <c r="VTA507" s="325"/>
      <c r="VTB507" s="325"/>
      <c r="VTC507" s="327"/>
      <c r="VTD507" s="28"/>
      <c r="VTE507" s="324"/>
      <c r="VTF507" s="324"/>
      <c r="VTG507" s="324"/>
      <c r="VTH507" s="324"/>
      <c r="VTI507" s="324"/>
      <c r="VTJ507" s="324"/>
      <c r="VTK507" s="256"/>
      <c r="VTL507" s="325"/>
      <c r="VTM507" s="311"/>
      <c r="VTN507" s="325"/>
      <c r="VTO507" s="310"/>
      <c r="VTP507" s="325"/>
      <c r="VTQ507" s="325"/>
      <c r="VTR507" s="325"/>
      <c r="VTS507" s="325"/>
      <c r="VTT507" s="325"/>
      <c r="VTU507" s="325"/>
      <c r="VTV507" s="325"/>
      <c r="VTW507" s="325"/>
      <c r="VTX507" s="325"/>
      <c r="VTY507" s="325"/>
      <c r="VTZ507" s="325"/>
      <c r="VUA507" s="325"/>
      <c r="VUB507" s="325"/>
      <c r="VUC507" s="325"/>
      <c r="VUD507" s="325"/>
      <c r="VUE507" s="325"/>
      <c r="VUF507" s="325"/>
      <c r="VUG507" s="325"/>
      <c r="VUH507" s="325"/>
      <c r="VUI507" s="325"/>
      <c r="VUJ507" s="325"/>
      <c r="VUK507" s="325"/>
      <c r="VUL507" s="325"/>
      <c r="VUM507" s="325"/>
      <c r="VUN507" s="325"/>
      <c r="VUO507" s="325"/>
      <c r="VUP507" s="325"/>
      <c r="VUQ507" s="325"/>
      <c r="VUR507" s="325"/>
      <c r="VUS507" s="325"/>
      <c r="VUT507" s="327"/>
      <c r="VUU507" s="28"/>
      <c r="VUV507" s="324"/>
      <c r="VUW507" s="324"/>
      <c r="VUX507" s="324"/>
      <c r="VUY507" s="324"/>
      <c r="VUZ507" s="324"/>
      <c r="VVA507" s="324"/>
      <c r="VVB507" s="256"/>
      <c r="VVC507" s="325"/>
      <c r="VVD507" s="311"/>
      <c r="VVE507" s="325"/>
      <c r="VVF507" s="310"/>
      <c r="VVG507" s="325"/>
      <c r="VVH507" s="325"/>
      <c r="VVI507" s="325"/>
      <c r="VVJ507" s="325"/>
      <c r="VVK507" s="325"/>
      <c r="VVL507" s="325"/>
      <c r="VVM507" s="325"/>
      <c r="VVN507" s="325"/>
      <c r="VVO507" s="325"/>
      <c r="VVP507" s="325"/>
      <c r="VVQ507" s="325"/>
      <c r="VVR507" s="325"/>
      <c r="VVS507" s="325"/>
      <c r="VVT507" s="325"/>
      <c r="VVU507" s="325"/>
      <c r="VVV507" s="325"/>
      <c r="VVW507" s="325"/>
      <c r="VVX507" s="325"/>
      <c r="VVY507" s="325"/>
      <c r="VVZ507" s="325"/>
      <c r="VWA507" s="325"/>
      <c r="VWB507" s="325"/>
      <c r="VWC507" s="325"/>
      <c r="VWD507" s="325"/>
      <c r="VWE507" s="325"/>
      <c r="VWF507" s="325"/>
      <c r="VWG507" s="325"/>
      <c r="VWH507" s="325"/>
      <c r="VWI507" s="325"/>
      <c r="VWJ507" s="325"/>
      <c r="VWK507" s="327"/>
      <c r="VWL507" s="28"/>
      <c r="VWM507" s="324"/>
      <c r="VWN507" s="324"/>
      <c r="VWO507" s="324"/>
      <c r="VWP507" s="324"/>
      <c r="VWQ507" s="324"/>
      <c r="VWR507" s="324"/>
      <c r="VWS507" s="256"/>
      <c r="VWT507" s="325"/>
      <c r="VWU507" s="311"/>
      <c r="VWV507" s="325"/>
      <c r="VWW507" s="310"/>
      <c r="VWX507" s="325"/>
      <c r="VWY507" s="325"/>
      <c r="VWZ507" s="325"/>
      <c r="VXA507" s="325"/>
      <c r="VXB507" s="325"/>
      <c r="VXC507" s="325"/>
      <c r="VXD507" s="325"/>
      <c r="VXE507" s="325"/>
      <c r="VXF507" s="325"/>
      <c r="VXG507" s="325"/>
      <c r="VXH507" s="325"/>
      <c r="VXI507" s="325"/>
      <c r="VXJ507" s="325"/>
      <c r="VXK507" s="325"/>
      <c r="VXL507" s="325"/>
      <c r="VXM507" s="325"/>
      <c r="VXN507" s="325"/>
      <c r="VXO507" s="325"/>
      <c r="VXP507" s="325"/>
      <c r="VXQ507" s="325"/>
      <c r="VXR507" s="325"/>
      <c r="VXS507" s="325"/>
      <c r="VXT507" s="325"/>
      <c r="VXU507" s="325"/>
      <c r="VXV507" s="325"/>
      <c r="VXW507" s="325"/>
      <c r="VXX507" s="325"/>
      <c r="VXY507" s="325"/>
      <c r="VXZ507" s="325"/>
      <c r="VYA507" s="325"/>
      <c r="VYB507" s="327"/>
      <c r="VYC507" s="28"/>
      <c r="VYD507" s="324"/>
      <c r="VYE507" s="324"/>
      <c r="VYF507" s="324"/>
      <c r="VYG507" s="324"/>
      <c r="VYH507" s="324"/>
      <c r="VYI507" s="324"/>
      <c r="VYJ507" s="256"/>
      <c r="VYK507" s="325"/>
      <c r="VYL507" s="311"/>
      <c r="VYM507" s="325"/>
      <c r="VYN507" s="310"/>
      <c r="VYO507" s="325"/>
      <c r="VYP507" s="325"/>
      <c r="VYQ507" s="325"/>
      <c r="VYR507" s="325"/>
      <c r="VYS507" s="325"/>
      <c r="VYT507" s="325"/>
      <c r="VYU507" s="325"/>
      <c r="VYV507" s="325"/>
      <c r="VYW507" s="325"/>
      <c r="VYX507" s="325"/>
      <c r="VYY507" s="325"/>
      <c r="VYZ507" s="325"/>
      <c r="VZA507" s="325"/>
      <c r="VZB507" s="325"/>
      <c r="VZC507" s="325"/>
      <c r="VZD507" s="325"/>
      <c r="VZE507" s="325"/>
      <c r="VZF507" s="325"/>
      <c r="VZG507" s="325"/>
      <c r="VZH507" s="325"/>
      <c r="VZI507" s="325"/>
      <c r="VZJ507" s="325"/>
      <c r="VZK507" s="325"/>
      <c r="VZL507" s="325"/>
      <c r="VZM507" s="325"/>
      <c r="VZN507" s="325"/>
      <c r="VZO507" s="325"/>
      <c r="VZP507" s="325"/>
      <c r="VZQ507" s="325"/>
      <c r="VZR507" s="325"/>
      <c r="VZS507" s="327"/>
      <c r="VZT507" s="28"/>
      <c r="VZU507" s="324"/>
      <c r="VZV507" s="324"/>
      <c r="VZW507" s="324"/>
      <c r="VZX507" s="324"/>
      <c r="VZY507" s="324"/>
      <c r="VZZ507" s="324"/>
      <c r="WAA507" s="256"/>
      <c r="WAB507" s="325"/>
      <c r="WAC507" s="311"/>
      <c r="WAD507" s="325"/>
      <c r="WAE507" s="310"/>
      <c r="WAF507" s="325"/>
      <c r="WAG507" s="325"/>
      <c r="WAH507" s="325"/>
      <c r="WAI507" s="325"/>
      <c r="WAJ507" s="325"/>
      <c r="WAK507" s="325"/>
      <c r="WAL507" s="325"/>
      <c r="WAM507" s="325"/>
      <c r="WAN507" s="325"/>
      <c r="WAO507" s="325"/>
      <c r="WAP507" s="325"/>
      <c r="WAQ507" s="325"/>
      <c r="WAR507" s="325"/>
      <c r="WAS507" s="325"/>
      <c r="WAT507" s="325"/>
      <c r="WAU507" s="325"/>
      <c r="WAV507" s="325"/>
      <c r="WAW507" s="325"/>
      <c r="WAX507" s="325"/>
      <c r="WAY507" s="325"/>
      <c r="WAZ507" s="325"/>
      <c r="WBA507" s="325"/>
      <c r="WBB507" s="325"/>
      <c r="WBC507" s="325"/>
      <c r="WBD507" s="325"/>
      <c r="WBE507" s="325"/>
      <c r="WBF507" s="325"/>
      <c r="WBG507" s="325"/>
      <c r="WBH507" s="325"/>
      <c r="WBI507" s="325"/>
      <c r="WBJ507" s="327"/>
      <c r="WBK507" s="28"/>
      <c r="WBL507" s="324"/>
      <c r="WBM507" s="324"/>
      <c r="WBN507" s="324"/>
      <c r="WBO507" s="324"/>
      <c r="WBP507" s="324"/>
      <c r="WBQ507" s="324"/>
      <c r="WBR507" s="256"/>
      <c r="WBS507" s="325"/>
      <c r="WBT507" s="311"/>
      <c r="WBU507" s="325"/>
      <c r="WBV507" s="310"/>
      <c r="WBW507" s="325"/>
      <c r="WBX507" s="325"/>
      <c r="WBY507" s="325"/>
      <c r="WBZ507" s="325"/>
      <c r="WCA507" s="325"/>
      <c r="WCB507" s="325"/>
      <c r="WCC507" s="325"/>
      <c r="WCD507" s="325"/>
      <c r="WCE507" s="325"/>
      <c r="WCF507" s="325"/>
      <c r="WCG507" s="325"/>
      <c r="WCH507" s="325"/>
      <c r="WCI507" s="325"/>
      <c r="WCJ507" s="325"/>
      <c r="WCK507" s="325"/>
      <c r="WCL507" s="325"/>
      <c r="WCM507" s="325"/>
      <c r="WCN507" s="325"/>
      <c r="WCO507" s="325"/>
      <c r="WCP507" s="325"/>
      <c r="WCQ507" s="325"/>
      <c r="WCR507" s="325"/>
      <c r="WCS507" s="325"/>
      <c r="WCT507" s="325"/>
      <c r="WCU507" s="325"/>
      <c r="WCV507" s="325"/>
      <c r="WCW507" s="325"/>
      <c r="WCX507" s="325"/>
      <c r="WCY507" s="325"/>
      <c r="WCZ507" s="325"/>
      <c r="WDA507" s="327"/>
      <c r="WDB507" s="28"/>
      <c r="WDC507" s="324"/>
      <c r="WDD507" s="324"/>
      <c r="WDE507" s="324"/>
      <c r="WDF507" s="324"/>
      <c r="WDG507" s="324"/>
      <c r="WDH507" s="324"/>
      <c r="WDI507" s="256"/>
      <c r="WDJ507" s="325"/>
      <c r="WDK507" s="311"/>
      <c r="WDL507" s="325"/>
      <c r="WDM507" s="310"/>
      <c r="WDN507" s="325"/>
      <c r="WDO507" s="325"/>
      <c r="WDP507" s="325"/>
      <c r="WDQ507" s="325"/>
      <c r="WDR507" s="325"/>
      <c r="WDS507" s="325"/>
      <c r="WDT507" s="325"/>
      <c r="WDU507" s="325"/>
      <c r="WDV507" s="325"/>
      <c r="WDW507" s="325"/>
      <c r="WDX507" s="325"/>
      <c r="WDY507" s="325"/>
      <c r="WDZ507" s="325"/>
      <c r="WEA507" s="325"/>
      <c r="WEB507" s="325"/>
      <c r="WEC507" s="325"/>
      <c r="WED507" s="325"/>
      <c r="WEE507" s="325"/>
      <c r="WEF507" s="325"/>
      <c r="WEG507" s="325"/>
      <c r="WEH507" s="325"/>
      <c r="WEI507" s="325"/>
      <c r="WEJ507" s="325"/>
      <c r="WEK507" s="325"/>
      <c r="WEL507" s="325"/>
      <c r="WEM507" s="325"/>
      <c r="WEN507" s="325"/>
      <c r="WEO507" s="325"/>
      <c r="WEP507" s="325"/>
      <c r="WEQ507" s="325"/>
      <c r="WER507" s="327"/>
      <c r="WES507" s="28"/>
      <c r="WET507" s="324"/>
      <c r="WEU507" s="324"/>
      <c r="WEV507" s="324"/>
      <c r="WEW507" s="324"/>
      <c r="WEX507" s="324"/>
      <c r="WEY507" s="324"/>
      <c r="WEZ507" s="256"/>
      <c r="WFA507" s="325"/>
      <c r="WFB507" s="311"/>
      <c r="WFC507" s="325"/>
      <c r="WFD507" s="310"/>
      <c r="WFE507" s="325"/>
      <c r="WFF507" s="325"/>
      <c r="WFG507" s="325"/>
      <c r="WFH507" s="325"/>
      <c r="WFI507" s="325"/>
      <c r="WFJ507" s="325"/>
      <c r="WFK507" s="325"/>
      <c r="WFL507" s="325"/>
      <c r="WFM507" s="325"/>
      <c r="WFN507" s="325"/>
      <c r="WFO507" s="325"/>
      <c r="WFP507" s="325"/>
      <c r="WFQ507" s="325"/>
      <c r="WFR507" s="325"/>
      <c r="WFS507" s="325"/>
      <c r="WFT507" s="325"/>
      <c r="WFU507" s="325"/>
      <c r="WFV507" s="325"/>
      <c r="WFW507" s="325"/>
      <c r="WFX507" s="325"/>
      <c r="WFY507" s="325"/>
      <c r="WFZ507" s="325"/>
      <c r="WGA507" s="325"/>
      <c r="WGB507" s="325"/>
      <c r="WGC507" s="325"/>
      <c r="WGD507" s="325"/>
      <c r="WGE507" s="325"/>
      <c r="WGF507" s="325"/>
      <c r="WGG507" s="325"/>
      <c r="WGH507" s="325"/>
      <c r="WGI507" s="327"/>
      <c r="WGJ507" s="28"/>
      <c r="WGK507" s="324"/>
      <c r="WGL507" s="324"/>
      <c r="WGM507" s="324"/>
      <c r="WGN507" s="324"/>
      <c r="WGO507" s="324"/>
      <c r="WGP507" s="324"/>
      <c r="WGQ507" s="256"/>
      <c r="WGR507" s="325"/>
      <c r="WGS507" s="311"/>
      <c r="WGT507" s="325"/>
      <c r="WGU507" s="310"/>
      <c r="WGV507" s="325"/>
      <c r="WGW507" s="325"/>
      <c r="WGX507" s="325"/>
      <c r="WGY507" s="325"/>
      <c r="WGZ507" s="325"/>
      <c r="WHA507" s="325"/>
      <c r="WHB507" s="325"/>
      <c r="WHC507" s="325"/>
      <c r="WHD507" s="325"/>
      <c r="WHE507" s="325"/>
      <c r="WHF507" s="325"/>
      <c r="WHG507" s="325"/>
      <c r="WHH507" s="325"/>
      <c r="WHI507" s="325"/>
      <c r="WHJ507" s="325"/>
      <c r="WHK507" s="325"/>
      <c r="WHL507" s="325"/>
      <c r="WHM507" s="325"/>
      <c r="WHN507" s="325"/>
      <c r="WHO507" s="325"/>
      <c r="WHP507" s="325"/>
      <c r="WHQ507" s="325"/>
      <c r="WHR507" s="325"/>
      <c r="WHS507" s="325"/>
      <c r="WHT507" s="325"/>
      <c r="WHU507" s="325"/>
      <c r="WHV507" s="325"/>
      <c r="WHW507" s="325"/>
      <c r="WHX507" s="325"/>
      <c r="WHY507" s="325"/>
      <c r="WHZ507" s="327"/>
      <c r="WIA507" s="28"/>
      <c r="WIB507" s="324"/>
      <c r="WIC507" s="324"/>
      <c r="WID507" s="324"/>
      <c r="WIE507" s="324"/>
      <c r="WIF507" s="324"/>
      <c r="WIG507" s="324"/>
      <c r="WIH507" s="256"/>
      <c r="WII507" s="325"/>
      <c r="WIJ507" s="311"/>
      <c r="WIK507" s="325"/>
      <c r="WIL507" s="310"/>
      <c r="WIM507" s="325"/>
      <c r="WIN507" s="325"/>
      <c r="WIO507" s="325"/>
      <c r="WIP507" s="325"/>
      <c r="WIQ507" s="325"/>
      <c r="WIR507" s="325"/>
      <c r="WIS507" s="325"/>
      <c r="WIT507" s="325"/>
      <c r="WIU507" s="325"/>
      <c r="WIV507" s="325"/>
      <c r="WIW507" s="325"/>
      <c r="WIX507" s="325"/>
      <c r="WIY507" s="325"/>
      <c r="WIZ507" s="325"/>
      <c r="WJA507" s="325"/>
      <c r="WJB507" s="325"/>
      <c r="WJC507" s="325"/>
      <c r="WJD507" s="325"/>
      <c r="WJE507" s="325"/>
      <c r="WJF507" s="325"/>
      <c r="WJG507" s="325"/>
      <c r="WJH507" s="325"/>
      <c r="WJI507" s="325"/>
      <c r="WJJ507" s="325"/>
      <c r="WJK507" s="325"/>
      <c r="WJL507" s="325"/>
      <c r="WJM507" s="325"/>
      <c r="WJN507" s="325"/>
      <c r="WJO507" s="325"/>
      <c r="WJP507" s="325"/>
      <c r="WJQ507" s="327"/>
      <c r="WJR507" s="28"/>
      <c r="WJS507" s="324"/>
      <c r="WJT507" s="324"/>
      <c r="WJU507" s="324"/>
      <c r="WJV507" s="324"/>
      <c r="WJW507" s="324"/>
      <c r="WJX507" s="324"/>
      <c r="WJY507" s="256"/>
      <c r="WJZ507" s="325"/>
      <c r="WKA507" s="311"/>
      <c r="WKB507" s="325"/>
      <c r="WKC507" s="310"/>
      <c r="WKD507" s="325"/>
      <c r="WKE507" s="325"/>
      <c r="WKF507" s="325"/>
      <c r="WKG507" s="325"/>
      <c r="WKH507" s="325"/>
      <c r="WKI507" s="325"/>
      <c r="WKJ507" s="325"/>
      <c r="WKK507" s="325"/>
      <c r="WKL507" s="325"/>
      <c r="WKM507" s="325"/>
      <c r="WKN507" s="325"/>
      <c r="WKO507" s="325"/>
      <c r="WKP507" s="325"/>
      <c r="WKQ507" s="325"/>
      <c r="WKR507" s="325"/>
      <c r="WKS507" s="325"/>
      <c r="WKT507" s="325"/>
      <c r="WKU507" s="325"/>
      <c r="WKV507" s="325"/>
      <c r="WKW507" s="325"/>
      <c r="WKX507" s="325"/>
      <c r="WKY507" s="325"/>
      <c r="WKZ507" s="325"/>
      <c r="WLA507" s="325"/>
      <c r="WLB507" s="325"/>
      <c r="WLC507" s="325"/>
      <c r="WLD507" s="325"/>
      <c r="WLE507" s="325"/>
      <c r="WLF507" s="325"/>
      <c r="WLG507" s="325"/>
      <c r="WLH507" s="327"/>
      <c r="WLI507" s="28"/>
      <c r="WLJ507" s="324"/>
      <c r="WLK507" s="324"/>
      <c r="WLL507" s="324"/>
      <c r="WLM507" s="324"/>
      <c r="WLN507" s="324"/>
      <c r="WLO507" s="324"/>
      <c r="WLP507" s="256"/>
      <c r="WLQ507" s="325"/>
      <c r="WLR507" s="311"/>
      <c r="WLS507" s="325"/>
      <c r="WLT507" s="310"/>
      <c r="WLU507" s="325"/>
      <c r="WLV507" s="325"/>
      <c r="WLW507" s="325"/>
      <c r="WLX507" s="325"/>
      <c r="WLY507" s="325"/>
      <c r="WLZ507" s="325"/>
      <c r="WMA507" s="325"/>
      <c r="WMB507" s="325"/>
      <c r="WMC507" s="325"/>
      <c r="WMD507" s="325"/>
      <c r="WME507" s="325"/>
      <c r="WMF507" s="325"/>
      <c r="WMG507" s="325"/>
      <c r="WMH507" s="325"/>
      <c r="WMI507" s="325"/>
      <c r="WMJ507" s="325"/>
      <c r="WMK507" s="325"/>
      <c r="WML507" s="325"/>
      <c r="WMM507" s="325"/>
      <c r="WMN507" s="325"/>
      <c r="WMO507" s="325"/>
      <c r="WMP507" s="325"/>
      <c r="WMQ507" s="325"/>
      <c r="WMR507" s="325"/>
      <c r="WMS507" s="325"/>
      <c r="WMT507" s="325"/>
      <c r="WMU507" s="325"/>
      <c r="WMV507" s="325"/>
      <c r="WMW507" s="325"/>
      <c r="WMX507" s="325"/>
      <c r="WMY507" s="327"/>
      <c r="WMZ507" s="28"/>
      <c r="WNA507" s="324"/>
      <c r="WNB507" s="324"/>
      <c r="WNC507" s="324"/>
      <c r="WND507" s="324"/>
      <c r="WNE507" s="324"/>
      <c r="WNF507" s="324"/>
      <c r="WNG507" s="256"/>
      <c r="WNH507" s="325"/>
      <c r="WNI507" s="311"/>
      <c r="WNJ507" s="325"/>
      <c r="WNK507" s="310"/>
      <c r="WNL507" s="325"/>
      <c r="WNM507" s="325"/>
      <c r="WNN507" s="325"/>
      <c r="WNO507" s="325"/>
      <c r="WNP507" s="325"/>
      <c r="WNQ507" s="325"/>
      <c r="WNR507" s="325"/>
      <c r="WNS507" s="325"/>
      <c r="WNT507" s="325"/>
      <c r="WNU507" s="325"/>
      <c r="WNV507" s="325"/>
      <c r="WNW507" s="325"/>
      <c r="WNX507" s="325"/>
      <c r="WNY507" s="325"/>
      <c r="WNZ507" s="325"/>
      <c r="WOA507" s="325"/>
      <c r="WOB507" s="325"/>
      <c r="WOC507" s="325"/>
      <c r="WOD507" s="325"/>
      <c r="WOE507" s="325"/>
      <c r="WOF507" s="325"/>
      <c r="WOG507" s="325"/>
      <c r="WOH507" s="325"/>
      <c r="WOI507" s="325"/>
      <c r="WOJ507" s="325"/>
      <c r="WOK507" s="325"/>
      <c r="WOL507" s="325"/>
      <c r="WOM507" s="325"/>
      <c r="WON507" s="325"/>
      <c r="WOO507" s="325"/>
      <c r="WOP507" s="327"/>
      <c r="WOQ507" s="28"/>
      <c r="WOR507" s="324"/>
      <c r="WOS507" s="324"/>
      <c r="WOT507" s="324"/>
      <c r="WOU507" s="324"/>
      <c r="WOV507" s="324"/>
      <c r="WOW507" s="324"/>
      <c r="WOX507" s="256"/>
      <c r="WOY507" s="325"/>
      <c r="WOZ507" s="311"/>
      <c r="WPA507" s="325"/>
      <c r="WPB507" s="310"/>
      <c r="WPC507" s="325"/>
      <c r="WPD507" s="325"/>
      <c r="WPE507" s="325"/>
      <c r="WPF507" s="325"/>
      <c r="WPG507" s="325"/>
      <c r="WPH507" s="325"/>
      <c r="WPI507" s="325"/>
      <c r="WPJ507" s="325"/>
      <c r="WPK507" s="325"/>
      <c r="WPL507" s="325"/>
      <c r="WPM507" s="325"/>
      <c r="WPN507" s="325"/>
      <c r="WPO507" s="325"/>
      <c r="WPP507" s="325"/>
      <c r="WPQ507" s="325"/>
      <c r="WPR507" s="325"/>
      <c r="WPS507" s="325"/>
      <c r="WPT507" s="325"/>
      <c r="WPU507" s="325"/>
      <c r="WPV507" s="325"/>
      <c r="WPW507" s="325"/>
      <c r="WPX507" s="325"/>
      <c r="WPY507" s="325"/>
      <c r="WPZ507" s="325"/>
      <c r="WQA507" s="325"/>
      <c r="WQB507" s="325"/>
      <c r="WQC507" s="325"/>
      <c r="WQD507" s="325"/>
      <c r="WQE507" s="325"/>
      <c r="WQF507" s="325"/>
      <c r="WQG507" s="327"/>
      <c r="WQH507" s="28"/>
      <c r="WQI507" s="324"/>
      <c r="WQJ507" s="324"/>
      <c r="WQK507" s="324"/>
      <c r="WQL507" s="324"/>
      <c r="WQM507" s="324"/>
      <c r="WQN507" s="324"/>
      <c r="WQO507" s="256"/>
      <c r="WQP507" s="325"/>
      <c r="WQQ507" s="311"/>
      <c r="WQR507" s="325"/>
      <c r="WQS507" s="310"/>
      <c r="WQT507" s="325"/>
      <c r="WQU507" s="325"/>
      <c r="WQV507" s="325"/>
      <c r="WQW507" s="325"/>
      <c r="WQX507" s="325"/>
      <c r="WQY507" s="325"/>
      <c r="WQZ507" s="325"/>
      <c r="WRA507" s="325"/>
      <c r="WRB507" s="325"/>
      <c r="WRC507" s="325"/>
      <c r="WRD507" s="325"/>
      <c r="WRE507" s="325"/>
      <c r="WRF507" s="325"/>
      <c r="WRG507" s="325"/>
      <c r="WRH507" s="325"/>
      <c r="WRI507" s="325"/>
      <c r="WRJ507" s="325"/>
      <c r="WRK507" s="325"/>
      <c r="WRL507" s="325"/>
      <c r="WRM507" s="325"/>
      <c r="WRN507" s="325"/>
      <c r="WRO507" s="325"/>
      <c r="WRP507" s="325"/>
      <c r="WRQ507" s="325"/>
      <c r="WRR507" s="325"/>
      <c r="WRS507" s="325"/>
      <c r="WRT507" s="325"/>
      <c r="WRU507" s="325"/>
      <c r="WRV507" s="325"/>
      <c r="WRW507" s="325"/>
      <c r="WRX507" s="327"/>
      <c r="WRY507" s="28"/>
      <c r="WRZ507" s="324"/>
      <c r="WSA507" s="324"/>
      <c r="WSB507" s="324"/>
      <c r="WSC507" s="324"/>
      <c r="WSD507" s="324"/>
      <c r="WSE507" s="324"/>
      <c r="WSF507" s="256"/>
      <c r="WSG507" s="325"/>
      <c r="WSH507" s="311"/>
      <c r="WSI507" s="325"/>
      <c r="WSJ507" s="310"/>
      <c r="WSK507" s="325"/>
      <c r="WSL507" s="325"/>
      <c r="WSM507" s="325"/>
      <c r="WSN507" s="325"/>
      <c r="WSO507" s="325"/>
      <c r="WSP507" s="325"/>
      <c r="WSQ507" s="325"/>
      <c r="WSR507" s="325"/>
      <c r="WSS507" s="325"/>
      <c r="WST507" s="325"/>
      <c r="WSU507" s="325"/>
      <c r="WSV507" s="325"/>
      <c r="WSW507" s="325"/>
      <c r="WSX507" s="325"/>
      <c r="WSY507" s="325"/>
      <c r="WSZ507" s="325"/>
      <c r="WTA507" s="325"/>
      <c r="WTB507" s="325"/>
      <c r="WTC507" s="325"/>
      <c r="WTD507" s="325"/>
      <c r="WTE507" s="325"/>
      <c r="WTF507" s="325"/>
      <c r="WTG507" s="325"/>
      <c r="WTH507" s="325"/>
      <c r="WTI507" s="325"/>
      <c r="WTJ507" s="325"/>
      <c r="WTK507" s="325"/>
      <c r="WTL507" s="325"/>
      <c r="WTM507" s="325"/>
      <c r="WTN507" s="325"/>
      <c r="WTO507" s="327"/>
      <c r="WTP507" s="28"/>
      <c r="WTQ507" s="324"/>
      <c r="WTR507" s="324"/>
      <c r="WTS507" s="324"/>
      <c r="WTT507" s="324"/>
      <c r="WTU507" s="324"/>
      <c r="WTV507" s="324"/>
      <c r="WTW507" s="256"/>
      <c r="WTX507" s="325"/>
      <c r="WTY507" s="311"/>
      <c r="WTZ507" s="325"/>
      <c r="WUA507" s="310"/>
      <c r="WUB507" s="325"/>
      <c r="WUC507" s="325"/>
      <c r="WUD507" s="325"/>
      <c r="WUE507" s="325"/>
      <c r="WUF507" s="325"/>
      <c r="WUG507" s="325"/>
      <c r="WUH507" s="325"/>
      <c r="WUI507" s="325"/>
      <c r="WUJ507" s="325"/>
      <c r="WUK507" s="325"/>
      <c r="WUL507" s="325"/>
      <c r="WUM507" s="325"/>
      <c r="WUN507" s="325"/>
      <c r="WUO507" s="325"/>
      <c r="WUP507" s="325"/>
      <c r="WUQ507" s="325"/>
      <c r="WUR507" s="325"/>
      <c r="WUS507" s="325"/>
      <c r="WUT507" s="325"/>
      <c r="WUU507" s="325"/>
      <c r="WUV507" s="325"/>
      <c r="WUW507" s="325"/>
      <c r="WUX507" s="325"/>
      <c r="WUY507" s="325"/>
      <c r="WUZ507" s="325"/>
      <c r="WVA507" s="325"/>
      <c r="WVB507" s="325"/>
      <c r="WVC507" s="325"/>
      <c r="WVD507" s="325"/>
      <c r="WVE507" s="325"/>
      <c r="WVF507" s="327"/>
      <c r="WVG507" s="28"/>
      <c r="WVH507" s="324"/>
      <c r="WVI507" s="324"/>
      <c r="WVJ507" s="324"/>
      <c r="WVK507" s="324"/>
      <c r="WVL507" s="324"/>
      <c r="WVM507" s="324"/>
      <c r="WVN507" s="256"/>
      <c r="WVO507" s="325"/>
      <c r="WVP507" s="311"/>
      <c r="WVQ507" s="325"/>
      <c r="WVR507" s="310"/>
      <c r="WVS507" s="325"/>
      <c r="WVT507" s="325"/>
      <c r="WVU507" s="325"/>
      <c r="WVV507" s="325"/>
      <c r="WVW507" s="325"/>
      <c r="WVX507" s="325"/>
      <c r="WVY507" s="325"/>
      <c r="WVZ507" s="325"/>
      <c r="WWA507" s="325"/>
      <c r="WWB507" s="325"/>
      <c r="WWC507" s="325"/>
      <c r="WWD507" s="325"/>
      <c r="WWE507" s="325"/>
      <c r="WWF507" s="325"/>
      <c r="WWG507" s="325"/>
      <c r="WWH507" s="325"/>
      <c r="WWI507" s="325"/>
      <c r="WWJ507" s="325"/>
      <c r="WWK507" s="325"/>
      <c r="WWL507" s="325"/>
      <c r="WWM507" s="325"/>
      <c r="WWN507" s="325"/>
      <c r="WWO507" s="325"/>
      <c r="WWP507" s="325"/>
      <c r="WWQ507" s="325"/>
      <c r="WWR507" s="325"/>
      <c r="WWS507" s="325"/>
      <c r="WWT507" s="325"/>
      <c r="WWU507" s="325"/>
      <c r="WWV507" s="325"/>
      <c r="WWW507" s="327"/>
      <c r="WWX507" s="28"/>
      <c r="WWY507" s="324"/>
      <c r="WWZ507" s="324"/>
      <c r="WXA507" s="324"/>
      <c r="WXB507" s="324"/>
      <c r="WXC507" s="324"/>
      <c r="WXD507" s="324"/>
      <c r="WXE507" s="256"/>
      <c r="WXF507" s="325"/>
      <c r="WXG507" s="311"/>
      <c r="WXH507" s="325"/>
      <c r="WXI507" s="310"/>
      <c r="WXJ507" s="325"/>
      <c r="WXK507" s="325"/>
      <c r="WXL507" s="325"/>
      <c r="WXM507" s="325"/>
      <c r="WXN507" s="325"/>
      <c r="WXO507" s="325"/>
      <c r="WXP507" s="325"/>
      <c r="WXQ507" s="325"/>
      <c r="WXR507" s="325"/>
      <c r="WXS507" s="325"/>
      <c r="WXT507" s="325"/>
      <c r="WXU507" s="325"/>
      <c r="WXV507" s="325"/>
      <c r="WXW507" s="325"/>
      <c r="WXX507" s="325"/>
      <c r="WXY507" s="325"/>
      <c r="WXZ507" s="325"/>
      <c r="WYA507" s="325"/>
      <c r="WYB507" s="325"/>
      <c r="WYC507" s="325"/>
      <c r="WYD507" s="325"/>
      <c r="WYE507" s="325"/>
      <c r="WYF507" s="325"/>
      <c r="WYG507" s="325"/>
      <c r="WYH507" s="325"/>
      <c r="WYI507" s="325"/>
      <c r="WYJ507" s="325"/>
      <c r="WYK507" s="325"/>
      <c r="WYL507" s="325"/>
      <c r="WYM507" s="325"/>
      <c r="WYN507" s="327"/>
      <c r="WYO507" s="28"/>
      <c r="WYP507" s="324"/>
      <c r="WYQ507" s="324"/>
      <c r="WYR507" s="324"/>
      <c r="WYS507" s="324"/>
      <c r="WYT507" s="324"/>
      <c r="WYU507" s="324"/>
      <c r="WYV507" s="256"/>
      <c r="WYW507" s="325"/>
      <c r="WYX507" s="311"/>
      <c r="WYY507" s="325"/>
      <c r="WYZ507" s="310"/>
      <c r="WZA507" s="325"/>
      <c r="WZB507" s="325"/>
      <c r="WZC507" s="325"/>
      <c r="WZD507" s="325"/>
      <c r="WZE507" s="325"/>
      <c r="WZF507" s="325"/>
      <c r="WZG507" s="325"/>
      <c r="WZH507" s="325"/>
      <c r="WZI507" s="325"/>
      <c r="WZJ507" s="325"/>
      <c r="WZK507" s="325"/>
      <c r="WZL507" s="325"/>
      <c r="WZM507" s="325"/>
      <c r="WZN507" s="325"/>
      <c r="WZO507" s="325"/>
      <c r="WZP507" s="325"/>
      <c r="WZQ507" s="325"/>
      <c r="WZR507" s="325"/>
      <c r="WZS507" s="325"/>
      <c r="WZT507" s="325"/>
      <c r="WZU507" s="325"/>
      <c r="WZV507" s="325"/>
      <c r="WZW507" s="325"/>
      <c r="WZX507" s="325"/>
      <c r="WZY507" s="325"/>
      <c r="WZZ507" s="325"/>
      <c r="XAA507" s="325"/>
      <c r="XAB507" s="325"/>
      <c r="XAC507" s="325"/>
      <c r="XAD507" s="325"/>
      <c r="XAE507" s="327"/>
      <c r="XAF507" s="28"/>
      <c r="XAG507" s="324"/>
      <c r="XAH507" s="324"/>
      <c r="XAI507" s="324"/>
      <c r="XAJ507" s="324"/>
      <c r="XAK507" s="324"/>
      <c r="XAL507" s="324"/>
      <c r="XAM507" s="256"/>
      <c r="XAN507" s="325"/>
      <c r="XAO507" s="311"/>
      <c r="XAP507" s="325"/>
      <c r="XAQ507" s="310"/>
      <c r="XAR507" s="325"/>
      <c r="XAS507" s="325"/>
      <c r="XAT507" s="325"/>
      <c r="XAU507" s="325"/>
      <c r="XAV507" s="325"/>
      <c r="XAW507" s="325"/>
      <c r="XAX507" s="325"/>
      <c r="XAY507" s="325"/>
      <c r="XAZ507" s="325"/>
      <c r="XBA507" s="325"/>
      <c r="XBB507" s="325"/>
      <c r="XBC507" s="325"/>
      <c r="XBD507" s="325"/>
      <c r="XBE507" s="325"/>
      <c r="XBF507" s="325"/>
      <c r="XBG507" s="325"/>
      <c r="XBH507" s="325"/>
      <c r="XBI507" s="325"/>
      <c r="XBJ507" s="325"/>
      <c r="XBK507" s="325"/>
      <c r="XBL507" s="325"/>
      <c r="XBM507" s="325"/>
      <c r="XBN507" s="325"/>
      <c r="XBO507" s="325"/>
      <c r="XBP507" s="325"/>
      <c r="XBQ507" s="325"/>
      <c r="XBR507" s="325"/>
      <c r="XBS507" s="325"/>
      <c r="XBT507" s="325"/>
      <c r="XBU507" s="325"/>
      <c r="XBV507" s="327"/>
      <c r="XBW507" s="28"/>
      <c r="XBX507" s="324"/>
      <c r="XBY507" s="324"/>
      <c r="XBZ507" s="324"/>
      <c r="XCA507" s="324"/>
      <c r="XCB507" s="324"/>
      <c r="XCC507" s="324"/>
      <c r="XCD507" s="256"/>
      <c r="XCE507" s="325"/>
      <c r="XCF507" s="311"/>
      <c r="XCG507" s="325"/>
      <c r="XCH507" s="310"/>
      <c r="XCI507" s="325"/>
      <c r="XCJ507" s="325"/>
      <c r="XCK507" s="325"/>
      <c r="XCL507" s="325"/>
      <c r="XCM507" s="325"/>
      <c r="XCN507" s="325"/>
      <c r="XCO507" s="325"/>
      <c r="XCP507" s="325"/>
      <c r="XCQ507" s="325"/>
      <c r="XCR507" s="325"/>
      <c r="XCS507" s="325"/>
      <c r="XCT507" s="325"/>
      <c r="XCU507" s="325"/>
      <c r="XCV507" s="325"/>
      <c r="XCW507" s="325"/>
      <c r="XCX507" s="325"/>
      <c r="XCY507" s="325"/>
      <c r="XCZ507" s="325"/>
      <c r="XDA507" s="325"/>
      <c r="XDB507" s="325"/>
      <c r="XDC507" s="325"/>
      <c r="XDD507" s="325"/>
      <c r="XDE507" s="325"/>
      <c r="XDF507" s="325"/>
      <c r="XDG507" s="325"/>
      <c r="XDH507" s="325"/>
      <c r="XDI507" s="325"/>
      <c r="XDJ507" s="325"/>
      <c r="XDK507" s="325"/>
      <c r="XDL507" s="325"/>
      <c r="XDM507" s="327"/>
      <c r="XDN507" s="28"/>
      <c r="XDO507" s="324"/>
      <c r="XDP507" s="324"/>
      <c r="XDQ507" s="324"/>
      <c r="XDR507" s="324"/>
      <c r="XDS507" s="324"/>
      <c r="XDT507" s="324"/>
      <c r="XDU507" s="256"/>
      <c r="XDV507" s="325"/>
      <c r="XDW507" s="311"/>
      <c r="XDX507" s="325"/>
      <c r="XDY507" s="310"/>
      <c r="XDZ507" s="325"/>
      <c r="XEA507" s="325"/>
      <c r="XEB507" s="325"/>
      <c r="XEC507" s="325"/>
      <c r="XED507" s="325"/>
      <c r="XEE507" s="325"/>
      <c r="XEF507" s="325"/>
      <c r="XEG507" s="325"/>
      <c r="XEH507" s="325"/>
      <c r="XEI507" s="325"/>
      <c r="XEJ507" s="325"/>
      <c r="XEK507" s="325"/>
      <c r="XEL507" s="325"/>
      <c r="XEM507" s="325"/>
      <c r="XEN507" s="325"/>
      <c r="XEO507" s="325"/>
      <c r="XEP507" s="325"/>
      <c r="XEQ507" s="325"/>
      <c r="XER507" s="325"/>
      <c r="XES507" s="325"/>
      <c r="XET507" s="325"/>
      <c r="XEU507" s="325"/>
      <c r="XEV507" s="325"/>
      <c r="XEW507" s="325"/>
      <c r="XEX507" s="325"/>
      <c r="XEY507" s="325"/>
      <c r="XEZ507" s="325"/>
      <c r="XFA507" s="325"/>
      <c r="XFB507" s="325"/>
      <c r="XFC507" s="325"/>
      <c r="XFD507" s="327"/>
    </row>
    <row r="508" spans="1:16384">
      <c r="E508" s="325"/>
      <c r="G508" s="39"/>
      <c r="H508" s="39"/>
      <c r="I508" s="39"/>
      <c r="J508" s="39"/>
      <c r="K508" s="39"/>
      <c r="R508" s="38">
        <f t="shared" ref="R508:AU508" si="356">ROUNDDOWN((R507-InServiceYr+1)/5,0)</f>
        <v>0</v>
      </c>
      <c r="S508" s="38">
        <f t="shared" si="356"/>
        <v>0</v>
      </c>
      <c r="T508" s="38">
        <f t="shared" si="356"/>
        <v>0</v>
      </c>
      <c r="U508" s="38">
        <f t="shared" si="356"/>
        <v>0</v>
      </c>
      <c r="V508" s="38">
        <f t="shared" si="356"/>
        <v>1</v>
      </c>
      <c r="W508" s="38">
        <f t="shared" si="356"/>
        <v>1</v>
      </c>
      <c r="X508" s="38">
        <f t="shared" si="356"/>
        <v>1</v>
      </c>
      <c r="Y508" s="38">
        <f t="shared" si="356"/>
        <v>1</v>
      </c>
      <c r="Z508" s="38">
        <f t="shared" si="356"/>
        <v>1</v>
      </c>
      <c r="AA508" s="38">
        <f t="shared" si="356"/>
        <v>2</v>
      </c>
      <c r="AB508" s="38">
        <f t="shared" si="356"/>
        <v>2</v>
      </c>
      <c r="AC508" s="38">
        <f t="shared" si="356"/>
        <v>2</v>
      </c>
      <c r="AD508" s="38">
        <f t="shared" si="356"/>
        <v>2</v>
      </c>
      <c r="AE508" s="38">
        <f t="shared" si="356"/>
        <v>2</v>
      </c>
      <c r="AF508" s="38">
        <f t="shared" si="356"/>
        <v>3</v>
      </c>
      <c r="AG508" s="38">
        <f t="shared" si="356"/>
        <v>3</v>
      </c>
      <c r="AH508" s="38">
        <f t="shared" si="356"/>
        <v>3</v>
      </c>
      <c r="AI508" s="38">
        <f t="shared" si="356"/>
        <v>3</v>
      </c>
      <c r="AJ508" s="38">
        <f t="shared" si="356"/>
        <v>3</v>
      </c>
      <c r="AK508" s="38">
        <f t="shared" si="356"/>
        <v>4</v>
      </c>
      <c r="AL508" s="38">
        <f t="shared" si="356"/>
        <v>4</v>
      </c>
      <c r="AM508" s="38">
        <f t="shared" si="356"/>
        <v>4</v>
      </c>
      <c r="AN508" s="38">
        <f t="shared" si="356"/>
        <v>4</v>
      </c>
      <c r="AO508" s="38">
        <f t="shared" si="356"/>
        <v>4</v>
      </c>
      <c r="AP508" s="38">
        <f t="shared" si="356"/>
        <v>5</v>
      </c>
      <c r="AQ508" s="38">
        <f t="shared" si="356"/>
        <v>5</v>
      </c>
      <c r="AR508" s="38">
        <f t="shared" si="356"/>
        <v>5</v>
      </c>
      <c r="AS508" s="38">
        <f t="shared" si="356"/>
        <v>5</v>
      </c>
      <c r="AT508" s="38">
        <f t="shared" si="356"/>
        <v>5</v>
      </c>
      <c r="AU508" s="38">
        <f t="shared" si="356"/>
        <v>6</v>
      </c>
    </row>
    <row r="509" spans="1:16384">
      <c r="E509" s="325"/>
      <c r="G509" s="38" t="s">
        <v>310</v>
      </c>
      <c r="N509" s="320"/>
      <c r="P509" s="320"/>
      <c r="R509" s="38">
        <f>R508-Q508</f>
        <v>0</v>
      </c>
      <c r="S509" s="38">
        <f t="shared" ref="S509:AU509" si="357">S508-R508</f>
        <v>0</v>
      </c>
      <c r="T509" s="38">
        <f t="shared" si="357"/>
        <v>0</v>
      </c>
      <c r="U509" s="38">
        <f t="shared" si="357"/>
        <v>0</v>
      </c>
      <c r="V509" s="38">
        <f t="shared" si="357"/>
        <v>1</v>
      </c>
      <c r="W509" s="38">
        <f t="shared" si="357"/>
        <v>0</v>
      </c>
      <c r="X509" s="38">
        <f t="shared" si="357"/>
        <v>0</v>
      </c>
      <c r="Y509" s="38">
        <f t="shared" si="357"/>
        <v>0</v>
      </c>
      <c r="Z509" s="38">
        <f t="shared" si="357"/>
        <v>0</v>
      </c>
      <c r="AA509" s="38">
        <f t="shared" si="357"/>
        <v>1</v>
      </c>
      <c r="AB509" s="38">
        <f t="shared" si="357"/>
        <v>0</v>
      </c>
      <c r="AC509" s="38">
        <f t="shared" si="357"/>
        <v>0</v>
      </c>
      <c r="AD509" s="38">
        <f t="shared" si="357"/>
        <v>0</v>
      </c>
      <c r="AE509" s="38">
        <f t="shared" si="357"/>
        <v>0</v>
      </c>
      <c r="AF509" s="38">
        <f t="shared" si="357"/>
        <v>1</v>
      </c>
      <c r="AG509" s="38">
        <f t="shared" si="357"/>
        <v>0</v>
      </c>
      <c r="AH509" s="38">
        <f t="shared" si="357"/>
        <v>0</v>
      </c>
      <c r="AI509" s="38">
        <f t="shared" si="357"/>
        <v>0</v>
      </c>
      <c r="AJ509" s="38">
        <f t="shared" si="357"/>
        <v>0</v>
      </c>
      <c r="AK509" s="38">
        <f t="shared" si="357"/>
        <v>1</v>
      </c>
      <c r="AL509" s="38">
        <f t="shared" si="357"/>
        <v>0</v>
      </c>
      <c r="AM509" s="38">
        <f t="shared" si="357"/>
        <v>0</v>
      </c>
      <c r="AN509" s="38">
        <f t="shared" si="357"/>
        <v>0</v>
      </c>
      <c r="AO509" s="38">
        <f t="shared" si="357"/>
        <v>0</v>
      </c>
      <c r="AP509" s="38">
        <f t="shared" si="357"/>
        <v>1</v>
      </c>
      <c r="AQ509" s="38">
        <f t="shared" si="357"/>
        <v>0</v>
      </c>
      <c r="AR509" s="38">
        <f t="shared" si="357"/>
        <v>0</v>
      </c>
      <c r="AS509" s="38">
        <f t="shared" si="357"/>
        <v>0</v>
      </c>
      <c r="AT509" s="38">
        <f t="shared" si="357"/>
        <v>0</v>
      </c>
      <c r="AU509" s="38">
        <f t="shared" si="357"/>
        <v>1</v>
      </c>
    </row>
    <row r="511" spans="1:16384">
      <c r="E511" s="327"/>
      <c r="F511" s="28"/>
      <c r="G511" s="324" t="s">
        <v>865</v>
      </c>
      <c r="H511" s="324"/>
      <c r="I511" s="324"/>
      <c r="J511" s="324"/>
      <c r="K511" s="324"/>
      <c r="L511" s="405"/>
      <c r="M511" s="256"/>
      <c r="N511" s="325"/>
      <c r="O511" s="311"/>
      <c r="P511" s="325"/>
      <c r="Q511" s="310"/>
      <c r="R511" s="325"/>
      <c r="S511" s="325"/>
      <c r="T511" s="325"/>
      <c r="U511" s="325"/>
      <c r="V511" s="325"/>
      <c r="W511" s="325"/>
      <c r="X511" s="325"/>
      <c r="Y511" s="325"/>
      <c r="Z511" s="325"/>
      <c r="AA511" s="325"/>
      <c r="AB511" s="325"/>
      <c r="AC511" s="325"/>
      <c r="AD511" s="325"/>
      <c r="AE511" s="325"/>
      <c r="AF511" s="325"/>
      <c r="AG511" s="325"/>
      <c r="AH511" s="325"/>
      <c r="AI511" s="325"/>
      <c r="AJ511" s="325"/>
      <c r="AK511" s="325"/>
      <c r="AL511" s="325"/>
      <c r="AM511" s="325"/>
      <c r="AN511" s="325"/>
      <c r="AO511" s="325"/>
      <c r="AP511" s="325"/>
      <c r="AQ511" s="325"/>
      <c r="AR511" s="325"/>
      <c r="AS511" s="325"/>
      <c r="AT511" s="325"/>
      <c r="AU511" s="325"/>
    </row>
    <row r="512" spans="1:16384">
      <c r="E512" s="325"/>
      <c r="G512" s="39"/>
      <c r="H512" s="39"/>
      <c r="I512" s="39"/>
      <c r="J512" s="39"/>
      <c r="K512" s="39"/>
    </row>
    <row r="513" spans="5:47">
      <c r="E513" s="325"/>
      <c r="G513" s="36" t="s">
        <v>865</v>
      </c>
      <c r="H513" s="39"/>
      <c r="I513" s="39"/>
      <c r="J513" s="70"/>
      <c r="K513" s="39"/>
      <c r="L513" s="43"/>
      <c r="N513" s="320"/>
      <c r="P513" s="320"/>
      <c r="Q513" s="52"/>
      <c r="R513" s="52">
        <f>Assumptions!M56</f>
        <v>0</v>
      </c>
      <c r="S513" s="52">
        <f>Assumptions!N56</f>
        <v>0</v>
      </c>
      <c r="T513" s="52">
        <f>Assumptions!O56</f>
        <v>0</v>
      </c>
      <c r="U513" s="52">
        <f>Assumptions!P56</f>
        <v>0</v>
      </c>
      <c r="V513" s="52">
        <f>Assumptions!Q56</f>
        <v>0</v>
      </c>
      <c r="W513" s="52">
        <f>Assumptions!R56</f>
        <v>0</v>
      </c>
      <c r="X513" s="52">
        <f>Assumptions!S56</f>
        <v>0</v>
      </c>
      <c r="Y513" s="52">
        <f>Assumptions!T56</f>
        <v>0</v>
      </c>
      <c r="Z513" s="52">
        <f>Assumptions!U56</f>
        <v>0</v>
      </c>
      <c r="AA513" s="52">
        <f>Assumptions!V56</f>
        <v>0</v>
      </c>
      <c r="AB513" s="52">
        <f>Assumptions!W56</f>
        <v>0</v>
      </c>
      <c r="AC513" s="52">
        <f>Assumptions!X56</f>
        <v>0</v>
      </c>
      <c r="AD513" s="52">
        <f>Assumptions!Y56</f>
        <v>0</v>
      </c>
      <c r="AE513" s="52">
        <f>Assumptions!Z56</f>
        <v>0</v>
      </c>
      <c r="AF513" s="52">
        <f>Assumptions!AA56</f>
        <v>0</v>
      </c>
      <c r="AG513" s="52">
        <f>Assumptions!AB56</f>
        <v>0</v>
      </c>
      <c r="AH513" s="52">
        <f>Assumptions!AC56</f>
        <v>0</v>
      </c>
      <c r="AI513" s="52">
        <f>Assumptions!AD56</f>
        <v>0</v>
      </c>
      <c r="AJ513" s="52">
        <f>Assumptions!AE56</f>
        <v>0</v>
      </c>
      <c r="AK513" s="52">
        <f>Assumptions!AF56</f>
        <v>0</v>
      </c>
      <c r="AL513" s="52">
        <f>Assumptions!AG56</f>
        <v>0</v>
      </c>
      <c r="AM513" s="52">
        <f>Assumptions!AH56</f>
        <v>0</v>
      </c>
      <c r="AN513" s="52">
        <f>Assumptions!AI56</f>
        <v>0</v>
      </c>
      <c r="AO513" s="52">
        <f>Assumptions!AJ56</f>
        <v>0</v>
      </c>
      <c r="AP513" s="52">
        <f>Assumptions!AK56</f>
        <v>0</v>
      </c>
      <c r="AQ513" s="52">
        <f>Assumptions!AL56</f>
        <v>0</v>
      </c>
      <c r="AR513" s="52">
        <f>Assumptions!AM56</f>
        <v>0</v>
      </c>
      <c r="AS513" s="52">
        <f>Assumptions!AN56</f>
        <v>0</v>
      </c>
      <c r="AT513" s="52">
        <f>Assumptions!AO56</f>
        <v>0</v>
      </c>
      <c r="AU513" s="52">
        <f>Assumptions!AP56</f>
        <v>0</v>
      </c>
    </row>
    <row r="525" spans="5:47">
      <c r="N525" s="200"/>
      <c r="O525" s="316"/>
      <c r="P525" s="200"/>
      <c r="Q525" s="316"/>
      <c r="R525" s="198"/>
      <c r="S525" s="199"/>
    </row>
    <row r="526" spans="5:47">
      <c r="N526" s="200"/>
      <c r="O526" s="316"/>
      <c r="P526" s="200"/>
      <c r="Q526" s="316"/>
      <c r="R526" s="198"/>
      <c r="S526" s="199"/>
    </row>
    <row r="527" spans="5:47">
      <c r="N527" s="200"/>
      <c r="O527" s="316"/>
      <c r="P527" s="200"/>
      <c r="Q527" s="316"/>
      <c r="R527" s="198"/>
      <c r="S527" s="199"/>
    </row>
    <row r="528" spans="5:47">
      <c r="N528" s="200"/>
      <c r="O528" s="316"/>
      <c r="P528" s="200"/>
      <c r="Q528" s="316"/>
      <c r="R528" s="198"/>
      <c r="S528" s="199"/>
    </row>
    <row r="529" spans="14:19">
      <c r="N529" s="200"/>
      <c r="O529" s="316"/>
      <c r="P529" s="200"/>
      <c r="Q529" s="316"/>
      <c r="R529" s="198"/>
      <c r="S529" s="199"/>
    </row>
    <row r="530" spans="14:19">
      <c r="N530" s="200"/>
      <c r="O530" s="316"/>
      <c r="P530" s="200"/>
      <c r="Q530" s="316"/>
      <c r="R530" s="198"/>
      <c r="S530" s="199"/>
    </row>
    <row r="531" spans="14:19">
      <c r="N531" s="200"/>
      <c r="O531" s="316"/>
      <c r="P531" s="200"/>
      <c r="Q531" s="316"/>
      <c r="R531" s="198"/>
      <c r="S531" s="199"/>
    </row>
    <row r="532" spans="14:19">
      <c r="N532" s="200"/>
      <c r="O532" s="316"/>
      <c r="P532" s="200"/>
      <c r="Q532" s="316"/>
      <c r="R532" s="198"/>
      <c r="S532" s="199"/>
    </row>
    <row r="533" spans="14:19">
      <c r="N533" s="200"/>
      <c r="O533" s="316"/>
      <c r="P533" s="200"/>
      <c r="Q533" s="316"/>
      <c r="R533" s="198"/>
      <c r="S533" s="199"/>
    </row>
    <row r="534" spans="14:19">
      <c r="N534" s="200"/>
      <c r="O534" s="316"/>
      <c r="P534" s="200"/>
      <c r="Q534" s="316"/>
      <c r="R534" s="198"/>
      <c r="S534" s="199"/>
    </row>
  </sheetData>
  <dataConsolidate/>
  <dataValidations count="1">
    <dataValidation type="list" allowBlank="1" showInputMessage="1" showErrorMessage="1" sqref="J4">
      <formula1>ConfigDropdown</formula1>
    </dataValidation>
  </dataValidations>
  <pageMargins left="0.75" right="0.75" top="1" bottom="1" header="0.5" footer="0.5"/>
  <pageSetup scale="60" pageOrder="overThenDown" orientation="landscape" r:id="rId1"/>
  <headerFooter alignWithMargins="0"/>
  <rowBreaks count="2" manualBreakCount="2">
    <brk id="39" min="17" max="46" man="1"/>
    <brk id="66" min="17" max="46" man="1"/>
  </rowBreaks>
</worksheet>
</file>

<file path=xl/worksheets/sheet2.xml><?xml version="1.0" encoding="utf-8"?>
<worksheet xmlns="http://schemas.openxmlformats.org/spreadsheetml/2006/main" xmlns:r="http://schemas.openxmlformats.org/officeDocument/2006/relationships">
  <sheetPr codeName="Sheet3" enableFormatConditionsCalculation="0">
    <tabColor rgb="FF7030A0"/>
    <pageSetUpPr fitToPage="1"/>
  </sheetPr>
  <dimension ref="P9"/>
  <sheetViews>
    <sheetView showGridLines="0" view="pageBreakPreview" topLeftCell="G10" zoomScaleNormal="112" zoomScaleSheetLayoutView="100" zoomScalePageLayoutView="112" workbookViewId="0">
      <selection activeCell="O38" sqref="O38"/>
    </sheetView>
  </sheetViews>
  <sheetFormatPr defaultColWidth="8.85546875" defaultRowHeight="15"/>
  <cols>
    <col min="26" max="26" width="5.5703125" customWidth="1"/>
  </cols>
  <sheetData>
    <row r="9" spans="16:16">
      <c r="P9" s="721" t="s">
        <v>732</v>
      </c>
    </row>
  </sheetData>
  <printOptions horizontalCentered="1" verticalCentered="1"/>
  <pageMargins left="0.7" right="0.7" top="0.75" bottom="0.75" header="0.3" footer="0.3"/>
  <pageSetup scale="74" orientation="landscape" r:id="rId1"/>
  <drawing r:id="rId2"/>
  <extLst>
    <ext xmlns:mx="http://schemas.microsoft.com/office/mac/excel/2008/main" uri="http://schemas.microsoft.com/office/mac/excel/2008/main">
      <mx:PLV Mode="0" OnePage="0" WScale="0"/>
    </ext>
  </extLst>
</worksheet>
</file>

<file path=xl/worksheets/sheet20.xml><?xml version="1.0" encoding="utf-8"?>
<worksheet xmlns="http://schemas.openxmlformats.org/spreadsheetml/2006/main" xmlns:r="http://schemas.openxmlformats.org/officeDocument/2006/relationships">
  <sheetPr>
    <tabColor rgb="FFC00000"/>
  </sheetPr>
  <dimension ref="A1:XFD534"/>
  <sheetViews>
    <sheetView showGridLines="0" topLeftCell="E482" zoomScale="55" zoomScaleNormal="55" zoomScalePageLayoutView="85" workbookViewId="0">
      <selection activeCell="R508" sqref="R508:AU509"/>
    </sheetView>
  </sheetViews>
  <sheetFormatPr defaultColWidth="8.85546875" defaultRowHeight="15" outlineLevelCol="1"/>
  <cols>
    <col min="1" max="2" width="8.85546875" style="38" hidden="1" customWidth="1" outlineLevel="1"/>
    <col min="3" max="3" width="42.28515625" style="38" hidden="1" customWidth="1" outlineLevel="1"/>
    <col min="4" max="4" width="13" style="38" hidden="1" customWidth="1" outlineLevel="1"/>
    <col min="5" max="5" width="3.7109375" style="38" customWidth="1" collapsed="1"/>
    <col min="6" max="6" width="3.28515625" style="38" customWidth="1"/>
    <col min="7" max="7" width="7.140625" style="38" customWidth="1"/>
    <col min="8" max="8" width="28.42578125" style="38" customWidth="1"/>
    <col min="9" max="9" width="1.85546875" style="38" customWidth="1"/>
    <col min="10" max="10" width="10.140625" style="38" customWidth="1"/>
    <col min="11" max="11" width="1.42578125" style="38" customWidth="1"/>
    <col min="12" max="12" width="25.7109375" style="408" customWidth="1"/>
    <col min="13" max="13" width="0.85546875" style="38" customWidth="1"/>
    <col min="14" max="14" width="18.28515625" style="38" customWidth="1"/>
    <col min="15" max="15" width="1" style="42" customWidth="1"/>
    <col min="16" max="16" width="18.28515625" style="38" customWidth="1"/>
    <col min="17" max="17" width="1" style="42" customWidth="1"/>
    <col min="18" max="47" width="14.28515625" style="38" customWidth="1"/>
    <col min="48" max="68" width="9.42578125" style="38" customWidth="1"/>
    <col min="69" max="16384" width="8.85546875" style="38"/>
  </cols>
  <sheetData>
    <row r="1" spans="1:47" s="28" customFormat="1">
      <c r="L1" s="406"/>
      <c r="O1" s="197"/>
      <c r="Q1" s="197"/>
    </row>
    <row r="2" spans="1:47" s="28" customFormat="1" ht="18.75">
      <c r="H2" s="29" t="s">
        <v>17</v>
      </c>
      <c r="I2" s="29"/>
      <c r="J2" s="29" t="s">
        <v>294</v>
      </c>
      <c r="K2" s="29"/>
      <c r="L2" s="406"/>
      <c r="O2" s="197"/>
      <c r="Q2" s="197"/>
    </row>
    <row r="3" spans="1:47" s="28" customFormat="1" ht="18.75">
      <c r="H3" s="29" t="s">
        <v>18</v>
      </c>
      <c r="I3" s="29"/>
      <c r="J3" s="29" t="s">
        <v>295</v>
      </c>
      <c r="K3" s="29"/>
      <c r="L3" s="406"/>
      <c r="O3" s="197"/>
      <c r="Q3" s="197"/>
      <c r="R3" s="193"/>
    </row>
    <row r="4" spans="1:47" s="28" customFormat="1" ht="18.75">
      <c r="G4" s="968"/>
      <c r="H4" s="29" t="s">
        <v>297</v>
      </c>
      <c r="J4" s="29" t="s">
        <v>301</v>
      </c>
      <c r="L4" s="406"/>
      <c r="O4" s="197"/>
      <c r="Q4" s="197"/>
    </row>
    <row r="5" spans="1:47" s="28" customFormat="1">
      <c r="H5" s="31"/>
      <c r="I5" s="31"/>
      <c r="J5" s="31"/>
      <c r="K5" s="31"/>
      <c r="L5" s="406"/>
      <c r="O5" s="197"/>
      <c r="Q5" s="197"/>
    </row>
    <row r="6" spans="1:47" s="42" customFormat="1">
      <c r="A6" s="317"/>
      <c r="B6" s="317"/>
      <c r="C6" s="317"/>
      <c r="D6" s="317"/>
      <c r="E6" s="317"/>
      <c r="F6" s="317"/>
      <c r="G6" s="318" t="s">
        <v>505</v>
      </c>
      <c r="H6" s="317"/>
      <c r="I6" s="317"/>
      <c r="J6" s="317"/>
      <c r="K6" s="317"/>
      <c r="L6" s="40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row>
    <row r="7" spans="1:47" s="28" customFormat="1">
      <c r="L7" s="406"/>
      <c r="O7" s="197"/>
      <c r="Q7" s="197"/>
    </row>
    <row r="8" spans="1:47" s="28" customFormat="1">
      <c r="A8" s="40" t="s">
        <v>254</v>
      </c>
      <c r="B8" s="40" t="s">
        <v>44</v>
      </c>
      <c r="C8" s="40" t="s">
        <v>302</v>
      </c>
      <c r="D8" s="40" t="s">
        <v>298</v>
      </c>
      <c r="G8" s="324" t="s">
        <v>489</v>
      </c>
      <c r="H8" s="324"/>
      <c r="I8" s="324"/>
      <c r="J8" s="324"/>
      <c r="K8" s="324"/>
      <c r="L8" s="405"/>
      <c r="M8" s="256"/>
      <c r="N8" s="325" t="str">
        <f>"NPV "&amp;FirstYr-1&amp;" $"</f>
        <v>NPV 2013 $</v>
      </c>
      <c r="O8" s="311"/>
      <c r="P8" s="325" t="s">
        <v>491</v>
      </c>
      <c r="Q8" s="310"/>
      <c r="R8" s="325">
        <f>FirstYr</f>
        <v>2014</v>
      </c>
      <c r="S8" s="325">
        <f>R8+1</f>
        <v>2015</v>
      </c>
      <c r="T8" s="325">
        <f t="shared" ref="T8:AU8" si="0">S8+1</f>
        <v>2016</v>
      </c>
      <c r="U8" s="325">
        <f t="shared" si="0"/>
        <v>2017</v>
      </c>
      <c r="V8" s="325">
        <f t="shared" si="0"/>
        <v>2018</v>
      </c>
      <c r="W8" s="325">
        <f t="shared" si="0"/>
        <v>2019</v>
      </c>
      <c r="X8" s="325">
        <f t="shared" si="0"/>
        <v>2020</v>
      </c>
      <c r="Y8" s="325">
        <f t="shared" si="0"/>
        <v>2021</v>
      </c>
      <c r="Z8" s="325">
        <f t="shared" si="0"/>
        <v>2022</v>
      </c>
      <c r="AA8" s="325">
        <f t="shared" si="0"/>
        <v>2023</v>
      </c>
      <c r="AB8" s="325">
        <f t="shared" si="0"/>
        <v>2024</v>
      </c>
      <c r="AC8" s="325">
        <f t="shared" si="0"/>
        <v>2025</v>
      </c>
      <c r="AD8" s="325">
        <f t="shared" si="0"/>
        <v>2026</v>
      </c>
      <c r="AE8" s="325">
        <f t="shared" si="0"/>
        <v>2027</v>
      </c>
      <c r="AF8" s="325">
        <f t="shared" si="0"/>
        <v>2028</v>
      </c>
      <c r="AG8" s="325">
        <f t="shared" si="0"/>
        <v>2029</v>
      </c>
      <c r="AH8" s="325">
        <f t="shared" si="0"/>
        <v>2030</v>
      </c>
      <c r="AI8" s="325">
        <f t="shared" si="0"/>
        <v>2031</v>
      </c>
      <c r="AJ8" s="325">
        <f t="shared" si="0"/>
        <v>2032</v>
      </c>
      <c r="AK8" s="325">
        <f t="shared" si="0"/>
        <v>2033</v>
      </c>
      <c r="AL8" s="325">
        <f t="shared" si="0"/>
        <v>2034</v>
      </c>
      <c r="AM8" s="325">
        <f t="shared" si="0"/>
        <v>2035</v>
      </c>
      <c r="AN8" s="325">
        <f t="shared" si="0"/>
        <v>2036</v>
      </c>
      <c r="AO8" s="325">
        <f t="shared" si="0"/>
        <v>2037</v>
      </c>
      <c r="AP8" s="325">
        <f t="shared" si="0"/>
        <v>2038</v>
      </c>
      <c r="AQ8" s="325">
        <f t="shared" si="0"/>
        <v>2039</v>
      </c>
      <c r="AR8" s="325">
        <f t="shared" si="0"/>
        <v>2040</v>
      </c>
      <c r="AS8" s="325">
        <f t="shared" si="0"/>
        <v>2041</v>
      </c>
      <c r="AT8" s="325">
        <f t="shared" si="0"/>
        <v>2042</v>
      </c>
      <c r="AU8" s="325">
        <f t="shared" si="0"/>
        <v>2043</v>
      </c>
    </row>
    <row r="9" spans="1:47" s="28" customFormat="1">
      <c r="L9" s="406"/>
      <c r="O9" s="197"/>
      <c r="Q9" s="197"/>
    </row>
    <row r="10" spans="1:47" s="28" customFormat="1">
      <c r="B10" s="38" t="s">
        <v>306</v>
      </c>
      <c r="E10" s="254"/>
      <c r="G10" s="36" t="s">
        <v>8</v>
      </c>
      <c r="L10" s="43" t="str">
        <f>"["&amp;FirstYr-1&amp;" $]"</f>
        <v>[2013 $]</v>
      </c>
      <c r="N10" s="191">
        <f t="shared" ref="N10:N13" ca="1" si="1">NPV(DiscountRt,R10:AU10)</f>
        <v>32679179.245283019</v>
      </c>
      <c r="O10" s="189"/>
      <c r="P10" s="321"/>
      <c r="Q10" s="189"/>
      <c r="R10" s="190">
        <f t="shared" ref="R10:AU10" ca="1" si="2">IF($P10=0,SUMIF($B$96:$B$496,$B10,R$96:R$496),$P10*R$97)</f>
        <v>34639930</v>
      </c>
      <c r="S10" s="190">
        <f t="shared" ca="1" si="2"/>
        <v>0</v>
      </c>
      <c r="T10" s="190">
        <f t="shared" ca="1" si="2"/>
        <v>0</v>
      </c>
      <c r="U10" s="190">
        <f t="shared" ca="1" si="2"/>
        <v>0</v>
      </c>
      <c r="V10" s="190">
        <f t="shared" ca="1" si="2"/>
        <v>0</v>
      </c>
      <c r="W10" s="190">
        <f t="shared" ca="1" si="2"/>
        <v>0</v>
      </c>
      <c r="X10" s="190">
        <f t="shared" ca="1" si="2"/>
        <v>0</v>
      </c>
      <c r="Y10" s="190">
        <f t="shared" ca="1" si="2"/>
        <v>0</v>
      </c>
      <c r="Z10" s="190">
        <f t="shared" ca="1" si="2"/>
        <v>0</v>
      </c>
      <c r="AA10" s="190">
        <f t="shared" ca="1" si="2"/>
        <v>0</v>
      </c>
      <c r="AB10" s="190">
        <f t="shared" ca="1" si="2"/>
        <v>0</v>
      </c>
      <c r="AC10" s="190">
        <f t="shared" ca="1" si="2"/>
        <v>0</v>
      </c>
      <c r="AD10" s="190">
        <f t="shared" ca="1" si="2"/>
        <v>0</v>
      </c>
      <c r="AE10" s="190">
        <f t="shared" ca="1" si="2"/>
        <v>0</v>
      </c>
      <c r="AF10" s="190">
        <f t="shared" ca="1" si="2"/>
        <v>0</v>
      </c>
      <c r="AG10" s="190">
        <f t="shared" ca="1" si="2"/>
        <v>0</v>
      </c>
      <c r="AH10" s="190">
        <f t="shared" ca="1" si="2"/>
        <v>0</v>
      </c>
      <c r="AI10" s="190">
        <f t="shared" ca="1" si="2"/>
        <v>0</v>
      </c>
      <c r="AJ10" s="190">
        <f t="shared" ca="1" si="2"/>
        <v>0</v>
      </c>
      <c r="AK10" s="190">
        <f t="shared" ca="1" si="2"/>
        <v>0</v>
      </c>
      <c r="AL10" s="190">
        <f t="shared" ca="1" si="2"/>
        <v>0</v>
      </c>
      <c r="AM10" s="190">
        <f t="shared" ca="1" si="2"/>
        <v>0</v>
      </c>
      <c r="AN10" s="190">
        <f t="shared" ca="1" si="2"/>
        <v>0</v>
      </c>
      <c r="AO10" s="190">
        <f t="shared" ca="1" si="2"/>
        <v>0</v>
      </c>
      <c r="AP10" s="190">
        <f t="shared" ca="1" si="2"/>
        <v>0</v>
      </c>
      <c r="AQ10" s="190">
        <f t="shared" ca="1" si="2"/>
        <v>0</v>
      </c>
      <c r="AR10" s="190">
        <f t="shared" ca="1" si="2"/>
        <v>0</v>
      </c>
      <c r="AS10" s="190">
        <f t="shared" ca="1" si="2"/>
        <v>0</v>
      </c>
      <c r="AT10" s="190">
        <f t="shared" ca="1" si="2"/>
        <v>0</v>
      </c>
      <c r="AU10" s="190">
        <f t="shared" ca="1" si="2"/>
        <v>0</v>
      </c>
    </row>
    <row r="11" spans="1:47" s="28" customFormat="1">
      <c r="B11" s="38"/>
      <c r="E11" s="254"/>
      <c r="G11" s="36" t="s">
        <v>494</v>
      </c>
      <c r="L11" s="43" t="str">
        <f>"["&amp;FirstYr-1&amp;" $]"</f>
        <v>[2013 $]</v>
      </c>
      <c r="N11" s="191">
        <f t="shared" si="1"/>
        <v>0</v>
      </c>
      <c r="O11" s="189"/>
      <c r="P11" s="319"/>
      <c r="Q11" s="189"/>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row>
    <row r="12" spans="1:47" s="28" customFormat="1">
      <c r="B12" s="38"/>
      <c r="E12" s="254"/>
      <c r="G12" s="36" t="s">
        <v>495</v>
      </c>
      <c r="L12" s="43" t="str">
        <f>"["&amp;FirstYr-1&amp;" $]"</f>
        <v>[2013 $]</v>
      </c>
      <c r="N12" s="191">
        <f t="shared" si="1"/>
        <v>0</v>
      </c>
      <c r="O12" s="189"/>
      <c r="P12" s="319"/>
      <c r="Q12" s="189"/>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row>
    <row r="13" spans="1:47" s="28" customFormat="1">
      <c r="B13" s="38"/>
      <c r="E13" s="254"/>
      <c r="G13" s="36" t="s">
        <v>496</v>
      </c>
      <c r="L13" s="43" t="str">
        <f>"["&amp;FirstYr-1&amp;" $]"</f>
        <v>[2013 $]</v>
      </c>
      <c r="N13" s="191">
        <f t="shared" si="1"/>
        <v>0</v>
      </c>
      <c r="O13" s="189"/>
      <c r="P13" s="319"/>
      <c r="Q13" s="189"/>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row>
    <row r="14" spans="1:47">
      <c r="E14" s="49"/>
      <c r="G14" s="39" t="s">
        <v>114</v>
      </c>
      <c r="H14" s="42"/>
      <c r="I14" s="42"/>
      <c r="J14" s="42"/>
      <c r="K14" s="42"/>
      <c r="L14" s="43"/>
      <c r="M14" s="43"/>
      <c r="N14" s="189">
        <f ca="1">SUBTOTAL(9,N10:N13)</f>
        <v>32679179.245283019</v>
      </c>
      <c r="O14" s="189"/>
      <c r="P14" s="189"/>
      <c r="Q14" s="189"/>
      <c r="R14" s="189">
        <f t="shared" ref="R14:AU14" ca="1" si="3">SUBTOTAL(9,R10:R13)</f>
        <v>34639930</v>
      </c>
      <c r="S14" s="189">
        <f t="shared" ca="1" si="3"/>
        <v>0</v>
      </c>
      <c r="T14" s="189">
        <f t="shared" ca="1" si="3"/>
        <v>0</v>
      </c>
      <c r="U14" s="189">
        <f t="shared" ca="1" si="3"/>
        <v>0</v>
      </c>
      <c r="V14" s="189">
        <f t="shared" ca="1" si="3"/>
        <v>0</v>
      </c>
      <c r="W14" s="189">
        <f t="shared" ca="1" si="3"/>
        <v>0</v>
      </c>
      <c r="X14" s="189">
        <f t="shared" ca="1" si="3"/>
        <v>0</v>
      </c>
      <c r="Y14" s="189">
        <f t="shared" ca="1" si="3"/>
        <v>0</v>
      </c>
      <c r="Z14" s="189">
        <f t="shared" ca="1" si="3"/>
        <v>0</v>
      </c>
      <c r="AA14" s="189">
        <f t="shared" ca="1" si="3"/>
        <v>0</v>
      </c>
      <c r="AB14" s="189">
        <f t="shared" ca="1" si="3"/>
        <v>0</v>
      </c>
      <c r="AC14" s="189">
        <f t="shared" ca="1" si="3"/>
        <v>0</v>
      </c>
      <c r="AD14" s="189">
        <f t="shared" ca="1" si="3"/>
        <v>0</v>
      </c>
      <c r="AE14" s="189">
        <f t="shared" ca="1" si="3"/>
        <v>0</v>
      </c>
      <c r="AF14" s="189">
        <f t="shared" ca="1" si="3"/>
        <v>0</v>
      </c>
      <c r="AG14" s="189">
        <f t="shared" ca="1" si="3"/>
        <v>0</v>
      </c>
      <c r="AH14" s="189">
        <f t="shared" ca="1" si="3"/>
        <v>0</v>
      </c>
      <c r="AI14" s="189">
        <f t="shared" ca="1" si="3"/>
        <v>0</v>
      </c>
      <c r="AJ14" s="189">
        <f t="shared" ca="1" si="3"/>
        <v>0</v>
      </c>
      <c r="AK14" s="189">
        <f t="shared" ca="1" si="3"/>
        <v>0</v>
      </c>
      <c r="AL14" s="189">
        <f t="shared" ca="1" si="3"/>
        <v>0</v>
      </c>
      <c r="AM14" s="189">
        <f t="shared" ca="1" si="3"/>
        <v>0</v>
      </c>
      <c r="AN14" s="189">
        <f t="shared" ca="1" si="3"/>
        <v>0</v>
      </c>
      <c r="AO14" s="189">
        <f t="shared" ca="1" si="3"/>
        <v>0</v>
      </c>
      <c r="AP14" s="189">
        <f t="shared" ca="1" si="3"/>
        <v>0</v>
      </c>
      <c r="AQ14" s="189">
        <f t="shared" ca="1" si="3"/>
        <v>0</v>
      </c>
      <c r="AR14" s="189">
        <f t="shared" ca="1" si="3"/>
        <v>0</v>
      </c>
      <c r="AS14" s="189">
        <f t="shared" ca="1" si="3"/>
        <v>0</v>
      </c>
      <c r="AT14" s="189">
        <f t="shared" ca="1" si="3"/>
        <v>0</v>
      </c>
      <c r="AU14" s="189">
        <f t="shared" ca="1" si="3"/>
        <v>0</v>
      </c>
    </row>
    <row r="15" spans="1:47" s="28" customFormat="1">
      <c r="L15" s="406"/>
      <c r="O15" s="197"/>
      <c r="Q15" s="197"/>
    </row>
    <row r="16" spans="1:47" s="28" customFormat="1">
      <c r="A16" s="40"/>
      <c r="B16" s="40"/>
      <c r="C16" s="40"/>
      <c r="D16" s="40"/>
      <c r="G16" s="324" t="s">
        <v>400</v>
      </c>
      <c r="H16" s="324"/>
      <c r="I16" s="324"/>
      <c r="J16" s="324"/>
      <c r="K16" s="324"/>
      <c r="L16" s="405" t="s">
        <v>401</v>
      </c>
      <c r="M16" s="256"/>
      <c r="N16" s="325" t="str">
        <f>"NPV "&amp;FirstYr-1&amp;" $"</f>
        <v>NPV 2013 $</v>
      </c>
      <c r="O16" s="311"/>
      <c r="P16" s="325" t="s">
        <v>491</v>
      </c>
      <c r="Q16" s="310"/>
      <c r="R16" s="325">
        <f>R$8</f>
        <v>2014</v>
      </c>
      <c r="S16" s="325">
        <f t="shared" ref="S16:AU16" si="4">S$8</f>
        <v>2015</v>
      </c>
      <c r="T16" s="325">
        <f t="shared" si="4"/>
        <v>2016</v>
      </c>
      <c r="U16" s="325">
        <f t="shared" si="4"/>
        <v>2017</v>
      </c>
      <c r="V16" s="325">
        <f t="shared" si="4"/>
        <v>2018</v>
      </c>
      <c r="W16" s="325">
        <f t="shared" si="4"/>
        <v>2019</v>
      </c>
      <c r="X16" s="325">
        <f t="shared" si="4"/>
        <v>2020</v>
      </c>
      <c r="Y16" s="325">
        <f t="shared" si="4"/>
        <v>2021</v>
      </c>
      <c r="Z16" s="325">
        <f t="shared" si="4"/>
        <v>2022</v>
      </c>
      <c r="AA16" s="325">
        <f t="shared" si="4"/>
        <v>2023</v>
      </c>
      <c r="AB16" s="325">
        <f t="shared" si="4"/>
        <v>2024</v>
      </c>
      <c r="AC16" s="325">
        <f t="shared" si="4"/>
        <v>2025</v>
      </c>
      <c r="AD16" s="325">
        <f t="shared" si="4"/>
        <v>2026</v>
      </c>
      <c r="AE16" s="325">
        <f t="shared" si="4"/>
        <v>2027</v>
      </c>
      <c r="AF16" s="325">
        <f t="shared" si="4"/>
        <v>2028</v>
      </c>
      <c r="AG16" s="325">
        <f t="shared" si="4"/>
        <v>2029</v>
      </c>
      <c r="AH16" s="325">
        <f t="shared" si="4"/>
        <v>2030</v>
      </c>
      <c r="AI16" s="325">
        <f t="shared" si="4"/>
        <v>2031</v>
      </c>
      <c r="AJ16" s="325">
        <f t="shared" si="4"/>
        <v>2032</v>
      </c>
      <c r="AK16" s="325">
        <f t="shared" si="4"/>
        <v>2033</v>
      </c>
      <c r="AL16" s="325">
        <f t="shared" si="4"/>
        <v>2034</v>
      </c>
      <c r="AM16" s="325">
        <f t="shared" si="4"/>
        <v>2035</v>
      </c>
      <c r="AN16" s="325">
        <f t="shared" si="4"/>
        <v>2036</v>
      </c>
      <c r="AO16" s="325">
        <f t="shared" si="4"/>
        <v>2037</v>
      </c>
      <c r="AP16" s="325">
        <f t="shared" si="4"/>
        <v>2038</v>
      </c>
      <c r="AQ16" s="325">
        <f t="shared" si="4"/>
        <v>2039</v>
      </c>
      <c r="AR16" s="325">
        <f t="shared" si="4"/>
        <v>2040</v>
      </c>
      <c r="AS16" s="325">
        <f t="shared" si="4"/>
        <v>2041</v>
      </c>
      <c r="AT16" s="325">
        <f t="shared" si="4"/>
        <v>2042</v>
      </c>
      <c r="AU16" s="325">
        <f t="shared" si="4"/>
        <v>2043</v>
      </c>
    </row>
    <row r="17" spans="2:47">
      <c r="E17" s="49"/>
      <c r="G17" s="39"/>
      <c r="H17" s="28"/>
      <c r="I17" s="28"/>
      <c r="J17" s="28"/>
      <c r="K17" s="28"/>
      <c r="L17" s="406"/>
      <c r="M17" s="28"/>
      <c r="N17" s="28"/>
      <c r="O17" s="197"/>
      <c r="Q17" s="197"/>
    </row>
    <row r="18" spans="2:47">
      <c r="E18" s="49"/>
      <c r="G18" s="39" t="s">
        <v>23</v>
      </c>
      <c r="H18" s="28"/>
      <c r="I18" s="28"/>
      <c r="J18" s="28"/>
      <c r="K18" s="28"/>
      <c r="L18" s="406"/>
      <c r="M18" s="28"/>
      <c r="N18" s="28"/>
      <c r="O18" s="197"/>
      <c r="Q18" s="197"/>
    </row>
    <row r="19" spans="2:47">
      <c r="B19" s="38" t="s">
        <v>262</v>
      </c>
      <c r="E19" s="49"/>
      <c r="G19" s="36" t="s">
        <v>125</v>
      </c>
      <c r="H19" s="28"/>
      <c r="I19" s="28"/>
      <c r="J19" s="527"/>
      <c r="K19" s="28"/>
      <c r="L19" s="43" t="str">
        <f t="shared" ref="L19:L29" si="5">"["&amp;FirstYr-1&amp;" $]"</f>
        <v>[2013 $]</v>
      </c>
      <c r="M19" s="28"/>
      <c r="N19" s="191">
        <f t="shared" ref="N19:N29" ca="1" si="6">NPV(DiscountRt,R19:AU19)</f>
        <v>10402292.907414803</v>
      </c>
      <c r="O19" s="189"/>
      <c r="P19" s="321"/>
      <c r="Q19" s="189"/>
      <c r="R19" s="190">
        <f t="shared" ref="R19:AU19" ca="1" si="7">IF($P19=0,SUMIF($B$96:$B$496,$B19,R$96:R$496),IF(OR(S$99&lt;InServiceYr,S$99&gt;(InServiceYr+analysis_period)),0,$P19*(1+LaborEsc)^(R$16-FirstYr)))</f>
        <v>775314.75</v>
      </c>
      <c r="S19" s="190">
        <f t="shared" ca="1" si="7"/>
        <v>790821.04499999993</v>
      </c>
      <c r="T19" s="190">
        <f t="shared" ca="1" si="7"/>
        <v>806637.46590000007</v>
      </c>
      <c r="U19" s="190">
        <f t="shared" ca="1" si="7"/>
        <v>822770.215218</v>
      </c>
      <c r="V19" s="190">
        <f t="shared" ca="1" si="7"/>
        <v>839225.61952235992</v>
      </c>
      <c r="W19" s="190">
        <f t="shared" ca="1" si="7"/>
        <v>856010.13191280724</v>
      </c>
      <c r="X19" s="190">
        <f t="shared" ca="1" si="7"/>
        <v>873130.33455106325</v>
      </c>
      <c r="Y19" s="190">
        <f t="shared" ca="1" si="7"/>
        <v>890592.94124208449</v>
      </c>
      <c r="Z19" s="190">
        <f t="shared" ca="1" si="7"/>
        <v>908404.80006692617</v>
      </c>
      <c r="AA19" s="190">
        <f t="shared" ca="1" si="7"/>
        <v>926572.89606826485</v>
      </c>
      <c r="AB19" s="190">
        <f t="shared" ca="1" si="7"/>
        <v>945104.35398962977</v>
      </c>
      <c r="AC19" s="190">
        <f t="shared" ca="1" si="7"/>
        <v>964006.44106942276</v>
      </c>
      <c r="AD19" s="190">
        <f t="shared" ca="1" si="7"/>
        <v>983286.56989081099</v>
      </c>
      <c r="AE19" s="190">
        <f t="shared" ca="1" si="7"/>
        <v>1002952.3012886273</v>
      </c>
      <c r="AF19" s="190">
        <f t="shared" ca="1" si="7"/>
        <v>1023011.3473143997</v>
      </c>
      <c r="AG19" s="190">
        <f t="shared" ca="1" si="7"/>
        <v>1043471.5742606878</v>
      </c>
      <c r="AH19" s="190">
        <f t="shared" ca="1" si="7"/>
        <v>1064341.0057459017</v>
      </c>
      <c r="AI19" s="190">
        <f t="shared" ca="1" si="7"/>
        <v>1085627.8258608195</v>
      </c>
      <c r="AJ19" s="190">
        <f t="shared" ca="1" si="7"/>
        <v>1107340.3823780359</v>
      </c>
      <c r="AK19" s="190">
        <f t="shared" ca="1" si="7"/>
        <v>1129487.1900255966</v>
      </c>
      <c r="AL19" s="190">
        <f t="shared" si="7"/>
        <v>0</v>
      </c>
      <c r="AM19" s="190">
        <f t="shared" si="7"/>
        <v>0</v>
      </c>
      <c r="AN19" s="190">
        <f t="shared" si="7"/>
        <v>0</v>
      </c>
      <c r="AO19" s="190">
        <f t="shared" si="7"/>
        <v>0</v>
      </c>
      <c r="AP19" s="190">
        <f t="shared" si="7"/>
        <v>0</v>
      </c>
      <c r="AQ19" s="190">
        <f t="shared" si="7"/>
        <v>0</v>
      </c>
      <c r="AR19" s="190">
        <f t="shared" si="7"/>
        <v>0</v>
      </c>
      <c r="AS19" s="190">
        <f t="shared" si="7"/>
        <v>0</v>
      </c>
      <c r="AT19" s="190">
        <f t="shared" si="7"/>
        <v>0</v>
      </c>
      <c r="AU19" s="190">
        <f t="shared" si="7"/>
        <v>0</v>
      </c>
    </row>
    <row r="20" spans="2:47">
      <c r="B20" s="38" t="s">
        <v>270</v>
      </c>
      <c r="E20" s="49"/>
      <c r="G20" s="36" t="s">
        <v>126</v>
      </c>
      <c r="H20" s="28"/>
      <c r="I20" s="28"/>
      <c r="J20" s="527"/>
      <c r="K20" s="28"/>
      <c r="L20" s="43" t="str">
        <f t="shared" si="5"/>
        <v>[2013 $]</v>
      </c>
      <c r="M20" s="28"/>
      <c r="N20" s="191">
        <f t="shared" ca="1" si="6"/>
        <v>3640263.6627766779</v>
      </c>
      <c r="O20" s="189"/>
      <c r="P20" s="321"/>
      <c r="Q20" s="189"/>
      <c r="R20" s="190">
        <f t="shared" ref="R20:AU20" ca="1" si="8">IF($P20=0,SUMIF($B$96:$B$496,$B20,R$96:R$496),IF(OR(S$99&lt;InServiceYr,S$99&gt;(InServiceYr+analysis_period)),0,$P20*(1+LaborEsc)^(R$16-FirstYr)))</f>
        <v>271320</v>
      </c>
      <c r="S20" s="190">
        <f t="shared" ca="1" si="8"/>
        <v>276746.40000000002</v>
      </c>
      <c r="T20" s="190">
        <f t="shared" ca="1" si="8"/>
        <v>282281.32799999998</v>
      </c>
      <c r="U20" s="190">
        <f t="shared" ca="1" si="8"/>
        <v>287926.95456000004</v>
      </c>
      <c r="V20" s="190">
        <f t="shared" ca="1" si="8"/>
        <v>293685.49365120009</v>
      </c>
      <c r="W20" s="190">
        <f t="shared" ca="1" si="8"/>
        <v>299559.20352422405</v>
      </c>
      <c r="X20" s="190">
        <f t="shared" ca="1" si="8"/>
        <v>305550.38759470842</v>
      </c>
      <c r="Y20" s="190">
        <f t="shared" ca="1" si="8"/>
        <v>311661.39534660254</v>
      </c>
      <c r="Z20" s="190">
        <f t="shared" ca="1" si="8"/>
        <v>317894.62325353461</v>
      </c>
      <c r="AA20" s="190">
        <f t="shared" ca="1" si="8"/>
        <v>324252.51571860537</v>
      </c>
      <c r="AB20" s="190">
        <f t="shared" ca="1" si="8"/>
        <v>330737.56603297748</v>
      </c>
      <c r="AC20" s="190">
        <f t="shared" ca="1" si="8"/>
        <v>337352.31735363702</v>
      </c>
      <c r="AD20" s="190">
        <f t="shared" ca="1" si="8"/>
        <v>344099.36370070971</v>
      </c>
      <c r="AE20" s="190">
        <f t="shared" ca="1" si="8"/>
        <v>350981.35097472399</v>
      </c>
      <c r="AF20" s="190">
        <f t="shared" ca="1" si="8"/>
        <v>358000.97799421841</v>
      </c>
      <c r="AG20" s="190">
        <f t="shared" ca="1" si="8"/>
        <v>365160.9975541028</v>
      </c>
      <c r="AH20" s="190">
        <f t="shared" ca="1" si="8"/>
        <v>372464.21750518488</v>
      </c>
      <c r="AI20" s="190">
        <f t="shared" ca="1" si="8"/>
        <v>379913.50185528852</v>
      </c>
      <c r="AJ20" s="190">
        <f t="shared" ca="1" si="8"/>
        <v>387511.77189239429</v>
      </c>
      <c r="AK20" s="190">
        <f t="shared" ca="1" si="8"/>
        <v>395262.00733024225</v>
      </c>
      <c r="AL20" s="190">
        <f t="shared" si="8"/>
        <v>0</v>
      </c>
      <c r="AM20" s="190">
        <f t="shared" si="8"/>
        <v>0</v>
      </c>
      <c r="AN20" s="190">
        <f t="shared" si="8"/>
        <v>0</v>
      </c>
      <c r="AO20" s="190">
        <f t="shared" si="8"/>
        <v>0</v>
      </c>
      <c r="AP20" s="190">
        <f t="shared" si="8"/>
        <v>0</v>
      </c>
      <c r="AQ20" s="190">
        <f t="shared" si="8"/>
        <v>0</v>
      </c>
      <c r="AR20" s="190">
        <f t="shared" si="8"/>
        <v>0</v>
      </c>
      <c r="AS20" s="190">
        <f t="shared" si="8"/>
        <v>0</v>
      </c>
      <c r="AT20" s="190">
        <f t="shared" si="8"/>
        <v>0</v>
      </c>
      <c r="AU20" s="190">
        <f t="shared" si="8"/>
        <v>0</v>
      </c>
    </row>
    <row r="21" spans="2:47">
      <c r="B21" s="38" t="s">
        <v>263</v>
      </c>
      <c r="E21" s="49"/>
      <c r="G21" s="36" t="s">
        <v>127</v>
      </c>
      <c r="H21" s="28"/>
      <c r="I21" s="28"/>
      <c r="J21" s="527"/>
      <c r="K21" s="28"/>
      <c r="L21" s="43" t="str">
        <f t="shared" si="5"/>
        <v>[2013 $]</v>
      </c>
      <c r="M21" s="28"/>
      <c r="N21" s="191">
        <f t="shared" ca="1" si="6"/>
        <v>3599208.0575573919</v>
      </c>
      <c r="O21" s="189"/>
      <c r="P21" s="321"/>
      <c r="Q21" s="189"/>
      <c r="R21" s="190">
        <f t="shared" ref="R21:AU21" ca="1" si="9">IF($P21=0,SUMIF($B$96:$B$496,$B21,R$96:R$496),IF(OR(S$99&lt;InServiceYr,S$99&gt;(InServiceYr+analysis_period)),0,$P21*(1+LaborEsc)^(R$16-FirstYr)))</f>
        <v>268260</v>
      </c>
      <c r="S21" s="190">
        <f t="shared" ca="1" si="9"/>
        <v>273625.19999999995</v>
      </c>
      <c r="T21" s="190">
        <f t="shared" ca="1" si="9"/>
        <v>279097.70399999997</v>
      </c>
      <c r="U21" s="190">
        <f t="shared" ca="1" si="9"/>
        <v>284679.65807999996</v>
      </c>
      <c r="V21" s="190">
        <f t="shared" ca="1" si="9"/>
        <v>290373.25124160002</v>
      </c>
      <c r="W21" s="190">
        <f t="shared" ca="1" si="9"/>
        <v>296180.71626643196</v>
      </c>
      <c r="X21" s="190">
        <f t="shared" ca="1" si="9"/>
        <v>302104.33059176058</v>
      </c>
      <c r="Y21" s="190">
        <f t="shared" ca="1" si="9"/>
        <v>308146.41720359586</v>
      </c>
      <c r="Z21" s="190">
        <f t="shared" ca="1" si="9"/>
        <v>314309.34554766776</v>
      </c>
      <c r="AA21" s="190">
        <f t="shared" ca="1" si="9"/>
        <v>320595.53245862114</v>
      </c>
      <c r="AB21" s="190">
        <f t="shared" ca="1" si="9"/>
        <v>327007.44310779346</v>
      </c>
      <c r="AC21" s="190">
        <f t="shared" ca="1" si="9"/>
        <v>333547.59196994943</v>
      </c>
      <c r="AD21" s="190">
        <f t="shared" ca="1" si="9"/>
        <v>340218.54380934837</v>
      </c>
      <c r="AE21" s="190">
        <f t="shared" ca="1" si="9"/>
        <v>347022.91468553536</v>
      </c>
      <c r="AF21" s="190">
        <f t="shared" ca="1" si="9"/>
        <v>353963.37297924596</v>
      </c>
      <c r="AG21" s="190">
        <f t="shared" ca="1" si="9"/>
        <v>361042.64043883095</v>
      </c>
      <c r="AH21" s="190">
        <f t="shared" ca="1" si="9"/>
        <v>368263.49324760761</v>
      </c>
      <c r="AI21" s="190">
        <f t="shared" ca="1" si="9"/>
        <v>375628.76311255974</v>
      </c>
      <c r="AJ21" s="190">
        <f t="shared" ca="1" si="9"/>
        <v>383141.33837481093</v>
      </c>
      <c r="AK21" s="190">
        <f t="shared" ca="1" si="9"/>
        <v>390804.16514230717</v>
      </c>
      <c r="AL21" s="190">
        <f t="shared" si="9"/>
        <v>0</v>
      </c>
      <c r="AM21" s="190">
        <f t="shared" si="9"/>
        <v>0</v>
      </c>
      <c r="AN21" s="190">
        <f t="shared" si="9"/>
        <v>0</v>
      </c>
      <c r="AO21" s="190">
        <f t="shared" si="9"/>
        <v>0</v>
      </c>
      <c r="AP21" s="190">
        <f t="shared" si="9"/>
        <v>0</v>
      </c>
      <c r="AQ21" s="190">
        <f t="shared" si="9"/>
        <v>0</v>
      </c>
      <c r="AR21" s="190">
        <f t="shared" si="9"/>
        <v>0</v>
      </c>
      <c r="AS21" s="190">
        <f t="shared" si="9"/>
        <v>0</v>
      </c>
      <c r="AT21" s="190">
        <f t="shared" si="9"/>
        <v>0</v>
      </c>
      <c r="AU21" s="190">
        <f t="shared" si="9"/>
        <v>0</v>
      </c>
    </row>
    <row r="22" spans="2:47">
      <c r="B22" s="38" t="s">
        <v>277</v>
      </c>
      <c r="E22" s="49"/>
      <c r="G22" s="36" t="s">
        <v>276</v>
      </c>
      <c r="H22" s="28"/>
      <c r="I22" s="28"/>
      <c r="J22" s="527"/>
      <c r="K22" s="28"/>
      <c r="L22" s="43" t="str">
        <f t="shared" si="5"/>
        <v>[2013 $]</v>
      </c>
      <c r="M22" s="28"/>
      <c r="N22" s="191">
        <f t="shared" ca="1" si="6"/>
        <v>8279547.0525559774</v>
      </c>
      <c r="O22" s="189"/>
      <c r="P22" s="321"/>
      <c r="Q22" s="189"/>
      <c r="R22" s="190">
        <f t="shared" ref="R22:AU22" ca="1" si="10">IF($P22=0,SUMIF($B$96:$B$496,$B22,R$96:R$496),IF(OR(S$99&lt;InServiceYr,S$99&gt;(InServiceYr+analysis_period)),0,$P22*(1+LaborEsc)^(R$16-FirstYr)))</f>
        <v>617100</v>
      </c>
      <c r="S22" s="190">
        <f t="shared" ca="1" si="10"/>
        <v>629442</v>
      </c>
      <c r="T22" s="190">
        <f t="shared" ca="1" si="10"/>
        <v>642030.84</v>
      </c>
      <c r="U22" s="190">
        <f t="shared" ca="1" si="10"/>
        <v>654871.45679999993</v>
      </c>
      <c r="V22" s="190">
        <f t="shared" ca="1" si="10"/>
        <v>667968.88593600004</v>
      </c>
      <c r="W22" s="190">
        <f t="shared" ca="1" si="10"/>
        <v>681328.26365472004</v>
      </c>
      <c r="X22" s="190">
        <f t="shared" ca="1" si="10"/>
        <v>694954.82892781426</v>
      </c>
      <c r="Y22" s="190">
        <f t="shared" ca="1" si="10"/>
        <v>708853.92550637061</v>
      </c>
      <c r="Z22" s="190">
        <f t="shared" ca="1" si="10"/>
        <v>723031.0040164981</v>
      </c>
      <c r="AA22" s="190">
        <f t="shared" ca="1" si="10"/>
        <v>737491.62409682805</v>
      </c>
      <c r="AB22" s="190">
        <f t="shared" ca="1" si="10"/>
        <v>752241.45657876448</v>
      </c>
      <c r="AC22" s="190">
        <f t="shared" ca="1" si="10"/>
        <v>767286.2857103399</v>
      </c>
      <c r="AD22" s="190">
        <f t="shared" ca="1" si="10"/>
        <v>782632.01142454671</v>
      </c>
      <c r="AE22" s="190">
        <f t="shared" ca="1" si="10"/>
        <v>798284.65165303764</v>
      </c>
      <c r="AF22" s="190">
        <f t="shared" ca="1" si="10"/>
        <v>814250.34468609816</v>
      </c>
      <c r="AG22" s="190">
        <f t="shared" ca="1" si="10"/>
        <v>830535.35157982027</v>
      </c>
      <c r="AH22" s="190">
        <f t="shared" ca="1" si="10"/>
        <v>847146.05861141672</v>
      </c>
      <c r="AI22" s="190">
        <f t="shared" ca="1" si="10"/>
        <v>864088.97978364502</v>
      </c>
      <c r="AJ22" s="190">
        <f t="shared" ca="1" si="10"/>
        <v>881370.75937931787</v>
      </c>
      <c r="AK22" s="190">
        <f t="shared" ca="1" si="10"/>
        <v>898998.17456690432</v>
      </c>
      <c r="AL22" s="190">
        <f t="shared" si="10"/>
        <v>0</v>
      </c>
      <c r="AM22" s="190">
        <f t="shared" si="10"/>
        <v>0</v>
      </c>
      <c r="AN22" s="190">
        <f t="shared" si="10"/>
        <v>0</v>
      </c>
      <c r="AO22" s="190">
        <f t="shared" si="10"/>
        <v>0</v>
      </c>
      <c r="AP22" s="190">
        <f t="shared" si="10"/>
        <v>0</v>
      </c>
      <c r="AQ22" s="190">
        <f t="shared" si="10"/>
        <v>0</v>
      </c>
      <c r="AR22" s="190">
        <f t="shared" si="10"/>
        <v>0</v>
      </c>
      <c r="AS22" s="190">
        <f t="shared" si="10"/>
        <v>0</v>
      </c>
      <c r="AT22" s="190">
        <f t="shared" si="10"/>
        <v>0</v>
      </c>
      <c r="AU22" s="190">
        <f t="shared" si="10"/>
        <v>0</v>
      </c>
    </row>
    <row r="23" spans="2:47">
      <c r="B23" s="38" t="s">
        <v>274</v>
      </c>
      <c r="E23" s="49"/>
      <c r="G23" s="36" t="s">
        <v>16</v>
      </c>
      <c r="H23" s="28"/>
      <c r="I23" s="28"/>
      <c r="J23" s="527"/>
      <c r="K23" s="28"/>
      <c r="L23" s="43" t="str">
        <f t="shared" si="5"/>
        <v>[2013 $]</v>
      </c>
      <c r="M23" s="28"/>
      <c r="N23" s="191">
        <f t="shared" ca="1" si="6"/>
        <v>0</v>
      </c>
      <c r="O23" s="189"/>
      <c r="P23" s="321"/>
      <c r="Q23" s="189"/>
      <c r="R23" s="190">
        <f t="shared" ref="R23:AU23" ca="1" si="11">IF($P23=0,SUMIF($B$96:$B$496,$B23,R$96:R$496),IF(OR(S$99&lt;InServiceYr,S$99&gt;(InServiceYr+analysis_period)),0,$P23*(1+LaborEsc)^(R$16-FirstYr)))</f>
        <v>0</v>
      </c>
      <c r="S23" s="190">
        <f t="shared" ca="1" si="11"/>
        <v>0</v>
      </c>
      <c r="T23" s="190">
        <f t="shared" ca="1" si="11"/>
        <v>0</v>
      </c>
      <c r="U23" s="190">
        <f t="shared" ca="1" si="11"/>
        <v>0</v>
      </c>
      <c r="V23" s="190">
        <f t="shared" ca="1" si="11"/>
        <v>0</v>
      </c>
      <c r="W23" s="190">
        <f t="shared" ca="1" si="11"/>
        <v>0</v>
      </c>
      <c r="X23" s="190">
        <f t="shared" ca="1" si="11"/>
        <v>0</v>
      </c>
      <c r="Y23" s="190">
        <f t="shared" ca="1" si="11"/>
        <v>0</v>
      </c>
      <c r="Z23" s="190">
        <f t="shared" ca="1" si="11"/>
        <v>0</v>
      </c>
      <c r="AA23" s="190">
        <f t="shared" ca="1" si="11"/>
        <v>0</v>
      </c>
      <c r="AB23" s="190">
        <f t="shared" ca="1" si="11"/>
        <v>0</v>
      </c>
      <c r="AC23" s="190">
        <f t="shared" ca="1" si="11"/>
        <v>0</v>
      </c>
      <c r="AD23" s="190">
        <f t="shared" ca="1" si="11"/>
        <v>0</v>
      </c>
      <c r="AE23" s="190">
        <f t="shared" ca="1" si="11"/>
        <v>0</v>
      </c>
      <c r="AF23" s="190">
        <f t="shared" ca="1" si="11"/>
        <v>0</v>
      </c>
      <c r="AG23" s="190">
        <f t="shared" ca="1" si="11"/>
        <v>0</v>
      </c>
      <c r="AH23" s="190">
        <f t="shared" ca="1" si="11"/>
        <v>0</v>
      </c>
      <c r="AI23" s="190">
        <f t="shared" ca="1" si="11"/>
        <v>0</v>
      </c>
      <c r="AJ23" s="190">
        <f t="shared" ca="1" si="11"/>
        <v>0</v>
      </c>
      <c r="AK23" s="190">
        <f t="shared" ca="1" si="11"/>
        <v>0</v>
      </c>
      <c r="AL23" s="190">
        <f t="shared" si="11"/>
        <v>0</v>
      </c>
      <c r="AM23" s="190">
        <f t="shared" si="11"/>
        <v>0</v>
      </c>
      <c r="AN23" s="190">
        <f t="shared" si="11"/>
        <v>0</v>
      </c>
      <c r="AO23" s="190">
        <f t="shared" si="11"/>
        <v>0</v>
      </c>
      <c r="AP23" s="190">
        <f t="shared" si="11"/>
        <v>0</v>
      </c>
      <c r="AQ23" s="190">
        <f t="shared" si="11"/>
        <v>0</v>
      </c>
      <c r="AR23" s="190">
        <f t="shared" si="11"/>
        <v>0</v>
      </c>
      <c r="AS23" s="190">
        <f t="shared" si="11"/>
        <v>0</v>
      </c>
      <c r="AT23" s="190">
        <f t="shared" si="11"/>
        <v>0</v>
      </c>
      <c r="AU23" s="190">
        <f t="shared" si="11"/>
        <v>0</v>
      </c>
    </row>
    <row r="24" spans="2:47">
      <c r="B24" s="38" t="s">
        <v>257</v>
      </c>
      <c r="E24" s="49"/>
      <c r="G24" s="36" t="s">
        <v>284</v>
      </c>
      <c r="H24" s="28"/>
      <c r="I24" s="28"/>
      <c r="J24" s="527"/>
      <c r="K24" s="28"/>
      <c r="L24" s="43" t="str">
        <f t="shared" si="5"/>
        <v>[2013 $]</v>
      </c>
      <c r="M24" s="28"/>
      <c r="N24" s="191">
        <f t="shared" ca="1" si="6"/>
        <v>894038.56354271842</v>
      </c>
      <c r="O24" s="189"/>
      <c r="P24" s="321"/>
      <c r="Q24" s="189"/>
      <c r="R24" s="190">
        <f t="shared" ref="R24:AU24" ca="1" si="12">IF($P24=0,SUMIF($B$96:$B$496,$B24,R$96:R$496),IF(OR(S$99&lt;InServiceYr,S$99&gt;(InServiceYr+analysis_period)),0,$P24*(1+LaborEsc)^(R$16-FirstYr)))</f>
        <v>65107.895744684974</v>
      </c>
      <c r="S24" s="190">
        <f t="shared" ca="1" si="12"/>
        <v>65513.747849413798</v>
      </c>
      <c r="T24" s="190">
        <f t="shared" ca="1" si="12"/>
        <v>68338.041686477067</v>
      </c>
      <c r="U24" s="190">
        <f t="shared" ca="1" si="12"/>
        <v>70388.01193148832</v>
      </c>
      <c r="V24" s="190">
        <f t="shared" ca="1" si="12"/>
        <v>72086.552813415081</v>
      </c>
      <c r="W24" s="190">
        <f t="shared" ca="1" si="12"/>
        <v>73008.776470361496</v>
      </c>
      <c r="X24" s="190">
        <f t="shared" ca="1" si="12"/>
        <v>74196.809830718368</v>
      </c>
      <c r="Y24" s="190">
        <f t="shared" ca="1" si="12"/>
        <v>76024.868107021321</v>
      </c>
      <c r="Z24" s="190">
        <f t="shared" ca="1" si="12"/>
        <v>77844.955288909259</v>
      </c>
      <c r="AA24" s="190">
        <f t="shared" ca="1" si="12"/>
        <v>79791.27037084171</v>
      </c>
      <c r="AB24" s="190">
        <f t="shared" ca="1" si="12"/>
        <v>81519.53356989086</v>
      </c>
      <c r="AC24" s="190">
        <f t="shared" ca="1" si="12"/>
        <v>83089.30295114046</v>
      </c>
      <c r="AD24" s="190">
        <f t="shared" ca="1" si="12"/>
        <v>85008.648991770475</v>
      </c>
      <c r="AE24" s="190">
        <f t="shared" ca="1" si="12"/>
        <v>86946.137092047953</v>
      </c>
      <c r="AF24" s="190">
        <f t="shared" ca="1" si="12"/>
        <v>89013.421007852026</v>
      </c>
      <c r="AG24" s="190">
        <f t="shared" ca="1" si="12"/>
        <v>91329.266264938618</v>
      </c>
      <c r="AH24" s="190">
        <f t="shared" ca="1" si="12"/>
        <v>93567.514516238516</v>
      </c>
      <c r="AI24" s="190">
        <f t="shared" ca="1" si="12"/>
        <v>95994.80385401682</v>
      </c>
      <c r="AJ24" s="190">
        <f t="shared" ca="1" si="12"/>
        <v>98564.442020173708</v>
      </c>
      <c r="AK24" s="190">
        <f t="shared" ca="1" si="12"/>
        <v>101245.71675571881</v>
      </c>
      <c r="AL24" s="190">
        <f t="shared" si="12"/>
        <v>0</v>
      </c>
      <c r="AM24" s="190">
        <f t="shared" si="12"/>
        <v>0</v>
      </c>
      <c r="AN24" s="190">
        <f t="shared" si="12"/>
        <v>0</v>
      </c>
      <c r="AO24" s="190">
        <f t="shared" si="12"/>
        <v>0</v>
      </c>
      <c r="AP24" s="190">
        <f t="shared" si="12"/>
        <v>0</v>
      </c>
      <c r="AQ24" s="190">
        <f t="shared" si="12"/>
        <v>0</v>
      </c>
      <c r="AR24" s="190">
        <f t="shared" si="12"/>
        <v>0</v>
      </c>
      <c r="AS24" s="190">
        <f t="shared" si="12"/>
        <v>0</v>
      </c>
      <c r="AT24" s="190">
        <f t="shared" si="12"/>
        <v>0</v>
      </c>
      <c r="AU24" s="190">
        <f t="shared" si="12"/>
        <v>0</v>
      </c>
    </row>
    <row r="25" spans="2:47">
      <c r="B25" s="38" t="s">
        <v>864</v>
      </c>
      <c r="E25" s="49"/>
      <c r="G25" s="36" t="s">
        <v>865</v>
      </c>
      <c r="H25" s="28"/>
      <c r="I25" s="28"/>
      <c r="J25" s="527"/>
      <c r="K25" s="28"/>
      <c r="L25" s="43" t="str">
        <f t="shared" si="5"/>
        <v>[2013 $]</v>
      </c>
      <c r="M25" s="28"/>
      <c r="N25" s="191">
        <f t="shared" ca="1" si="6"/>
        <v>0</v>
      </c>
      <c r="O25" s="189"/>
      <c r="P25" s="321"/>
      <c r="Q25" s="189"/>
      <c r="R25" s="190">
        <f t="shared" ref="R25:AU25" ca="1" si="13">IF($P25=0,SUMIF($B$96:$B$496,$B25,R$96:R$496),IF(OR(S$99&lt;InServiceYr,S$99&gt;(InServiceYr+analysis_period)),0,$P25*(1+LaborEsc)^(R$16-FirstYr)))</f>
        <v>0</v>
      </c>
      <c r="S25" s="190">
        <f t="shared" ca="1" si="13"/>
        <v>0</v>
      </c>
      <c r="T25" s="190">
        <f t="shared" ca="1" si="13"/>
        <v>0</v>
      </c>
      <c r="U25" s="190">
        <f t="shared" ca="1" si="13"/>
        <v>0</v>
      </c>
      <c r="V25" s="190">
        <f t="shared" ca="1" si="13"/>
        <v>0</v>
      </c>
      <c r="W25" s="190">
        <f t="shared" ca="1" si="13"/>
        <v>0</v>
      </c>
      <c r="X25" s="190">
        <f t="shared" ca="1" si="13"/>
        <v>0</v>
      </c>
      <c r="Y25" s="190">
        <f t="shared" ca="1" si="13"/>
        <v>0</v>
      </c>
      <c r="Z25" s="190">
        <f t="shared" ca="1" si="13"/>
        <v>0</v>
      </c>
      <c r="AA25" s="190">
        <f t="shared" ca="1" si="13"/>
        <v>0</v>
      </c>
      <c r="AB25" s="190">
        <f t="shared" ca="1" si="13"/>
        <v>0</v>
      </c>
      <c r="AC25" s="190">
        <f t="shared" ca="1" si="13"/>
        <v>0</v>
      </c>
      <c r="AD25" s="190">
        <f t="shared" ca="1" si="13"/>
        <v>0</v>
      </c>
      <c r="AE25" s="190">
        <f t="shared" ca="1" si="13"/>
        <v>0</v>
      </c>
      <c r="AF25" s="190">
        <f t="shared" ca="1" si="13"/>
        <v>0</v>
      </c>
      <c r="AG25" s="190">
        <f t="shared" ca="1" si="13"/>
        <v>0</v>
      </c>
      <c r="AH25" s="190">
        <f t="shared" ca="1" si="13"/>
        <v>0</v>
      </c>
      <c r="AI25" s="190">
        <f t="shared" ca="1" si="13"/>
        <v>0</v>
      </c>
      <c r="AJ25" s="190">
        <f t="shared" ca="1" si="13"/>
        <v>0</v>
      </c>
      <c r="AK25" s="190">
        <f t="shared" ca="1" si="13"/>
        <v>0</v>
      </c>
      <c r="AL25" s="190">
        <f t="shared" si="13"/>
        <v>0</v>
      </c>
      <c r="AM25" s="190">
        <f t="shared" si="13"/>
        <v>0</v>
      </c>
      <c r="AN25" s="190">
        <f t="shared" si="13"/>
        <v>0</v>
      </c>
      <c r="AO25" s="190">
        <f t="shared" si="13"/>
        <v>0</v>
      </c>
      <c r="AP25" s="190">
        <f t="shared" si="13"/>
        <v>0</v>
      </c>
      <c r="AQ25" s="190">
        <f t="shared" si="13"/>
        <v>0</v>
      </c>
      <c r="AR25" s="190">
        <f t="shared" si="13"/>
        <v>0</v>
      </c>
      <c r="AS25" s="190">
        <f t="shared" si="13"/>
        <v>0</v>
      </c>
      <c r="AT25" s="190">
        <f t="shared" si="13"/>
        <v>0</v>
      </c>
      <c r="AU25" s="190">
        <f t="shared" si="13"/>
        <v>0</v>
      </c>
    </row>
    <row r="26" spans="2:47">
      <c r="B26" s="38" t="s">
        <v>273</v>
      </c>
      <c r="E26" s="49"/>
      <c r="G26" s="36" t="s">
        <v>291</v>
      </c>
      <c r="H26" s="28"/>
      <c r="I26" s="28"/>
      <c r="J26" s="527"/>
      <c r="K26" s="28"/>
      <c r="L26" s="43" t="str">
        <f t="shared" si="5"/>
        <v>[2013 $]</v>
      </c>
      <c r="M26" s="28"/>
      <c r="N26" s="191">
        <f t="shared" ca="1" si="6"/>
        <v>0</v>
      </c>
      <c r="O26" s="189"/>
      <c r="P26" s="321"/>
      <c r="Q26" s="189"/>
      <c r="R26" s="190">
        <f t="shared" ref="R26:AU26" ca="1" si="14">IF($P26=0,SUMIF($B$96:$B$496,$B26,R$96:R$496),IF(OR(S$99&lt;InServiceYr,S$99&gt;(InServiceYr+analysis_period)),0,$P26*(1+LaborEsc)^(R$16-FirstYr)))</f>
        <v>0</v>
      </c>
      <c r="S26" s="190">
        <f t="shared" ca="1" si="14"/>
        <v>0</v>
      </c>
      <c r="T26" s="190">
        <f t="shared" ca="1" si="14"/>
        <v>0</v>
      </c>
      <c r="U26" s="190">
        <f t="shared" ca="1" si="14"/>
        <v>0</v>
      </c>
      <c r="V26" s="190">
        <f t="shared" ca="1" si="14"/>
        <v>0</v>
      </c>
      <c r="W26" s="190">
        <f t="shared" ca="1" si="14"/>
        <v>0</v>
      </c>
      <c r="X26" s="190">
        <f t="shared" ca="1" si="14"/>
        <v>0</v>
      </c>
      <c r="Y26" s="190">
        <f t="shared" ca="1" si="14"/>
        <v>0</v>
      </c>
      <c r="Z26" s="190">
        <f t="shared" ca="1" si="14"/>
        <v>0</v>
      </c>
      <c r="AA26" s="190">
        <f t="shared" ca="1" si="14"/>
        <v>0</v>
      </c>
      <c r="AB26" s="190">
        <f t="shared" ca="1" si="14"/>
        <v>0</v>
      </c>
      <c r="AC26" s="190">
        <f t="shared" ca="1" si="14"/>
        <v>0</v>
      </c>
      <c r="AD26" s="190">
        <f t="shared" ca="1" si="14"/>
        <v>0</v>
      </c>
      <c r="AE26" s="190">
        <f t="shared" ca="1" si="14"/>
        <v>0</v>
      </c>
      <c r="AF26" s="190">
        <f t="shared" ca="1" si="14"/>
        <v>0</v>
      </c>
      <c r="AG26" s="190">
        <f t="shared" ca="1" si="14"/>
        <v>0</v>
      </c>
      <c r="AH26" s="190">
        <f t="shared" ca="1" si="14"/>
        <v>0</v>
      </c>
      <c r="AI26" s="190">
        <f t="shared" ca="1" si="14"/>
        <v>0</v>
      </c>
      <c r="AJ26" s="190">
        <f t="shared" ca="1" si="14"/>
        <v>0</v>
      </c>
      <c r="AK26" s="190">
        <f t="shared" ca="1" si="14"/>
        <v>0</v>
      </c>
      <c r="AL26" s="190">
        <f t="shared" si="14"/>
        <v>0</v>
      </c>
      <c r="AM26" s="190">
        <f t="shared" si="14"/>
        <v>0</v>
      </c>
      <c r="AN26" s="190">
        <f t="shared" si="14"/>
        <v>0</v>
      </c>
      <c r="AO26" s="190">
        <f t="shared" si="14"/>
        <v>0</v>
      </c>
      <c r="AP26" s="190">
        <f t="shared" si="14"/>
        <v>0</v>
      </c>
      <c r="AQ26" s="190">
        <f t="shared" si="14"/>
        <v>0</v>
      </c>
      <c r="AR26" s="190">
        <f t="shared" si="14"/>
        <v>0</v>
      </c>
      <c r="AS26" s="190">
        <f t="shared" si="14"/>
        <v>0</v>
      </c>
      <c r="AT26" s="190">
        <f t="shared" si="14"/>
        <v>0</v>
      </c>
      <c r="AU26" s="190">
        <f t="shared" si="14"/>
        <v>0</v>
      </c>
    </row>
    <row r="27" spans="2:47">
      <c r="E27" s="49"/>
      <c r="G27" s="36" t="s">
        <v>497</v>
      </c>
      <c r="H27" s="28"/>
      <c r="I27" s="28"/>
      <c r="J27" s="527"/>
      <c r="K27" s="28"/>
      <c r="L27" s="43" t="str">
        <f t="shared" si="5"/>
        <v>[2013 $]</v>
      </c>
      <c r="M27" s="28"/>
      <c r="N27" s="191">
        <f t="shared" si="6"/>
        <v>0</v>
      </c>
      <c r="O27" s="189"/>
      <c r="P27" s="319"/>
      <c r="Q27" s="189"/>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row>
    <row r="28" spans="2:47">
      <c r="E28" s="49"/>
      <c r="G28" s="36" t="s">
        <v>498</v>
      </c>
      <c r="H28" s="28"/>
      <c r="I28" s="28"/>
      <c r="J28" s="527"/>
      <c r="K28" s="28"/>
      <c r="L28" s="43" t="str">
        <f t="shared" si="5"/>
        <v>[2013 $]</v>
      </c>
      <c r="M28" s="28"/>
      <c r="N28" s="191">
        <f t="shared" si="6"/>
        <v>0</v>
      </c>
      <c r="O28" s="189"/>
      <c r="P28" s="319"/>
      <c r="Q28" s="189"/>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row>
    <row r="29" spans="2:47">
      <c r="E29" s="49"/>
      <c r="G29" s="36" t="s">
        <v>499</v>
      </c>
      <c r="H29" s="28"/>
      <c r="I29" s="28"/>
      <c r="J29" s="527"/>
      <c r="K29" s="28"/>
      <c r="L29" s="43" t="str">
        <f t="shared" si="5"/>
        <v>[2013 $]</v>
      </c>
      <c r="M29" s="28"/>
      <c r="N29" s="191">
        <f t="shared" si="6"/>
        <v>0</v>
      </c>
      <c r="O29" s="189"/>
      <c r="P29" s="319"/>
      <c r="Q29" s="189"/>
      <c r="R29" s="321"/>
      <c r="S29" s="321"/>
      <c r="T29" s="321"/>
      <c r="U29" s="321"/>
      <c r="V29" s="321"/>
      <c r="W29" s="32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c r="AT29" s="321"/>
      <c r="AU29" s="321"/>
    </row>
    <row r="30" spans="2:47">
      <c r="E30" s="49"/>
      <c r="G30" s="39" t="s">
        <v>304</v>
      </c>
      <c r="H30" s="28"/>
      <c r="I30" s="28"/>
      <c r="J30" s="28"/>
      <c r="K30" s="28"/>
      <c r="L30" s="968"/>
      <c r="M30" s="28"/>
      <c r="N30" s="60"/>
      <c r="O30" s="312"/>
      <c r="Q30" s="312"/>
    </row>
    <row r="31" spans="2:47">
      <c r="B31" s="38" t="s">
        <v>265</v>
      </c>
      <c r="E31" s="49"/>
      <c r="G31" s="36" t="s">
        <v>108</v>
      </c>
      <c r="H31" s="28"/>
      <c r="I31" s="28"/>
      <c r="J31" s="28"/>
      <c r="K31" s="28"/>
      <c r="L31" s="43" t="str">
        <f>"["&amp;FirstYr-1&amp;" $]"</f>
        <v>[2013 $]</v>
      </c>
      <c r="M31" s="28"/>
      <c r="N31" s="191">
        <f t="shared" ref="N31:N36" ca="1" si="15">NPV(DiscountRt,R31:AU31)</f>
        <v>2220486.1967510907</v>
      </c>
      <c r="O31" s="189"/>
      <c r="P31" s="321"/>
      <c r="Q31" s="189"/>
      <c r="R31" s="190">
        <f t="shared" ref="R31:AU31" ca="1" si="16">IF($P31=0,SUMIF($B$96:$B$496,$B31,R$96:R$496),IF(OR(S$99&lt;InServiceYr,S$99&gt;(InServiceYr+analysis_period)),0,$P31*(1+LaborEsc)^(R$16-FirstYr)))</f>
        <v>161705.75822557823</v>
      </c>
      <c r="S31" s="190">
        <f t="shared" ca="1" si="16"/>
        <v>162713.75612770638</v>
      </c>
      <c r="T31" s="190">
        <f t="shared" ca="1" si="16"/>
        <v>169728.33663519312</v>
      </c>
      <c r="U31" s="190">
        <f t="shared" ca="1" si="16"/>
        <v>174819.7620148327</v>
      </c>
      <c r="V31" s="190">
        <f t="shared" ca="1" si="16"/>
        <v>179038.35698012201</v>
      </c>
      <c r="W31" s="190">
        <f t="shared" ca="1" si="16"/>
        <v>181328.84531482233</v>
      </c>
      <c r="X31" s="190">
        <f t="shared" ca="1" si="16"/>
        <v>184279.51409525934</v>
      </c>
      <c r="Y31" s="190">
        <f t="shared" ca="1" si="16"/>
        <v>188819.78599729275</v>
      </c>
      <c r="Z31" s="190">
        <f t="shared" ca="1" si="16"/>
        <v>193340.26042543261</v>
      </c>
      <c r="AA31" s="190">
        <f t="shared" ca="1" si="16"/>
        <v>198174.24181079262</v>
      </c>
      <c r="AB31" s="190">
        <f t="shared" ca="1" si="16"/>
        <v>202466.65685230342</v>
      </c>
      <c r="AC31" s="190">
        <f t="shared" ca="1" si="16"/>
        <v>206365.42742584</v>
      </c>
      <c r="AD31" s="190">
        <f t="shared" ca="1" si="16"/>
        <v>211132.4269310064</v>
      </c>
      <c r="AE31" s="190">
        <f t="shared" ca="1" si="16"/>
        <v>215944.48511112324</v>
      </c>
      <c r="AF31" s="190">
        <f t="shared" ca="1" si="16"/>
        <v>221078.9117309534</v>
      </c>
      <c r="AG31" s="190">
        <f t="shared" ca="1" si="16"/>
        <v>226830.67976072984</v>
      </c>
      <c r="AH31" s="190">
        <f t="shared" ca="1" si="16"/>
        <v>232389.72335189168</v>
      </c>
      <c r="AI31" s="190">
        <f t="shared" ca="1" si="16"/>
        <v>238418.28038493556</v>
      </c>
      <c r="AJ31" s="190">
        <f t="shared" ca="1" si="16"/>
        <v>244800.38325081873</v>
      </c>
      <c r="AK31" s="190">
        <f t="shared" ca="1" si="16"/>
        <v>251459.75319609611</v>
      </c>
      <c r="AL31" s="190">
        <f t="shared" si="16"/>
        <v>0</v>
      </c>
      <c r="AM31" s="190">
        <f t="shared" si="16"/>
        <v>0</v>
      </c>
      <c r="AN31" s="190">
        <f t="shared" si="16"/>
        <v>0</v>
      </c>
      <c r="AO31" s="190">
        <f t="shared" si="16"/>
        <v>0</v>
      </c>
      <c r="AP31" s="190">
        <f t="shared" si="16"/>
        <v>0</v>
      </c>
      <c r="AQ31" s="190">
        <f t="shared" si="16"/>
        <v>0</v>
      </c>
      <c r="AR31" s="190">
        <f t="shared" si="16"/>
        <v>0</v>
      </c>
      <c r="AS31" s="190">
        <f t="shared" si="16"/>
        <v>0</v>
      </c>
      <c r="AT31" s="190">
        <f t="shared" si="16"/>
        <v>0</v>
      </c>
      <c r="AU31" s="190">
        <f t="shared" si="16"/>
        <v>0</v>
      </c>
    </row>
    <row r="32" spans="2:47">
      <c r="B32" s="38" t="s">
        <v>289</v>
      </c>
      <c r="E32" s="49"/>
      <c r="G32" s="36" t="s">
        <v>292</v>
      </c>
      <c r="H32" s="28"/>
      <c r="I32" s="28"/>
      <c r="J32" s="28"/>
      <c r="K32" s="28"/>
      <c r="L32" s="43" t="str">
        <f>"["&amp;FirstYr-1&amp;" $]"</f>
        <v>[2013 $]</v>
      </c>
      <c r="M32" s="28"/>
      <c r="N32" s="191">
        <f t="shared" ca="1" si="15"/>
        <v>205278.02609642924</v>
      </c>
      <c r="O32" s="189"/>
      <c r="P32" s="321"/>
      <c r="Q32" s="189"/>
      <c r="R32" s="190">
        <f t="shared" ref="R32:AU32" ca="1" si="17">IF($P32=0,SUMIF($B$96:$B$496,$B32,R$96:R$496),IF(OR(S$99&lt;InServiceYr,S$99&gt;(InServiceYr+analysis_period)),0,$P32*(1+LaborEsc)^(R$16-FirstYr)))</f>
        <v>15300</v>
      </c>
      <c r="S32" s="190">
        <f t="shared" ca="1" si="17"/>
        <v>15606</v>
      </c>
      <c r="T32" s="190">
        <f t="shared" ca="1" si="17"/>
        <v>15918.119999999999</v>
      </c>
      <c r="U32" s="190">
        <f t="shared" ca="1" si="17"/>
        <v>16236.482399999999</v>
      </c>
      <c r="V32" s="190">
        <f t="shared" ca="1" si="17"/>
        <v>16561.212048000001</v>
      </c>
      <c r="W32" s="190">
        <f t="shared" ca="1" si="17"/>
        <v>16892.436288960002</v>
      </c>
      <c r="X32" s="190">
        <f t="shared" ca="1" si="17"/>
        <v>17230.285014739198</v>
      </c>
      <c r="Y32" s="190">
        <f t="shared" ca="1" si="17"/>
        <v>17574.890715033984</v>
      </c>
      <c r="Z32" s="190">
        <f t="shared" ca="1" si="17"/>
        <v>17926.388529334661</v>
      </c>
      <c r="AA32" s="190">
        <f t="shared" ca="1" si="17"/>
        <v>18284.916299921355</v>
      </c>
      <c r="AB32" s="190">
        <f t="shared" ca="1" si="17"/>
        <v>18650.614625919781</v>
      </c>
      <c r="AC32" s="190">
        <f t="shared" ca="1" si="17"/>
        <v>19023.626918438178</v>
      </c>
      <c r="AD32" s="190">
        <f t="shared" ca="1" si="17"/>
        <v>19404.09945680694</v>
      </c>
      <c r="AE32" s="190">
        <f t="shared" ca="1" si="17"/>
        <v>19792.181445943083</v>
      </c>
      <c r="AF32" s="190">
        <f t="shared" ca="1" si="17"/>
        <v>20188.02507486194</v>
      </c>
      <c r="AG32" s="190">
        <f t="shared" ca="1" si="17"/>
        <v>20591.78557635918</v>
      </c>
      <c r="AH32" s="190">
        <f t="shared" ca="1" si="17"/>
        <v>21003.621287886366</v>
      </c>
      <c r="AI32" s="190">
        <f t="shared" ca="1" si="17"/>
        <v>21423.69371364409</v>
      </c>
      <c r="AJ32" s="190">
        <f t="shared" ca="1" si="17"/>
        <v>21852.167587916971</v>
      </c>
      <c r="AK32" s="190">
        <f t="shared" ca="1" si="17"/>
        <v>22289.210939675315</v>
      </c>
      <c r="AL32" s="190">
        <f t="shared" si="17"/>
        <v>0</v>
      </c>
      <c r="AM32" s="190">
        <f t="shared" si="17"/>
        <v>0</v>
      </c>
      <c r="AN32" s="190">
        <f t="shared" si="17"/>
        <v>0</v>
      </c>
      <c r="AO32" s="190">
        <f t="shared" si="17"/>
        <v>0</v>
      </c>
      <c r="AP32" s="190">
        <f t="shared" si="17"/>
        <v>0</v>
      </c>
      <c r="AQ32" s="190">
        <f t="shared" si="17"/>
        <v>0</v>
      </c>
      <c r="AR32" s="190">
        <f t="shared" si="17"/>
        <v>0</v>
      </c>
      <c r="AS32" s="190">
        <f t="shared" si="17"/>
        <v>0</v>
      </c>
      <c r="AT32" s="190">
        <f t="shared" si="17"/>
        <v>0</v>
      </c>
      <c r="AU32" s="190">
        <f t="shared" si="17"/>
        <v>0</v>
      </c>
    </row>
    <row r="33" spans="1:47">
      <c r="E33" s="49"/>
      <c r="G33" s="36" t="s">
        <v>500</v>
      </c>
      <c r="H33" s="28"/>
      <c r="I33" s="28"/>
      <c r="J33" s="28"/>
      <c r="K33" s="28"/>
      <c r="L33" s="43" t="str">
        <f>"["&amp;FirstYr-1&amp;" $]"</f>
        <v>[2013 $]</v>
      </c>
      <c r="M33" s="28"/>
      <c r="N33" s="191">
        <f t="shared" si="15"/>
        <v>0</v>
      </c>
      <c r="O33" s="189"/>
      <c r="P33" s="319"/>
      <c r="Q33" s="189"/>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row>
    <row r="34" spans="1:47">
      <c r="E34" s="49"/>
      <c r="G34" s="36" t="s">
        <v>501</v>
      </c>
      <c r="H34" s="28"/>
      <c r="I34" s="28"/>
      <c r="J34" s="28"/>
      <c r="K34" s="28"/>
      <c r="L34" s="43" t="str">
        <f>"["&amp;FirstYr-1&amp;" $]"</f>
        <v>[2013 $]</v>
      </c>
      <c r="M34" s="28"/>
      <c r="N34" s="191">
        <f t="shared" si="15"/>
        <v>0</v>
      </c>
      <c r="O34" s="189"/>
      <c r="P34" s="319"/>
      <c r="Q34" s="189"/>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row>
    <row r="35" spans="1:47">
      <c r="E35" s="49"/>
      <c r="G35" s="36" t="s">
        <v>502</v>
      </c>
      <c r="H35" s="28"/>
      <c r="I35" s="28"/>
      <c r="J35" s="28"/>
      <c r="K35" s="28"/>
      <c r="L35" s="43" t="str">
        <f>"["&amp;FirstYr-1&amp;" $]"</f>
        <v>[2013 $]</v>
      </c>
      <c r="M35" s="28"/>
      <c r="N35" s="191">
        <f t="shared" si="15"/>
        <v>0</v>
      </c>
      <c r="O35" s="189"/>
      <c r="P35" s="319"/>
      <c r="Q35" s="189"/>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row>
    <row r="36" spans="1:47">
      <c r="E36" s="49"/>
      <c r="G36" s="39" t="s">
        <v>305</v>
      </c>
      <c r="H36" s="42"/>
      <c r="I36" s="42"/>
      <c r="J36" s="42"/>
      <c r="K36" s="42"/>
      <c r="L36" s="43"/>
      <c r="M36" s="43"/>
      <c r="N36" s="189">
        <f t="shared" ca="1" si="15"/>
        <v>24389586.02100005</v>
      </c>
      <c r="O36" s="189"/>
      <c r="P36" s="189"/>
      <c r="Q36" s="189"/>
      <c r="R36" s="189">
        <f t="shared" ref="R36:AU36" ca="1" si="18">SUM(R19:R29)-SUM(R31:R35)</f>
        <v>1820096.8875191067</v>
      </c>
      <c r="S36" s="189">
        <f t="shared" ca="1" si="18"/>
        <v>1857828.6367217074</v>
      </c>
      <c r="T36" s="189">
        <f t="shared" ca="1" si="18"/>
        <v>1892738.9229512836</v>
      </c>
      <c r="U36" s="189">
        <f t="shared" ca="1" si="18"/>
        <v>1929580.0521746555</v>
      </c>
      <c r="V36" s="189">
        <f t="shared" ca="1" si="18"/>
        <v>1967740.2341364529</v>
      </c>
      <c r="W36" s="189">
        <f t="shared" ca="1" si="18"/>
        <v>2007865.8102247622</v>
      </c>
      <c r="X36" s="189">
        <f t="shared" ca="1" si="18"/>
        <v>2048426.8923860658</v>
      </c>
      <c r="Y36" s="189">
        <f t="shared" ca="1" si="18"/>
        <v>2088884.8706933479</v>
      </c>
      <c r="Z36" s="189">
        <f t="shared" ca="1" si="18"/>
        <v>2130218.079218769</v>
      </c>
      <c r="AA36" s="189">
        <f t="shared" ca="1" si="18"/>
        <v>2172244.6806024467</v>
      </c>
      <c r="AB36" s="189">
        <f t="shared" ca="1" si="18"/>
        <v>2215493.0818008333</v>
      </c>
      <c r="AC36" s="189">
        <f t="shared" ca="1" si="18"/>
        <v>2259892.8847102108</v>
      </c>
      <c r="AD36" s="189">
        <f t="shared" ca="1" si="18"/>
        <v>2304708.6114293728</v>
      </c>
      <c r="AE36" s="189">
        <f t="shared" ca="1" si="18"/>
        <v>2350450.6891369061</v>
      </c>
      <c r="AF36" s="189">
        <f t="shared" ca="1" si="18"/>
        <v>2396972.5271759992</v>
      </c>
      <c r="AG36" s="189">
        <f t="shared" ca="1" si="18"/>
        <v>2444117.3647612911</v>
      </c>
      <c r="AH36" s="189">
        <f t="shared" ca="1" si="18"/>
        <v>2492388.9449865716</v>
      </c>
      <c r="AI36" s="189">
        <f t="shared" ca="1" si="18"/>
        <v>2541411.9003677503</v>
      </c>
      <c r="AJ36" s="189">
        <f t="shared" ca="1" si="18"/>
        <v>2591276.1432059966</v>
      </c>
      <c r="AK36" s="189">
        <f t="shared" ca="1" si="18"/>
        <v>2642048.2896849979</v>
      </c>
      <c r="AL36" s="189">
        <f t="shared" si="18"/>
        <v>0</v>
      </c>
      <c r="AM36" s="189">
        <f t="shared" si="18"/>
        <v>0</v>
      </c>
      <c r="AN36" s="189">
        <f t="shared" si="18"/>
        <v>0</v>
      </c>
      <c r="AO36" s="189">
        <f t="shared" si="18"/>
        <v>0</v>
      </c>
      <c r="AP36" s="189">
        <f t="shared" si="18"/>
        <v>0</v>
      </c>
      <c r="AQ36" s="189">
        <f t="shared" si="18"/>
        <v>0</v>
      </c>
      <c r="AR36" s="189">
        <f t="shared" si="18"/>
        <v>0</v>
      </c>
      <c r="AS36" s="189">
        <f t="shared" si="18"/>
        <v>0</v>
      </c>
      <c r="AT36" s="189">
        <f t="shared" si="18"/>
        <v>0</v>
      </c>
      <c r="AU36" s="189">
        <f t="shared" si="18"/>
        <v>0</v>
      </c>
    </row>
    <row r="37" spans="1:47" s="28" customFormat="1">
      <c r="E37" s="254"/>
      <c r="L37" s="406"/>
      <c r="O37" s="197"/>
      <c r="Q37" s="197"/>
    </row>
    <row r="38" spans="1:47" s="39" customFormat="1">
      <c r="E38" s="254"/>
      <c r="G38" s="194" t="s">
        <v>488</v>
      </c>
      <c r="L38" s="174"/>
      <c r="N38" s="192">
        <f ca="1">SUM(N36,N14)</f>
        <v>57068765.266283065</v>
      </c>
      <c r="O38" s="189"/>
      <c r="P38" s="320"/>
      <c r="Q38" s="189"/>
      <c r="R38" s="192">
        <f t="shared" ref="R38:AU38" ca="1" si="19">SUM(R36,R14)</f>
        <v>36460026.887519106</v>
      </c>
      <c r="S38" s="192">
        <f t="shared" ca="1" si="19"/>
        <v>1857828.6367217074</v>
      </c>
      <c r="T38" s="192">
        <f t="shared" ca="1" si="19"/>
        <v>1892738.9229512836</v>
      </c>
      <c r="U38" s="192">
        <f t="shared" ca="1" si="19"/>
        <v>1929580.0521746555</v>
      </c>
      <c r="V38" s="192">
        <f t="shared" ca="1" si="19"/>
        <v>1967740.2341364529</v>
      </c>
      <c r="W38" s="192">
        <f t="shared" ca="1" si="19"/>
        <v>2007865.8102247622</v>
      </c>
      <c r="X38" s="192">
        <f t="shared" ca="1" si="19"/>
        <v>2048426.8923860658</v>
      </c>
      <c r="Y38" s="192">
        <f t="shared" ca="1" si="19"/>
        <v>2088884.8706933479</v>
      </c>
      <c r="Z38" s="192">
        <f t="shared" ca="1" si="19"/>
        <v>2130218.079218769</v>
      </c>
      <c r="AA38" s="192">
        <f t="shared" ca="1" si="19"/>
        <v>2172244.6806024467</v>
      </c>
      <c r="AB38" s="192">
        <f t="shared" ca="1" si="19"/>
        <v>2215493.0818008333</v>
      </c>
      <c r="AC38" s="192">
        <f t="shared" ca="1" si="19"/>
        <v>2259892.8847102108</v>
      </c>
      <c r="AD38" s="192">
        <f t="shared" ca="1" si="19"/>
        <v>2304708.6114293728</v>
      </c>
      <c r="AE38" s="192">
        <f t="shared" ca="1" si="19"/>
        <v>2350450.6891369061</v>
      </c>
      <c r="AF38" s="192">
        <f t="shared" ca="1" si="19"/>
        <v>2396972.5271759992</v>
      </c>
      <c r="AG38" s="192">
        <f t="shared" ca="1" si="19"/>
        <v>2444117.3647612911</v>
      </c>
      <c r="AH38" s="192">
        <f t="shared" ca="1" si="19"/>
        <v>2492388.9449865716</v>
      </c>
      <c r="AI38" s="192">
        <f t="shared" ca="1" si="19"/>
        <v>2541411.9003677503</v>
      </c>
      <c r="AJ38" s="192">
        <f t="shared" ca="1" si="19"/>
        <v>2591276.1432059966</v>
      </c>
      <c r="AK38" s="192">
        <f t="shared" ca="1" si="19"/>
        <v>2642048.2896849979</v>
      </c>
      <c r="AL38" s="192">
        <f t="shared" ca="1" si="19"/>
        <v>0</v>
      </c>
      <c r="AM38" s="192">
        <f t="shared" ca="1" si="19"/>
        <v>0</v>
      </c>
      <c r="AN38" s="192">
        <f t="shared" ca="1" si="19"/>
        <v>0</v>
      </c>
      <c r="AO38" s="192">
        <f t="shared" ca="1" si="19"/>
        <v>0</v>
      </c>
      <c r="AP38" s="192">
        <f t="shared" ca="1" si="19"/>
        <v>0</v>
      </c>
      <c r="AQ38" s="192">
        <f t="shared" ca="1" si="19"/>
        <v>0</v>
      </c>
      <c r="AR38" s="192">
        <f t="shared" ca="1" si="19"/>
        <v>0</v>
      </c>
      <c r="AS38" s="192">
        <f t="shared" ca="1" si="19"/>
        <v>0</v>
      </c>
      <c r="AT38" s="192">
        <f t="shared" ca="1" si="19"/>
        <v>0</v>
      </c>
      <c r="AU38" s="192">
        <f t="shared" ca="1" si="19"/>
        <v>0</v>
      </c>
    </row>
    <row r="39" spans="1:47">
      <c r="G39" s="194" t="s">
        <v>537</v>
      </c>
      <c r="Q39" s="42">
        <v>0</v>
      </c>
      <c r="R39" s="198">
        <f ca="1">IF(OR(R$99&lt;InServiceYr,R$99&gt;(InServiceYr+analysis_period-1)),0,NPV(DiscountRt,$R38:R38))</f>
        <v>34396251.780678399</v>
      </c>
      <c r="S39" s="198">
        <f ca="1">IF(OR(S$99&lt;InServiceYr,S$99&gt;(InServiceYr+analysis_period-1)),0,NPV(DiscountRt,$R38:S38))</f>
        <v>36049712.653517231</v>
      </c>
      <c r="T39" s="198">
        <f ca="1">IF(OR(T$99&lt;InServiceYr,T$99&gt;(InServiceYr+analysis_period-1)),0,NPV(DiscountRt,$R38:T38))</f>
        <v>37638892.750972912</v>
      </c>
      <c r="U39" s="198">
        <f ca="1">IF(OR(U$99&lt;InServiceYr,U$99&gt;(InServiceYr+analysis_period-1)),0,NPV(DiscountRt,$R38:U38))</f>
        <v>39167300.883010946</v>
      </c>
      <c r="V39" s="198">
        <f ca="1">IF(OR(V$99&lt;InServiceYr,V$99&gt;(InServiceYr+analysis_period-1)),0,NPV(DiscountRt,$R38:V38))</f>
        <v>40637710.855046786</v>
      </c>
      <c r="W39" s="198">
        <f ca="1">IF(OR(W$99&lt;InServiceYr,W$99&gt;(InServiceYr+analysis_period-1)),0,NPV(DiscountRt,$R38:W38))</f>
        <v>42053177.021753184</v>
      </c>
      <c r="X39" s="198">
        <f ca="1">IF(OR(X$99&lt;InServiceYr,X$99&gt;(InServiceYr+analysis_period-1)),0,NPV(DiscountRt,$R38:X38))</f>
        <v>43415497.898269832</v>
      </c>
      <c r="Y39" s="198">
        <f ca="1">IF(OR(Y$99&lt;InServiceYr,Y$99&gt;(InServiceYr+analysis_period-1)),0,NPV(DiscountRt,$R38:Y38))</f>
        <v>44726090.108451612</v>
      </c>
      <c r="Z39" s="198">
        <f ca="1">IF(OR(Z$99&lt;InServiceYr,Z$99&gt;(InServiceYr+analysis_period-1)),0,NPV(DiscountRt,$R38:Z38))</f>
        <v>45986962.916525081</v>
      </c>
      <c r="AA39" s="198">
        <f ca="1">IF(OR(AA$99&lt;InServiceYr,AA$99&gt;(InServiceYr+analysis_period-1)),0,NPV(DiscountRt,$R38:AA38))</f>
        <v>47199933.000355132</v>
      </c>
      <c r="AB39" s="198">
        <f ca="1">IF(OR(AB$99&lt;InServiceYr,AB$99&gt;(InServiceYr+analysis_period-1)),0,NPV(DiscountRt,$R38:AB38))</f>
        <v>48367027.11843925</v>
      </c>
      <c r="AC39" s="198">
        <f ca="1">IF(OR(AC$99&lt;InServiceYr,AC$99&gt;(InServiceYr+analysis_period-1)),0,NPV(DiscountRt,$R38:AC38))</f>
        <v>49490124.647105873</v>
      </c>
      <c r="AD39" s="198">
        <f ca="1">IF(OR(AD$99&lt;InServiceYr,AD$99&gt;(InServiceYr+analysis_period-1)),0,NPV(DiscountRt,$R38:AD38))</f>
        <v>50570661.979042187</v>
      </c>
      <c r="AE39" s="198">
        <f ca="1">IF(OR(AE$99&lt;InServiceYr,AE$99&gt;(InServiceYr+analysis_period-1)),0,NPV(DiscountRt,$R38:AE38))</f>
        <v>51610268.585574307</v>
      </c>
      <c r="AF39" s="198">
        <f ca="1">IF(OR(AF$99&lt;InServiceYr,AF$99&gt;(InServiceYr+analysis_period-1)),0,NPV(DiscountRt,$R38:AF38))</f>
        <v>52610441.47270783</v>
      </c>
      <c r="AG39" s="198">
        <f ca="1">IF(OR(AG$99&lt;InServiceYr,AG$99&gt;(InServiceYr+analysis_period-1)),0,NPV(DiscountRt,$R38:AG38))</f>
        <v>53572559.190303974</v>
      </c>
      <c r="AH39" s="198">
        <f ca="1">IF(OR(AH$99&lt;InServiceYr,AH$99&gt;(InServiceYr+analysis_period-1)),0,NPV(DiscountRt,$R38:AH38))</f>
        <v>54498143.761776395</v>
      </c>
      <c r="AI39" s="198">
        <f ca="1">IF(OR(AI$99&lt;InServiceYr,AI$99&gt;(InServiceYr+analysis_period-1)),0,NPV(DiscountRt,$R38:AI38))</f>
        <v>55388511.641772106</v>
      </c>
      <c r="AJ39" s="198">
        <f ca="1">IF(OR(AJ$99&lt;InServiceYr,AJ$99&gt;(InServiceYr+analysis_period-1)),0,NPV(DiscountRt,$R38:AJ38))</f>
        <v>56244962.120898001</v>
      </c>
      <c r="AK39" s="198">
        <f ca="1">IF(OR(AK$99&lt;InServiceYr,AK$99&gt;(InServiceYr+analysis_period-1)),0,NPV(DiscountRt,$R38:AK38))</f>
        <v>57068765.26628308</v>
      </c>
      <c r="AL39" s="198">
        <f>IF(OR(AL$99&lt;InServiceYr,AL$99&gt;(InServiceYr+analysis_period-1)),0,NPV(DiscountRt,$R38:AL38))</f>
        <v>0</v>
      </c>
      <c r="AM39" s="198">
        <f>IF(OR(AM$99&lt;InServiceYr,AM$99&gt;(InServiceYr+analysis_period-1)),0,NPV(DiscountRt,$R38:AM38))</f>
        <v>0</v>
      </c>
      <c r="AN39" s="198">
        <f>IF(OR(AN$99&lt;InServiceYr,AN$99&gt;(InServiceYr+analysis_period-1)),0,NPV(DiscountRt,$R38:AN38))</f>
        <v>0</v>
      </c>
      <c r="AO39" s="198">
        <f>IF(OR(AO$99&lt;InServiceYr,AO$99&gt;(InServiceYr+analysis_period-1)),0,NPV(DiscountRt,$R38:AO38))</f>
        <v>0</v>
      </c>
      <c r="AP39" s="198">
        <f>IF(OR(AP$99&lt;InServiceYr,AP$99&gt;(InServiceYr+analysis_period-1)),0,NPV(DiscountRt,$R38:AP38))</f>
        <v>0</v>
      </c>
      <c r="AQ39" s="198">
        <f>IF(OR(AQ$99&lt;InServiceYr,AQ$99&gt;(InServiceYr+analysis_period-1)),0,NPV(DiscountRt,$R38:AQ38))</f>
        <v>0</v>
      </c>
      <c r="AR39" s="198">
        <f>IF(OR(AR$99&lt;InServiceYr,AR$99&gt;(InServiceYr+analysis_period-1)),0,NPV(DiscountRt,$R38:AR38))</f>
        <v>0</v>
      </c>
      <c r="AS39" s="198">
        <f>IF(OR(AS$99&lt;InServiceYr,AS$99&gt;(InServiceYr+analysis_period-1)),0,NPV(DiscountRt,$R38:AS38))</f>
        <v>0</v>
      </c>
      <c r="AT39" s="198">
        <f>IF(OR(AT$99&lt;InServiceYr,AT$99&gt;(InServiceYr+analysis_period-1)),0,NPV(DiscountRt,$R38:AT38))</f>
        <v>0</v>
      </c>
      <c r="AU39" s="198">
        <f>IF(OR(AU$99&lt;InServiceYr,AU$99&gt;(InServiceYr+analysis_period-1)),0,NPV(DiscountRt,$R38:AU38))</f>
        <v>0</v>
      </c>
    </row>
    <row r="40" spans="1:47" s="42" customFormat="1">
      <c r="A40" s="317"/>
      <c r="B40" s="317"/>
      <c r="C40" s="317"/>
      <c r="D40" s="317"/>
      <c r="E40" s="317"/>
      <c r="F40" s="317"/>
      <c r="G40" s="318" t="s">
        <v>504</v>
      </c>
      <c r="H40" s="317"/>
      <c r="I40" s="317"/>
      <c r="J40" s="317"/>
      <c r="K40" s="317"/>
      <c r="L40" s="407"/>
      <c r="M40" s="317"/>
      <c r="N40" s="317"/>
      <c r="O40" s="317"/>
      <c r="P40" s="317"/>
      <c r="Q40" s="317"/>
      <c r="R40" s="317">
        <f ca="1">R38/(1+DiscountRt)^(R$8-FirstYr)</f>
        <v>36460026.887519106</v>
      </c>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row>
    <row r="42" spans="1:47" s="28" customFormat="1">
      <c r="A42" s="40"/>
      <c r="B42" s="40"/>
      <c r="C42" s="40"/>
      <c r="D42" s="40"/>
      <c r="G42" s="324" t="s">
        <v>492</v>
      </c>
      <c r="H42" s="324"/>
      <c r="I42" s="324"/>
      <c r="J42" s="324"/>
      <c r="K42" s="324"/>
      <c r="L42" s="405" t="s">
        <v>11</v>
      </c>
      <c r="M42" s="256"/>
      <c r="N42" s="325" t="str">
        <f>"NPV "&amp;FirstYr-1&amp;" $"</f>
        <v>NPV 2013 $</v>
      </c>
      <c r="O42" s="311"/>
      <c r="P42" s="325"/>
      <c r="Q42" s="310"/>
      <c r="R42" s="325">
        <f>R$8</f>
        <v>2014</v>
      </c>
      <c r="S42" s="325">
        <f t="shared" ref="S42:AU42" si="20">S$8</f>
        <v>2015</v>
      </c>
      <c r="T42" s="325">
        <f t="shared" si="20"/>
        <v>2016</v>
      </c>
      <c r="U42" s="325">
        <f t="shared" si="20"/>
        <v>2017</v>
      </c>
      <c r="V42" s="325">
        <f t="shared" si="20"/>
        <v>2018</v>
      </c>
      <c r="W42" s="325">
        <f t="shared" si="20"/>
        <v>2019</v>
      </c>
      <c r="X42" s="325">
        <f t="shared" si="20"/>
        <v>2020</v>
      </c>
      <c r="Y42" s="325">
        <f t="shared" si="20"/>
        <v>2021</v>
      </c>
      <c r="Z42" s="325">
        <f t="shared" si="20"/>
        <v>2022</v>
      </c>
      <c r="AA42" s="325">
        <f t="shared" si="20"/>
        <v>2023</v>
      </c>
      <c r="AB42" s="325">
        <f t="shared" si="20"/>
        <v>2024</v>
      </c>
      <c r="AC42" s="325">
        <f t="shared" si="20"/>
        <v>2025</v>
      </c>
      <c r="AD42" s="325">
        <f t="shared" si="20"/>
        <v>2026</v>
      </c>
      <c r="AE42" s="325">
        <f t="shared" si="20"/>
        <v>2027</v>
      </c>
      <c r="AF42" s="325">
        <f t="shared" si="20"/>
        <v>2028</v>
      </c>
      <c r="AG42" s="325">
        <f t="shared" si="20"/>
        <v>2029</v>
      </c>
      <c r="AH42" s="325">
        <f t="shared" si="20"/>
        <v>2030</v>
      </c>
      <c r="AI42" s="325">
        <f t="shared" si="20"/>
        <v>2031</v>
      </c>
      <c r="AJ42" s="325">
        <f t="shared" si="20"/>
        <v>2032</v>
      </c>
      <c r="AK42" s="325">
        <f t="shared" si="20"/>
        <v>2033</v>
      </c>
      <c r="AL42" s="325">
        <f t="shared" si="20"/>
        <v>2034</v>
      </c>
      <c r="AM42" s="325">
        <f t="shared" si="20"/>
        <v>2035</v>
      </c>
      <c r="AN42" s="325">
        <f t="shared" si="20"/>
        <v>2036</v>
      </c>
      <c r="AO42" s="325">
        <f t="shared" si="20"/>
        <v>2037</v>
      </c>
      <c r="AP42" s="325">
        <f t="shared" si="20"/>
        <v>2038</v>
      </c>
      <c r="AQ42" s="325">
        <f t="shared" si="20"/>
        <v>2039</v>
      </c>
      <c r="AR42" s="325">
        <f t="shared" si="20"/>
        <v>2040</v>
      </c>
      <c r="AS42" s="325">
        <f t="shared" si="20"/>
        <v>2041</v>
      </c>
      <c r="AT42" s="325">
        <f t="shared" si="20"/>
        <v>2042</v>
      </c>
      <c r="AU42" s="325">
        <f t="shared" si="20"/>
        <v>2043</v>
      </c>
    </row>
    <row r="43" spans="1:47" s="28" customFormat="1">
      <c r="E43" s="254"/>
      <c r="L43" s="406"/>
      <c r="O43" s="197"/>
      <c r="Q43" s="197"/>
    </row>
    <row r="44" spans="1:47" s="28" customFormat="1">
      <c r="E44" s="254"/>
      <c r="G44" s="39" t="s">
        <v>19</v>
      </c>
      <c r="L44" s="406"/>
      <c r="O44" s="197"/>
      <c r="Q44" s="197"/>
    </row>
    <row r="45" spans="1:47" s="28" customFormat="1">
      <c r="E45" s="254"/>
      <c r="G45" s="36" t="s">
        <v>315</v>
      </c>
      <c r="L45" s="43" t="s">
        <v>12</v>
      </c>
      <c r="N45" s="189">
        <f t="shared" ref="N45:N64" ca="1" si="21">NPV(DiscountRt,R45:AU45)</f>
        <v>8102018.8679245282</v>
      </c>
      <c r="O45" s="189"/>
      <c r="P45" s="319"/>
      <c r="Q45" s="189"/>
      <c r="R45" s="190">
        <f t="shared" ref="R45:AU45" ca="1" si="22">R96</f>
        <v>8588140</v>
      </c>
      <c r="S45" s="190">
        <f t="shared" ca="1" si="22"/>
        <v>0</v>
      </c>
      <c r="T45" s="190">
        <f t="shared" ca="1" si="22"/>
        <v>0</v>
      </c>
      <c r="U45" s="190">
        <f t="shared" ca="1" si="22"/>
        <v>0</v>
      </c>
      <c r="V45" s="190">
        <f t="shared" ca="1" si="22"/>
        <v>0</v>
      </c>
      <c r="W45" s="190">
        <f t="shared" ca="1" si="22"/>
        <v>0</v>
      </c>
      <c r="X45" s="190">
        <f t="shared" ca="1" si="22"/>
        <v>0</v>
      </c>
      <c r="Y45" s="190">
        <f t="shared" ca="1" si="22"/>
        <v>0</v>
      </c>
      <c r="Z45" s="190">
        <f t="shared" ca="1" si="22"/>
        <v>0</v>
      </c>
      <c r="AA45" s="190">
        <f t="shared" ca="1" si="22"/>
        <v>0</v>
      </c>
      <c r="AB45" s="190">
        <f t="shared" ca="1" si="22"/>
        <v>0</v>
      </c>
      <c r="AC45" s="190">
        <f t="shared" ca="1" si="22"/>
        <v>0</v>
      </c>
      <c r="AD45" s="190">
        <f t="shared" ca="1" si="22"/>
        <v>0</v>
      </c>
      <c r="AE45" s="190">
        <f t="shared" ca="1" si="22"/>
        <v>0</v>
      </c>
      <c r="AF45" s="190">
        <f t="shared" ca="1" si="22"/>
        <v>0</v>
      </c>
      <c r="AG45" s="190">
        <f t="shared" ca="1" si="22"/>
        <v>0</v>
      </c>
      <c r="AH45" s="190">
        <f t="shared" ca="1" si="22"/>
        <v>0</v>
      </c>
      <c r="AI45" s="190">
        <f t="shared" ca="1" si="22"/>
        <v>0</v>
      </c>
      <c r="AJ45" s="190">
        <f t="shared" ca="1" si="22"/>
        <v>0</v>
      </c>
      <c r="AK45" s="190">
        <f t="shared" ca="1" si="22"/>
        <v>0</v>
      </c>
      <c r="AL45" s="190">
        <f t="shared" ca="1" si="22"/>
        <v>0</v>
      </c>
      <c r="AM45" s="190">
        <f t="shared" ca="1" si="22"/>
        <v>0</v>
      </c>
      <c r="AN45" s="190">
        <f t="shared" ca="1" si="22"/>
        <v>0</v>
      </c>
      <c r="AO45" s="190">
        <f t="shared" ca="1" si="22"/>
        <v>0</v>
      </c>
      <c r="AP45" s="190">
        <f t="shared" ca="1" si="22"/>
        <v>0</v>
      </c>
      <c r="AQ45" s="190">
        <f t="shared" ca="1" si="22"/>
        <v>0</v>
      </c>
      <c r="AR45" s="190">
        <f t="shared" ca="1" si="22"/>
        <v>0</v>
      </c>
      <c r="AS45" s="190">
        <f t="shared" ca="1" si="22"/>
        <v>0</v>
      </c>
      <c r="AT45" s="190">
        <f t="shared" ca="1" si="22"/>
        <v>0</v>
      </c>
      <c r="AU45" s="190">
        <f t="shared" ca="1" si="22"/>
        <v>0</v>
      </c>
    </row>
    <row r="46" spans="1:47" s="28" customFormat="1">
      <c r="E46" s="254"/>
      <c r="G46" s="36" t="s">
        <v>153</v>
      </c>
      <c r="L46" s="43" t="s">
        <v>12</v>
      </c>
      <c r="N46" s="189">
        <f t="shared" ca="1" si="21"/>
        <v>0</v>
      </c>
      <c r="O46" s="189"/>
      <c r="P46" s="319"/>
      <c r="Q46" s="189"/>
      <c r="R46" s="190">
        <f t="shared" ref="R46:AU46" ca="1" si="23">R117</f>
        <v>0</v>
      </c>
      <c r="S46" s="190">
        <f t="shared" ca="1" si="23"/>
        <v>0</v>
      </c>
      <c r="T46" s="190">
        <f t="shared" ca="1" si="23"/>
        <v>0</v>
      </c>
      <c r="U46" s="190">
        <f t="shared" ca="1" si="23"/>
        <v>0</v>
      </c>
      <c r="V46" s="190">
        <f t="shared" ca="1" si="23"/>
        <v>0</v>
      </c>
      <c r="W46" s="190">
        <f t="shared" ca="1" si="23"/>
        <v>0</v>
      </c>
      <c r="X46" s="190">
        <f t="shared" ca="1" si="23"/>
        <v>0</v>
      </c>
      <c r="Y46" s="190">
        <f t="shared" ca="1" si="23"/>
        <v>0</v>
      </c>
      <c r="Z46" s="190">
        <f t="shared" ca="1" si="23"/>
        <v>0</v>
      </c>
      <c r="AA46" s="190">
        <f t="shared" ca="1" si="23"/>
        <v>0</v>
      </c>
      <c r="AB46" s="190">
        <f t="shared" ca="1" si="23"/>
        <v>0</v>
      </c>
      <c r="AC46" s="190">
        <f t="shared" ca="1" si="23"/>
        <v>0</v>
      </c>
      <c r="AD46" s="190">
        <f t="shared" ca="1" si="23"/>
        <v>0</v>
      </c>
      <c r="AE46" s="190">
        <f t="shared" ca="1" si="23"/>
        <v>0</v>
      </c>
      <c r="AF46" s="190">
        <f t="shared" ca="1" si="23"/>
        <v>0</v>
      </c>
      <c r="AG46" s="190">
        <f t="shared" ca="1" si="23"/>
        <v>0</v>
      </c>
      <c r="AH46" s="190">
        <f t="shared" ca="1" si="23"/>
        <v>0</v>
      </c>
      <c r="AI46" s="190">
        <f t="shared" ca="1" si="23"/>
        <v>0</v>
      </c>
      <c r="AJ46" s="190">
        <f t="shared" ca="1" si="23"/>
        <v>0</v>
      </c>
      <c r="AK46" s="190">
        <f t="shared" ca="1" si="23"/>
        <v>0</v>
      </c>
      <c r="AL46" s="190">
        <f t="shared" ca="1" si="23"/>
        <v>0</v>
      </c>
      <c r="AM46" s="190">
        <f t="shared" ca="1" si="23"/>
        <v>0</v>
      </c>
      <c r="AN46" s="190">
        <f t="shared" ca="1" si="23"/>
        <v>0</v>
      </c>
      <c r="AO46" s="190">
        <f t="shared" ca="1" si="23"/>
        <v>0</v>
      </c>
      <c r="AP46" s="190">
        <f t="shared" ca="1" si="23"/>
        <v>0</v>
      </c>
      <c r="AQ46" s="190">
        <f t="shared" ca="1" si="23"/>
        <v>0</v>
      </c>
      <c r="AR46" s="190">
        <f t="shared" ca="1" si="23"/>
        <v>0</v>
      </c>
      <c r="AS46" s="190">
        <f t="shared" ca="1" si="23"/>
        <v>0</v>
      </c>
      <c r="AT46" s="190">
        <f t="shared" ca="1" si="23"/>
        <v>0</v>
      </c>
      <c r="AU46" s="190">
        <f t="shared" ca="1" si="23"/>
        <v>0</v>
      </c>
    </row>
    <row r="47" spans="1:47" s="28" customFormat="1">
      <c r="E47" s="254"/>
      <c r="G47" s="36" t="s">
        <v>143</v>
      </c>
      <c r="L47" s="43" t="s">
        <v>12</v>
      </c>
      <c r="N47" s="189">
        <f t="shared" ca="1" si="21"/>
        <v>2703264.1509433961</v>
      </c>
      <c r="O47" s="189"/>
      <c r="P47" s="319"/>
      <c r="Q47" s="189"/>
      <c r="R47" s="190">
        <f t="shared" ref="R47:AU47" ca="1" si="24">R138</f>
        <v>2865460</v>
      </c>
      <c r="S47" s="190">
        <f t="shared" ca="1" si="24"/>
        <v>0</v>
      </c>
      <c r="T47" s="190">
        <f t="shared" ca="1" si="24"/>
        <v>0</v>
      </c>
      <c r="U47" s="190">
        <f t="shared" ca="1" si="24"/>
        <v>0</v>
      </c>
      <c r="V47" s="190">
        <f t="shared" ca="1" si="24"/>
        <v>0</v>
      </c>
      <c r="W47" s="190">
        <f t="shared" ca="1" si="24"/>
        <v>0</v>
      </c>
      <c r="X47" s="190">
        <f t="shared" ca="1" si="24"/>
        <v>0</v>
      </c>
      <c r="Y47" s="190">
        <f t="shared" ca="1" si="24"/>
        <v>0</v>
      </c>
      <c r="Z47" s="190">
        <f t="shared" ca="1" si="24"/>
        <v>0</v>
      </c>
      <c r="AA47" s="190">
        <f t="shared" ca="1" si="24"/>
        <v>0</v>
      </c>
      <c r="AB47" s="190">
        <f t="shared" ca="1" si="24"/>
        <v>0</v>
      </c>
      <c r="AC47" s="190">
        <f t="shared" ca="1" si="24"/>
        <v>0</v>
      </c>
      <c r="AD47" s="190">
        <f t="shared" ca="1" si="24"/>
        <v>0</v>
      </c>
      <c r="AE47" s="190">
        <f t="shared" ca="1" si="24"/>
        <v>0</v>
      </c>
      <c r="AF47" s="190">
        <f t="shared" ca="1" si="24"/>
        <v>0</v>
      </c>
      <c r="AG47" s="190">
        <f t="shared" ca="1" si="24"/>
        <v>0</v>
      </c>
      <c r="AH47" s="190">
        <f t="shared" ca="1" si="24"/>
        <v>0</v>
      </c>
      <c r="AI47" s="190">
        <f t="shared" ca="1" si="24"/>
        <v>0</v>
      </c>
      <c r="AJ47" s="190">
        <f t="shared" ca="1" si="24"/>
        <v>0</v>
      </c>
      <c r="AK47" s="190">
        <f t="shared" ca="1" si="24"/>
        <v>0</v>
      </c>
      <c r="AL47" s="190">
        <f t="shared" ca="1" si="24"/>
        <v>0</v>
      </c>
      <c r="AM47" s="190">
        <f t="shared" ca="1" si="24"/>
        <v>0</v>
      </c>
      <c r="AN47" s="190">
        <f t="shared" ca="1" si="24"/>
        <v>0</v>
      </c>
      <c r="AO47" s="190">
        <f t="shared" ca="1" si="24"/>
        <v>0</v>
      </c>
      <c r="AP47" s="190">
        <f t="shared" ca="1" si="24"/>
        <v>0</v>
      </c>
      <c r="AQ47" s="190">
        <f t="shared" ca="1" si="24"/>
        <v>0</v>
      </c>
      <c r="AR47" s="190">
        <f t="shared" ca="1" si="24"/>
        <v>0</v>
      </c>
      <c r="AS47" s="190">
        <f t="shared" ca="1" si="24"/>
        <v>0</v>
      </c>
      <c r="AT47" s="190">
        <f t="shared" ca="1" si="24"/>
        <v>0</v>
      </c>
      <c r="AU47" s="190">
        <f t="shared" ca="1" si="24"/>
        <v>0</v>
      </c>
    </row>
    <row r="48" spans="1:47" s="28" customFormat="1">
      <c r="E48" s="254"/>
      <c r="G48" s="36" t="s">
        <v>316</v>
      </c>
      <c r="L48" s="43" t="s">
        <v>12</v>
      </c>
      <c r="N48" s="189">
        <f t="shared" ca="1" si="21"/>
        <v>0</v>
      </c>
      <c r="O48" s="189"/>
      <c r="P48" s="319"/>
      <c r="Q48" s="189"/>
      <c r="R48" s="190">
        <f t="shared" ref="R48:AU48" ca="1" si="25">R159</f>
        <v>0</v>
      </c>
      <c r="S48" s="190">
        <f t="shared" ca="1" si="25"/>
        <v>0</v>
      </c>
      <c r="T48" s="190">
        <f t="shared" ca="1" si="25"/>
        <v>0</v>
      </c>
      <c r="U48" s="190">
        <f t="shared" ca="1" si="25"/>
        <v>0</v>
      </c>
      <c r="V48" s="190">
        <f t="shared" ca="1" si="25"/>
        <v>0</v>
      </c>
      <c r="W48" s="190">
        <f t="shared" ca="1" si="25"/>
        <v>0</v>
      </c>
      <c r="X48" s="190">
        <f t="shared" ca="1" si="25"/>
        <v>0</v>
      </c>
      <c r="Y48" s="190">
        <f t="shared" ca="1" si="25"/>
        <v>0</v>
      </c>
      <c r="Z48" s="190">
        <f t="shared" ca="1" si="25"/>
        <v>0</v>
      </c>
      <c r="AA48" s="190">
        <f t="shared" ca="1" si="25"/>
        <v>0</v>
      </c>
      <c r="AB48" s="190">
        <f t="shared" ca="1" si="25"/>
        <v>0</v>
      </c>
      <c r="AC48" s="190">
        <f t="shared" ca="1" si="25"/>
        <v>0</v>
      </c>
      <c r="AD48" s="190">
        <f t="shared" ca="1" si="25"/>
        <v>0</v>
      </c>
      <c r="AE48" s="190">
        <f t="shared" ca="1" si="25"/>
        <v>0</v>
      </c>
      <c r="AF48" s="190">
        <f t="shared" ca="1" si="25"/>
        <v>0</v>
      </c>
      <c r="AG48" s="190">
        <f t="shared" ca="1" si="25"/>
        <v>0</v>
      </c>
      <c r="AH48" s="190">
        <f t="shared" ca="1" si="25"/>
        <v>0</v>
      </c>
      <c r="AI48" s="190">
        <f t="shared" ca="1" si="25"/>
        <v>0</v>
      </c>
      <c r="AJ48" s="190">
        <f t="shared" ca="1" si="25"/>
        <v>0</v>
      </c>
      <c r="AK48" s="190">
        <f t="shared" ca="1" si="25"/>
        <v>0</v>
      </c>
      <c r="AL48" s="190">
        <f t="shared" ca="1" si="25"/>
        <v>0</v>
      </c>
      <c r="AM48" s="190">
        <f t="shared" ca="1" si="25"/>
        <v>0</v>
      </c>
      <c r="AN48" s="190">
        <f t="shared" ca="1" si="25"/>
        <v>0</v>
      </c>
      <c r="AO48" s="190">
        <f t="shared" ca="1" si="25"/>
        <v>0</v>
      </c>
      <c r="AP48" s="190">
        <f t="shared" ca="1" si="25"/>
        <v>0</v>
      </c>
      <c r="AQ48" s="190">
        <f t="shared" ca="1" si="25"/>
        <v>0</v>
      </c>
      <c r="AR48" s="190">
        <f t="shared" ca="1" si="25"/>
        <v>0</v>
      </c>
      <c r="AS48" s="190">
        <f t="shared" ca="1" si="25"/>
        <v>0</v>
      </c>
      <c r="AT48" s="190">
        <f t="shared" ca="1" si="25"/>
        <v>0</v>
      </c>
      <c r="AU48" s="190">
        <f t="shared" ca="1" si="25"/>
        <v>0</v>
      </c>
    </row>
    <row r="49" spans="5:47" s="28" customFormat="1">
      <c r="E49" s="254"/>
      <c r="G49" s="36" t="s">
        <v>317</v>
      </c>
      <c r="L49" s="43" t="s">
        <v>12</v>
      </c>
      <c r="N49" s="189">
        <f t="shared" ca="1" si="21"/>
        <v>3230896.226415094</v>
      </c>
      <c r="O49" s="189"/>
      <c r="P49" s="319"/>
      <c r="Q49" s="189"/>
      <c r="R49" s="190">
        <f t="shared" ref="R49:AU49" ca="1" si="26">R180</f>
        <v>3424750</v>
      </c>
      <c r="S49" s="190">
        <f t="shared" ca="1" si="26"/>
        <v>0</v>
      </c>
      <c r="T49" s="190">
        <f t="shared" ca="1" si="26"/>
        <v>0</v>
      </c>
      <c r="U49" s="190">
        <f t="shared" ca="1" si="26"/>
        <v>0</v>
      </c>
      <c r="V49" s="190">
        <f t="shared" ca="1" si="26"/>
        <v>0</v>
      </c>
      <c r="W49" s="190">
        <f t="shared" ca="1" si="26"/>
        <v>0</v>
      </c>
      <c r="X49" s="190">
        <f t="shared" ca="1" si="26"/>
        <v>0</v>
      </c>
      <c r="Y49" s="190">
        <f t="shared" ca="1" si="26"/>
        <v>0</v>
      </c>
      <c r="Z49" s="190">
        <f t="shared" ca="1" si="26"/>
        <v>0</v>
      </c>
      <c r="AA49" s="190">
        <f t="shared" ca="1" si="26"/>
        <v>0</v>
      </c>
      <c r="AB49" s="190">
        <f t="shared" ca="1" si="26"/>
        <v>0</v>
      </c>
      <c r="AC49" s="190">
        <f t="shared" ca="1" si="26"/>
        <v>0</v>
      </c>
      <c r="AD49" s="190">
        <f t="shared" ca="1" si="26"/>
        <v>0</v>
      </c>
      <c r="AE49" s="190">
        <f t="shared" ca="1" si="26"/>
        <v>0</v>
      </c>
      <c r="AF49" s="190">
        <f t="shared" ca="1" si="26"/>
        <v>0</v>
      </c>
      <c r="AG49" s="190">
        <f t="shared" ca="1" si="26"/>
        <v>0</v>
      </c>
      <c r="AH49" s="190">
        <f t="shared" ca="1" si="26"/>
        <v>0</v>
      </c>
      <c r="AI49" s="190">
        <f t="shared" ca="1" si="26"/>
        <v>0</v>
      </c>
      <c r="AJ49" s="190">
        <f t="shared" ca="1" si="26"/>
        <v>0</v>
      </c>
      <c r="AK49" s="190">
        <f t="shared" ca="1" si="26"/>
        <v>0</v>
      </c>
      <c r="AL49" s="190">
        <f t="shared" ca="1" si="26"/>
        <v>0</v>
      </c>
      <c r="AM49" s="190">
        <f t="shared" ca="1" si="26"/>
        <v>0</v>
      </c>
      <c r="AN49" s="190">
        <f t="shared" ca="1" si="26"/>
        <v>0</v>
      </c>
      <c r="AO49" s="190">
        <f t="shared" ca="1" si="26"/>
        <v>0</v>
      </c>
      <c r="AP49" s="190">
        <f t="shared" ca="1" si="26"/>
        <v>0</v>
      </c>
      <c r="AQ49" s="190">
        <f t="shared" ca="1" si="26"/>
        <v>0</v>
      </c>
      <c r="AR49" s="190">
        <f t="shared" ca="1" si="26"/>
        <v>0</v>
      </c>
      <c r="AS49" s="190">
        <f t="shared" ca="1" si="26"/>
        <v>0</v>
      </c>
      <c r="AT49" s="190">
        <f t="shared" ca="1" si="26"/>
        <v>0</v>
      </c>
      <c r="AU49" s="190">
        <f t="shared" ca="1" si="26"/>
        <v>0</v>
      </c>
    </row>
    <row r="50" spans="5:47" s="28" customFormat="1">
      <c r="E50" s="254"/>
      <c r="G50" s="36" t="s">
        <v>318</v>
      </c>
      <c r="L50" s="43" t="s">
        <v>12</v>
      </c>
      <c r="N50" s="189">
        <f t="shared" ca="1" si="21"/>
        <v>720028.30188679241</v>
      </c>
      <c r="O50" s="189"/>
      <c r="P50" s="319"/>
      <c r="Q50" s="189"/>
      <c r="R50" s="190">
        <f t="shared" ref="R50:AU50" ca="1" si="27">R201</f>
        <v>763230</v>
      </c>
      <c r="S50" s="190">
        <f t="shared" ca="1" si="27"/>
        <v>0</v>
      </c>
      <c r="T50" s="190">
        <f t="shared" ca="1" si="27"/>
        <v>0</v>
      </c>
      <c r="U50" s="190">
        <f t="shared" ca="1" si="27"/>
        <v>0</v>
      </c>
      <c r="V50" s="190">
        <f t="shared" ca="1" si="27"/>
        <v>0</v>
      </c>
      <c r="W50" s="190">
        <f t="shared" ca="1" si="27"/>
        <v>0</v>
      </c>
      <c r="X50" s="190">
        <f t="shared" ca="1" si="27"/>
        <v>0</v>
      </c>
      <c r="Y50" s="190">
        <f t="shared" ca="1" si="27"/>
        <v>0</v>
      </c>
      <c r="Z50" s="190">
        <f t="shared" ca="1" si="27"/>
        <v>0</v>
      </c>
      <c r="AA50" s="190">
        <f t="shared" ca="1" si="27"/>
        <v>0</v>
      </c>
      <c r="AB50" s="190">
        <f t="shared" ca="1" si="27"/>
        <v>0</v>
      </c>
      <c r="AC50" s="190">
        <f t="shared" ca="1" si="27"/>
        <v>0</v>
      </c>
      <c r="AD50" s="190">
        <f t="shared" ca="1" si="27"/>
        <v>0</v>
      </c>
      <c r="AE50" s="190">
        <f t="shared" ca="1" si="27"/>
        <v>0</v>
      </c>
      <c r="AF50" s="190">
        <f t="shared" ca="1" si="27"/>
        <v>0</v>
      </c>
      <c r="AG50" s="190">
        <f t="shared" ca="1" si="27"/>
        <v>0</v>
      </c>
      <c r="AH50" s="190">
        <f t="shared" ca="1" si="27"/>
        <v>0</v>
      </c>
      <c r="AI50" s="190">
        <f t="shared" ca="1" si="27"/>
        <v>0</v>
      </c>
      <c r="AJ50" s="190">
        <f t="shared" ca="1" si="27"/>
        <v>0</v>
      </c>
      <c r="AK50" s="190">
        <f t="shared" ca="1" si="27"/>
        <v>0</v>
      </c>
      <c r="AL50" s="190">
        <f t="shared" ca="1" si="27"/>
        <v>0</v>
      </c>
      <c r="AM50" s="190">
        <f t="shared" ca="1" si="27"/>
        <v>0</v>
      </c>
      <c r="AN50" s="190">
        <f t="shared" ca="1" si="27"/>
        <v>0</v>
      </c>
      <c r="AO50" s="190">
        <f t="shared" ca="1" si="27"/>
        <v>0</v>
      </c>
      <c r="AP50" s="190">
        <f t="shared" ca="1" si="27"/>
        <v>0</v>
      </c>
      <c r="AQ50" s="190">
        <f t="shared" ca="1" si="27"/>
        <v>0</v>
      </c>
      <c r="AR50" s="190">
        <f t="shared" ca="1" si="27"/>
        <v>0</v>
      </c>
      <c r="AS50" s="190">
        <f t="shared" ca="1" si="27"/>
        <v>0</v>
      </c>
      <c r="AT50" s="190">
        <f t="shared" ca="1" si="27"/>
        <v>0</v>
      </c>
      <c r="AU50" s="190">
        <f t="shared" ca="1" si="27"/>
        <v>0</v>
      </c>
    </row>
    <row r="51" spans="5:47" s="28" customFormat="1">
      <c r="E51" s="254"/>
      <c r="G51" s="36" t="s">
        <v>319</v>
      </c>
      <c r="L51" s="43" t="s">
        <v>12</v>
      </c>
      <c r="N51" s="189">
        <f t="shared" ca="1" si="21"/>
        <v>0</v>
      </c>
      <c r="O51" s="189"/>
      <c r="P51" s="319"/>
      <c r="Q51" s="189"/>
      <c r="R51" s="190">
        <f t="shared" ref="R51:AU51" ca="1" si="28">R222</f>
        <v>0</v>
      </c>
      <c r="S51" s="190">
        <f t="shared" ca="1" si="28"/>
        <v>0</v>
      </c>
      <c r="T51" s="190">
        <f t="shared" ca="1" si="28"/>
        <v>0</v>
      </c>
      <c r="U51" s="190">
        <f t="shared" ca="1" si="28"/>
        <v>0</v>
      </c>
      <c r="V51" s="190">
        <f t="shared" ca="1" si="28"/>
        <v>0</v>
      </c>
      <c r="W51" s="190">
        <f t="shared" ca="1" si="28"/>
        <v>0</v>
      </c>
      <c r="X51" s="190">
        <f t="shared" ca="1" si="28"/>
        <v>0</v>
      </c>
      <c r="Y51" s="190">
        <f t="shared" ca="1" si="28"/>
        <v>0</v>
      </c>
      <c r="Z51" s="190">
        <f t="shared" ca="1" si="28"/>
        <v>0</v>
      </c>
      <c r="AA51" s="190">
        <f t="shared" ca="1" si="28"/>
        <v>0</v>
      </c>
      <c r="AB51" s="190">
        <f t="shared" ca="1" si="28"/>
        <v>0</v>
      </c>
      <c r="AC51" s="190">
        <f t="shared" ca="1" si="28"/>
        <v>0</v>
      </c>
      <c r="AD51" s="190">
        <f t="shared" ca="1" si="28"/>
        <v>0</v>
      </c>
      <c r="AE51" s="190">
        <f t="shared" ca="1" si="28"/>
        <v>0</v>
      </c>
      <c r="AF51" s="190">
        <f t="shared" ca="1" si="28"/>
        <v>0</v>
      </c>
      <c r="AG51" s="190">
        <f t="shared" ca="1" si="28"/>
        <v>0</v>
      </c>
      <c r="AH51" s="190">
        <f t="shared" ca="1" si="28"/>
        <v>0</v>
      </c>
      <c r="AI51" s="190">
        <f t="shared" ca="1" si="28"/>
        <v>0</v>
      </c>
      <c r="AJ51" s="190">
        <f t="shared" ca="1" si="28"/>
        <v>0</v>
      </c>
      <c r="AK51" s="190">
        <f t="shared" ca="1" si="28"/>
        <v>0</v>
      </c>
      <c r="AL51" s="190">
        <f t="shared" ca="1" si="28"/>
        <v>0</v>
      </c>
      <c r="AM51" s="190">
        <f t="shared" ca="1" si="28"/>
        <v>0</v>
      </c>
      <c r="AN51" s="190">
        <f t="shared" ca="1" si="28"/>
        <v>0</v>
      </c>
      <c r="AO51" s="190">
        <f t="shared" ca="1" si="28"/>
        <v>0</v>
      </c>
      <c r="AP51" s="190">
        <f t="shared" ca="1" si="28"/>
        <v>0</v>
      </c>
      <c r="AQ51" s="190">
        <f t="shared" ca="1" si="28"/>
        <v>0</v>
      </c>
      <c r="AR51" s="190">
        <f t="shared" ca="1" si="28"/>
        <v>0</v>
      </c>
      <c r="AS51" s="190">
        <f t="shared" ca="1" si="28"/>
        <v>0</v>
      </c>
      <c r="AT51" s="190">
        <f t="shared" ca="1" si="28"/>
        <v>0</v>
      </c>
      <c r="AU51" s="190">
        <f t="shared" ca="1" si="28"/>
        <v>0</v>
      </c>
    </row>
    <row r="52" spans="5:47" s="28" customFormat="1">
      <c r="E52" s="254"/>
      <c r="G52" s="36" t="s">
        <v>320</v>
      </c>
      <c r="L52" s="43" t="s">
        <v>12</v>
      </c>
      <c r="N52" s="189">
        <f t="shared" ca="1" si="21"/>
        <v>0</v>
      </c>
      <c r="O52" s="189"/>
      <c r="P52" s="319"/>
      <c r="Q52" s="189"/>
      <c r="R52" s="190">
        <f t="shared" ref="R52:AU52" ca="1" si="29">R243</f>
        <v>0</v>
      </c>
      <c r="S52" s="190">
        <f t="shared" ca="1" si="29"/>
        <v>0</v>
      </c>
      <c r="T52" s="190">
        <f t="shared" ca="1" si="29"/>
        <v>0</v>
      </c>
      <c r="U52" s="190">
        <f t="shared" ca="1" si="29"/>
        <v>0</v>
      </c>
      <c r="V52" s="190">
        <f t="shared" ca="1" si="29"/>
        <v>0</v>
      </c>
      <c r="W52" s="190">
        <f t="shared" ca="1" si="29"/>
        <v>0</v>
      </c>
      <c r="X52" s="190">
        <f t="shared" ca="1" si="29"/>
        <v>0</v>
      </c>
      <c r="Y52" s="190">
        <f t="shared" ca="1" si="29"/>
        <v>0</v>
      </c>
      <c r="Z52" s="190">
        <f t="shared" ca="1" si="29"/>
        <v>0</v>
      </c>
      <c r="AA52" s="190">
        <f t="shared" ca="1" si="29"/>
        <v>0</v>
      </c>
      <c r="AB52" s="190">
        <f t="shared" ca="1" si="29"/>
        <v>0</v>
      </c>
      <c r="AC52" s="190">
        <f t="shared" ca="1" si="29"/>
        <v>0</v>
      </c>
      <c r="AD52" s="190">
        <f t="shared" ca="1" si="29"/>
        <v>0</v>
      </c>
      <c r="AE52" s="190">
        <f t="shared" ca="1" si="29"/>
        <v>0</v>
      </c>
      <c r="AF52" s="190">
        <f t="shared" ca="1" si="29"/>
        <v>0</v>
      </c>
      <c r="AG52" s="190">
        <f t="shared" ca="1" si="29"/>
        <v>0</v>
      </c>
      <c r="AH52" s="190">
        <f t="shared" ca="1" si="29"/>
        <v>0</v>
      </c>
      <c r="AI52" s="190">
        <f t="shared" ca="1" si="29"/>
        <v>0</v>
      </c>
      <c r="AJ52" s="190">
        <f t="shared" ca="1" si="29"/>
        <v>0</v>
      </c>
      <c r="AK52" s="190">
        <f t="shared" ca="1" si="29"/>
        <v>0</v>
      </c>
      <c r="AL52" s="190">
        <f t="shared" ca="1" si="29"/>
        <v>0</v>
      </c>
      <c r="AM52" s="190">
        <f t="shared" ca="1" si="29"/>
        <v>0</v>
      </c>
      <c r="AN52" s="190">
        <f t="shared" ca="1" si="29"/>
        <v>0</v>
      </c>
      <c r="AO52" s="190">
        <f t="shared" ca="1" si="29"/>
        <v>0</v>
      </c>
      <c r="AP52" s="190">
        <f t="shared" ca="1" si="29"/>
        <v>0</v>
      </c>
      <c r="AQ52" s="190">
        <f t="shared" ca="1" si="29"/>
        <v>0</v>
      </c>
      <c r="AR52" s="190">
        <f t="shared" ca="1" si="29"/>
        <v>0</v>
      </c>
      <c r="AS52" s="190">
        <f t="shared" ca="1" si="29"/>
        <v>0</v>
      </c>
      <c r="AT52" s="190">
        <f t="shared" ca="1" si="29"/>
        <v>0</v>
      </c>
      <c r="AU52" s="190">
        <f t="shared" ca="1" si="29"/>
        <v>0</v>
      </c>
    </row>
    <row r="53" spans="5:47" s="28" customFormat="1">
      <c r="E53" s="254"/>
      <c r="G53" s="36" t="s">
        <v>321</v>
      </c>
      <c r="L53" s="43" t="s">
        <v>12</v>
      </c>
      <c r="N53" s="189">
        <f t="shared" ca="1" si="21"/>
        <v>0</v>
      </c>
      <c r="O53" s="189"/>
      <c r="P53" s="319"/>
      <c r="Q53" s="189"/>
      <c r="R53" s="190">
        <f t="shared" ref="R53:AU53" ca="1" si="30">R264</f>
        <v>0</v>
      </c>
      <c r="S53" s="190">
        <f t="shared" ca="1" si="30"/>
        <v>0</v>
      </c>
      <c r="T53" s="190">
        <f t="shared" ca="1" si="30"/>
        <v>0</v>
      </c>
      <c r="U53" s="190">
        <f t="shared" ca="1" si="30"/>
        <v>0</v>
      </c>
      <c r="V53" s="190">
        <f t="shared" ca="1" si="30"/>
        <v>0</v>
      </c>
      <c r="W53" s="190">
        <f t="shared" ca="1" si="30"/>
        <v>0</v>
      </c>
      <c r="X53" s="190">
        <f t="shared" ca="1" si="30"/>
        <v>0</v>
      </c>
      <c r="Y53" s="190">
        <f t="shared" ca="1" si="30"/>
        <v>0</v>
      </c>
      <c r="Z53" s="190">
        <f t="shared" ca="1" si="30"/>
        <v>0</v>
      </c>
      <c r="AA53" s="190">
        <f t="shared" ca="1" si="30"/>
        <v>0</v>
      </c>
      <c r="AB53" s="190">
        <f t="shared" ca="1" si="30"/>
        <v>0</v>
      </c>
      <c r="AC53" s="190">
        <f t="shared" ca="1" si="30"/>
        <v>0</v>
      </c>
      <c r="AD53" s="190">
        <f t="shared" ca="1" si="30"/>
        <v>0</v>
      </c>
      <c r="AE53" s="190">
        <f t="shared" ca="1" si="30"/>
        <v>0</v>
      </c>
      <c r="AF53" s="190">
        <f t="shared" ca="1" si="30"/>
        <v>0</v>
      </c>
      <c r="AG53" s="190">
        <f t="shared" ca="1" si="30"/>
        <v>0</v>
      </c>
      <c r="AH53" s="190">
        <f t="shared" ca="1" si="30"/>
        <v>0</v>
      </c>
      <c r="AI53" s="190">
        <f t="shared" ca="1" si="30"/>
        <v>0</v>
      </c>
      <c r="AJ53" s="190">
        <f t="shared" ca="1" si="30"/>
        <v>0</v>
      </c>
      <c r="AK53" s="190">
        <f t="shared" ca="1" si="30"/>
        <v>0</v>
      </c>
      <c r="AL53" s="190">
        <f t="shared" ca="1" si="30"/>
        <v>0</v>
      </c>
      <c r="AM53" s="190">
        <f t="shared" ca="1" si="30"/>
        <v>0</v>
      </c>
      <c r="AN53" s="190">
        <f t="shared" ca="1" si="30"/>
        <v>0</v>
      </c>
      <c r="AO53" s="190">
        <f t="shared" ca="1" si="30"/>
        <v>0</v>
      </c>
      <c r="AP53" s="190">
        <f t="shared" ca="1" si="30"/>
        <v>0</v>
      </c>
      <c r="AQ53" s="190">
        <f t="shared" ca="1" si="30"/>
        <v>0</v>
      </c>
      <c r="AR53" s="190">
        <f t="shared" ca="1" si="30"/>
        <v>0</v>
      </c>
      <c r="AS53" s="190">
        <f t="shared" ca="1" si="30"/>
        <v>0</v>
      </c>
      <c r="AT53" s="190">
        <f t="shared" ca="1" si="30"/>
        <v>0</v>
      </c>
      <c r="AU53" s="190">
        <f t="shared" ca="1" si="30"/>
        <v>0</v>
      </c>
    </row>
    <row r="54" spans="5:47" s="28" customFormat="1">
      <c r="E54" s="254"/>
      <c r="G54" s="36" t="s">
        <v>160</v>
      </c>
      <c r="L54" s="43" t="s">
        <v>12</v>
      </c>
      <c r="N54" s="189">
        <f t="shared" ca="1" si="21"/>
        <v>0</v>
      </c>
      <c r="O54" s="189"/>
      <c r="P54" s="319"/>
      <c r="Q54" s="189"/>
      <c r="R54" s="190">
        <f t="shared" ref="R54:AU54" ca="1" si="31">R285</f>
        <v>0</v>
      </c>
      <c r="S54" s="190">
        <f t="shared" ca="1" si="31"/>
        <v>0</v>
      </c>
      <c r="T54" s="190">
        <f t="shared" ca="1" si="31"/>
        <v>0</v>
      </c>
      <c r="U54" s="190">
        <f t="shared" ca="1" si="31"/>
        <v>0</v>
      </c>
      <c r="V54" s="190">
        <f t="shared" ca="1" si="31"/>
        <v>0</v>
      </c>
      <c r="W54" s="190">
        <f t="shared" ca="1" si="31"/>
        <v>0</v>
      </c>
      <c r="X54" s="190">
        <f t="shared" ca="1" si="31"/>
        <v>0</v>
      </c>
      <c r="Y54" s="190">
        <f t="shared" ca="1" si="31"/>
        <v>0</v>
      </c>
      <c r="Z54" s="190">
        <f t="shared" ca="1" si="31"/>
        <v>0</v>
      </c>
      <c r="AA54" s="190">
        <f t="shared" ca="1" si="31"/>
        <v>0</v>
      </c>
      <c r="AB54" s="190">
        <f t="shared" ca="1" si="31"/>
        <v>0</v>
      </c>
      <c r="AC54" s="190">
        <f t="shared" ca="1" si="31"/>
        <v>0</v>
      </c>
      <c r="AD54" s="190">
        <f t="shared" ca="1" si="31"/>
        <v>0</v>
      </c>
      <c r="AE54" s="190">
        <f t="shared" ca="1" si="31"/>
        <v>0</v>
      </c>
      <c r="AF54" s="190">
        <f t="shared" ca="1" si="31"/>
        <v>0</v>
      </c>
      <c r="AG54" s="190">
        <f t="shared" ca="1" si="31"/>
        <v>0</v>
      </c>
      <c r="AH54" s="190">
        <f t="shared" ca="1" si="31"/>
        <v>0</v>
      </c>
      <c r="AI54" s="190">
        <f t="shared" ca="1" si="31"/>
        <v>0</v>
      </c>
      <c r="AJ54" s="190">
        <f t="shared" ca="1" si="31"/>
        <v>0</v>
      </c>
      <c r="AK54" s="190">
        <f t="shared" ca="1" si="31"/>
        <v>0</v>
      </c>
      <c r="AL54" s="190">
        <f t="shared" ca="1" si="31"/>
        <v>0</v>
      </c>
      <c r="AM54" s="190">
        <f t="shared" ca="1" si="31"/>
        <v>0</v>
      </c>
      <c r="AN54" s="190">
        <f t="shared" ca="1" si="31"/>
        <v>0</v>
      </c>
      <c r="AO54" s="190">
        <f t="shared" ca="1" si="31"/>
        <v>0</v>
      </c>
      <c r="AP54" s="190">
        <f t="shared" ca="1" si="31"/>
        <v>0</v>
      </c>
      <c r="AQ54" s="190">
        <f t="shared" ca="1" si="31"/>
        <v>0</v>
      </c>
      <c r="AR54" s="190">
        <f t="shared" ca="1" si="31"/>
        <v>0</v>
      </c>
      <c r="AS54" s="190">
        <f t="shared" ca="1" si="31"/>
        <v>0</v>
      </c>
      <c r="AT54" s="190">
        <f t="shared" ca="1" si="31"/>
        <v>0</v>
      </c>
      <c r="AU54" s="190">
        <f t="shared" ca="1" si="31"/>
        <v>0</v>
      </c>
    </row>
    <row r="55" spans="5:47" s="28" customFormat="1">
      <c r="E55" s="254"/>
      <c r="G55" s="36" t="s">
        <v>161</v>
      </c>
      <c r="L55" s="43" t="s">
        <v>12</v>
      </c>
      <c r="N55" s="189">
        <f t="shared" ca="1" si="21"/>
        <v>583018.86792452831</v>
      </c>
      <c r="O55" s="189"/>
      <c r="P55" s="319"/>
      <c r="Q55" s="189"/>
      <c r="R55" s="190">
        <f t="shared" ref="R55:AU55" ca="1" si="32">R306</f>
        <v>618000</v>
      </c>
      <c r="S55" s="190">
        <f t="shared" ca="1" si="32"/>
        <v>0</v>
      </c>
      <c r="T55" s="190">
        <f t="shared" ca="1" si="32"/>
        <v>0</v>
      </c>
      <c r="U55" s="190">
        <f t="shared" ca="1" si="32"/>
        <v>0</v>
      </c>
      <c r="V55" s="190">
        <f t="shared" ca="1" si="32"/>
        <v>0</v>
      </c>
      <c r="W55" s="190">
        <f t="shared" ca="1" si="32"/>
        <v>0</v>
      </c>
      <c r="X55" s="190">
        <f t="shared" ca="1" si="32"/>
        <v>0</v>
      </c>
      <c r="Y55" s="190">
        <f t="shared" ca="1" si="32"/>
        <v>0</v>
      </c>
      <c r="Z55" s="190">
        <f t="shared" ca="1" si="32"/>
        <v>0</v>
      </c>
      <c r="AA55" s="190">
        <f t="shared" ca="1" si="32"/>
        <v>0</v>
      </c>
      <c r="AB55" s="190">
        <f t="shared" ca="1" si="32"/>
        <v>0</v>
      </c>
      <c r="AC55" s="190">
        <f t="shared" ca="1" si="32"/>
        <v>0</v>
      </c>
      <c r="AD55" s="190">
        <f t="shared" ca="1" si="32"/>
        <v>0</v>
      </c>
      <c r="AE55" s="190">
        <f t="shared" ca="1" si="32"/>
        <v>0</v>
      </c>
      <c r="AF55" s="190">
        <f t="shared" ca="1" si="32"/>
        <v>0</v>
      </c>
      <c r="AG55" s="190">
        <f t="shared" ca="1" si="32"/>
        <v>0</v>
      </c>
      <c r="AH55" s="190">
        <f t="shared" ca="1" si="32"/>
        <v>0</v>
      </c>
      <c r="AI55" s="190">
        <f t="shared" ca="1" si="32"/>
        <v>0</v>
      </c>
      <c r="AJ55" s="190">
        <f t="shared" ca="1" si="32"/>
        <v>0</v>
      </c>
      <c r="AK55" s="190">
        <f t="shared" ca="1" si="32"/>
        <v>0</v>
      </c>
      <c r="AL55" s="190">
        <f t="shared" ca="1" si="32"/>
        <v>0</v>
      </c>
      <c r="AM55" s="190">
        <f t="shared" ca="1" si="32"/>
        <v>0</v>
      </c>
      <c r="AN55" s="190">
        <f t="shared" ca="1" si="32"/>
        <v>0</v>
      </c>
      <c r="AO55" s="190">
        <f t="shared" ca="1" si="32"/>
        <v>0</v>
      </c>
      <c r="AP55" s="190">
        <f t="shared" ca="1" si="32"/>
        <v>0</v>
      </c>
      <c r="AQ55" s="190">
        <f t="shared" ca="1" si="32"/>
        <v>0</v>
      </c>
      <c r="AR55" s="190">
        <f t="shared" ca="1" si="32"/>
        <v>0</v>
      </c>
      <c r="AS55" s="190">
        <f t="shared" ca="1" si="32"/>
        <v>0</v>
      </c>
      <c r="AT55" s="190">
        <f t="shared" ca="1" si="32"/>
        <v>0</v>
      </c>
      <c r="AU55" s="190">
        <f t="shared" ca="1" si="32"/>
        <v>0</v>
      </c>
    </row>
    <row r="56" spans="5:47" s="28" customFormat="1">
      <c r="E56" s="254"/>
      <c r="G56" s="36" t="s">
        <v>162</v>
      </c>
      <c r="L56" s="43" t="s">
        <v>12</v>
      </c>
      <c r="N56" s="189">
        <f t="shared" ca="1" si="21"/>
        <v>676301.88679245277</v>
      </c>
      <c r="O56" s="189"/>
      <c r="P56" s="319"/>
      <c r="Q56" s="189"/>
      <c r="R56" s="190">
        <f t="shared" ref="R56:AU56" ca="1" si="33">R327</f>
        <v>716880</v>
      </c>
      <c r="S56" s="190">
        <f t="shared" ca="1" si="33"/>
        <v>0</v>
      </c>
      <c r="T56" s="190">
        <f t="shared" ca="1" si="33"/>
        <v>0</v>
      </c>
      <c r="U56" s="190">
        <f t="shared" ca="1" si="33"/>
        <v>0</v>
      </c>
      <c r="V56" s="190">
        <f t="shared" ca="1" si="33"/>
        <v>0</v>
      </c>
      <c r="W56" s="190">
        <f t="shared" ca="1" si="33"/>
        <v>0</v>
      </c>
      <c r="X56" s="190">
        <f t="shared" ca="1" si="33"/>
        <v>0</v>
      </c>
      <c r="Y56" s="190">
        <f t="shared" ca="1" si="33"/>
        <v>0</v>
      </c>
      <c r="Z56" s="190">
        <f t="shared" ca="1" si="33"/>
        <v>0</v>
      </c>
      <c r="AA56" s="190">
        <f t="shared" ca="1" si="33"/>
        <v>0</v>
      </c>
      <c r="AB56" s="190">
        <f t="shared" ca="1" si="33"/>
        <v>0</v>
      </c>
      <c r="AC56" s="190">
        <f t="shared" ca="1" si="33"/>
        <v>0</v>
      </c>
      <c r="AD56" s="190">
        <f t="shared" ca="1" si="33"/>
        <v>0</v>
      </c>
      <c r="AE56" s="190">
        <f t="shared" ca="1" si="33"/>
        <v>0</v>
      </c>
      <c r="AF56" s="190">
        <f t="shared" ca="1" si="33"/>
        <v>0</v>
      </c>
      <c r="AG56" s="190">
        <f t="shared" ca="1" si="33"/>
        <v>0</v>
      </c>
      <c r="AH56" s="190">
        <f t="shared" ca="1" si="33"/>
        <v>0</v>
      </c>
      <c r="AI56" s="190">
        <f t="shared" ca="1" si="33"/>
        <v>0</v>
      </c>
      <c r="AJ56" s="190">
        <f t="shared" ca="1" si="33"/>
        <v>0</v>
      </c>
      <c r="AK56" s="190">
        <f t="shared" ca="1" si="33"/>
        <v>0</v>
      </c>
      <c r="AL56" s="190">
        <f t="shared" ca="1" si="33"/>
        <v>0</v>
      </c>
      <c r="AM56" s="190">
        <f t="shared" ca="1" si="33"/>
        <v>0</v>
      </c>
      <c r="AN56" s="190">
        <f t="shared" ca="1" si="33"/>
        <v>0</v>
      </c>
      <c r="AO56" s="190">
        <f t="shared" ca="1" si="33"/>
        <v>0</v>
      </c>
      <c r="AP56" s="190">
        <f t="shared" ca="1" si="33"/>
        <v>0</v>
      </c>
      <c r="AQ56" s="190">
        <f t="shared" ca="1" si="33"/>
        <v>0</v>
      </c>
      <c r="AR56" s="190">
        <f t="shared" ca="1" si="33"/>
        <v>0</v>
      </c>
      <c r="AS56" s="190">
        <f t="shared" ca="1" si="33"/>
        <v>0</v>
      </c>
      <c r="AT56" s="190">
        <f t="shared" ca="1" si="33"/>
        <v>0</v>
      </c>
      <c r="AU56" s="190">
        <f t="shared" ca="1" si="33"/>
        <v>0</v>
      </c>
    </row>
    <row r="57" spans="5:47" s="28" customFormat="1">
      <c r="E57" s="254"/>
      <c r="G57" s="36" t="s">
        <v>135</v>
      </c>
      <c r="L57" s="43" t="s">
        <v>12</v>
      </c>
      <c r="N57" s="189">
        <f t="shared" ca="1" si="21"/>
        <v>1991981.1320754716</v>
      </c>
      <c r="O57" s="189"/>
      <c r="P57" s="319"/>
      <c r="Q57" s="189"/>
      <c r="R57" s="190">
        <f t="shared" ref="R57:AU57" ca="1" si="34">R348</f>
        <v>2111500</v>
      </c>
      <c r="S57" s="190">
        <f t="shared" ca="1" si="34"/>
        <v>0</v>
      </c>
      <c r="T57" s="190">
        <f t="shared" ca="1" si="34"/>
        <v>0</v>
      </c>
      <c r="U57" s="190">
        <f t="shared" ca="1" si="34"/>
        <v>0</v>
      </c>
      <c r="V57" s="190">
        <f t="shared" ca="1" si="34"/>
        <v>0</v>
      </c>
      <c r="W57" s="190">
        <f t="shared" ca="1" si="34"/>
        <v>0</v>
      </c>
      <c r="X57" s="190">
        <f t="shared" ca="1" si="34"/>
        <v>0</v>
      </c>
      <c r="Y57" s="190">
        <f t="shared" ca="1" si="34"/>
        <v>0</v>
      </c>
      <c r="Z57" s="190">
        <f t="shared" ca="1" si="34"/>
        <v>0</v>
      </c>
      <c r="AA57" s="190">
        <f t="shared" ca="1" si="34"/>
        <v>0</v>
      </c>
      <c r="AB57" s="190">
        <f t="shared" ca="1" si="34"/>
        <v>0</v>
      </c>
      <c r="AC57" s="190">
        <f t="shared" ca="1" si="34"/>
        <v>0</v>
      </c>
      <c r="AD57" s="190">
        <f t="shared" ca="1" si="34"/>
        <v>0</v>
      </c>
      <c r="AE57" s="190">
        <f t="shared" ca="1" si="34"/>
        <v>0</v>
      </c>
      <c r="AF57" s="190">
        <f t="shared" ca="1" si="34"/>
        <v>0</v>
      </c>
      <c r="AG57" s="190">
        <f t="shared" ca="1" si="34"/>
        <v>0</v>
      </c>
      <c r="AH57" s="190">
        <f t="shared" ca="1" si="34"/>
        <v>0</v>
      </c>
      <c r="AI57" s="190">
        <f t="shared" ca="1" si="34"/>
        <v>0</v>
      </c>
      <c r="AJ57" s="190">
        <f t="shared" ca="1" si="34"/>
        <v>0</v>
      </c>
      <c r="AK57" s="190">
        <f t="shared" ca="1" si="34"/>
        <v>0</v>
      </c>
      <c r="AL57" s="190">
        <f t="shared" ca="1" si="34"/>
        <v>0</v>
      </c>
      <c r="AM57" s="190">
        <f t="shared" ca="1" si="34"/>
        <v>0</v>
      </c>
      <c r="AN57" s="190">
        <f t="shared" ca="1" si="34"/>
        <v>0</v>
      </c>
      <c r="AO57" s="190">
        <f t="shared" ca="1" si="34"/>
        <v>0</v>
      </c>
      <c r="AP57" s="190">
        <f t="shared" ca="1" si="34"/>
        <v>0</v>
      </c>
      <c r="AQ57" s="190">
        <f t="shared" ca="1" si="34"/>
        <v>0</v>
      </c>
      <c r="AR57" s="190">
        <f t="shared" ca="1" si="34"/>
        <v>0</v>
      </c>
      <c r="AS57" s="190">
        <f t="shared" ca="1" si="34"/>
        <v>0</v>
      </c>
      <c r="AT57" s="190">
        <f t="shared" ca="1" si="34"/>
        <v>0</v>
      </c>
      <c r="AU57" s="190">
        <f t="shared" ca="1" si="34"/>
        <v>0</v>
      </c>
    </row>
    <row r="58" spans="5:47" s="28" customFormat="1">
      <c r="E58" s="254"/>
      <c r="G58" s="36" t="s">
        <v>29</v>
      </c>
      <c r="L58" s="43" t="s">
        <v>12</v>
      </c>
      <c r="N58" s="189">
        <f t="shared" ca="1" si="21"/>
        <v>999877.35849056602</v>
      </c>
      <c r="O58" s="189"/>
      <c r="P58" s="319"/>
      <c r="Q58" s="189"/>
      <c r="R58" s="190">
        <f t="shared" ref="R58:AU58" ca="1" si="35">R369</f>
        <v>1059870</v>
      </c>
      <c r="S58" s="190">
        <f t="shared" ca="1" si="35"/>
        <v>0</v>
      </c>
      <c r="T58" s="190">
        <f t="shared" ca="1" si="35"/>
        <v>0</v>
      </c>
      <c r="U58" s="190">
        <f t="shared" ca="1" si="35"/>
        <v>0</v>
      </c>
      <c r="V58" s="190">
        <f t="shared" ca="1" si="35"/>
        <v>0</v>
      </c>
      <c r="W58" s="190">
        <f t="shared" ca="1" si="35"/>
        <v>0</v>
      </c>
      <c r="X58" s="190">
        <f t="shared" ca="1" si="35"/>
        <v>0</v>
      </c>
      <c r="Y58" s="190">
        <f t="shared" ca="1" si="35"/>
        <v>0</v>
      </c>
      <c r="Z58" s="190">
        <f t="shared" ca="1" si="35"/>
        <v>0</v>
      </c>
      <c r="AA58" s="190">
        <f t="shared" ca="1" si="35"/>
        <v>0</v>
      </c>
      <c r="AB58" s="190">
        <f t="shared" ca="1" si="35"/>
        <v>0</v>
      </c>
      <c r="AC58" s="190">
        <f t="shared" ca="1" si="35"/>
        <v>0</v>
      </c>
      <c r="AD58" s="190">
        <f t="shared" ca="1" si="35"/>
        <v>0</v>
      </c>
      <c r="AE58" s="190">
        <f t="shared" ca="1" si="35"/>
        <v>0</v>
      </c>
      <c r="AF58" s="190">
        <f t="shared" ca="1" si="35"/>
        <v>0</v>
      </c>
      <c r="AG58" s="190">
        <f t="shared" ca="1" si="35"/>
        <v>0</v>
      </c>
      <c r="AH58" s="190">
        <f t="shared" ca="1" si="35"/>
        <v>0</v>
      </c>
      <c r="AI58" s="190">
        <f t="shared" ca="1" si="35"/>
        <v>0</v>
      </c>
      <c r="AJ58" s="190">
        <f t="shared" ca="1" si="35"/>
        <v>0</v>
      </c>
      <c r="AK58" s="190">
        <f t="shared" ca="1" si="35"/>
        <v>0</v>
      </c>
      <c r="AL58" s="190">
        <f t="shared" ca="1" si="35"/>
        <v>0</v>
      </c>
      <c r="AM58" s="190">
        <f t="shared" ca="1" si="35"/>
        <v>0</v>
      </c>
      <c r="AN58" s="190">
        <f t="shared" ca="1" si="35"/>
        <v>0</v>
      </c>
      <c r="AO58" s="190">
        <f t="shared" ca="1" si="35"/>
        <v>0</v>
      </c>
      <c r="AP58" s="190">
        <f t="shared" ca="1" si="35"/>
        <v>0</v>
      </c>
      <c r="AQ58" s="190">
        <f t="shared" ca="1" si="35"/>
        <v>0</v>
      </c>
      <c r="AR58" s="190">
        <f t="shared" ca="1" si="35"/>
        <v>0</v>
      </c>
      <c r="AS58" s="190">
        <f t="shared" ca="1" si="35"/>
        <v>0</v>
      </c>
      <c r="AT58" s="190">
        <f t="shared" ca="1" si="35"/>
        <v>0</v>
      </c>
      <c r="AU58" s="190">
        <f t="shared" ca="1" si="35"/>
        <v>0</v>
      </c>
    </row>
    <row r="59" spans="5:47" s="28" customFormat="1">
      <c r="E59" s="254"/>
      <c r="G59" s="36" t="s">
        <v>163</v>
      </c>
      <c r="L59" s="43" t="s">
        <v>12</v>
      </c>
      <c r="N59" s="189">
        <f t="shared" ca="1" si="21"/>
        <v>0</v>
      </c>
      <c r="O59" s="189"/>
      <c r="P59" s="319"/>
      <c r="Q59" s="189"/>
      <c r="R59" s="190">
        <f t="shared" ref="R59:AU59" ca="1" si="36">R390</f>
        <v>0</v>
      </c>
      <c r="S59" s="190">
        <f t="shared" ca="1" si="36"/>
        <v>0</v>
      </c>
      <c r="T59" s="190">
        <f t="shared" ca="1" si="36"/>
        <v>0</v>
      </c>
      <c r="U59" s="190">
        <f t="shared" ca="1" si="36"/>
        <v>0</v>
      </c>
      <c r="V59" s="190">
        <f t="shared" ca="1" si="36"/>
        <v>0</v>
      </c>
      <c r="W59" s="190">
        <f t="shared" ca="1" si="36"/>
        <v>0</v>
      </c>
      <c r="X59" s="190">
        <f t="shared" ca="1" si="36"/>
        <v>0</v>
      </c>
      <c r="Y59" s="190">
        <f t="shared" ca="1" si="36"/>
        <v>0</v>
      </c>
      <c r="Z59" s="190">
        <f t="shared" ca="1" si="36"/>
        <v>0</v>
      </c>
      <c r="AA59" s="190">
        <f t="shared" ca="1" si="36"/>
        <v>0</v>
      </c>
      <c r="AB59" s="190">
        <f t="shared" ca="1" si="36"/>
        <v>0</v>
      </c>
      <c r="AC59" s="190">
        <f t="shared" ca="1" si="36"/>
        <v>0</v>
      </c>
      <c r="AD59" s="190">
        <f t="shared" ca="1" si="36"/>
        <v>0</v>
      </c>
      <c r="AE59" s="190">
        <f t="shared" ca="1" si="36"/>
        <v>0</v>
      </c>
      <c r="AF59" s="190">
        <f t="shared" ca="1" si="36"/>
        <v>0</v>
      </c>
      <c r="AG59" s="190">
        <f t="shared" ca="1" si="36"/>
        <v>0</v>
      </c>
      <c r="AH59" s="190">
        <f t="shared" ca="1" si="36"/>
        <v>0</v>
      </c>
      <c r="AI59" s="190">
        <f t="shared" ca="1" si="36"/>
        <v>0</v>
      </c>
      <c r="AJ59" s="190">
        <f t="shared" ca="1" si="36"/>
        <v>0</v>
      </c>
      <c r="AK59" s="190">
        <f t="shared" ca="1" si="36"/>
        <v>0</v>
      </c>
      <c r="AL59" s="190">
        <f t="shared" ca="1" si="36"/>
        <v>0</v>
      </c>
      <c r="AM59" s="190">
        <f t="shared" ca="1" si="36"/>
        <v>0</v>
      </c>
      <c r="AN59" s="190">
        <f t="shared" ca="1" si="36"/>
        <v>0</v>
      </c>
      <c r="AO59" s="190">
        <f t="shared" ca="1" si="36"/>
        <v>0</v>
      </c>
      <c r="AP59" s="190">
        <f t="shared" ca="1" si="36"/>
        <v>0</v>
      </c>
      <c r="AQ59" s="190">
        <f t="shared" ca="1" si="36"/>
        <v>0</v>
      </c>
      <c r="AR59" s="190">
        <f t="shared" ca="1" si="36"/>
        <v>0</v>
      </c>
      <c r="AS59" s="190">
        <f t="shared" ca="1" si="36"/>
        <v>0</v>
      </c>
      <c r="AT59" s="190">
        <f t="shared" ca="1" si="36"/>
        <v>0</v>
      </c>
      <c r="AU59" s="190">
        <f t="shared" ca="1" si="36"/>
        <v>0</v>
      </c>
    </row>
    <row r="60" spans="5:47" s="28" customFormat="1">
      <c r="E60" s="254"/>
      <c r="G60" s="36" t="s">
        <v>138</v>
      </c>
      <c r="L60" s="43" t="s">
        <v>12</v>
      </c>
      <c r="N60" s="189">
        <f t="shared" ca="1" si="21"/>
        <v>0</v>
      </c>
      <c r="O60" s="189"/>
      <c r="P60" s="319"/>
      <c r="Q60" s="189"/>
      <c r="R60" s="190">
        <f t="shared" ref="R60:AU60" ca="1" si="37">R411</f>
        <v>0</v>
      </c>
      <c r="S60" s="190">
        <f t="shared" ca="1" si="37"/>
        <v>0</v>
      </c>
      <c r="T60" s="190">
        <f t="shared" ca="1" si="37"/>
        <v>0</v>
      </c>
      <c r="U60" s="190">
        <f t="shared" ca="1" si="37"/>
        <v>0</v>
      </c>
      <c r="V60" s="190">
        <f t="shared" ca="1" si="37"/>
        <v>0</v>
      </c>
      <c r="W60" s="190">
        <f t="shared" ca="1" si="37"/>
        <v>0</v>
      </c>
      <c r="X60" s="190">
        <f t="shared" ca="1" si="37"/>
        <v>0</v>
      </c>
      <c r="Y60" s="190">
        <f t="shared" ca="1" si="37"/>
        <v>0</v>
      </c>
      <c r="Z60" s="190">
        <f t="shared" ca="1" si="37"/>
        <v>0</v>
      </c>
      <c r="AA60" s="190">
        <f t="shared" ca="1" si="37"/>
        <v>0</v>
      </c>
      <c r="AB60" s="190">
        <f t="shared" ca="1" si="37"/>
        <v>0</v>
      </c>
      <c r="AC60" s="190">
        <f t="shared" ca="1" si="37"/>
        <v>0</v>
      </c>
      <c r="AD60" s="190">
        <f t="shared" ca="1" si="37"/>
        <v>0</v>
      </c>
      <c r="AE60" s="190">
        <f t="shared" ca="1" si="37"/>
        <v>0</v>
      </c>
      <c r="AF60" s="190">
        <f t="shared" ca="1" si="37"/>
        <v>0</v>
      </c>
      <c r="AG60" s="190">
        <f t="shared" ca="1" si="37"/>
        <v>0</v>
      </c>
      <c r="AH60" s="190">
        <f t="shared" ca="1" si="37"/>
        <v>0</v>
      </c>
      <c r="AI60" s="190">
        <f t="shared" ca="1" si="37"/>
        <v>0</v>
      </c>
      <c r="AJ60" s="190">
        <f t="shared" ca="1" si="37"/>
        <v>0</v>
      </c>
      <c r="AK60" s="190">
        <f t="shared" ca="1" si="37"/>
        <v>0</v>
      </c>
      <c r="AL60" s="190">
        <f t="shared" ca="1" si="37"/>
        <v>0</v>
      </c>
      <c r="AM60" s="190">
        <f t="shared" ca="1" si="37"/>
        <v>0</v>
      </c>
      <c r="AN60" s="190">
        <f t="shared" ca="1" si="37"/>
        <v>0</v>
      </c>
      <c r="AO60" s="190">
        <f t="shared" ca="1" si="37"/>
        <v>0</v>
      </c>
      <c r="AP60" s="190">
        <f t="shared" ca="1" si="37"/>
        <v>0</v>
      </c>
      <c r="AQ60" s="190">
        <f t="shared" ca="1" si="37"/>
        <v>0</v>
      </c>
      <c r="AR60" s="190">
        <f t="shared" ca="1" si="37"/>
        <v>0</v>
      </c>
      <c r="AS60" s="190">
        <f t="shared" ca="1" si="37"/>
        <v>0</v>
      </c>
      <c r="AT60" s="190">
        <f t="shared" ca="1" si="37"/>
        <v>0</v>
      </c>
      <c r="AU60" s="190">
        <f t="shared" ca="1" si="37"/>
        <v>0</v>
      </c>
    </row>
    <row r="61" spans="5:47" s="28" customFormat="1">
      <c r="E61" s="254"/>
      <c r="G61" s="36" t="s">
        <v>113</v>
      </c>
      <c r="L61" s="43" t="s">
        <v>12</v>
      </c>
      <c r="N61" s="189">
        <f t="shared" ca="1" si="21"/>
        <v>950320.75471698109</v>
      </c>
      <c r="O61" s="189"/>
      <c r="P61" s="319"/>
      <c r="Q61" s="189"/>
      <c r="R61" s="190">
        <f t="shared" ref="R61:AU61" ca="1" si="38">R432</f>
        <v>1007340</v>
      </c>
      <c r="S61" s="190">
        <f t="shared" ca="1" si="38"/>
        <v>0</v>
      </c>
      <c r="T61" s="190">
        <f t="shared" ca="1" si="38"/>
        <v>0</v>
      </c>
      <c r="U61" s="190">
        <f t="shared" ca="1" si="38"/>
        <v>0</v>
      </c>
      <c r="V61" s="190">
        <f t="shared" ca="1" si="38"/>
        <v>0</v>
      </c>
      <c r="W61" s="190">
        <f t="shared" ca="1" si="38"/>
        <v>0</v>
      </c>
      <c r="X61" s="190">
        <f t="shared" ca="1" si="38"/>
        <v>0</v>
      </c>
      <c r="Y61" s="190">
        <f t="shared" ca="1" si="38"/>
        <v>0</v>
      </c>
      <c r="Z61" s="190">
        <f t="shared" ca="1" si="38"/>
        <v>0</v>
      </c>
      <c r="AA61" s="190">
        <f t="shared" ca="1" si="38"/>
        <v>0</v>
      </c>
      <c r="AB61" s="190">
        <f t="shared" ca="1" si="38"/>
        <v>0</v>
      </c>
      <c r="AC61" s="190">
        <f t="shared" ca="1" si="38"/>
        <v>0</v>
      </c>
      <c r="AD61" s="190">
        <f t="shared" ca="1" si="38"/>
        <v>0</v>
      </c>
      <c r="AE61" s="190">
        <f t="shared" ca="1" si="38"/>
        <v>0</v>
      </c>
      <c r="AF61" s="190">
        <f t="shared" ca="1" si="38"/>
        <v>0</v>
      </c>
      <c r="AG61" s="190">
        <f t="shared" ca="1" si="38"/>
        <v>0</v>
      </c>
      <c r="AH61" s="190">
        <f t="shared" ca="1" si="38"/>
        <v>0</v>
      </c>
      <c r="AI61" s="190">
        <f t="shared" ca="1" si="38"/>
        <v>0</v>
      </c>
      <c r="AJ61" s="190">
        <f t="shared" ca="1" si="38"/>
        <v>0</v>
      </c>
      <c r="AK61" s="190">
        <f t="shared" ca="1" si="38"/>
        <v>0</v>
      </c>
      <c r="AL61" s="190">
        <f t="shared" ca="1" si="38"/>
        <v>0</v>
      </c>
      <c r="AM61" s="190">
        <f t="shared" ca="1" si="38"/>
        <v>0</v>
      </c>
      <c r="AN61" s="190">
        <f t="shared" ca="1" si="38"/>
        <v>0</v>
      </c>
      <c r="AO61" s="190">
        <f t="shared" ca="1" si="38"/>
        <v>0</v>
      </c>
      <c r="AP61" s="190">
        <f t="shared" ca="1" si="38"/>
        <v>0</v>
      </c>
      <c r="AQ61" s="190">
        <f t="shared" ca="1" si="38"/>
        <v>0</v>
      </c>
      <c r="AR61" s="190">
        <f t="shared" ca="1" si="38"/>
        <v>0</v>
      </c>
      <c r="AS61" s="190">
        <f t="shared" ca="1" si="38"/>
        <v>0</v>
      </c>
      <c r="AT61" s="190">
        <f t="shared" ca="1" si="38"/>
        <v>0</v>
      </c>
      <c r="AU61" s="190">
        <f t="shared" ca="1" si="38"/>
        <v>0</v>
      </c>
    </row>
    <row r="62" spans="5:47" s="28" customFormat="1">
      <c r="E62" s="254"/>
      <c r="G62" s="36" t="s">
        <v>115</v>
      </c>
      <c r="L62" s="43" t="s">
        <v>12</v>
      </c>
      <c r="N62" s="189">
        <f t="shared" ca="1" si="21"/>
        <v>1900641.5094339622</v>
      </c>
      <c r="O62" s="189"/>
      <c r="P62" s="319"/>
      <c r="Q62" s="189"/>
      <c r="R62" s="190">
        <f t="shared" ref="R62:AU62" ca="1" si="39">R437</f>
        <v>2014680</v>
      </c>
      <c r="S62" s="190">
        <f t="shared" ca="1" si="39"/>
        <v>0</v>
      </c>
      <c r="T62" s="190">
        <f t="shared" ca="1" si="39"/>
        <v>0</v>
      </c>
      <c r="U62" s="190">
        <f t="shared" ca="1" si="39"/>
        <v>0</v>
      </c>
      <c r="V62" s="190">
        <f t="shared" ca="1" si="39"/>
        <v>0</v>
      </c>
      <c r="W62" s="190">
        <f t="shared" ca="1" si="39"/>
        <v>0</v>
      </c>
      <c r="X62" s="190">
        <f t="shared" ca="1" si="39"/>
        <v>0</v>
      </c>
      <c r="Y62" s="190">
        <f t="shared" ca="1" si="39"/>
        <v>0</v>
      </c>
      <c r="Z62" s="190">
        <f t="shared" ca="1" si="39"/>
        <v>0</v>
      </c>
      <c r="AA62" s="190">
        <f t="shared" ca="1" si="39"/>
        <v>0</v>
      </c>
      <c r="AB62" s="190">
        <f t="shared" ca="1" si="39"/>
        <v>0</v>
      </c>
      <c r="AC62" s="190">
        <f t="shared" ca="1" si="39"/>
        <v>0</v>
      </c>
      <c r="AD62" s="190">
        <f t="shared" ca="1" si="39"/>
        <v>0</v>
      </c>
      <c r="AE62" s="190">
        <f t="shared" ca="1" si="39"/>
        <v>0</v>
      </c>
      <c r="AF62" s="190">
        <f t="shared" ca="1" si="39"/>
        <v>0</v>
      </c>
      <c r="AG62" s="190">
        <f t="shared" ca="1" si="39"/>
        <v>0</v>
      </c>
      <c r="AH62" s="190">
        <f t="shared" ca="1" si="39"/>
        <v>0</v>
      </c>
      <c r="AI62" s="190">
        <f t="shared" ca="1" si="39"/>
        <v>0</v>
      </c>
      <c r="AJ62" s="190">
        <f t="shared" ca="1" si="39"/>
        <v>0</v>
      </c>
      <c r="AK62" s="190">
        <f t="shared" ca="1" si="39"/>
        <v>0</v>
      </c>
      <c r="AL62" s="190">
        <f t="shared" ca="1" si="39"/>
        <v>0</v>
      </c>
      <c r="AM62" s="190">
        <f t="shared" ca="1" si="39"/>
        <v>0</v>
      </c>
      <c r="AN62" s="190">
        <f t="shared" ca="1" si="39"/>
        <v>0</v>
      </c>
      <c r="AO62" s="190">
        <f t="shared" ca="1" si="39"/>
        <v>0</v>
      </c>
      <c r="AP62" s="190">
        <f t="shared" ca="1" si="39"/>
        <v>0</v>
      </c>
      <c r="AQ62" s="190">
        <f t="shared" ca="1" si="39"/>
        <v>0</v>
      </c>
      <c r="AR62" s="190">
        <f t="shared" ca="1" si="39"/>
        <v>0</v>
      </c>
      <c r="AS62" s="190">
        <f t="shared" ca="1" si="39"/>
        <v>0</v>
      </c>
      <c r="AT62" s="190">
        <f t="shared" ca="1" si="39"/>
        <v>0</v>
      </c>
      <c r="AU62" s="190">
        <f t="shared" ca="1" si="39"/>
        <v>0</v>
      </c>
    </row>
    <row r="63" spans="5:47" s="28" customFormat="1">
      <c r="E63" s="254"/>
      <c r="G63" s="36" t="s">
        <v>146</v>
      </c>
      <c r="L63" s="43" t="s">
        <v>12</v>
      </c>
      <c r="N63" s="189">
        <f t="shared" ca="1" si="21"/>
        <v>6557990.5660377359</v>
      </c>
      <c r="O63" s="189"/>
      <c r="P63" s="319"/>
      <c r="Q63" s="189"/>
      <c r="R63" s="190">
        <f t="shared" ref="R63:AU63" ca="1" si="40">R442</f>
        <v>6951470</v>
      </c>
      <c r="S63" s="190">
        <f t="shared" ca="1" si="40"/>
        <v>0</v>
      </c>
      <c r="T63" s="190">
        <f t="shared" ca="1" si="40"/>
        <v>0</v>
      </c>
      <c r="U63" s="190">
        <f t="shared" ca="1" si="40"/>
        <v>0</v>
      </c>
      <c r="V63" s="190">
        <f t="shared" ca="1" si="40"/>
        <v>0</v>
      </c>
      <c r="W63" s="190">
        <f t="shared" ca="1" si="40"/>
        <v>0</v>
      </c>
      <c r="X63" s="190">
        <f t="shared" ca="1" si="40"/>
        <v>0</v>
      </c>
      <c r="Y63" s="190">
        <f t="shared" ca="1" si="40"/>
        <v>0</v>
      </c>
      <c r="Z63" s="190">
        <f t="shared" ca="1" si="40"/>
        <v>0</v>
      </c>
      <c r="AA63" s="190">
        <f t="shared" ca="1" si="40"/>
        <v>0</v>
      </c>
      <c r="AB63" s="190">
        <f t="shared" ca="1" si="40"/>
        <v>0</v>
      </c>
      <c r="AC63" s="190">
        <f t="shared" ca="1" si="40"/>
        <v>0</v>
      </c>
      <c r="AD63" s="190">
        <f t="shared" ca="1" si="40"/>
        <v>0</v>
      </c>
      <c r="AE63" s="190">
        <f t="shared" ca="1" si="40"/>
        <v>0</v>
      </c>
      <c r="AF63" s="190">
        <f t="shared" ca="1" si="40"/>
        <v>0</v>
      </c>
      <c r="AG63" s="190">
        <f t="shared" ca="1" si="40"/>
        <v>0</v>
      </c>
      <c r="AH63" s="190">
        <f t="shared" ca="1" si="40"/>
        <v>0</v>
      </c>
      <c r="AI63" s="190">
        <f t="shared" ca="1" si="40"/>
        <v>0</v>
      </c>
      <c r="AJ63" s="190">
        <f t="shared" ca="1" si="40"/>
        <v>0</v>
      </c>
      <c r="AK63" s="190">
        <f t="shared" ca="1" si="40"/>
        <v>0</v>
      </c>
      <c r="AL63" s="190">
        <f t="shared" ca="1" si="40"/>
        <v>0</v>
      </c>
      <c r="AM63" s="190">
        <f t="shared" ca="1" si="40"/>
        <v>0</v>
      </c>
      <c r="AN63" s="190">
        <f t="shared" ca="1" si="40"/>
        <v>0</v>
      </c>
      <c r="AO63" s="190">
        <f t="shared" ca="1" si="40"/>
        <v>0</v>
      </c>
      <c r="AP63" s="190">
        <f t="shared" ca="1" si="40"/>
        <v>0</v>
      </c>
      <c r="AQ63" s="190">
        <f t="shared" ca="1" si="40"/>
        <v>0</v>
      </c>
      <c r="AR63" s="190">
        <f t="shared" ca="1" si="40"/>
        <v>0</v>
      </c>
      <c r="AS63" s="190">
        <f t="shared" ca="1" si="40"/>
        <v>0</v>
      </c>
      <c r="AT63" s="190">
        <f t="shared" ca="1" si="40"/>
        <v>0</v>
      </c>
      <c r="AU63" s="190">
        <f t="shared" ca="1" si="40"/>
        <v>0</v>
      </c>
    </row>
    <row r="64" spans="5:47" s="28" customFormat="1">
      <c r="E64" s="254"/>
      <c r="G64" s="36" t="s">
        <v>147</v>
      </c>
      <c r="L64" s="43" t="s">
        <v>12</v>
      </c>
      <c r="N64" s="189">
        <f t="shared" ca="1" si="21"/>
        <v>4262839.6226415094</v>
      </c>
      <c r="O64" s="189"/>
      <c r="P64" s="319"/>
      <c r="Q64" s="189"/>
      <c r="R64" s="190">
        <f t="shared" ref="R64:AU64" ca="1" si="41">R447</f>
        <v>4518610</v>
      </c>
      <c r="S64" s="190">
        <f t="shared" ca="1" si="41"/>
        <v>0</v>
      </c>
      <c r="T64" s="190">
        <f t="shared" ca="1" si="41"/>
        <v>0</v>
      </c>
      <c r="U64" s="190">
        <f t="shared" ca="1" si="41"/>
        <v>0</v>
      </c>
      <c r="V64" s="190">
        <f t="shared" ca="1" si="41"/>
        <v>0</v>
      </c>
      <c r="W64" s="190">
        <f t="shared" ca="1" si="41"/>
        <v>0</v>
      </c>
      <c r="X64" s="190">
        <f t="shared" ca="1" si="41"/>
        <v>0</v>
      </c>
      <c r="Y64" s="190">
        <f t="shared" ca="1" si="41"/>
        <v>0</v>
      </c>
      <c r="Z64" s="190">
        <f t="shared" ca="1" si="41"/>
        <v>0</v>
      </c>
      <c r="AA64" s="190">
        <f t="shared" ca="1" si="41"/>
        <v>0</v>
      </c>
      <c r="AB64" s="190">
        <f t="shared" ca="1" si="41"/>
        <v>0</v>
      </c>
      <c r="AC64" s="190">
        <f t="shared" ca="1" si="41"/>
        <v>0</v>
      </c>
      <c r="AD64" s="190">
        <f t="shared" ca="1" si="41"/>
        <v>0</v>
      </c>
      <c r="AE64" s="190">
        <f t="shared" ca="1" si="41"/>
        <v>0</v>
      </c>
      <c r="AF64" s="190">
        <f t="shared" ca="1" si="41"/>
        <v>0</v>
      </c>
      <c r="AG64" s="190">
        <f t="shared" ca="1" si="41"/>
        <v>0</v>
      </c>
      <c r="AH64" s="190">
        <f t="shared" ca="1" si="41"/>
        <v>0</v>
      </c>
      <c r="AI64" s="190">
        <f t="shared" ca="1" si="41"/>
        <v>0</v>
      </c>
      <c r="AJ64" s="190">
        <f t="shared" ca="1" si="41"/>
        <v>0</v>
      </c>
      <c r="AK64" s="190">
        <f t="shared" ca="1" si="41"/>
        <v>0</v>
      </c>
      <c r="AL64" s="190">
        <f t="shared" ca="1" si="41"/>
        <v>0</v>
      </c>
      <c r="AM64" s="190">
        <f t="shared" ca="1" si="41"/>
        <v>0</v>
      </c>
      <c r="AN64" s="190">
        <f t="shared" ca="1" si="41"/>
        <v>0</v>
      </c>
      <c r="AO64" s="190">
        <f t="shared" ca="1" si="41"/>
        <v>0</v>
      </c>
      <c r="AP64" s="190">
        <f t="shared" ca="1" si="41"/>
        <v>0</v>
      </c>
      <c r="AQ64" s="190">
        <f t="shared" ca="1" si="41"/>
        <v>0</v>
      </c>
      <c r="AR64" s="190">
        <f t="shared" ca="1" si="41"/>
        <v>0</v>
      </c>
      <c r="AS64" s="190">
        <f t="shared" ca="1" si="41"/>
        <v>0</v>
      </c>
      <c r="AT64" s="190">
        <f t="shared" ca="1" si="41"/>
        <v>0</v>
      </c>
      <c r="AU64" s="190">
        <f t="shared" ca="1" si="41"/>
        <v>0</v>
      </c>
    </row>
    <row r="65" spans="1:47" s="39" customFormat="1">
      <c r="E65" s="254"/>
      <c r="G65" s="173" t="s">
        <v>114</v>
      </c>
      <c r="L65" s="174" t="s">
        <v>12</v>
      </c>
      <c r="N65" s="189">
        <f ca="1">SUBTOTAL(9,N45:N64)</f>
        <v>32679179.245283023</v>
      </c>
      <c r="O65" s="189"/>
      <c r="P65" s="320"/>
      <c r="Q65" s="189"/>
      <c r="R65" s="189">
        <f t="shared" ref="R65:AU65" ca="1" si="42">SUBTOTAL(9,R45:R64)</f>
        <v>34639930</v>
      </c>
      <c r="S65" s="189">
        <f t="shared" ca="1" si="42"/>
        <v>0</v>
      </c>
      <c r="T65" s="189">
        <f t="shared" ca="1" si="42"/>
        <v>0</v>
      </c>
      <c r="U65" s="189">
        <f t="shared" ca="1" si="42"/>
        <v>0</v>
      </c>
      <c r="V65" s="189">
        <f t="shared" ca="1" si="42"/>
        <v>0</v>
      </c>
      <c r="W65" s="189">
        <f t="shared" ca="1" si="42"/>
        <v>0</v>
      </c>
      <c r="X65" s="189">
        <f t="shared" ca="1" si="42"/>
        <v>0</v>
      </c>
      <c r="Y65" s="189">
        <f t="shared" ca="1" si="42"/>
        <v>0</v>
      </c>
      <c r="Z65" s="189">
        <f t="shared" ca="1" si="42"/>
        <v>0</v>
      </c>
      <c r="AA65" s="189">
        <f t="shared" ca="1" si="42"/>
        <v>0</v>
      </c>
      <c r="AB65" s="189">
        <f t="shared" ca="1" si="42"/>
        <v>0</v>
      </c>
      <c r="AC65" s="189">
        <f t="shared" ca="1" si="42"/>
        <v>0</v>
      </c>
      <c r="AD65" s="189">
        <f t="shared" ca="1" si="42"/>
        <v>0</v>
      </c>
      <c r="AE65" s="189">
        <f t="shared" ca="1" si="42"/>
        <v>0</v>
      </c>
      <c r="AF65" s="189">
        <f t="shared" ca="1" si="42"/>
        <v>0</v>
      </c>
      <c r="AG65" s="189">
        <f t="shared" ca="1" si="42"/>
        <v>0</v>
      </c>
      <c r="AH65" s="189">
        <f t="shared" ca="1" si="42"/>
        <v>0</v>
      </c>
      <c r="AI65" s="189">
        <f t="shared" ca="1" si="42"/>
        <v>0</v>
      </c>
      <c r="AJ65" s="189">
        <f t="shared" ca="1" si="42"/>
        <v>0</v>
      </c>
      <c r="AK65" s="189">
        <f t="shared" ca="1" si="42"/>
        <v>0</v>
      </c>
      <c r="AL65" s="189">
        <f t="shared" ca="1" si="42"/>
        <v>0</v>
      </c>
      <c r="AM65" s="189">
        <f t="shared" ca="1" si="42"/>
        <v>0</v>
      </c>
      <c r="AN65" s="189">
        <f t="shared" ca="1" si="42"/>
        <v>0</v>
      </c>
      <c r="AO65" s="189">
        <f t="shared" ca="1" si="42"/>
        <v>0</v>
      </c>
      <c r="AP65" s="189">
        <f t="shared" ca="1" si="42"/>
        <v>0</v>
      </c>
      <c r="AQ65" s="189">
        <f t="shared" ca="1" si="42"/>
        <v>0</v>
      </c>
      <c r="AR65" s="189">
        <f t="shared" ca="1" si="42"/>
        <v>0</v>
      </c>
      <c r="AS65" s="189">
        <f t="shared" ca="1" si="42"/>
        <v>0</v>
      </c>
      <c r="AT65" s="189">
        <f t="shared" ca="1" si="42"/>
        <v>0</v>
      </c>
      <c r="AU65" s="189">
        <f t="shared" ca="1" si="42"/>
        <v>0</v>
      </c>
    </row>
    <row r="66" spans="1:47" s="28" customFormat="1">
      <c r="E66" s="53"/>
      <c r="G66" s="36"/>
      <c r="L66" s="43"/>
      <c r="N66" s="189"/>
      <c r="O66" s="189"/>
      <c r="P66" s="190"/>
      <c r="Q66" s="189"/>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row>
    <row r="67" spans="1:47" s="28" customFormat="1">
      <c r="A67" s="40"/>
      <c r="B67" s="40"/>
      <c r="C67" s="40"/>
      <c r="D67" s="40"/>
      <c r="G67" s="324" t="s">
        <v>493</v>
      </c>
      <c r="H67" s="324"/>
      <c r="I67" s="324"/>
      <c r="J67" s="324"/>
      <c r="K67" s="324"/>
      <c r="L67" s="405"/>
      <c r="M67" s="256"/>
      <c r="N67" s="325"/>
      <c r="O67" s="311"/>
      <c r="P67" s="325"/>
      <c r="Q67" s="310"/>
      <c r="R67" s="325">
        <f>R42</f>
        <v>2014</v>
      </c>
      <c r="S67" s="325">
        <f t="shared" ref="S67:AU67" si="43">S42</f>
        <v>2015</v>
      </c>
      <c r="T67" s="325">
        <f t="shared" si="43"/>
        <v>2016</v>
      </c>
      <c r="U67" s="325">
        <f t="shared" si="43"/>
        <v>2017</v>
      </c>
      <c r="V67" s="325">
        <f t="shared" si="43"/>
        <v>2018</v>
      </c>
      <c r="W67" s="325">
        <f t="shared" si="43"/>
        <v>2019</v>
      </c>
      <c r="X67" s="325">
        <f t="shared" si="43"/>
        <v>2020</v>
      </c>
      <c r="Y67" s="325">
        <f t="shared" si="43"/>
        <v>2021</v>
      </c>
      <c r="Z67" s="325">
        <f t="shared" si="43"/>
        <v>2022</v>
      </c>
      <c r="AA67" s="325">
        <f t="shared" si="43"/>
        <v>2023</v>
      </c>
      <c r="AB67" s="325">
        <f t="shared" si="43"/>
        <v>2024</v>
      </c>
      <c r="AC67" s="325">
        <f t="shared" si="43"/>
        <v>2025</v>
      </c>
      <c r="AD67" s="325">
        <f t="shared" si="43"/>
        <v>2026</v>
      </c>
      <c r="AE67" s="325">
        <f t="shared" si="43"/>
        <v>2027</v>
      </c>
      <c r="AF67" s="325">
        <f t="shared" si="43"/>
        <v>2028</v>
      </c>
      <c r="AG67" s="325">
        <f t="shared" si="43"/>
        <v>2029</v>
      </c>
      <c r="AH67" s="325">
        <f t="shared" si="43"/>
        <v>2030</v>
      </c>
      <c r="AI67" s="325">
        <f t="shared" si="43"/>
        <v>2031</v>
      </c>
      <c r="AJ67" s="325">
        <f t="shared" si="43"/>
        <v>2032</v>
      </c>
      <c r="AK67" s="325">
        <f t="shared" si="43"/>
        <v>2033</v>
      </c>
      <c r="AL67" s="325">
        <f t="shared" si="43"/>
        <v>2034</v>
      </c>
      <c r="AM67" s="325">
        <f t="shared" si="43"/>
        <v>2035</v>
      </c>
      <c r="AN67" s="325">
        <f t="shared" si="43"/>
        <v>2036</v>
      </c>
      <c r="AO67" s="325">
        <f t="shared" si="43"/>
        <v>2037</v>
      </c>
      <c r="AP67" s="325">
        <f t="shared" si="43"/>
        <v>2038</v>
      </c>
      <c r="AQ67" s="325">
        <f t="shared" si="43"/>
        <v>2039</v>
      </c>
      <c r="AR67" s="325">
        <f t="shared" si="43"/>
        <v>2040</v>
      </c>
      <c r="AS67" s="325">
        <f t="shared" si="43"/>
        <v>2041</v>
      </c>
      <c r="AT67" s="325">
        <f t="shared" si="43"/>
        <v>2042</v>
      </c>
      <c r="AU67" s="325">
        <f t="shared" si="43"/>
        <v>2043</v>
      </c>
    </row>
    <row r="68" spans="1:47" s="28" customFormat="1">
      <c r="E68" s="254"/>
      <c r="G68" s="36"/>
      <c r="L68" s="43"/>
      <c r="N68" s="189"/>
      <c r="O68" s="189"/>
      <c r="P68" s="190"/>
      <c r="Q68" s="189"/>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row>
    <row r="69" spans="1:47" s="28" customFormat="1">
      <c r="E69" s="254"/>
      <c r="G69" s="36" t="s">
        <v>315</v>
      </c>
      <c r="L69" s="43" t="s">
        <v>12</v>
      </c>
      <c r="N69" s="189">
        <f t="shared" ref="N69:N87" ca="1" si="44">NPV(DiscountRt,R69:AU69)</f>
        <v>3033703.2692669816</v>
      </c>
      <c r="O69" s="189"/>
      <c r="P69" s="320"/>
      <c r="Q69" s="189"/>
      <c r="R69" s="190">
        <f t="shared" ref="R69:AU69" ca="1" si="45">R113</f>
        <v>225240.14494936715</v>
      </c>
      <c r="S69" s="190">
        <f t="shared" ca="1" si="45"/>
        <v>229233.84505199722</v>
      </c>
      <c r="T69" s="190">
        <f t="shared" ca="1" si="45"/>
        <v>234681.86488194409</v>
      </c>
      <c r="U69" s="190">
        <f t="shared" ca="1" si="45"/>
        <v>239765.09046144341</v>
      </c>
      <c r="V69" s="190">
        <f t="shared" ca="1" si="45"/>
        <v>244726.2048741724</v>
      </c>
      <c r="W69" s="190">
        <f t="shared" ca="1" si="45"/>
        <v>249324.48891440028</v>
      </c>
      <c r="X69" s="190">
        <f t="shared" ca="1" si="45"/>
        <v>254155.79435489755</v>
      </c>
      <c r="Y69" s="190">
        <f t="shared" ca="1" si="45"/>
        <v>259435.13987168498</v>
      </c>
      <c r="Z69" s="190">
        <f t="shared" ca="1" si="45"/>
        <v>264794.67855224758</v>
      </c>
      <c r="AA69" s="190">
        <f t="shared" ca="1" si="45"/>
        <v>270312.62980952137</v>
      </c>
      <c r="AB69" s="190">
        <f t="shared" ca="1" si="45"/>
        <v>275794.40275253868</v>
      </c>
      <c r="AC69" s="190">
        <f t="shared" ca="1" si="45"/>
        <v>281275.72257143375</v>
      </c>
      <c r="AD69" s="190">
        <f t="shared" ca="1" si="45"/>
        <v>287048.10612193134</v>
      </c>
      <c r="AE69" s="190">
        <f t="shared" ca="1" si="45"/>
        <v>292924.39306353359</v>
      </c>
      <c r="AF69" s="190">
        <f t="shared" ca="1" si="45"/>
        <v>298970.12317217601</v>
      </c>
      <c r="AG69" s="190">
        <f t="shared" ca="1" si="45"/>
        <v>305254.9290101314</v>
      </c>
      <c r="AH69" s="190">
        <f t="shared" ca="1" si="45"/>
        <v>311594.77121271112</v>
      </c>
      <c r="AI69" s="190">
        <f t="shared" ca="1" si="45"/>
        <v>318143.68120781303</v>
      </c>
      <c r="AJ69" s="190">
        <f t="shared" ca="1" si="45"/>
        <v>324877.05895553058</v>
      </c>
      <c r="AK69" s="190">
        <f t="shared" ca="1" si="45"/>
        <v>331779.45724062651</v>
      </c>
      <c r="AL69" s="190">
        <f t="shared" si="45"/>
        <v>0</v>
      </c>
      <c r="AM69" s="190">
        <f t="shared" si="45"/>
        <v>0</v>
      </c>
      <c r="AN69" s="190">
        <f t="shared" si="45"/>
        <v>0</v>
      </c>
      <c r="AO69" s="190">
        <f t="shared" si="45"/>
        <v>0</v>
      </c>
      <c r="AP69" s="190">
        <f t="shared" si="45"/>
        <v>0</v>
      </c>
      <c r="AQ69" s="190">
        <f t="shared" si="45"/>
        <v>0</v>
      </c>
      <c r="AR69" s="190">
        <f t="shared" si="45"/>
        <v>0</v>
      </c>
      <c r="AS69" s="190">
        <f t="shared" si="45"/>
        <v>0</v>
      </c>
      <c r="AT69" s="190">
        <f t="shared" si="45"/>
        <v>0</v>
      </c>
      <c r="AU69" s="190">
        <f t="shared" si="45"/>
        <v>0</v>
      </c>
    </row>
    <row r="70" spans="1:47" s="28" customFormat="1">
      <c r="E70" s="254"/>
      <c r="G70" s="36" t="s">
        <v>153</v>
      </c>
      <c r="L70" s="43" t="s">
        <v>12</v>
      </c>
      <c r="N70" s="189">
        <f t="shared" ca="1" si="44"/>
        <v>0</v>
      </c>
      <c r="O70" s="189"/>
      <c r="P70" s="320"/>
      <c r="Q70" s="189"/>
      <c r="R70" s="190">
        <f t="shared" ref="R70:AU70" ca="1" si="46">R134</f>
        <v>0</v>
      </c>
      <c r="S70" s="190">
        <f t="shared" ca="1" si="46"/>
        <v>0</v>
      </c>
      <c r="T70" s="190">
        <f t="shared" ca="1" si="46"/>
        <v>0</v>
      </c>
      <c r="U70" s="190">
        <f t="shared" ca="1" si="46"/>
        <v>0</v>
      </c>
      <c r="V70" s="190">
        <f t="shared" ca="1" si="46"/>
        <v>0</v>
      </c>
      <c r="W70" s="190">
        <f t="shared" ca="1" si="46"/>
        <v>0</v>
      </c>
      <c r="X70" s="190">
        <f t="shared" ca="1" si="46"/>
        <v>0</v>
      </c>
      <c r="Y70" s="190">
        <f t="shared" ca="1" si="46"/>
        <v>0</v>
      </c>
      <c r="Z70" s="190">
        <f t="shared" ca="1" si="46"/>
        <v>0</v>
      </c>
      <c r="AA70" s="190">
        <f t="shared" ca="1" si="46"/>
        <v>0</v>
      </c>
      <c r="AB70" s="190">
        <f t="shared" ca="1" si="46"/>
        <v>0</v>
      </c>
      <c r="AC70" s="190">
        <f t="shared" ca="1" si="46"/>
        <v>0</v>
      </c>
      <c r="AD70" s="190">
        <f t="shared" ca="1" si="46"/>
        <v>0</v>
      </c>
      <c r="AE70" s="190">
        <f t="shared" ca="1" si="46"/>
        <v>0</v>
      </c>
      <c r="AF70" s="190">
        <f t="shared" ca="1" si="46"/>
        <v>0</v>
      </c>
      <c r="AG70" s="190">
        <f t="shared" ca="1" si="46"/>
        <v>0</v>
      </c>
      <c r="AH70" s="190">
        <f t="shared" ca="1" si="46"/>
        <v>0</v>
      </c>
      <c r="AI70" s="190">
        <f t="shared" ca="1" si="46"/>
        <v>0</v>
      </c>
      <c r="AJ70" s="190">
        <f t="shared" ca="1" si="46"/>
        <v>0</v>
      </c>
      <c r="AK70" s="190">
        <f t="shared" ca="1" si="46"/>
        <v>0</v>
      </c>
      <c r="AL70" s="190">
        <f t="shared" si="46"/>
        <v>0</v>
      </c>
      <c r="AM70" s="190">
        <f t="shared" si="46"/>
        <v>0</v>
      </c>
      <c r="AN70" s="190">
        <f t="shared" si="46"/>
        <v>0</v>
      </c>
      <c r="AO70" s="190">
        <f t="shared" si="46"/>
        <v>0</v>
      </c>
      <c r="AP70" s="190">
        <f t="shared" si="46"/>
        <v>0</v>
      </c>
      <c r="AQ70" s="190">
        <f t="shared" si="46"/>
        <v>0</v>
      </c>
      <c r="AR70" s="190">
        <f t="shared" si="46"/>
        <v>0</v>
      </c>
      <c r="AS70" s="190">
        <f t="shared" si="46"/>
        <v>0</v>
      </c>
      <c r="AT70" s="190">
        <f t="shared" si="46"/>
        <v>0</v>
      </c>
      <c r="AU70" s="190">
        <f t="shared" si="46"/>
        <v>0</v>
      </c>
    </row>
    <row r="71" spans="1:47" s="28" customFormat="1">
      <c r="E71" s="254"/>
      <c r="G71" s="36" t="s">
        <v>143</v>
      </c>
      <c r="L71" s="43" t="s">
        <v>12</v>
      </c>
      <c r="N71" s="189">
        <f t="shared" ca="1" si="44"/>
        <v>4364968.6623703912</v>
      </c>
      <c r="O71" s="189"/>
      <c r="P71" s="320"/>
      <c r="Q71" s="189"/>
      <c r="R71" s="190">
        <f t="shared" ref="R71:AU71" ca="1" si="47">R155</f>
        <v>325285.25475647952</v>
      </c>
      <c r="S71" s="190">
        <f t="shared" ca="1" si="47"/>
        <v>331762.07429313834</v>
      </c>
      <c r="T71" s="190">
        <f t="shared" ca="1" si="47"/>
        <v>338446.108590997</v>
      </c>
      <c r="U71" s="190">
        <f t="shared" ca="1" si="47"/>
        <v>345237.04878967063</v>
      </c>
      <c r="V71" s="190">
        <f t="shared" ca="1" si="47"/>
        <v>352151.16085419169</v>
      </c>
      <c r="W71" s="190">
        <f t="shared" ca="1" si="47"/>
        <v>359177.44172598561</v>
      </c>
      <c r="X71" s="190">
        <f t="shared" ca="1" si="47"/>
        <v>366352.22014035704</v>
      </c>
      <c r="Y71" s="190">
        <f t="shared" ca="1" si="47"/>
        <v>373690.35468487832</v>
      </c>
      <c r="Z71" s="190">
        <f t="shared" ca="1" si="47"/>
        <v>381173.81676369079</v>
      </c>
      <c r="AA71" s="190">
        <f t="shared" ca="1" si="47"/>
        <v>388809.84294280258</v>
      </c>
      <c r="AB71" s="190">
        <f t="shared" ca="1" si="47"/>
        <v>396590.3079203415</v>
      </c>
      <c r="AC71" s="190">
        <f t="shared" ca="1" si="47"/>
        <v>404520.16041538783</v>
      </c>
      <c r="AD71" s="190">
        <f t="shared" ca="1" si="47"/>
        <v>412618.86409862729</v>
      </c>
      <c r="AE71" s="190">
        <f t="shared" ca="1" si="47"/>
        <v>420878.88941736339</v>
      </c>
      <c r="AF71" s="190">
        <f t="shared" ca="1" si="47"/>
        <v>429307.04941524495</v>
      </c>
      <c r="AG71" s="190">
        <f t="shared" ca="1" si="47"/>
        <v>437910.45062418358</v>
      </c>
      <c r="AH71" s="190">
        <f t="shared" ca="1" si="47"/>
        <v>446681.92644068034</v>
      </c>
      <c r="AI71" s="190">
        <f t="shared" ca="1" si="47"/>
        <v>455633.48141015432</v>
      </c>
      <c r="AJ71" s="190">
        <f t="shared" ca="1" si="47"/>
        <v>464767.09050220111</v>
      </c>
      <c r="AK71" s="190">
        <f t="shared" ca="1" si="47"/>
        <v>474085.3132741389</v>
      </c>
      <c r="AL71" s="190">
        <f t="shared" si="47"/>
        <v>0</v>
      </c>
      <c r="AM71" s="190">
        <f t="shared" si="47"/>
        <v>0</v>
      </c>
      <c r="AN71" s="190">
        <f t="shared" si="47"/>
        <v>0</v>
      </c>
      <c r="AO71" s="190">
        <f t="shared" si="47"/>
        <v>0</v>
      </c>
      <c r="AP71" s="190">
        <f t="shared" si="47"/>
        <v>0</v>
      </c>
      <c r="AQ71" s="190">
        <f t="shared" si="47"/>
        <v>0</v>
      </c>
      <c r="AR71" s="190">
        <f t="shared" si="47"/>
        <v>0</v>
      </c>
      <c r="AS71" s="190">
        <f t="shared" si="47"/>
        <v>0</v>
      </c>
      <c r="AT71" s="190">
        <f t="shared" si="47"/>
        <v>0</v>
      </c>
      <c r="AU71" s="190">
        <f t="shared" si="47"/>
        <v>0</v>
      </c>
    </row>
    <row r="72" spans="1:47" s="28" customFormat="1">
      <c r="E72" s="254"/>
      <c r="G72" s="36" t="s">
        <v>316</v>
      </c>
      <c r="L72" s="43" t="s">
        <v>12</v>
      </c>
      <c r="N72" s="189">
        <f t="shared" ca="1" si="44"/>
        <v>611899.58278910606</v>
      </c>
      <c r="O72" s="189"/>
      <c r="P72" s="320"/>
      <c r="Q72" s="189"/>
      <c r="R72" s="190">
        <f t="shared" ref="R72:AU72" ca="1" si="48">R176</f>
        <v>45606.75</v>
      </c>
      <c r="S72" s="190">
        <f t="shared" ca="1" si="48"/>
        <v>46518.885000000002</v>
      </c>
      <c r="T72" s="190">
        <f t="shared" ca="1" si="48"/>
        <v>47449.262699999999</v>
      </c>
      <c r="U72" s="190">
        <f t="shared" ca="1" si="48"/>
        <v>48398.247953999999</v>
      </c>
      <c r="V72" s="190">
        <f t="shared" ca="1" si="48"/>
        <v>49366.212913080002</v>
      </c>
      <c r="W72" s="190">
        <f t="shared" ca="1" si="48"/>
        <v>50353.537171341603</v>
      </c>
      <c r="X72" s="190">
        <f t="shared" ca="1" si="48"/>
        <v>51360.607914768421</v>
      </c>
      <c r="Y72" s="190">
        <f t="shared" ca="1" si="48"/>
        <v>52387.820073063798</v>
      </c>
      <c r="Z72" s="190">
        <f t="shared" ca="1" si="48"/>
        <v>53435.576474525071</v>
      </c>
      <c r="AA72" s="190">
        <f t="shared" ca="1" si="48"/>
        <v>54504.28800401558</v>
      </c>
      <c r="AB72" s="190">
        <f t="shared" ca="1" si="48"/>
        <v>55594.373764095879</v>
      </c>
      <c r="AC72" s="190">
        <f t="shared" ca="1" si="48"/>
        <v>56706.261239377804</v>
      </c>
      <c r="AD72" s="190">
        <f t="shared" ca="1" si="48"/>
        <v>57840.386464165356</v>
      </c>
      <c r="AE72" s="190">
        <f t="shared" ca="1" si="48"/>
        <v>58997.194193448668</v>
      </c>
      <c r="AF72" s="190">
        <f t="shared" ca="1" si="48"/>
        <v>60177.138077317628</v>
      </c>
      <c r="AG72" s="190">
        <f t="shared" ca="1" si="48"/>
        <v>61380.680838863991</v>
      </c>
      <c r="AH72" s="190">
        <f t="shared" ca="1" si="48"/>
        <v>62608.294455641277</v>
      </c>
      <c r="AI72" s="190">
        <f t="shared" ca="1" si="48"/>
        <v>63860.460344754094</v>
      </c>
      <c r="AJ72" s="190">
        <f t="shared" ca="1" si="48"/>
        <v>65137.669551649175</v>
      </c>
      <c r="AK72" s="190">
        <f t="shared" ca="1" si="48"/>
        <v>66440.422942682169</v>
      </c>
      <c r="AL72" s="190">
        <f t="shared" si="48"/>
        <v>0</v>
      </c>
      <c r="AM72" s="190">
        <f t="shared" si="48"/>
        <v>0</v>
      </c>
      <c r="AN72" s="190">
        <f t="shared" si="48"/>
        <v>0</v>
      </c>
      <c r="AO72" s="190">
        <f t="shared" si="48"/>
        <v>0</v>
      </c>
      <c r="AP72" s="190">
        <f t="shared" si="48"/>
        <v>0</v>
      </c>
      <c r="AQ72" s="190">
        <f t="shared" si="48"/>
        <v>0</v>
      </c>
      <c r="AR72" s="190">
        <f t="shared" si="48"/>
        <v>0</v>
      </c>
      <c r="AS72" s="190">
        <f t="shared" si="48"/>
        <v>0</v>
      </c>
      <c r="AT72" s="190">
        <f t="shared" si="48"/>
        <v>0</v>
      </c>
      <c r="AU72" s="190">
        <f t="shared" si="48"/>
        <v>0</v>
      </c>
    </row>
    <row r="73" spans="1:47" s="28" customFormat="1">
      <c r="E73" s="254"/>
      <c r="G73" s="36" t="s">
        <v>317</v>
      </c>
      <c r="L73" s="43" t="s">
        <v>12</v>
      </c>
      <c r="N73" s="189">
        <f t="shared" ca="1" si="44"/>
        <v>836558.64575201867</v>
      </c>
      <c r="O73" s="189"/>
      <c r="P73" s="320"/>
      <c r="Q73" s="189"/>
      <c r="R73" s="190">
        <f t="shared" ref="R73:AU73" ca="1" si="49">R197</f>
        <v>62301.504116662109</v>
      </c>
      <c r="S73" s="190">
        <f t="shared" ca="1" si="49"/>
        <v>63518.328578934925</v>
      </c>
      <c r="T73" s="190">
        <f t="shared" ca="1" si="49"/>
        <v>64838.028603085622</v>
      </c>
      <c r="U73" s="190">
        <f t="shared" ca="1" si="49"/>
        <v>66157.051169057566</v>
      </c>
      <c r="V73" s="190">
        <f t="shared" ca="1" si="49"/>
        <v>67489.667115944452</v>
      </c>
      <c r="W73" s="190">
        <f t="shared" ca="1" si="49"/>
        <v>68822.53260222236</v>
      </c>
      <c r="X73" s="190">
        <f t="shared" ca="1" si="49"/>
        <v>70190.115654947935</v>
      </c>
      <c r="Y73" s="190">
        <f t="shared" ca="1" si="49"/>
        <v>71605.130992217673</v>
      </c>
      <c r="Z73" s="190">
        <f t="shared" ca="1" si="49"/>
        <v>73046.995577621434</v>
      </c>
      <c r="AA73" s="190">
        <f t="shared" ca="1" si="49"/>
        <v>74520.624389453253</v>
      </c>
      <c r="AB73" s="190">
        <f t="shared" ca="1" si="49"/>
        <v>76015.352288098948</v>
      </c>
      <c r="AC73" s="190">
        <f t="shared" ca="1" si="49"/>
        <v>77533.684023260968</v>
      </c>
      <c r="AD73" s="190">
        <f t="shared" ca="1" si="49"/>
        <v>79092.750150679291</v>
      </c>
      <c r="AE73" s="190">
        <f t="shared" ca="1" si="49"/>
        <v>80682.337933246061</v>
      </c>
      <c r="AF73" s="190">
        <f t="shared" ca="1" si="49"/>
        <v>82306.684155844589</v>
      </c>
      <c r="AG73" s="190">
        <f t="shared" ca="1" si="49"/>
        <v>83970.269308577263</v>
      </c>
      <c r="AH73" s="190">
        <f t="shared" ca="1" si="49"/>
        <v>85663.088499360369</v>
      </c>
      <c r="AI73" s="190">
        <f t="shared" ca="1" si="49"/>
        <v>87394.465230126065</v>
      </c>
      <c r="AJ73" s="190">
        <f t="shared" ca="1" si="49"/>
        <v>89163.526014792224</v>
      </c>
      <c r="AK73" s="190">
        <f t="shared" ca="1" si="49"/>
        <v>90969.931025645434</v>
      </c>
      <c r="AL73" s="190">
        <f t="shared" si="49"/>
        <v>0</v>
      </c>
      <c r="AM73" s="190">
        <f t="shared" si="49"/>
        <v>0</v>
      </c>
      <c r="AN73" s="190">
        <f t="shared" si="49"/>
        <v>0</v>
      </c>
      <c r="AO73" s="190">
        <f t="shared" si="49"/>
        <v>0</v>
      </c>
      <c r="AP73" s="190">
        <f t="shared" si="49"/>
        <v>0</v>
      </c>
      <c r="AQ73" s="190">
        <f t="shared" si="49"/>
        <v>0</v>
      </c>
      <c r="AR73" s="190">
        <f t="shared" si="49"/>
        <v>0</v>
      </c>
      <c r="AS73" s="190">
        <f t="shared" si="49"/>
        <v>0</v>
      </c>
      <c r="AT73" s="190">
        <f t="shared" si="49"/>
        <v>0</v>
      </c>
      <c r="AU73" s="190">
        <f t="shared" si="49"/>
        <v>0</v>
      </c>
    </row>
    <row r="74" spans="1:47" s="28" customFormat="1">
      <c r="E74" s="254"/>
      <c r="G74" s="36" t="s">
        <v>318</v>
      </c>
      <c r="L74" s="43" t="s">
        <v>12</v>
      </c>
      <c r="N74" s="189">
        <f t="shared" ca="1" si="44"/>
        <v>-1315894.3617528258</v>
      </c>
      <c r="O74" s="189"/>
      <c r="P74" s="320"/>
      <c r="Q74" s="189"/>
      <c r="R74" s="190">
        <f t="shared" ref="R74:AU74" ca="1" si="50">R218</f>
        <v>-94283.758225578233</v>
      </c>
      <c r="S74" s="190">
        <f t="shared" ca="1" si="50"/>
        <v>-93943.316127706377</v>
      </c>
      <c r="T74" s="190">
        <f t="shared" ca="1" si="50"/>
        <v>-99582.487835193126</v>
      </c>
      <c r="U74" s="190">
        <f t="shared" ca="1" si="50"/>
        <v>-103270.9962388327</v>
      </c>
      <c r="V74" s="190">
        <f t="shared" ca="1" si="50"/>
        <v>-106058.61588860201</v>
      </c>
      <c r="W74" s="190">
        <f t="shared" ca="1" si="50"/>
        <v>-106889.50940147194</v>
      </c>
      <c r="X74" s="190">
        <f t="shared" ca="1" si="50"/>
        <v>-108351.39146364194</v>
      </c>
      <c r="Y74" s="190">
        <f t="shared" ca="1" si="50"/>
        <v>-111373.100913043</v>
      </c>
      <c r="Z74" s="190">
        <f t="shared" ca="1" si="50"/>
        <v>-114344.64163949786</v>
      </c>
      <c r="AA74" s="190">
        <f t="shared" ca="1" si="50"/>
        <v>-117598.71064913918</v>
      </c>
      <c r="AB74" s="190">
        <f t="shared" ca="1" si="50"/>
        <v>-120279.61506741692</v>
      </c>
      <c r="AC74" s="190">
        <f t="shared" ca="1" si="50"/>
        <v>-122534.64480525575</v>
      </c>
      <c r="AD74" s="190">
        <f t="shared" ca="1" si="50"/>
        <v>-125625.02865801047</v>
      </c>
      <c r="AE74" s="190">
        <f t="shared" ca="1" si="50"/>
        <v>-128726.93887266738</v>
      </c>
      <c r="AF74" s="190">
        <f t="shared" ca="1" si="50"/>
        <v>-132117.01456772845</v>
      </c>
      <c r="AG74" s="190">
        <f t="shared" ca="1" si="50"/>
        <v>-136089.54465424037</v>
      </c>
      <c r="AH74" s="190">
        <f t="shared" ca="1" si="50"/>
        <v>-139833.76554327243</v>
      </c>
      <c r="AI74" s="190">
        <f t="shared" ca="1" si="50"/>
        <v>-144011.20342014392</v>
      </c>
      <c r="AJ74" s="190">
        <f t="shared" ca="1" si="50"/>
        <v>-148505.16474673129</v>
      </c>
      <c r="AK74" s="190">
        <f t="shared" ca="1" si="50"/>
        <v>-153238.6303219269</v>
      </c>
      <c r="AL74" s="190">
        <f t="shared" si="50"/>
        <v>0</v>
      </c>
      <c r="AM74" s="190">
        <f t="shared" si="50"/>
        <v>0</v>
      </c>
      <c r="AN74" s="190">
        <f t="shared" si="50"/>
        <v>0</v>
      </c>
      <c r="AO74" s="190">
        <f t="shared" si="50"/>
        <v>0</v>
      </c>
      <c r="AP74" s="190">
        <f t="shared" si="50"/>
        <v>0</v>
      </c>
      <c r="AQ74" s="190">
        <f t="shared" si="50"/>
        <v>0</v>
      </c>
      <c r="AR74" s="190">
        <f t="shared" si="50"/>
        <v>0</v>
      </c>
      <c r="AS74" s="190">
        <f t="shared" si="50"/>
        <v>0</v>
      </c>
      <c r="AT74" s="190">
        <f t="shared" si="50"/>
        <v>0</v>
      </c>
      <c r="AU74" s="190">
        <f t="shared" si="50"/>
        <v>0</v>
      </c>
    </row>
    <row r="75" spans="1:47" s="28" customFormat="1">
      <c r="E75" s="254"/>
      <c r="G75" s="36" t="s">
        <v>319</v>
      </c>
      <c r="L75" s="43" t="s">
        <v>12</v>
      </c>
      <c r="N75" s="189">
        <f t="shared" ca="1" si="44"/>
        <v>0</v>
      </c>
      <c r="O75" s="189"/>
      <c r="P75" s="320"/>
      <c r="Q75" s="189"/>
      <c r="R75" s="190">
        <f t="shared" ref="R75:AU75" ca="1" si="51">R239</f>
        <v>0</v>
      </c>
      <c r="S75" s="190">
        <f t="shared" ca="1" si="51"/>
        <v>0</v>
      </c>
      <c r="T75" s="190">
        <f t="shared" ca="1" si="51"/>
        <v>0</v>
      </c>
      <c r="U75" s="190">
        <f t="shared" ca="1" si="51"/>
        <v>0</v>
      </c>
      <c r="V75" s="190">
        <f t="shared" ca="1" si="51"/>
        <v>0</v>
      </c>
      <c r="W75" s="190">
        <f t="shared" ca="1" si="51"/>
        <v>0</v>
      </c>
      <c r="X75" s="190">
        <f t="shared" ca="1" si="51"/>
        <v>0</v>
      </c>
      <c r="Y75" s="190">
        <f t="shared" ca="1" si="51"/>
        <v>0</v>
      </c>
      <c r="Z75" s="190">
        <f t="shared" ca="1" si="51"/>
        <v>0</v>
      </c>
      <c r="AA75" s="190">
        <f t="shared" ca="1" si="51"/>
        <v>0</v>
      </c>
      <c r="AB75" s="190">
        <f t="shared" ca="1" si="51"/>
        <v>0</v>
      </c>
      <c r="AC75" s="190">
        <f t="shared" ca="1" si="51"/>
        <v>0</v>
      </c>
      <c r="AD75" s="190">
        <f t="shared" ca="1" si="51"/>
        <v>0</v>
      </c>
      <c r="AE75" s="190">
        <f t="shared" ca="1" si="51"/>
        <v>0</v>
      </c>
      <c r="AF75" s="190">
        <f t="shared" ca="1" si="51"/>
        <v>0</v>
      </c>
      <c r="AG75" s="190">
        <f t="shared" ca="1" si="51"/>
        <v>0</v>
      </c>
      <c r="AH75" s="190">
        <f t="shared" ca="1" si="51"/>
        <v>0</v>
      </c>
      <c r="AI75" s="190">
        <f t="shared" ca="1" si="51"/>
        <v>0</v>
      </c>
      <c r="AJ75" s="190">
        <f t="shared" ca="1" si="51"/>
        <v>0</v>
      </c>
      <c r="AK75" s="190">
        <f t="shared" ca="1" si="51"/>
        <v>0</v>
      </c>
      <c r="AL75" s="190">
        <f t="shared" si="51"/>
        <v>0</v>
      </c>
      <c r="AM75" s="190">
        <f t="shared" si="51"/>
        <v>0</v>
      </c>
      <c r="AN75" s="190">
        <f t="shared" si="51"/>
        <v>0</v>
      </c>
      <c r="AO75" s="190">
        <f t="shared" si="51"/>
        <v>0</v>
      </c>
      <c r="AP75" s="190">
        <f t="shared" si="51"/>
        <v>0</v>
      </c>
      <c r="AQ75" s="190">
        <f t="shared" si="51"/>
        <v>0</v>
      </c>
      <c r="AR75" s="190">
        <f t="shared" si="51"/>
        <v>0</v>
      </c>
      <c r="AS75" s="190">
        <f t="shared" si="51"/>
        <v>0</v>
      </c>
      <c r="AT75" s="190">
        <f t="shared" si="51"/>
        <v>0</v>
      </c>
      <c r="AU75" s="190">
        <f t="shared" si="51"/>
        <v>0</v>
      </c>
    </row>
    <row r="76" spans="1:47" s="28" customFormat="1">
      <c r="E76" s="254"/>
      <c r="G76" s="36" t="s">
        <v>320</v>
      </c>
      <c r="L76" s="43" t="s">
        <v>12</v>
      </c>
      <c r="N76" s="189">
        <f t="shared" ca="1" si="44"/>
        <v>0</v>
      </c>
      <c r="O76" s="189"/>
      <c r="P76" s="320"/>
      <c r="Q76" s="189"/>
      <c r="R76" s="190">
        <f t="shared" ref="R76:AU76" ca="1" si="52">R260</f>
        <v>0</v>
      </c>
      <c r="S76" s="190">
        <f t="shared" ca="1" si="52"/>
        <v>0</v>
      </c>
      <c r="T76" s="190">
        <f t="shared" ca="1" si="52"/>
        <v>0</v>
      </c>
      <c r="U76" s="190">
        <f t="shared" ca="1" si="52"/>
        <v>0</v>
      </c>
      <c r="V76" s="190">
        <f t="shared" ca="1" si="52"/>
        <v>0</v>
      </c>
      <c r="W76" s="190">
        <f t="shared" ca="1" si="52"/>
        <v>0</v>
      </c>
      <c r="X76" s="190">
        <f t="shared" ca="1" si="52"/>
        <v>0</v>
      </c>
      <c r="Y76" s="190">
        <f t="shared" ca="1" si="52"/>
        <v>0</v>
      </c>
      <c r="Z76" s="190">
        <f t="shared" ca="1" si="52"/>
        <v>0</v>
      </c>
      <c r="AA76" s="190">
        <f t="shared" ca="1" si="52"/>
        <v>0</v>
      </c>
      <c r="AB76" s="190">
        <f t="shared" ca="1" si="52"/>
        <v>0</v>
      </c>
      <c r="AC76" s="190">
        <f t="shared" ca="1" si="52"/>
        <v>0</v>
      </c>
      <c r="AD76" s="190">
        <f t="shared" ca="1" si="52"/>
        <v>0</v>
      </c>
      <c r="AE76" s="190">
        <f t="shared" ca="1" si="52"/>
        <v>0</v>
      </c>
      <c r="AF76" s="190">
        <f t="shared" ca="1" si="52"/>
        <v>0</v>
      </c>
      <c r="AG76" s="190">
        <f t="shared" ca="1" si="52"/>
        <v>0</v>
      </c>
      <c r="AH76" s="190">
        <f t="shared" ca="1" si="52"/>
        <v>0</v>
      </c>
      <c r="AI76" s="190">
        <f t="shared" ca="1" si="52"/>
        <v>0</v>
      </c>
      <c r="AJ76" s="190">
        <f t="shared" ca="1" si="52"/>
        <v>0</v>
      </c>
      <c r="AK76" s="190">
        <f t="shared" ca="1" si="52"/>
        <v>0</v>
      </c>
      <c r="AL76" s="190">
        <f t="shared" si="52"/>
        <v>0</v>
      </c>
      <c r="AM76" s="190">
        <f t="shared" si="52"/>
        <v>0</v>
      </c>
      <c r="AN76" s="190">
        <f t="shared" si="52"/>
        <v>0</v>
      </c>
      <c r="AO76" s="190">
        <f t="shared" si="52"/>
        <v>0</v>
      </c>
      <c r="AP76" s="190">
        <f t="shared" si="52"/>
        <v>0</v>
      </c>
      <c r="AQ76" s="190">
        <f t="shared" si="52"/>
        <v>0</v>
      </c>
      <c r="AR76" s="190">
        <f t="shared" si="52"/>
        <v>0</v>
      </c>
      <c r="AS76" s="190">
        <f t="shared" si="52"/>
        <v>0</v>
      </c>
      <c r="AT76" s="190">
        <f t="shared" si="52"/>
        <v>0</v>
      </c>
      <c r="AU76" s="190">
        <f t="shared" si="52"/>
        <v>0</v>
      </c>
    </row>
    <row r="77" spans="1:47" s="28" customFormat="1">
      <c r="E77" s="254"/>
      <c r="G77" s="36" t="s">
        <v>321</v>
      </c>
      <c r="L77" s="43" t="s">
        <v>12</v>
      </c>
      <c r="N77" s="189">
        <f t="shared" ca="1" si="44"/>
        <v>0</v>
      </c>
      <c r="O77" s="189"/>
      <c r="P77" s="320"/>
      <c r="Q77" s="189"/>
      <c r="R77" s="190">
        <f t="shared" ref="R77:AU77" ca="1" si="53">R281</f>
        <v>0</v>
      </c>
      <c r="S77" s="190">
        <f t="shared" ca="1" si="53"/>
        <v>0</v>
      </c>
      <c r="T77" s="190">
        <f t="shared" ca="1" si="53"/>
        <v>0</v>
      </c>
      <c r="U77" s="190">
        <f t="shared" ca="1" si="53"/>
        <v>0</v>
      </c>
      <c r="V77" s="190">
        <f t="shared" ca="1" si="53"/>
        <v>0</v>
      </c>
      <c r="W77" s="190">
        <f t="shared" ca="1" si="53"/>
        <v>0</v>
      </c>
      <c r="X77" s="190">
        <f t="shared" ca="1" si="53"/>
        <v>0</v>
      </c>
      <c r="Y77" s="190">
        <f t="shared" ca="1" si="53"/>
        <v>0</v>
      </c>
      <c r="Z77" s="190">
        <f t="shared" ca="1" si="53"/>
        <v>0</v>
      </c>
      <c r="AA77" s="190">
        <f t="shared" ca="1" si="53"/>
        <v>0</v>
      </c>
      <c r="AB77" s="190">
        <f t="shared" ca="1" si="53"/>
        <v>0</v>
      </c>
      <c r="AC77" s="190">
        <f t="shared" ca="1" si="53"/>
        <v>0</v>
      </c>
      <c r="AD77" s="190">
        <f t="shared" ca="1" si="53"/>
        <v>0</v>
      </c>
      <c r="AE77" s="190">
        <f t="shared" ca="1" si="53"/>
        <v>0</v>
      </c>
      <c r="AF77" s="190">
        <f t="shared" ca="1" si="53"/>
        <v>0</v>
      </c>
      <c r="AG77" s="190">
        <f t="shared" ca="1" si="53"/>
        <v>0</v>
      </c>
      <c r="AH77" s="190">
        <f t="shared" ca="1" si="53"/>
        <v>0</v>
      </c>
      <c r="AI77" s="190">
        <f t="shared" ca="1" si="53"/>
        <v>0</v>
      </c>
      <c r="AJ77" s="190">
        <f t="shared" ca="1" si="53"/>
        <v>0</v>
      </c>
      <c r="AK77" s="190">
        <f t="shared" ca="1" si="53"/>
        <v>0</v>
      </c>
      <c r="AL77" s="190">
        <f t="shared" si="53"/>
        <v>0</v>
      </c>
      <c r="AM77" s="190">
        <f t="shared" si="53"/>
        <v>0</v>
      </c>
      <c r="AN77" s="190">
        <f t="shared" si="53"/>
        <v>0</v>
      </c>
      <c r="AO77" s="190">
        <f t="shared" si="53"/>
        <v>0</v>
      </c>
      <c r="AP77" s="190">
        <f t="shared" si="53"/>
        <v>0</v>
      </c>
      <c r="AQ77" s="190">
        <f t="shared" si="53"/>
        <v>0</v>
      </c>
      <c r="AR77" s="190">
        <f t="shared" si="53"/>
        <v>0</v>
      </c>
      <c r="AS77" s="190">
        <f t="shared" si="53"/>
        <v>0</v>
      </c>
      <c r="AT77" s="190">
        <f t="shared" si="53"/>
        <v>0</v>
      </c>
      <c r="AU77" s="190">
        <f t="shared" si="53"/>
        <v>0</v>
      </c>
    </row>
    <row r="78" spans="1:47" s="28" customFormat="1">
      <c r="E78" s="254"/>
      <c r="G78" s="36" t="s">
        <v>160</v>
      </c>
      <c r="L78" s="43" t="s">
        <v>12</v>
      </c>
      <c r="N78" s="189">
        <f t="shared" ca="1" si="44"/>
        <v>0</v>
      </c>
      <c r="O78" s="189"/>
      <c r="P78" s="320"/>
      <c r="Q78" s="189"/>
      <c r="R78" s="190">
        <f t="shared" ref="R78:AU78" ca="1" si="54">R302</f>
        <v>0</v>
      </c>
      <c r="S78" s="190">
        <f t="shared" ca="1" si="54"/>
        <v>0</v>
      </c>
      <c r="T78" s="190">
        <f t="shared" ca="1" si="54"/>
        <v>0</v>
      </c>
      <c r="U78" s="190">
        <f t="shared" ca="1" si="54"/>
        <v>0</v>
      </c>
      <c r="V78" s="190">
        <f t="shared" ca="1" si="54"/>
        <v>0</v>
      </c>
      <c r="W78" s="190">
        <f t="shared" ca="1" si="54"/>
        <v>0</v>
      </c>
      <c r="X78" s="190">
        <f t="shared" ca="1" si="54"/>
        <v>0</v>
      </c>
      <c r="Y78" s="190">
        <f t="shared" ca="1" si="54"/>
        <v>0</v>
      </c>
      <c r="Z78" s="190">
        <f t="shared" ca="1" si="54"/>
        <v>0</v>
      </c>
      <c r="AA78" s="190">
        <f t="shared" ca="1" si="54"/>
        <v>0</v>
      </c>
      <c r="AB78" s="190">
        <f t="shared" ca="1" si="54"/>
        <v>0</v>
      </c>
      <c r="AC78" s="190">
        <f t="shared" ca="1" si="54"/>
        <v>0</v>
      </c>
      <c r="AD78" s="190">
        <f t="shared" ca="1" si="54"/>
        <v>0</v>
      </c>
      <c r="AE78" s="190">
        <f t="shared" ca="1" si="54"/>
        <v>0</v>
      </c>
      <c r="AF78" s="190">
        <f t="shared" ca="1" si="54"/>
        <v>0</v>
      </c>
      <c r="AG78" s="190">
        <f t="shared" ca="1" si="54"/>
        <v>0</v>
      </c>
      <c r="AH78" s="190">
        <f t="shared" ca="1" si="54"/>
        <v>0</v>
      </c>
      <c r="AI78" s="190">
        <f t="shared" ca="1" si="54"/>
        <v>0</v>
      </c>
      <c r="AJ78" s="190">
        <f t="shared" ca="1" si="54"/>
        <v>0</v>
      </c>
      <c r="AK78" s="190">
        <f t="shared" ca="1" si="54"/>
        <v>0</v>
      </c>
      <c r="AL78" s="190">
        <f t="shared" si="54"/>
        <v>0</v>
      </c>
      <c r="AM78" s="190">
        <f t="shared" si="54"/>
        <v>0</v>
      </c>
      <c r="AN78" s="190">
        <f t="shared" si="54"/>
        <v>0</v>
      </c>
      <c r="AO78" s="190">
        <f t="shared" si="54"/>
        <v>0</v>
      </c>
      <c r="AP78" s="190">
        <f t="shared" si="54"/>
        <v>0</v>
      </c>
      <c r="AQ78" s="190">
        <f t="shared" si="54"/>
        <v>0</v>
      </c>
      <c r="AR78" s="190">
        <f t="shared" si="54"/>
        <v>0</v>
      </c>
      <c r="AS78" s="190">
        <f t="shared" si="54"/>
        <v>0</v>
      </c>
      <c r="AT78" s="190">
        <f t="shared" si="54"/>
        <v>0</v>
      </c>
      <c r="AU78" s="190">
        <f t="shared" si="54"/>
        <v>0</v>
      </c>
    </row>
    <row r="79" spans="1:47" s="28" customFormat="1">
      <c r="E79" s="254"/>
      <c r="G79" s="36" t="s">
        <v>161</v>
      </c>
      <c r="L79" s="43" t="s">
        <v>12</v>
      </c>
      <c r="N79" s="189">
        <f t="shared" ca="1" si="44"/>
        <v>1626269.4148182722</v>
      </c>
      <c r="O79" s="189"/>
      <c r="P79" s="320"/>
      <c r="Q79" s="189"/>
      <c r="R79" s="190">
        <f t="shared" ref="R79:AU79" ca="1" si="55">R323</f>
        <v>121050.45770924457</v>
      </c>
      <c r="S79" s="190">
        <f t="shared" ca="1" si="55"/>
        <v>123377.35986545699</v>
      </c>
      <c r="T79" s="190">
        <f t="shared" ca="1" si="55"/>
        <v>126003.87040994255</v>
      </c>
      <c r="U79" s="190">
        <f t="shared" ca="1" si="55"/>
        <v>128595.68090962995</v>
      </c>
      <c r="V79" s="190">
        <f t="shared" ca="1" si="55"/>
        <v>131198.1248368966</v>
      </c>
      <c r="W79" s="190">
        <f t="shared" ca="1" si="55"/>
        <v>133767.54201972467</v>
      </c>
      <c r="X79" s="190">
        <f t="shared" ca="1" si="55"/>
        <v>136414.31948453616</v>
      </c>
      <c r="Y79" s="190">
        <f t="shared" ca="1" si="55"/>
        <v>139178.73672988827</v>
      </c>
      <c r="Z79" s="190">
        <f t="shared" ca="1" si="55"/>
        <v>141993.76668684412</v>
      </c>
      <c r="AA79" s="190">
        <f t="shared" ca="1" si="55"/>
        <v>144874.52847703683</v>
      </c>
      <c r="AB79" s="190">
        <f t="shared" ca="1" si="55"/>
        <v>147785.92425933777</v>
      </c>
      <c r="AC79" s="190">
        <f t="shared" ca="1" si="55"/>
        <v>150735.27785481355</v>
      </c>
      <c r="AD79" s="190">
        <f t="shared" ca="1" si="55"/>
        <v>153777.02574098101</v>
      </c>
      <c r="AE79" s="190">
        <f t="shared" ca="1" si="55"/>
        <v>156877.4829899164</v>
      </c>
      <c r="AF79" s="190">
        <f t="shared" ca="1" si="55"/>
        <v>160049.50870016747</v>
      </c>
      <c r="AG79" s="190">
        <f t="shared" ca="1" si="55"/>
        <v>163306.73138737719</v>
      </c>
      <c r="AH79" s="190">
        <f t="shared" ca="1" si="55"/>
        <v>166616.08827442865</v>
      </c>
      <c r="AI79" s="190">
        <f t="shared" ca="1" si="55"/>
        <v>170006.78046909242</v>
      </c>
      <c r="AJ79" s="190">
        <f t="shared" ca="1" si="55"/>
        <v>173475.13529201262</v>
      </c>
      <c r="AK79" s="190">
        <f t="shared" ca="1" si="55"/>
        <v>177019.18246742664</v>
      </c>
      <c r="AL79" s="190">
        <f t="shared" si="55"/>
        <v>0</v>
      </c>
      <c r="AM79" s="190">
        <f t="shared" si="55"/>
        <v>0</v>
      </c>
      <c r="AN79" s="190">
        <f t="shared" si="55"/>
        <v>0</v>
      </c>
      <c r="AO79" s="190">
        <f t="shared" si="55"/>
        <v>0</v>
      </c>
      <c r="AP79" s="190">
        <f t="shared" si="55"/>
        <v>0</v>
      </c>
      <c r="AQ79" s="190">
        <f t="shared" si="55"/>
        <v>0</v>
      </c>
      <c r="AR79" s="190">
        <f t="shared" si="55"/>
        <v>0</v>
      </c>
      <c r="AS79" s="190">
        <f t="shared" si="55"/>
        <v>0</v>
      </c>
      <c r="AT79" s="190">
        <f t="shared" si="55"/>
        <v>0</v>
      </c>
      <c r="AU79" s="190">
        <f t="shared" si="55"/>
        <v>0</v>
      </c>
    </row>
    <row r="80" spans="1:47" s="28" customFormat="1">
      <c r="E80" s="254"/>
      <c r="G80" s="36" t="s">
        <v>162</v>
      </c>
      <c r="L80" s="43" t="s">
        <v>12</v>
      </c>
      <c r="N80" s="189">
        <f t="shared" ca="1" si="44"/>
        <v>1461601.3182997147</v>
      </c>
      <c r="O80" s="189"/>
      <c r="P80" s="320"/>
      <c r="Q80" s="189"/>
      <c r="R80" s="190">
        <f t="shared" ref="R80:AU80" ca="1" si="56">R344</f>
        <v>108640.6308038642</v>
      </c>
      <c r="S80" s="190">
        <f t="shared" ca="1" si="56"/>
        <v>110639.17877494777</v>
      </c>
      <c r="T80" s="190">
        <f t="shared" ca="1" si="56"/>
        <v>113146.32612635657</v>
      </c>
      <c r="U80" s="190">
        <f t="shared" ca="1" si="56"/>
        <v>115542.08593431277</v>
      </c>
      <c r="V80" s="190">
        <f t="shared" ca="1" si="56"/>
        <v>117909.46280539961</v>
      </c>
      <c r="W80" s="190">
        <f t="shared" ca="1" si="56"/>
        <v>120166.6466105915</v>
      </c>
      <c r="X80" s="190">
        <f t="shared" ca="1" si="56"/>
        <v>122517.06818382343</v>
      </c>
      <c r="Y80" s="190">
        <f t="shared" ca="1" si="56"/>
        <v>125034.31563175299</v>
      </c>
      <c r="Z80" s="190">
        <f t="shared" ca="1" si="56"/>
        <v>127593.24982473197</v>
      </c>
      <c r="AA80" s="190">
        <f t="shared" ca="1" si="56"/>
        <v>130220.82719089978</v>
      </c>
      <c r="AB80" s="190">
        <f t="shared" ca="1" si="56"/>
        <v>132850.99300966476</v>
      </c>
      <c r="AC80" s="190">
        <f t="shared" ca="1" si="56"/>
        <v>135496.22654928878</v>
      </c>
      <c r="AD80" s="190">
        <f t="shared" ca="1" si="56"/>
        <v>138256.22729115075</v>
      </c>
      <c r="AE80" s="190">
        <f t="shared" ca="1" si="56"/>
        <v>141067.49193195751</v>
      </c>
      <c r="AF80" s="190">
        <f t="shared" ca="1" si="56"/>
        <v>143952.68353393392</v>
      </c>
      <c r="AG80" s="190">
        <f t="shared" ca="1" si="56"/>
        <v>146935.86696288924</v>
      </c>
      <c r="AH80" s="190">
        <f t="shared" ca="1" si="56"/>
        <v>149954.62204467092</v>
      </c>
      <c r="AI80" s="190">
        <f t="shared" ca="1" si="56"/>
        <v>153061.80317543331</v>
      </c>
      <c r="AJ80" s="190">
        <f t="shared" ca="1" si="56"/>
        <v>156249.36562576919</v>
      </c>
      <c r="AK80" s="190">
        <f t="shared" ca="1" si="56"/>
        <v>159512.39225317491</v>
      </c>
      <c r="AL80" s="190">
        <f t="shared" si="56"/>
        <v>0</v>
      </c>
      <c r="AM80" s="190">
        <f t="shared" si="56"/>
        <v>0</v>
      </c>
      <c r="AN80" s="190">
        <f t="shared" si="56"/>
        <v>0</v>
      </c>
      <c r="AO80" s="190">
        <f t="shared" si="56"/>
        <v>0</v>
      </c>
      <c r="AP80" s="190">
        <f t="shared" si="56"/>
        <v>0</v>
      </c>
      <c r="AQ80" s="190">
        <f t="shared" si="56"/>
        <v>0</v>
      </c>
      <c r="AR80" s="190">
        <f t="shared" si="56"/>
        <v>0</v>
      </c>
      <c r="AS80" s="190">
        <f t="shared" si="56"/>
        <v>0</v>
      </c>
      <c r="AT80" s="190">
        <f t="shared" si="56"/>
        <v>0</v>
      </c>
      <c r="AU80" s="190">
        <f t="shared" si="56"/>
        <v>0</v>
      </c>
    </row>
    <row r="81" spans="1:47" s="28" customFormat="1">
      <c r="E81" s="254"/>
      <c r="G81" s="36" t="s">
        <v>135</v>
      </c>
      <c r="L81" s="43" t="s">
        <v>12</v>
      </c>
      <c r="N81" s="189">
        <f t="shared" ca="1" si="44"/>
        <v>3251426.8202961991</v>
      </c>
      <c r="O81" s="189"/>
      <c r="P81" s="320"/>
      <c r="Q81" s="189"/>
      <c r="R81" s="190">
        <f t="shared" ref="R81:AU81" ca="1" si="57">R365</f>
        <v>242251.41833814015</v>
      </c>
      <c r="S81" s="190">
        <f t="shared" ca="1" si="57"/>
        <v>247045.17461635242</v>
      </c>
      <c r="T81" s="190">
        <f t="shared" ca="1" si="57"/>
        <v>252072.68572541696</v>
      </c>
      <c r="U81" s="190">
        <f t="shared" ca="1" si="57"/>
        <v>257153.22160701218</v>
      </c>
      <c r="V81" s="190">
        <f t="shared" ca="1" si="57"/>
        <v>262312.91979375138</v>
      </c>
      <c r="W81" s="190">
        <f t="shared" ca="1" si="57"/>
        <v>267529.46039791004</v>
      </c>
      <c r="X81" s="190">
        <f t="shared" ca="1" si="57"/>
        <v>272864.48204261949</v>
      </c>
      <c r="Y81" s="190">
        <f t="shared" ca="1" si="57"/>
        <v>278341.45677034953</v>
      </c>
      <c r="Z81" s="190">
        <f t="shared" ca="1" si="57"/>
        <v>283925.42357862747</v>
      </c>
      <c r="AA81" s="190">
        <f t="shared" ca="1" si="57"/>
        <v>289626.20811957942</v>
      </c>
      <c r="AB81" s="190">
        <f t="shared" ca="1" si="57"/>
        <v>295426.30822547479</v>
      </c>
      <c r="AC81" s="190">
        <f t="shared" ca="1" si="57"/>
        <v>301331.36662248662</v>
      </c>
      <c r="AD81" s="190">
        <f t="shared" ca="1" si="57"/>
        <v>307372.72736180958</v>
      </c>
      <c r="AE81" s="190">
        <f t="shared" ca="1" si="57"/>
        <v>313533.75723315025</v>
      </c>
      <c r="AF81" s="190">
        <f t="shared" ca="1" si="57"/>
        <v>319823.21588116331</v>
      </c>
      <c r="AG81" s="190">
        <f t="shared" ca="1" si="57"/>
        <v>326250.31722322316</v>
      </c>
      <c r="AH81" s="190">
        <f t="shared" ca="1" si="57"/>
        <v>332798.87224689469</v>
      </c>
      <c r="AI81" s="190">
        <f t="shared" ca="1" si="57"/>
        <v>339486.65151186584</v>
      </c>
      <c r="AJ81" s="190">
        <f t="shared" ca="1" si="57"/>
        <v>346313.55225154827</v>
      </c>
      <c r="AK81" s="190">
        <f t="shared" ca="1" si="57"/>
        <v>353280.43718000216</v>
      </c>
      <c r="AL81" s="190">
        <f t="shared" si="57"/>
        <v>0</v>
      </c>
      <c r="AM81" s="190">
        <f t="shared" si="57"/>
        <v>0</v>
      </c>
      <c r="AN81" s="190">
        <f t="shared" si="57"/>
        <v>0</v>
      </c>
      <c r="AO81" s="190">
        <f t="shared" si="57"/>
        <v>0</v>
      </c>
      <c r="AP81" s="190">
        <f t="shared" si="57"/>
        <v>0</v>
      </c>
      <c r="AQ81" s="190">
        <f t="shared" si="57"/>
        <v>0</v>
      </c>
      <c r="AR81" s="190">
        <f t="shared" si="57"/>
        <v>0</v>
      </c>
      <c r="AS81" s="190">
        <f t="shared" si="57"/>
        <v>0</v>
      </c>
      <c r="AT81" s="190">
        <f t="shared" si="57"/>
        <v>0</v>
      </c>
      <c r="AU81" s="190">
        <f t="shared" si="57"/>
        <v>0</v>
      </c>
    </row>
    <row r="82" spans="1:47" s="28" customFormat="1">
      <c r="E82" s="254"/>
      <c r="G82" s="36" t="s">
        <v>29</v>
      </c>
      <c r="L82" s="43" t="s">
        <v>12</v>
      </c>
      <c r="N82" s="189">
        <f t="shared" ca="1" si="44"/>
        <v>843615.03914849437</v>
      </c>
      <c r="O82" s="189"/>
      <c r="P82" s="320"/>
      <c r="Q82" s="189"/>
      <c r="R82" s="190">
        <f t="shared" ref="R82:AU82" ca="1" si="58">R386</f>
        <v>62864.485070927294</v>
      </c>
      <c r="S82" s="190">
        <f t="shared" ca="1" si="58"/>
        <v>64114.306668586105</v>
      </c>
      <c r="T82" s="190">
        <f t="shared" ca="1" si="58"/>
        <v>65409.207748734225</v>
      </c>
      <c r="U82" s="190">
        <f t="shared" ca="1" si="58"/>
        <v>66723.084468361762</v>
      </c>
      <c r="V82" s="190">
        <f t="shared" ca="1" si="58"/>
        <v>68059.968969219044</v>
      </c>
      <c r="W82" s="190">
        <f t="shared" ca="1" si="58"/>
        <v>69416.839764410295</v>
      </c>
      <c r="X82" s="190">
        <f t="shared" ca="1" si="58"/>
        <v>70802.909045717402</v>
      </c>
      <c r="Y82" s="190">
        <f t="shared" ca="1" si="58"/>
        <v>72221.834483953964</v>
      </c>
      <c r="Z82" s="190">
        <f t="shared" ca="1" si="58"/>
        <v>73668.767384004415</v>
      </c>
      <c r="AA82" s="190">
        <f t="shared" ca="1" si="58"/>
        <v>75145.387381984241</v>
      </c>
      <c r="AB82" s="190">
        <f t="shared" ca="1" si="58"/>
        <v>76649.398613678582</v>
      </c>
      <c r="AC82" s="190">
        <f t="shared" ca="1" si="58"/>
        <v>78181.881483698293</v>
      </c>
      <c r="AD82" s="190">
        <f t="shared" ca="1" si="58"/>
        <v>79747.665127205022</v>
      </c>
      <c r="AE82" s="190">
        <f t="shared" ca="1" si="58"/>
        <v>81344.595761507022</v>
      </c>
      <c r="AF82" s="190">
        <f t="shared" ca="1" si="58"/>
        <v>82974.223612720161</v>
      </c>
      <c r="AG82" s="190">
        <f t="shared" ca="1" si="58"/>
        <v>84638.170561223364</v>
      </c>
      <c r="AH82" s="190">
        <f t="shared" ca="1" si="58"/>
        <v>86334.363986412427</v>
      </c>
      <c r="AI82" s="190">
        <f t="shared" ca="1" si="58"/>
        <v>88065.683402230148</v>
      </c>
      <c r="AJ82" s="190">
        <f t="shared" ca="1" si="58"/>
        <v>89832.410782071849</v>
      </c>
      <c r="AK82" s="190">
        <f t="shared" ca="1" si="58"/>
        <v>91634.974666531605</v>
      </c>
      <c r="AL82" s="190">
        <f t="shared" si="58"/>
        <v>0</v>
      </c>
      <c r="AM82" s="190">
        <f t="shared" si="58"/>
        <v>0</v>
      </c>
      <c r="AN82" s="190">
        <f t="shared" si="58"/>
        <v>0</v>
      </c>
      <c r="AO82" s="190">
        <f t="shared" si="58"/>
        <v>0</v>
      </c>
      <c r="AP82" s="190">
        <f t="shared" si="58"/>
        <v>0</v>
      </c>
      <c r="AQ82" s="190">
        <f t="shared" si="58"/>
        <v>0</v>
      </c>
      <c r="AR82" s="190">
        <f t="shared" si="58"/>
        <v>0</v>
      </c>
      <c r="AS82" s="190">
        <f t="shared" si="58"/>
        <v>0</v>
      </c>
      <c r="AT82" s="190">
        <f t="shared" si="58"/>
        <v>0</v>
      </c>
      <c r="AU82" s="190">
        <f t="shared" si="58"/>
        <v>0</v>
      </c>
    </row>
    <row r="83" spans="1:47" s="28" customFormat="1">
      <c r="E83" s="254"/>
      <c r="G83" s="36" t="s">
        <v>163</v>
      </c>
      <c r="L83" s="43" t="s">
        <v>12</v>
      </c>
      <c r="N83" s="189">
        <f t="shared" ca="1" si="44"/>
        <v>0</v>
      </c>
      <c r="O83" s="189"/>
      <c r="P83" s="320"/>
      <c r="Q83" s="189"/>
      <c r="R83" s="190">
        <f t="shared" ref="R83:AU83" ca="1" si="59">R407</f>
        <v>0</v>
      </c>
      <c r="S83" s="190">
        <f t="shared" ca="1" si="59"/>
        <v>0</v>
      </c>
      <c r="T83" s="190">
        <f t="shared" ca="1" si="59"/>
        <v>0</v>
      </c>
      <c r="U83" s="190">
        <f t="shared" ca="1" si="59"/>
        <v>0</v>
      </c>
      <c r="V83" s="190">
        <f t="shared" ca="1" si="59"/>
        <v>0</v>
      </c>
      <c r="W83" s="190">
        <f t="shared" ca="1" si="59"/>
        <v>0</v>
      </c>
      <c r="X83" s="190">
        <f t="shared" ca="1" si="59"/>
        <v>0</v>
      </c>
      <c r="Y83" s="190">
        <f t="shared" ca="1" si="59"/>
        <v>0</v>
      </c>
      <c r="Z83" s="190">
        <f t="shared" ca="1" si="59"/>
        <v>0</v>
      </c>
      <c r="AA83" s="190">
        <f t="shared" ca="1" si="59"/>
        <v>0</v>
      </c>
      <c r="AB83" s="190">
        <f t="shared" ca="1" si="59"/>
        <v>0</v>
      </c>
      <c r="AC83" s="190">
        <f t="shared" ca="1" si="59"/>
        <v>0</v>
      </c>
      <c r="AD83" s="190">
        <f t="shared" ca="1" si="59"/>
        <v>0</v>
      </c>
      <c r="AE83" s="190">
        <f t="shared" ca="1" si="59"/>
        <v>0</v>
      </c>
      <c r="AF83" s="190">
        <f t="shared" ca="1" si="59"/>
        <v>0</v>
      </c>
      <c r="AG83" s="190">
        <f t="shared" ca="1" si="59"/>
        <v>0</v>
      </c>
      <c r="AH83" s="190">
        <f t="shared" ca="1" si="59"/>
        <v>0</v>
      </c>
      <c r="AI83" s="190">
        <f t="shared" ca="1" si="59"/>
        <v>0</v>
      </c>
      <c r="AJ83" s="190">
        <f t="shared" ca="1" si="59"/>
        <v>0</v>
      </c>
      <c r="AK83" s="190">
        <f t="shared" ca="1" si="59"/>
        <v>0</v>
      </c>
      <c r="AL83" s="190">
        <f t="shared" si="59"/>
        <v>0</v>
      </c>
      <c r="AM83" s="190">
        <f t="shared" si="59"/>
        <v>0</v>
      </c>
      <c r="AN83" s="190">
        <f t="shared" si="59"/>
        <v>0</v>
      </c>
      <c r="AO83" s="190">
        <f t="shared" si="59"/>
        <v>0</v>
      </c>
      <c r="AP83" s="190">
        <f t="shared" si="59"/>
        <v>0</v>
      </c>
      <c r="AQ83" s="190">
        <f t="shared" si="59"/>
        <v>0</v>
      </c>
      <c r="AR83" s="190">
        <f t="shared" si="59"/>
        <v>0</v>
      </c>
      <c r="AS83" s="190">
        <f t="shared" si="59"/>
        <v>0</v>
      </c>
      <c r="AT83" s="190">
        <f t="shared" si="59"/>
        <v>0</v>
      </c>
      <c r="AU83" s="190">
        <f t="shared" si="59"/>
        <v>0</v>
      </c>
    </row>
    <row r="84" spans="1:47" s="28" customFormat="1">
      <c r="E84" s="254"/>
      <c r="G84" s="36" t="s">
        <v>138</v>
      </c>
      <c r="L84" s="43" t="s">
        <v>12</v>
      </c>
      <c r="N84" s="189">
        <f t="shared" ca="1" si="44"/>
        <v>0</v>
      </c>
      <c r="O84" s="189"/>
      <c r="P84" s="320"/>
      <c r="Q84" s="189"/>
      <c r="R84" s="190">
        <f t="shared" ref="R84:AU84" ca="1" si="60">R428</f>
        <v>0</v>
      </c>
      <c r="S84" s="190">
        <f t="shared" ca="1" si="60"/>
        <v>0</v>
      </c>
      <c r="T84" s="190">
        <f t="shared" ca="1" si="60"/>
        <v>0</v>
      </c>
      <c r="U84" s="190">
        <f t="shared" ca="1" si="60"/>
        <v>0</v>
      </c>
      <c r="V84" s="190">
        <f t="shared" ca="1" si="60"/>
        <v>0</v>
      </c>
      <c r="W84" s="190">
        <f t="shared" ca="1" si="60"/>
        <v>0</v>
      </c>
      <c r="X84" s="190">
        <f t="shared" ca="1" si="60"/>
        <v>0</v>
      </c>
      <c r="Y84" s="190">
        <f t="shared" ca="1" si="60"/>
        <v>0</v>
      </c>
      <c r="Z84" s="190">
        <f t="shared" ca="1" si="60"/>
        <v>0</v>
      </c>
      <c r="AA84" s="190">
        <f t="shared" ca="1" si="60"/>
        <v>0</v>
      </c>
      <c r="AB84" s="190">
        <f t="shared" ca="1" si="60"/>
        <v>0</v>
      </c>
      <c r="AC84" s="190">
        <f t="shared" ca="1" si="60"/>
        <v>0</v>
      </c>
      <c r="AD84" s="190">
        <f t="shared" ca="1" si="60"/>
        <v>0</v>
      </c>
      <c r="AE84" s="190">
        <f t="shared" ca="1" si="60"/>
        <v>0</v>
      </c>
      <c r="AF84" s="190">
        <f t="shared" ca="1" si="60"/>
        <v>0</v>
      </c>
      <c r="AG84" s="190">
        <f t="shared" ca="1" si="60"/>
        <v>0</v>
      </c>
      <c r="AH84" s="190">
        <f t="shared" ca="1" si="60"/>
        <v>0</v>
      </c>
      <c r="AI84" s="190">
        <f t="shared" ca="1" si="60"/>
        <v>0</v>
      </c>
      <c r="AJ84" s="190">
        <f t="shared" ca="1" si="60"/>
        <v>0</v>
      </c>
      <c r="AK84" s="190">
        <f t="shared" ca="1" si="60"/>
        <v>0</v>
      </c>
      <c r="AL84" s="190">
        <f t="shared" si="60"/>
        <v>0</v>
      </c>
      <c r="AM84" s="190">
        <f t="shared" si="60"/>
        <v>0</v>
      </c>
      <c r="AN84" s="190">
        <f t="shared" si="60"/>
        <v>0</v>
      </c>
      <c r="AO84" s="190">
        <f t="shared" si="60"/>
        <v>0</v>
      </c>
      <c r="AP84" s="190">
        <f t="shared" si="60"/>
        <v>0</v>
      </c>
      <c r="AQ84" s="190">
        <f t="shared" si="60"/>
        <v>0</v>
      </c>
      <c r="AR84" s="190">
        <f t="shared" si="60"/>
        <v>0</v>
      </c>
      <c r="AS84" s="190">
        <f t="shared" si="60"/>
        <v>0</v>
      </c>
      <c r="AT84" s="190">
        <f t="shared" si="60"/>
        <v>0</v>
      </c>
      <c r="AU84" s="190">
        <f t="shared" si="60"/>
        <v>0</v>
      </c>
    </row>
    <row r="85" spans="1:47" s="28" customFormat="1">
      <c r="E85" s="254"/>
      <c r="G85" s="36" t="s">
        <v>312</v>
      </c>
      <c r="L85" s="43" t="s">
        <v>12</v>
      </c>
      <c r="N85" s="189">
        <f t="shared" ca="1" si="44"/>
        <v>0</v>
      </c>
      <c r="O85" s="189"/>
      <c r="P85" s="320"/>
      <c r="Q85" s="189"/>
      <c r="R85" s="190">
        <f t="shared" ref="R85:AU85" ca="1" si="61">R464</f>
        <v>0</v>
      </c>
      <c r="S85" s="190">
        <f t="shared" ca="1" si="61"/>
        <v>0</v>
      </c>
      <c r="T85" s="190">
        <f t="shared" ca="1" si="61"/>
        <v>0</v>
      </c>
      <c r="U85" s="190">
        <f t="shared" ca="1" si="61"/>
        <v>0</v>
      </c>
      <c r="V85" s="190">
        <f t="shared" ca="1" si="61"/>
        <v>0</v>
      </c>
      <c r="W85" s="190">
        <f t="shared" ca="1" si="61"/>
        <v>0</v>
      </c>
      <c r="X85" s="190">
        <f t="shared" ca="1" si="61"/>
        <v>0</v>
      </c>
      <c r="Y85" s="190">
        <f t="shared" ca="1" si="61"/>
        <v>0</v>
      </c>
      <c r="Z85" s="190">
        <f t="shared" ca="1" si="61"/>
        <v>0</v>
      </c>
      <c r="AA85" s="190">
        <f t="shared" ca="1" si="61"/>
        <v>0</v>
      </c>
      <c r="AB85" s="190">
        <f t="shared" ca="1" si="61"/>
        <v>0</v>
      </c>
      <c r="AC85" s="190">
        <f t="shared" ca="1" si="61"/>
        <v>0</v>
      </c>
      <c r="AD85" s="190">
        <f t="shared" ca="1" si="61"/>
        <v>0</v>
      </c>
      <c r="AE85" s="190">
        <f t="shared" ca="1" si="61"/>
        <v>0</v>
      </c>
      <c r="AF85" s="190">
        <f t="shared" ca="1" si="61"/>
        <v>0</v>
      </c>
      <c r="AG85" s="190">
        <f t="shared" ca="1" si="61"/>
        <v>0</v>
      </c>
      <c r="AH85" s="190">
        <f t="shared" ca="1" si="61"/>
        <v>0</v>
      </c>
      <c r="AI85" s="190">
        <f t="shared" ca="1" si="61"/>
        <v>0</v>
      </c>
      <c r="AJ85" s="190">
        <f t="shared" ca="1" si="61"/>
        <v>0</v>
      </c>
      <c r="AK85" s="190">
        <f t="shared" ca="1" si="61"/>
        <v>0</v>
      </c>
      <c r="AL85" s="190">
        <f t="shared" si="61"/>
        <v>0</v>
      </c>
      <c r="AM85" s="190">
        <f t="shared" si="61"/>
        <v>0</v>
      </c>
      <c r="AN85" s="190">
        <f t="shared" si="61"/>
        <v>0</v>
      </c>
      <c r="AO85" s="190">
        <f t="shared" si="61"/>
        <v>0</v>
      </c>
      <c r="AP85" s="190">
        <f t="shared" si="61"/>
        <v>0</v>
      </c>
      <c r="AQ85" s="190">
        <f t="shared" si="61"/>
        <v>0</v>
      </c>
      <c r="AR85" s="190">
        <f t="shared" si="61"/>
        <v>0</v>
      </c>
      <c r="AS85" s="190">
        <f t="shared" si="61"/>
        <v>0</v>
      </c>
      <c r="AT85" s="190">
        <f t="shared" si="61"/>
        <v>0</v>
      </c>
      <c r="AU85" s="190">
        <f t="shared" si="61"/>
        <v>0</v>
      </c>
    </row>
    <row r="86" spans="1:47" s="28" customFormat="1">
      <c r="E86" s="254"/>
      <c r="G86" s="36" t="s">
        <v>313</v>
      </c>
      <c r="L86" s="43" t="s">
        <v>12</v>
      </c>
      <c r="N86" s="189">
        <f t="shared" ca="1" si="44"/>
        <v>7868991.0003631199</v>
      </c>
      <c r="O86" s="189"/>
      <c r="P86" s="320"/>
      <c r="Q86" s="189"/>
      <c r="R86" s="190">
        <f t="shared" ref="R86:AU86" ca="1" si="62">R480</f>
        <v>586500</v>
      </c>
      <c r="S86" s="190">
        <f t="shared" ca="1" si="62"/>
        <v>598230</v>
      </c>
      <c r="T86" s="190">
        <f t="shared" ca="1" si="62"/>
        <v>610194.6</v>
      </c>
      <c r="U86" s="190">
        <f t="shared" ca="1" si="62"/>
        <v>622398.49199999997</v>
      </c>
      <c r="V86" s="190">
        <f t="shared" ca="1" si="62"/>
        <v>634846.46184</v>
      </c>
      <c r="W86" s="190">
        <f t="shared" ca="1" si="62"/>
        <v>647543.39107680006</v>
      </c>
      <c r="X86" s="190">
        <f t="shared" ca="1" si="62"/>
        <v>660494.25889833586</v>
      </c>
      <c r="Y86" s="190">
        <f t="shared" ca="1" si="62"/>
        <v>673704.14407630265</v>
      </c>
      <c r="Z86" s="190">
        <f t="shared" ca="1" si="62"/>
        <v>687178.22695782874</v>
      </c>
      <c r="AA86" s="190">
        <f t="shared" ca="1" si="62"/>
        <v>700921.79149698536</v>
      </c>
      <c r="AB86" s="190">
        <f t="shared" ca="1" si="62"/>
        <v>714940.22732692491</v>
      </c>
      <c r="AC86" s="190">
        <f t="shared" ca="1" si="62"/>
        <v>729239.03187346354</v>
      </c>
      <c r="AD86" s="190">
        <f t="shared" ca="1" si="62"/>
        <v>743823.8125109328</v>
      </c>
      <c r="AE86" s="190">
        <f t="shared" ca="1" si="62"/>
        <v>758700.28876115149</v>
      </c>
      <c r="AF86" s="190">
        <f t="shared" ca="1" si="62"/>
        <v>773874.29453637428</v>
      </c>
      <c r="AG86" s="190">
        <f t="shared" ca="1" si="62"/>
        <v>789351.78042710188</v>
      </c>
      <c r="AH86" s="190">
        <f t="shared" ca="1" si="62"/>
        <v>805138.81603564403</v>
      </c>
      <c r="AI86" s="190">
        <f t="shared" ca="1" si="62"/>
        <v>821241.59235635679</v>
      </c>
      <c r="AJ86" s="190">
        <f t="shared" ca="1" si="62"/>
        <v>837666.42420348397</v>
      </c>
      <c r="AK86" s="190">
        <f t="shared" ca="1" si="62"/>
        <v>854419.75268755364</v>
      </c>
      <c r="AL86" s="190">
        <f t="shared" si="62"/>
        <v>0</v>
      </c>
      <c r="AM86" s="190">
        <f t="shared" si="62"/>
        <v>0</v>
      </c>
      <c r="AN86" s="190">
        <f t="shared" si="62"/>
        <v>0</v>
      </c>
      <c r="AO86" s="190">
        <f t="shared" si="62"/>
        <v>0</v>
      </c>
      <c r="AP86" s="190">
        <f t="shared" si="62"/>
        <v>0</v>
      </c>
      <c r="AQ86" s="190">
        <f t="shared" si="62"/>
        <v>0</v>
      </c>
      <c r="AR86" s="190">
        <f t="shared" si="62"/>
        <v>0</v>
      </c>
      <c r="AS86" s="190">
        <f t="shared" si="62"/>
        <v>0</v>
      </c>
      <c r="AT86" s="190">
        <f t="shared" si="62"/>
        <v>0</v>
      </c>
      <c r="AU86" s="190">
        <f t="shared" si="62"/>
        <v>0</v>
      </c>
    </row>
    <row r="87" spans="1:47" s="28" customFormat="1">
      <c r="E87" s="254"/>
      <c r="G87" s="36" t="s">
        <v>314</v>
      </c>
      <c r="L87" s="43" t="s">
        <v>12</v>
      </c>
      <c r="N87" s="189">
        <f t="shared" ca="1" si="44"/>
        <v>1806446.6296485772</v>
      </c>
      <c r="O87" s="189"/>
      <c r="P87" s="320"/>
      <c r="Q87" s="189"/>
      <c r="R87" s="190">
        <f t="shared" ref="R87:AU87" ca="1" si="63">R496</f>
        <v>134640</v>
      </c>
      <c r="S87" s="190">
        <f t="shared" ca="1" si="63"/>
        <v>137332.79999999999</v>
      </c>
      <c r="T87" s="190">
        <f t="shared" ca="1" si="63"/>
        <v>140079.45599999998</v>
      </c>
      <c r="U87" s="190">
        <f t="shared" ca="1" si="63"/>
        <v>142881.04512</v>
      </c>
      <c r="V87" s="190">
        <f t="shared" ca="1" si="63"/>
        <v>145738.66602239999</v>
      </c>
      <c r="W87" s="190">
        <f t="shared" ca="1" si="63"/>
        <v>148653.439342848</v>
      </c>
      <c r="X87" s="190">
        <f t="shared" ca="1" si="63"/>
        <v>151626.50812970495</v>
      </c>
      <c r="Y87" s="190">
        <f t="shared" ca="1" si="63"/>
        <v>154659.03829229905</v>
      </c>
      <c r="Z87" s="190">
        <f t="shared" ca="1" si="63"/>
        <v>157752.21905814504</v>
      </c>
      <c r="AA87" s="190">
        <f t="shared" ca="1" si="63"/>
        <v>160907.26343930795</v>
      </c>
      <c r="AB87" s="190">
        <f t="shared" ca="1" si="63"/>
        <v>164125.40870809407</v>
      </c>
      <c r="AC87" s="190">
        <f t="shared" ca="1" si="63"/>
        <v>167407.91688225599</v>
      </c>
      <c r="AD87" s="190">
        <f t="shared" ca="1" si="63"/>
        <v>170756.07521990107</v>
      </c>
      <c r="AE87" s="190">
        <f t="shared" ca="1" si="63"/>
        <v>174171.19672429914</v>
      </c>
      <c r="AF87" s="190">
        <f t="shared" ca="1" si="63"/>
        <v>177654.62065878505</v>
      </c>
      <c r="AG87" s="190">
        <f t="shared" ca="1" si="63"/>
        <v>181207.71307196078</v>
      </c>
      <c r="AH87" s="190">
        <f t="shared" ca="1" si="63"/>
        <v>184831.86733340003</v>
      </c>
      <c r="AI87" s="190">
        <f t="shared" ca="1" si="63"/>
        <v>188528.504680068</v>
      </c>
      <c r="AJ87" s="190">
        <f t="shared" ca="1" si="63"/>
        <v>192299.07477366936</v>
      </c>
      <c r="AK87" s="190">
        <f t="shared" ca="1" si="63"/>
        <v>196145.05626914275</v>
      </c>
      <c r="AL87" s="190">
        <f t="shared" si="63"/>
        <v>0</v>
      </c>
      <c r="AM87" s="190">
        <f t="shared" si="63"/>
        <v>0</v>
      </c>
      <c r="AN87" s="190">
        <f t="shared" si="63"/>
        <v>0</v>
      </c>
      <c r="AO87" s="190">
        <f t="shared" si="63"/>
        <v>0</v>
      </c>
      <c r="AP87" s="190">
        <f t="shared" si="63"/>
        <v>0</v>
      </c>
      <c r="AQ87" s="190">
        <f t="shared" si="63"/>
        <v>0</v>
      </c>
      <c r="AR87" s="190">
        <f t="shared" si="63"/>
        <v>0</v>
      </c>
      <c r="AS87" s="190">
        <f t="shared" si="63"/>
        <v>0</v>
      </c>
      <c r="AT87" s="190">
        <f t="shared" si="63"/>
        <v>0</v>
      </c>
      <c r="AU87" s="190">
        <f t="shared" si="63"/>
        <v>0</v>
      </c>
    </row>
    <row r="88" spans="1:47" s="39" customFormat="1">
      <c r="E88" s="254"/>
      <c r="G88" s="173" t="s">
        <v>252</v>
      </c>
      <c r="L88" s="174" t="s">
        <v>12</v>
      </c>
      <c r="N88" s="189">
        <f ca="1">SUBTOTAL(9,N69:N87)</f>
        <v>24389586.02100005</v>
      </c>
      <c r="O88" s="189"/>
      <c r="P88" s="320"/>
      <c r="Q88" s="189"/>
      <c r="R88" s="189">
        <f ca="1">SUBTOTAL(9,R69:R87)</f>
        <v>1820096.8875191067</v>
      </c>
      <c r="S88" s="189">
        <f t="shared" ref="S88:AU88" ca="1" si="64">SUBTOTAL(9,S69:S87)</f>
        <v>1857828.6367217074</v>
      </c>
      <c r="T88" s="189">
        <f t="shared" ca="1" si="64"/>
        <v>1892738.9229512836</v>
      </c>
      <c r="U88" s="189">
        <f t="shared" ca="1" si="64"/>
        <v>1929580.0521746553</v>
      </c>
      <c r="V88" s="189">
        <f t="shared" ca="1" si="64"/>
        <v>1967740.2341364531</v>
      </c>
      <c r="W88" s="189">
        <f t="shared" ca="1" si="64"/>
        <v>2007865.8102247627</v>
      </c>
      <c r="X88" s="189">
        <f t="shared" ca="1" si="64"/>
        <v>2048426.8923860665</v>
      </c>
      <c r="Y88" s="189">
        <f t="shared" ca="1" si="64"/>
        <v>2088884.8706933481</v>
      </c>
      <c r="Z88" s="189">
        <f t="shared" ca="1" si="64"/>
        <v>2130218.0792187685</v>
      </c>
      <c r="AA88" s="189">
        <f t="shared" ca="1" si="64"/>
        <v>2172244.6806024471</v>
      </c>
      <c r="AB88" s="189">
        <f t="shared" ca="1" si="64"/>
        <v>2215493.0818008329</v>
      </c>
      <c r="AC88" s="189">
        <f t="shared" ca="1" si="64"/>
        <v>2259892.8847102113</v>
      </c>
      <c r="AD88" s="189">
        <f t="shared" ca="1" si="64"/>
        <v>2304708.6114293728</v>
      </c>
      <c r="AE88" s="189">
        <f t="shared" ca="1" si="64"/>
        <v>2350450.6891369065</v>
      </c>
      <c r="AF88" s="189">
        <f t="shared" ca="1" si="64"/>
        <v>2396972.5271759992</v>
      </c>
      <c r="AG88" s="189">
        <f t="shared" ca="1" si="64"/>
        <v>2444117.3647612915</v>
      </c>
      <c r="AH88" s="189">
        <f t="shared" ca="1" si="64"/>
        <v>2492388.9449865716</v>
      </c>
      <c r="AI88" s="189">
        <f t="shared" ca="1" si="64"/>
        <v>2541411.9003677499</v>
      </c>
      <c r="AJ88" s="189">
        <f t="shared" ca="1" si="64"/>
        <v>2591276.1432059971</v>
      </c>
      <c r="AK88" s="189">
        <f t="shared" ca="1" si="64"/>
        <v>2642048.2896849979</v>
      </c>
      <c r="AL88" s="189">
        <f t="shared" si="64"/>
        <v>0</v>
      </c>
      <c r="AM88" s="189">
        <f t="shared" si="64"/>
        <v>0</v>
      </c>
      <c r="AN88" s="189">
        <f t="shared" si="64"/>
        <v>0</v>
      </c>
      <c r="AO88" s="189">
        <f t="shared" si="64"/>
        <v>0</v>
      </c>
      <c r="AP88" s="189">
        <f t="shared" si="64"/>
        <v>0</v>
      </c>
      <c r="AQ88" s="189">
        <f t="shared" si="64"/>
        <v>0</v>
      </c>
      <c r="AR88" s="189">
        <f t="shared" si="64"/>
        <v>0</v>
      </c>
      <c r="AS88" s="189">
        <f t="shared" si="64"/>
        <v>0</v>
      </c>
      <c r="AT88" s="189">
        <f t="shared" si="64"/>
        <v>0</v>
      </c>
      <c r="AU88" s="189">
        <f t="shared" si="64"/>
        <v>0</v>
      </c>
    </row>
    <row r="89" spans="1:47" s="28" customFormat="1">
      <c r="E89" s="254"/>
      <c r="G89" s="36"/>
      <c r="L89" s="43"/>
      <c r="N89" s="189"/>
      <c r="O89" s="189"/>
      <c r="P89" s="190"/>
      <c r="Q89" s="189"/>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row>
    <row r="90" spans="1:47" s="39" customFormat="1">
      <c r="E90" s="254"/>
      <c r="G90" s="194" t="s">
        <v>13</v>
      </c>
      <c r="L90" s="174" t="s">
        <v>12</v>
      </c>
      <c r="N90" s="192">
        <f ca="1">NPV(DiscountRt,R90:AU90)</f>
        <v>57096629.995009251</v>
      </c>
      <c r="O90" s="189"/>
      <c r="P90" s="320"/>
      <c r="Q90" s="189"/>
      <c r="R90" s="195">
        <f t="shared" ref="R90:AU90" ca="1" si="65">SUBTOTAL(9,R45:R89)</f>
        <v>36462040.887519114</v>
      </c>
      <c r="S90" s="195">
        <f t="shared" ca="1" si="65"/>
        <v>1859843.6367217074</v>
      </c>
      <c r="T90" s="195">
        <f t="shared" ca="1" si="65"/>
        <v>1894754.9229512836</v>
      </c>
      <c r="U90" s="195">
        <f t="shared" ca="1" si="65"/>
        <v>1931597.0521746553</v>
      </c>
      <c r="V90" s="195">
        <f t="shared" ca="1" si="65"/>
        <v>1969758.2341364531</v>
      </c>
      <c r="W90" s="195">
        <f t="shared" ca="1" si="65"/>
        <v>2009884.8102247627</v>
      </c>
      <c r="X90" s="195">
        <f t="shared" ca="1" si="65"/>
        <v>2050446.8923860665</v>
      </c>
      <c r="Y90" s="195">
        <f t="shared" ca="1" si="65"/>
        <v>2090905.8706933481</v>
      </c>
      <c r="Z90" s="195">
        <f t="shared" ca="1" si="65"/>
        <v>2132240.0792187685</v>
      </c>
      <c r="AA90" s="195">
        <f t="shared" ca="1" si="65"/>
        <v>2174267.6806024471</v>
      </c>
      <c r="AB90" s="195">
        <f t="shared" ca="1" si="65"/>
        <v>2217517.0818008329</v>
      </c>
      <c r="AC90" s="195">
        <f t="shared" ca="1" si="65"/>
        <v>2261917.8847102113</v>
      </c>
      <c r="AD90" s="195">
        <f t="shared" ca="1" si="65"/>
        <v>2306734.6114293728</v>
      </c>
      <c r="AE90" s="195">
        <f t="shared" ca="1" si="65"/>
        <v>2352477.6891369065</v>
      </c>
      <c r="AF90" s="195">
        <f t="shared" ca="1" si="65"/>
        <v>2399000.5271759992</v>
      </c>
      <c r="AG90" s="195">
        <f t="shared" ca="1" si="65"/>
        <v>2446146.3647612915</v>
      </c>
      <c r="AH90" s="195">
        <f t="shared" ca="1" si="65"/>
        <v>2494418.9449865716</v>
      </c>
      <c r="AI90" s="195">
        <f t="shared" ca="1" si="65"/>
        <v>2543442.9003677499</v>
      </c>
      <c r="AJ90" s="195">
        <f t="shared" ca="1" si="65"/>
        <v>2593308.1432059971</v>
      </c>
      <c r="AK90" s="195">
        <f t="shared" ca="1" si="65"/>
        <v>2644081.2896849979</v>
      </c>
      <c r="AL90" s="195">
        <f t="shared" ca="1" si="65"/>
        <v>2034</v>
      </c>
      <c r="AM90" s="195">
        <f t="shared" ca="1" si="65"/>
        <v>2035</v>
      </c>
      <c r="AN90" s="195">
        <f t="shared" ca="1" si="65"/>
        <v>2036</v>
      </c>
      <c r="AO90" s="195">
        <f t="shared" ca="1" si="65"/>
        <v>2037</v>
      </c>
      <c r="AP90" s="195">
        <f t="shared" ca="1" si="65"/>
        <v>2038</v>
      </c>
      <c r="AQ90" s="195">
        <f t="shared" ca="1" si="65"/>
        <v>2039</v>
      </c>
      <c r="AR90" s="195">
        <f t="shared" ca="1" si="65"/>
        <v>2040</v>
      </c>
      <c r="AS90" s="195">
        <f t="shared" ca="1" si="65"/>
        <v>2041</v>
      </c>
      <c r="AT90" s="195">
        <f t="shared" ca="1" si="65"/>
        <v>2042</v>
      </c>
      <c r="AU90" s="195">
        <f t="shared" ca="1" si="65"/>
        <v>2043</v>
      </c>
    </row>
    <row r="91" spans="1:47">
      <c r="G91" s="194"/>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row>
    <row r="92" spans="1:47" s="317" customFormat="1">
      <c r="G92" s="318" t="s">
        <v>503</v>
      </c>
      <c r="L92" s="407"/>
    </row>
    <row r="94" spans="1:47" s="28" customFormat="1">
      <c r="A94" s="40"/>
      <c r="B94" s="40"/>
      <c r="C94" s="40"/>
      <c r="D94" s="40"/>
      <c r="E94" s="327"/>
      <c r="G94" s="324" t="str">
        <f>C96&amp;" Capital Costs"</f>
        <v>Anaerobic Digestion Capital Costs</v>
      </c>
      <c r="H94" s="324"/>
      <c r="I94" s="324"/>
      <c r="J94" s="324"/>
      <c r="K94" s="324"/>
      <c r="L94" s="405" t="s">
        <v>79</v>
      </c>
      <c r="M94" s="256"/>
      <c r="N94" s="325" t="s">
        <v>490</v>
      </c>
      <c r="O94" s="311"/>
      <c r="P94" s="325" t="s">
        <v>491</v>
      </c>
      <c r="Q94" s="310"/>
      <c r="R94" s="325">
        <f>R$8</f>
        <v>2014</v>
      </c>
      <c r="S94" s="325">
        <f t="shared" ref="S94:AU94" si="66">S$8</f>
        <v>2015</v>
      </c>
      <c r="T94" s="325">
        <f t="shared" si="66"/>
        <v>2016</v>
      </c>
      <c r="U94" s="325">
        <f t="shared" si="66"/>
        <v>2017</v>
      </c>
      <c r="V94" s="325">
        <f t="shared" si="66"/>
        <v>2018</v>
      </c>
      <c r="W94" s="325">
        <f t="shared" si="66"/>
        <v>2019</v>
      </c>
      <c r="X94" s="325">
        <f t="shared" si="66"/>
        <v>2020</v>
      </c>
      <c r="Y94" s="325">
        <f t="shared" si="66"/>
        <v>2021</v>
      </c>
      <c r="Z94" s="325">
        <f t="shared" si="66"/>
        <v>2022</v>
      </c>
      <c r="AA94" s="325">
        <f t="shared" si="66"/>
        <v>2023</v>
      </c>
      <c r="AB94" s="325">
        <f t="shared" si="66"/>
        <v>2024</v>
      </c>
      <c r="AC94" s="325">
        <f t="shared" si="66"/>
        <v>2025</v>
      </c>
      <c r="AD94" s="325">
        <f t="shared" si="66"/>
        <v>2026</v>
      </c>
      <c r="AE94" s="325">
        <f t="shared" si="66"/>
        <v>2027</v>
      </c>
      <c r="AF94" s="325">
        <f t="shared" si="66"/>
        <v>2028</v>
      </c>
      <c r="AG94" s="325">
        <f t="shared" si="66"/>
        <v>2029</v>
      </c>
      <c r="AH94" s="325">
        <f t="shared" si="66"/>
        <v>2030</v>
      </c>
      <c r="AI94" s="325">
        <f t="shared" si="66"/>
        <v>2031</v>
      </c>
      <c r="AJ94" s="325">
        <f t="shared" si="66"/>
        <v>2032</v>
      </c>
      <c r="AK94" s="325">
        <f t="shared" si="66"/>
        <v>2033</v>
      </c>
      <c r="AL94" s="325">
        <f t="shared" si="66"/>
        <v>2034</v>
      </c>
      <c r="AM94" s="325">
        <f t="shared" si="66"/>
        <v>2035</v>
      </c>
      <c r="AN94" s="325">
        <f t="shared" si="66"/>
        <v>2036</v>
      </c>
      <c r="AO94" s="325">
        <f t="shared" si="66"/>
        <v>2037</v>
      </c>
      <c r="AP94" s="325">
        <f t="shared" si="66"/>
        <v>2038</v>
      </c>
      <c r="AQ94" s="325">
        <f t="shared" si="66"/>
        <v>2039</v>
      </c>
      <c r="AR94" s="325">
        <f t="shared" si="66"/>
        <v>2040</v>
      </c>
      <c r="AS94" s="325">
        <f t="shared" si="66"/>
        <v>2041</v>
      </c>
      <c r="AT94" s="325">
        <f t="shared" si="66"/>
        <v>2042</v>
      </c>
      <c r="AU94" s="325">
        <f t="shared" si="66"/>
        <v>2043</v>
      </c>
    </row>
    <row r="95" spans="1:47">
      <c r="E95" s="325"/>
      <c r="G95" s="39"/>
      <c r="H95" s="39"/>
      <c r="I95" s="39"/>
      <c r="J95" s="39"/>
      <c r="K95" s="39"/>
    </row>
    <row r="96" spans="1:47">
      <c r="A96" s="38" t="str">
        <f>$J$4&amp;"-"</f>
        <v>2Y-</v>
      </c>
      <c r="B96" s="38" t="s">
        <v>306</v>
      </c>
      <c r="C96" s="38" t="s">
        <v>315</v>
      </c>
      <c r="D96" s="186">
        <f>CapExEsc</f>
        <v>0.03</v>
      </c>
      <c r="E96" s="325"/>
      <c r="G96" s="36" t="s">
        <v>8</v>
      </c>
      <c r="H96" s="39"/>
      <c r="I96" s="39"/>
      <c r="J96" s="70"/>
      <c r="K96" s="39"/>
      <c r="L96" s="43" t="str">
        <f>"["&amp;CostBaseYr&amp;" $]"</f>
        <v>[2013 $]</v>
      </c>
      <c r="N96" s="52">
        <f ca="1">SUMIFS(OFFSET(Assumptions!$I$65,0,MATCH($A96,Configurations,0)-1,COUNT(Assumptions!$A$65:$A$84),1),Assumptions!$E$65:$E$84,$C96)</f>
        <v>8338000</v>
      </c>
      <c r="O96" s="52"/>
      <c r="P96" s="322"/>
      <c r="Q96" s="52"/>
      <c r="R96" s="52">
        <f t="shared" ref="R96:AU96" ca="1" si="67">R97*IF($P96=0,$N96,$P96)*(1+$D96)^(R$8-CostBaseYr)</f>
        <v>8588140</v>
      </c>
      <c r="S96" s="52">
        <f t="shared" ca="1" si="67"/>
        <v>0</v>
      </c>
      <c r="T96" s="52">
        <f t="shared" ca="1" si="67"/>
        <v>0</v>
      </c>
      <c r="U96" s="52">
        <f t="shared" ca="1" si="67"/>
        <v>0</v>
      </c>
      <c r="V96" s="52">
        <f t="shared" ca="1" si="67"/>
        <v>0</v>
      </c>
      <c r="W96" s="52">
        <f t="shared" ca="1" si="67"/>
        <v>0</v>
      </c>
      <c r="X96" s="52">
        <f t="shared" ca="1" si="67"/>
        <v>0</v>
      </c>
      <c r="Y96" s="52">
        <f t="shared" ca="1" si="67"/>
        <v>0</v>
      </c>
      <c r="Z96" s="52">
        <f t="shared" ca="1" si="67"/>
        <v>0</v>
      </c>
      <c r="AA96" s="52">
        <f t="shared" ca="1" si="67"/>
        <v>0</v>
      </c>
      <c r="AB96" s="52">
        <f t="shared" ca="1" si="67"/>
        <v>0</v>
      </c>
      <c r="AC96" s="52">
        <f t="shared" ca="1" si="67"/>
        <v>0</v>
      </c>
      <c r="AD96" s="52">
        <f t="shared" ca="1" si="67"/>
        <v>0</v>
      </c>
      <c r="AE96" s="52">
        <f t="shared" ca="1" si="67"/>
        <v>0</v>
      </c>
      <c r="AF96" s="52">
        <f t="shared" ca="1" si="67"/>
        <v>0</v>
      </c>
      <c r="AG96" s="52">
        <f t="shared" ca="1" si="67"/>
        <v>0</v>
      </c>
      <c r="AH96" s="52">
        <f t="shared" ca="1" si="67"/>
        <v>0</v>
      </c>
      <c r="AI96" s="52">
        <f t="shared" ca="1" si="67"/>
        <v>0</v>
      </c>
      <c r="AJ96" s="52">
        <f t="shared" ca="1" si="67"/>
        <v>0</v>
      </c>
      <c r="AK96" s="52">
        <f t="shared" ca="1" si="67"/>
        <v>0</v>
      </c>
      <c r="AL96" s="52">
        <f t="shared" ca="1" si="67"/>
        <v>0</v>
      </c>
      <c r="AM96" s="52">
        <f t="shared" ca="1" si="67"/>
        <v>0</v>
      </c>
      <c r="AN96" s="52">
        <f t="shared" ca="1" si="67"/>
        <v>0</v>
      </c>
      <c r="AO96" s="52">
        <f t="shared" ca="1" si="67"/>
        <v>0</v>
      </c>
      <c r="AP96" s="52">
        <f t="shared" ca="1" si="67"/>
        <v>0</v>
      </c>
      <c r="AQ96" s="52">
        <f t="shared" ca="1" si="67"/>
        <v>0</v>
      </c>
      <c r="AR96" s="52">
        <f t="shared" ca="1" si="67"/>
        <v>0</v>
      </c>
      <c r="AS96" s="52">
        <f t="shared" ca="1" si="67"/>
        <v>0</v>
      </c>
      <c r="AT96" s="52">
        <f t="shared" ca="1" si="67"/>
        <v>0</v>
      </c>
      <c r="AU96" s="52">
        <f t="shared" ca="1" si="67"/>
        <v>0</v>
      </c>
    </row>
    <row r="97" spans="1:47">
      <c r="E97" s="325"/>
      <c r="G97" s="36" t="s">
        <v>10</v>
      </c>
      <c r="H97" s="39"/>
      <c r="I97" s="39"/>
      <c r="J97" s="39"/>
      <c r="K97" s="39"/>
      <c r="L97" s="43"/>
      <c r="R97" s="54">
        <f>Assumptions!M$60</f>
        <v>1</v>
      </c>
      <c r="S97" s="54">
        <f>Assumptions!N$60</f>
        <v>0</v>
      </c>
      <c r="T97" s="54">
        <f>Assumptions!O$60</f>
        <v>0</v>
      </c>
      <c r="U97" s="54">
        <f>Assumptions!P$60</f>
        <v>0</v>
      </c>
      <c r="V97" s="54">
        <f>Assumptions!Q$60</f>
        <v>0</v>
      </c>
      <c r="W97" s="54">
        <f>Assumptions!R$60</f>
        <v>0</v>
      </c>
      <c r="X97" s="54">
        <f>Assumptions!S$60</f>
        <v>0</v>
      </c>
      <c r="Y97" s="54">
        <f>Assumptions!T$60</f>
        <v>0</v>
      </c>
      <c r="Z97" s="54">
        <f>Assumptions!U$60</f>
        <v>0</v>
      </c>
      <c r="AA97" s="54">
        <f>Assumptions!V$60</f>
        <v>0</v>
      </c>
      <c r="AB97" s="54">
        <f>Assumptions!W$60</f>
        <v>0</v>
      </c>
      <c r="AC97" s="54">
        <f>Assumptions!X$60</f>
        <v>0</v>
      </c>
      <c r="AD97" s="54">
        <f>Assumptions!Y$60</f>
        <v>0</v>
      </c>
      <c r="AE97" s="54">
        <f>Assumptions!Z$60</f>
        <v>0</v>
      </c>
      <c r="AF97" s="54">
        <f>Assumptions!AA$60</f>
        <v>0</v>
      </c>
      <c r="AG97" s="54">
        <f>Assumptions!AB$60</f>
        <v>0</v>
      </c>
      <c r="AH97" s="54">
        <f>Assumptions!AC$60</f>
        <v>0</v>
      </c>
      <c r="AI97" s="54">
        <f>Assumptions!AD$60</f>
        <v>0</v>
      </c>
      <c r="AJ97" s="54">
        <f>Assumptions!AE$60</f>
        <v>0</v>
      </c>
      <c r="AK97" s="54">
        <f>Assumptions!AF$60</f>
        <v>0</v>
      </c>
      <c r="AL97" s="54">
        <f>Assumptions!AG$60</f>
        <v>0</v>
      </c>
      <c r="AM97" s="54">
        <f>Assumptions!AH$60</f>
        <v>0</v>
      </c>
      <c r="AN97" s="54">
        <f>Assumptions!AI$60</f>
        <v>0</v>
      </c>
      <c r="AO97" s="54">
        <f>Assumptions!AJ$60</f>
        <v>0</v>
      </c>
      <c r="AP97" s="54">
        <f>Assumptions!AK$60</f>
        <v>0</v>
      </c>
      <c r="AQ97" s="54">
        <f>Assumptions!AL$60</f>
        <v>0</v>
      </c>
      <c r="AR97" s="54">
        <f>Assumptions!AM$60</f>
        <v>0</v>
      </c>
      <c r="AS97" s="54">
        <f>Assumptions!AN$60</f>
        <v>0</v>
      </c>
      <c r="AT97" s="54">
        <f>Assumptions!AO$60</f>
        <v>0</v>
      </c>
      <c r="AU97" s="54">
        <f>Assumptions!AP$60</f>
        <v>0</v>
      </c>
    </row>
    <row r="98" spans="1:47">
      <c r="E98" s="326"/>
      <c r="G98" s="39"/>
      <c r="H98" s="39"/>
      <c r="I98" s="39"/>
      <c r="J98" s="39"/>
      <c r="K98" s="39"/>
    </row>
    <row r="99" spans="1:47" s="28" customFormat="1">
      <c r="A99" s="40"/>
      <c r="B99" s="40"/>
      <c r="C99" s="40"/>
      <c r="D99" s="40"/>
      <c r="E99" s="327"/>
      <c r="G99" s="324" t="str">
        <f>C96&amp;" O&amp;M"</f>
        <v>Anaerobic Digestion O&amp;M</v>
      </c>
      <c r="H99" s="324"/>
      <c r="I99" s="324"/>
      <c r="J99" s="324"/>
      <c r="K99" s="324"/>
      <c r="L99" s="405" t="s">
        <v>79</v>
      </c>
      <c r="M99" s="256"/>
      <c r="N99" s="325" t="s">
        <v>490</v>
      </c>
      <c r="O99" s="311"/>
      <c r="P99" s="325" t="s">
        <v>491</v>
      </c>
      <c r="Q99" s="310"/>
      <c r="R99" s="325">
        <f>R$8</f>
        <v>2014</v>
      </c>
      <c r="S99" s="325">
        <f t="shared" ref="S99:AU99" si="68">S$8</f>
        <v>2015</v>
      </c>
      <c r="T99" s="325">
        <f t="shared" si="68"/>
        <v>2016</v>
      </c>
      <c r="U99" s="325">
        <f t="shared" si="68"/>
        <v>2017</v>
      </c>
      <c r="V99" s="325">
        <f t="shared" si="68"/>
        <v>2018</v>
      </c>
      <c r="W99" s="325">
        <f t="shared" si="68"/>
        <v>2019</v>
      </c>
      <c r="X99" s="325">
        <f t="shared" si="68"/>
        <v>2020</v>
      </c>
      <c r="Y99" s="325">
        <f t="shared" si="68"/>
        <v>2021</v>
      </c>
      <c r="Z99" s="325">
        <f t="shared" si="68"/>
        <v>2022</v>
      </c>
      <c r="AA99" s="325">
        <f t="shared" si="68"/>
        <v>2023</v>
      </c>
      <c r="AB99" s="325">
        <f t="shared" si="68"/>
        <v>2024</v>
      </c>
      <c r="AC99" s="325">
        <f t="shared" si="68"/>
        <v>2025</v>
      </c>
      <c r="AD99" s="325">
        <f t="shared" si="68"/>
        <v>2026</v>
      </c>
      <c r="AE99" s="325">
        <f t="shared" si="68"/>
        <v>2027</v>
      </c>
      <c r="AF99" s="325">
        <f t="shared" si="68"/>
        <v>2028</v>
      </c>
      <c r="AG99" s="325">
        <f t="shared" si="68"/>
        <v>2029</v>
      </c>
      <c r="AH99" s="325">
        <f t="shared" si="68"/>
        <v>2030</v>
      </c>
      <c r="AI99" s="325">
        <f t="shared" si="68"/>
        <v>2031</v>
      </c>
      <c r="AJ99" s="325">
        <f t="shared" si="68"/>
        <v>2032</v>
      </c>
      <c r="AK99" s="325">
        <f t="shared" si="68"/>
        <v>2033</v>
      </c>
      <c r="AL99" s="325">
        <f t="shared" si="68"/>
        <v>2034</v>
      </c>
      <c r="AM99" s="325">
        <f t="shared" si="68"/>
        <v>2035</v>
      </c>
      <c r="AN99" s="325">
        <f t="shared" si="68"/>
        <v>2036</v>
      </c>
      <c r="AO99" s="325">
        <f t="shared" si="68"/>
        <v>2037</v>
      </c>
      <c r="AP99" s="325">
        <f t="shared" si="68"/>
        <v>2038</v>
      </c>
      <c r="AQ99" s="325">
        <f t="shared" si="68"/>
        <v>2039</v>
      </c>
      <c r="AR99" s="325">
        <f t="shared" si="68"/>
        <v>2040</v>
      </c>
      <c r="AS99" s="325">
        <f t="shared" si="68"/>
        <v>2041</v>
      </c>
      <c r="AT99" s="325">
        <f t="shared" si="68"/>
        <v>2042</v>
      </c>
      <c r="AU99" s="325">
        <f t="shared" si="68"/>
        <v>2043</v>
      </c>
    </row>
    <row r="100" spans="1:47">
      <c r="E100" s="325"/>
      <c r="G100" s="39"/>
      <c r="H100" s="39"/>
      <c r="I100" s="39"/>
      <c r="J100" s="39"/>
      <c r="K100" s="39"/>
    </row>
    <row r="101" spans="1:47">
      <c r="E101" s="325"/>
      <c r="G101" s="39" t="s">
        <v>23</v>
      </c>
      <c r="H101" s="39"/>
      <c r="I101" s="39"/>
      <c r="J101" s="39"/>
      <c r="K101" s="39"/>
    </row>
    <row r="102" spans="1:47">
      <c r="A102" s="38" t="str">
        <f t="shared" ref="A102:A109" si="69">$J$4&amp;"-"</f>
        <v>2Y-</v>
      </c>
      <c r="B102" s="38" t="s">
        <v>262</v>
      </c>
      <c r="C102" s="38" t="str">
        <f>C96</f>
        <v>Anaerobic Digestion</v>
      </c>
      <c r="D102" s="186">
        <f>LaborEsc</f>
        <v>0.02</v>
      </c>
      <c r="E102" s="325"/>
      <c r="G102" s="36" t="s">
        <v>125</v>
      </c>
      <c r="I102" s="39"/>
      <c r="K102" s="39"/>
      <c r="L102" s="43" t="s">
        <v>266</v>
      </c>
      <c r="N102" s="70">
        <f ca="1">SUMIFS(OFFSET(Assumptions!$I$90,0,MATCH($A102,Configurations,0)-1,COUNT(Assumptions!$A$90:$A$183),1),Assumptions!$D$90:$D$183,$B102&amp;$C102)</f>
        <v>2555</v>
      </c>
      <c r="O102" s="313"/>
      <c r="P102" s="323"/>
      <c r="Q102" s="313"/>
      <c r="R102" s="50">
        <f t="shared" ref="R102:AU102" ca="1" si="70">IF(OR(R$99&lt;InServiceYr,R$99&gt;(InServiceYr+analysis_period-1)),0,IF($P102=0,$N102,$P102)*LaborCost*(1+$D102)^(R$99-CostBaseYr))</f>
        <v>91213.5</v>
      </c>
      <c r="S102" s="50">
        <f t="shared" ca="1" si="70"/>
        <v>93037.77</v>
      </c>
      <c r="T102" s="50">
        <f t="shared" ca="1" si="70"/>
        <v>94898.525399999999</v>
      </c>
      <c r="U102" s="50">
        <f t="shared" ca="1" si="70"/>
        <v>96796.495907999997</v>
      </c>
      <c r="V102" s="50">
        <f t="shared" ca="1" si="70"/>
        <v>98732.425826160004</v>
      </c>
      <c r="W102" s="50">
        <f t="shared" ca="1" si="70"/>
        <v>100707.07434268321</v>
      </c>
      <c r="X102" s="50">
        <f t="shared" ca="1" si="70"/>
        <v>102721.21582953684</v>
      </c>
      <c r="Y102" s="50">
        <f t="shared" ca="1" si="70"/>
        <v>104775.6401461276</v>
      </c>
      <c r="Z102" s="50">
        <f t="shared" ca="1" si="70"/>
        <v>106871.15294905014</v>
      </c>
      <c r="AA102" s="50">
        <f t="shared" ca="1" si="70"/>
        <v>109008.57600803116</v>
      </c>
      <c r="AB102" s="50">
        <f t="shared" ca="1" si="70"/>
        <v>111188.74752819176</v>
      </c>
      <c r="AC102" s="50">
        <f t="shared" ca="1" si="70"/>
        <v>113412.52247875561</v>
      </c>
      <c r="AD102" s="50">
        <f t="shared" ca="1" si="70"/>
        <v>115680.77292833071</v>
      </c>
      <c r="AE102" s="50">
        <f t="shared" ca="1" si="70"/>
        <v>117994.38838689734</v>
      </c>
      <c r="AF102" s="50">
        <f t="shared" ca="1" si="70"/>
        <v>120354.27615463526</v>
      </c>
      <c r="AG102" s="50">
        <f t="shared" ca="1" si="70"/>
        <v>122761.36167772798</v>
      </c>
      <c r="AH102" s="50">
        <f t="shared" ca="1" si="70"/>
        <v>125216.58891128255</v>
      </c>
      <c r="AI102" s="50">
        <f t="shared" ca="1" si="70"/>
        <v>127720.92068950819</v>
      </c>
      <c r="AJ102" s="50">
        <f t="shared" ca="1" si="70"/>
        <v>130275.33910329835</v>
      </c>
      <c r="AK102" s="50">
        <f t="shared" ca="1" si="70"/>
        <v>132880.84588536434</v>
      </c>
      <c r="AL102" s="50">
        <f t="shared" si="70"/>
        <v>0</v>
      </c>
      <c r="AM102" s="50">
        <f t="shared" si="70"/>
        <v>0</v>
      </c>
      <c r="AN102" s="50">
        <f t="shared" si="70"/>
        <v>0</v>
      </c>
      <c r="AO102" s="50">
        <f t="shared" si="70"/>
        <v>0</v>
      </c>
      <c r="AP102" s="50">
        <f t="shared" si="70"/>
        <v>0</v>
      </c>
      <c r="AQ102" s="50">
        <f t="shared" si="70"/>
        <v>0</v>
      </c>
      <c r="AR102" s="50">
        <f t="shared" si="70"/>
        <v>0</v>
      </c>
      <c r="AS102" s="50">
        <f t="shared" si="70"/>
        <v>0</v>
      </c>
      <c r="AT102" s="50">
        <f t="shared" si="70"/>
        <v>0</v>
      </c>
      <c r="AU102" s="50">
        <f t="shared" si="70"/>
        <v>0</v>
      </c>
    </row>
    <row r="103" spans="1:47">
      <c r="A103" s="38" t="str">
        <f t="shared" si="69"/>
        <v>2Y-</v>
      </c>
      <c r="B103" s="38" t="s">
        <v>270</v>
      </c>
      <c r="C103" s="38" t="str">
        <f>C102</f>
        <v>Anaerobic Digestion</v>
      </c>
      <c r="D103" s="186">
        <f>OMEsc</f>
        <v>0.02</v>
      </c>
      <c r="E103" s="325"/>
      <c r="G103" s="36" t="s">
        <v>126</v>
      </c>
      <c r="I103" s="39"/>
      <c r="K103" s="39"/>
      <c r="L103" s="43" t="str">
        <f>"["&amp;CostBaseYr&amp;" $]"</f>
        <v>[2013 $]</v>
      </c>
      <c r="N103" s="70">
        <f ca="1">SUMIFS(OFFSET(Assumptions!$I$90,0,MATCH($A103,Configurations,0)-1,COUNT(Assumptions!$A$90:$A$183),1),Assumptions!$D$90:$D$183,$B103&amp;$C103)</f>
        <v>95000</v>
      </c>
      <c r="O103" s="313"/>
      <c r="P103" s="323"/>
      <c r="Q103" s="313"/>
      <c r="R103" s="50">
        <f t="shared" ref="R103:AG105" ca="1" si="71">IF(OR(R$99&lt;InServiceYr,R$99&gt;(InServiceYr+analysis_period-1)),0,IF($P103=0,$N103,$P103)*(1+$D103)^(R$99-CostBaseYr))</f>
        <v>96900</v>
      </c>
      <c r="S103" s="50">
        <f t="shared" ca="1" si="71"/>
        <v>98838</v>
      </c>
      <c r="T103" s="50">
        <f t="shared" ca="1" si="71"/>
        <v>100814.76</v>
      </c>
      <c r="U103" s="50">
        <f t="shared" ca="1" si="71"/>
        <v>102831.0552</v>
      </c>
      <c r="V103" s="50">
        <f t="shared" ca="1" si="71"/>
        <v>104887.67630400001</v>
      </c>
      <c r="W103" s="50">
        <f t="shared" ca="1" si="71"/>
        <v>106985.42983008</v>
      </c>
      <c r="X103" s="50">
        <f t="shared" ca="1" si="71"/>
        <v>109125.13842668159</v>
      </c>
      <c r="Y103" s="50">
        <f t="shared" ca="1" si="71"/>
        <v>111307.64119521523</v>
      </c>
      <c r="Z103" s="50">
        <f t="shared" ca="1" si="71"/>
        <v>113533.79401911952</v>
      </c>
      <c r="AA103" s="50">
        <f t="shared" ca="1" si="71"/>
        <v>115804.46989950193</v>
      </c>
      <c r="AB103" s="50">
        <f t="shared" ca="1" si="71"/>
        <v>118120.55929749194</v>
      </c>
      <c r="AC103" s="50">
        <f t="shared" ca="1" si="71"/>
        <v>120482.97048344179</v>
      </c>
      <c r="AD103" s="50">
        <f t="shared" ca="1" si="71"/>
        <v>122892.62989311063</v>
      </c>
      <c r="AE103" s="50">
        <f t="shared" ca="1" si="71"/>
        <v>125350.48249097285</v>
      </c>
      <c r="AF103" s="50">
        <f t="shared" ca="1" si="71"/>
        <v>127857.49214079228</v>
      </c>
      <c r="AG103" s="50">
        <f t="shared" ca="1" si="71"/>
        <v>130414.64198360815</v>
      </c>
      <c r="AH103" s="50">
        <f t="shared" ref="S103:AU105" ca="1" si="72">IF(OR(AH$99&lt;InServiceYr,AH$99&gt;(InServiceYr+analysis_period-1)),0,IF($P103=0,$N103,$P103)*(1+$D103)^(AH$99-CostBaseYr))</f>
        <v>133022.93482328032</v>
      </c>
      <c r="AI103" s="50">
        <f t="shared" ca="1" si="72"/>
        <v>135683.39351974591</v>
      </c>
      <c r="AJ103" s="50">
        <f t="shared" ca="1" si="72"/>
        <v>138397.06139014082</v>
      </c>
      <c r="AK103" s="50">
        <f t="shared" ca="1" si="72"/>
        <v>141165.00261794365</v>
      </c>
      <c r="AL103" s="50">
        <f t="shared" si="72"/>
        <v>0</v>
      </c>
      <c r="AM103" s="50">
        <f t="shared" si="72"/>
        <v>0</v>
      </c>
      <c r="AN103" s="50">
        <f t="shared" si="72"/>
        <v>0</v>
      </c>
      <c r="AO103" s="50">
        <f t="shared" si="72"/>
        <v>0</v>
      </c>
      <c r="AP103" s="50">
        <f t="shared" si="72"/>
        <v>0</v>
      </c>
      <c r="AQ103" s="50">
        <f t="shared" si="72"/>
        <v>0</v>
      </c>
      <c r="AR103" s="50">
        <f t="shared" si="72"/>
        <v>0</v>
      </c>
      <c r="AS103" s="50">
        <f t="shared" si="72"/>
        <v>0</v>
      </c>
      <c r="AT103" s="50">
        <f t="shared" si="72"/>
        <v>0</v>
      </c>
      <c r="AU103" s="50">
        <f t="shared" si="72"/>
        <v>0</v>
      </c>
    </row>
    <row r="104" spans="1:47">
      <c r="A104" s="38" t="str">
        <f t="shared" si="69"/>
        <v>2Y-</v>
      </c>
      <c r="B104" s="38" t="s">
        <v>263</v>
      </c>
      <c r="C104" s="38" t="str">
        <f t="shared" ref="C104:C108" si="73">C103</f>
        <v>Anaerobic Digestion</v>
      </c>
      <c r="D104" s="186">
        <f>OMEsc</f>
        <v>0.02</v>
      </c>
      <c r="E104" s="325"/>
      <c r="G104" s="36" t="s">
        <v>127</v>
      </c>
      <c r="I104" s="39"/>
      <c r="K104" s="39"/>
      <c r="L104" s="43" t="str">
        <f>"["&amp;CostBaseYr&amp;" $]"</f>
        <v>[2013 $]</v>
      </c>
      <c r="N104" s="70">
        <f ca="1">SUMIFS(OFFSET(Assumptions!$I$90,0,MATCH($A104,Configurations,0)-1,COUNT(Assumptions!$A$90:$A$183),1),Assumptions!$D$90:$D$183,$B104&amp;$C104)</f>
        <v>0</v>
      </c>
      <c r="O104" s="313"/>
      <c r="P104" s="323"/>
      <c r="Q104" s="313"/>
      <c r="R104" s="50">
        <f t="shared" ca="1" si="71"/>
        <v>0</v>
      </c>
      <c r="S104" s="50">
        <f t="shared" ca="1" si="72"/>
        <v>0</v>
      </c>
      <c r="T104" s="50">
        <f t="shared" ca="1" si="72"/>
        <v>0</v>
      </c>
      <c r="U104" s="50">
        <f t="shared" ca="1" si="72"/>
        <v>0</v>
      </c>
      <c r="V104" s="50">
        <f t="shared" ca="1" si="72"/>
        <v>0</v>
      </c>
      <c r="W104" s="50">
        <f t="shared" ca="1" si="72"/>
        <v>0</v>
      </c>
      <c r="X104" s="50">
        <f t="shared" ca="1" si="72"/>
        <v>0</v>
      </c>
      <c r="Y104" s="50">
        <f t="shared" ca="1" si="72"/>
        <v>0</v>
      </c>
      <c r="Z104" s="50">
        <f t="shared" ca="1" si="72"/>
        <v>0</v>
      </c>
      <c r="AA104" s="50">
        <f t="shared" ca="1" si="72"/>
        <v>0</v>
      </c>
      <c r="AB104" s="50">
        <f t="shared" ca="1" si="72"/>
        <v>0</v>
      </c>
      <c r="AC104" s="50">
        <f t="shared" ca="1" si="72"/>
        <v>0</v>
      </c>
      <c r="AD104" s="50">
        <f t="shared" ca="1" si="72"/>
        <v>0</v>
      </c>
      <c r="AE104" s="50">
        <f t="shared" ca="1" si="72"/>
        <v>0</v>
      </c>
      <c r="AF104" s="50">
        <f t="shared" ca="1" si="72"/>
        <v>0</v>
      </c>
      <c r="AG104" s="50">
        <f t="shared" ca="1" si="72"/>
        <v>0</v>
      </c>
      <c r="AH104" s="50">
        <f t="shared" ca="1" si="72"/>
        <v>0</v>
      </c>
      <c r="AI104" s="50">
        <f t="shared" ca="1" si="72"/>
        <v>0</v>
      </c>
      <c r="AJ104" s="50">
        <f t="shared" ca="1" si="72"/>
        <v>0</v>
      </c>
      <c r="AK104" s="50">
        <f t="shared" ca="1" si="72"/>
        <v>0</v>
      </c>
      <c r="AL104" s="50">
        <f t="shared" si="72"/>
        <v>0</v>
      </c>
      <c r="AM104" s="50">
        <f t="shared" si="72"/>
        <v>0</v>
      </c>
      <c r="AN104" s="50">
        <f t="shared" si="72"/>
        <v>0</v>
      </c>
      <c r="AO104" s="50">
        <f t="shared" si="72"/>
        <v>0</v>
      </c>
      <c r="AP104" s="50">
        <f t="shared" si="72"/>
        <v>0</v>
      </c>
      <c r="AQ104" s="50">
        <f t="shared" si="72"/>
        <v>0</v>
      </c>
      <c r="AR104" s="50">
        <f t="shared" si="72"/>
        <v>0</v>
      </c>
      <c r="AS104" s="50">
        <f t="shared" si="72"/>
        <v>0</v>
      </c>
      <c r="AT104" s="50">
        <f t="shared" si="72"/>
        <v>0</v>
      </c>
      <c r="AU104" s="50">
        <f t="shared" si="72"/>
        <v>0</v>
      </c>
    </row>
    <row r="105" spans="1:47">
      <c r="A105" s="38" t="str">
        <f t="shared" si="69"/>
        <v>2Y-</v>
      </c>
      <c r="B105" s="38" t="s">
        <v>277</v>
      </c>
      <c r="C105" s="38" t="str">
        <f t="shared" si="73"/>
        <v>Anaerobic Digestion</v>
      </c>
      <c r="D105" s="186">
        <f>OMEsc</f>
        <v>0.02</v>
      </c>
      <c r="E105" s="325"/>
      <c r="G105" s="36" t="s">
        <v>276</v>
      </c>
      <c r="I105" s="39"/>
      <c r="K105" s="39"/>
      <c r="L105" s="43" t="str">
        <f>"["&amp;CostBaseYr&amp;" $]"</f>
        <v>[2013 $]</v>
      </c>
      <c r="N105" s="70">
        <f ca="1">SUMIFS(OFFSET(Assumptions!$I$90,0,MATCH($A105,Configurations,0)-1,COUNT(Assumptions!$A$90:$A$183),1),Assumptions!$D$90:$D$183,$B105&amp;$C105)</f>
        <v>0</v>
      </c>
      <c r="O105" s="313"/>
      <c r="P105" s="323"/>
      <c r="Q105" s="313"/>
      <c r="R105" s="50">
        <f t="shared" ca="1" si="71"/>
        <v>0</v>
      </c>
      <c r="S105" s="50">
        <f t="shared" ca="1" si="72"/>
        <v>0</v>
      </c>
      <c r="T105" s="50">
        <f t="shared" ca="1" si="72"/>
        <v>0</v>
      </c>
      <c r="U105" s="50">
        <f t="shared" ca="1" si="72"/>
        <v>0</v>
      </c>
      <c r="V105" s="50">
        <f t="shared" ca="1" si="72"/>
        <v>0</v>
      </c>
      <c r="W105" s="50">
        <f t="shared" ca="1" si="72"/>
        <v>0</v>
      </c>
      <c r="X105" s="50">
        <f t="shared" ca="1" si="72"/>
        <v>0</v>
      </c>
      <c r="Y105" s="50">
        <f t="shared" ca="1" si="72"/>
        <v>0</v>
      </c>
      <c r="Z105" s="50">
        <f t="shared" ca="1" si="72"/>
        <v>0</v>
      </c>
      <c r="AA105" s="50">
        <f t="shared" ca="1" si="72"/>
        <v>0</v>
      </c>
      <c r="AB105" s="50">
        <f t="shared" ca="1" si="72"/>
        <v>0</v>
      </c>
      <c r="AC105" s="50">
        <f t="shared" ca="1" si="72"/>
        <v>0</v>
      </c>
      <c r="AD105" s="50">
        <f t="shared" ca="1" si="72"/>
        <v>0</v>
      </c>
      <c r="AE105" s="50">
        <f t="shared" ca="1" si="72"/>
        <v>0</v>
      </c>
      <c r="AF105" s="50">
        <f t="shared" ca="1" si="72"/>
        <v>0</v>
      </c>
      <c r="AG105" s="50">
        <f t="shared" ca="1" si="72"/>
        <v>0</v>
      </c>
      <c r="AH105" s="50">
        <f t="shared" ca="1" si="72"/>
        <v>0</v>
      </c>
      <c r="AI105" s="50">
        <f t="shared" ca="1" si="72"/>
        <v>0</v>
      </c>
      <c r="AJ105" s="50">
        <f t="shared" ca="1" si="72"/>
        <v>0</v>
      </c>
      <c r="AK105" s="50">
        <f t="shared" ca="1" si="72"/>
        <v>0</v>
      </c>
      <c r="AL105" s="50">
        <f t="shared" si="72"/>
        <v>0</v>
      </c>
      <c r="AM105" s="50">
        <f t="shared" si="72"/>
        <v>0</v>
      </c>
      <c r="AN105" s="50">
        <f t="shared" si="72"/>
        <v>0</v>
      </c>
      <c r="AO105" s="50">
        <f t="shared" si="72"/>
        <v>0</v>
      </c>
      <c r="AP105" s="50">
        <f t="shared" si="72"/>
        <v>0</v>
      </c>
      <c r="AQ105" s="50">
        <f t="shared" si="72"/>
        <v>0</v>
      </c>
      <c r="AR105" s="50">
        <f t="shared" si="72"/>
        <v>0</v>
      </c>
      <c r="AS105" s="50">
        <f t="shared" si="72"/>
        <v>0</v>
      </c>
      <c r="AT105" s="50">
        <f t="shared" si="72"/>
        <v>0</v>
      </c>
      <c r="AU105" s="50">
        <f t="shared" si="72"/>
        <v>0</v>
      </c>
    </row>
    <row r="106" spans="1:47">
      <c r="A106" s="38" t="str">
        <f t="shared" si="69"/>
        <v>2Y-</v>
      </c>
      <c r="B106" s="38" t="s">
        <v>274</v>
      </c>
      <c r="C106" s="38" t="str">
        <f t="shared" si="73"/>
        <v>Anaerobic Digestion</v>
      </c>
      <c r="D106" s="186"/>
      <c r="E106" s="325"/>
      <c r="G106" s="36" t="s">
        <v>16</v>
      </c>
      <c r="I106" s="39"/>
      <c r="K106" s="39"/>
      <c r="L106" s="43" t="s">
        <v>275</v>
      </c>
      <c r="N106" s="70">
        <f ca="1">SUMIFS(OFFSET(Assumptions!$I$90,0,MATCH($A106,Configurations,0)-1,COUNT(Assumptions!$A$90:$A$183),1),Assumptions!$D$90:$D$183,$B106&amp;$C106)</f>
        <v>0</v>
      </c>
      <c r="O106" s="313"/>
      <c r="P106" s="323"/>
      <c r="Q106" s="313"/>
      <c r="R106" s="50">
        <f t="shared" ref="R106:AU106" ca="1" si="74">IF(OR(R$99&lt;InServiceYr,R$99&gt;(InServiceYr+analysis_period-1)),0,IF($P106=0,$N106,$P106)*R$505)</f>
        <v>0</v>
      </c>
      <c r="S106" s="50">
        <f t="shared" ca="1" si="74"/>
        <v>0</v>
      </c>
      <c r="T106" s="50">
        <f t="shared" ca="1" si="74"/>
        <v>0</v>
      </c>
      <c r="U106" s="50">
        <f t="shared" ca="1" si="74"/>
        <v>0</v>
      </c>
      <c r="V106" s="50">
        <f t="shared" ca="1" si="74"/>
        <v>0</v>
      </c>
      <c r="W106" s="50">
        <f t="shared" ca="1" si="74"/>
        <v>0</v>
      </c>
      <c r="X106" s="50">
        <f t="shared" ca="1" si="74"/>
        <v>0</v>
      </c>
      <c r="Y106" s="50">
        <f t="shared" ca="1" si="74"/>
        <v>0</v>
      </c>
      <c r="Z106" s="50">
        <f t="shared" ca="1" si="74"/>
        <v>0</v>
      </c>
      <c r="AA106" s="50">
        <f t="shared" ca="1" si="74"/>
        <v>0</v>
      </c>
      <c r="AB106" s="50">
        <f t="shared" ca="1" si="74"/>
        <v>0</v>
      </c>
      <c r="AC106" s="50">
        <f t="shared" ca="1" si="74"/>
        <v>0</v>
      </c>
      <c r="AD106" s="50">
        <f t="shared" ca="1" si="74"/>
        <v>0</v>
      </c>
      <c r="AE106" s="50">
        <f t="shared" ca="1" si="74"/>
        <v>0</v>
      </c>
      <c r="AF106" s="50">
        <f t="shared" ca="1" si="74"/>
        <v>0</v>
      </c>
      <c r="AG106" s="50">
        <f t="shared" ca="1" si="74"/>
        <v>0</v>
      </c>
      <c r="AH106" s="50">
        <f t="shared" ca="1" si="74"/>
        <v>0</v>
      </c>
      <c r="AI106" s="50">
        <f t="shared" ca="1" si="74"/>
        <v>0</v>
      </c>
      <c r="AJ106" s="50">
        <f t="shared" ca="1" si="74"/>
        <v>0</v>
      </c>
      <c r="AK106" s="50">
        <f t="shared" ca="1" si="74"/>
        <v>0</v>
      </c>
      <c r="AL106" s="50">
        <f t="shared" si="74"/>
        <v>0</v>
      </c>
      <c r="AM106" s="50">
        <f t="shared" si="74"/>
        <v>0</v>
      </c>
      <c r="AN106" s="50">
        <f t="shared" si="74"/>
        <v>0</v>
      </c>
      <c r="AO106" s="50">
        <f t="shared" si="74"/>
        <v>0</v>
      </c>
      <c r="AP106" s="50">
        <f t="shared" si="74"/>
        <v>0</v>
      </c>
      <c r="AQ106" s="50">
        <f t="shared" si="74"/>
        <v>0</v>
      </c>
      <c r="AR106" s="50">
        <f t="shared" si="74"/>
        <v>0</v>
      </c>
      <c r="AS106" s="50">
        <f t="shared" si="74"/>
        <v>0</v>
      </c>
      <c r="AT106" s="50">
        <f t="shared" si="74"/>
        <v>0</v>
      </c>
      <c r="AU106" s="50">
        <f t="shared" si="74"/>
        <v>0</v>
      </c>
    </row>
    <row r="107" spans="1:47">
      <c r="A107" s="38" t="str">
        <f t="shared" si="69"/>
        <v>2Y-</v>
      </c>
      <c r="B107" s="38" t="s">
        <v>257</v>
      </c>
      <c r="C107" s="38" t="str">
        <f t="shared" si="73"/>
        <v>Anaerobic Digestion</v>
      </c>
      <c r="D107" s="186"/>
      <c r="E107" s="325"/>
      <c r="G107" s="36" t="s">
        <v>284</v>
      </c>
      <c r="I107" s="39"/>
      <c r="K107" s="39"/>
      <c r="L107" s="43" t="s">
        <v>293</v>
      </c>
      <c r="N107" s="70">
        <f ca="1">SUMIFS(OFFSET(Assumptions!$I$90,0,MATCH($A107,Configurations,0)-1,COUNT(Assumptions!$A$90:$A$183),1),Assumptions!$D$90:$D$183,$B107&amp;$C107)</f>
        <v>574880</v>
      </c>
      <c r="O107" s="313"/>
      <c r="P107" s="323"/>
      <c r="Q107" s="313"/>
      <c r="R107" s="50">
        <f t="shared" ref="R107:AU107" ca="1" si="75">IF(OR(R$99&lt;InServiceYr,R$99&gt;(InServiceYr+analysis_period-1)),0,IF($P107=0,$N107,$P107)*R$501)</f>
        <v>37126.644949367153</v>
      </c>
      <c r="S107" s="50">
        <f t="shared" ca="1" si="75"/>
        <v>37358.075051997221</v>
      </c>
      <c r="T107" s="50">
        <f t="shared" ca="1" si="75"/>
        <v>38968.5794819441</v>
      </c>
      <c r="U107" s="50">
        <f t="shared" ca="1" si="75"/>
        <v>40137.539353443441</v>
      </c>
      <c r="V107" s="50">
        <f t="shared" ca="1" si="75"/>
        <v>41106.102744012358</v>
      </c>
      <c r="W107" s="50">
        <f t="shared" ca="1" si="75"/>
        <v>41631.984741637069</v>
      </c>
      <c r="X107" s="50">
        <f t="shared" ca="1" si="75"/>
        <v>42309.440098679137</v>
      </c>
      <c r="Y107" s="50">
        <f t="shared" ca="1" si="75"/>
        <v>43351.858530342135</v>
      </c>
      <c r="Z107" s="50">
        <f t="shared" ca="1" si="75"/>
        <v>44389.731584077919</v>
      </c>
      <c r="AA107" s="50">
        <f t="shared" ca="1" si="75"/>
        <v>45499.583901988284</v>
      </c>
      <c r="AB107" s="50">
        <f t="shared" ca="1" si="75"/>
        <v>46485.095926854985</v>
      </c>
      <c r="AC107" s="50">
        <f t="shared" ca="1" si="75"/>
        <v>47380.229609236347</v>
      </c>
      <c r="AD107" s="50">
        <f t="shared" ca="1" si="75"/>
        <v>48474.703300490015</v>
      </c>
      <c r="AE107" s="50">
        <f t="shared" ca="1" si="75"/>
        <v>49579.52218566338</v>
      </c>
      <c r="AF107" s="50">
        <f t="shared" ca="1" si="75"/>
        <v>50758.354876748468</v>
      </c>
      <c r="AG107" s="50">
        <f t="shared" ca="1" si="75"/>
        <v>52078.92534879523</v>
      </c>
      <c r="AH107" s="50">
        <f t="shared" ca="1" si="75"/>
        <v>53355.247478148282</v>
      </c>
      <c r="AI107" s="50">
        <f t="shared" ca="1" si="75"/>
        <v>54739.366998558944</v>
      </c>
      <c r="AJ107" s="50">
        <f t="shared" ca="1" si="75"/>
        <v>56204.658462091407</v>
      </c>
      <c r="AK107" s="50">
        <f t="shared" ca="1" si="75"/>
        <v>57733.608737318478</v>
      </c>
      <c r="AL107" s="50">
        <f t="shared" si="75"/>
        <v>0</v>
      </c>
      <c r="AM107" s="50">
        <f t="shared" si="75"/>
        <v>0</v>
      </c>
      <c r="AN107" s="50">
        <f t="shared" si="75"/>
        <v>0</v>
      </c>
      <c r="AO107" s="50">
        <f t="shared" si="75"/>
        <v>0</v>
      </c>
      <c r="AP107" s="50">
        <f t="shared" si="75"/>
        <v>0</v>
      </c>
      <c r="AQ107" s="50">
        <f t="shared" si="75"/>
        <v>0</v>
      </c>
      <c r="AR107" s="50">
        <f t="shared" si="75"/>
        <v>0</v>
      </c>
      <c r="AS107" s="50">
        <f t="shared" si="75"/>
        <v>0</v>
      </c>
      <c r="AT107" s="50">
        <f t="shared" si="75"/>
        <v>0</v>
      </c>
      <c r="AU107" s="50">
        <f t="shared" si="75"/>
        <v>0</v>
      </c>
    </row>
    <row r="108" spans="1:47">
      <c r="A108" s="38" t="str">
        <f t="shared" si="69"/>
        <v>2Y-</v>
      </c>
      <c r="B108" s="38" t="s">
        <v>864</v>
      </c>
      <c r="C108" s="38" t="str">
        <f t="shared" si="73"/>
        <v>Anaerobic Digestion</v>
      </c>
      <c r="D108" s="186">
        <f>GHGEsc</f>
        <v>0.02</v>
      </c>
      <c r="E108" s="325"/>
      <c r="G108" s="36" t="s">
        <v>865</v>
      </c>
      <c r="I108" s="39"/>
      <c r="K108" s="39"/>
      <c r="L108" s="43" t="s">
        <v>866</v>
      </c>
      <c r="N108" s="70">
        <f ca="1">SUMIFS(OFFSET(Assumptions!$I$90,0,MATCH($A108,Configurations,0)-1,COUNT(Assumptions!$A$90:$A$183),1),Assumptions!$D$90:$D$183,$B108&amp;$C108)</f>
        <v>0</v>
      </c>
      <c r="O108" s="313"/>
      <c r="P108" s="323"/>
      <c r="Q108" s="313"/>
      <c r="R108" s="50">
        <f t="shared" ref="R108:AU108" ca="1" si="76">IF(OR(R$99&lt;InServiceYr,R$99&gt;(InServiceYr+analysis_period-1)),0,IF($P108=0,$N108,$P108)*R$513)</f>
        <v>0</v>
      </c>
      <c r="S108" s="50">
        <f t="shared" ca="1" si="76"/>
        <v>0</v>
      </c>
      <c r="T108" s="50">
        <f t="shared" ca="1" si="76"/>
        <v>0</v>
      </c>
      <c r="U108" s="50">
        <f t="shared" ca="1" si="76"/>
        <v>0</v>
      </c>
      <c r="V108" s="50">
        <f t="shared" ca="1" si="76"/>
        <v>0</v>
      </c>
      <c r="W108" s="50">
        <f t="shared" ca="1" si="76"/>
        <v>0</v>
      </c>
      <c r="X108" s="50">
        <f t="shared" ca="1" si="76"/>
        <v>0</v>
      </c>
      <c r="Y108" s="50">
        <f t="shared" ca="1" si="76"/>
        <v>0</v>
      </c>
      <c r="Z108" s="50">
        <f t="shared" ca="1" si="76"/>
        <v>0</v>
      </c>
      <c r="AA108" s="50">
        <f t="shared" ca="1" si="76"/>
        <v>0</v>
      </c>
      <c r="AB108" s="50">
        <f t="shared" ca="1" si="76"/>
        <v>0</v>
      </c>
      <c r="AC108" s="50">
        <f t="shared" ca="1" si="76"/>
        <v>0</v>
      </c>
      <c r="AD108" s="50">
        <f t="shared" ca="1" si="76"/>
        <v>0</v>
      </c>
      <c r="AE108" s="50">
        <f t="shared" ca="1" si="76"/>
        <v>0</v>
      </c>
      <c r="AF108" s="50">
        <f t="shared" ca="1" si="76"/>
        <v>0</v>
      </c>
      <c r="AG108" s="50">
        <f t="shared" ca="1" si="76"/>
        <v>0</v>
      </c>
      <c r="AH108" s="50">
        <f t="shared" ca="1" si="76"/>
        <v>0</v>
      </c>
      <c r="AI108" s="50">
        <f t="shared" ca="1" si="76"/>
        <v>0</v>
      </c>
      <c r="AJ108" s="50">
        <f t="shared" ca="1" si="76"/>
        <v>0</v>
      </c>
      <c r="AK108" s="50">
        <f t="shared" ca="1" si="76"/>
        <v>0</v>
      </c>
      <c r="AL108" s="50">
        <f t="shared" si="76"/>
        <v>0</v>
      </c>
      <c r="AM108" s="50">
        <f t="shared" si="76"/>
        <v>0</v>
      </c>
      <c r="AN108" s="50">
        <f t="shared" si="76"/>
        <v>0</v>
      </c>
      <c r="AO108" s="50">
        <f t="shared" si="76"/>
        <v>0</v>
      </c>
      <c r="AP108" s="50">
        <f t="shared" si="76"/>
        <v>0</v>
      </c>
      <c r="AQ108" s="50">
        <f t="shared" si="76"/>
        <v>0</v>
      </c>
      <c r="AR108" s="50">
        <f t="shared" si="76"/>
        <v>0</v>
      </c>
      <c r="AS108" s="50">
        <f t="shared" si="76"/>
        <v>0</v>
      </c>
      <c r="AT108" s="50">
        <f t="shared" si="76"/>
        <v>0</v>
      </c>
      <c r="AU108" s="50">
        <f t="shared" si="76"/>
        <v>0</v>
      </c>
    </row>
    <row r="109" spans="1:47">
      <c r="A109" s="38" t="str">
        <f t="shared" si="69"/>
        <v>2Y-</v>
      </c>
      <c r="B109" s="38" t="s">
        <v>273</v>
      </c>
      <c r="C109" s="38" t="str">
        <f>C107</f>
        <v>Anaerobic Digestion</v>
      </c>
      <c r="D109" s="186">
        <f>LaborEsc</f>
        <v>0.02</v>
      </c>
      <c r="E109" s="325"/>
      <c r="G109" s="36" t="s">
        <v>291</v>
      </c>
      <c r="I109" s="39"/>
      <c r="K109" s="39"/>
      <c r="L109" s="43" t="str">
        <f>"["&amp;CostBaseYr&amp;" $]"</f>
        <v>[2013 $]</v>
      </c>
      <c r="N109" s="70">
        <f ca="1">SUMIFS(OFFSET(Assumptions!$I$90,0,MATCH($A109,Configurations,0)-1,COUNT(Assumptions!$A$90:$A$183),1),Assumptions!$D$90:$D$183,$B109&amp;$C109)</f>
        <v>0</v>
      </c>
      <c r="O109" s="313"/>
      <c r="P109" s="323"/>
      <c r="Q109" s="313"/>
      <c r="R109" s="50">
        <f t="shared" ref="R109:AU109" ca="1" si="77">IF(OR(R$99&lt;InServiceYr,R$99&gt;(InServiceYr+analysis_period-1)),0,IF($P109=0,$N109,$P109)*(1+$D109)^(R$99-CostBaseYr))*R$509</f>
        <v>0</v>
      </c>
      <c r="S109" s="50">
        <f t="shared" ca="1" si="77"/>
        <v>0</v>
      </c>
      <c r="T109" s="50">
        <f t="shared" ca="1" si="77"/>
        <v>0</v>
      </c>
      <c r="U109" s="50">
        <f t="shared" ca="1" si="77"/>
        <v>0</v>
      </c>
      <c r="V109" s="50">
        <f t="shared" ca="1" si="77"/>
        <v>0</v>
      </c>
      <c r="W109" s="50">
        <f t="shared" ca="1" si="77"/>
        <v>0</v>
      </c>
      <c r="X109" s="50">
        <f t="shared" ca="1" si="77"/>
        <v>0</v>
      </c>
      <c r="Y109" s="50">
        <f t="shared" ca="1" si="77"/>
        <v>0</v>
      </c>
      <c r="Z109" s="50">
        <f t="shared" ca="1" si="77"/>
        <v>0</v>
      </c>
      <c r="AA109" s="50">
        <f t="shared" ca="1" si="77"/>
        <v>0</v>
      </c>
      <c r="AB109" s="50">
        <f t="shared" ca="1" si="77"/>
        <v>0</v>
      </c>
      <c r="AC109" s="50">
        <f t="shared" ca="1" si="77"/>
        <v>0</v>
      </c>
      <c r="AD109" s="50">
        <f t="shared" ca="1" si="77"/>
        <v>0</v>
      </c>
      <c r="AE109" s="50">
        <f t="shared" ca="1" si="77"/>
        <v>0</v>
      </c>
      <c r="AF109" s="50">
        <f t="shared" ca="1" si="77"/>
        <v>0</v>
      </c>
      <c r="AG109" s="50">
        <f t="shared" ca="1" si="77"/>
        <v>0</v>
      </c>
      <c r="AH109" s="50">
        <f t="shared" ca="1" si="77"/>
        <v>0</v>
      </c>
      <c r="AI109" s="50">
        <f t="shared" ca="1" si="77"/>
        <v>0</v>
      </c>
      <c r="AJ109" s="50">
        <f t="shared" ca="1" si="77"/>
        <v>0</v>
      </c>
      <c r="AK109" s="50">
        <f t="shared" ca="1" si="77"/>
        <v>0</v>
      </c>
      <c r="AL109" s="50">
        <f t="shared" si="77"/>
        <v>0</v>
      </c>
      <c r="AM109" s="50">
        <f t="shared" si="77"/>
        <v>0</v>
      </c>
      <c r="AN109" s="50">
        <f t="shared" si="77"/>
        <v>0</v>
      </c>
      <c r="AO109" s="50">
        <f t="shared" si="77"/>
        <v>0</v>
      </c>
      <c r="AP109" s="50">
        <f t="shared" si="77"/>
        <v>0</v>
      </c>
      <c r="AQ109" s="50">
        <f t="shared" si="77"/>
        <v>0</v>
      </c>
      <c r="AR109" s="50">
        <f t="shared" si="77"/>
        <v>0</v>
      </c>
      <c r="AS109" s="50">
        <f t="shared" si="77"/>
        <v>0</v>
      </c>
      <c r="AT109" s="50">
        <f t="shared" si="77"/>
        <v>0</v>
      </c>
      <c r="AU109" s="50">
        <f t="shared" si="77"/>
        <v>0</v>
      </c>
    </row>
    <row r="110" spans="1:47">
      <c r="D110" s="186"/>
      <c r="E110" s="325"/>
      <c r="G110" s="39" t="s">
        <v>304</v>
      </c>
      <c r="I110" s="39"/>
      <c r="K110" s="39"/>
      <c r="L110" s="43"/>
      <c r="N110" s="70"/>
      <c r="O110" s="313"/>
      <c r="P110" s="70"/>
      <c r="Q110" s="313"/>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row>
    <row r="111" spans="1:47">
      <c r="A111" s="38" t="str">
        <f>$J$4&amp;"-"</f>
        <v>2Y-</v>
      </c>
      <c r="B111" s="38" t="s">
        <v>265</v>
      </c>
      <c r="C111" s="38" t="str">
        <f>C102</f>
        <v>Anaerobic Digestion</v>
      </c>
      <c r="D111" s="186"/>
      <c r="E111" s="325"/>
      <c r="G111" s="36" t="s">
        <v>108</v>
      </c>
      <c r="I111" s="39"/>
      <c r="K111" s="39"/>
      <c r="L111" s="43" t="s">
        <v>293</v>
      </c>
      <c r="N111" s="70">
        <f ca="1">SUMIFS(OFFSET(Assumptions!$I$90,0,MATCH($A111,Configurations,0)-1,COUNT(Assumptions!$A$90:$A$183),1),Assumptions!$D$90:$D$183,$B111&amp;$C111)</f>
        <v>0</v>
      </c>
      <c r="O111" s="313"/>
      <c r="P111" s="323"/>
      <c r="Q111" s="313"/>
      <c r="R111" s="50">
        <f t="shared" ref="R111:AU111" ca="1" si="78">IF(OR(R$99&lt;InServiceYr,R$99&gt;(InServiceYr+analysis_period-1)),0,IF($P111=0,$N111,$P111)*R$501)</f>
        <v>0</v>
      </c>
      <c r="S111" s="50">
        <f t="shared" ca="1" si="78"/>
        <v>0</v>
      </c>
      <c r="T111" s="50">
        <f t="shared" ca="1" si="78"/>
        <v>0</v>
      </c>
      <c r="U111" s="50">
        <f t="shared" ca="1" si="78"/>
        <v>0</v>
      </c>
      <c r="V111" s="50">
        <f t="shared" ca="1" si="78"/>
        <v>0</v>
      </c>
      <c r="W111" s="50">
        <f t="shared" ca="1" si="78"/>
        <v>0</v>
      </c>
      <c r="X111" s="50">
        <f t="shared" ca="1" si="78"/>
        <v>0</v>
      </c>
      <c r="Y111" s="50">
        <f t="shared" ca="1" si="78"/>
        <v>0</v>
      </c>
      <c r="Z111" s="50">
        <f t="shared" ca="1" si="78"/>
        <v>0</v>
      </c>
      <c r="AA111" s="50">
        <f t="shared" ca="1" si="78"/>
        <v>0</v>
      </c>
      <c r="AB111" s="50">
        <f t="shared" ca="1" si="78"/>
        <v>0</v>
      </c>
      <c r="AC111" s="50">
        <f t="shared" ca="1" si="78"/>
        <v>0</v>
      </c>
      <c r="AD111" s="50">
        <f t="shared" ca="1" si="78"/>
        <v>0</v>
      </c>
      <c r="AE111" s="50">
        <f t="shared" ca="1" si="78"/>
        <v>0</v>
      </c>
      <c r="AF111" s="50">
        <f t="shared" ca="1" si="78"/>
        <v>0</v>
      </c>
      <c r="AG111" s="50">
        <f t="shared" ca="1" si="78"/>
        <v>0</v>
      </c>
      <c r="AH111" s="50">
        <f t="shared" ca="1" si="78"/>
        <v>0</v>
      </c>
      <c r="AI111" s="50">
        <f t="shared" ca="1" si="78"/>
        <v>0</v>
      </c>
      <c r="AJ111" s="50">
        <f t="shared" ca="1" si="78"/>
        <v>0</v>
      </c>
      <c r="AK111" s="50">
        <f t="shared" ca="1" si="78"/>
        <v>0</v>
      </c>
      <c r="AL111" s="50">
        <f t="shared" si="78"/>
        <v>0</v>
      </c>
      <c r="AM111" s="50">
        <f t="shared" si="78"/>
        <v>0</v>
      </c>
      <c r="AN111" s="50">
        <f t="shared" si="78"/>
        <v>0</v>
      </c>
      <c r="AO111" s="50">
        <f t="shared" si="78"/>
        <v>0</v>
      </c>
      <c r="AP111" s="50">
        <f t="shared" si="78"/>
        <v>0</v>
      </c>
      <c r="AQ111" s="50">
        <f t="shared" si="78"/>
        <v>0</v>
      </c>
      <c r="AR111" s="50">
        <f t="shared" si="78"/>
        <v>0</v>
      </c>
      <c r="AS111" s="50">
        <f t="shared" si="78"/>
        <v>0</v>
      </c>
      <c r="AT111" s="50">
        <f t="shared" si="78"/>
        <v>0</v>
      </c>
      <c r="AU111" s="50">
        <f t="shared" si="78"/>
        <v>0</v>
      </c>
    </row>
    <row r="112" spans="1:47">
      <c r="A112" s="38" t="str">
        <f>$J$4&amp;"-"</f>
        <v>2Y-</v>
      </c>
      <c r="B112" s="38" t="s">
        <v>289</v>
      </c>
      <c r="C112" s="38" t="str">
        <f>C102</f>
        <v>Anaerobic Digestion</v>
      </c>
      <c r="D112" s="186">
        <f>LaborEsc</f>
        <v>0.02</v>
      </c>
      <c r="E112" s="325"/>
      <c r="G112" s="36" t="s">
        <v>292</v>
      </c>
      <c r="I112" s="39"/>
      <c r="K112" s="39"/>
      <c r="L112" s="43" t="str">
        <f>"["&amp;CostBaseYr&amp;" $]"</f>
        <v>[2013 $]</v>
      </c>
      <c r="N112" s="70">
        <f ca="1">SUMIFS(OFFSET(Assumptions!$I$90,0,MATCH($A112,Configurations,0)-1,COUNT(Assumptions!$A$90:$A$183),1),Assumptions!$D$90:$D$183,$B112&amp;$C112)</f>
        <v>0</v>
      </c>
      <c r="O112" s="313"/>
      <c r="P112" s="323"/>
      <c r="Q112" s="313"/>
      <c r="R112" s="50">
        <f t="shared" ref="R112:AU112" ca="1" si="79">IF(OR(R$99&lt;InServiceYr,R$99&gt;(InServiceYr+analysis_period-1)),0,IF($P112=0,$N112,$P112)*(1+$D112)^(R$99-CostBaseYr))</f>
        <v>0</v>
      </c>
      <c r="S112" s="50">
        <f t="shared" ca="1" si="79"/>
        <v>0</v>
      </c>
      <c r="T112" s="50">
        <f t="shared" ca="1" si="79"/>
        <v>0</v>
      </c>
      <c r="U112" s="50">
        <f t="shared" ca="1" si="79"/>
        <v>0</v>
      </c>
      <c r="V112" s="50">
        <f t="shared" ca="1" si="79"/>
        <v>0</v>
      </c>
      <c r="W112" s="50">
        <f t="shared" ca="1" si="79"/>
        <v>0</v>
      </c>
      <c r="X112" s="50">
        <f t="shared" ca="1" si="79"/>
        <v>0</v>
      </c>
      <c r="Y112" s="50">
        <f t="shared" ca="1" si="79"/>
        <v>0</v>
      </c>
      <c r="Z112" s="50">
        <f t="shared" ca="1" si="79"/>
        <v>0</v>
      </c>
      <c r="AA112" s="50">
        <f t="shared" ca="1" si="79"/>
        <v>0</v>
      </c>
      <c r="AB112" s="50">
        <f t="shared" ca="1" si="79"/>
        <v>0</v>
      </c>
      <c r="AC112" s="50">
        <f t="shared" ca="1" si="79"/>
        <v>0</v>
      </c>
      <c r="AD112" s="50">
        <f t="shared" ca="1" si="79"/>
        <v>0</v>
      </c>
      <c r="AE112" s="50">
        <f t="shared" ca="1" si="79"/>
        <v>0</v>
      </c>
      <c r="AF112" s="50">
        <f t="shared" ca="1" si="79"/>
        <v>0</v>
      </c>
      <c r="AG112" s="50">
        <f t="shared" ca="1" si="79"/>
        <v>0</v>
      </c>
      <c r="AH112" s="50">
        <f t="shared" ca="1" si="79"/>
        <v>0</v>
      </c>
      <c r="AI112" s="50">
        <f t="shared" ca="1" si="79"/>
        <v>0</v>
      </c>
      <c r="AJ112" s="50">
        <f t="shared" ca="1" si="79"/>
        <v>0</v>
      </c>
      <c r="AK112" s="50">
        <f t="shared" ca="1" si="79"/>
        <v>0</v>
      </c>
      <c r="AL112" s="50">
        <f t="shared" si="79"/>
        <v>0</v>
      </c>
      <c r="AM112" s="50">
        <f t="shared" si="79"/>
        <v>0</v>
      </c>
      <c r="AN112" s="50">
        <f t="shared" si="79"/>
        <v>0</v>
      </c>
      <c r="AO112" s="50">
        <f t="shared" si="79"/>
        <v>0</v>
      </c>
      <c r="AP112" s="50">
        <f t="shared" si="79"/>
        <v>0</v>
      </c>
      <c r="AQ112" s="50">
        <f t="shared" si="79"/>
        <v>0</v>
      </c>
      <c r="AR112" s="50">
        <f t="shared" si="79"/>
        <v>0</v>
      </c>
      <c r="AS112" s="50">
        <f t="shared" si="79"/>
        <v>0</v>
      </c>
      <c r="AT112" s="50">
        <f t="shared" si="79"/>
        <v>0</v>
      </c>
      <c r="AU112" s="50">
        <f t="shared" si="79"/>
        <v>0</v>
      </c>
    </row>
    <row r="113" spans="1:47" s="60" customFormat="1">
      <c r="D113" s="187"/>
      <c r="E113" s="325"/>
      <c r="G113" s="39" t="s">
        <v>305</v>
      </c>
      <c r="I113" s="39"/>
      <c r="K113" s="39"/>
      <c r="L113" s="174"/>
      <c r="N113" s="188"/>
      <c r="O113" s="314"/>
      <c r="P113" s="185"/>
      <c r="Q113" s="314"/>
      <c r="R113" s="185">
        <f ca="1">SUM(R102:R109)-SUM(R111:R112)</f>
        <v>225240.14494936715</v>
      </c>
      <c r="S113" s="185">
        <f t="shared" ref="S113:AU113" ca="1" si="80">SUM(S102:S109)-SUM(S111:S112)</f>
        <v>229233.84505199722</v>
      </c>
      <c r="T113" s="185">
        <f t="shared" ca="1" si="80"/>
        <v>234681.86488194409</v>
      </c>
      <c r="U113" s="185">
        <f t="shared" ca="1" si="80"/>
        <v>239765.09046144341</v>
      </c>
      <c r="V113" s="185">
        <f t="shared" ca="1" si="80"/>
        <v>244726.2048741724</v>
      </c>
      <c r="W113" s="185">
        <f t="shared" ca="1" si="80"/>
        <v>249324.48891440028</v>
      </c>
      <c r="X113" s="185">
        <f t="shared" ca="1" si="80"/>
        <v>254155.79435489755</v>
      </c>
      <c r="Y113" s="185">
        <f t="shared" ca="1" si="80"/>
        <v>259435.13987168498</v>
      </c>
      <c r="Z113" s="185">
        <f t="shared" ca="1" si="80"/>
        <v>264794.67855224758</v>
      </c>
      <c r="AA113" s="185">
        <f t="shared" ca="1" si="80"/>
        <v>270312.62980952137</v>
      </c>
      <c r="AB113" s="185">
        <f t="shared" ca="1" si="80"/>
        <v>275794.40275253868</v>
      </c>
      <c r="AC113" s="185">
        <f t="shared" ca="1" si="80"/>
        <v>281275.72257143375</v>
      </c>
      <c r="AD113" s="185">
        <f t="shared" ca="1" si="80"/>
        <v>287048.10612193134</v>
      </c>
      <c r="AE113" s="185">
        <f t="shared" ca="1" si="80"/>
        <v>292924.39306353359</v>
      </c>
      <c r="AF113" s="185">
        <f t="shared" ca="1" si="80"/>
        <v>298970.12317217601</v>
      </c>
      <c r="AG113" s="185">
        <f t="shared" ca="1" si="80"/>
        <v>305254.9290101314</v>
      </c>
      <c r="AH113" s="185">
        <f t="shared" ca="1" si="80"/>
        <v>311594.77121271112</v>
      </c>
      <c r="AI113" s="185">
        <f t="shared" ca="1" si="80"/>
        <v>318143.68120781303</v>
      </c>
      <c r="AJ113" s="185">
        <f t="shared" ca="1" si="80"/>
        <v>324877.05895553058</v>
      </c>
      <c r="AK113" s="185">
        <f t="shared" ca="1" si="80"/>
        <v>331779.45724062651</v>
      </c>
      <c r="AL113" s="185">
        <f t="shared" si="80"/>
        <v>0</v>
      </c>
      <c r="AM113" s="185">
        <f t="shared" si="80"/>
        <v>0</v>
      </c>
      <c r="AN113" s="185">
        <f t="shared" si="80"/>
        <v>0</v>
      </c>
      <c r="AO113" s="185">
        <f t="shared" si="80"/>
        <v>0</v>
      </c>
      <c r="AP113" s="185">
        <f t="shared" si="80"/>
        <v>0</v>
      </c>
      <c r="AQ113" s="185">
        <f t="shared" si="80"/>
        <v>0</v>
      </c>
      <c r="AR113" s="185">
        <f t="shared" si="80"/>
        <v>0</v>
      </c>
      <c r="AS113" s="185">
        <f t="shared" si="80"/>
        <v>0</v>
      </c>
      <c r="AT113" s="185">
        <f t="shared" si="80"/>
        <v>0</v>
      </c>
      <c r="AU113" s="185">
        <f t="shared" si="80"/>
        <v>0</v>
      </c>
    </row>
    <row r="114" spans="1:47">
      <c r="G114" s="28"/>
      <c r="H114" s="28"/>
      <c r="I114" s="28"/>
      <c r="J114" s="28"/>
      <c r="K114" s="28"/>
      <c r="L114" s="409"/>
      <c r="M114" s="46"/>
      <c r="N114" s="46"/>
      <c r="O114" s="315"/>
      <c r="P114" s="46"/>
      <c r="Q114" s="315"/>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row>
    <row r="115" spans="1:47" s="28" customFormat="1">
      <c r="A115" s="40"/>
      <c r="B115" s="40"/>
      <c r="C115" s="40"/>
      <c r="D115" s="40"/>
      <c r="E115" s="327"/>
      <c r="G115" s="324" t="str">
        <f>C117&amp;" Capital Costs"</f>
        <v>Ash Conveyance &amp; Storage Capital Costs</v>
      </c>
      <c r="H115" s="324"/>
      <c r="I115" s="324"/>
      <c r="J115" s="324"/>
      <c r="K115" s="324"/>
      <c r="L115" s="405" t="s">
        <v>79</v>
      </c>
      <c r="M115" s="256"/>
      <c r="N115" s="325" t="s">
        <v>490</v>
      </c>
      <c r="O115" s="311"/>
      <c r="P115" s="325" t="s">
        <v>491</v>
      </c>
      <c r="Q115" s="310"/>
      <c r="R115" s="325">
        <f>R$8</f>
        <v>2014</v>
      </c>
      <c r="S115" s="325">
        <f t="shared" ref="S115:AU115" si="81">S$8</f>
        <v>2015</v>
      </c>
      <c r="T115" s="325">
        <f t="shared" si="81"/>
        <v>2016</v>
      </c>
      <c r="U115" s="325">
        <f t="shared" si="81"/>
        <v>2017</v>
      </c>
      <c r="V115" s="325">
        <f t="shared" si="81"/>
        <v>2018</v>
      </c>
      <c r="W115" s="325">
        <f t="shared" si="81"/>
        <v>2019</v>
      </c>
      <c r="X115" s="325">
        <f t="shared" si="81"/>
        <v>2020</v>
      </c>
      <c r="Y115" s="325">
        <f t="shared" si="81"/>
        <v>2021</v>
      </c>
      <c r="Z115" s="325">
        <f t="shared" si="81"/>
        <v>2022</v>
      </c>
      <c r="AA115" s="325">
        <f t="shared" si="81"/>
        <v>2023</v>
      </c>
      <c r="AB115" s="325">
        <f t="shared" si="81"/>
        <v>2024</v>
      </c>
      <c r="AC115" s="325">
        <f t="shared" si="81"/>
        <v>2025</v>
      </c>
      <c r="AD115" s="325">
        <f t="shared" si="81"/>
        <v>2026</v>
      </c>
      <c r="AE115" s="325">
        <f t="shared" si="81"/>
        <v>2027</v>
      </c>
      <c r="AF115" s="325">
        <f t="shared" si="81"/>
        <v>2028</v>
      </c>
      <c r="AG115" s="325">
        <f t="shared" si="81"/>
        <v>2029</v>
      </c>
      <c r="AH115" s="325">
        <f t="shared" si="81"/>
        <v>2030</v>
      </c>
      <c r="AI115" s="325">
        <f t="shared" si="81"/>
        <v>2031</v>
      </c>
      <c r="AJ115" s="325">
        <f t="shared" si="81"/>
        <v>2032</v>
      </c>
      <c r="AK115" s="325">
        <f t="shared" si="81"/>
        <v>2033</v>
      </c>
      <c r="AL115" s="325">
        <f t="shared" si="81"/>
        <v>2034</v>
      </c>
      <c r="AM115" s="325">
        <f t="shared" si="81"/>
        <v>2035</v>
      </c>
      <c r="AN115" s="325">
        <f t="shared" si="81"/>
        <v>2036</v>
      </c>
      <c r="AO115" s="325">
        <f t="shared" si="81"/>
        <v>2037</v>
      </c>
      <c r="AP115" s="325">
        <f t="shared" si="81"/>
        <v>2038</v>
      </c>
      <c r="AQ115" s="325">
        <f t="shared" si="81"/>
        <v>2039</v>
      </c>
      <c r="AR115" s="325">
        <f t="shared" si="81"/>
        <v>2040</v>
      </c>
      <c r="AS115" s="325">
        <f t="shared" si="81"/>
        <v>2041</v>
      </c>
      <c r="AT115" s="325">
        <f t="shared" si="81"/>
        <v>2042</v>
      </c>
      <c r="AU115" s="325">
        <f t="shared" si="81"/>
        <v>2043</v>
      </c>
    </row>
    <row r="116" spans="1:47">
      <c r="E116" s="325"/>
      <c r="G116" s="39"/>
      <c r="H116" s="39"/>
      <c r="I116" s="39"/>
      <c r="J116" s="39"/>
      <c r="K116" s="39"/>
    </row>
    <row r="117" spans="1:47">
      <c r="A117" s="38" t="str">
        <f>$J$4&amp;"-"</f>
        <v>2Y-</v>
      </c>
      <c r="B117" s="38" t="s">
        <v>306</v>
      </c>
      <c r="C117" s="38" t="s">
        <v>153</v>
      </c>
      <c r="D117" s="186">
        <f>CapExEsc</f>
        <v>0.03</v>
      </c>
      <c r="E117" s="325"/>
      <c r="G117" s="36" t="s">
        <v>8</v>
      </c>
      <c r="H117" s="39"/>
      <c r="I117" s="39"/>
      <c r="J117" s="70"/>
      <c r="K117" s="39"/>
      <c r="L117" s="43" t="str">
        <f>"["&amp;CostBaseYr&amp;" $]"</f>
        <v>[2013 $]</v>
      </c>
      <c r="N117" s="52">
        <f ca="1">SUMIFS(OFFSET(Assumptions!$I$65,0,MATCH($A117,Configurations,0)-1,COUNT(Assumptions!$A$65:$A$84),1),Assumptions!$E$65:$E$84,$C117)</f>
        <v>0</v>
      </c>
      <c r="O117" s="52"/>
      <c r="P117" s="322"/>
      <c r="Q117" s="52"/>
      <c r="R117" s="52">
        <f t="shared" ref="R117:AU117" ca="1" si="82">R118*IF($P117=0,$N117,$P117)*(1+$D117)^(R$8-CostBaseYr)</f>
        <v>0</v>
      </c>
      <c r="S117" s="52">
        <f t="shared" ca="1" si="82"/>
        <v>0</v>
      </c>
      <c r="T117" s="52">
        <f t="shared" ca="1" si="82"/>
        <v>0</v>
      </c>
      <c r="U117" s="52">
        <f t="shared" ca="1" si="82"/>
        <v>0</v>
      </c>
      <c r="V117" s="52">
        <f t="shared" ca="1" si="82"/>
        <v>0</v>
      </c>
      <c r="W117" s="52">
        <f t="shared" ca="1" si="82"/>
        <v>0</v>
      </c>
      <c r="X117" s="52">
        <f t="shared" ca="1" si="82"/>
        <v>0</v>
      </c>
      <c r="Y117" s="52">
        <f t="shared" ca="1" si="82"/>
        <v>0</v>
      </c>
      <c r="Z117" s="52">
        <f t="shared" ca="1" si="82"/>
        <v>0</v>
      </c>
      <c r="AA117" s="52">
        <f t="shared" ca="1" si="82"/>
        <v>0</v>
      </c>
      <c r="AB117" s="52">
        <f t="shared" ca="1" si="82"/>
        <v>0</v>
      </c>
      <c r="AC117" s="52">
        <f t="shared" ca="1" si="82"/>
        <v>0</v>
      </c>
      <c r="AD117" s="52">
        <f t="shared" ca="1" si="82"/>
        <v>0</v>
      </c>
      <c r="AE117" s="52">
        <f t="shared" ca="1" si="82"/>
        <v>0</v>
      </c>
      <c r="AF117" s="52">
        <f t="shared" ca="1" si="82"/>
        <v>0</v>
      </c>
      <c r="AG117" s="52">
        <f t="shared" ca="1" si="82"/>
        <v>0</v>
      </c>
      <c r="AH117" s="52">
        <f t="shared" ca="1" si="82"/>
        <v>0</v>
      </c>
      <c r="AI117" s="52">
        <f t="shared" ca="1" si="82"/>
        <v>0</v>
      </c>
      <c r="AJ117" s="52">
        <f t="shared" ca="1" si="82"/>
        <v>0</v>
      </c>
      <c r="AK117" s="52">
        <f t="shared" ca="1" si="82"/>
        <v>0</v>
      </c>
      <c r="AL117" s="52">
        <f t="shared" ca="1" si="82"/>
        <v>0</v>
      </c>
      <c r="AM117" s="52">
        <f t="shared" ca="1" si="82"/>
        <v>0</v>
      </c>
      <c r="AN117" s="52">
        <f t="shared" ca="1" si="82"/>
        <v>0</v>
      </c>
      <c r="AO117" s="52">
        <f t="shared" ca="1" si="82"/>
        <v>0</v>
      </c>
      <c r="AP117" s="52">
        <f t="shared" ca="1" si="82"/>
        <v>0</v>
      </c>
      <c r="AQ117" s="52">
        <f t="shared" ca="1" si="82"/>
        <v>0</v>
      </c>
      <c r="AR117" s="52">
        <f t="shared" ca="1" si="82"/>
        <v>0</v>
      </c>
      <c r="AS117" s="52">
        <f t="shared" ca="1" si="82"/>
        <v>0</v>
      </c>
      <c r="AT117" s="52">
        <f t="shared" ca="1" si="82"/>
        <v>0</v>
      </c>
      <c r="AU117" s="52">
        <f t="shared" ca="1" si="82"/>
        <v>0</v>
      </c>
    </row>
    <row r="118" spans="1:47">
      <c r="E118" s="325"/>
      <c r="G118" s="36" t="s">
        <v>10</v>
      </c>
      <c r="H118" s="39"/>
      <c r="I118" s="39"/>
      <c r="J118" s="39"/>
      <c r="K118" s="39"/>
      <c r="L118" s="43"/>
      <c r="R118" s="54">
        <f>Assumptions!M$60</f>
        <v>1</v>
      </c>
      <c r="S118" s="54">
        <f>Assumptions!N$60</f>
        <v>0</v>
      </c>
      <c r="T118" s="54">
        <f>Assumptions!O$60</f>
        <v>0</v>
      </c>
      <c r="U118" s="54">
        <f>Assumptions!P$60</f>
        <v>0</v>
      </c>
      <c r="V118" s="54">
        <f>Assumptions!Q$60</f>
        <v>0</v>
      </c>
      <c r="W118" s="54">
        <f>Assumptions!R$60</f>
        <v>0</v>
      </c>
      <c r="X118" s="54">
        <f>Assumptions!S$60</f>
        <v>0</v>
      </c>
      <c r="Y118" s="54">
        <f>Assumptions!T$60</f>
        <v>0</v>
      </c>
      <c r="Z118" s="54">
        <f>Assumptions!U$60</f>
        <v>0</v>
      </c>
      <c r="AA118" s="54">
        <f>Assumptions!V$60</f>
        <v>0</v>
      </c>
      <c r="AB118" s="54">
        <f>Assumptions!W$60</f>
        <v>0</v>
      </c>
      <c r="AC118" s="54">
        <f>Assumptions!X$60</f>
        <v>0</v>
      </c>
      <c r="AD118" s="54">
        <f>Assumptions!Y$60</f>
        <v>0</v>
      </c>
      <c r="AE118" s="54">
        <f>Assumptions!Z$60</f>
        <v>0</v>
      </c>
      <c r="AF118" s="54">
        <f>Assumptions!AA$60</f>
        <v>0</v>
      </c>
      <c r="AG118" s="54">
        <f>Assumptions!AB$60</f>
        <v>0</v>
      </c>
      <c r="AH118" s="54">
        <f>Assumptions!AC$60</f>
        <v>0</v>
      </c>
      <c r="AI118" s="54">
        <f>Assumptions!AD$60</f>
        <v>0</v>
      </c>
      <c r="AJ118" s="54">
        <f>Assumptions!AE$60</f>
        <v>0</v>
      </c>
      <c r="AK118" s="54">
        <f>Assumptions!AF$60</f>
        <v>0</v>
      </c>
      <c r="AL118" s="54">
        <f>Assumptions!AG$60</f>
        <v>0</v>
      </c>
      <c r="AM118" s="54">
        <f>Assumptions!AH$60</f>
        <v>0</v>
      </c>
      <c r="AN118" s="54">
        <f>Assumptions!AI$60</f>
        <v>0</v>
      </c>
      <c r="AO118" s="54">
        <f>Assumptions!AJ$60</f>
        <v>0</v>
      </c>
      <c r="AP118" s="54">
        <f>Assumptions!AK$60</f>
        <v>0</v>
      </c>
      <c r="AQ118" s="54">
        <f>Assumptions!AL$60</f>
        <v>0</v>
      </c>
      <c r="AR118" s="54">
        <f>Assumptions!AM$60</f>
        <v>0</v>
      </c>
      <c r="AS118" s="54">
        <f>Assumptions!AN$60</f>
        <v>0</v>
      </c>
      <c r="AT118" s="54">
        <f>Assumptions!AO$60</f>
        <v>0</v>
      </c>
      <c r="AU118" s="54">
        <f>Assumptions!AP$60</f>
        <v>0</v>
      </c>
    </row>
    <row r="119" spans="1:47">
      <c r="E119" s="326"/>
      <c r="G119" s="39"/>
      <c r="H119" s="39"/>
      <c r="I119" s="39"/>
      <c r="J119" s="39"/>
      <c r="K119" s="39"/>
    </row>
    <row r="120" spans="1:47" s="255" customFormat="1">
      <c r="E120" s="327"/>
      <c r="F120" s="28"/>
      <c r="G120" s="324" t="str">
        <f>C117&amp;" O&amp;M"</f>
        <v>Ash Conveyance &amp; Storage O&amp;M</v>
      </c>
      <c r="H120" s="324"/>
      <c r="I120" s="324"/>
      <c r="J120" s="324"/>
      <c r="K120" s="324"/>
      <c r="L120" s="405" t="s">
        <v>79</v>
      </c>
      <c r="M120" s="256"/>
      <c r="N120" s="325" t="s">
        <v>490</v>
      </c>
      <c r="O120" s="311"/>
      <c r="P120" s="325" t="s">
        <v>491</v>
      </c>
      <c r="Q120" s="310"/>
      <c r="R120" s="325">
        <f>R$8</f>
        <v>2014</v>
      </c>
      <c r="S120" s="325">
        <f t="shared" ref="S120:AU120" si="83">S$8</f>
        <v>2015</v>
      </c>
      <c r="T120" s="325">
        <f t="shared" si="83"/>
        <v>2016</v>
      </c>
      <c r="U120" s="325">
        <f t="shared" si="83"/>
        <v>2017</v>
      </c>
      <c r="V120" s="325">
        <f t="shared" si="83"/>
        <v>2018</v>
      </c>
      <c r="W120" s="325">
        <f t="shared" si="83"/>
        <v>2019</v>
      </c>
      <c r="X120" s="325">
        <f t="shared" si="83"/>
        <v>2020</v>
      </c>
      <c r="Y120" s="325">
        <f t="shared" si="83"/>
        <v>2021</v>
      </c>
      <c r="Z120" s="325">
        <f t="shared" si="83"/>
        <v>2022</v>
      </c>
      <c r="AA120" s="325">
        <f t="shared" si="83"/>
        <v>2023</v>
      </c>
      <c r="AB120" s="325">
        <f t="shared" si="83"/>
        <v>2024</v>
      </c>
      <c r="AC120" s="325">
        <f t="shared" si="83"/>
        <v>2025</v>
      </c>
      <c r="AD120" s="325">
        <f t="shared" si="83"/>
        <v>2026</v>
      </c>
      <c r="AE120" s="325">
        <f t="shared" si="83"/>
        <v>2027</v>
      </c>
      <c r="AF120" s="325">
        <f t="shared" si="83"/>
        <v>2028</v>
      </c>
      <c r="AG120" s="325">
        <f t="shared" si="83"/>
        <v>2029</v>
      </c>
      <c r="AH120" s="325">
        <f t="shared" si="83"/>
        <v>2030</v>
      </c>
      <c r="AI120" s="325">
        <f t="shared" si="83"/>
        <v>2031</v>
      </c>
      <c r="AJ120" s="325">
        <f t="shared" si="83"/>
        <v>2032</v>
      </c>
      <c r="AK120" s="325">
        <f t="shared" si="83"/>
        <v>2033</v>
      </c>
      <c r="AL120" s="325">
        <f t="shared" si="83"/>
        <v>2034</v>
      </c>
      <c r="AM120" s="325">
        <f t="shared" si="83"/>
        <v>2035</v>
      </c>
      <c r="AN120" s="325">
        <f t="shared" si="83"/>
        <v>2036</v>
      </c>
      <c r="AO120" s="325">
        <f t="shared" si="83"/>
        <v>2037</v>
      </c>
      <c r="AP120" s="325">
        <f t="shared" si="83"/>
        <v>2038</v>
      </c>
      <c r="AQ120" s="325">
        <f t="shared" si="83"/>
        <v>2039</v>
      </c>
      <c r="AR120" s="325">
        <f t="shared" si="83"/>
        <v>2040</v>
      </c>
      <c r="AS120" s="325">
        <f t="shared" si="83"/>
        <v>2041</v>
      </c>
      <c r="AT120" s="325">
        <f t="shared" si="83"/>
        <v>2042</v>
      </c>
      <c r="AU120" s="325">
        <f t="shared" si="83"/>
        <v>2043</v>
      </c>
    </row>
    <row r="121" spans="1:47">
      <c r="E121" s="325"/>
      <c r="G121" s="39"/>
      <c r="H121" s="39"/>
      <c r="I121" s="39"/>
      <c r="J121" s="39"/>
      <c r="K121" s="39"/>
    </row>
    <row r="122" spans="1:47">
      <c r="E122" s="325"/>
      <c r="G122" s="39" t="s">
        <v>23</v>
      </c>
      <c r="H122" s="39"/>
      <c r="I122" s="39"/>
      <c r="J122" s="39"/>
      <c r="K122" s="39"/>
    </row>
    <row r="123" spans="1:47">
      <c r="A123" s="38" t="str">
        <f t="shared" ref="A123:A130" si="84">$J$4&amp;"-"</f>
        <v>2Y-</v>
      </c>
      <c r="B123" s="38" t="s">
        <v>262</v>
      </c>
      <c r="C123" s="38" t="str">
        <f>C117</f>
        <v>Ash Conveyance &amp; Storage</v>
      </c>
      <c r="D123" s="186">
        <f>LaborEsc</f>
        <v>0.02</v>
      </c>
      <c r="E123" s="325"/>
      <c r="G123" s="36" t="s">
        <v>125</v>
      </c>
      <c r="I123" s="39"/>
      <c r="K123" s="39"/>
      <c r="L123" s="43" t="s">
        <v>266</v>
      </c>
      <c r="N123" s="70">
        <f ca="1">SUMIFS(OFFSET(Assumptions!$I$90,0,MATCH($A123,Configurations,0)-1,COUNT(Assumptions!$A$90:$A$183),1),Assumptions!$D$90:$D$183,$B123&amp;$C123)</f>
        <v>0</v>
      </c>
      <c r="O123" s="313"/>
      <c r="P123" s="323"/>
      <c r="Q123" s="313"/>
      <c r="R123" s="50">
        <f t="shared" ref="R123:AU123" ca="1" si="85">IF(OR(R$99&lt;InServiceYr,R$99&gt;(InServiceYr+analysis_period-1)),0,IF($P123=0,$N123,$P123)*LaborCost*(1+$D123)^(R$99-CostBaseYr))</f>
        <v>0</v>
      </c>
      <c r="S123" s="50">
        <f t="shared" ca="1" si="85"/>
        <v>0</v>
      </c>
      <c r="T123" s="50">
        <f t="shared" ca="1" si="85"/>
        <v>0</v>
      </c>
      <c r="U123" s="50">
        <f t="shared" ca="1" si="85"/>
        <v>0</v>
      </c>
      <c r="V123" s="50">
        <f t="shared" ca="1" si="85"/>
        <v>0</v>
      </c>
      <c r="W123" s="50">
        <f t="shared" ca="1" si="85"/>
        <v>0</v>
      </c>
      <c r="X123" s="50">
        <f t="shared" ca="1" si="85"/>
        <v>0</v>
      </c>
      <c r="Y123" s="50">
        <f t="shared" ca="1" si="85"/>
        <v>0</v>
      </c>
      <c r="Z123" s="50">
        <f t="shared" ca="1" si="85"/>
        <v>0</v>
      </c>
      <c r="AA123" s="50">
        <f t="shared" ca="1" si="85"/>
        <v>0</v>
      </c>
      <c r="AB123" s="50">
        <f t="shared" ca="1" si="85"/>
        <v>0</v>
      </c>
      <c r="AC123" s="50">
        <f t="shared" ca="1" si="85"/>
        <v>0</v>
      </c>
      <c r="AD123" s="50">
        <f t="shared" ca="1" si="85"/>
        <v>0</v>
      </c>
      <c r="AE123" s="50">
        <f t="shared" ca="1" si="85"/>
        <v>0</v>
      </c>
      <c r="AF123" s="50">
        <f t="shared" ca="1" si="85"/>
        <v>0</v>
      </c>
      <c r="AG123" s="50">
        <f t="shared" ca="1" si="85"/>
        <v>0</v>
      </c>
      <c r="AH123" s="50">
        <f t="shared" ca="1" si="85"/>
        <v>0</v>
      </c>
      <c r="AI123" s="50">
        <f t="shared" ca="1" si="85"/>
        <v>0</v>
      </c>
      <c r="AJ123" s="50">
        <f t="shared" ca="1" si="85"/>
        <v>0</v>
      </c>
      <c r="AK123" s="50">
        <f t="shared" ca="1" si="85"/>
        <v>0</v>
      </c>
      <c r="AL123" s="50">
        <f t="shared" si="85"/>
        <v>0</v>
      </c>
      <c r="AM123" s="50">
        <f t="shared" si="85"/>
        <v>0</v>
      </c>
      <c r="AN123" s="50">
        <f t="shared" si="85"/>
        <v>0</v>
      </c>
      <c r="AO123" s="50">
        <f t="shared" si="85"/>
        <v>0</v>
      </c>
      <c r="AP123" s="50">
        <f t="shared" si="85"/>
        <v>0</v>
      </c>
      <c r="AQ123" s="50">
        <f t="shared" si="85"/>
        <v>0</v>
      </c>
      <c r="AR123" s="50">
        <f t="shared" si="85"/>
        <v>0</v>
      </c>
      <c r="AS123" s="50">
        <f t="shared" si="85"/>
        <v>0</v>
      </c>
      <c r="AT123" s="50">
        <f t="shared" si="85"/>
        <v>0</v>
      </c>
      <c r="AU123" s="50">
        <f t="shared" si="85"/>
        <v>0</v>
      </c>
    </row>
    <row r="124" spans="1:47">
      <c r="A124" s="38" t="str">
        <f t="shared" si="84"/>
        <v>2Y-</v>
      </c>
      <c r="B124" s="38" t="s">
        <v>270</v>
      </c>
      <c r="C124" s="38" t="str">
        <f>C123</f>
        <v>Ash Conveyance &amp; Storage</v>
      </c>
      <c r="D124" s="186">
        <f>OMEsc</f>
        <v>0.02</v>
      </c>
      <c r="E124" s="325"/>
      <c r="G124" s="36" t="s">
        <v>126</v>
      </c>
      <c r="I124" s="39"/>
      <c r="K124" s="39"/>
      <c r="L124" s="43" t="str">
        <f>"["&amp;CostBaseYr&amp;" $]"</f>
        <v>[2013 $]</v>
      </c>
      <c r="N124" s="70">
        <f ca="1">SUMIFS(OFFSET(Assumptions!$I$90,0,MATCH($A124,Configurations,0)-1,COUNT(Assumptions!$A$90:$A$183),1),Assumptions!$D$90:$D$183,$B124&amp;$C124)</f>
        <v>0</v>
      </c>
      <c r="O124" s="313"/>
      <c r="P124" s="323"/>
      <c r="Q124" s="313"/>
      <c r="R124" s="50">
        <f t="shared" ref="R124:AG126" ca="1" si="86">IF(OR(R$99&lt;InServiceYr,R$99&gt;(InServiceYr+analysis_period-1)),0,IF($P124=0,$N124,$P124)*(1+$D124)^(R$99-CostBaseYr))</f>
        <v>0</v>
      </c>
      <c r="S124" s="50">
        <f t="shared" ca="1" si="86"/>
        <v>0</v>
      </c>
      <c r="T124" s="50">
        <f t="shared" ca="1" si="86"/>
        <v>0</v>
      </c>
      <c r="U124" s="50">
        <f t="shared" ca="1" si="86"/>
        <v>0</v>
      </c>
      <c r="V124" s="50">
        <f t="shared" ca="1" si="86"/>
        <v>0</v>
      </c>
      <c r="W124" s="50">
        <f t="shared" ca="1" si="86"/>
        <v>0</v>
      </c>
      <c r="X124" s="50">
        <f t="shared" ca="1" si="86"/>
        <v>0</v>
      </c>
      <c r="Y124" s="50">
        <f t="shared" ca="1" si="86"/>
        <v>0</v>
      </c>
      <c r="Z124" s="50">
        <f t="shared" ca="1" si="86"/>
        <v>0</v>
      </c>
      <c r="AA124" s="50">
        <f t="shared" ca="1" si="86"/>
        <v>0</v>
      </c>
      <c r="AB124" s="50">
        <f t="shared" ca="1" si="86"/>
        <v>0</v>
      </c>
      <c r="AC124" s="50">
        <f t="shared" ca="1" si="86"/>
        <v>0</v>
      </c>
      <c r="AD124" s="50">
        <f t="shared" ca="1" si="86"/>
        <v>0</v>
      </c>
      <c r="AE124" s="50">
        <f t="shared" ca="1" si="86"/>
        <v>0</v>
      </c>
      <c r="AF124" s="50">
        <f t="shared" ca="1" si="86"/>
        <v>0</v>
      </c>
      <c r="AG124" s="50">
        <f t="shared" ca="1" si="86"/>
        <v>0</v>
      </c>
      <c r="AH124" s="50">
        <f t="shared" ref="S124:AU126" ca="1" si="87">IF(OR(AH$99&lt;InServiceYr,AH$99&gt;(InServiceYr+analysis_period-1)),0,IF($P124=0,$N124,$P124)*(1+$D124)^(AH$99-CostBaseYr))</f>
        <v>0</v>
      </c>
      <c r="AI124" s="50">
        <f t="shared" ca="1" si="87"/>
        <v>0</v>
      </c>
      <c r="AJ124" s="50">
        <f t="shared" ca="1" si="87"/>
        <v>0</v>
      </c>
      <c r="AK124" s="50">
        <f t="shared" ca="1" si="87"/>
        <v>0</v>
      </c>
      <c r="AL124" s="50">
        <f t="shared" si="87"/>
        <v>0</v>
      </c>
      <c r="AM124" s="50">
        <f t="shared" si="87"/>
        <v>0</v>
      </c>
      <c r="AN124" s="50">
        <f t="shared" si="87"/>
        <v>0</v>
      </c>
      <c r="AO124" s="50">
        <f t="shared" si="87"/>
        <v>0</v>
      </c>
      <c r="AP124" s="50">
        <f t="shared" si="87"/>
        <v>0</v>
      </c>
      <c r="AQ124" s="50">
        <f t="shared" si="87"/>
        <v>0</v>
      </c>
      <c r="AR124" s="50">
        <f t="shared" si="87"/>
        <v>0</v>
      </c>
      <c r="AS124" s="50">
        <f t="shared" si="87"/>
        <v>0</v>
      </c>
      <c r="AT124" s="50">
        <f t="shared" si="87"/>
        <v>0</v>
      </c>
      <c r="AU124" s="50">
        <f t="shared" si="87"/>
        <v>0</v>
      </c>
    </row>
    <row r="125" spans="1:47">
      <c r="A125" s="38" t="str">
        <f t="shared" si="84"/>
        <v>2Y-</v>
      </c>
      <c r="B125" s="38" t="s">
        <v>263</v>
      </c>
      <c r="C125" s="38" t="str">
        <f t="shared" ref="C125:C129" si="88">C124</f>
        <v>Ash Conveyance &amp; Storage</v>
      </c>
      <c r="D125" s="186">
        <f>OMEsc</f>
        <v>0.02</v>
      </c>
      <c r="E125" s="325"/>
      <c r="G125" s="36" t="s">
        <v>127</v>
      </c>
      <c r="I125" s="39"/>
      <c r="K125" s="39"/>
      <c r="L125" s="43" t="str">
        <f>"["&amp;CostBaseYr&amp;" $]"</f>
        <v>[2013 $]</v>
      </c>
      <c r="N125" s="70">
        <f ca="1">SUMIFS(OFFSET(Assumptions!$I$90,0,MATCH($A125,Configurations,0)-1,COUNT(Assumptions!$A$90:$A$183),1),Assumptions!$D$90:$D$183,$B125&amp;$C125)</f>
        <v>0</v>
      </c>
      <c r="O125" s="313"/>
      <c r="P125" s="323"/>
      <c r="Q125" s="313"/>
      <c r="R125" s="50">
        <f t="shared" ca="1" si="86"/>
        <v>0</v>
      </c>
      <c r="S125" s="50">
        <f t="shared" ca="1" si="87"/>
        <v>0</v>
      </c>
      <c r="T125" s="50">
        <f t="shared" ca="1" si="87"/>
        <v>0</v>
      </c>
      <c r="U125" s="50">
        <f t="shared" ca="1" si="87"/>
        <v>0</v>
      </c>
      <c r="V125" s="50">
        <f t="shared" ca="1" si="87"/>
        <v>0</v>
      </c>
      <c r="W125" s="50">
        <f t="shared" ca="1" si="87"/>
        <v>0</v>
      </c>
      <c r="X125" s="50">
        <f t="shared" ca="1" si="87"/>
        <v>0</v>
      </c>
      <c r="Y125" s="50">
        <f t="shared" ca="1" si="87"/>
        <v>0</v>
      </c>
      <c r="Z125" s="50">
        <f t="shared" ca="1" si="87"/>
        <v>0</v>
      </c>
      <c r="AA125" s="50">
        <f t="shared" ca="1" si="87"/>
        <v>0</v>
      </c>
      <c r="AB125" s="50">
        <f t="shared" ca="1" si="87"/>
        <v>0</v>
      </c>
      <c r="AC125" s="50">
        <f t="shared" ca="1" si="87"/>
        <v>0</v>
      </c>
      <c r="AD125" s="50">
        <f t="shared" ca="1" si="87"/>
        <v>0</v>
      </c>
      <c r="AE125" s="50">
        <f t="shared" ca="1" si="87"/>
        <v>0</v>
      </c>
      <c r="AF125" s="50">
        <f t="shared" ca="1" si="87"/>
        <v>0</v>
      </c>
      <c r="AG125" s="50">
        <f t="shared" ca="1" si="87"/>
        <v>0</v>
      </c>
      <c r="AH125" s="50">
        <f t="shared" ca="1" si="87"/>
        <v>0</v>
      </c>
      <c r="AI125" s="50">
        <f t="shared" ca="1" si="87"/>
        <v>0</v>
      </c>
      <c r="AJ125" s="50">
        <f t="shared" ca="1" si="87"/>
        <v>0</v>
      </c>
      <c r="AK125" s="50">
        <f t="shared" ca="1" si="87"/>
        <v>0</v>
      </c>
      <c r="AL125" s="50">
        <f t="shared" si="87"/>
        <v>0</v>
      </c>
      <c r="AM125" s="50">
        <f t="shared" si="87"/>
        <v>0</v>
      </c>
      <c r="AN125" s="50">
        <f t="shared" si="87"/>
        <v>0</v>
      </c>
      <c r="AO125" s="50">
        <f t="shared" si="87"/>
        <v>0</v>
      </c>
      <c r="AP125" s="50">
        <f t="shared" si="87"/>
        <v>0</v>
      </c>
      <c r="AQ125" s="50">
        <f t="shared" si="87"/>
        <v>0</v>
      </c>
      <c r="AR125" s="50">
        <f t="shared" si="87"/>
        <v>0</v>
      </c>
      <c r="AS125" s="50">
        <f t="shared" si="87"/>
        <v>0</v>
      </c>
      <c r="AT125" s="50">
        <f t="shared" si="87"/>
        <v>0</v>
      </c>
      <c r="AU125" s="50">
        <f t="shared" si="87"/>
        <v>0</v>
      </c>
    </row>
    <row r="126" spans="1:47">
      <c r="A126" s="38" t="str">
        <f t="shared" si="84"/>
        <v>2Y-</v>
      </c>
      <c r="B126" s="38" t="s">
        <v>277</v>
      </c>
      <c r="C126" s="38" t="str">
        <f t="shared" si="88"/>
        <v>Ash Conveyance &amp; Storage</v>
      </c>
      <c r="D126" s="186">
        <f>OMEsc</f>
        <v>0.02</v>
      </c>
      <c r="E126" s="325"/>
      <c r="G126" s="36" t="s">
        <v>276</v>
      </c>
      <c r="I126" s="39"/>
      <c r="K126" s="39"/>
      <c r="L126" s="43" t="str">
        <f>"["&amp;CostBaseYr&amp;" $]"</f>
        <v>[2013 $]</v>
      </c>
      <c r="N126" s="70">
        <f ca="1">SUMIFS(OFFSET(Assumptions!$I$90,0,MATCH($A126,Configurations,0)-1,COUNT(Assumptions!$A$90:$A$183),1),Assumptions!$D$90:$D$183,$B126&amp;$C126)</f>
        <v>0</v>
      </c>
      <c r="O126" s="313"/>
      <c r="P126" s="323"/>
      <c r="Q126" s="313"/>
      <c r="R126" s="50">
        <f t="shared" ca="1" si="86"/>
        <v>0</v>
      </c>
      <c r="S126" s="50">
        <f t="shared" ca="1" si="87"/>
        <v>0</v>
      </c>
      <c r="T126" s="50">
        <f t="shared" ca="1" si="87"/>
        <v>0</v>
      </c>
      <c r="U126" s="50">
        <f t="shared" ca="1" si="87"/>
        <v>0</v>
      </c>
      <c r="V126" s="50">
        <f t="shared" ca="1" si="87"/>
        <v>0</v>
      </c>
      <c r="W126" s="50">
        <f t="shared" ca="1" si="87"/>
        <v>0</v>
      </c>
      <c r="X126" s="50">
        <f t="shared" ca="1" si="87"/>
        <v>0</v>
      </c>
      <c r="Y126" s="50">
        <f t="shared" ca="1" si="87"/>
        <v>0</v>
      </c>
      <c r="Z126" s="50">
        <f t="shared" ca="1" si="87"/>
        <v>0</v>
      </c>
      <c r="AA126" s="50">
        <f t="shared" ca="1" si="87"/>
        <v>0</v>
      </c>
      <c r="AB126" s="50">
        <f t="shared" ca="1" si="87"/>
        <v>0</v>
      </c>
      <c r="AC126" s="50">
        <f t="shared" ca="1" si="87"/>
        <v>0</v>
      </c>
      <c r="AD126" s="50">
        <f t="shared" ca="1" si="87"/>
        <v>0</v>
      </c>
      <c r="AE126" s="50">
        <f t="shared" ca="1" si="87"/>
        <v>0</v>
      </c>
      <c r="AF126" s="50">
        <f t="shared" ca="1" si="87"/>
        <v>0</v>
      </c>
      <c r="AG126" s="50">
        <f t="shared" ca="1" si="87"/>
        <v>0</v>
      </c>
      <c r="AH126" s="50">
        <f t="shared" ca="1" si="87"/>
        <v>0</v>
      </c>
      <c r="AI126" s="50">
        <f t="shared" ca="1" si="87"/>
        <v>0</v>
      </c>
      <c r="AJ126" s="50">
        <f t="shared" ca="1" si="87"/>
        <v>0</v>
      </c>
      <c r="AK126" s="50">
        <f t="shared" ca="1" si="87"/>
        <v>0</v>
      </c>
      <c r="AL126" s="50">
        <f t="shared" si="87"/>
        <v>0</v>
      </c>
      <c r="AM126" s="50">
        <f t="shared" si="87"/>
        <v>0</v>
      </c>
      <c r="AN126" s="50">
        <f t="shared" si="87"/>
        <v>0</v>
      </c>
      <c r="AO126" s="50">
        <f t="shared" si="87"/>
        <v>0</v>
      </c>
      <c r="AP126" s="50">
        <f t="shared" si="87"/>
        <v>0</v>
      </c>
      <c r="AQ126" s="50">
        <f t="shared" si="87"/>
        <v>0</v>
      </c>
      <c r="AR126" s="50">
        <f t="shared" si="87"/>
        <v>0</v>
      </c>
      <c r="AS126" s="50">
        <f t="shared" si="87"/>
        <v>0</v>
      </c>
      <c r="AT126" s="50">
        <f t="shared" si="87"/>
        <v>0</v>
      </c>
      <c r="AU126" s="50">
        <f t="shared" si="87"/>
        <v>0</v>
      </c>
    </row>
    <row r="127" spans="1:47">
      <c r="A127" s="38" t="str">
        <f t="shared" si="84"/>
        <v>2Y-</v>
      </c>
      <c r="B127" s="38" t="s">
        <v>274</v>
      </c>
      <c r="C127" s="38" t="str">
        <f t="shared" si="88"/>
        <v>Ash Conveyance &amp; Storage</v>
      </c>
      <c r="D127" s="186"/>
      <c r="E127" s="325"/>
      <c r="G127" s="36" t="s">
        <v>16</v>
      </c>
      <c r="I127" s="39"/>
      <c r="K127" s="39"/>
      <c r="L127" s="43" t="s">
        <v>275</v>
      </c>
      <c r="N127" s="70">
        <f ca="1">SUMIFS(OFFSET(Assumptions!$I$90,0,MATCH($A127,Configurations,0)-1,COUNT(Assumptions!$A$90:$A$183),1),Assumptions!$D$90:$D$183,$B127&amp;$C127)</f>
        <v>0</v>
      </c>
      <c r="O127" s="313"/>
      <c r="P127" s="323"/>
      <c r="Q127" s="313"/>
      <c r="R127" s="50">
        <f t="shared" ref="R127:AU127" ca="1" si="89">IF(OR(R$99&lt;InServiceYr,R$99&gt;(InServiceYr+analysis_period-1)),0,IF($P127=0,$N127,$P127)*R$505)</f>
        <v>0</v>
      </c>
      <c r="S127" s="50">
        <f t="shared" ca="1" si="89"/>
        <v>0</v>
      </c>
      <c r="T127" s="50">
        <f t="shared" ca="1" si="89"/>
        <v>0</v>
      </c>
      <c r="U127" s="50">
        <f t="shared" ca="1" si="89"/>
        <v>0</v>
      </c>
      <c r="V127" s="50">
        <f t="shared" ca="1" si="89"/>
        <v>0</v>
      </c>
      <c r="W127" s="50">
        <f t="shared" ca="1" si="89"/>
        <v>0</v>
      </c>
      <c r="X127" s="50">
        <f t="shared" ca="1" si="89"/>
        <v>0</v>
      </c>
      <c r="Y127" s="50">
        <f t="shared" ca="1" si="89"/>
        <v>0</v>
      </c>
      <c r="Z127" s="50">
        <f t="shared" ca="1" si="89"/>
        <v>0</v>
      </c>
      <c r="AA127" s="50">
        <f t="shared" ca="1" si="89"/>
        <v>0</v>
      </c>
      <c r="AB127" s="50">
        <f t="shared" ca="1" si="89"/>
        <v>0</v>
      </c>
      <c r="AC127" s="50">
        <f t="shared" ca="1" si="89"/>
        <v>0</v>
      </c>
      <c r="AD127" s="50">
        <f t="shared" ca="1" si="89"/>
        <v>0</v>
      </c>
      <c r="AE127" s="50">
        <f t="shared" ca="1" si="89"/>
        <v>0</v>
      </c>
      <c r="AF127" s="50">
        <f t="shared" ca="1" si="89"/>
        <v>0</v>
      </c>
      <c r="AG127" s="50">
        <f t="shared" ca="1" si="89"/>
        <v>0</v>
      </c>
      <c r="AH127" s="50">
        <f t="shared" ca="1" si="89"/>
        <v>0</v>
      </c>
      <c r="AI127" s="50">
        <f t="shared" ca="1" si="89"/>
        <v>0</v>
      </c>
      <c r="AJ127" s="50">
        <f t="shared" ca="1" si="89"/>
        <v>0</v>
      </c>
      <c r="AK127" s="50">
        <f t="shared" ca="1" si="89"/>
        <v>0</v>
      </c>
      <c r="AL127" s="50">
        <f t="shared" si="89"/>
        <v>0</v>
      </c>
      <c r="AM127" s="50">
        <f t="shared" si="89"/>
        <v>0</v>
      </c>
      <c r="AN127" s="50">
        <f t="shared" si="89"/>
        <v>0</v>
      </c>
      <c r="AO127" s="50">
        <f t="shared" si="89"/>
        <v>0</v>
      </c>
      <c r="AP127" s="50">
        <f t="shared" si="89"/>
        <v>0</v>
      </c>
      <c r="AQ127" s="50">
        <f t="shared" si="89"/>
        <v>0</v>
      </c>
      <c r="AR127" s="50">
        <f t="shared" si="89"/>
        <v>0</v>
      </c>
      <c r="AS127" s="50">
        <f t="shared" si="89"/>
        <v>0</v>
      </c>
      <c r="AT127" s="50">
        <f t="shared" si="89"/>
        <v>0</v>
      </c>
      <c r="AU127" s="50">
        <f t="shared" si="89"/>
        <v>0</v>
      </c>
    </row>
    <row r="128" spans="1:47">
      <c r="A128" s="38" t="str">
        <f t="shared" si="84"/>
        <v>2Y-</v>
      </c>
      <c r="B128" s="38" t="s">
        <v>257</v>
      </c>
      <c r="C128" s="38" t="str">
        <f t="shared" si="88"/>
        <v>Ash Conveyance &amp; Storage</v>
      </c>
      <c r="D128" s="186"/>
      <c r="E128" s="325"/>
      <c r="G128" s="36" t="s">
        <v>284</v>
      </c>
      <c r="I128" s="39"/>
      <c r="K128" s="39"/>
      <c r="L128" s="43" t="s">
        <v>293</v>
      </c>
      <c r="N128" s="70">
        <f ca="1">SUMIFS(OFFSET(Assumptions!$I$90,0,MATCH($A128,Configurations,0)-1,COUNT(Assumptions!$A$90:$A$183),1),Assumptions!$D$90:$D$183,$B128&amp;$C128)</f>
        <v>0</v>
      </c>
      <c r="O128" s="313"/>
      <c r="P128" s="323"/>
      <c r="Q128" s="313"/>
      <c r="R128" s="50">
        <f t="shared" ref="R128:AU128" ca="1" si="90">IF(OR(R$99&lt;InServiceYr,R$99&gt;(InServiceYr+analysis_period-1)),0,IF($P128=0,$N128,$P128)*R$501)</f>
        <v>0</v>
      </c>
      <c r="S128" s="50">
        <f t="shared" ca="1" si="90"/>
        <v>0</v>
      </c>
      <c r="T128" s="50">
        <f t="shared" ca="1" si="90"/>
        <v>0</v>
      </c>
      <c r="U128" s="50">
        <f t="shared" ca="1" si="90"/>
        <v>0</v>
      </c>
      <c r="V128" s="50">
        <f t="shared" ca="1" si="90"/>
        <v>0</v>
      </c>
      <c r="W128" s="50">
        <f t="shared" ca="1" si="90"/>
        <v>0</v>
      </c>
      <c r="X128" s="50">
        <f t="shared" ca="1" si="90"/>
        <v>0</v>
      </c>
      <c r="Y128" s="50">
        <f t="shared" ca="1" si="90"/>
        <v>0</v>
      </c>
      <c r="Z128" s="50">
        <f t="shared" ca="1" si="90"/>
        <v>0</v>
      </c>
      <c r="AA128" s="50">
        <f t="shared" ca="1" si="90"/>
        <v>0</v>
      </c>
      <c r="AB128" s="50">
        <f t="shared" ca="1" si="90"/>
        <v>0</v>
      </c>
      <c r="AC128" s="50">
        <f t="shared" ca="1" si="90"/>
        <v>0</v>
      </c>
      <c r="AD128" s="50">
        <f t="shared" ca="1" si="90"/>
        <v>0</v>
      </c>
      <c r="AE128" s="50">
        <f t="shared" ca="1" si="90"/>
        <v>0</v>
      </c>
      <c r="AF128" s="50">
        <f t="shared" ca="1" si="90"/>
        <v>0</v>
      </c>
      <c r="AG128" s="50">
        <f t="shared" ca="1" si="90"/>
        <v>0</v>
      </c>
      <c r="AH128" s="50">
        <f t="shared" ca="1" si="90"/>
        <v>0</v>
      </c>
      <c r="AI128" s="50">
        <f t="shared" ca="1" si="90"/>
        <v>0</v>
      </c>
      <c r="AJ128" s="50">
        <f t="shared" ca="1" si="90"/>
        <v>0</v>
      </c>
      <c r="AK128" s="50">
        <f t="shared" ca="1" si="90"/>
        <v>0</v>
      </c>
      <c r="AL128" s="50">
        <f t="shared" si="90"/>
        <v>0</v>
      </c>
      <c r="AM128" s="50">
        <f t="shared" si="90"/>
        <v>0</v>
      </c>
      <c r="AN128" s="50">
        <f t="shared" si="90"/>
        <v>0</v>
      </c>
      <c r="AO128" s="50">
        <f t="shared" si="90"/>
        <v>0</v>
      </c>
      <c r="AP128" s="50">
        <f t="shared" si="90"/>
        <v>0</v>
      </c>
      <c r="AQ128" s="50">
        <f t="shared" si="90"/>
        <v>0</v>
      </c>
      <c r="AR128" s="50">
        <f t="shared" si="90"/>
        <v>0</v>
      </c>
      <c r="AS128" s="50">
        <f t="shared" si="90"/>
        <v>0</v>
      </c>
      <c r="AT128" s="50">
        <f t="shared" si="90"/>
        <v>0</v>
      </c>
      <c r="AU128" s="50">
        <f t="shared" si="90"/>
        <v>0</v>
      </c>
    </row>
    <row r="129" spans="1:47">
      <c r="A129" s="38" t="str">
        <f t="shared" si="84"/>
        <v>2Y-</v>
      </c>
      <c r="B129" s="38" t="s">
        <v>864</v>
      </c>
      <c r="C129" s="38" t="str">
        <f t="shared" si="88"/>
        <v>Ash Conveyance &amp; Storage</v>
      </c>
      <c r="D129" s="186">
        <f>GHGEsc</f>
        <v>0.02</v>
      </c>
      <c r="E129" s="325"/>
      <c r="G129" s="36" t="s">
        <v>865</v>
      </c>
      <c r="I129" s="39"/>
      <c r="K129" s="39"/>
      <c r="L129" s="43" t="s">
        <v>866</v>
      </c>
      <c r="N129" s="70">
        <f ca="1">SUMIFS(OFFSET(Assumptions!$I$90,0,MATCH($A129,Configurations,0)-1,COUNT(Assumptions!$A$90:$A$183),1),Assumptions!$D$90:$D$183,$B129&amp;$C129)</f>
        <v>0</v>
      </c>
      <c r="O129" s="313"/>
      <c r="P129" s="323"/>
      <c r="Q129" s="313"/>
      <c r="R129" s="50">
        <f t="shared" ref="R129:AU129" ca="1" si="91">IF(OR(R$99&lt;InServiceYr,R$99&gt;(InServiceYr+analysis_period-1)),0,IF($P129=0,$N129,$P129)*R$513)</f>
        <v>0</v>
      </c>
      <c r="S129" s="50">
        <f t="shared" ca="1" si="91"/>
        <v>0</v>
      </c>
      <c r="T129" s="50">
        <f t="shared" ca="1" si="91"/>
        <v>0</v>
      </c>
      <c r="U129" s="50">
        <f t="shared" ca="1" si="91"/>
        <v>0</v>
      </c>
      <c r="V129" s="50">
        <f t="shared" ca="1" si="91"/>
        <v>0</v>
      </c>
      <c r="W129" s="50">
        <f t="shared" ca="1" si="91"/>
        <v>0</v>
      </c>
      <c r="X129" s="50">
        <f t="shared" ca="1" si="91"/>
        <v>0</v>
      </c>
      <c r="Y129" s="50">
        <f t="shared" ca="1" si="91"/>
        <v>0</v>
      </c>
      <c r="Z129" s="50">
        <f t="shared" ca="1" si="91"/>
        <v>0</v>
      </c>
      <c r="AA129" s="50">
        <f t="shared" ca="1" si="91"/>
        <v>0</v>
      </c>
      <c r="AB129" s="50">
        <f t="shared" ca="1" si="91"/>
        <v>0</v>
      </c>
      <c r="AC129" s="50">
        <f t="shared" ca="1" si="91"/>
        <v>0</v>
      </c>
      <c r="AD129" s="50">
        <f t="shared" ca="1" si="91"/>
        <v>0</v>
      </c>
      <c r="AE129" s="50">
        <f t="shared" ca="1" si="91"/>
        <v>0</v>
      </c>
      <c r="AF129" s="50">
        <f t="shared" ca="1" si="91"/>
        <v>0</v>
      </c>
      <c r="AG129" s="50">
        <f t="shared" ca="1" si="91"/>
        <v>0</v>
      </c>
      <c r="AH129" s="50">
        <f t="shared" ca="1" si="91"/>
        <v>0</v>
      </c>
      <c r="AI129" s="50">
        <f t="shared" ca="1" si="91"/>
        <v>0</v>
      </c>
      <c r="AJ129" s="50">
        <f t="shared" ca="1" si="91"/>
        <v>0</v>
      </c>
      <c r="AK129" s="50">
        <f t="shared" ca="1" si="91"/>
        <v>0</v>
      </c>
      <c r="AL129" s="50">
        <f t="shared" si="91"/>
        <v>0</v>
      </c>
      <c r="AM129" s="50">
        <f t="shared" si="91"/>
        <v>0</v>
      </c>
      <c r="AN129" s="50">
        <f t="shared" si="91"/>
        <v>0</v>
      </c>
      <c r="AO129" s="50">
        <f t="shared" si="91"/>
        <v>0</v>
      </c>
      <c r="AP129" s="50">
        <f t="shared" si="91"/>
        <v>0</v>
      </c>
      <c r="AQ129" s="50">
        <f t="shared" si="91"/>
        <v>0</v>
      </c>
      <c r="AR129" s="50">
        <f t="shared" si="91"/>
        <v>0</v>
      </c>
      <c r="AS129" s="50">
        <f t="shared" si="91"/>
        <v>0</v>
      </c>
      <c r="AT129" s="50">
        <f t="shared" si="91"/>
        <v>0</v>
      </c>
      <c r="AU129" s="50">
        <f t="shared" si="91"/>
        <v>0</v>
      </c>
    </row>
    <row r="130" spans="1:47">
      <c r="A130" s="38" t="str">
        <f t="shared" si="84"/>
        <v>2Y-</v>
      </c>
      <c r="B130" s="38" t="s">
        <v>273</v>
      </c>
      <c r="C130" s="38" t="str">
        <f>C128</f>
        <v>Ash Conveyance &amp; Storage</v>
      </c>
      <c r="D130" s="186">
        <f>LaborEsc</f>
        <v>0.02</v>
      </c>
      <c r="E130" s="325"/>
      <c r="G130" s="36" t="s">
        <v>291</v>
      </c>
      <c r="I130" s="39"/>
      <c r="K130" s="39"/>
      <c r="L130" s="43" t="str">
        <f>"["&amp;CostBaseYr&amp;" $]"</f>
        <v>[2013 $]</v>
      </c>
      <c r="N130" s="70">
        <f ca="1">SUMIFS(OFFSET(Assumptions!$I$90,0,MATCH($A130,Configurations,0)-1,COUNT(Assumptions!$A$90:$A$183),1),Assumptions!$D$90:$D$183,$B130&amp;$C130)</f>
        <v>0</v>
      </c>
      <c r="O130" s="313"/>
      <c r="P130" s="323"/>
      <c r="Q130" s="313"/>
      <c r="R130" s="50">
        <f t="shared" ref="R130:AU130" ca="1" si="92">IF(OR(R$99&lt;InServiceYr,R$99&gt;(InServiceYr+analysis_period-1)),0,IF($P130=0,$N130,$P130)*(1+$D130)^(R$99-CostBaseYr))*R$509</f>
        <v>0</v>
      </c>
      <c r="S130" s="50">
        <f t="shared" ca="1" si="92"/>
        <v>0</v>
      </c>
      <c r="T130" s="50">
        <f t="shared" ca="1" si="92"/>
        <v>0</v>
      </c>
      <c r="U130" s="50">
        <f t="shared" ca="1" si="92"/>
        <v>0</v>
      </c>
      <c r="V130" s="50">
        <f t="shared" ca="1" si="92"/>
        <v>0</v>
      </c>
      <c r="W130" s="50">
        <f t="shared" ca="1" si="92"/>
        <v>0</v>
      </c>
      <c r="X130" s="50">
        <f t="shared" ca="1" si="92"/>
        <v>0</v>
      </c>
      <c r="Y130" s="50">
        <f t="shared" ca="1" si="92"/>
        <v>0</v>
      </c>
      <c r="Z130" s="50">
        <f t="shared" ca="1" si="92"/>
        <v>0</v>
      </c>
      <c r="AA130" s="50">
        <f t="shared" ca="1" si="92"/>
        <v>0</v>
      </c>
      <c r="AB130" s="50">
        <f t="shared" ca="1" si="92"/>
        <v>0</v>
      </c>
      <c r="AC130" s="50">
        <f t="shared" ca="1" si="92"/>
        <v>0</v>
      </c>
      <c r="AD130" s="50">
        <f t="shared" ca="1" si="92"/>
        <v>0</v>
      </c>
      <c r="AE130" s="50">
        <f t="shared" ca="1" si="92"/>
        <v>0</v>
      </c>
      <c r="AF130" s="50">
        <f t="shared" ca="1" si="92"/>
        <v>0</v>
      </c>
      <c r="AG130" s="50">
        <f t="shared" ca="1" si="92"/>
        <v>0</v>
      </c>
      <c r="AH130" s="50">
        <f t="shared" ca="1" si="92"/>
        <v>0</v>
      </c>
      <c r="AI130" s="50">
        <f t="shared" ca="1" si="92"/>
        <v>0</v>
      </c>
      <c r="AJ130" s="50">
        <f t="shared" ca="1" si="92"/>
        <v>0</v>
      </c>
      <c r="AK130" s="50">
        <f t="shared" ca="1" si="92"/>
        <v>0</v>
      </c>
      <c r="AL130" s="50">
        <f t="shared" si="92"/>
        <v>0</v>
      </c>
      <c r="AM130" s="50">
        <f t="shared" si="92"/>
        <v>0</v>
      </c>
      <c r="AN130" s="50">
        <f t="shared" si="92"/>
        <v>0</v>
      </c>
      <c r="AO130" s="50">
        <f t="shared" si="92"/>
        <v>0</v>
      </c>
      <c r="AP130" s="50">
        <f t="shared" si="92"/>
        <v>0</v>
      </c>
      <c r="AQ130" s="50">
        <f t="shared" si="92"/>
        <v>0</v>
      </c>
      <c r="AR130" s="50">
        <f t="shared" si="92"/>
        <v>0</v>
      </c>
      <c r="AS130" s="50">
        <f t="shared" si="92"/>
        <v>0</v>
      </c>
      <c r="AT130" s="50">
        <f t="shared" si="92"/>
        <v>0</v>
      </c>
      <c r="AU130" s="50">
        <f t="shared" si="92"/>
        <v>0</v>
      </c>
    </row>
    <row r="131" spans="1:47">
      <c r="D131" s="186"/>
      <c r="E131" s="325"/>
      <c r="G131" s="39" t="s">
        <v>304</v>
      </c>
      <c r="I131" s="39"/>
      <c r="K131" s="39"/>
      <c r="L131" s="43"/>
      <c r="N131" s="70"/>
      <c r="O131" s="313"/>
      <c r="P131" s="70"/>
      <c r="Q131" s="313"/>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row>
    <row r="132" spans="1:47">
      <c r="A132" s="38" t="str">
        <f>$J$4&amp;"-"</f>
        <v>2Y-</v>
      </c>
      <c r="B132" s="38" t="s">
        <v>265</v>
      </c>
      <c r="C132" s="38" t="str">
        <f>C123</f>
        <v>Ash Conveyance &amp; Storage</v>
      </c>
      <c r="D132" s="186"/>
      <c r="E132" s="325"/>
      <c r="G132" s="36" t="s">
        <v>108</v>
      </c>
      <c r="I132" s="39"/>
      <c r="K132" s="39"/>
      <c r="L132" s="43" t="s">
        <v>293</v>
      </c>
      <c r="N132" s="70">
        <f ca="1">SUMIFS(OFFSET(Assumptions!$I$90,0,MATCH($A132,Configurations,0)-1,COUNT(Assumptions!$A$90:$A$183),1),Assumptions!$D$90:$D$183,$B132&amp;$C132)</f>
        <v>0</v>
      </c>
      <c r="O132" s="313"/>
      <c r="P132" s="323"/>
      <c r="Q132" s="313"/>
      <c r="R132" s="50">
        <f t="shared" ref="R132:AU132" ca="1" si="93">IF(OR(R$99&lt;InServiceYr,R$99&gt;(InServiceYr+analysis_period-1)),0,IF($P132=0,$N132,$P132)*R$501)</f>
        <v>0</v>
      </c>
      <c r="S132" s="50">
        <f t="shared" ca="1" si="93"/>
        <v>0</v>
      </c>
      <c r="T132" s="50">
        <f t="shared" ca="1" si="93"/>
        <v>0</v>
      </c>
      <c r="U132" s="50">
        <f t="shared" ca="1" si="93"/>
        <v>0</v>
      </c>
      <c r="V132" s="50">
        <f t="shared" ca="1" si="93"/>
        <v>0</v>
      </c>
      <c r="W132" s="50">
        <f t="shared" ca="1" si="93"/>
        <v>0</v>
      </c>
      <c r="X132" s="50">
        <f t="shared" ca="1" si="93"/>
        <v>0</v>
      </c>
      <c r="Y132" s="50">
        <f t="shared" ca="1" si="93"/>
        <v>0</v>
      </c>
      <c r="Z132" s="50">
        <f t="shared" ca="1" si="93"/>
        <v>0</v>
      </c>
      <c r="AA132" s="50">
        <f t="shared" ca="1" si="93"/>
        <v>0</v>
      </c>
      <c r="AB132" s="50">
        <f t="shared" ca="1" si="93"/>
        <v>0</v>
      </c>
      <c r="AC132" s="50">
        <f t="shared" ca="1" si="93"/>
        <v>0</v>
      </c>
      <c r="AD132" s="50">
        <f t="shared" ca="1" si="93"/>
        <v>0</v>
      </c>
      <c r="AE132" s="50">
        <f t="shared" ca="1" si="93"/>
        <v>0</v>
      </c>
      <c r="AF132" s="50">
        <f t="shared" ca="1" si="93"/>
        <v>0</v>
      </c>
      <c r="AG132" s="50">
        <f t="shared" ca="1" si="93"/>
        <v>0</v>
      </c>
      <c r="AH132" s="50">
        <f t="shared" ca="1" si="93"/>
        <v>0</v>
      </c>
      <c r="AI132" s="50">
        <f t="shared" ca="1" si="93"/>
        <v>0</v>
      </c>
      <c r="AJ132" s="50">
        <f t="shared" ca="1" si="93"/>
        <v>0</v>
      </c>
      <c r="AK132" s="50">
        <f t="shared" ca="1" si="93"/>
        <v>0</v>
      </c>
      <c r="AL132" s="50">
        <f t="shared" si="93"/>
        <v>0</v>
      </c>
      <c r="AM132" s="50">
        <f t="shared" si="93"/>
        <v>0</v>
      </c>
      <c r="AN132" s="50">
        <f t="shared" si="93"/>
        <v>0</v>
      </c>
      <c r="AO132" s="50">
        <f t="shared" si="93"/>
        <v>0</v>
      </c>
      <c r="AP132" s="50">
        <f t="shared" si="93"/>
        <v>0</v>
      </c>
      <c r="AQ132" s="50">
        <f t="shared" si="93"/>
        <v>0</v>
      </c>
      <c r="AR132" s="50">
        <f t="shared" si="93"/>
        <v>0</v>
      </c>
      <c r="AS132" s="50">
        <f t="shared" si="93"/>
        <v>0</v>
      </c>
      <c r="AT132" s="50">
        <f t="shared" si="93"/>
        <v>0</v>
      </c>
      <c r="AU132" s="50">
        <f t="shared" si="93"/>
        <v>0</v>
      </c>
    </row>
    <row r="133" spans="1:47">
      <c r="A133" s="38" t="str">
        <f>$J$4&amp;"-"</f>
        <v>2Y-</v>
      </c>
      <c r="B133" s="38" t="s">
        <v>289</v>
      </c>
      <c r="C133" s="38" t="str">
        <f>C123</f>
        <v>Ash Conveyance &amp; Storage</v>
      </c>
      <c r="D133" s="186">
        <f>LaborEsc</f>
        <v>0.02</v>
      </c>
      <c r="E133" s="325"/>
      <c r="G133" s="36" t="s">
        <v>292</v>
      </c>
      <c r="I133" s="39"/>
      <c r="K133" s="39"/>
      <c r="L133" s="43" t="str">
        <f>"["&amp;CostBaseYr&amp;" $]"</f>
        <v>[2013 $]</v>
      </c>
      <c r="N133" s="70">
        <f ca="1">SUMIFS(OFFSET(Assumptions!$I$90,0,MATCH($A133,Configurations,0)-1,COUNT(Assumptions!$A$90:$A$183),1),Assumptions!$D$90:$D$183,$B133&amp;$C133)</f>
        <v>0</v>
      </c>
      <c r="O133" s="313"/>
      <c r="P133" s="323"/>
      <c r="Q133" s="313"/>
      <c r="R133" s="50">
        <f t="shared" ref="R133:AU133" ca="1" si="94">IF(OR(R$99&lt;InServiceYr,R$99&gt;(InServiceYr+analysis_period-1)),0,IF($P133=0,$N133,$P133)*(1+$D133)^(R$99-CostBaseYr))</f>
        <v>0</v>
      </c>
      <c r="S133" s="50">
        <f t="shared" ca="1" si="94"/>
        <v>0</v>
      </c>
      <c r="T133" s="50">
        <f t="shared" ca="1" si="94"/>
        <v>0</v>
      </c>
      <c r="U133" s="50">
        <f t="shared" ca="1" si="94"/>
        <v>0</v>
      </c>
      <c r="V133" s="50">
        <f t="shared" ca="1" si="94"/>
        <v>0</v>
      </c>
      <c r="W133" s="50">
        <f t="shared" ca="1" si="94"/>
        <v>0</v>
      </c>
      <c r="X133" s="50">
        <f t="shared" ca="1" si="94"/>
        <v>0</v>
      </c>
      <c r="Y133" s="50">
        <f t="shared" ca="1" si="94"/>
        <v>0</v>
      </c>
      <c r="Z133" s="50">
        <f t="shared" ca="1" si="94"/>
        <v>0</v>
      </c>
      <c r="AA133" s="50">
        <f t="shared" ca="1" si="94"/>
        <v>0</v>
      </c>
      <c r="AB133" s="50">
        <f t="shared" ca="1" si="94"/>
        <v>0</v>
      </c>
      <c r="AC133" s="50">
        <f t="shared" ca="1" si="94"/>
        <v>0</v>
      </c>
      <c r="AD133" s="50">
        <f t="shared" ca="1" si="94"/>
        <v>0</v>
      </c>
      <c r="AE133" s="50">
        <f t="shared" ca="1" si="94"/>
        <v>0</v>
      </c>
      <c r="AF133" s="50">
        <f t="shared" ca="1" si="94"/>
        <v>0</v>
      </c>
      <c r="AG133" s="50">
        <f t="shared" ca="1" si="94"/>
        <v>0</v>
      </c>
      <c r="AH133" s="50">
        <f t="shared" ca="1" si="94"/>
        <v>0</v>
      </c>
      <c r="AI133" s="50">
        <f t="shared" ca="1" si="94"/>
        <v>0</v>
      </c>
      <c r="AJ133" s="50">
        <f t="shared" ca="1" si="94"/>
        <v>0</v>
      </c>
      <c r="AK133" s="50">
        <f t="shared" ca="1" si="94"/>
        <v>0</v>
      </c>
      <c r="AL133" s="50">
        <f t="shared" si="94"/>
        <v>0</v>
      </c>
      <c r="AM133" s="50">
        <f t="shared" si="94"/>
        <v>0</v>
      </c>
      <c r="AN133" s="50">
        <f t="shared" si="94"/>
        <v>0</v>
      </c>
      <c r="AO133" s="50">
        <f t="shared" si="94"/>
        <v>0</v>
      </c>
      <c r="AP133" s="50">
        <f t="shared" si="94"/>
        <v>0</v>
      </c>
      <c r="AQ133" s="50">
        <f t="shared" si="94"/>
        <v>0</v>
      </c>
      <c r="AR133" s="50">
        <f t="shared" si="94"/>
        <v>0</v>
      </c>
      <c r="AS133" s="50">
        <f t="shared" si="94"/>
        <v>0</v>
      </c>
      <c r="AT133" s="50">
        <f t="shared" si="94"/>
        <v>0</v>
      </c>
      <c r="AU133" s="50">
        <f t="shared" si="94"/>
        <v>0</v>
      </c>
    </row>
    <row r="134" spans="1:47">
      <c r="D134" s="186"/>
      <c r="E134" s="325"/>
      <c r="F134" s="60"/>
      <c r="G134" s="39" t="s">
        <v>305</v>
      </c>
      <c r="H134" s="60"/>
      <c r="I134" s="39"/>
      <c r="J134" s="60"/>
      <c r="K134" s="39"/>
      <c r="L134" s="174"/>
      <c r="M134" s="60"/>
      <c r="N134" s="188"/>
      <c r="O134" s="314"/>
      <c r="P134" s="185"/>
      <c r="Q134" s="314"/>
      <c r="R134" s="185">
        <f ca="1">SUM(R123:R130)-SUM(R132:R133)</f>
        <v>0</v>
      </c>
      <c r="S134" s="185">
        <f t="shared" ref="S134:AU134" ca="1" si="95">SUM(S123:S130)-SUM(S132:S133)</f>
        <v>0</v>
      </c>
      <c r="T134" s="185">
        <f t="shared" ca="1" si="95"/>
        <v>0</v>
      </c>
      <c r="U134" s="185">
        <f t="shared" ca="1" si="95"/>
        <v>0</v>
      </c>
      <c r="V134" s="185">
        <f t="shared" ca="1" si="95"/>
        <v>0</v>
      </c>
      <c r="W134" s="185">
        <f t="shared" ca="1" si="95"/>
        <v>0</v>
      </c>
      <c r="X134" s="185">
        <f t="shared" ca="1" si="95"/>
        <v>0</v>
      </c>
      <c r="Y134" s="185">
        <f t="shared" ca="1" si="95"/>
        <v>0</v>
      </c>
      <c r="Z134" s="185">
        <f t="shared" ca="1" si="95"/>
        <v>0</v>
      </c>
      <c r="AA134" s="185">
        <f t="shared" ca="1" si="95"/>
        <v>0</v>
      </c>
      <c r="AB134" s="185">
        <f t="shared" ca="1" si="95"/>
        <v>0</v>
      </c>
      <c r="AC134" s="185">
        <f t="shared" ca="1" si="95"/>
        <v>0</v>
      </c>
      <c r="AD134" s="185">
        <f t="shared" ca="1" si="95"/>
        <v>0</v>
      </c>
      <c r="AE134" s="185">
        <f t="shared" ca="1" si="95"/>
        <v>0</v>
      </c>
      <c r="AF134" s="185">
        <f t="shared" ca="1" si="95"/>
        <v>0</v>
      </c>
      <c r="AG134" s="185">
        <f t="shared" ca="1" si="95"/>
        <v>0</v>
      </c>
      <c r="AH134" s="185">
        <f t="shared" ca="1" si="95"/>
        <v>0</v>
      </c>
      <c r="AI134" s="185">
        <f t="shared" ca="1" si="95"/>
        <v>0</v>
      </c>
      <c r="AJ134" s="185">
        <f t="shared" ca="1" si="95"/>
        <v>0</v>
      </c>
      <c r="AK134" s="185">
        <f t="shared" ca="1" si="95"/>
        <v>0</v>
      </c>
      <c r="AL134" s="185">
        <f t="shared" si="95"/>
        <v>0</v>
      </c>
      <c r="AM134" s="185">
        <f t="shared" si="95"/>
        <v>0</v>
      </c>
      <c r="AN134" s="185">
        <f t="shared" si="95"/>
        <v>0</v>
      </c>
      <c r="AO134" s="185">
        <f t="shared" si="95"/>
        <v>0</v>
      </c>
      <c r="AP134" s="185">
        <f t="shared" si="95"/>
        <v>0</v>
      </c>
      <c r="AQ134" s="185">
        <f t="shared" si="95"/>
        <v>0</v>
      </c>
      <c r="AR134" s="185">
        <f t="shared" si="95"/>
        <v>0</v>
      </c>
      <c r="AS134" s="185">
        <f t="shared" si="95"/>
        <v>0</v>
      </c>
      <c r="AT134" s="185">
        <f t="shared" si="95"/>
        <v>0</v>
      </c>
      <c r="AU134" s="185">
        <f t="shared" si="95"/>
        <v>0</v>
      </c>
    </row>
    <row r="135" spans="1:47">
      <c r="G135" s="28"/>
      <c r="H135" s="28"/>
      <c r="I135" s="28"/>
      <c r="J135" s="28"/>
      <c r="K135" s="28"/>
      <c r="L135" s="409"/>
      <c r="M135" s="46"/>
      <c r="N135" s="46"/>
      <c r="O135" s="315"/>
      <c r="P135" s="46"/>
      <c r="Q135" s="315"/>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row>
    <row r="136" spans="1:47" s="255" customFormat="1">
      <c r="E136" s="327"/>
      <c r="F136" s="28"/>
      <c r="G136" s="324" t="str">
        <f>C138&amp;" Capital Costs"</f>
        <v>Belt Filter Press Dewatering Capital Costs</v>
      </c>
      <c r="H136" s="324"/>
      <c r="I136" s="324"/>
      <c r="J136" s="324"/>
      <c r="K136" s="324"/>
      <c r="L136" s="405" t="s">
        <v>79</v>
      </c>
      <c r="M136" s="256"/>
      <c r="N136" s="325" t="s">
        <v>490</v>
      </c>
      <c r="O136" s="311"/>
      <c r="P136" s="325" t="s">
        <v>491</v>
      </c>
      <c r="Q136" s="310"/>
      <c r="R136" s="325">
        <f>R$8</f>
        <v>2014</v>
      </c>
      <c r="S136" s="325">
        <f t="shared" ref="S136:AU136" si="96">S$8</f>
        <v>2015</v>
      </c>
      <c r="T136" s="325">
        <f t="shared" si="96"/>
        <v>2016</v>
      </c>
      <c r="U136" s="325">
        <f t="shared" si="96"/>
        <v>2017</v>
      </c>
      <c r="V136" s="325">
        <f t="shared" si="96"/>
        <v>2018</v>
      </c>
      <c r="W136" s="325">
        <f t="shared" si="96"/>
        <v>2019</v>
      </c>
      <c r="X136" s="325">
        <f t="shared" si="96"/>
        <v>2020</v>
      </c>
      <c r="Y136" s="325">
        <f t="shared" si="96"/>
        <v>2021</v>
      </c>
      <c r="Z136" s="325">
        <f t="shared" si="96"/>
        <v>2022</v>
      </c>
      <c r="AA136" s="325">
        <f t="shared" si="96"/>
        <v>2023</v>
      </c>
      <c r="AB136" s="325">
        <f t="shared" si="96"/>
        <v>2024</v>
      </c>
      <c r="AC136" s="325">
        <f t="shared" si="96"/>
        <v>2025</v>
      </c>
      <c r="AD136" s="325">
        <f t="shared" si="96"/>
        <v>2026</v>
      </c>
      <c r="AE136" s="325">
        <f t="shared" si="96"/>
        <v>2027</v>
      </c>
      <c r="AF136" s="325">
        <f t="shared" si="96"/>
        <v>2028</v>
      </c>
      <c r="AG136" s="325">
        <f t="shared" si="96"/>
        <v>2029</v>
      </c>
      <c r="AH136" s="325">
        <f t="shared" si="96"/>
        <v>2030</v>
      </c>
      <c r="AI136" s="325">
        <f t="shared" si="96"/>
        <v>2031</v>
      </c>
      <c r="AJ136" s="325">
        <f t="shared" si="96"/>
        <v>2032</v>
      </c>
      <c r="AK136" s="325">
        <f t="shared" si="96"/>
        <v>2033</v>
      </c>
      <c r="AL136" s="325">
        <f t="shared" si="96"/>
        <v>2034</v>
      </c>
      <c r="AM136" s="325">
        <f t="shared" si="96"/>
        <v>2035</v>
      </c>
      <c r="AN136" s="325">
        <f t="shared" si="96"/>
        <v>2036</v>
      </c>
      <c r="AO136" s="325">
        <f t="shared" si="96"/>
        <v>2037</v>
      </c>
      <c r="AP136" s="325">
        <f t="shared" si="96"/>
        <v>2038</v>
      </c>
      <c r="AQ136" s="325">
        <f t="shared" si="96"/>
        <v>2039</v>
      </c>
      <c r="AR136" s="325">
        <f t="shared" si="96"/>
        <v>2040</v>
      </c>
      <c r="AS136" s="325">
        <f t="shared" si="96"/>
        <v>2041</v>
      </c>
      <c r="AT136" s="325">
        <f t="shared" si="96"/>
        <v>2042</v>
      </c>
      <c r="AU136" s="325">
        <f t="shared" si="96"/>
        <v>2043</v>
      </c>
    </row>
    <row r="137" spans="1:47">
      <c r="E137" s="325"/>
      <c r="G137" s="39"/>
      <c r="H137" s="39"/>
      <c r="I137" s="39"/>
      <c r="J137" s="39"/>
      <c r="K137" s="39"/>
    </row>
    <row r="138" spans="1:47">
      <c r="A138" s="38" t="str">
        <f>$J$4&amp;"-"</f>
        <v>2Y-</v>
      </c>
      <c r="B138" s="38" t="s">
        <v>306</v>
      </c>
      <c r="C138" s="38" t="s">
        <v>143</v>
      </c>
      <c r="D138" s="186">
        <f>CapExEsc</f>
        <v>0.03</v>
      </c>
      <c r="E138" s="325"/>
      <c r="G138" s="36" t="s">
        <v>8</v>
      </c>
      <c r="H138" s="39"/>
      <c r="I138" s="39"/>
      <c r="J138" s="70"/>
      <c r="K138" s="39"/>
      <c r="L138" s="43" t="str">
        <f>"["&amp;CostBaseYr&amp;" $]"</f>
        <v>[2013 $]</v>
      </c>
      <c r="N138" s="52">
        <f ca="1">SUMIFS(OFFSET(Assumptions!$I$65,0,MATCH($A138,Configurations,0)-1,COUNT(Assumptions!$A$65:$A$84),1),Assumptions!$E$65:$E$84,$C138)</f>
        <v>2782000</v>
      </c>
      <c r="O138" s="52"/>
      <c r="P138" s="322"/>
      <c r="Q138" s="52"/>
      <c r="R138" s="52">
        <f t="shared" ref="R138:AU138" ca="1" si="97">R139*IF($P138=0,$N138,$P138)*(1+$D138)^(R$8-CostBaseYr)</f>
        <v>2865460</v>
      </c>
      <c r="S138" s="52">
        <f t="shared" ca="1" si="97"/>
        <v>0</v>
      </c>
      <c r="T138" s="52">
        <f t="shared" ca="1" si="97"/>
        <v>0</v>
      </c>
      <c r="U138" s="52">
        <f t="shared" ca="1" si="97"/>
        <v>0</v>
      </c>
      <c r="V138" s="52">
        <f t="shared" ca="1" si="97"/>
        <v>0</v>
      </c>
      <c r="W138" s="52">
        <f t="shared" ca="1" si="97"/>
        <v>0</v>
      </c>
      <c r="X138" s="52">
        <f t="shared" ca="1" si="97"/>
        <v>0</v>
      </c>
      <c r="Y138" s="52">
        <f t="shared" ca="1" si="97"/>
        <v>0</v>
      </c>
      <c r="Z138" s="52">
        <f t="shared" ca="1" si="97"/>
        <v>0</v>
      </c>
      <c r="AA138" s="52">
        <f t="shared" ca="1" si="97"/>
        <v>0</v>
      </c>
      <c r="AB138" s="52">
        <f t="shared" ca="1" si="97"/>
        <v>0</v>
      </c>
      <c r="AC138" s="52">
        <f t="shared" ca="1" si="97"/>
        <v>0</v>
      </c>
      <c r="AD138" s="52">
        <f t="shared" ca="1" si="97"/>
        <v>0</v>
      </c>
      <c r="AE138" s="52">
        <f t="shared" ca="1" si="97"/>
        <v>0</v>
      </c>
      <c r="AF138" s="52">
        <f t="shared" ca="1" si="97"/>
        <v>0</v>
      </c>
      <c r="AG138" s="52">
        <f t="shared" ca="1" si="97"/>
        <v>0</v>
      </c>
      <c r="AH138" s="52">
        <f t="shared" ca="1" si="97"/>
        <v>0</v>
      </c>
      <c r="AI138" s="52">
        <f t="shared" ca="1" si="97"/>
        <v>0</v>
      </c>
      <c r="AJ138" s="52">
        <f t="shared" ca="1" si="97"/>
        <v>0</v>
      </c>
      <c r="AK138" s="52">
        <f t="shared" ca="1" si="97"/>
        <v>0</v>
      </c>
      <c r="AL138" s="52">
        <f t="shared" ca="1" si="97"/>
        <v>0</v>
      </c>
      <c r="AM138" s="52">
        <f t="shared" ca="1" si="97"/>
        <v>0</v>
      </c>
      <c r="AN138" s="52">
        <f t="shared" ca="1" si="97"/>
        <v>0</v>
      </c>
      <c r="AO138" s="52">
        <f t="shared" ca="1" si="97"/>
        <v>0</v>
      </c>
      <c r="AP138" s="52">
        <f t="shared" ca="1" si="97"/>
        <v>0</v>
      </c>
      <c r="AQ138" s="52">
        <f t="shared" ca="1" si="97"/>
        <v>0</v>
      </c>
      <c r="AR138" s="52">
        <f t="shared" ca="1" si="97"/>
        <v>0</v>
      </c>
      <c r="AS138" s="52">
        <f t="shared" ca="1" si="97"/>
        <v>0</v>
      </c>
      <c r="AT138" s="52">
        <f t="shared" ca="1" si="97"/>
        <v>0</v>
      </c>
      <c r="AU138" s="52">
        <f t="shared" ca="1" si="97"/>
        <v>0</v>
      </c>
    </row>
    <row r="139" spans="1:47">
      <c r="E139" s="325"/>
      <c r="G139" s="36" t="s">
        <v>10</v>
      </c>
      <c r="H139" s="39"/>
      <c r="I139" s="39"/>
      <c r="J139" s="39"/>
      <c r="K139" s="39"/>
      <c r="L139" s="43"/>
      <c r="R139" s="54">
        <f>Assumptions!M$60</f>
        <v>1</v>
      </c>
      <c r="S139" s="54">
        <f>Assumptions!N$60</f>
        <v>0</v>
      </c>
      <c r="T139" s="54">
        <f>Assumptions!O$60</f>
        <v>0</v>
      </c>
      <c r="U139" s="54">
        <f>Assumptions!P$60</f>
        <v>0</v>
      </c>
      <c r="V139" s="54">
        <f>Assumptions!Q$60</f>
        <v>0</v>
      </c>
      <c r="W139" s="54">
        <f>Assumptions!R$60</f>
        <v>0</v>
      </c>
      <c r="X139" s="54">
        <f>Assumptions!S$60</f>
        <v>0</v>
      </c>
      <c r="Y139" s="54">
        <f>Assumptions!T$60</f>
        <v>0</v>
      </c>
      <c r="Z139" s="54">
        <f>Assumptions!U$60</f>
        <v>0</v>
      </c>
      <c r="AA139" s="54">
        <f>Assumptions!V$60</f>
        <v>0</v>
      </c>
      <c r="AB139" s="54">
        <f>Assumptions!W$60</f>
        <v>0</v>
      </c>
      <c r="AC139" s="54">
        <f>Assumptions!X$60</f>
        <v>0</v>
      </c>
      <c r="AD139" s="54">
        <f>Assumptions!Y$60</f>
        <v>0</v>
      </c>
      <c r="AE139" s="54">
        <f>Assumptions!Z$60</f>
        <v>0</v>
      </c>
      <c r="AF139" s="54">
        <f>Assumptions!AA$60</f>
        <v>0</v>
      </c>
      <c r="AG139" s="54">
        <f>Assumptions!AB$60</f>
        <v>0</v>
      </c>
      <c r="AH139" s="54">
        <f>Assumptions!AC$60</f>
        <v>0</v>
      </c>
      <c r="AI139" s="54">
        <f>Assumptions!AD$60</f>
        <v>0</v>
      </c>
      <c r="AJ139" s="54">
        <f>Assumptions!AE$60</f>
        <v>0</v>
      </c>
      <c r="AK139" s="54">
        <f>Assumptions!AF$60</f>
        <v>0</v>
      </c>
      <c r="AL139" s="54">
        <f>Assumptions!AG$60</f>
        <v>0</v>
      </c>
      <c r="AM139" s="54">
        <f>Assumptions!AH$60</f>
        <v>0</v>
      </c>
      <c r="AN139" s="54">
        <f>Assumptions!AI$60</f>
        <v>0</v>
      </c>
      <c r="AO139" s="54">
        <f>Assumptions!AJ$60</f>
        <v>0</v>
      </c>
      <c r="AP139" s="54">
        <f>Assumptions!AK$60</f>
        <v>0</v>
      </c>
      <c r="AQ139" s="54">
        <f>Assumptions!AL$60</f>
        <v>0</v>
      </c>
      <c r="AR139" s="54">
        <f>Assumptions!AM$60</f>
        <v>0</v>
      </c>
      <c r="AS139" s="54">
        <f>Assumptions!AN$60</f>
        <v>0</v>
      </c>
      <c r="AT139" s="54">
        <f>Assumptions!AO$60</f>
        <v>0</v>
      </c>
      <c r="AU139" s="54">
        <f>Assumptions!AP$60</f>
        <v>0</v>
      </c>
    </row>
    <row r="140" spans="1:47">
      <c r="E140" s="326"/>
      <c r="G140" s="39"/>
      <c r="H140" s="39"/>
      <c r="I140" s="39"/>
      <c r="J140" s="39"/>
      <c r="K140" s="39"/>
    </row>
    <row r="141" spans="1:47">
      <c r="E141" s="327"/>
      <c r="F141" s="28"/>
      <c r="G141" s="324" t="str">
        <f>C138&amp;" O&amp;M"</f>
        <v>Belt Filter Press Dewatering O&amp;M</v>
      </c>
      <c r="H141" s="324"/>
      <c r="I141" s="324"/>
      <c r="J141" s="324"/>
      <c r="K141" s="324"/>
      <c r="L141" s="405" t="s">
        <v>79</v>
      </c>
      <c r="M141" s="256"/>
      <c r="N141" s="325" t="s">
        <v>490</v>
      </c>
      <c r="O141" s="311"/>
      <c r="P141" s="325" t="s">
        <v>491</v>
      </c>
      <c r="Q141" s="310"/>
      <c r="R141" s="325">
        <f>R$8</f>
        <v>2014</v>
      </c>
      <c r="S141" s="325">
        <f t="shared" ref="S141:AU141" si="98">S$8</f>
        <v>2015</v>
      </c>
      <c r="T141" s="325">
        <f t="shared" si="98"/>
        <v>2016</v>
      </c>
      <c r="U141" s="325">
        <f t="shared" si="98"/>
        <v>2017</v>
      </c>
      <c r="V141" s="325">
        <f t="shared" si="98"/>
        <v>2018</v>
      </c>
      <c r="W141" s="325">
        <f t="shared" si="98"/>
        <v>2019</v>
      </c>
      <c r="X141" s="325">
        <f t="shared" si="98"/>
        <v>2020</v>
      </c>
      <c r="Y141" s="325">
        <f t="shared" si="98"/>
        <v>2021</v>
      </c>
      <c r="Z141" s="325">
        <f t="shared" si="98"/>
        <v>2022</v>
      </c>
      <c r="AA141" s="325">
        <f t="shared" si="98"/>
        <v>2023</v>
      </c>
      <c r="AB141" s="325">
        <f t="shared" si="98"/>
        <v>2024</v>
      </c>
      <c r="AC141" s="325">
        <f t="shared" si="98"/>
        <v>2025</v>
      </c>
      <c r="AD141" s="325">
        <f t="shared" si="98"/>
        <v>2026</v>
      </c>
      <c r="AE141" s="325">
        <f t="shared" si="98"/>
        <v>2027</v>
      </c>
      <c r="AF141" s="325">
        <f t="shared" si="98"/>
        <v>2028</v>
      </c>
      <c r="AG141" s="325">
        <f t="shared" si="98"/>
        <v>2029</v>
      </c>
      <c r="AH141" s="325">
        <f t="shared" si="98"/>
        <v>2030</v>
      </c>
      <c r="AI141" s="325">
        <f t="shared" si="98"/>
        <v>2031</v>
      </c>
      <c r="AJ141" s="325">
        <f t="shared" si="98"/>
        <v>2032</v>
      </c>
      <c r="AK141" s="325">
        <f t="shared" si="98"/>
        <v>2033</v>
      </c>
      <c r="AL141" s="325">
        <f t="shared" si="98"/>
        <v>2034</v>
      </c>
      <c r="AM141" s="325">
        <f t="shared" si="98"/>
        <v>2035</v>
      </c>
      <c r="AN141" s="325">
        <f t="shared" si="98"/>
        <v>2036</v>
      </c>
      <c r="AO141" s="325">
        <f t="shared" si="98"/>
        <v>2037</v>
      </c>
      <c r="AP141" s="325">
        <f t="shared" si="98"/>
        <v>2038</v>
      </c>
      <c r="AQ141" s="325">
        <f t="shared" si="98"/>
        <v>2039</v>
      </c>
      <c r="AR141" s="325">
        <f t="shared" si="98"/>
        <v>2040</v>
      </c>
      <c r="AS141" s="325">
        <f t="shared" si="98"/>
        <v>2041</v>
      </c>
      <c r="AT141" s="325">
        <f t="shared" si="98"/>
        <v>2042</v>
      </c>
      <c r="AU141" s="325">
        <f t="shared" si="98"/>
        <v>2043</v>
      </c>
    </row>
    <row r="142" spans="1:47">
      <c r="E142" s="325"/>
      <c r="G142" s="39"/>
      <c r="H142" s="39"/>
      <c r="I142" s="39"/>
      <c r="J142" s="39"/>
      <c r="K142" s="39"/>
    </row>
    <row r="143" spans="1:47">
      <c r="E143" s="325"/>
      <c r="G143" s="39" t="s">
        <v>23</v>
      </c>
      <c r="H143" s="39"/>
      <c r="I143" s="39"/>
      <c r="J143" s="39"/>
      <c r="K143" s="39"/>
    </row>
    <row r="144" spans="1:47">
      <c r="A144" s="38" t="str">
        <f t="shared" ref="A144:A151" si="99">$J$4&amp;"-"</f>
        <v>2Y-</v>
      </c>
      <c r="B144" s="38" t="s">
        <v>262</v>
      </c>
      <c r="C144" s="38" t="str">
        <f>C138</f>
        <v>Belt Filter Press Dewatering</v>
      </c>
      <c r="D144" s="186">
        <f>LaborEsc</f>
        <v>0.02</v>
      </c>
      <c r="E144" s="325"/>
      <c r="G144" s="36" t="s">
        <v>125</v>
      </c>
      <c r="I144" s="39"/>
      <c r="K144" s="39"/>
      <c r="L144" s="43" t="s">
        <v>266</v>
      </c>
      <c r="N144" s="70">
        <f ca="1">SUMIFS(OFFSET(Assumptions!$I$90,0,MATCH($A144,Configurations,0)-1,COUNT(Assumptions!$A$90:$A$183),1),Assumptions!$D$90:$D$183,$B144&amp;$C144)</f>
        <v>5110</v>
      </c>
      <c r="O144" s="313"/>
      <c r="P144" s="323"/>
      <c r="Q144" s="313"/>
      <c r="R144" s="50">
        <f t="shared" ref="R144:AU144" ca="1" si="100">IF(OR(R$99&lt;InServiceYr,R$99&gt;(InServiceYr+analysis_period-1)),0,IF($P144=0,$N144,$P144)*LaborCost*(1+$D144)^(R$99-CostBaseYr))</f>
        <v>182427</v>
      </c>
      <c r="S144" s="50">
        <f t="shared" ca="1" si="100"/>
        <v>186075.54</v>
      </c>
      <c r="T144" s="50">
        <f t="shared" ca="1" si="100"/>
        <v>189797.0508</v>
      </c>
      <c r="U144" s="50">
        <f t="shared" ca="1" si="100"/>
        <v>193592.99181599999</v>
      </c>
      <c r="V144" s="50">
        <f t="shared" ca="1" si="100"/>
        <v>197464.85165232001</v>
      </c>
      <c r="W144" s="50">
        <f t="shared" ca="1" si="100"/>
        <v>201414.14868536641</v>
      </c>
      <c r="X144" s="50">
        <f t="shared" ca="1" si="100"/>
        <v>205442.43165907369</v>
      </c>
      <c r="Y144" s="50">
        <f t="shared" ca="1" si="100"/>
        <v>209551.28029225519</v>
      </c>
      <c r="Z144" s="50">
        <f t="shared" ca="1" si="100"/>
        <v>213742.30589810028</v>
      </c>
      <c r="AA144" s="50">
        <f t="shared" ca="1" si="100"/>
        <v>218017.15201606232</v>
      </c>
      <c r="AB144" s="50">
        <f t="shared" ca="1" si="100"/>
        <v>222377.49505638352</v>
      </c>
      <c r="AC144" s="50">
        <f t="shared" ca="1" si="100"/>
        <v>226825.04495751121</v>
      </c>
      <c r="AD144" s="50">
        <f t="shared" ca="1" si="100"/>
        <v>231361.54585666143</v>
      </c>
      <c r="AE144" s="50">
        <f t="shared" ca="1" si="100"/>
        <v>235988.77677379467</v>
      </c>
      <c r="AF144" s="50">
        <f t="shared" ca="1" si="100"/>
        <v>240708.55230927051</v>
      </c>
      <c r="AG144" s="50">
        <f t="shared" ca="1" si="100"/>
        <v>245522.72335545596</v>
      </c>
      <c r="AH144" s="50">
        <f t="shared" ca="1" si="100"/>
        <v>250433.17782256511</v>
      </c>
      <c r="AI144" s="50">
        <f t="shared" ca="1" si="100"/>
        <v>255441.84137901638</v>
      </c>
      <c r="AJ144" s="50">
        <f t="shared" ca="1" si="100"/>
        <v>260550.6782065967</v>
      </c>
      <c r="AK144" s="50">
        <f t="shared" ca="1" si="100"/>
        <v>265761.69177072868</v>
      </c>
      <c r="AL144" s="50">
        <f t="shared" si="100"/>
        <v>0</v>
      </c>
      <c r="AM144" s="50">
        <f t="shared" si="100"/>
        <v>0</v>
      </c>
      <c r="AN144" s="50">
        <f t="shared" si="100"/>
        <v>0</v>
      </c>
      <c r="AO144" s="50">
        <f t="shared" si="100"/>
        <v>0</v>
      </c>
      <c r="AP144" s="50">
        <f t="shared" si="100"/>
        <v>0</v>
      </c>
      <c r="AQ144" s="50">
        <f t="shared" si="100"/>
        <v>0</v>
      </c>
      <c r="AR144" s="50">
        <f t="shared" si="100"/>
        <v>0</v>
      </c>
      <c r="AS144" s="50">
        <f t="shared" si="100"/>
        <v>0</v>
      </c>
      <c r="AT144" s="50">
        <f t="shared" si="100"/>
        <v>0</v>
      </c>
      <c r="AU144" s="50">
        <f t="shared" si="100"/>
        <v>0</v>
      </c>
    </row>
    <row r="145" spans="1:47">
      <c r="A145" s="38" t="str">
        <f t="shared" si="99"/>
        <v>2Y-</v>
      </c>
      <c r="B145" s="38" t="s">
        <v>270</v>
      </c>
      <c r="C145" s="38" t="str">
        <f>C144</f>
        <v>Belt Filter Press Dewatering</v>
      </c>
      <c r="D145" s="186">
        <f>OMEsc</f>
        <v>0.02</v>
      </c>
      <c r="E145" s="325"/>
      <c r="G145" s="36" t="s">
        <v>126</v>
      </c>
      <c r="I145" s="39"/>
      <c r="K145" s="39"/>
      <c r="L145" s="43" t="str">
        <f>"["&amp;CostBaseYr&amp;" $]"</f>
        <v>[2013 $]</v>
      </c>
      <c r="N145" s="70">
        <f ca="1">SUMIFS(OFFSET(Assumptions!$I$90,0,MATCH($A145,Configurations,0)-1,COUNT(Assumptions!$A$90:$A$183),1),Assumptions!$D$90:$D$183,$B145&amp;$C145)</f>
        <v>37000</v>
      </c>
      <c r="O145" s="313"/>
      <c r="P145" s="323"/>
      <c r="Q145" s="313"/>
      <c r="R145" s="50">
        <f t="shared" ref="R145:AG147" ca="1" si="101">IF(OR(R$99&lt;InServiceYr,R$99&gt;(InServiceYr+analysis_period-1)),0,IF($P145=0,$N145,$P145)*(1+$D145)^(R$99-CostBaseYr))</f>
        <v>37740</v>
      </c>
      <c r="S145" s="50">
        <f t="shared" ca="1" si="101"/>
        <v>38494.800000000003</v>
      </c>
      <c r="T145" s="50">
        <f t="shared" ca="1" si="101"/>
        <v>39264.695999999996</v>
      </c>
      <c r="U145" s="50">
        <f t="shared" ca="1" si="101"/>
        <v>40049.98992</v>
      </c>
      <c r="V145" s="50">
        <f t="shared" ca="1" si="101"/>
        <v>40850.9897184</v>
      </c>
      <c r="W145" s="50">
        <f t="shared" ca="1" si="101"/>
        <v>41668.009512768003</v>
      </c>
      <c r="X145" s="50">
        <f t="shared" ca="1" si="101"/>
        <v>42501.369703023352</v>
      </c>
      <c r="Y145" s="50">
        <f t="shared" ca="1" si="101"/>
        <v>43351.397097083827</v>
      </c>
      <c r="Z145" s="50">
        <f t="shared" ca="1" si="101"/>
        <v>44218.425039025504</v>
      </c>
      <c r="AA145" s="50">
        <f t="shared" ca="1" si="101"/>
        <v>45102.793539806014</v>
      </c>
      <c r="AB145" s="50">
        <f t="shared" ca="1" si="101"/>
        <v>46004.849410602124</v>
      </c>
      <c r="AC145" s="50">
        <f t="shared" ca="1" si="101"/>
        <v>46924.946398814172</v>
      </c>
      <c r="AD145" s="50">
        <f t="shared" ca="1" si="101"/>
        <v>47863.445326790454</v>
      </c>
      <c r="AE145" s="50">
        <f t="shared" ca="1" si="101"/>
        <v>48820.714233326267</v>
      </c>
      <c r="AF145" s="50">
        <f t="shared" ca="1" si="101"/>
        <v>49797.12851799278</v>
      </c>
      <c r="AG145" s="50">
        <f t="shared" ca="1" si="101"/>
        <v>50793.071088352648</v>
      </c>
      <c r="AH145" s="50">
        <f t="shared" ref="S145:AU147" ca="1" si="102">IF(OR(AH$99&lt;InServiceYr,AH$99&gt;(InServiceYr+analysis_period-1)),0,IF($P145=0,$N145,$P145)*(1+$D145)^(AH$99-CostBaseYr))</f>
        <v>51808.932510119703</v>
      </c>
      <c r="AI145" s="50">
        <f t="shared" ca="1" si="102"/>
        <v>52845.111160322092</v>
      </c>
      <c r="AJ145" s="50">
        <f t="shared" ca="1" si="102"/>
        <v>53902.013383528531</v>
      </c>
      <c r="AK145" s="50">
        <f t="shared" ca="1" si="102"/>
        <v>54980.053651199109</v>
      </c>
      <c r="AL145" s="50">
        <f t="shared" si="102"/>
        <v>0</v>
      </c>
      <c r="AM145" s="50">
        <f t="shared" si="102"/>
        <v>0</v>
      </c>
      <c r="AN145" s="50">
        <f t="shared" si="102"/>
        <v>0</v>
      </c>
      <c r="AO145" s="50">
        <f t="shared" si="102"/>
        <v>0</v>
      </c>
      <c r="AP145" s="50">
        <f t="shared" si="102"/>
        <v>0</v>
      </c>
      <c r="AQ145" s="50">
        <f t="shared" si="102"/>
        <v>0</v>
      </c>
      <c r="AR145" s="50">
        <f t="shared" si="102"/>
        <v>0</v>
      </c>
      <c r="AS145" s="50">
        <f t="shared" si="102"/>
        <v>0</v>
      </c>
      <c r="AT145" s="50">
        <f t="shared" si="102"/>
        <v>0</v>
      </c>
      <c r="AU145" s="50">
        <f t="shared" si="102"/>
        <v>0</v>
      </c>
    </row>
    <row r="146" spans="1:47">
      <c r="A146" s="38" t="str">
        <f t="shared" si="99"/>
        <v>2Y-</v>
      </c>
      <c r="B146" s="38" t="s">
        <v>263</v>
      </c>
      <c r="C146" s="38" t="str">
        <f t="shared" ref="C146:C150" si="103">C145</f>
        <v>Belt Filter Press Dewatering</v>
      </c>
      <c r="D146" s="186">
        <f>OMEsc</f>
        <v>0.02</v>
      </c>
      <c r="E146" s="325"/>
      <c r="G146" s="36" t="s">
        <v>127</v>
      </c>
      <c r="I146" s="39"/>
      <c r="K146" s="39"/>
      <c r="L146" s="43" t="str">
        <f>"["&amp;CostBaseYr&amp;" $]"</f>
        <v>[2013 $]</v>
      </c>
      <c r="N146" s="70">
        <f ca="1">SUMIFS(OFFSET(Assumptions!$I$90,0,MATCH($A146,Configurations,0)-1,COUNT(Assumptions!$A$90:$A$183),1),Assumptions!$D$90:$D$183,$B146&amp;$C146)</f>
        <v>101000</v>
      </c>
      <c r="O146" s="313"/>
      <c r="P146" s="323"/>
      <c r="Q146" s="313"/>
      <c r="R146" s="50">
        <f t="shared" ca="1" si="101"/>
        <v>103020</v>
      </c>
      <c r="S146" s="50">
        <f t="shared" ca="1" si="102"/>
        <v>105080.4</v>
      </c>
      <c r="T146" s="50">
        <f t="shared" ca="1" si="102"/>
        <v>107182.00799999999</v>
      </c>
      <c r="U146" s="50">
        <f t="shared" ca="1" si="102"/>
        <v>109325.64816</v>
      </c>
      <c r="V146" s="50">
        <f t="shared" ca="1" si="102"/>
        <v>111512.1611232</v>
      </c>
      <c r="W146" s="50">
        <f t="shared" ca="1" si="102"/>
        <v>113742.40434566401</v>
      </c>
      <c r="X146" s="50">
        <f t="shared" ca="1" si="102"/>
        <v>116017.25243257727</v>
      </c>
      <c r="Y146" s="50">
        <f t="shared" ca="1" si="102"/>
        <v>118337.59748122882</v>
      </c>
      <c r="Z146" s="50">
        <f t="shared" ca="1" si="102"/>
        <v>120704.3494308534</v>
      </c>
      <c r="AA146" s="50">
        <f t="shared" ca="1" si="102"/>
        <v>123118.43641947047</v>
      </c>
      <c r="AB146" s="50">
        <f t="shared" ca="1" si="102"/>
        <v>125580.80514785985</v>
      </c>
      <c r="AC146" s="50">
        <f t="shared" ca="1" si="102"/>
        <v>128092.42125081707</v>
      </c>
      <c r="AD146" s="50">
        <f t="shared" ca="1" si="102"/>
        <v>130654.26967583341</v>
      </c>
      <c r="AE146" s="50">
        <f t="shared" ca="1" si="102"/>
        <v>133267.35506935007</v>
      </c>
      <c r="AF146" s="50">
        <f t="shared" ca="1" si="102"/>
        <v>135932.70217073706</v>
      </c>
      <c r="AG146" s="50">
        <f t="shared" ca="1" si="102"/>
        <v>138651.35621415181</v>
      </c>
      <c r="AH146" s="50">
        <f t="shared" ca="1" si="102"/>
        <v>141424.38333843485</v>
      </c>
      <c r="AI146" s="50">
        <f t="shared" ca="1" si="102"/>
        <v>144252.87100520355</v>
      </c>
      <c r="AJ146" s="50">
        <f t="shared" ca="1" si="102"/>
        <v>147137.92842530762</v>
      </c>
      <c r="AK146" s="50">
        <f t="shared" ca="1" si="102"/>
        <v>150080.68699381378</v>
      </c>
      <c r="AL146" s="50">
        <f t="shared" si="102"/>
        <v>0</v>
      </c>
      <c r="AM146" s="50">
        <f t="shared" si="102"/>
        <v>0</v>
      </c>
      <c r="AN146" s="50">
        <f t="shared" si="102"/>
        <v>0</v>
      </c>
      <c r="AO146" s="50">
        <f t="shared" si="102"/>
        <v>0</v>
      </c>
      <c r="AP146" s="50">
        <f t="shared" si="102"/>
        <v>0</v>
      </c>
      <c r="AQ146" s="50">
        <f t="shared" si="102"/>
        <v>0</v>
      </c>
      <c r="AR146" s="50">
        <f t="shared" si="102"/>
        <v>0</v>
      </c>
      <c r="AS146" s="50">
        <f t="shared" si="102"/>
        <v>0</v>
      </c>
      <c r="AT146" s="50">
        <f t="shared" si="102"/>
        <v>0</v>
      </c>
      <c r="AU146" s="50">
        <f t="shared" si="102"/>
        <v>0</v>
      </c>
    </row>
    <row r="147" spans="1:47">
      <c r="A147" s="38" t="str">
        <f t="shared" si="99"/>
        <v>2Y-</v>
      </c>
      <c r="B147" s="38" t="s">
        <v>277</v>
      </c>
      <c r="C147" s="38" t="str">
        <f t="shared" si="103"/>
        <v>Belt Filter Press Dewatering</v>
      </c>
      <c r="D147" s="186">
        <f>OMEsc</f>
        <v>0.02</v>
      </c>
      <c r="E147" s="325"/>
      <c r="G147" s="36" t="s">
        <v>276</v>
      </c>
      <c r="I147" s="39"/>
      <c r="K147" s="39"/>
      <c r="L147" s="43" t="str">
        <f>"["&amp;CostBaseYr&amp;" $]"</f>
        <v>[2013 $]</v>
      </c>
      <c r="N147" s="70">
        <f ca="1">SUMIFS(OFFSET(Assumptions!$I$90,0,MATCH($A147,Configurations,0)-1,COUNT(Assumptions!$A$90:$A$183),1),Assumptions!$D$90:$D$183,$B147&amp;$C147)</f>
        <v>0</v>
      </c>
      <c r="O147" s="313"/>
      <c r="P147" s="323"/>
      <c r="Q147" s="313"/>
      <c r="R147" s="50">
        <f t="shared" ca="1" si="101"/>
        <v>0</v>
      </c>
      <c r="S147" s="50">
        <f t="shared" ca="1" si="102"/>
        <v>0</v>
      </c>
      <c r="T147" s="50">
        <f t="shared" ca="1" si="102"/>
        <v>0</v>
      </c>
      <c r="U147" s="50">
        <f t="shared" ca="1" si="102"/>
        <v>0</v>
      </c>
      <c r="V147" s="50">
        <f t="shared" ca="1" si="102"/>
        <v>0</v>
      </c>
      <c r="W147" s="50">
        <f t="shared" ca="1" si="102"/>
        <v>0</v>
      </c>
      <c r="X147" s="50">
        <f t="shared" ca="1" si="102"/>
        <v>0</v>
      </c>
      <c r="Y147" s="50">
        <f t="shared" ca="1" si="102"/>
        <v>0</v>
      </c>
      <c r="Z147" s="50">
        <f t="shared" ca="1" si="102"/>
        <v>0</v>
      </c>
      <c r="AA147" s="50">
        <f t="shared" ca="1" si="102"/>
        <v>0</v>
      </c>
      <c r="AB147" s="50">
        <f t="shared" ca="1" si="102"/>
        <v>0</v>
      </c>
      <c r="AC147" s="50">
        <f t="shared" ca="1" si="102"/>
        <v>0</v>
      </c>
      <c r="AD147" s="50">
        <f t="shared" ca="1" si="102"/>
        <v>0</v>
      </c>
      <c r="AE147" s="50">
        <f t="shared" ca="1" si="102"/>
        <v>0</v>
      </c>
      <c r="AF147" s="50">
        <f t="shared" ca="1" si="102"/>
        <v>0</v>
      </c>
      <c r="AG147" s="50">
        <f t="shared" ca="1" si="102"/>
        <v>0</v>
      </c>
      <c r="AH147" s="50">
        <f t="shared" ca="1" si="102"/>
        <v>0</v>
      </c>
      <c r="AI147" s="50">
        <f t="shared" ca="1" si="102"/>
        <v>0</v>
      </c>
      <c r="AJ147" s="50">
        <f t="shared" ca="1" si="102"/>
        <v>0</v>
      </c>
      <c r="AK147" s="50">
        <f t="shared" ca="1" si="102"/>
        <v>0</v>
      </c>
      <c r="AL147" s="50">
        <f t="shared" si="102"/>
        <v>0</v>
      </c>
      <c r="AM147" s="50">
        <f t="shared" si="102"/>
        <v>0</v>
      </c>
      <c r="AN147" s="50">
        <f t="shared" si="102"/>
        <v>0</v>
      </c>
      <c r="AO147" s="50">
        <f t="shared" si="102"/>
        <v>0</v>
      </c>
      <c r="AP147" s="50">
        <f t="shared" si="102"/>
        <v>0</v>
      </c>
      <c r="AQ147" s="50">
        <f t="shared" si="102"/>
        <v>0</v>
      </c>
      <c r="AR147" s="50">
        <f t="shared" si="102"/>
        <v>0</v>
      </c>
      <c r="AS147" s="50">
        <f t="shared" si="102"/>
        <v>0</v>
      </c>
      <c r="AT147" s="50">
        <f t="shared" si="102"/>
        <v>0</v>
      </c>
      <c r="AU147" s="50">
        <f t="shared" si="102"/>
        <v>0</v>
      </c>
    </row>
    <row r="148" spans="1:47">
      <c r="A148" s="38" t="str">
        <f t="shared" si="99"/>
        <v>2Y-</v>
      </c>
      <c r="B148" s="38" t="s">
        <v>274</v>
      </c>
      <c r="C148" s="38" t="str">
        <f t="shared" si="103"/>
        <v>Belt Filter Press Dewatering</v>
      </c>
      <c r="D148" s="186"/>
      <c r="E148" s="325"/>
      <c r="G148" s="36" t="s">
        <v>16</v>
      </c>
      <c r="I148" s="39"/>
      <c r="K148" s="39"/>
      <c r="L148" s="43" t="s">
        <v>275</v>
      </c>
      <c r="N148" s="70">
        <f ca="1">SUMIFS(OFFSET(Assumptions!$I$90,0,MATCH($A148,Configurations,0)-1,COUNT(Assumptions!$A$90:$A$183),1),Assumptions!$D$90:$D$183,$B148&amp;$C148)</f>
        <v>0</v>
      </c>
      <c r="O148" s="313"/>
      <c r="P148" s="323"/>
      <c r="Q148" s="313"/>
      <c r="R148" s="50">
        <f t="shared" ref="R148:AU148" ca="1" si="104">IF(OR(R$99&lt;InServiceYr,R$99&gt;(InServiceYr+analysis_period-1)),0,IF($P148=0,$N148,$P148)*R$505)</f>
        <v>0</v>
      </c>
      <c r="S148" s="50">
        <f t="shared" ca="1" si="104"/>
        <v>0</v>
      </c>
      <c r="T148" s="50">
        <f t="shared" ca="1" si="104"/>
        <v>0</v>
      </c>
      <c r="U148" s="50">
        <f t="shared" ca="1" si="104"/>
        <v>0</v>
      </c>
      <c r="V148" s="50">
        <f t="shared" ca="1" si="104"/>
        <v>0</v>
      </c>
      <c r="W148" s="50">
        <f t="shared" ca="1" si="104"/>
        <v>0</v>
      </c>
      <c r="X148" s="50">
        <f t="shared" ca="1" si="104"/>
        <v>0</v>
      </c>
      <c r="Y148" s="50">
        <f t="shared" ca="1" si="104"/>
        <v>0</v>
      </c>
      <c r="Z148" s="50">
        <f t="shared" ca="1" si="104"/>
        <v>0</v>
      </c>
      <c r="AA148" s="50">
        <f t="shared" ca="1" si="104"/>
        <v>0</v>
      </c>
      <c r="AB148" s="50">
        <f t="shared" ca="1" si="104"/>
        <v>0</v>
      </c>
      <c r="AC148" s="50">
        <f t="shared" ca="1" si="104"/>
        <v>0</v>
      </c>
      <c r="AD148" s="50">
        <f t="shared" ca="1" si="104"/>
        <v>0</v>
      </c>
      <c r="AE148" s="50">
        <f t="shared" ca="1" si="104"/>
        <v>0</v>
      </c>
      <c r="AF148" s="50">
        <f t="shared" ca="1" si="104"/>
        <v>0</v>
      </c>
      <c r="AG148" s="50">
        <f t="shared" ca="1" si="104"/>
        <v>0</v>
      </c>
      <c r="AH148" s="50">
        <f t="shared" ca="1" si="104"/>
        <v>0</v>
      </c>
      <c r="AI148" s="50">
        <f t="shared" ca="1" si="104"/>
        <v>0</v>
      </c>
      <c r="AJ148" s="50">
        <f t="shared" ca="1" si="104"/>
        <v>0</v>
      </c>
      <c r="AK148" s="50">
        <f t="shared" ca="1" si="104"/>
        <v>0</v>
      </c>
      <c r="AL148" s="50">
        <f t="shared" si="104"/>
        <v>0</v>
      </c>
      <c r="AM148" s="50">
        <f t="shared" si="104"/>
        <v>0</v>
      </c>
      <c r="AN148" s="50">
        <f t="shared" si="104"/>
        <v>0</v>
      </c>
      <c r="AO148" s="50">
        <f t="shared" si="104"/>
        <v>0</v>
      </c>
      <c r="AP148" s="50">
        <f t="shared" si="104"/>
        <v>0</v>
      </c>
      <c r="AQ148" s="50">
        <f t="shared" si="104"/>
        <v>0</v>
      </c>
      <c r="AR148" s="50">
        <f t="shared" si="104"/>
        <v>0</v>
      </c>
      <c r="AS148" s="50">
        <f t="shared" si="104"/>
        <v>0</v>
      </c>
      <c r="AT148" s="50">
        <f t="shared" si="104"/>
        <v>0</v>
      </c>
      <c r="AU148" s="50">
        <f t="shared" si="104"/>
        <v>0</v>
      </c>
    </row>
    <row r="149" spans="1:47">
      <c r="A149" s="38" t="str">
        <f t="shared" si="99"/>
        <v>2Y-</v>
      </c>
      <c r="B149" s="38" t="s">
        <v>257</v>
      </c>
      <c r="C149" s="38" t="str">
        <f t="shared" si="103"/>
        <v>Belt Filter Press Dewatering</v>
      </c>
      <c r="D149" s="186"/>
      <c r="E149" s="325"/>
      <c r="G149" s="36" t="s">
        <v>284</v>
      </c>
      <c r="I149" s="39"/>
      <c r="K149" s="39"/>
      <c r="L149" s="43" t="s">
        <v>293</v>
      </c>
      <c r="N149" s="70">
        <f ca="1">SUMIFS(OFFSET(Assumptions!$I$90,0,MATCH($A149,Configurations,0)-1,COUNT(Assumptions!$A$90:$A$183),1),Assumptions!$D$90:$D$183,$B149&amp;$C149)</f>
        <v>32490</v>
      </c>
      <c r="O149" s="313"/>
      <c r="P149" s="323"/>
      <c r="Q149" s="313"/>
      <c r="R149" s="50">
        <f t="shared" ref="R149:AU149" ca="1" si="105">IF(OR(R$99&lt;InServiceYr,R$99&gt;(InServiceYr+analysis_period-1)),0,IF($P149=0,$N149,$P149)*R$501)</f>
        <v>2098.2547564795068</v>
      </c>
      <c r="S149" s="50">
        <f t="shared" ca="1" si="105"/>
        <v>2111.3342931383763</v>
      </c>
      <c r="T149" s="50">
        <f t="shared" ca="1" si="105"/>
        <v>2202.3537909970146</v>
      </c>
      <c r="U149" s="50">
        <f t="shared" ca="1" si="105"/>
        <v>2268.4188936706396</v>
      </c>
      <c r="V149" s="50">
        <f t="shared" ca="1" si="105"/>
        <v>2323.1583602716419</v>
      </c>
      <c r="W149" s="50">
        <f t="shared" ca="1" si="105"/>
        <v>2352.8791821872192</v>
      </c>
      <c r="X149" s="50">
        <f t="shared" ca="1" si="105"/>
        <v>2391.166345682725</v>
      </c>
      <c r="Y149" s="50">
        <f t="shared" ca="1" si="105"/>
        <v>2450.0798143104926</v>
      </c>
      <c r="Z149" s="50">
        <f t="shared" ca="1" si="105"/>
        <v>2508.7363957116122</v>
      </c>
      <c r="AA149" s="50">
        <f t="shared" ca="1" si="105"/>
        <v>2571.4609674638173</v>
      </c>
      <c r="AB149" s="50">
        <f t="shared" ca="1" si="105"/>
        <v>2627.1583054959615</v>
      </c>
      <c r="AC149" s="50">
        <f t="shared" ca="1" si="105"/>
        <v>2677.7478082453536</v>
      </c>
      <c r="AD149" s="50">
        <f t="shared" ca="1" si="105"/>
        <v>2739.6032393419855</v>
      </c>
      <c r="AE149" s="50">
        <f t="shared" ca="1" si="105"/>
        <v>2802.0433408923659</v>
      </c>
      <c r="AF149" s="50">
        <f t="shared" ca="1" si="105"/>
        <v>2868.6664172445689</v>
      </c>
      <c r="AG149" s="50">
        <f t="shared" ca="1" si="105"/>
        <v>2943.2999662231368</v>
      </c>
      <c r="AH149" s="50">
        <f t="shared" ca="1" si="105"/>
        <v>3015.4327695606694</v>
      </c>
      <c r="AI149" s="50">
        <f t="shared" ca="1" si="105"/>
        <v>3093.657865612267</v>
      </c>
      <c r="AJ149" s="50">
        <f t="shared" ca="1" si="105"/>
        <v>3176.4704867682817</v>
      </c>
      <c r="AK149" s="50">
        <f t="shared" ca="1" si="105"/>
        <v>3262.880858397365</v>
      </c>
      <c r="AL149" s="50">
        <f t="shared" si="105"/>
        <v>0</v>
      </c>
      <c r="AM149" s="50">
        <f t="shared" si="105"/>
        <v>0</v>
      </c>
      <c r="AN149" s="50">
        <f t="shared" si="105"/>
        <v>0</v>
      </c>
      <c r="AO149" s="50">
        <f t="shared" si="105"/>
        <v>0</v>
      </c>
      <c r="AP149" s="50">
        <f t="shared" si="105"/>
        <v>0</v>
      </c>
      <c r="AQ149" s="50">
        <f t="shared" si="105"/>
        <v>0</v>
      </c>
      <c r="AR149" s="50">
        <f t="shared" si="105"/>
        <v>0</v>
      </c>
      <c r="AS149" s="50">
        <f t="shared" si="105"/>
        <v>0</v>
      </c>
      <c r="AT149" s="50">
        <f t="shared" si="105"/>
        <v>0</v>
      </c>
      <c r="AU149" s="50">
        <f t="shared" si="105"/>
        <v>0</v>
      </c>
    </row>
    <row r="150" spans="1:47">
      <c r="A150" s="38" t="str">
        <f t="shared" si="99"/>
        <v>2Y-</v>
      </c>
      <c r="B150" s="38" t="s">
        <v>864</v>
      </c>
      <c r="C150" s="38" t="str">
        <f t="shared" si="103"/>
        <v>Belt Filter Press Dewatering</v>
      </c>
      <c r="D150" s="186">
        <f>GHGEsc</f>
        <v>0.02</v>
      </c>
      <c r="E150" s="325"/>
      <c r="G150" s="36" t="s">
        <v>865</v>
      </c>
      <c r="I150" s="39"/>
      <c r="K150" s="39"/>
      <c r="L150" s="43" t="s">
        <v>866</v>
      </c>
      <c r="N150" s="70">
        <f ca="1">SUMIFS(OFFSET(Assumptions!$I$90,0,MATCH($A150,Configurations,0)-1,COUNT(Assumptions!$A$90:$A$183),1),Assumptions!$D$90:$D$183,$B150&amp;$C150)</f>
        <v>0</v>
      </c>
      <c r="O150" s="313"/>
      <c r="P150" s="323"/>
      <c r="Q150" s="313"/>
      <c r="R150" s="50">
        <f t="shared" ref="R150:AU150" ca="1" si="106">IF(OR(R$99&lt;InServiceYr,R$99&gt;(InServiceYr+analysis_period-1)),0,IF($P150=0,$N150,$P150)*R$513)</f>
        <v>0</v>
      </c>
      <c r="S150" s="50">
        <f t="shared" ca="1" si="106"/>
        <v>0</v>
      </c>
      <c r="T150" s="50">
        <f t="shared" ca="1" si="106"/>
        <v>0</v>
      </c>
      <c r="U150" s="50">
        <f t="shared" ca="1" si="106"/>
        <v>0</v>
      </c>
      <c r="V150" s="50">
        <f t="shared" ca="1" si="106"/>
        <v>0</v>
      </c>
      <c r="W150" s="50">
        <f t="shared" ca="1" si="106"/>
        <v>0</v>
      </c>
      <c r="X150" s="50">
        <f t="shared" ca="1" si="106"/>
        <v>0</v>
      </c>
      <c r="Y150" s="50">
        <f t="shared" ca="1" si="106"/>
        <v>0</v>
      </c>
      <c r="Z150" s="50">
        <f t="shared" ca="1" si="106"/>
        <v>0</v>
      </c>
      <c r="AA150" s="50">
        <f t="shared" ca="1" si="106"/>
        <v>0</v>
      </c>
      <c r="AB150" s="50">
        <f t="shared" ca="1" si="106"/>
        <v>0</v>
      </c>
      <c r="AC150" s="50">
        <f t="shared" ca="1" si="106"/>
        <v>0</v>
      </c>
      <c r="AD150" s="50">
        <f t="shared" ca="1" si="106"/>
        <v>0</v>
      </c>
      <c r="AE150" s="50">
        <f t="shared" ca="1" si="106"/>
        <v>0</v>
      </c>
      <c r="AF150" s="50">
        <f t="shared" ca="1" si="106"/>
        <v>0</v>
      </c>
      <c r="AG150" s="50">
        <f t="shared" ca="1" si="106"/>
        <v>0</v>
      </c>
      <c r="AH150" s="50">
        <f t="shared" ca="1" si="106"/>
        <v>0</v>
      </c>
      <c r="AI150" s="50">
        <f t="shared" ca="1" si="106"/>
        <v>0</v>
      </c>
      <c r="AJ150" s="50">
        <f t="shared" ca="1" si="106"/>
        <v>0</v>
      </c>
      <c r="AK150" s="50">
        <f t="shared" ca="1" si="106"/>
        <v>0</v>
      </c>
      <c r="AL150" s="50">
        <f t="shared" si="106"/>
        <v>0</v>
      </c>
      <c r="AM150" s="50">
        <f t="shared" si="106"/>
        <v>0</v>
      </c>
      <c r="AN150" s="50">
        <f t="shared" si="106"/>
        <v>0</v>
      </c>
      <c r="AO150" s="50">
        <f t="shared" si="106"/>
        <v>0</v>
      </c>
      <c r="AP150" s="50">
        <f t="shared" si="106"/>
        <v>0</v>
      </c>
      <c r="AQ150" s="50">
        <f t="shared" si="106"/>
        <v>0</v>
      </c>
      <c r="AR150" s="50">
        <f t="shared" si="106"/>
        <v>0</v>
      </c>
      <c r="AS150" s="50">
        <f t="shared" si="106"/>
        <v>0</v>
      </c>
      <c r="AT150" s="50">
        <f t="shared" si="106"/>
        <v>0</v>
      </c>
      <c r="AU150" s="50">
        <f t="shared" si="106"/>
        <v>0</v>
      </c>
    </row>
    <row r="151" spans="1:47">
      <c r="A151" s="38" t="str">
        <f t="shared" si="99"/>
        <v>2Y-</v>
      </c>
      <c r="B151" s="38" t="s">
        <v>273</v>
      </c>
      <c r="C151" s="38" t="str">
        <f>C149</f>
        <v>Belt Filter Press Dewatering</v>
      </c>
      <c r="D151" s="186">
        <f>LaborEsc</f>
        <v>0.02</v>
      </c>
      <c r="E151" s="325"/>
      <c r="G151" s="36" t="s">
        <v>291</v>
      </c>
      <c r="I151" s="39"/>
      <c r="K151" s="39"/>
      <c r="L151" s="43" t="str">
        <f>"["&amp;CostBaseYr&amp;" $]"</f>
        <v>[2013 $]</v>
      </c>
      <c r="N151" s="70">
        <f ca="1">SUMIFS(OFFSET(Assumptions!$I$90,0,MATCH($A151,Configurations,0)-1,COUNT(Assumptions!$A$90:$A$183),1),Assumptions!$D$90:$D$183,$B151&amp;$C151)</f>
        <v>0</v>
      </c>
      <c r="O151" s="313"/>
      <c r="P151" s="323"/>
      <c r="Q151" s="313"/>
      <c r="R151" s="50">
        <f t="shared" ref="R151:AU151" ca="1" si="107">IF(OR(R$99&lt;InServiceYr,R$99&gt;(InServiceYr+analysis_period-1)),0,IF($P151=0,$N151,$P151)*(1+$D151)^(R$99-CostBaseYr))*R$509</f>
        <v>0</v>
      </c>
      <c r="S151" s="50">
        <f t="shared" ca="1" si="107"/>
        <v>0</v>
      </c>
      <c r="T151" s="50">
        <f t="shared" ca="1" si="107"/>
        <v>0</v>
      </c>
      <c r="U151" s="50">
        <f t="shared" ca="1" si="107"/>
        <v>0</v>
      </c>
      <c r="V151" s="50">
        <f t="shared" ca="1" si="107"/>
        <v>0</v>
      </c>
      <c r="W151" s="50">
        <f t="shared" ca="1" si="107"/>
        <v>0</v>
      </c>
      <c r="X151" s="50">
        <f t="shared" ca="1" si="107"/>
        <v>0</v>
      </c>
      <c r="Y151" s="50">
        <f t="shared" ca="1" si="107"/>
        <v>0</v>
      </c>
      <c r="Z151" s="50">
        <f t="shared" ca="1" si="107"/>
        <v>0</v>
      </c>
      <c r="AA151" s="50">
        <f t="shared" ca="1" si="107"/>
        <v>0</v>
      </c>
      <c r="AB151" s="50">
        <f t="shared" ca="1" si="107"/>
        <v>0</v>
      </c>
      <c r="AC151" s="50">
        <f t="shared" ca="1" si="107"/>
        <v>0</v>
      </c>
      <c r="AD151" s="50">
        <f t="shared" ca="1" si="107"/>
        <v>0</v>
      </c>
      <c r="AE151" s="50">
        <f t="shared" ca="1" si="107"/>
        <v>0</v>
      </c>
      <c r="AF151" s="50">
        <f t="shared" ca="1" si="107"/>
        <v>0</v>
      </c>
      <c r="AG151" s="50">
        <f t="shared" ca="1" si="107"/>
        <v>0</v>
      </c>
      <c r="AH151" s="50">
        <f t="shared" ca="1" si="107"/>
        <v>0</v>
      </c>
      <c r="AI151" s="50">
        <f t="shared" ca="1" si="107"/>
        <v>0</v>
      </c>
      <c r="AJ151" s="50">
        <f t="shared" ca="1" si="107"/>
        <v>0</v>
      </c>
      <c r="AK151" s="50">
        <f t="shared" ca="1" si="107"/>
        <v>0</v>
      </c>
      <c r="AL151" s="50">
        <f t="shared" si="107"/>
        <v>0</v>
      </c>
      <c r="AM151" s="50">
        <f t="shared" si="107"/>
        <v>0</v>
      </c>
      <c r="AN151" s="50">
        <f t="shared" si="107"/>
        <v>0</v>
      </c>
      <c r="AO151" s="50">
        <f t="shared" si="107"/>
        <v>0</v>
      </c>
      <c r="AP151" s="50">
        <f t="shared" si="107"/>
        <v>0</v>
      </c>
      <c r="AQ151" s="50">
        <f t="shared" si="107"/>
        <v>0</v>
      </c>
      <c r="AR151" s="50">
        <f t="shared" si="107"/>
        <v>0</v>
      </c>
      <c r="AS151" s="50">
        <f t="shared" si="107"/>
        <v>0</v>
      </c>
      <c r="AT151" s="50">
        <f t="shared" si="107"/>
        <v>0</v>
      </c>
      <c r="AU151" s="50">
        <f t="shared" si="107"/>
        <v>0</v>
      </c>
    </row>
    <row r="152" spans="1:47">
      <c r="D152" s="186"/>
      <c r="E152" s="325"/>
      <c r="G152" s="39" t="s">
        <v>304</v>
      </c>
      <c r="I152" s="39"/>
      <c r="K152" s="39"/>
      <c r="L152" s="43"/>
      <c r="N152" s="70"/>
      <c r="O152" s="313"/>
      <c r="P152" s="70"/>
      <c r="Q152" s="313"/>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row>
    <row r="153" spans="1:47">
      <c r="A153" s="38" t="str">
        <f>$J$4&amp;"-"</f>
        <v>2Y-</v>
      </c>
      <c r="B153" s="38" t="s">
        <v>265</v>
      </c>
      <c r="C153" s="38" t="str">
        <f>C144</f>
        <v>Belt Filter Press Dewatering</v>
      </c>
      <c r="D153" s="186"/>
      <c r="E153" s="325"/>
      <c r="G153" s="36" t="s">
        <v>108</v>
      </c>
      <c r="I153" s="39"/>
      <c r="K153" s="39"/>
      <c r="L153" s="43" t="s">
        <v>293</v>
      </c>
      <c r="N153" s="70">
        <f ca="1">SUMIFS(OFFSET(Assumptions!$I$90,0,MATCH($A153,Configurations,0)-1,COUNT(Assumptions!$A$90:$A$183),1),Assumptions!$D$90:$D$183,$B153&amp;$C153)</f>
        <v>0</v>
      </c>
      <c r="O153" s="313"/>
      <c r="P153" s="323"/>
      <c r="Q153" s="313"/>
      <c r="R153" s="50">
        <f t="shared" ref="R153:AU153" ca="1" si="108">IF(OR(R$99&lt;InServiceYr,R$99&gt;(InServiceYr+analysis_period-1)),0,IF($P153=0,$N153,$P153)*R$501)</f>
        <v>0</v>
      </c>
      <c r="S153" s="50">
        <f t="shared" ca="1" si="108"/>
        <v>0</v>
      </c>
      <c r="T153" s="50">
        <f t="shared" ca="1" si="108"/>
        <v>0</v>
      </c>
      <c r="U153" s="50">
        <f t="shared" ca="1" si="108"/>
        <v>0</v>
      </c>
      <c r="V153" s="50">
        <f t="shared" ca="1" si="108"/>
        <v>0</v>
      </c>
      <c r="W153" s="50">
        <f t="shared" ca="1" si="108"/>
        <v>0</v>
      </c>
      <c r="X153" s="50">
        <f t="shared" ca="1" si="108"/>
        <v>0</v>
      </c>
      <c r="Y153" s="50">
        <f t="shared" ca="1" si="108"/>
        <v>0</v>
      </c>
      <c r="Z153" s="50">
        <f t="shared" ca="1" si="108"/>
        <v>0</v>
      </c>
      <c r="AA153" s="50">
        <f t="shared" ca="1" si="108"/>
        <v>0</v>
      </c>
      <c r="AB153" s="50">
        <f t="shared" ca="1" si="108"/>
        <v>0</v>
      </c>
      <c r="AC153" s="50">
        <f t="shared" ca="1" si="108"/>
        <v>0</v>
      </c>
      <c r="AD153" s="50">
        <f t="shared" ca="1" si="108"/>
        <v>0</v>
      </c>
      <c r="AE153" s="50">
        <f t="shared" ca="1" si="108"/>
        <v>0</v>
      </c>
      <c r="AF153" s="50">
        <f t="shared" ca="1" si="108"/>
        <v>0</v>
      </c>
      <c r="AG153" s="50">
        <f t="shared" ca="1" si="108"/>
        <v>0</v>
      </c>
      <c r="AH153" s="50">
        <f t="shared" ca="1" si="108"/>
        <v>0</v>
      </c>
      <c r="AI153" s="50">
        <f t="shared" ca="1" si="108"/>
        <v>0</v>
      </c>
      <c r="AJ153" s="50">
        <f t="shared" ca="1" si="108"/>
        <v>0</v>
      </c>
      <c r="AK153" s="50">
        <f t="shared" ca="1" si="108"/>
        <v>0</v>
      </c>
      <c r="AL153" s="50">
        <f t="shared" si="108"/>
        <v>0</v>
      </c>
      <c r="AM153" s="50">
        <f t="shared" si="108"/>
        <v>0</v>
      </c>
      <c r="AN153" s="50">
        <f t="shared" si="108"/>
        <v>0</v>
      </c>
      <c r="AO153" s="50">
        <f t="shared" si="108"/>
        <v>0</v>
      </c>
      <c r="AP153" s="50">
        <f t="shared" si="108"/>
        <v>0</v>
      </c>
      <c r="AQ153" s="50">
        <f t="shared" si="108"/>
        <v>0</v>
      </c>
      <c r="AR153" s="50">
        <f t="shared" si="108"/>
        <v>0</v>
      </c>
      <c r="AS153" s="50">
        <f t="shared" si="108"/>
        <v>0</v>
      </c>
      <c r="AT153" s="50">
        <f t="shared" si="108"/>
        <v>0</v>
      </c>
      <c r="AU153" s="50">
        <f t="shared" si="108"/>
        <v>0</v>
      </c>
    </row>
    <row r="154" spans="1:47">
      <c r="A154" s="38" t="str">
        <f>$J$4&amp;"-"</f>
        <v>2Y-</v>
      </c>
      <c r="B154" s="38" t="s">
        <v>289</v>
      </c>
      <c r="C154" s="38" t="str">
        <f>C144</f>
        <v>Belt Filter Press Dewatering</v>
      </c>
      <c r="D154" s="186">
        <f>LaborEsc</f>
        <v>0.02</v>
      </c>
      <c r="E154" s="325"/>
      <c r="G154" s="36" t="s">
        <v>292</v>
      </c>
      <c r="I154" s="39"/>
      <c r="K154" s="39"/>
      <c r="L154" s="43" t="str">
        <f>"["&amp;CostBaseYr&amp;" $]"</f>
        <v>[2013 $]</v>
      </c>
      <c r="N154" s="70">
        <f ca="1">SUMIFS(OFFSET(Assumptions!$I$90,0,MATCH($A154,Configurations,0)-1,COUNT(Assumptions!$A$90:$A$183),1),Assumptions!$D$90:$D$183,$B154&amp;$C154)</f>
        <v>0</v>
      </c>
      <c r="O154" s="313"/>
      <c r="P154" s="323"/>
      <c r="Q154" s="313"/>
      <c r="R154" s="50">
        <f t="shared" ref="R154:AU154" ca="1" si="109">IF(OR(R$99&lt;InServiceYr,R$99&gt;(InServiceYr+analysis_period-1)),0,IF($P154=0,$N154,$P154)*(1+$D154)^(R$99-CostBaseYr))</f>
        <v>0</v>
      </c>
      <c r="S154" s="50">
        <f t="shared" ca="1" si="109"/>
        <v>0</v>
      </c>
      <c r="T154" s="50">
        <f t="shared" ca="1" si="109"/>
        <v>0</v>
      </c>
      <c r="U154" s="50">
        <f t="shared" ca="1" si="109"/>
        <v>0</v>
      </c>
      <c r="V154" s="50">
        <f t="shared" ca="1" si="109"/>
        <v>0</v>
      </c>
      <c r="W154" s="50">
        <f t="shared" ca="1" si="109"/>
        <v>0</v>
      </c>
      <c r="X154" s="50">
        <f t="shared" ca="1" si="109"/>
        <v>0</v>
      </c>
      <c r="Y154" s="50">
        <f t="shared" ca="1" si="109"/>
        <v>0</v>
      </c>
      <c r="Z154" s="50">
        <f t="shared" ca="1" si="109"/>
        <v>0</v>
      </c>
      <c r="AA154" s="50">
        <f t="shared" ca="1" si="109"/>
        <v>0</v>
      </c>
      <c r="AB154" s="50">
        <f t="shared" ca="1" si="109"/>
        <v>0</v>
      </c>
      <c r="AC154" s="50">
        <f t="shared" ca="1" si="109"/>
        <v>0</v>
      </c>
      <c r="AD154" s="50">
        <f t="shared" ca="1" si="109"/>
        <v>0</v>
      </c>
      <c r="AE154" s="50">
        <f t="shared" ca="1" si="109"/>
        <v>0</v>
      </c>
      <c r="AF154" s="50">
        <f t="shared" ca="1" si="109"/>
        <v>0</v>
      </c>
      <c r="AG154" s="50">
        <f t="shared" ca="1" si="109"/>
        <v>0</v>
      </c>
      <c r="AH154" s="50">
        <f t="shared" ca="1" si="109"/>
        <v>0</v>
      </c>
      <c r="AI154" s="50">
        <f t="shared" ca="1" si="109"/>
        <v>0</v>
      </c>
      <c r="AJ154" s="50">
        <f t="shared" ca="1" si="109"/>
        <v>0</v>
      </c>
      <c r="AK154" s="50">
        <f t="shared" ca="1" si="109"/>
        <v>0</v>
      </c>
      <c r="AL154" s="50">
        <f t="shared" si="109"/>
        <v>0</v>
      </c>
      <c r="AM154" s="50">
        <f t="shared" si="109"/>
        <v>0</v>
      </c>
      <c r="AN154" s="50">
        <f t="shared" si="109"/>
        <v>0</v>
      </c>
      <c r="AO154" s="50">
        <f t="shared" si="109"/>
        <v>0</v>
      </c>
      <c r="AP154" s="50">
        <f t="shared" si="109"/>
        <v>0</v>
      </c>
      <c r="AQ154" s="50">
        <f t="shared" si="109"/>
        <v>0</v>
      </c>
      <c r="AR154" s="50">
        <f t="shared" si="109"/>
        <v>0</v>
      </c>
      <c r="AS154" s="50">
        <f t="shared" si="109"/>
        <v>0</v>
      </c>
      <c r="AT154" s="50">
        <f t="shared" si="109"/>
        <v>0</v>
      </c>
      <c r="AU154" s="50">
        <f t="shared" si="109"/>
        <v>0</v>
      </c>
    </row>
    <row r="155" spans="1:47" s="60" customFormat="1">
      <c r="D155" s="187"/>
      <c r="E155" s="325"/>
      <c r="G155" s="39" t="s">
        <v>305</v>
      </c>
      <c r="I155" s="39"/>
      <c r="K155" s="39"/>
      <c r="L155" s="174"/>
      <c r="N155" s="188"/>
      <c r="O155" s="314"/>
      <c r="P155" s="185"/>
      <c r="Q155" s="314"/>
      <c r="R155" s="185">
        <f ca="1">SUM(R144:R151)-SUM(R153:R154)</f>
        <v>325285.25475647952</v>
      </c>
      <c r="S155" s="185">
        <f t="shared" ref="S155:AU155" ca="1" si="110">SUM(S144:S151)-SUM(S153:S154)</f>
        <v>331762.07429313834</v>
      </c>
      <c r="T155" s="185">
        <f t="shared" ca="1" si="110"/>
        <v>338446.108590997</v>
      </c>
      <c r="U155" s="185">
        <f t="shared" ca="1" si="110"/>
        <v>345237.04878967063</v>
      </c>
      <c r="V155" s="185">
        <f t="shared" ca="1" si="110"/>
        <v>352151.16085419169</v>
      </c>
      <c r="W155" s="185">
        <f t="shared" ca="1" si="110"/>
        <v>359177.44172598561</v>
      </c>
      <c r="X155" s="185">
        <f t="shared" ca="1" si="110"/>
        <v>366352.22014035704</v>
      </c>
      <c r="Y155" s="185">
        <f t="shared" ca="1" si="110"/>
        <v>373690.35468487832</v>
      </c>
      <c r="Z155" s="185">
        <f t="shared" ca="1" si="110"/>
        <v>381173.81676369079</v>
      </c>
      <c r="AA155" s="185">
        <f t="shared" ca="1" si="110"/>
        <v>388809.84294280258</v>
      </c>
      <c r="AB155" s="185">
        <f t="shared" ca="1" si="110"/>
        <v>396590.3079203415</v>
      </c>
      <c r="AC155" s="185">
        <f t="shared" ca="1" si="110"/>
        <v>404520.16041538783</v>
      </c>
      <c r="AD155" s="185">
        <f t="shared" ca="1" si="110"/>
        <v>412618.86409862729</v>
      </c>
      <c r="AE155" s="185">
        <f t="shared" ca="1" si="110"/>
        <v>420878.88941736339</v>
      </c>
      <c r="AF155" s="185">
        <f t="shared" ca="1" si="110"/>
        <v>429307.04941524495</v>
      </c>
      <c r="AG155" s="185">
        <f t="shared" ca="1" si="110"/>
        <v>437910.45062418358</v>
      </c>
      <c r="AH155" s="185">
        <f t="shared" ca="1" si="110"/>
        <v>446681.92644068034</v>
      </c>
      <c r="AI155" s="185">
        <f t="shared" ca="1" si="110"/>
        <v>455633.48141015432</v>
      </c>
      <c r="AJ155" s="185">
        <f t="shared" ca="1" si="110"/>
        <v>464767.09050220111</v>
      </c>
      <c r="AK155" s="185">
        <f t="shared" ca="1" si="110"/>
        <v>474085.3132741389</v>
      </c>
      <c r="AL155" s="185">
        <f t="shared" si="110"/>
        <v>0</v>
      </c>
      <c r="AM155" s="185">
        <f t="shared" si="110"/>
        <v>0</v>
      </c>
      <c r="AN155" s="185">
        <f t="shared" si="110"/>
        <v>0</v>
      </c>
      <c r="AO155" s="185">
        <f t="shared" si="110"/>
        <v>0</v>
      </c>
      <c r="AP155" s="185">
        <f t="shared" si="110"/>
        <v>0</v>
      </c>
      <c r="AQ155" s="185">
        <f t="shared" si="110"/>
        <v>0</v>
      </c>
      <c r="AR155" s="185">
        <f t="shared" si="110"/>
        <v>0</v>
      </c>
      <c r="AS155" s="185">
        <f t="shared" si="110"/>
        <v>0</v>
      </c>
      <c r="AT155" s="185">
        <f t="shared" si="110"/>
        <v>0</v>
      </c>
      <c r="AU155" s="185">
        <f t="shared" si="110"/>
        <v>0</v>
      </c>
    </row>
    <row r="156" spans="1:47">
      <c r="G156" s="28"/>
      <c r="H156" s="28"/>
      <c r="I156" s="28"/>
      <c r="J156" s="28"/>
      <c r="K156" s="28"/>
      <c r="L156" s="409"/>
      <c r="M156" s="46"/>
      <c r="N156" s="46"/>
      <c r="O156" s="315"/>
      <c r="P156" s="46"/>
      <c r="Q156" s="315"/>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row>
    <row r="157" spans="1:47">
      <c r="E157" s="327"/>
      <c r="F157" s="28"/>
      <c r="G157" s="324" t="str">
        <f>C159&amp;" Capital Costs"</f>
        <v>Cake Storage/Load Out Capital Costs</v>
      </c>
      <c r="H157" s="324"/>
      <c r="I157" s="324"/>
      <c r="J157" s="324"/>
      <c r="K157" s="324"/>
      <c r="L157" s="405" t="s">
        <v>79</v>
      </c>
      <c r="M157" s="256"/>
      <c r="N157" s="325" t="s">
        <v>490</v>
      </c>
      <c r="O157" s="311"/>
      <c r="P157" s="325" t="s">
        <v>491</v>
      </c>
      <c r="Q157" s="310"/>
      <c r="R157" s="325">
        <f>R$8</f>
        <v>2014</v>
      </c>
      <c r="S157" s="325">
        <f t="shared" ref="S157:AU157" si="111">S$8</f>
        <v>2015</v>
      </c>
      <c r="T157" s="325">
        <f t="shared" si="111"/>
        <v>2016</v>
      </c>
      <c r="U157" s="325">
        <f t="shared" si="111"/>
        <v>2017</v>
      </c>
      <c r="V157" s="325">
        <f t="shared" si="111"/>
        <v>2018</v>
      </c>
      <c r="W157" s="325">
        <f t="shared" si="111"/>
        <v>2019</v>
      </c>
      <c r="X157" s="325">
        <f t="shared" si="111"/>
        <v>2020</v>
      </c>
      <c r="Y157" s="325">
        <f t="shared" si="111"/>
        <v>2021</v>
      </c>
      <c r="Z157" s="325">
        <f t="shared" si="111"/>
        <v>2022</v>
      </c>
      <c r="AA157" s="325">
        <f t="shared" si="111"/>
        <v>2023</v>
      </c>
      <c r="AB157" s="325">
        <f t="shared" si="111"/>
        <v>2024</v>
      </c>
      <c r="AC157" s="325">
        <f t="shared" si="111"/>
        <v>2025</v>
      </c>
      <c r="AD157" s="325">
        <f t="shared" si="111"/>
        <v>2026</v>
      </c>
      <c r="AE157" s="325">
        <f t="shared" si="111"/>
        <v>2027</v>
      </c>
      <c r="AF157" s="325">
        <f t="shared" si="111"/>
        <v>2028</v>
      </c>
      <c r="AG157" s="325">
        <f t="shared" si="111"/>
        <v>2029</v>
      </c>
      <c r="AH157" s="325">
        <f t="shared" si="111"/>
        <v>2030</v>
      </c>
      <c r="AI157" s="325">
        <f t="shared" si="111"/>
        <v>2031</v>
      </c>
      <c r="AJ157" s="325">
        <f t="shared" si="111"/>
        <v>2032</v>
      </c>
      <c r="AK157" s="325">
        <f t="shared" si="111"/>
        <v>2033</v>
      </c>
      <c r="AL157" s="325">
        <f t="shared" si="111"/>
        <v>2034</v>
      </c>
      <c r="AM157" s="325">
        <f t="shared" si="111"/>
        <v>2035</v>
      </c>
      <c r="AN157" s="325">
        <f t="shared" si="111"/>
        <v>2036</v>
      </c>
      <c r="AO157" s="325">
        <f t="shared" si="111"/>
        <v>2037</v>
      </c>
      <c r="AP157" s="325">
        <f t="shared" si="111"/>
        <v>2038</v>
      </c>
      <c r="AQ157" s="325">
        <f t="shared" si="111"/>
        <v>2039</v>
      </c>
      <c r="AR157" s="325">
        <f t="shared" si="111"/>
        <v>2040</v>
      </c>
      <c r="AS157" s="325">
        <f t="shared" si="111"/>
        <v>2041</v>
      </c>
      <c r="AT157" s="325">
        <f t="shared" si="111"/>
        <v>2042</v>
      </c>
      <c r="AU157" s="325">
        <f t="shared" si="111"/>
        <v>2043</v>
      </c>
    </row>
    <row r="158" spans="1:47">
      <c r="E158" s="325"/>
      <c r="G158" s="39"/>
      <c r="H158" s="39"/>
      <c r="I158" s="39"/>
      <c r="J158" s="39"/>
      <c r="K158" s="39"/>
    </row>
    <row r="159" spans="1:47">
      <c r="A159" s="38" t="str">
        <f>$J$4&amp;"-"</f>
        <v>2Y-</v>
      </c>
      <c r="B159" s="38" t="s">
        <v>306</v>
      </c>
      <c r="C159" s="38" t="s">
        <v>316</v>
      </c>
      <c r="D159" s="186">
        <f>CapExEsc</f>
        <v>0.03</v>
      </c>
      <c r="E159" s="325"/>
      <c r="G159" s="36" t="s">
        <v>8</v>
      </c>
      <c r="H159" s="39"/>
      <c r="I159" s="39"/>
      <c r="J159" s="70"/>
      <c r="K159" s="39"/>
      <c r="L159" s="43" t="str">
        <f>"["&amp;CostBaseYr&amp;" $]"</f>
        <v>[2013 $]</v>
      </c>
      <c r="N159" s="52">
        <f ca="1">SUMIFS(OFFSET(Assumptions!$I$65,0,MATCH($A159,Configurations,0)-1,COUNT(Assumptions!$A$65:$A$84),1),Assumptions!$E$65:$E$84,$C159)</f>
        <v>0</v>
      </c>
      <c r="O159" s="52"/>
      <c r="P159" s="322"/>
      <c r="Q159" s="52"/>
      <c r="R159" s="52">
        <f t="shared" ref="R159:AU159" ca="1" si="112">R160*IF($P159=0,$N159,$P159)*(1+$D159)^(R$8-CostBaseYr)</f>
        <v>0</v>
      </c>
      <c r="S159" s="52">
        <f t="shared" ca="1" si="112"/>
        <v>0</v>
      </c>
      <c r="T159" s="52">
        <f t="shared" ca="1" si="112"/>
        <v>0</v>
      </c>
      <c r="U159" s="52">
        <f t="shared" ca="1" si="112"/>
        <v>0</v>
      </c>
      <c r="V159" s="52">
        <f t="shared" ca="1" si="112"/>
        <v>0</v>
      </c>
      <c r="W159" s="52">
        <f t="shared" ca="1" si="112"/>
        <v>0</v>
      </c>
      <c r="X159" s="52">
        <f t="shared" ca="1" si="112"/>
        <v>0</v>
      </c>
      <c r="Y159" s="52">
        <f t="shared" ca="1" si="112"/>
        <v>0</v>
      </c>
      <c r="Z159" s="52">
        <f t="shared" ca="1" si="112"/>
        <v>0</v>
      </c>
      <c r="AA159" s="52">
        <f t="shared" ca="1" si="112"/>
        <v>0</v>
      </c>
      <c r="AB159" s="52">
        <f t="shared" ca="1" si="112"/>
        <v>0</v>
      </c>
      <c r="AC159" s="52">
        <f t="shared" ca="1" si="112"/>
        <v>0</v>
      </c>
      <c r="AD159" s="52">
        <f t="shared" ca="1" si="112"/>
        <v>0</v>
      </c>
      <c r="AE159" s="52">
        <f t="shared" ca="1" si="112"/>
        <v>0</v>
      </c>
      <c r="AF159" s="52">
        <f t="shared" ca="1" si="112"/>
        <v>0</v>
      </c>
      <c r="AG159" s="52">
        <f t="shared" ca="1" si="112"/>
        <v>0</v>
      </c>
      <c r="AH159" s="52">
        <f t="shared" ca="1" si="112"/>
        <v>0</v>
      </c>
      <c r="AI159" s="52">
        <f t="shared" ca="1" si="112"/>
        <v>0</v>
      </c>
      <c r="AJ159" s="52">
        <f t="shared" ca="1" si="112"/>
        <v>0</v>
      </c>
      <c r="AK159" s="52">
        <f t="shared" ca="1" si="112"/>
        <v>0</v>
      </c>
      <c r="AL159" s="52">
        <f t="shared" ca="1" si="112"/>
        <v>0</v>
      </c>
      <c r="AM159" s="52">
        <f t="shared" ca="1" si="112"/>
        <v>0</v>
      </c>
      <c r="AN159" s="52">
        <f t="shared" ca="1" si="112"/>
        <v>0</v>
      </c>
      <c r="AO159" s="52">
        <f t="shared" ca="1" si="112"/>
        <v>0</v>
      </c>
      <c r="AP159" s="52">
        <f t="shared" ca="1" si="112"/>
        <v>0</v>
      </c>
      <c r="AQ159" s="52">
        <f t="shared" ca="1" si="112"/>
        <v>0</v>
      </c>
      <c r="AR159" s="52">
        <f t="shared" ca="1" si="112"/>
        <v>0</v>
      </c>
      <c r="AS159" s="52">
        <f t="shared" ca="1" si="112"/>
        <v>0</v>
      </c>
      <c r="AT159" s="52">
        <f t="shared" ca="1" si="112"/>
        <v>0</v>
      </c>
      <c r="AU159" s="52">
        <f t="shared" ca="1" si="112"/>
        <v>0</v>
      </c>
    </row>
    <row r="160" spans="1:47">
      <c r="E160" s="325"/>
      <c r="G160" s="36" t="s">
        <v>10</v>
      </c>
      <c r="H160" s="39"/>
      <c r="I160" s="39"/>
      <c r="J160" s="39"/>
      <c r="K160" s="39"/>
      <c r="L160" s="43"/>
      <c r="R160" s="54">
        <f>Assumptions!M$60</f>
        <v>1</v>
      </c>
      <c r="S160" s="54">
        <f>Assumptions!N$60</f>
        <v>0</v>
      </c>
      <c r="T160" s="54">
        <f>Assumptions!O$60</f>
        <v>0</v>
      </c>
      <c r="U160" s="54">
        <f>Assumptions!P$60</f>
        <v>0</v>
      </c>
      <c r="V160" s="54">
        <f>Assumptions!Q$60</f>
        <v>0</v>
      </c>
      <c r="W160" s="54">
        <f>Assumptions!R$60</f>
        <v>0</v>
      </c>
      <c r="X160" s="54">
        <f>Assumptions!S$60</f>
        <v>0</v>
      </c>
      <c r="Y160" s="54">
        <f>Assumptions!T$60</f>
        <v>0</v>
      </c>
      <c r="Z160" s="54">
        <f>Assumptions!U$60</f>
        <v>0</v>
      </c>
      <c r="AA160" s="54">
        <f>Assumptions!V$60</f>
        <v>0</v>
      </c>
      <c r="AB160" s="54">
        <f>Assumptions!W$60</f>
        <v>0</v>
      </c>
      <c r="AC160" s="54">
        <f>Assumptions!X$60</f>
        <v>0</v>
      </c>
      <c r="AD160" s="54">
        <f>Assumptions!Y$60</f>
        <v>0</v>
      </c>
      <c r="AE160" s="54">
        <f>Assumptions!Z$60</f>
        <v>0</v>
      </c>
      <c r="AF160" s="54">
        <f>Assumptions!AA$60</f>
        <v>0</v>
      </c>
      <c r="AG160" s="54">
        <f>Assumptions!AB$60</f>
        <v>0</v>
      </c>
      <c r="AH160" s="54">
        <f>Assumptions!AC$60</f>
        <v>0</v>
      </c>
      <c r="AI160" s="54">
        <f>Assumptions!AD$60</f>
        <v>0</v>
      </c>
      <c r="AJ160" s="54">
        <f>Assumptions!AE$60</f>
        <v>0</v>
      </c>
      <c r="AK160" s="54">
        <f>Assumptions!AF$60</f>
        <v>0</v>
      </c>
      <c r="AL160" s="54">
        <f>Assumptions!AG$60</f>
        <v>0</v>
      </c>
      <c r="AM160" s="54">
        <f>Assumptions!AH$60</f>
        <v>0</v>
      </c>
      <c r="AN160" s="54">
        <f>Assumptions!AI$60</f>
        <v>0</v>
      </c>
      <c r="AO160" s="54">
        <f>Assumptions!AJ$60</f>
        <v>0</v>
      </c>
      <c r="AP160" s="54">
        <f>Assumptions!AK$60</f>
        <v>0</v>
      </c>
      <c r="AQ160" s="54">
        <f>Assumptions!AL$60</f>
        <v>0</v>
      </c>
      <c r="AR160" s="54">
        <f>Assumptions!AM$60</f>
        <v>0</v>
      </c>
      <c r="AS160" s="54">
        <f>Assumptions!AN$60</f>
        <v>0</v>
      </c>
      <c r="AT160" s="54">
        <f>Assumptions!AO$60</f>
        <v>0</v>
      </c>
      <c r="AU160" s="54">
        <f>Assumptions!AP$60</f>
        <v>0</v>
      </c>
    </row>
    <row r="161" spans="1:47">
      <c r="E161" s="326"/>
      <c r="G161" s="39"/>
      <c r="H161" s="39"/>
      <c r="I161" s="39"/>
      <c r="J161" s="39"/>
      <c r="K161" s="39"/>
    </row>
    <row r="162" spans="1:47">
      <c r="E162" s="327"/>
      <c r="F162" s="28"/>
      <c r="G162" s="324" t="str">
        <f>C159&amp;" O&amp;M"</f>
        <v>Cake Storage/Load Out O&amp;M</v>
      </c>
      <c r="H162" s="324"/>
      <c r="I162" s="324"/>
      <c r="J162" s="324"/>
      <c r="K162" s="324"/>
      <c r="L162" s="405" t="s">
        <v>79</v>
      </c>
      <c r="M162" s="256"/>
      <c r="N162" s="325" t="s">
        <v>490</v>
      </c>
      <c r="O162" s="311"/>
      <c r="P162" s="325" t="s">
        <v>491</v>
      </c>
      <c r="Q162" s="310"/>
      <c r="R162" s="325">
        <f>R$8</f>
        <v>2014</v>
      </c>
      <c r="S162" s="325">
        <f t="shared" ref="S162:AU162" si="113">S$8</f>
        <v>2015</v>
      </c>
      <c r="T162" s="325">
        <f t="shared" si="113"/>
        <v>2016</v>
      </c>
      <c r="U162" s="325">
        <f t="shared" si="113"/>
        <v>2017</v>
      </c>
      <c r="V162" s="325">
        <f t="shared" si="113"/>
        <v>2018</v>
      </c>
      <c r="W162" s="325">
        <f t="shared" si="113"/>
        <v>2019</v>
      </c>
      <c r="X162" s="325">
        <f t="shared" si="113"/>
        <v>2020</v>
      </c>
      <c r="Y162" s="325">
        <f t="shared" si="113"/>
        <v>2021</v>
      </c>
      <c r="Z162" s="325">
        <f t="shared" si="113"/>
        <v>2022</v>
      </c>
      <c r="AA162" s="325">
        <f t="shared" si="113"/>
        <v>2023</v>
      </c>
      <c r="AB162" s="325">
        <f t="shared" si="113"/>
        <v>2024</v>
      </c>
      <c r="AC162" s="325">
        <f t="shared" si="113"/>
        <v>2025</v>
      </c>
      <c r="AD162" s="325">
        <f t="shared" si="113"/>
        <v>2026</v>
      </c>
      <c r="AE162" s="325">
        <f t="shared" si="113"/>
        <v>2027</v>
      </c>
      <c r="AF162" s="325">
        <f t="shared" si="113"/>
        <v>2028</v>
      </c>
      <c r="AG162" s="325">
        <f t="shared" si="113"/>
        <v>2029</v>
      </c>
      <c r="AH162" s="325">
        <f t="shared" si="113"/>
        <v>2030</v>
      </c>
      <c r="AI162" s="325">
        <f t="shared" si="113"/>
        <v>2031</v>
      </c>
      <c r="AJ162" s="325">
        <f t="shared" si="113"/>
        <v>2032</v>
      </c>
      <c r="AK162" s="325">
        <f t="shared" si="113"/>
        <v>2033</v>
      </c>
      <c r="AL162" s="325">
        <f t="shared" si="113"/>
        <v>2034</v>
      </c>
      <c r="AM162" s="325">
        <f t="shared" si="113"/>
        <v>2035</v>
      </c>
      <c r="AN162" s="325">
        <f t="shared" si="113"/>
        <v>2036</v>
      </c>
      <c r="AO162" s="325">
        <f t="shared" si="113"/>
        <v>2037</v>
      </c>
      <c r="AP162" s="325">
        <f t="shared" si="113"/>
        <v>2038</v>
      </c>
      <c r="AQ162" s="325">
        <f t="shared" si="113"/>
        <v>2039</v>
      </c>
      <c r="AR162" s="325">
        <f t="shared" si="113"/>
        <v>2040</v>
      </c>
      <c r="AS162" s="325">
        <f t="shared" si="113"/>
        <v>2041</v>
      </c>
      <c r="AT162" s="325">
        <f t="shared" si="113"/>
        <v>2042</v>
      </c>
      <c r="AU162" s="325">
        <f t="shared" si="113"/>
        <v>2043</v>
      </c>
    </row>
    <row r="163" spans="1:47">
      <c r="E163" s="325"/>
      <c r="G163" s="39"/>
      <c r="H163" s="39"/>
      <c r="I163" s="39"/>
      <c r="J163" s="39"/>
      <c r="K163" s="39"/>
    </row>
    <row r="164" spans="1:47">
      <c r="E164" s="325"/>
      <c r="G164" s="39" t="s">
        <v>23</v>
      </c>
      <c r="H164" s="39"/>
      <c r="I164" s="39"/>
      <c r="J164" s="39"/>
      <c r="K164" s="39"/>
    </row>
    <row r="165" spans="1:47">
      <c r="A165" s="38" t="str">
        <f t="shared" ref="A165:A172" si="114">$J$4&amp;"-"</f>
        <v>2Y-</v>
      </c>
      <c r="B165" s="38" t="s">
        <v>262</v>
      </c>
      <c r="C165" s="38" t="str">
        <f>C159</f>
        <v>Cake Storage/Load Out</v>
      </c>
      <c r="D165" s="186">
        <f>LaborEsc</f>
        <v>0.02</v>
      </c>
      <c r="E165" s="325"/>
      <c r="G165" s="36" t="s">
        <v>125</v>
      </c>
      <c r="I165" s="39"/>
      <c r="K165" s="39"/>
      <c r="L165" s="43" t="s">
        <v>266</v>
      </c>
      <c r="N165" s="70">
        <f ca="1">SUMIFS(OFFSET(Assumptions!$I$90,0,MATCH($A165,Configurations,0)-1,COUNT(Assumptions!$A$90:$A$183),1),Assumptions!$D$90:$D$183,$B165&amp;$C165)</f>
        <v>1277.5</v>
      </c>
      <c r="O165" s="313"/>
      <c r="P165" s="323"/>
      <c r="Q165" s="313"/>
      <c r="R165" s="50">
        <f t="shared" ref="R165:AU165" ca="1" si="115">IF(OR(R$99&lt;InServiceYr,R$99&gt;(InServiceYr+analysis_period-1)),0,IF($P165=0,$N165,$P165)*LaborCost*(1+$D165)^(R$99-CostBaseYr))</f>
        <v>45606.75</v>
      </c>
      <c r="S165" s="50">
        <f t="shared" ca="1" si="115"/>
        <v>46518.885000000002</v>
      </c>
      <c r="T165" s="50">
        <f t="shared" ca="1" si="115"/>
        <v>47449.262699999999</v>
      </c>
      <c r="U165" s="50">
        <f t="shared" ca="1" si="115"/>
        <v>48398.247953999999</v>
      </c>
      <c r="V165" s="50">
        <f t="shared" ca="1" si="115"/>
        <v>49366.212913080002</v>
      </c>
      <c r="W165" s="50">
        <f t="shared" ca="1" si="115"/>
        <v>50353.537171341603</v>
      </c>
      <c r="X165" s="50">
        <f t="shared" ca="1" si="115"/>
        <v>51360.607914768421</v>
      </c>
      <c r="Y165" s="50">
        <f t="shared" ca="1" si="115"/>
        <v>52387.820073063798</v>
      </c>
      <c r="Z165" s="50">
        <f t="shared" ca="1" si="115"/>
        <v>53435.576474525071</v>
      </c>
      <c r="AA165" s="50">
        <f t="shared" ca="1" si="115"/>
        <v>54504.28800401558</v>
      </c>
      <c r="AB165" s="50">
        <f t="shared" ca="1" si="115"/>
        <v>55594.373764095879</v>
      </c>
      <c r="AC165" s="50">
        <f t="shared" ca="1" si="115"/>
        <v>56706.261239377804</v>
      </c>
      <c r="AD165" s="50">
        <f t="shared" ca="1" si="115"/>
        <v>57840.386464165356</v>
      </c>
      <c r="AE165" s="50">
        <f t="shared" ca="1" si="115"/>
        <v>58997.194193448668</v>
      </c>
      <c r="AF165" s="50">
        <f t="shared" ca="1" si="115"/>
        <v>60177.138077317628</v>
      </c>
      <c r="AG165" s="50">
        <f t="shared" ca="1" si="115"/>
        <v>61380.680838863991</v>
      </c>
      <c r="AH165" s="50">
        <f t="shared" ca="1" si="115"/>
        <v>62608.294455641277</v>
      </c>
      <c r="AI165" s="50">
        <f t="shared" ca="1" si="115"/>
        <v>63860.460344754094</v>
      </c>
      <c r="AJ165" s="50">
        <f t="shared" ca="1" si="115"/>
        <v>65137.669551649175</v>
      </c>
      <c r="AK165" s="50">
        <f t="shared" ca="1" si="115"/>
        <v>66440.422942682169</v>
      </c>
      <c r="AL165" s="50">
        <f t="shared" si="115"/>
        <v>0</v>
      </c>
      <c r="AM165" s="50">
        <f t="shared" si="115"/>
        <v>0</v>
      </c>
      <c r="AN165" s="50">
        <f t="shared" si="115"/>
        <v>0</v>
      </c>
      <c r="AO165" s="50">
        <f t="shared" si="115"/>
        <v>0</v>
      </c>
      <c r="AP165" s="50">
        <f t="shared" si="115"/>
        <v>0</v>
      </c>
      <c r="AQ165" s="50">
        <f t="shared" si="115"/>
        <v>0</v>
      </c>
      <c r="AR165" s="50">
        <f t="shared" si="115"/>
        <v>0</v>
      </c>
      <c r="AS165" s="50">
        <f t="shared" si="115"/>
        <v>0</v>
      </c>
      <c r="AT165" s="50">
        <f t="shared" si="115"/>
        <v>0</v>
      </c>
      <c r="AU165" s="50">
        <f t="shared" si="115"/>
        <v>0</v>
      </c>
    </row>
    <row r="166" spans="1:47">
      <c r="A166" s="38" t="str">
        <f t="shared" si="114"/>
        <v>2Y-</v>
      </c>
      <c r="B166" s="38" t="s">
        <v>270</v>
      </c>
      <c r="C166" s="38" t="str">
        <f>C165</f>
        <v>Cake Storage/Load Out</v>
      </c>
      <c r="D166" s="186">
        <f>OMEsc</f>
        <v>0.02</v>
      </c>
      <c r="E166" s="325"/>
      <c r="G166" s="36" t="s">
        <v>126</v>
      </c>
      <c r="I166" s="39"/>
      <c r="K166" s="39"/>
      <c r="L166" s="43" t="str">
        <f>"["&amp;CostBaseYr&amp;" $]"</f>
        <v>[2013 $]</v>
      </c>
      <c r="N166" s="70">
        <f ca="1">SUMIFS(OFFSET(Assumptions!$I$90,0,MATCH($A166,Configurations,0)-1,COUNT(Assumptions!$A$90:$A$183),1),Assumptions!$D$90:$D$183,$B166&amp;$C166)</f>
        <v>0</v>
      </c>
      <c r="O166" s="313"/>
      <c r="P166" s="323"/>
      <c r="Q166" s="313"/>
      <c r="R166" s="50">
        <f t="shared" ref="R166:AG168" ca="1" si="116">IF(OR(R$99&lt;InServiceYr,R$99&gt;(InServiceYr+analysis_period-1)),0,IF($P166=0,$N166,$P166)*(1+$D166)^(R$99-CostBaseYr))</f>
        <v>0</v>
      </c>
      <c r="S166" s="50">
        <f t="shared" ca="1" si="116"/>
        <v>0</v>
      </c>
      <c r="T166" s="50">
        <f t="shared" ca="1" si="116"/>
        <v>0</v>
      </c>
      <c r="U166" s="50">
        <f t="shared" ca="1" si="116"/>
        <v>0</v>
      </c>
      <c r="V166" s="50">
        <f t="shared" ca="1" si="116"/>
        <v>0</v>
      </c>
      <c r="W166" s="50">
        <f t="shared" ca="1" si="116"/>
        <v>0</v>
      </c>
      <c r="X166" s="50">
        <f t="shared" ca="1" si="116"/>
        <v>0</v>
      </c>
      <c r="Y166" s="50">
        <f t="shared" ca="1" si="116"/>
        <v>0</v>
      </c>
      <c r="Z166" s="50">
        <f t="shared" ca="1" si="116"/>
        <v>0</v>
      </c>
      <c r="AA166" s="50">
        <f t="shared" ca="1" si="116"/>
        <v>0</v>
      </c>
      <c r="AB166" s="50">
        <f t="shared" ca="1" si="116"/>
        <v>0</v>
      </c>
      <c r="AC166" s="50">
        <f t="shared" ca="1" si="116"/>
        <v>0</v>
      </c>
      <c r="AD166" s="50">
        <f t="shared" ca="1" si="116"/>
        <v>0</v>
      </c>
      <c r="AE166" s="50">
        <f t="shared" ca="1" si="116"/>
        <v>0</v>
      </c>
      <c r="AF166" s="50">
        <f t="shared" ca="1" si="116"/>
        <v>0</v>
      </c>
      <c r="AG166" s="50">
        <f t="shared" ca="1" si="116"/>
        <v>0</v>
      </c>
      <c r="AH166" s="50">
        <f t="shared" ref="S166:AU168" ca="1" si="117">IF(OR(AH$99&lt;InServiceYr,AH$99&gt;(InServiceYr+analysis_period-1)),0,IF($P166=0,$N166,$P166)*(1+$D166)^(AH$99-CostBaseYr))</f>
        <v>0</v>
      </c>
      <c r="AI166" s="50">
        <f t="shared" ca="1" si="117"/>
        <v>0</v>
      </c>
      <c r="AJ166" s="50">
        <f t="shared" ca="1" si="117"/>
        <v>0</v>
      </c>
      <c r="AK166" s="50">
        <f t="shared" ca="1" si="117"/>
        <v>0</v>
      </c>
      <c r="AL166" s="50">
        <f t="shared" si="117"/>
        <v>0</v>
      </c>
      <c r="AM166" s="50">
        <f t="shared" si="117"/>
        <v>0</v>
      </c>
      <c r="AN166" s="50">
        <f t="shared" si="117"/>
        <v>0</v>
      </c>
      <c r="AO166" s="50">
        <f t="shared" si="117"/>
        <v>0</v>
      </c>
      <c r="AP166" s="50">
        <f t="shared" si="117"/>
        <v>0</v>
      </c>
      <c r="AQ166" s="50">
        <f t="shared" si="117"/>
        <v>0</v>
      </c>
      <c r="AR166" s="50">
        <f t="shared" si="117"/>
        <v>0</v>
      </c>
      <c r="AS166" s="50">
        <f t="shared" si="117"/>
        <v>0</v>
      </c>
      <c r="AT166" s="50">
        <f t="shared" si="117"/>
        <v>0</v>
      </c>
      <c r="AU166" s="50">
        <f t="shared" si="117"/>
        <v>0</v>
      </c>
    </row>
    <row r="167" spans="1:47">
      <c r="A167" s="38" t="str">
        <f t="shared" si="114"/>
        <v>2Y-</v>
      </c>
      <c r="B167" s="38" t="s">
        <v>263</v>
      </c>
      <c r="C167" s="38" t="str">
        <f t="shared" ref="C167:C171" si="118">C166</f>
        <v>Cake Storage/Load Out</v>
      </c>
      <c r="D167" s="186">
        <f>OMEsc</f>
        <v>0.02</v>
      </c>
      <c r="E167" s="325"/>
      <c r="G167" s="36" t="s">
        <v>127</v>
      </c>
      <c r="I167" s="39"/>
      <c r="K167" s="39"/>
      <c r="L167" s="43" t="str">
        <f>"["&amp;CostBaseYr&amp;" $]"</f>
        <v>[2013 $]</v>
      </c>
      <c r="N167" s="70">
        <f ca="1">SUMIFS(OFFSET(Assumptions!$I$90,0,MATCH($A167,Configurations,0)-1,COUNT(Assumptions!$A$90:$A$183),1),Assumptions!$D$90:$D$183,$B167&amp;$C167)</f>
        <v>0</v>
      </c>
      <c r="O167" s="313"/>
      <c r="P167" s="323"/>
      <c r="Q167" s="313"/>
      <c r="R167" s="50">
        <f t="shared" ca="1" si="116"/>
        <v>0</v>
      </c>
      <c r="S167" s="50">
        <f t="shared" ca="1" si="117"/>
        <v>0</v>
      </c>
      <c r="T167" s="50">
        <f t="shared" ca="1" si="117"/>
        <v>0</v>
      </c>
      <c r="U167" s="50">
        <f t="shared" ca="1" si="117"/>
        <v>0</v>
      </c>
      <c r="V167" s="50">
        <f t="shared" ca="1" si="117"/>
        <v>0</v>
      </c>
      <c r="W167" s="50">
        <f t="shared" ca="1" si="117"/>
        <v>0</v>
      </c>
      <c r="X167" s="50">
        <f t="shared" ca="1" si="117"/>
        <v>0</v>
      </c>
      <c r="Y167" s="50">
        <f t="shared" ca="1" si="117"/>
        <v>0</v>
      </c>
      <c r="Z167" s="50">
        <f t="shared" ca="1" si="117"/>
        <v>0</v>
      </c>
      <c r="AA167" s="50">
        <f t="shared" ca="1" si="117"/>
        <v>0</v>
      </c>
      <c r="AB167" s="50">
        <f t="shared" ca="1" si="117"/>
        <v>0</v>
      </c>
      <c r="AC167" s="50">
        <f t="shared" ca="1" si="117"/>
        <v>0</v>
      </c>
      <c r="AD167" s="50">
        <f t="shared" ca="1" si="117"/>
        <v>0</v>
      </c>
      <c r="AE167" s="50">
        <f t="shared" ca="1" si="117"/>
        <v>0</v>
      </c>
      <c r="AF167" s="50">
        <f t="shared" ca="1" si="117"/>
        <v>0</v>
      </c>
      <c r="AG167" s="50">
        <f t="shared" ca="1" si="117"/>
        <v>0</v>
      </c>
      <c r="AH167" s="50">
        <f t="shared" ca="1" si="117"/>
        <v>0</v>
      </c>
      <c r="AI167" s="50">
        <f t="shared" ca="1" si="117"/>
        <v>0</v>
      </c>
      <c r="AJ167" s="50">
        <f t="shared" ca="1" si="117"/>
        <v>0</v>
      </c>
      <c r="AK167" s="50">
        <f t="shared" ca="1" si="117"/>
        <v>0</v>
      </c>
      <c r="AL167" s="50">
        <f t="shared" si="117"/>
        <v>0</v>
      </c>
      <c r="AM167" s="50">
        <f t="shared" si="117"/>
        <v>0</v>
      </c>
      <c r="AN167" s="50">
        <f t="shared" si="117"/>
        <v>0</v>
      </c>
      <c r="AO167" s="50">
        <f t="shared" si="117"/>
        <v>0</v>
      </c>
      <c r="AP167" s="50">
        <f t="shared" si="117"/>
        <v>0</v>
      </c>
      <c r="AQ167" s="50">
        <f t="shared" si="117"/>
        <v>0</v>
      </c>
      <c r="AR167" s="50">
        <f t="shared" si="117"/>
        <v>0</v>
      </c>
      <c r="AS167" s="50">
        <f t="shared" si="117"/>
        <v>0</v>
      </c>
      <c r="AT167" s="50">
        <f t="shared" si="117"/>
        <v>0</v>
      </c>
      <c r="AU167" s="50">
        <f t="shared" si="117"/>
        <v>0</v>
      </c>
    </row>
    <row r="168" spans="1:47">
      <c r="A168" s="38" t="str">
        <f t="shared" si="114"/>
        <v>2Y-</v>
      </c>
      <c r="B168" s="38" t="s">
        <v>277</v>
      </c>
      <c r="C168" s="38" t="str">
        <f t="shared" si="118"/>
        <v>Cake Storage/Load Out</v>
      </c>
      <c r="D168" s="186">
        <f>OMEsc</f>
        <v>0.02</v>
      </c>
      <c r="E168" s="325"/>
      <c r="G168" s="36" t="s">
        <v>276</v>
      </c>
      <c r="I168" s="39"/>
      <c r="K168" s="39"/>
      <c r="L168" s="43" t="str">
        <f>"["&amp;CostBaseYr&amp;" $]"</f>
        <v>[2013 $]</v>
      </c>
      <c r="N168" s="70">
        <f ca="1">SUMIFS(OFFSET(Assumptions!$I$90,0,MATCH($A168,Configurations,0)-1,COUNT(Assumptions!$A$90:$A$183),1),Assumptions!$D$90:$D$183,$B168&amp;$C168)</f>
        <v>0</v>
      </c>
      <c r="O168" s="313"/>
      <c r="P168" s="323"/>
      <c r="Q168" s="313"/>
      <c r="R168" s="50">
        <f t="shared" ca="1" si="116"/>
        <v>0</v>
      </c>
      <c r="S168" s="50">
        <f t="shared" ca="1" si="117"/>
        <v>0</v>
      </c>
      <c r="T168" s="50">
        <f t="shared" ca="1" si="117"/>
        <v>0</v>
      </c>
      <c r="U168" s="50">
        <f t="shared" ca="1" si="117"/>
        <v>0</v>
      </c>
      <c r="V168" s="50">
        <f t="shared" ca="1" si="117"/>
        <v>0</v>
      </c>
      <c r="W168" s="50">
        <f t="shared" ca="1" si="117"/>
        <v>0</v>
      </c>
      <c r="X168" s="50">
        <f t="shared" ca="1" si="117"/>
        <v>0</v>
      </c>
      <c r="Y168" s="50">
        <f t="shared" ca="1" si="117"/>
        <v>0</v>
      </c>
      <c r="Z168" s="50">
        <f t="shared" ca="1" si="117"/>
        <v>0</v>
      </c>
      <c r="AA168" s="50">
        <f t="shared" ca="1" si="117"/>
        <v>0</v>
      </c>
      <c r="AB168" s="50">
        <f t="shared" ca="1" si="117"/>
        <v>0</v>
      </c>
      <c r="AC168" s="50">
        <f t="shared" ca="1" si="117"/>
        <v>0</v>
      </c>
      <c r="AD168" s="50">
        <f t="shared" ca="1" si="117"/>
        <v>0</v>
      </c>
      <c r="AE168" s="50">
        <f t="shared" ca="1" si="117"/>
        <v>0</v>
      </c>
      <c r="AF168" s="50">
        <f t="shared" ca="1" si="117"/>
        <v>0</v>
      </c>
      <c r="AG168" s="50">
        <f t="shared" ca="1" si="117"/>
        <v>0</v>
      </c>
      <c r="AH168" s="50">
        <f t="shared" ca="1" si="117"/>
        <v>0</v>
      </c>
      <c r="AI168" s="50">
        <f t="shared" ca="1" si="117"/>
        <v>0</v>
      </c>
      <c r="AJ168" s="50">
        <f t="shared" ca="1" si="117"/>
        <v>0</v>
      </c>
      <c r="AK168" s="50">
        <f t="shared" ca="1" si="117"/>
        <v>0</v>
      </c>
      <c r="AL168" s="50">
        <f t="shared" si="117"/>
        <v>0</v>
      </c>
      <c r="AM168" s="50">
        <f t="shared" si="117"/>
        <v>0</v>
      </c>
      <c r="AN168" s="50">
        <f t="shared" si="117"/>
        <v>0</v>
      </c>
      <c r="AO168" s="50">
        <f t="shared" si="117"/>
        <v>0</v>
      </c>
      <c r="AP168" s="50">
        <f t="shared" si="117"/>
        <v>0</v>
      </c>
      <c r="AQ168" s="50">
        <f t="shared" si="117"/>
        <v>0</v>
      </c>
      <c r="AR168" s="50">
        <f t="shared" si="117"/>
        <v>0</v>
      </c>
      <c r="AS168" s="50">
        <f t="shared" si="117"/>
        <v>0</v>
      </c>
      <c r="AT168" s="50">
        <f t="shared" si="117"/>
        <v>0</v>
      </c>
      <c r="AU168" s="50">
        <f t="shared" si="117"/>
        <v>0</v>
      </c>
    </row>
    <row r="169" spans="1:47">
      <c r="A169" s="38" t="str">
        <f t="shared" si="114"/>
        <v>2Y-</v>
      </c>
      <c r="B169" s="38" t="s">
        <v>274</v>
      </c>
      <c r="C169" s="38" t="str">
        <f t="shared" si="118"/>
        <v>Cake Storage/Load Out</v>
      </c>
      <c r="D169" s="186"/>
      <c r="E169" s="325"/>
      <c r="G169" s="36" t="s">
        <v>16</v>
      </c>
      <c r="I169" s="39"/>
      <c r="K169" s="39"/>
      <c r="L169" s="43" t="s">
        <v>275</v>
      </c>
      <c r="N169" s="70">
        <f ca="1">SUMIFS(OFFSET(Assumptions!$I$90,0,MATCH($A169,Configurations,0)-1,COUNT(Assumptions!$A$90:$A$183),1),Assumptions!$D$90:$D$183,$B169&amp;$C169)</f>
        <v>0</v>
      </c>
      <c r="O169" s="313"/>
      <c r="P169" s="323"/>
      <c r="Q169" s="313"/>
      <c r="R169" s="50">
        <f t="shared" ref="R169:AU169" ca="1" si="119">IF(OR(R$99&lt;InServiceYr,R$99&gt;(InServiceYr+analysis_period-1)),0,IF($P169=0,$N169,$P169)*R$505)</f>
        <v>0</v>
      </c>
      <c r="S169" s="50">
        <f t="shared" ca="1" si="119"/>
        <v>0</v>
      </c>
      <c r="T169" s="50">
        <f t="shared" ca="1" si="119"/>
        <v>0</v>
      </c>
      <c r="U169" s="50">
        <f t="shared" ca="1" si="119"/>
        <v>0</v>
      </c>
      <c r="V169" s="50">
        <f t="shared" ca="1" si="119"/>
        <v>0</v>
      </c>
      <c r="W169" s="50">
        <f t="shared" ca="1" si="119"/>
        <v>0</v>
      </c>
      <c r="X169" s="50">
        <f t="shared" ca="1" si="119"/>
        <v>0</v>
      </c>
      <c r="Y169" s="50">
        <f t="shared" ca="1" si="119"/>
        <v>0</v>
      </c>
      <c r="Z169" s="50">
        <f t="shared" ca="1" si="119"/>
        <v>0</v>
      </c>
      <c r="AA169" s="50">
        <f t="shared" ca="1" si="119"/>
        <v>0</v>
      </c>
      <c r="AB169" s="50">
        <f t="shared" ca="1" si="119"/>
        <v>0</v>
      </c>
      <c r="AC169" s="50">
        <f t="shared" ca="1" si="119"/>
        <v>0</v>
      </c>
      <c r="AD169" s="50">
        <f t="shared" ca="1" si="119"/>
        <v>0</v>
      </c>
      <c r="AE169" s="50">
        <f t="shared" ca="1" si="119"/>
        <v>0</v>
      </c>
      <c r="AF169" s="50">
        <f t="shared" ca="1" si="119"/>
        <v>0</v>
      </c>
      <c r="AG169" s="50">
        <f t="shared" ca="1" si="119"/>
        <v>0</v>
      </c>
      <c r="AH169" s="50">
        <f t="shared" ca="1" si="119"/>
        <v>0</v>
      </c>
      <c r="AI169" s="50">
        <f t="shared" ca="1" si="119"/>
        <v>0</v>
      </c>
      <c r="AJ169" s="50">
        <f t="shared" ca="1" si="119"/>
        <v>0</v>
      </c>
      <c r="AK169" s="50">
        <f t="shared" ca="1" si="119"/>
        <v>0</v>
      </c>
      <c r="AL169" s="50">
        <f t="shared" si="119"/>
        <v>0</v>
      </c>
      <c r="AM169" s="50">
        <f t="shared" si="119"/>
        <v>0</v>
      </c>
      <c r="AN169" s="50">
        <f t="shared" si="119"/>
        <v>0</v>
      </c>
      <c r="AO169" s="50">
        <f t="shared" si="119"/>
        <v>0</v>
      </c>
      <c r="AP169" s="50">
        <f t="shared" si="119"/>
        <v>0</v>
      </c>
      <c r="AQ169" s="50">
        <f t="shared" si="119"/>
        <v>0</v>
      </c>
      <c r="AR169" s="50">
        <f t="shared" si="119"/>
        <v>0</v>
      </c>
      <c r="AS169" s="50">
        <f t="shared" si="119"/>
        <v>0</v>
      </c>
      <c r="AT169" s="50">
        <f t="shared" si="119"/>
        <v>0</v>
      </c>
      <c r="AU169" s="50">
        <f t="shared" si="119"/>
        <v>0</v>
      </c>
    </row>
    <row r="170" spans="1:47">
      <c r="A170" s="38" t="str">
        <f t="shared" si="114"/>
        <v>2Y-</v>
      </c>
      <c r="B170" s="38" t="s">
        <v>257</v>
      </c>
      <c r="C170" s="38" t="str">
        <f t="shared" si="118"/>
        <v>Cake Storage/Load Out</v>
      </c>
      <c r="D170" s="186"/>
      <c r="E170" s="325"/>
      <c r="G170" s="36" t="s">
        <v>284</v>
      </c>
      <c r="I170" s="39"/>
      <c r="K170" s="39"/>
      <c r="L170" s="43" t="s">
        <v>293</v>
      </c>
      <c r="N170" s="70">
        <f ca="1">SUMIFS(OFFSET(Assumptions!$I$90,0,MATCH($A170,Configurations,0)-1,COUNT(Assumptions!$A$90:$A$183),1),Assumptions!$D$90:$D$183,$B170&amp;$C170)</f>
        <v>0</v>
      </c>
      <c r="O170" s="313"/>
      <c r="P170" s="323"/>
      <c r="Q170" s="313"/>
      <c r="R170" s="50">
        <f t="shared" ref="R170:AU170" ca="1" si="120">IF(OR(R$99&lt;InServiceYr,R$99&gt;(InServiceYr+analysis_period-1)),0,IF($P170=0,$N170,$P170)*R$501)</f>
        <v>0</v>
      </c>
      <c r="S170" s="50">
        <f t="shared" ca="1" si="120"/>
        <v>0</v>
      </c>
      <c r="T170" s="50">
        <f t="shared" ca="1" si="120"/>
        <v>0</v>
      </c>
      <c r="U170" s="50">
        <f t="shared" ca="1" si="120"/>
        <v>0</v>
      </c>
      <c r="V170" s="50">
        <f t="shared" ca="1" si="120"/>
        <v>0</v>
      </c>
      <c r="W170" s="50">
        <f t="shared" ca="1" si="120"/>
        <v>0</v>
      </c>
      <c r="X170" s="50">
        <f t="shared" ca="1" si="120"/>
        <v>0</v>
      </c>
      <c r="Y170" s="50">
        <f t="shared" ca="1" si="120"/>
        <v>0</v>
      </c>
      <c r="Z170" s="50">
        <f t="shared" ca="1" si="120"/>
        <v>0</v>
      </c>
      <c r="AA170" s="50">
        <f t="shared" ca="1" si="120"/>
        <v>0</v>
      </c>
      <c r="AB170" s="50">
        <f t="shared" ca="1" si="120"/>
        <v>0</v>
      </c>
      <c r="AC170" s="50">
        <f t="shared" ca="1" si="120"/>
        <v>0</v>
      </c>
      <c r="AD170" s="50">
        <f t="shared" ca="1" si="120"/>
        <v>0</v>
      </c>
      <c r="AE170" s="50">
        <f t="shared" ca="1" si="120"/>
        <v>0</v>
      </c>
      <c r="AF170" s="50">
        <f t="shared" ca="1" si="120"/>
        <v>0</v>
      </c>
      <c r="AG170" s="50">
        <f t="shared" ca="1" si="120"/>
        <v>0</v>
      </c>
      <c r="AH170" s="50">
        <f t="shared" ca="1" si="120"/>
        <v>0</v>
      </c>
      <c r="AI170" s="50">
        <f t="shared" ca="1" si="120"/>
        <v>0</v>
      </c>
      <c r="AJ170" s="50">
        <f t="shared" ca="1" si="120"/>
        <v>0</v>
      </c>
      <c r="AK170" s="50">
        <f t="shared" ca="1" si="120"/>
        <v>0</v>
      </c>
      <c r="AL170" s="50">
        <f t="shared" si="120"/>
        <v>0</v>
      </c>
      <c r="AM170" s="50">
        <f t="shared" si="120"/>
        <v>0</v>
      </c>
      <c r="AN170" s="50">
        <f t="shared" si="120"/>
        <v>0</v>
      </c>
      <c r="AO170" s="50">
        <f t="shared" si="120"/>
        <v>0</v>
      </c>
      <c r="AP170" s="50">
        <f t="shared" si="120"/>
        <v>0</v>
      </c>
      <c r="AQ170" s="50">
        <f t="shared" si="120"/>
        <v>0</v>
      </c>
      <c r="AR170" s="50">
        <f t="shared" si="120"/>
        <v>0</v>
      </c>
      <c r="AS170" s="50">
        <f t="shared" si="120"/>
        <v>0</v>
      </c>
      <c r="AT170" s="50">
        <f t="shared" si="120"/>
        <v>0</v>
      </c>
      <c r="AU170" s="50">
        <f t="shared" si="120"/>
        <v>0</v>
      </c>
    </row>
    <row r="171" spans="1:47">
      <c r="A171" s="38" t="str">
        <f t="shared" si="114"/>
        <v>2Y-</v>
      </c>
      <c r="B171" s="38" t="s">
        <v>864</v>
      </c>
      <c r="C171" s="38" t="str">
        <f t="shared" si="118"/>
        <v>Cake Storage/Load Out</v>
      </c>
      <c r="D171" s="186">
        <f>GHGEsc</f>
        <v>0.02</v>
      </c>
      <c r="E171" s="325"/>
      <c r="G171" s="36" t="s">
        <v>865</v>
      </c>
      <c r="I171" s="39"/>
      <c r="K171" s="39"/>
      <c r="L171" s="43" t="s">
        <v>866</v>
      </c>
      <c r="N171" s="70">
        <f ca="1">SUMIFS(OFFSET(Assumptions!$I$90,0,MATCH($A171,Configurations,0)-1,COUNT(Assumptions!$A$90:$A$183),1),Assumptions!$D$90:$D$183,$B171&amp;$C171)</f>
        <v>0</v>
      </c>
      <c r="O171" s="313"/>
      <c r="P171" s="323"/>
      <c r="Q171" s="313"/>
      <c r="R171" s="50">
        <f t="shared" ref="R171:AU171" ca="1" si="121">IF(OR(R$99&lt;InServiceYr,R$99&gt;(InServiceYr+analysis_period-1)),0,IF($P171=0,$N171,$P171)*R$513)</f>
        <v>0</v>
      </c>
      <c r="S171" s="50">
        <f t="shared" ca="1" si="121"/>
        <v>0</v>
      </c>
      <c r="T171" s="50">
        <f t="shared" ca="1" si="121"/>
        <v>0</v>
      </c>
      <c r="U171" s="50">
        <f t="shared" ca="1" si="121"/>
        <v>0</v>
      </c>
      <c r="V171" s="50">
        <f t="shared" ca="1" si="121"/>
        <v>0</v>
      </c>
      <c r="W171" s="50">
        <f t="shared" ca="1" si="121"/>
        <v>0</v>
      </c>
      <c r="X171" s="50">
        <f t="shared" ca="1" si="121"/>
        <v>0</v>
      </c>
      <c r="Y171" s="50">
        <f t="shared" ca="1" si="121"/>
        <v>0</v>
      </c>
      <c r="Z171" s="50">
        <f t="shared" ca="1" si="121"/>
        <v>0</v>
      </c>
      <c r="AA171" s="50">
        <f t="shared" ca="1" si="121"/>
        <v>0</v>
      </c>
      <c r="AB171" s="50">
        <f t="shared" ca="1" si="121"/>
        <v>0</v>
      </c>
      <c r="AC171" s="50">
        <f t="shared" ca="1" si="121"/>
        <v>0</v>
      </c>
      <c r="AD171" s="50">
        <f t="shared" ca="1" si="121"/>
        <v>0</v>
      </c>
      <c r="AE171" s="50">
        <f t="shared" ca="1" si="121"/>
        <v>0</v>
      </c>
      <c r="AF171" s="50">
        <f t="shared" ca="1" si="121"/>
        <v>0</v>
      </c>
      <c r="AG171" s="50">
        <f t="shared" ca="1" si="121"/>
        <v>0</v>
      </c>
      <c r="AH171" s="50">
        <f t="shared" ca="1" si="121"/>
        <v>0</v>
      </c>
      <c r="AI171" s="50">
        <f t="shared" ca="1" si="121"/>
        <v>0</v>
      </c>
      <c r="AJ171" s="50">
        <f t="shared" ca="1" si="121"/>
        <v>0</v>
      </c>
      <c r="AK171" s="50">
        <f t="shared" ca="1" si="121"/>
        <v>0</v>
      </c>
      <c r="AL171" s="50">
        <f t="shared" si="121"/>
        <v>0</v>
      </c>
      <c r="AM171" s="50">
        <f t="shared" si="121"/>
        <v>0</v>
      </c>
      <c r="AN171" s="50">
        <f t="shared" si="121"/>
        <v>0</v>
      </c>
      <c r="AO171" s="50">
        <f t="shared" si="121"/>
        <v>0</v>
      </c>
      <c r="AP171" s="50">
        <f t="shared" si="121"/>
        <v>0</v>
      </c>
      <c r="AQ171" s="50">
        <f t="shared" si="121"/>
        <v>0</v>
      </c>
      <c r="AR171" s="50">
        <f t="shared" si="121"/>
        <v>0</v>
      </c>
      <c r="AS171" s="50">
        <f t="shared" si="121"/>
        <v>0</v>
      </c>
      <c r="AT171" s="50">
        <f t="shared" si="121"/>
        <v>0</v>
      </c>
      <c r="AU171" s="50">
        <f t="shared" si="121"/>
        <v>0</v>
      </c>
    </row>
    <row r="172" spans="1:47">
      <c r="A172" s="38" t="str">
        <f t="shared" si="114"/>
        <v>2Y-</v>
      </c>
      <c r="B172" s="38" t="s">
        <v>273</v>
      </c>
      <c r="C172" s="38" t="str">
        <f>C170</f>
        <v>Cake Storage/Load Out</v>
      </c>
      <c r="D172" s="186">
        <f>LaborEsc</f>
        <v>0.02</v>
      </c>
      <c r="E172" s="325"/>
      <c r="G172" s="36" t="s">
        <v>291</v>
      </c>
      <c r="I172" s="39"/>
      <c r="K172" s="39"/>
      <c r="L172" s="43" t="str">
        <f>"["&amp;CostBaseYr&amp;" $]"</f>
        <v>[2013 $]</v>
      </c>
      <c r="N172" s="70">
        <f ca="1">SUMIFS(OFFSET(Assumptions!$I$90,0,MATCH($A172,Configurations,0)-1,COUNT(Assumptions!$A$90:$A$183),1),Assumptions!$D$90:$D$183,$B172&amp;$C172)</f>
        <v>0</v>
      </c>
      <c r="O172" s="313"/>
      <c r="P172" s="323"/>
      <c r="Q172" s="313"/>
      <c r="R172" s="50">
        <f t="shared" ref="R172:AU172" ca="1" si="122">IF(OR(R$99&lt;InServiceYr,R$99&gt;(InServiceYr+analysis_period-1)),0,IF($P172=0,$N172,$P172)*(1+$D172)^(R$99-CostBaseYr))*R$509</f>
        <v>0</v>
      </c>
      <c r="S172" s="50">
        <f t="shared" ca="1" si="122"/>
        <v>0</v>
      </c>
      <c r="T172" s="50">
        <f t="shared" ca="1" si="122"/>
        <v>0</v>
      </c>
      <c r="U172" s="50">
        <f t="shared" ca="1" si="122"/>
        <v>0</v>
      </c>
      <c r="V172" s="50">
        <f t="shared" ca="1" si="122"/>
        <v>0</v>
      </c>
      <c r="W172" s="50">
        <f t="shared" ca="1" si="122"/>
        <v>0</v>
      </c>
      <c r="X172" s="50">
        <f t="shared" ca="1" si="122"/>
        <v>0</v>
      </c>
      <c r="Y172" s="50">
        <f t="shared" ca="1" si="122"/>
        <v>0</v>
      </c>
      <c r="Z172" s="50">
        <f t="shared" ca="1" si="122"/>
        <v>0</v>
      </c>
      <c r="AA172" s="50">
        <f t="shared" ca="1" si="122"/>
        <v>0</v>
      </c>
      <c r="AB172" s="50">
        <f t="shared" ca="1" si="122"/>
        <v>0</v>
      </c>
      <c r="AC172" s="50">
        <f t="shared" ca="1" si="122"/>
        <v>0</v>
      </c>
      <c r="AD172" s="50">
        <f t="shared" ca="1" si="122"/>
        <v>0</v>
      </c>
      <c r="AE172" s="50">
        <f t="shared" ca="1" si="122"/>
        <v>0</v>
      </c>
      <c r="AF172" s="50">
        <f t="shared" ca="1" si="122"/>
        <v>0</v>
      </c>
      <c r="AG172" s="50">
        <f t="shared" ca="1" si="122"/>
        <v>0</v>
      </c>
      <c r="AH172" s="50">
        <f t="shared" ca="1" si="122"/>
        <v>0</v>
      </c>
      <c r="AI172" s="50">
        <f t="shared" ca="1" si="122"/>
        <v>0</v>
      </c>
      <c r="AJ172" s="50">
        <f t="shared" ca="1" si="122"/>
        <v>0</v>
      </c>
      <c r="AK172" s="50">
        <f t="shared" ca="1" si="122"/>
        <v>0</v>
      </c>
      <c r="AL172" s="50">
        <f t="shared" si="122"/>
        <v>0</v>
      </c>
      <c r="AM172" s="50">
        <f t="shared" si="122"/>
        <v>0</v>
      </c>
      <c r="AN172" s="50">
        <f t="shared" si="122"/>
        <v>0</v>
      </c>
      <c r="AO172" s="50">
        <f t="shared" si="122"/>
        <v>0</v>
      </c>
      <c r="AP172" s="50">
        <f t="shared" si="122"/>
        <v>0</v>
      </c>
      <c r="AQ172" s="50">
        <f t="shared" si="122"/>
        <v>0</v>
      </c>
      <c r="AR172" s="50">
        <f t="shared" si="122"/>
        <v>0</v>
      </c>
      <c r="AS172" s="50">
        <f t="shared" si="122"/>
        <v>0</v>
      </c>
      <c r="AT172" s="50">
        <f t="shared" si="122"/>
        <v>0</v>
      </c>
      <c r="AU172" s="50">
        <f t="shared" si="122"/>
        <v>0</v>
      </c>
    </row>
    <row r="173" spans="1:47">
      <c r="D173" s="186"/>
      <c r="E173" s="325"/>
      <c r="G173" s="39" t="s">
        <v>304</v>
      </c>
      <c r="I173" s="39"/>
      <c r="K173" s="39"/>
      <c r="L173" s="43"/>
      <c r="N173" s="70"/>
      <c r="O173" s="313"/>
      <c r="P173" s="70"/>
      <c r="Q173" s="313"/>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row>
    <row r="174" spans="1:47">
      <c r="A174" s="38" t="str">
        <f>$J$4&amp;"-"</f>
        <v>2Y-</v>
      </c>
      <c r="B174" s="38" t="s">
        <v>265</v>
      </c>
      <c r="C174" s="38" t="str">
        <f>C165</f>
        <v>Cake Storage/Load Out</v>
      </c>
      <c r="D174" s="186"/>
      <c r="E174" s="325"/>
      <c r="G174" s="36" t="s">
        <v>108</v>
      </c>
      <c r="I174" s="39"/>
      <c r="K174" s="39"/>
      <c r="L174" s="43" t="s">
        <v>293</v>
      </c>
      <c r="N174" s="70">
        <f ca="1">SUMIFS(OFFSET(Assumptions!$I$90,0,MATCH($A174,Configurations,0)-1,COUNT(Assumptions!$A$90:$A$183),1),Assumptions!$D$90:$D$183,$B174&amp;$C174)</f>
        <v>0</v>
      </c>
      <c r="O174" s="313"/>
      <c r="P174" s="323"/>
      <c r="Q174" s="313"/>
      <c r="R174" s="50">
        <f t="shared" ref="R174:AU174" ca="1" si="123">IF(OR(R$99&lt;InServiceYr,R$99&gt;(InServiceYr+analysis_period-1)),0,IF($P174=0,$N174,$P174)*R$501)</f>
        <v>0</v>
      </c>
      <c r="S174" s="50">
        <f t="shared" ca="1" si="123"/>
        <v>0</v>
      </c>
      <c r="T174" s="50">
        <f t="shared" ca="1" si="123"/>
        <v>0</v>
      </c>
      <c r="U174" s="50">
        <f t="shared" ca="1" si="123"/>
        <v>0</v>
      </c>
      <c r="V174" s="50">
        <f t="shared" ca="1" si="123"/>
        <v>0</v>
      </c>
      <c r="W174" s="50">
        <f t="shared" ca="1" si="123"/>
        <v>0</v>
      </c>
      <c r="X174" s="50">
        <f t="shared" ca="1" si="123"/>
        <v>0</v>
      </c>
      <c r="Y174" s="50">
        <f t="shared" ca="1" si="123"/>
        <v>0</v>
      </c>
      <c r="Z174" s="50">
        <f t="shared" ca="1" si="123"/>
        <v>0</v>
      </c>
      <c r="AA174" s="50">
        <f t="shared" ca="1" si="123"/>
        <v>0</v>
      </c>
      <c r="AB174" s="50">
        <f t="shared" ca="1" si="123"/>
        <v>0</v>
      </c>
      <c r="AC174" s="50">
        <f t="shared" ca="1" si="123"/>
        <v>0</v>
      </c>
      <c r="AD174" s="50">
        <f t="shared" ca="1" si="123"/>
        <v>0</v>
      </c>
      <c r="AE174" s="50">
        <f t="shared" ca="1" si="123"/>
        <v>0</v>
      </c>
      <c r="AF174" s="50">
        <f t="shared" ca="1" si="123"/>
        <v>0</v>
      </c>
      <c r="AG174" s="50">
        <f t="shared" ca="1" si="123"/>
        <v>0</v>
      </c>
      <c r="AH174" s="50">
        <f t="shared" ca="1" si="123"/>
        <v>0</v>
      </c>
      <c r="AI174" s="50">
        <f t="shared" ca="1" si="123"/>
        <v>0</v>
      </c>
      <c r="AJ174" s="50">
        <f t="shared" ca="1" si="123"/>
        <v>0</v>
      </c>
      <c r="AK174" s="50">
        <f t="shared" ca="1" si="123"/>
        <v>0</v>
      </c>
      <c r="AL174" s="50">
        <f t="shared" si="123"/>
        <v>0</v>
      </c>
      <c r="AM174" s="50">
        <f t="shared" si="123"/>
        <v>0</v>
      </c>
      <c r="AN174" s="50">
        <f t="shared" si="123"/>
        <v>0</v>
      </c>
      <c r="AO174" s="50">
        <f t="shared" si="123"/>
        <v>0</v>
      </c>
      <c r="AP174" s="50">
        <f t="shared" si="123"/>
        <v>0</v>
      </c>
      <c r="AQ174" s="50">
        <f t="shared" si="123"/>
        <v>0</v>
      </c>
      <c r="AR174" s="50">
        <f t="shared" si="123"/>
        <v>0</v>
      </c>
      <c r="AS174" s="50">
        <f t="shared" si="123"/>
        <v>0</v>
      </c>
      <c r="AT174" s="50">
        <f t="shared" si="123"/>
        <v>0</v>
      </c>
      <c r="AU174" s="50">
        <f t="shared" si="123"/>
        <v>0</v>
      </c>
    </row>
    <row r="175" spans="1:47">
      <c r="A175" s="38" t="str">
        <f>$J$4&amp;"-"</f>
        <v>2Y-</v>
      </c>
      <c r="B175" s="38" t="s">
        <v>289</v>
      </c>
      <c r="C175" s="38" t="str">
        <f>C165</f>
        <v>Cake Storage/Load Out</v>
      </c>
      <c r="D175" s="186">
        <f>LaborEsc</f>
        <v>0.02</v>
      </c>
      <c r="E175" s="325"/>
      <c r="G175" s="36" t="s">
        <v>292</v>
      </c>
      <c r="I175" s="39"/>
      <c r="K175" s="39"/>
      <c r="L175" s="43" t="str">
        <f>"["&amp;CostBaseYr&amp;" $]"</f>
        <v>[2013 $]</v>
      </c>
      <c r="N175" s="70">
        <f ca="1">SUMIFS(OFFSET(Assumptions!$I$90,0,MATCH($A175,Configurations,0)-1,COUNT(Assumptions!$A$90:$A$183),1),Assumptions!$D$90:$D$183,$B175&amp;$C175)</f>
        <v>0</v>
      </c>
      <c r="O175" s="313"/>
      <c r="P175" s="323"/>
      <c r="Q175" s="313"/>
      <c r="R175" s="50">
        <f t="shared" ref="R175:AU175" ca="1" si="124">IF(OR(R$99&lt;InServiceYr,R$99&gt;(InServiceYr+analysis_period-1)),0,IF($P175=0,$N175,$P175)*(1+$D175)^(R$99-CostBaseYr))</f>
        <v>0</v>
      </c>
      <c r="S175" s="50">
        <f t="shared" ca="1" si="124"/>
        <v>0</v>
      </c>
      <c r="T175" s="50">
        <f t="shared" ca="1" si="124"/>
        <v>0</v>
      </c>
      <c r="U175" s="50">
        <f t="shared" ca="1" si="124"/>
        <v>0</v>
      </c>
      <c r="V175" s="50">
        <f t="shared" ca="1" si="124"/>
        <v>0</v>
      </c>
      <c r="W175" s="50">
        <f t="shared" ca="1" si="124"/>
        <v>0</v>
      </c>
      <c r="X175" s="50">
        <f t="shared" ca="1" si="124"/>
        <v>0</v>
      </c>
      <c r="Y175" s="50">
        <f t="shared" ca="1" si="124"/>
        <v>0</v>
      </c>
      <c r="Z175" s="50">
        <f t="shared" ca="1" si="124"/>
        <v>0</v>
      </c>
      <c r="AA175" s="50">
        <f t="shared" ca="1" si="124"/>
        <v>0</v>
      </c>
      <c r="AB175" s="50">
        <f t="shared" ca="1" si="124"/>
        <v>0</v>
      </c>
      <c r="AC175" s="50">
        <f t="shared" ca="1" si="124"/>
        <v>0</v>
      </c>
      <c r="AD175" s="50">
        <f t="shared" ca="1" si="124"/>
        <v>0</v>
      </c>
      <c r="AE175" s="50">
        <f t="shared" ca="1" si="124"/>
        <v>0</v>
      </c>
      <c r="AF175" s="50">
        <f t="shared" ca="1" si="124"/>
        <v>0</v>
      </c>
      <c r="AG175" s="50">
        <f t="shared" ca="1" si="124"/>
        <v>0</v>
      </c>
      <c r="AH175" s="50">
        <f t="shared" ca="1" si="124"/>
        <v>0</v>
      </c>
      <c r="AI175" s="50">
        <f t="shared" ca="1" si="124"/>
        <v>0</v>
      </c>
      <c r="AJ175" s="50">
        <f t="shared" ca="1" si="124"/>
        <v>0</v>
      </c>
      <c r="AK175" s="50">
        <f t="shared" ca="1" si="124"/>
        <v>0</v>
      </c>
      <c r="AL175" s="50">
        <f t="shared" si="124"/>
        <v>0</v>
      </c>
      <c r="AM175" s="50">
        <f t="shared" si="124"/>
        <v>0</v>
      </c>
      <c r="AN175" s="50">
        <f t="shared" si="124"/>
        <v>0</v>
      </c>
      <c r="AO175" s="50">
        <f t="shared" si="124"/>
        <v>0</v>
      </c>
      <c r="AP175" s="50">
        <f t="shared" si="124"/>
        <v>0</v>
      </c>
      <c r="AQ175" s="50">
        <f t="shared" si="124"/>
        <v>0</v>
      </c>
      <c r="AR175" s="50">
        <f t="shared" si="124"/>
        <v>0</v>
      </c>
      <c r="AS175" s="50">
        <f t="shared" si="124"/>
        <v>0</v>
      </c>
      <c r="AT175" s="50">
        <f t="shared" si="124"/>
        <v>0</v>
      </c>
      <c r="AU175" s="50">
        <f t="shared" si="124"/>
        <v>0</v>
      </c>
    </row>
    <row r="176" spans="1:47" s="60" customFormat="1">
      <c r="D176" s="187"/>
      <c r="E176" s="325"/>
      <c r="G176" s="39" t="s">
        <v>305</v>
      </c>
      <c r="I176" s="39"/>
      <c r="K176" s="39"/>
      <c r="L176" s="174"/>
      <c r="N176" s="188"/>
      <c r="O176" s="314"/>
      <c r="P176" s="185"/>
      <c r="Q176" s="314"/>
      <c r="R176" s="185">
        <f ca="1">SUM(R165:R172)-SUM(R174:R175)</f>
        <v>45606.75</v>
      </c>
      <c r="S176" s="185">
        <f t="shared" ref="S176:AU176" ca="1" si="125">SUM(S165:S172)-SUM(S174:S175)</f>
        <v>46518.885000000002</v>
      </c>
      <c r="T176" s="185">
        <f t="shared" ca="1" si="125"/>
        <v>47449.262699999999</v>
      </c>
      <c r="U176" s="185">
        <f t="shared" ca="1" si="125"/>
        <v>48398.247953999999</v>
      </c>
      <c r="V176" s="185">
        <f t="shared" ca="1" si="125"/>
        <v>49366.212913080002</v>
      </c>
      <c r="W176" s="185">
        <f t="shared" ca="1" si="125"/>
        <v>50353.537171341603</v>
      </c>
      <c r="X176" s="185">
        <f t="shared" ca="1" si="125"/>
        <v>51360.607914768421</v>
      </c>
      <c r="Y176" s="185">
        <f t="shared" ca="1" si="125"/>
        <v>52387.820073063798</v>
      </c>
      <c r="Z176" s="185">
        <f t="shared" ca="1" si="125"/>
        <v>53435.576474525071</v>
      </c>
      <c r="AA176" s="185">
        <f t="shared" ca="1" si="125"/>
        <v>54504.28800401558</v>
      </c>
      <c r="AB176" s="185">
        <f t="shared" ca="1" si="125"/>
        <v>55594.373764095879</v>
      </c>
      <c r="AC176" s="185">
        <f t="shared" ca="1" si="125"/>
        <v>56706.261239377804</v>
      </c>
      <c r="AD176" s="185">
        <f t="shared" ca="1" si="125"/>
        <v>57840.386464165356</v>
      </c>
      <c r="AE176" s="185">
        <f t="shared" ca="1" si="125"/>
        <v>58997.194193448668</v>
      </c>
      <c r="AF176" s="185">
        <f t="shared" ca="1" si="125"/>
        <v>60177.138077317628</v>
      </c>
      <c r="AG176" s="185">
        <f t="shared" ca="1" si="125"/>
        <v>61380.680838863991</v>
      </c>
      <c r="AH176" s="185">
        <f t="shared" ca="1" si="125"/>
        <v>62608.294455641277</v>
      </c>
      <c r="AI176" s="185">
        <f t="shared" ca="1" si="125"/>
        <v>63860.460344754094</v>
      </c>
      <c r="AJ176" s="185">
        <f t="shared" ca="1" si="125"/>
        <v>65137.669551649175</v>
      </c>
      <c r="AK176" s="185">
        <f t="shared" ca="1" si="125"/>
        <v>66440.422942682169</v>
      </c>
      <c r="AL176" s="185">
        <f t="shared" si="125"/>
        <v>0</v>
      </c>
      <c r="AM176" s="185">
        <f t="shared" si="125"/>
        <v>0</v>
      </c>
      <c r="AN176" s="185">
        <f t="shared" si="125"/>
        <v>0</v>
      </c>
      <c r="AO176" s="185">
        <f t="shared" si="125"/>
        <v>0</v>
      </c>
      <c r="AP176" s="185">
        <f t="shared" si="125"/>
        <v>0</v>
      </c>
      <c r="AQ176" s="185">
        <f t="shared" si="125"/>
        <v>0</v>
      </c>
      <c r="AR176" s="185">
        <f t="shared" si="125"/>
        <v>0</v>
      </c>
      <c r="AS176" s="185">
        <f t="shared" si="125"/>
        <v>0</v>
      </c>
      <c r="AT176" s="185">
        <f t="shared" si="125"/>
        <v>0</v>
      </c>
      <c r="AU176" s="185">
        <f t="shared" si="125"/>
        <v>0</v>
      </c>
    </row>
    <row r="177" spans="1:47">
      <c r="G177" s="28"/>
      <c r="H177" s="28"/>
      <c r="I177" s="28"/>
      <c r="J177" s="28"/>
      <c r="K177" s="28"/>
      <c r="L177" s="409"/>
      <c r="M177" s="46"/>
      <c r="N177" s="46"/>
      <c r="O177" s="315"/>
      <c r="P177" s="46"/>
      <c r="Q177" s="315"/>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row>
    <row r="178" spans="1:47">
      <c r="E178" s="327"/>
      <c r="F178" s="28"/>
      <c r="G178" s="324" t="str">
        <f>C180&amp;" Capital Costs"</f>
        <v>Cake Storage Capital Costs</v>
      </c>
      <c r="H178" s="324"/>
      <c r="I178" s="324"/>
      <c r="J178" s="324"/>
      <c r="K178" s="324"/>
      <c r="L178" s="405" t="s">
        <v>79</v>
      </c>
      <c r="M178" s="256"/>
      <c r="N178" s="325" t="s">
        <v>490</v>
      </c>
      <c r="O178" s="311"/>
      <c r="P178" s="325" t="s">
        <v>491</v>
      </c>
      <c r="Q178" s="310"/>
      <c r="R178" s="325">
        <f>R$8</f>
        <v>2014</v>
      </c>
      <c r="S178" s="325">
        <f t="shared" ref="S178:AU178" si="126">S$8</f>
        <v>2015</v>
      </c>
      <c r="T178" s="325">
        <f t="shared" si="126"/>
        <v>2016</v>
      </c>
      <c r="U178" s="325">
        <f t="shared" si="126"/>
        <v>2017</v>
      </c>
      <c r="V178" s="325">
        <f t="shared" si="126"/>
        <v>2018</v>
      </c>
      <c r="W178" s="325">
        <f t="shared" si="126"/>
        <v>2019</v>
      </c>
      <c r="X178" s="325">
        <f t="shared" si="126"/>
        <v>2020</v>
      </c>
      <c r="Y178" s="325">
        <f t="shared" si="126"/>
        <v>2021</v>
      </c>
      <c r="Z178" s="325">
        <f t="shared" si="126"/>
        <v>2022</v>
      </c>
      <c r="AA178" s="325">
        <f t="shared" si="126"/>
        <v>2023</v>
      </c>
      <c r="AB178" s="325">
        <f t="shared" si="126"/>
        <v>2024</v>
      </c>
      <c r="AC178" s="325">
        <f t="shared" si="126"/>
        <v>2025</v>
      </c>
      <c r="AD178" s="325">
        <f t="shared" si="126"/>
        <v>2026</v>
      </c>
      <c r="AE178" s="325">
        <f t="shared" si="126"/>
        <v>2027</v>
      </c>
      <c r="AF178" s="325">
        <f t="shared" si="126"/>
        <v>2028</v>
      </c>
      <c r="AG178" s="325">
        <f t="shared" si="126"/>
        <v>2029</v>
      </c>
      <c r="AH178" s="325">
        <f t="shared" si="126"/>
        <v>2030</v>
      </c>
      <c r="AI178" s="325">
        <f t="shared" si="126"/>
        <v>2031</v>
      </c>
      <c r="AJ178" s="325">
        <f t="shared" si="126"/>
        <v>2032</v>
      </c>
      <c r="AK178" s="325">
        <f t="shared" si="126"/>
        <v>2033</v>
      </c>
      <c r="AL178" s="325">
        <f t="shared" si="126"/>
        <v>2034</v>
      </c>
      <c r="AM178" s="325">
        <f t="shared" si="126"/>
        <v>2035</v>
      </c>
      <c r="AN178" s="325">
        <f t="shared" si="126"/>
        <v>2036</v>
      </c>
      <c r="AO178" s="325">
        <f t="shared" si="126"/>
        <v>2037</v>
      </c>
      <c r="AP178" s="325">
        <f t="shared" si="126"/>
        <v>2038</v>
      </c>
      <c r="AQ178" s="325">
        <f t="shared" si="126"/>
        <v>2039</v>
      </c>
      <c r="AR178" s="325">
        <f t="shared" si="126"/>
        <v>2040</v>
      </c>
      <c r="AS178" s="325">
        <f t="shared" si="126"/>
        <v>2041</v>
      </c>
      <c r="AT178" s="325">
        <f t="shared" si="126"/>
        <v>2042</v>
      </c>
      <c r="AU178" s="325">
        <f t="shared" si="126"/>
        <v>2043</v>
      </c>
    </row>
    <row r="179" spans="1:47">
      <c r="E179" s="325"/>
      <c r="G179" s="39"/>
      <c r="H179" s="39"/>
      <c r="I179" s="39"/>
      <c r="J179" s="39"/>
      <c r="K179" s="39"/>
    </row>
    <row r="180" spans="1:47">
      <c r="A180" s="38" t="str">
        <f>$J$4&amp;"-"</f>
        <v>2Y-</v>
      </c>
      <c r="B180" s="38" t="s">
        <v>306</v>
      </c>
      <c r="C180" s="38" t="s">
        <v>317</v>
      </c>
      <c r="D180" s="186">
        <f>CapExEsc</f>
        <v>0.03</v>
      </c>
      <c r="E180" s="325"/>
      <c r="G180" s="36" t="s">
        <v>8</v>
      </c>
      <c r="H180" s="39"/>
      <c r="I180" s="39"/>
      <c r="J180" s="70"/>
      <c r="K180" s="39"/>
      <c r="L180" s="43" t="str">
        <f>"["&amp;CostBaseYr&amp;" $]"</f>
        <v>[2013 $]</v>
      </c>
      <c r="N180" s="52">
        <f ca="1">SUMIFS(OFFSET(Assumptions!$I$65,0,MATCH($A180,Configurations,0)-1,COUNT(Assumptions!$A$65:$A$84),1),Assumptions!$E$65:$E$84,$C180)</f>
        <v>3325000</v>
      </c>
      <c r="O180" s="52"/>
      <c r="P180" s="322"/>
      <c r="Q180" s="52"/>
      <c r="R180" s="52">
        <f t="shared" ref="R180:AU180" ca="1" si="127">R181*IF($P180=0,$N180,$P180)*(1+$D180)^(R$8-CostBaseYr)</f>
        <v>3424750</v>
      </c>
      <c r="S180" s="52">
        <f t="shared" ca="1" si="127"/>
        <v>0</v>
      </c>
      <c r="T180" s="52">
        <f t="shared" ca="1" si="127"/>
        <v>0</v>
      </c>
      <c r="U180" s="52">
        <f t="shared" ca="1" si="127"/>
        <v>0</v>
      </c>
      <c r="V180" s="52">
        <f t="shared" ca="1" si="127"/>
        <v>0</v>
      </c>
      <c r="W180" s="52">
        <f t="shared" ca="1" si="127"/>
        <v>0</v>
      </c>
      <c r="X180" s="52">
        <f t="shared" ca="1" si="127"/>
        <v>0</v>
      </c>
      <c r="Y180" s="52">
        <f t="shared" ca="1" si="127"/>
        <v>0</v>
      </c>
      <c r="Z180" s="52">
        <f t="shared" ca="1" si="127"/>
        <v>0</v>
      </c>
      <c r="AA180" s="52">
        <f t="shared" ca="1" si="127"/>
        <v>0</v>
      </c>
      <c r="AB180" s="52">
        <f t="shared" ca="1" si="127"/>
        <v>0</v>
      </c>
      <c r="AC180" s="52">
        <f t="shared" ca="1" si="127"/>
        <v>0</v>
      </c>
      <c r="AD180" s="52">
        <f t="shared" ca="1" si="127"/>
        <v>0</v>
      </c>
      <c r="AE180" s="52">
        <f t="shared" ca="1" si="127"/>
        <v>0</v>
      </c>
      <c r="AF180" s="52">
        <f t="shared" ca="1" si="127"/>
        <v>0</v>
      </c>
      <c r="AG180" s="52">
        <f t="shared" ca="1" si="127"/>
        <v>0</v>
      </c>
      <c r="AH180" s="52">
        <f t="shared" ca="1" si="127"/>
        <v>0</v>
      </c>
      <c r="AI180" s="52">
        <f t="shared" ca="1" si="127"/>
        <v>0</v>
      </c>
      <c r="AJ180" s="52">
        <f t="shared" ca="1" si="127"/>
        <v>0</v>
      </c>
      <c r="AK180" s="52">
        <f t="shared" ca="1" si="127"/>
        <v>0</v>
      </c>
      <c r="AL180" s="52">
        <f t="shared" ca="1" si="127"/>
        <v>0</v>
      </c>
      <c r="AM180" s="52">
        <f t="shared" ca="1" si="127"/>
        <v>0</v>
      </c>
      <c r="AN180" s="52">
        <f t="shared" ca="1" si="127"/>
        <v>0</v>
      </c>
      <c r="AO180" s="52">
        <f t="shared" ca="1" si="127"/>
        <v>0</v>
      </c>
      <c r="AP180" s="52">
        <f t="shared" ca="1" si="127"/>
        <v>0</v>
      </c>
      <c r="AQ180" s="52">
        <f t="shared" ca="1" si="127"/>
        <v>0</v>
      </c>
      <c r="AR180" s="52">
        <f t="shared" ca="1" si="127"/>
        <v>0</v>
      </c>
      <c r="AS180" s="52">
        <f t="shared" ca="1" si="127"/>
        <v>0</v>
      </c>
      <c r="AT180" s="52">
        <f t="shared" ca="1" si="127"/>
        <v>0</v>
      </c>
      <c r="AU180" s="52">
        <f t="shared" ca="1" si="127"/>
        <v>0</v>
      </c>
    </row>
    <row r="181" spans="1:47">
      <c r="E181" s="325"/>
      <c r="G181" s="36" t="s">
        <v>10</v>
      </c>
      <c r="H181" s="39"/>
      <c r="I181" s="39"/>
      <c r="J181" s="39"/>
      <c r="K181" s="39"/>
      <c r="L181" s="43"/>
      <c r="R181" s="54">
        <f>Assumptions!M$60</f>
        <v>1</v>
      </c>
      <c r="S181" s="54">
        <f>Assumptions!N$60</f>
        <v>0</v>
      </c>
      <c r="T181" s="54">
        <f>Assumptions!O$60</f>
        <v>0</v>
      </c>
      <c r="U181" s="54">
        <f>Assumptions!P$60</f>
        <v>0</v>
      </c>
      <c r="V181" s="54">
        <f>Assumptions!Q$60</f>
        <v>0</v>
      </c>
      <c r="W181" s="54">
        <f>Assumptions!R$60</f>
        <v>0</v>
      </c>
      <c r="X181" s="54">
        <f>Assumptions!S$60</f>
        <v>0</v>
      </c>
      <c r="Y181" s="54">
        <f>Assumptions!T$60</f>
        <v>0</v>
      </c>
      <c r="Z181" s="54">
        <f>Assumptions!U$60</f>
        <v>0</v>
      </c>
      <c r="AA181" s="54">
        <f>Assumptions!V$60</f>
        <v>0</v>
      </c>
      <c r="AB181" s="54">
        <f>Assumptions!W$60</f>
        <v>0</v>
      </c>
      <c r="AC181" s="54">
        <f>Assumptions!X$60</f>
        <v>0</v>
      </c>
      <c r="AD181" s="54">
        <f>Assumptions!Y$60</f>
        <v>0</v>
      </c>
      <c r="AE181" s="54">
        <f>Assumptions!Z$60</f>
        <v>0</v>
      </c>
      <c r="AF181" s="54">
        <f>Assumptions!AA$60</f>
        <v>0</v>
      </c>
      <c r="AG181" s="54">
        <f>Assumptions!AB$60</f>
        <v>0</v>
      </c>
      <c r="AH181" s="54">
        <f>Assumptions!AC$60</f>
        <v>0</v>
      </c>
      <c r="AI181" s="54">
        <f>Assumptions!AD$60</f>
        <v>0</v>
      </c>
      <c r="AJ181" s="54">
        <f>Assumptions!AE$60</f>
        <v>0</v>
      </c>
      <c r="AK181" s="54">
        <f>Assumptions!AF$60</f>
        <v>0</v>
      </c>
      <c r="AL181" s="54">
        <f>Assumptions!AG$60</f>
        <v>0</v>
      </c>
      <c r="AM181" s="54">
        <f>Assumptions!AH$60</f>
        <v>0</v>
      </c>
      <c r="AN181" s="54">
        <f>Assumptions!AI$60</f>
        <v>0</v>
      </c>
      <c r="AO181" s="54">
        <f>Assumptions!AJ$60</f>
        <v>0</v>
      </c>
      <c r="AP181" s="54">
        <f>Assumptions!AK$60</f>
        <v>0</v>
      </c>
      <c r="AQ181" s="54">
        <f>Assumptions!AL$60</f>
        <v>0</v>
      </c>
      <c r="AR181" s="54">
        <f>Assumptions!AM$60</f>
        <v>0</v>
      </c>
      <c r="AS181" s="54">
        <f>Assumptions!AN$60</f>
        <v>0</v>
      </c>
      <c r="AT181" s="54">
        <f>Assumptions!AO$60</f>
        <v>0</v>
      </c>
      <c r="AU181" s="54">
        <f>Assumptions!AP$60</f>
        <v>0</v>
      </c>
    </row>
    <row r="182" spans="1:47">
      <c r="E182" s="326"/>
      <c r="G182" s="39"/>
      <c r="H182" s="39"/>
      <c r="I182" s="39"/>
      <c r="J182" s="39"/>
      <c r="K182" s="39"/>
    </row>
    <row r="183" spans="1:47">
      <c r="E183" s="327"/>
      <c r="F183" s="28"/>
      <c r="G183" s="324" t="str">
        <f>C180&amp;" O&amp;M"</f>
        <v>Cake Storage O&amp;M</v>
      </c>
      <c r="H183" s="324"/>
      <c r="I183" s="324"/>
      <c r="J183" s="324"/>
      <c r="K183" s="324"/>
      <c r="L183" s="405" t="s">
        <v>79</v>
      </c>
      <c r="M183" s="256"/>
      <c r="N183" s="325" t="s">
        <v>490</v>
      </c>
      <c r="O183" s="311"/>
      <c r="P183" s="325" t="s">
        <v>491</v>
      </c>
      <c r="Q183" s="310"/>
      <c r="R183" s="325">
        <f>R$8</f>
        <v>2014</v>
      </c>
      <c r="S183" s="325">
        <f t="shared" ref="S183:AU183" si="128">S$8</f>
        <v>2015</v>
      </c>
      <c r="T183" s="325">
        <f t="shared" si="128"/>
        <v>2016</v>
      </c>
      <c r="U183" s="325">
        <f t="shared" si="128"/>
        <v>2017</v>
      </c>
      <c r="V183" s="325">
        <f t="shared" si="128"/>
        <v>2018</v>
      </c>
      <c r="W183" s="325">
        <f t="shared" si="128"/>
        <v>2019</v>
      </c>
      <c r="X183" s="325">
        <f t="shared" si="128"/>
        <v>2020</v>
      </c>
      <c r="Y183" s="325">
        <f t="shared" si="128"/>
        <v>2021</v>
      </c>
      <c r="Z183" s="325">
        <f t="shared" si="128"/>
        <v>2022</v>
      </c>
      <c r="AA183" s="325">
        <f t="shared" si="128"/>
        <v>2023</v>
      </c>
      <c r="AB183" s="325">
        <f t="shared" si="128"/>
        <v>2024</v>
      </c>
      <c r="AC183" s="325">
        <f t="shared" si="128"/>
        <v>2025</v>
      </c>
      <c r="AD183" s="325">
        <f t="shared" si="128"/>
        <v>2026</v>
      </c>
      <c r="AE183" s="325">
        <f t="shared" si="128"/>
        <v>2027</v>
      </c>
      <c r="AF183" s="325">
        <f t="shared" si="128"/>
        <v>2028</v>
      </c>
      <c r="AG183" s="325">
        <f t="shared" si="128"/>
        <v>2029</v>
      </c>
      <c r="AH183" s="325">
        <f t="shared" si="128"/>
        <v>2030</v>
      </c>
      <c r="AI183" s="325">
        <f t="shared" si="128"/>
        <v>2031</v>
      </c>
      <c r="AJ183" s="325">
        <f t="shared" si="128"/>
        <v>2032</v>
      </c>
      <c r="AK183" s="325">
        <f t="shared" si="128"/>
        <v>2033</v>
      </c>
      <c r="AL183" s="325">
        <f t="shared" si="128"/>
        <v>2034</v>
      </c>
      <c r="AM183" s="325">
        <f t="shared" si="128"/>
        <v>2035</v>
      </c>
      <c r="AN183" s="325">
        <f t="shared" si="128"/>
        <v>2036</v>
      </c>
      <c r="AO183" s="325">
        <f t="shared" si="128"/>
        <v>2037</v>
      </c>
      <c r="AP183" s="325">
        <f t="shared" si="128"/>
        <v>2038</v>
      </c>
      <c r="AQ183" s="325">
        <f t="shared" si="128"/>
        <v>2039</v>
      </c>
      <c r="AR183" s="325">
        <f t="shared" si="128"/>
        <v>2040</v>
      </c>
      <c r="AS183" s="325">
        <f t="shared" si="128"/>
        <v>2041</v>
      </c>
      <c r="AT183" s="325">
        <f t="shared" si="128"/>
        <v>2042</v>
      </c>
      <c r="AU183" s="325">
        <f t="shared" si="128"/>
        <v>2043</v>
      </c>
    </row>
    <row r="184" spans="1:47">
      <c r="E184" s="325"/>
      <c r="G184" s="39"/>
      <c r="H184" s="39"/>
      <c r="I184" s="39"/>
      <c r="J184" s="39"/>
      <c r="K184" s="39"/>
    </row>
    <row r="185" spans="1:47">
      <c r="E185" s="325"/>
      <c r="G185" s="39" t="s">
        <v>23</v>
      </c>
      <c r="H185" s="39"/>
      <c r="I185" s="39"/>
      <c r="J185" s="39"/>
      <c r="K185" s="39"/>
    </row>
    <row r="186" spans="1:47">
      <c r="A186" s="38" t="str">
        <f t="shared" ref="A186:A193" si="129">$J$4&amp;"-"</f>
        <v>2Y-</v>
      </c>
      <c r="B186" s="38" t="s">
        <v>262</v>
      </c>
      <c r="C186" s="38" t="str">
        <f>C180</f>
        <v>Cake Storage</v>
      </c>
      <c r="D186" s="186">
        <f>LaborEsc</f>
        <v>0.02</v>
      </c>
      <c r="E186" s="325"/>
      <c r="G186" s="36" t="s">
        <v>125</v>
      </c>
      <c r="I186" s="39"/>
      <c r="K186" s="39"/>
      <c r="L186" s="43" t="s">
        <v>266</v>
      </c>
      <c r="N186" s="70">
        <f ca="1">SUMIFS(OFFSET(Assumptions!$I$90,0,MATCH($A186,Configurations,0)-1,COUNT(Assumptions!$A$90:$A$183),1),Assumptions!$D$90:$D$183,$B186&amp;$C186)</f>
        <v>0</v>
      </c>
      <c r="O186" s="313"/>
      <c r="P186" s="323"/>
      <c r="Q186" s="313"/>
      <c r="R186" s="50">
        <f t="shared" ref="R186:AU186" ca="1" si="130">IF(OR(R$99&lt;InServiceYr,R$99&gt;(InServiceYr+analysis_period-1)),0,IF($P186=0,$N186,$P186)*LaborCost*(1+$D186)^(R$99-CostBaseYr))</f>
        <v>0</v>
      </c>
      <c r="S186" s="50">
        <f t="shared" ca="1" si="130"/>
        <v>0</v>
      </c>
      <c r="T186" s="50">
        <f t="shared" ca="1" si="130"/>
        <v>0</v>
      </c>
      <c r="U186" s="50">
        <f t="shared" ca="1" si="130"/>
        <v>0</v>
      </c>
      <c r="V186" s="50">
        <f t="shared" ca="1" si="130"/>
        <v>0</v>
      </c>
      <c r="W186" s="50">
        <f t="shared" ca="1" si="130"/>
        <v>0</v>
      </c>
      <c r="X186" s="50">
        <f t="shared" ca="1" si="130"/>
        <v>0</v>
      </c>
      <c r="Y186" s="50">
        <f t="shared" ca="1" si="130"/>
        <v>0</v>
      </c>
      <c r="Z186" s="50">
        <f t="shared" ca="1" si="130"/>
        <v>0</v>
      </c>
      <c r="AA186" s="50">
        <f t="shared" ca="1" si="130"/>
        <v>0</v>
      </c>
      <c r="AB186" s="50">
        <f t="shared" ca="1" si="130"/>
        <v>0</v>
      </c>
      <c r="AC186" s="50">
        <f t="shared" ca="1" si="130"/>
        <v>0</v>
      </c>
      <c r="AD186" s="50">
        <f t="shared" ca="1" si="130"/>
        <v>0</v>
      </c>
      <c r="AE186" s="50">
        <f t="shared" ca="1" si="130"/>
        <v>0</v>
      </c>
      <c r="AF186" s="50">
        <f t="shared" ca="1" si="130"/>
        <v>0</v>
      </c>
      <c r="AG186" s="50">
        <f t="shared" ca="1" si="130"/>
        <v>0</v>
      </c>
      <c r="AH186" s="50">
        <f t="shared" ca="1" si="130"/>
        <v>0</v>
      </c>
      <c r="AI186" s="50">
        <f t="shared" ca="1" si="130"/>
        <v>0</v>
      </c>
      <c r="AJ186" s="50">
        <f t="shared" ca="1" si="130"/>
        <v>0</v>
      </c>
      <c r="AK186" s="50">
        <f t="shared" ca="1" si="130"/>
        <v>0</v>
      </c>
      <c r="AL186" s="50">
        <f t="shared" si="130"/>
        <v>0</v>
      </c>
      <c r="AM186" s="50">
        <f t="shared" si="130"/>
        <v>0</v>
      </c>
      <c r="AN186" s="50">
        <f t="shared" si="130"/>
        <v>0</v>
      </c>
      <c r="AO186" s="50">
        <f t="shared" si="130"/>
        <v>0</v>
      </c>
      <c r="AP186" s="50">
        <f t="shared" si="130"/>
        <v>0</v>
      </c>
      <c r="AQ186" s="50">
        <f t="shared" si="130"/>
        <v>0</v>
      </c>
      <c r="AR186" s="50">
        <f t="shared" si="130"/>
        <v>0</v>
      </c>
      <c r="AS186" s="50">
        <f t="shared" si="130"/>
        <v>0</v>
      </c>
      <c r="AT186" s="50">
        <f t="shared" si="130"/>
        <v>0</v>
      </c>
      <c r="AU186" s="50">
        <f t="shared" si="130"/>
        <v>0</v>
      </c>
    </row>
    <row r="187" spans="1:47">
      <c r="A187" s="38" t="str">
        <f t="shared" si="129"/>
        <v>2Y-</v>
      </c>
      <c r="B187" s="38" t="s">
        <v>270</v>
      </c>
      <c r="C187" s="38" t="str">
        <f>C186</f>
        <v>Cake Storage</v>
      </c>
      <c r="D187" s="186">
        <f>OMEsc</f>
        <v>0.02</v>
      </c>
      <c r="E187" s="325"/>
      <c r="G187" s="36" t="s">
        <v>126</v>
      </c>
      <c r="I187" s="39"/>
      <c r="K187" s="39"/>
      <c r="L187" s="43" t="str">
        <f>"["&amp;CostBaseYr&amp;" $]"</f>
        <v>[2013 $]</v>
      </c>
      <c r="N187" s="70">
        <f ca="1">SUMIFS(OFFSET(Assumptions!$I$90,0,MATCH($A187,Configurations,0)-1,COUNT(Assumptions!$A$90:$A$183),1),Assumptions!$D$90:$D$183,$B187&amp;$C187)</f>
        <v>59000</v>
      </c>
      <c r="O187" s="313"/>
      <c r="P187" s="323"/>
      <c r="Q187" s="313"/>
      <c r="R187" s="50">
        <f t="shared" ref="R187:AG189" ca="1" si="131">IF(OR(R$99&lt;InServiceYr,R$99&gt;(InServiceYr+analysis_period-1)),0,IF($P187=0,$N187,$P187)*(1+$D187)^(R$99-CostBaseYr))</f>
        <v>60180</v>
      </c>
      <c r="S187" s="50">
        <f t="shared" ca="1" si="131"/>
        <v>61383.6</v>
      </c>
      <c r="T187" s="50">
        <f t="shared" ca="1" si="131"/>
        <v>62611.271999999997</v>
      </c>
      <c r="U187" s="50">
        <f t="shared" ca="1" si="131"/>
        <v>63863.497439999999</v>
      </c>
      <c r="V187" s="50">
        <f t="shared" ca="1" si="131"/>
        <v>65140.767388799999</v>
      </c>
      <c r="W187" s="50">
        <f t="shared" ca="1" si="131"/>
        <v>66443.582736576005</v>
      </c>
      <c r="X187" s="50">
        <f t="shared" ca="1" si="131"/>
        <v>67772.454391307503</v>
      </c>
      <c r="Y187" s="50">
        <f t="shared" ca="1" si="131"/>
        <v>69127.90347913366</v>
      </c>
      <c r="Z187" s="50">
        <f t="shared" ca="1" si="131"/>
        <v>70510.461548716339</v>
      </c>
      <c r="AA187" s="50">
        <f t="shared" ca="1" si="131"/>
        <v>71920.67077969067</v>
      </c>
      <c r="AB187" s="50">
        <f t="shared" ca="1" si="131"/>
        <v>73359.084195284464</v>
      </c>
      <c r="AC187" s="50">
        <f t="shared" ca="1" si="131"/>
        <v>74826.265879190178</v>
      </c>
      <c r="AD187" s="50">
        <f t="shared" ca="1" si="131"/>
        <v>76322.791196773964</v>
      </c>
      <c r="AE187" s="50">
        <f t="shared" ca="1" si="131"/>
        <v>77849.247020709459</v>
      </c>
      <c r="AF187" s="50">
        <f t="shared" ca="1" si="131"/>
        <v>79406.231961123631</v>
      </c>
      <c r="AG187" s="50">
        <f t="shared" ca="1" si="131"/>
        <v>80994.356600346116</v>
      </c>
      <c r="AH187" s="50">
        <f t="shared" ref="S187:AU189" ca="1" si="132">IF(OR(AH$99&lt;InServiceYr,AH$99&gt;(InServiceYr+analysis_period-1)),0,IF($P187=0,$N187,$P187)*(1+$D187)^(AH$99-CostBaseYr))</f>
        <v>82614.243732353047</v>
      </c>
      <c r="AI187" s="50">
        <f t="shared" ca="1" si="132"/>
        <v>84266.528607000088</v>
      </c>
      <c r="AJ187" s="50">
        <f t="shared" ca="1" si="132"/>
        <v>85951.859179140083</v>
      </c>
      <c r="AK187" s="50">
        <f t="shared" ca="1" si="132"/>
        <v>87670.896362722895</v>
      </c>
      <c r="AL187" s="50">
        <f t="shared" si="132"/>
        <v>0</v>
      </c>
      <c r="AM187" s="50">
        <f t="shared" si="132"/>
        <v>0</v>
      </c>
      <c r="AN187" s="50">
        <f t="shared" si="132"/>
        <v>0</v>
      </c>
      <c r="AO187" s="50">
        <f t="shared" si="132"/>
        <v>0</v>
      </c>
      <c r="AP187" s="50">
        <f t="shared" si="132"/>
        <v>0</v>
      </c>
      <c r="AQ187" s="50">
        <f t="shared" si="132"/>
        <v>0</v>
      </c>
      <c r="AR187" s="50">
        <f t="shared" si="132"/>
        <v>0</v>
      </c>
      <c r="AS187" s="50">
        <f t="shared" si="132"/>
        <v>0</v>
      </c>
      <c r="AT187" s="50">
        <f t="shared" si="132"/>
        <v>0</v>
      </c>
      <c r="AU187" s="50">
        <f t="shared" si="132"/>
        <v>0</v>
      </c>
    </row>
    <row r="188" spans="1:47">
      <c r="A188" s="38" t="str">
        <f t="shared" si="129"/>
        <v>2Y-</v>
      </c>
      <c r="B188" s="38" t="s">
        <v>263</v>
      </c>
      <c r="C188" s="38" t="str">
        <f t="shared" ref="C188:C192" si="133">C187</f>
        <v>Cake Storage</v>
      </c>
      <c r="D188" s="186">
        <f>OMEsc</f>
        <v>0.02</v>
      </c>
      <c r="E188" s="325"/>
      <c r="G188" s="36" t="s">
        <v>127</v>
      </c>
      <c r="I188" s="39"/>
      <c r="K188" s="39"/>
      <c r="L188" s="43" t="str">
        <f>"["&amp;CostBaseYr&amp;" $]"</f>
        <v>[2013 $]</v>
      </c>
      <c r="N188" s="70">
        <f ca="1">SUMIFS(OFFSET(Assumptions!$I$90,0,MATCH($A188,Configurations,0)-1,COUNT(Assumptions!$A$90:$A$183),1),Assumptions!$D$90:$D$183,$B188&amp;$C188)</f>
        <v>0</v>
      </c>
      <c r="O188" s="313"/>
      <c r="P188" s="323"/>
      <c r="Q188" s="313"/>
      <c r="R188" s="50">
        <f t="shared" ca="1" si="131"/>
        <v>0</v>
      </c>
      <c r="S188" s="50">
        <f t="shared" ca="1" si="132"/>
        <v>0</v>
      </c>
      <c r="T188" s="50">
        <f t="shared" ca="1" si="132"/>
        <v>0</v>
      </c>
      <c r="U188" s="50">
        <f t="shared" ca="1" si="132"/>
        <v>0</v>
      </c>
      <c r="V188" s="50">
        <f t="shared" ca="1" si="132"/>
        <v>0</v>
      </c>
      <c r="W188" s="50">
        <f t="shared" ca="1" si="132"/>
        <v>0</v>
      </c>
      <c r="X188" s="50">
        <f t="shared" ca="1" si="132"/>
        <v>0</v>
      </c>
      <c r="Y188" s="50">
        <f t="shared" ca="1" si="132"/>
        <v>0</v>
      </c>
      <c r="Z188" s="50">
        <f t="shared" ca="1" si="132"/>
        <v>0</v>
      </c>
      <c r="AA188" s="50">
        <f t="shared" ca="1" si="132"/>
        <v>0</v>
      </c>
      <c r="AB188" s="50">
        <f t="shared" ca="1" si="132"/>
        <v>0</v>
      </c>
      <c r="AC188" s="50">
        <f t="shared" ca="1" si="132"/>
        <v>0</v>
      </c>
      <c r="AD188" s="50">
        <f t="shared" ca="1" si="132"/>
        <v>0</v>
      </c>
      <c r="AE188" s="50">
        <f t="shared" ca="1" si="132"/>
        <v>0</v>
      </c>
      <c r="AF188" s="50">
        <f t="shared" ca="1" si="132"/>
        <v>0</v>
      </c>
      <c r="AG188" s="50">
        <f t="shared" ca="1" si="132"/>
        <v>0</v>
      </c>
      <c r="AH188" s="50">
        <f t="shared" ca="1" si="132"/>
        <v>0</v>
      </c>
      <c r="AI188" s="50">
        <f t="shared" ca="1" si="132"/>
        <v>0</v>
      </c>
      <c r="AJ188" s="50">
        <f t="shared" ca="1" si="132"/>
        <v>0</v>
      </c>
      <c r="AK188" s="50">
        <f t="shared" ca="1" si="132"/>
        <v>0</v>
      </c>
      <c r="AL188" s="50">
        <f t="shared" si="132"/>
        <v>0</v>
      </c>
      <c r="AM188" s="50">
        <f t="shared" si="132"/>
        <v>0</v>
      </c>
      <c r="AN188" s="50">
        <f t="shared" si="132"/>
        <v>0</v>
      </c>
      <c r="AO188" s="50">
        <f t="shared" si="132"/>
        <v>0</v>
      </c>
      <c r="AP188" s="50">
        <f t="shared" si="132"/>
        <v>0</v>
      </c>
      <c r="AQ188" s="50">
        <f t="shared" si="132"/>
        <v>0</v>
      </c>
      <c r="AR188" s="50">
        <f t="shared" si="132"/>
        <v>0</v>
      </c>
      <c r="AS188" s="50">
        <f t="shared" si="132"/>
        <v>0</v>
      </c>
      <c r="AT188" s="50">
        <f t="shared" si="132"/>
        <v>0</v>
      </c>
      <c r="AU188" s="50">
        <f t="shared" si="132"/>
        <v>0</v>
      </c>
    </row>
    <row r="189" spans="1:47">
      <c r="A189" s="38" t="str">
        <f t="shared" si="129"/>
        <v>2Y-</v>
      </c>
      <c r="B189" s="38" t="s">
        <v>277</v>
      </c>
      <c r="C189" s="38" t="str">
        <f t="shared" si="133"/>
        <v>Cake Storage</v>
      </c>
      <c r="D189" s="186">
        <f>OMEsc</f>
        <v>0.02</v>
      </c>
      <c r="E189" s="325"/>
      <c r="G189" s="36" t="s">
        <v>276</v>
      </c>
      <c r="I189" s="39"/>
      <c r="K189" s="39"/>
      <c r="L189" s="43" t="str">
        <f>"["&amp;CostBaseYr&amp;" $]"</f>
        <v>[2013 $]</v>
      </c>
      <c r="N189" s="70">
        <f ca="1">SUMIFS(OFFSET(Assumptions!$I$90,0,MATCH($A189,Configurations,0)-1,COUNT(Assumptions!$A$90:$A$183),1),Assumptions!$D$90:$D$183,$B189&amp;$C189)</f>
        <v>0</v>
      </c>
      <c r="O189" s="313"/>
      <c r="P189" s="323"/>
      <c r="Q189" s="313"/>
      <c r="R189" s="50">
        <f t="shared" ca="1" si="131"/>
        <v>0</v>
      </c>
      <c r="S189" s="50">
        <f t="shared" ca="1" si="132"/>
        <v>0</v>
      </c>
      <c r="T189" s="50">
        <f t="shared" ca="1" si="132"/>
        <v>0</v>
      </c>
      <c r="U189" s="50">
        <f t="shared" ca="1" si="132"/>
        <v>0</v>
      </c>
      <c r="V189" s="50">
        <f t="shared" ca="1" si="132"/>
        <v>0</v>
      </c>
      <c r="W189" s="50">
        <f t="shared" ca="1" si="132"/>
        <v>0</v>
      </c>
      <c r="X189" s="50">
        <f t="shared" ca="1" si="132"/>
        <v>0</v>
      </c>
      <c r="Y189" s="50">
        <f t="shared" ca="1" si="132"/>
        <v>0</v>
      </c>
      <c r="Z189" s="50">
        <f t="shared" ca="1" si="132"/>
        <v>0</v>
      </c>
      <c r="AA189" s="50">
        <f t="shared" ca="1" si="132"/>
        <v>0</v>
      </c>
      <c r="AB189" s="50">
        <f t="shared" ca="1" si="132"/>
        <v>0</v>
      </c>
      <c r="AC189" s="50">
        <f t="shared" ca="1" si="132"/>
        <v>0</v>
      </c>
      <c r="AD189" s="50">
        <f t="shared" ca="1" si="132"/>
        <v>0</v>
      </c>
      <c r="AE189" s="50">
        <f t="shared" ca="1" si="132"/>
        <v>0</v>
      </c>
      <c r="AF189" s="50">
        <f t="shared" ca="1" si="132"/>
        <v>0</v>
      </c>
      <c r="AG189" s="50">
        <f t="shared" ca="1" si="132"/>
        <v>0</v>
      </c>
      <c r="AH189" s="50">
        <f t="shared" ca="1" si="132"/>
        <v>0</v>
      </c>
      <c r="AI189" s="50">
        <f t="shared" ca="1" si="132"/>
        <v>0</v>
      </c>
      <c r="AJ189" s="50">
        <f t="shared" ca="1" si="132"/>
        <v>0</v>
      </c>
      <c r="AK189" s="50">
        <f t="shared" ca="1" si="132"/>
        <v>0</v>
      </c>
      <c r="AL189" s="50">
        <f t="shared" si="132"/>
        <v>0</v>
      </c>
      <c r="AM189" s="50">
        <f t="shared" si="132"/>
        <v>0</v>
      </c>
      <c r="AN189" s="50">
        <f t="shared" si="132"/>
        <v>0</v>
      </c>
      <c r="AO189" s="50">
        <f t="shared" si="132"/>
        <v>0</v>
      </c>
      <c r="AP189" s="50">
        <f t="shared" si="132"/>
        <v>0</v>
      </c>
      <c r="AQ189" s="50">
        <f t="shared" si="132"/>
        <v>0</v>
      </c>
      <c r="AR189" s="50">
        <f t="shared" si="132"/>
        <v>0</v>
      </c>
      <c r="AS189" s="50">
        <f t="shared" si="132"/>
        <v>0</v>
      </c>
      <c r="AT189" s="50">
        <f t="shared" si="132"/>
        <v>0</v>
      </c>
      <c r="AU189" s="50">
        <f t="shared" si="132"/>
        <v>0</v>
      </c>
    </row>
    <row r="190" spans="1:47">
      <c r="A190" s="38" t="str">
        <f t="shared" si="129"/>
        <v>2Y-</v>
      </c>
      <c r="B190" s="38" t="s">
        <v>274</v>
      </c>
      <c r="C190" s="38" t="str">
        <f t="shared" si="133"/>
        <v>Cake Storage</v>
      </c>
      <c r="D190" s="186"/>
      <c r="E190" s="325"/>
      <c r="G190" s="36" t="s">
        <v>16</v>
      </c>
      <c r="I190" s="39"/>
      <c r="K190" s="39"/>
      <c r="L190" s="43" t="s">
        <v>275</v>
      </c>
      <c r="N190" s="70">
        <f ca="1">SUMIFS(OFFSET(Assumptions!$I$90,0,MATCH($A190,Configurations,0)-1,COUNT(Assumptions!$A$90:$A$183),1),Assumptions!$D$90:$D$183,$B190&amp;$C190)</f>
        <v>0</v>
      </c>
      <c r="O190" s="313"/>
      <c r="P190" s="323"/>
      <c r="Q190" s="313"/>
      <c r="R190" s="50">
        <f t="shared" ref="R190:AU190" ca="1" si="134">IF(OR(R$99&lt;InServiceYr,R$99&gt;(InServiceYr+analysis_period-1)),0,IF($P190=0,$N190,$P190)*R$505)</f>
        <v>0</v>
      </c>
      <c r="S190" s="50">
        <f t="shared" ca="1" si="134"/>
        <v>0</v>
      </c>
      <c r="T190" s="50">
        <f t="shared" ca="1" si="134"/>
        <v>0</v>
      </c>
      <c r="U190" s="50">
        <f t="shared" ca="1" si="134"/>
        <v>0</v>
      </c>
      <c r="V190" s="50">
        <f t="shared" ca="1" si="134"/>
        <v>0</v>
      </c>
      <c r="W190" s="50">
        <f t="shared" ca="1" si="134"/>
        <v>0</v>
      </c>
      <c r="X190" s="50">
        <f t="shared" ca="1" si="134"/>
        <v>0</v>
      </c>
      <c r="Y190" s="50">
        <f t="shared" ca="1" si="134"/>
        <v>0</v>
      </c>
      <c r="Z190" s="50">
        <f t="shared" ca="1" si="134"/>
        <v>0</v>
      </c>
      <c r="AA190" s="50">
        <f t="shared" ca="1" si="134"/>
        <v>0</v>
      </c>
      <c r="AB190" s="50">
        <f t="shared" ca="1" si="134"/>
        <v>0</v>
      </c>
      <c r="AC190" s="50">
        <f t="shared" ca="1" si="134"/>
        <v>0</v>
      </c>
      <c r="AD190" s="50">
        <f t="shared" ca="1" si="134"/>
        <v>0</v>
      </c>
      <c r="AE190" s="50">
        <f t="shared" ca="1" si="134"/>
        <v>0</v>
      </c>
      <c r="AF190" s="50">
        <f t="shared" ca="1" si="134"/>
        <v>0</v>
      </c>
      <c r="AG190" s="50">
        <f t="shared" ca="1" si="134"/>
        <v>0</v>
      </c>
      <c r="AH190" s="50">
        <f t="shared" ca="1" si="134"/>
        <v>0</v>
      </c>
      <c r="AI190" s="50">
        <f t="shared" ca="1" si="134"/>
        <v>0</v>
      </c>
      <c r="AJ190" s="50">
        <f t="shared" ca="1" si="134"/>
        <v>0</v>
      </c>
      <c r="AK190" s="50">
        <f t="shared" ca="1" si="134"/>
        <v>0</v>
      </c>
      <c r="AL190" s="50">
        <f t="shared" si="134"/>
        <v>0</v>
      </c>
      <c r="AM190" s="50">
        <f t="shared" si="134"/>
        <v>0</v>
      </c>
      <c r="AN190" s="50">
        <f t="shared" si="134"/>
        <v>0</v>
      </c>
      <c r="AO190" s="50">
        <f t="shared" si="134"/>
        <v>0</v>
      </c>
      <c r="AP190" s="50">
        <f t="shared" si="134"/>
        <v>0</v>
      </c>
      <c r="AQ190" s="50">
        <f t="shared" si="134"/>
        <v>0</v>
      </c>
      <c r="AR190" s="50">
        <f t="shared" si="134"/>
        <v>0</v>
      </c>
      <c r="AS190" s="50">
        <f t="shared" si="134"/>
        <v>0</v>
      </c>
      <c r="AT190" s="50">
        <f t="shared" si="134"/>
        <v>0</v>
      </c>
      <c r="AU190" s="50">
        <f t="shared" si="134"/>
        <v>0</v>
      </c>
    </row>
    <row r="191" spans="1:47">
      <c r="A191" s="38" t="str">
        <f t="shared" si="129"/>
        <v>2Y-</v>
      </c>
      <c r="B191" s="38" t="s">
        <v>257</v>
      </c>
      <c r="C191" s="38" t="str">
        <f t="shared" si="133"/>
        <v>Cake Storage</v>
      </c>
      <c r="D191" s="186"/>
      <c r="E191" s="325"/>
      <c r="G191" s="36" t="s">
        <v>284</v>
      </c>
      <c r="I191" s="39"/>
      <c r="K191" s="39"/>
      <c r="L191" s="43" t="s">
        <v>293</v>
      </c>
      <c r="N191" s="70">
        <f ca="1">SUMIFS(OFFSET(Assumptions!$I$90,0,MATCH($A191,Configurations,0)-1,COUNT(Assumptions!$A$90:$A$183),1),Assumptions!$D$90:$D$183,$B191&amp;$C191)</f>
        <v>32850</v>
      </c>
      <c r="O191" s="313"/>
      <c r="P191" s="323"/>
      <c r="Q191" s="313"/>
      <c r="R191" s="50">
        <f t="shared" ref="R191:AU191" ca="1" si="135">IF(OR(R$99&lt;InServiceYr,R$99&gt;(InServiceYr+analysis_period-1)),0,IF($P191=0,$N191,$P191)*R$501)</f>
        <v>2121.5041166621049</v>
      </c>
      <c r="S191" s="50">
        <f t="shared" ca="1" si="135"/>
        <v>2134.7285789349235</v>
      </c>
      <c r="T191" s="50">
        <f t="shared" ca="1" si="135"/>
        <v>2226.7566030856242</v>
      </c>
      <c r="U191" s="50">
        <f t="shared" ca="1" si="135"/>
        <v>2293.5537290575717</v>
      </c>
      <c r="V191" s="50">
        <f t="shared" ca="1" si="135"/>
        <v>2348.8997271444578</v>
      </c>
      <c r="W191" s="50">
        <f t="shared" ca="1" si="135"/>
        <v>2378.949865646357</v>
      </c>
      <c r="X191" s="50">
        <f t="shared" ca="1" si="135"/>
        <v>2417.6612636404284</v>
      </c>
      <c r="Y191" s="50">
        <f t="shared" ca="1" si="135"/>
        <v>2477.2275130840158</v>
      </c>
      <c r="Z191" s="50">
        <f t="shared" ca="1" si="135"/>
        <v>2536.5340289050928</v>
      </c>
      <c r="AA191" s="50">
        <f t="shared" ca="1" si="135"/>
        <v>2599.9536097625855</v>
      </c>
      <c r="AB191" s="50">
        <f t="shared" ca="1" si="135"/>
        <v>2656.2680928144764</v>
      </c>
      <c r="AC191" s="50">
        <f t="shared" ca="1" si="135"/>
        <v>2707.4181440707871</v>
      </c>
      <c r="AD191" s="50">
        <f t="shared" ca="1" si="135"/>
        <v>2769.9589539053318</v>
      </c>
      <c r="AE191" s="50">
        <f t="shared" ca="1" si="135"/>
        <v>2833.0909125366024</v>
      </c>
      <c r="AF191" s="50">
        <f t="shared" ca="1" si="135"/>
        <v>2900.4521947209632</v>
      </c>
      <c r="AG191" s="50">
        <f t="shared" ca="1" si="135"/>
        <v>2975.9127082311493</v>
      </c>
      <c r="AH191" s="50">
        <f t="shared" ca="1" si="135"/>
        <v>3048.8447670073251</v>
      </c>
      <c r="AI191" s="50">
        <f t="shared" ca="1" si="135"/>
        <v>3127.9366231259764</v>
      </c>
      <c r="AJ191" s="50">
        <f t="shared" ca="1" si="135"/>
        <v>3211.6668356521409</v>
      </c>
      <c r="AK191" s="50">
        <f t="shared" ca="1" si="135"/>
        <v>3299.0346629225437</v>
      </c>
      <c r="AL191" s="50">
        <f t="shared" si="135"/>
        <v>0</v>
      </c>
      <c r="AM191" s="50">
        <f t="shared" si="135"/>
        <v>0</v>
      </c>
      <c r="AN191" s="50">
        <f t="shared" si="135"/>
        <v>0</v>
      </c>
      <c r="AO191" s="50">
        <f t="shared" si="135"/>
        <v>0</v>
      </c>
      <c r="AP191" s="50">
        <f t="shared" si="135"/>
        <v>0</v>
      </c>
      <c r="AQ191" s="50">
        <f t="shared" si="135"/>
        <v>0</v>
      </c>
      <c r="AR191" s="50">
        <f t="shared" si="135"/>
        <v>0</v>
      </c>
      <c r="AS191" s="50">
        <f t="shared" si="135"/>
        <v>0</v>
      </c>
      <c r="AT191" s="50">
        <f t="shared" si="135"/>
        <v>0</v>
      </c>
      <c r="AU191" s="50">
        <f t="shared" si="135"/>
        <v>0</v>
      </c>
    </row>
    <row r="192" spans="1:47">
      <c r="A192" s="38" t="str">
        <f t="shared" si="129"/>
        <v>2Y-</v>
      </c>
      <c r="B192" s="38" t="s">
        <v>864</v>
      </c>
      <c r="C192" s="38" t="str">
        <f t="shared" si="133"/>
        <v>Cake Storage</v>
      </c>
      <c r="D192" s="186">
        <f>GHGEsc</f>
        <v>0.02</v>
      </c>
      <c r="E192" s="325"/>
      <c r="G192" s="36" t="s">
        <v>865</v>
      </c>
      <c r="I192" s="39"/>
      <c r="K192" s="39"/>
      <c r="L192" s="43" t="s">
        <v>866</v>
      </c>
      <c r="N192" s="70">
        <f ca="1">SUMIFS(OFFSET(Assumptions!$I$90,0,MATCH($A192,Configurations,0)-1,COUNT(Assumptions!$A$90:$A$183),1),Assumptions!$D$90:$D$183,$B192&amp;$C192)</f>
        <v>0</v>
      </c>
      <c r="O192" s="313"/>
      <c r="P192" s="323"/>
      <c r="Q192" s="313"/>
      <c r="R192" s="50">
        <f t="shared" ref="R192:AU192" ca="1" si="136">IF(OR(R$99&lt;InServiceYr,R$99&gt;(InServiceYr+analysis_period-1)),0,IF($P192=0,$N192,$P192)*R$513)</f>
        <v>0</v>
      </c>
      <c r="S192" s="50">
        <f t="shared" ca="1" si="136"/>
        <v>0</v>
      </c>
      <c r="T192" s="50">
        <f t="shared" ca="1" si="136"/>
        <v>0</v>
      </c>
      <c r="U192" s="50">
        <f t="shared" ca="1" si="136"/>
        <v>0</v>
      </c>
      <c r="V192" s="50">
        <f t="shared" ca="1" si="136"/>
        <v>0</v>
      </c>
      <c r="W192" s="50">
        <f t="shared" ca="1" si="136"/>
        <v>0</v>
      </c>
      <c r="X192" s="50">
        <f t="shared" ca="1" si="136"/>
        <v>0</v>
      </c>
      <c r="Y192" s="50">
        <f t="shared" ca="1" si="136"/>
        <v>0</v>
      </c>
      <c r="Z192" s="50">
        <f t="shared" ca="1" si="136"/>
        <v>0</v>
      </c>
      <c r="AA192" s="50">
        <f t="shared" ca="1" si="136"/>
        <v>0</v>
      </c>
      <c r="AB192" s="50">
        <f t="shared" ca="1" si="136"/>
        <v>0</v>
      </c>
      <c r="AC192" s="50">
        <f t="shared" ca="1" si="136"/>
        <v>0</v>
      </c>
      <c r="AD192" s="50">
        <f t="shared" ca="1" si="136"/>
        <v>0</v>
      </c>
      <c r="AE192" s="50">
        <f t="shared" ca="1" si="136"/>
        <v>0</v>
      </c>
      <c r="AF192" s="50">
        <f t="shared" ca="1" si="136"/>
        <v>0</v>
      </c>
      <c r="AG192" s="50">
        <f t="shared" ca="1" si="136"/>
        <v>0</v>
      </c>
      <c r="AH192" s="50">
        <f t="shared" ca="1" si="136"/>
        <v>0</v>
      </c>
      <c r="AI192" s="50">
        <f t="shared" ca="1" si="136"/>
        <v>0</v>
      </c>
      <c r="AJ192" s="50">
        <f t="shared" ca="1" si="136"/>
        <v>0</v>
      </c>
      <c r="AK192" s="50">
        <f t="shared" ca="1" si="136"/>
        <v>0</v>
      </c>
      <c r="AL192" s="50">
        <f t="shared" si="136"/>
        <v>0</v>
      </c>
      <c r="AM192" s="50">
        <f t="shared" si="136"/>
        <v>0</v>
      </c>
      <c r="AN192" s="50">
        <f t="shared" si="136"/>
        <v>0</v>
      </c>
      <c r="AO192" s="50">
        <f t="shared" si="136"/>
        <v>0</v>
      </c>
      <c r="AP192" s="50">
        <f t="shared" si="136"/>
        <v>0</v>
      </c>
      <c r="AQ192" s="50">
        <f t="shared" si="136"/>
        <v>0</v>
      </c>
      <c r="AR192" s="50">
        <f t="shared" si="136"/>
        <v>0</v>
      </c>
      <c r="AS192" s="50">
        <f t="shared" si="136"/>
        <v>0</v>
      </c>
      <c r="AT192" s="50">
        <f t="shared" si="136"/>
        <v>0</v>
      </c>
      <c r="AU192" s="50">
        <f t="shared" si="136"/>
        <v>0</v>
      </c>
    </row>
    <row r="193" spans="1:47">
      <c r="A193" s="38" t="str">
        <f t="shared" si="129"/>
        <v>2Y-</v>
      </c>
      <c r="B193" s="38" t="s">
        <v>273</v>
      </c>
      <c r="C193" s="38" t="str">
        <f>C191</f>
        <v>Cake Storage</v>
      </c>
      <c r="D193" s="186">
        <f>LaborEsc</f>
        <v>0.02</v>
      </c>
      <c r="E193" s="325"/>
      <c r="G193" s="36" t="s">
        <v>291</v>
      </c>
      <c r="I193" s="39"/>
      <c r="K193" s="39"/>
      <c r="L193" s="43" t="str">
        <f>"["&amp;CostBaseYr&amp;" $]"</f>
        <v>[2013 $]</v>
      </c>
      <c r="N193" s="70">
        <f ca="1">SUMIFS(OFFSET(Assumptions!$I$90,0,MATCH($A193,Configurations,0)-1,COUNT(Assumptions!$A$90:$A$183),1),Assumptions!$D$90:$D$183,$B193&amp;$C193)</f>
        <v>0</v>
      </c>
      <c r="O193" s="313"/>
      <c r="P193" s="323"/>
      <c r="Q193" s="313"/>
      <c r="R193" s="50">
        <f t="shared" ref="R193:AU193" ca="1" si="137">IF(OR(R$99&lt;InServiceYr,R$99&gt;(InServiceYr+analysis_period-1)),0,IF($P193=0,$N193,$P193)*(1+$D193)^(R$99-CostBaseYr))*R$509</f>
        <v>0</v>
      </c>
      <c r="S193" s="50">
        <f t="shared" ca="1" si="137"/>
        <v>0</v>
      </c>
      <c r="T193" s="50">
        <f t="shared" ca="1" si="137"/>
        <v>0</v>
      </c>
      <c r="U193" s="50">
        <f t="shared" ca="1" si="137"/>
        <v>0</v>
      </c>
      <c r="V193" s="50">
        <f t="shared" ca="1" si="137"/>
        <v>0</v>
      </c>
      <c r="W193" s="50">
        <f t="shared" ca="1" si="137"/>
        <v>0</v>
      </c>
      <c r="X193" s="50">
        <f t="shared" ca="1" si="137"/>
        <v>0</v>
      </c>
      <c r="Y193" s="50">
        <f t="shared" ca="1" si="137"/>
        <v>0</v>
      </c>
      <c r="Z193" s="50">
        <f t="shared" ca="1" si="137"/>
        <v>0</v>
      </c>
      <c r="AA193" s="50">
        <f t="shared" ca="1" si="137"/>
        <v>0</v>
      </c>
      <c r="AB193" s="50">
        <f t="shared" ca="1" si="137"/>
        <v>0</v>
      </c>
      <c r="AC193" s="50">
        <f t="shared" ca="1" si="137"/>
        <v>0</v>
      </c>
      <c r="AD193" s="50">
        <f t="shared" ca="1" si="137"/>
        <v>0</v>
      </c>
      <c r="AE193" s="50">
        <f t="shared" ca="1" si="137"/>
        <v>0</v>
      </c>
      <c r="AF193" s="50">
        <f t="shared" ca="1" si="137"/>
        <v>0</v>
      </c>
      <c r="AG193" s="50">
        <f t="shared" ca="1" si="137"/>
        <v>0</v>
      </c>
      <c r="AH193" s="50">
        <f t="shared" ca="1" si="137"/>
        <v>0</v>
      </c>
      <c r="AI193" s="50">
        <f t="shared" ca="1" si="137"/>
        <v>0</v>
      </c>
      <c r="AJ193" s="50">
        <f t="shared" ca="1" si="137"/>
        <v>0</v>
      </c>
      <c r="AK193" s="50">
        <f t="shared" ca="1" si="137"/>
        <v>0</v>
      </c>
      <c r="AL193" s="50">
        <f t="shared" si="137"/>
        <v>0</v>
      </c>
      <c r="AM193" s="50">
        <f t="shared" si="137"/>
        <v>0</v>
      </c>
      <c r="AN193" s="50">
        <f t="shared" si="137"/>
        <v>0</v>
      </c>
      <c r="AO193" s="50">
        <f t="shared" si="137"/>
        <v>0</v>
      </c>
      <c r="AP193" s="50">
        <f t="shared" si="137"/>
        <v>0</v>
      </c>
      <c r="AQ193" s="50">
        <f t="shared" si="137"/>
        <v>0</v>
      </c>
      <c r="AR193" s="50">
        <f t="shared" si="137"/>
        <v>0</v>
      </c>
      <c r="AS193" s="50">
        <f t="shared" si="137"/>
        <v>0</v>
      </c>
      <c r="AT193" s="50">
        <f t="shared" si="137"/>
        <v>0</v>
      </c>
      <c r="AU193" s="50">
        <f t="shared" si="137"/>
        <v>0</v>
      </c>
    </row>
    <row r="194" spans="1:47">
      <c r="D194" s="186"/>
      <c r="E194" s="325"/>
      <c r="G194" s="39" t="s">
        <v>304</v>
      </c>
      <c r="I194" s="39"/>
      <c r="K194" s="39"/>
      <c r="L194" s="43"/>
      <c r="N194" s="70"/>
      <c r="O194" s="313"/>
      <c r="P194" s="70"/>
      <c r="Q194" s="313"/>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row>
    <row r="195" spans="1:47">
      <c r="A195" s="38" t="str">
        <f>$J$4&amp;"-"</f>
        <v>2Y-</v>
      </c>
      <c r="B195" s="38" t="s">
        <v>265</v>
      </c>
      <c r="C195" s="38" t="str">
        <f>C186</f>
        <v>Cake Storage</v>
      </c>
      <c r="D195" s="186"/>
      <c r="E195" s="325"/>
      <c r="G195" s="36" t="s">
        <v>108</v>
      </c>
      <c r="I195" s="39"/>
      <c r="K195" s="39"/>
      <c r="L195" s="43" t="s">
        <v>293</v>
      </c>
      <c r="N195" s="70">
        <f ca="1">SUMIFS(OFFSET(Assumptions!$I$90,0,MATCH($A195,Configurations,0)-1,COUNT(Assumptions!$A$90:$A$183),1),Assumptions!$D$90:$D$183,$B195&amp;$C195)</f>
        <v>0</v>
      </c>
      <c r="O195" s="313"/>
      <c r="P195" s="323"/>
      <c r="Q195" s="313"/>
      <c r="R195" s="50">
        <f t="shared" ref="R195:AU195" ca="1" si="138">IF(OR(R$99&lt;InServiceYr,R$99&gt;(InServiceYr+analysis_period-1)),0,IF($P195=0,$N195,$P195)*R$501)</f>
        <v>0</v>
      </c>
      <c r="S195" s="50">
        <f t="shared" ca="1" si="138"/>
        <v>0</v>
      </c>
      <c r="T195" s="50">
        <f t="shared" ca="1" si="138"/>
        <v>0</v>
      </c>
      <c r="U195" s="50">
        <f t="shared" ca="1" si="138"/>
        <v>0</v>
      </c>
      <c r="V195" s="50">
        <f t="shared" ca="1" si="138"/>
        <v>0</v>
      </c>
      <c r="W195" s="50">
        <f t="shared" ca="1" si="138"/>
        <v>0</v>
      </c>
      <c r="X195" s="50">
        <f t="shared" ca="1" si="138"/>
        <v>0</v>
      </c>
      <c r="Y195" s="50">
        <f t="shared" ca="1" si="138"/>
        <v>0</v>
      </c>
      <c r="Z195" s="50">
        <f t="shared" ca="1" si="138"/>
        <v>0</v>
      </c>
      <c r="AA195" s="50">
        <f t="shared" ca="1" si="138"/>
        <v>0</v>
      </c>
      <c r="AB195" s="50">
        <f t="shared" ca="1" si="138"/>
        <v>0</v>
      </c>
      <c r="AC195" s="50">
        <f t="shared" ca="1" si="138"/>
        <v>0</v>
      </c>
      <c r="AD195" s="50">
        <f t="shared" ca="1" si="138"/>
        <v>0</v>
      </c>
      <c r="AE195" s="50">
        <f t="shared" ca="1" si="138"/>
        <v>0</v>
      </c>
      <c r="AF195" s="50">
        <f t="shared" ca="1" si="138"/>
        <v>0</v>
      </c>
      <c r="AG195" s="50">
        <f t="shared" ca="1" si="138"/>
        <v>0</v>
      </c>
      <c r="AH195" s="50">
        <f t="shared" ca="1" si="138"/>
        <v>0</v>
      </c>
      <c r="AI195" s="50">
        <f t="shared" ca="1" si="138"/>
        <v>0</v>
      </c>
      <c r="AJ195" s="50">
        <f t="shared" ca="1" si="138"/>
        <v>0</v>
      </c>
      <c r="AK195" s="50">
        <f t="shared" ca="1" si="138"/>
        <v>0</v>
      </c>
      <c r="AL195" s="50">
        <f t="shared" si="138"/>
        <v>0</v>
      </c>
      <c r="AM195" s="50">
        <f t="shared" si="138"/>
        <v>0</v>
      </c>
      <c r="AN195" s="50">
        <f t="shared" si="138"/>
        <v>0</v>
      </c>
      <c r="AO195" s="50">
        <f t="shared" si="138"/>
        <v>0</v>
      </c>
      <c r="AP195" s="50">
        <f t="shared" si="138"/>
        <v>0</v>
      </c>
      <c r="AQ195" s="50">
        <f t="shared" si="138"/>
        <v>0</v>
      </c>
      <c r="AR195" s="50">
        <f t="shared" si="138"/>
        <v>0</v>
      </c>
      <c r="AS195" s="50">
        <f t="shared" si="138"/>
        <v>0</v>
      </c>
      <c r="AT195" s="50">
        <f t="shared" si="138"/>
        <v>0</v>
      </c>
      <c r="AU195" s="50">
        <f t="shared" si="138"/>
        <v>0</v>
      </c>
    </row>
    <row r="196" spans="1:47">
      <c r="A196" s="38" t="str">
        <f>$J$4&amp;"-"</f>
        <v>2Y-</v>
      </c>
      <c r="B196" s="38" t="s">
        <v>289</v>
      </c>
      <c r="C196" s="38" t="str">
        <f>C186</f>
        <v>Cake Storage</v>
      </c>
      <c r="D196" s="186">
        <f>LaborEsc</f>
        <v>0.02</v>
      </c>
      <c r="E196" s="325"/>
      <c r="G196" s="36" t="s">
        <v>292</v>
      </c>
      <c r="I196" s="39"/>
      <c r="K196" s="39"/>
      <c r="L196" s="43" t="str">
        <f>"["&amp;CostBaseYr&amp;" $]"</f>
        <v>[2013 $]</v>
      </c>
      <c r="N196" s="70">
        <f ca="1">SUMIFS(OFFSET(Assumptions!$I$90,0,MATCH($A196,Configurations,0)-1,COUNT(Assumptions!$A$90:$A$183),1),Assumptions!$D$90:$D$183,$B196&amp;$C196)</f>
        <v>0</v>
      </c>
      <c r="O196" s="313"/>
      <c r="P196" s="323"/>
      <c r="Q196" s="313"/>
      <c r="R196" s="50">
        <f t="shared" ref="R196:AU196" ca="1" si="139">IF(OR(R$99&lt;InServiceYr,R$99&gt;(InServiceYr+analysis_period-1)),0,IF($P196=0,$N196,$P196)*(1+$D196)^(R$99-CostBaseYr))</f>
        <v>0</v>
      </c>
      <c r="S196" s="50">
        <f t="shared" ca="1" si="139"/>
        <v>0</v>
      </c>
      <c r="T196" s="50">
        <f t="shared" ca="1" si="139"/>
        <v>0</v>
      </c>
      <c r="U196" s="50">
        <f t="shared" ca="1" si="139"/>
        <v>0</v>
      </c>
      <c r="V196" s="50">
        <f t="shared" ca="1" si="139"/>
        <v>0</v>
      </c>
      <c r="W196" s="50">
        <f t="shared" ca="1" si="139"/>
        <v>0</v>
      </c>
      <c r="X196" s="50">
        <f t="shared" ca="1" si="139"/>
        <v>0</v>
      </c>
      <c r="Y196" s="50">
        <f t="shared" ca="1" si="139"/>
        <v>0</v>
      </c>
      <c r="Z196" s="50">
        <f t="shared" ca="1" si="139"/>
        <v>0</v>
      </c>
      <c r="AA196" s="50">
        <f t="shared" ca="1" si="139"/>
        <v>0</v>
      </c>
      <c r="AB196" s="50">
        <f t="shared" ca="1" si="139"/>
        <v>0</v>
      </c>
      <c r="AC196" s="50">
        <f t="shared" ca="1" si="139"/>
        <v>0</v>
      </c>
      <c r="AD196" s="50">
        <f t="shared" ca="1" si="139"/>
        <v>0</v>
      </c>
      <c r="AE196" s="50">
        <f t="shared" ca="1" si="139"/>
        <v>0</v>
      </c>
      <c r="AF196" s="50">
        <f t="shared" ca="1" si="139"/>
        <v>0</v>
      </c>
      <c r="AG196" s="50">
        <f t="shared" ca="1" si="139"/>
        <v>0</v>
      </c>
      <c r="AH196" s="50">
        <f t="shared" ca="1" si="139"/>
        <v>0</v>
      </c>
      <c r="AI196" s="50">
        <f t="shared" ca="1" si="139"/>
        <v>0</v>
      </c>
      <c r="AJ196" s="50">
        <f t="shared" ca="1" si="139"/>
        <v>0</v>
      </c>
      <c r="AK196" s="50">
        <f t="shared" ca="1" si="139"/>
        <v>0</v>
      </c>
      <c r="AL196" s="50">
        <f t="shared" si="139"/>
        <v>0</v>
      </c>
      <c r="AM196" s="50">
        <f t="shared" si="139"/>
        <v>0</v>
      </c>
      <c r="AN196" s="50">
        <f t="shared" si="139"/>
        <v>0</v>
      </c>
      <c r="AO196" s="50">
        <f t="shared" si="139"/>
        <v>0</v>
      </c>
      <c r="AP196" s="50">
        <f t="shared" si="139"/>
        <v>0</v>
      </c>
      <c r="AQ196" s="50">
        <f t="shared" si="139"/>
        <v>0</v>
      </c>
      <c r="AR196" s="50">
        <f t="shared" si="139"/>
        <v>0</v>
      </c>
      <c r="AS196" s="50">
        <f t="shared" si="139"/>
        <v>0</v>
      </c>
      <c r="AT196" s="50">
        <f t="shared" si="139"/>
        <v>0</v>
      </c>
      <c r="AU196" s="50">
        <f t="shared" si="139"/>
        <v>0</v>
      </c>
    </row>
    <row r="197" spans="1:47" s="60" customFormat="1">
      <c r="D197" s="187"/>
      <c r="E197" s="325"/>
      <c r="G197" s="39" t="s">
        <v>305</v>
      </c>
      <c r="I197" s="39"/>
      <c r="K197" s="39"/>
      <c r="L197" s="174"/>
      <c r="N197" s="188"/>
      <c r="O197" s="314"/>
      <c r="P197" s="185"/>
      <c r="Q197" s="314"/>
      <c r="R197" s="185">
        <f ca="1">SUM(R186:R193)-SUM(R195:R196)</f>
        <v>62301.504116662109</v>
      </c>
      <c r="S197" s="185">
        <f t="shared" ref="S197:AU197" ca="1" si="140">SUM(S186:S193)-SUM(S195:S196)</f>
        <v>63518.328578934925</v>
      </c>
      <c r="T197" s="185">
        <f t="shared" ca="1" si="140"/>
        <v>64838.028603085622</v>
      </c>
      <c r="U197" s="185">
        <f t="shared" ca="1" si="140"/>
        <v>66157.051169057566</v>
      </c>
      <c r="V197" s="185">
        <f t="shared" ca="1" si="140"/>
        <v>67489.667115944452</v>
      </c>
      <c r="W197" s="185">
        <f t="shared" ca="1" si="140"/>
        <v>68822.53260222236</v>
      </c>
      <c r="X197" s="185">
        <f t="shared" ca="1" si="140"/>
        <v>70190.115654947935</v>
      </c>
      <c r="Y197" s="185">
        <f t="shared" ca="1" si="140"/>
        <v>71605.130992217673</v>
      </c>
      <c r="Z197" s="185">
        <f t="shared" ca="1" si="140"/>
        <v>73046.995577621434</v>
      </c>
      <c r="AA197" s="185">
        <f t="shared" ca="1" si="140"/>
        <v>74520.624389453253</v>
      </c>
      <c r="AB197" s="185">
        <f t="shared" ca="1" si="140"/>
        <v>76015.352288098948</v>
      </c>
      <c r="AC197" s="185">
        <f t="shared" ca="1" si="140"/>
        <v>77533.684023260968</v>
      </c>
      <c r="AD197" s="185">
        <f t="shared" ca="1" si="140"/>
        <v>79092.750150679291</v>
      </c>
      <c r="AE197" s="185">
        <f t="shared" ca="1" si="140"/>
        <v>80682.337933246061</v>
      </c>
      <c r="AF197" s="185">
        <f t="shared" ca="1" si="140"/>
        <v>82306.684155844589</v>
      </c>
      <c r="AG197" s="185">
        <f t="shared" ca="1" si="140"/>
        <v>83970.269308577263</v>
      </c>
      <c r="AH197" s="185">
        <f t="shared" ca="1" si="140"/>
        <v>85663.088499360369</v>
      </c>
      <c r="AI197" s="185">
        <f t="shared" ca="1" si="140"/>
        <v>87394.465230126065</v>
      </c>
      <c r="AJ197" s="185">
        <f t="shared" ca="1" si="140"/>
        <v>89163.526014792224</v>
      </c>
      <c r="AK197" s="185">
        <f t="shared" ca="1" si="140"/>
        <v>90969.931025645434</v>
      </c>
      <c r="AL197" s="185">
        <f t="shared" si="140"/>
        <v>0</v>
      </c>
      <c r="AM197" s="185">
        <f t="shared" si="140"/>
        <v>0</v>
      </c>
      <c r="AN197" s="185">
        <f t="shared" si="140"/>
        <v>0</v>
      </c>
      <c r="AO197" s="185">
        <f t="shared" si="140"/>
        <v>0</v>
      </c>
      <c r="AP197" s="185">
        <f t="shared" si="140"/>
        <v>0</v>
      </c>
      <c r="AQ197" s="185">
        <f t="shared" si="140"/>
        <v>0</v>
      </c>
      <c r="AR197" s="185">
        <f t="shared" si="140"/>
        <v>0</v>
      </c>
      <c r="AS197" s="185">
        <f t="shared" si="140"/>
        <v>0</v>
      </c>
      <c r="AT197" s="185">
        <f t="shared" si="140"/>
        <v>0</v>
      </c>
      <c r="AU197" s="185">
        <f t="shared" si="140"/>
        <v>0</v>
      </c>
    </row>
    <row r="198" spans="1:47">
      <c r="G198" s="28"/>
      <c r="H198" s="28"/>
      <c r="I198" s="28"/>
      <c r="J198" s="28"/>
      <c r="K198" s="28"/>
      <c r="L198" s="409"/>
      <c r="M198" s="46"/>
      <c r="N198" s="46"/>
      <c r="O198" s="315"/>
      <c r="P198" s="46"/>
      <c r="Q198" s="315"/>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row>
    <row r="199" spans="1:47">
      <c r="E199" s="327"/>
      <c r="F199" s="28"/>
      <c r="G199" s="324" t="str">
        <f>C201&amp;" Capital Costs"</f>
        <v>CHP Capital Costs</v>
      </c>
      <c r="H199" s="324"/>
      <c r="I199" s="324"/>
      <c r="J199" s="324"/>
      <c r="K199" s="324"/>
      <c r="L199" s="405" t="s">
        <v>79</v>
      </c>
      <c r="M199" s="256"/>
      <c r="N199" s="325" t="s">
        <v>490</v>
      </c>
      <c r="O199" s="311"/>
      <c r="P199" s="325" t="s">
        <v>491</v>
      </c>
      <c r="Q199" s="310"/>
      <c r="R199" s="325">
        <f>R$8</f>
        <v>2014</v>
      </c>
      <c r="S199" s="325">
        <f t="shared" ref="S199:AU199" si="141">S$8</f>
        <v>2015</v>
      </c>
      <c r="T199" s="325">
        <f t="shared" si="141"/>
        <v>2016</v>
      </c>
      <c r="U199" s="325">
        <f t="shared" si="141"/>
        <v>2017</v>
      </c>
      <c r="V199" s="325">
        <f t="shared" si="141"/>
        <v>2018</v>
      </c>
      <c r="W199" s="325">
        <f t="shared" si="141"/>
        <v>2019</v>
      </c>
      <c r="X199" s="325">
        <f t="shared" si="141"/>
        <v>2020</v>
      </c>
      <c r="Y199" s="325">
        <f t="shared" si="141"/>
        <v>2021</v>
      </c>
      <c r="Z199" s="325">
        <f t="shared" si="141"/>
        <v>2022</v>
      </c>
      <c r="AA199" s="325">
        <f t="shared" si="141"/>
        <v>2023</v>
      </c>
      <c r="AB199" s="325">
        <f t="shared" si="141"/>
        <v>2024</v>
      </c>
      <c r="AC199" s="325">
        <f t="shared" si="141"/>
        <v>2025</v>
      </c>
      <c r="AD199" s="325">
        <f t="shared" si="141"/>
        <v>2026</v>
      </c>
      <c r="AE199" s="325">
        <f t="shared" si="141"/>
        <v>2027</v>
      </c>
      <c r="AF199" s="325">
        <f t="shared" si="141"/>
        <v>2028</v>
      </c>
      <c r="AG199" s="325">
        <f t="shared" si="141"/>
        <v>2029</v>
      </c>
      <c r="AH199" s="325">
        <f t="shared" si="141"/>
        <v>2030</v>
      </c>
      <c r="AI199" s="325">
        <f t="shared" si="141"/>
        <v>2031</v>
      </c>
      <c r="AJ199" s="325">
        <f t="shared" si="141"/>
        <v>2032</v>
      </c>
      <c r="AK199" s="325">
        <f t="shared" si="141"/>
        <v>2033</v>
      </c>
      <c r="AL199" s="325">
        <f t="shared" si="141"/>
        <v>2034</v>
      </c>
      <c r="AM199" s="325">
        <f t="shared" si="141"/>
        <v>2035</v>
      </c>
      <c r="AN199" s="325">
        <f t="shared" si="141"/>
        <v>2036</v>
      </c>
      <c r="AO199" s="325">
        <f t="shared" si="141"/>
        <v>2037</v>
      </c>
      <c r="AP199" s="325">
        <f t="shared" si="141"/>
        <v>2038</v>
      </c>
      <c r="AQ199" s="325">
        <f t="shared" si="141"/>
        <v>2039</v>
      </c>
      <c r="AR199" s="325">
        <f t="shared" si="141"/>
        <v>2040</v>
      </c>
      <c r="AS199" s="325">
        <f t="shared" si="141"/>
        <v>2041</v>
      </c>
      <c r="AT199" s="325">
        <f t="shared" si="141"/>
        <v>2042</v>
      </c>
      <c r="AU199" s="325">
        <f t="shared" si="141"/>
        <v>2043</v>
      </c>
    </row>
    <row r="200" spans="1:47">
      <c r="E200" s="325"/>
      <c r="G200" s="39"/>
      <c r="H200" s="39"/>
      <c r="I200" s="39"/>
      <c r="J200" s="39"/>
      <c r="K200" s="39"/>
    </row>
    <row r="201" spans="1:47">
      <c r="A201" s="38" t="str">
        <f>$J$4&amp;"-"</f>
        <v>2Y-</v>
      </c>
      <c r="B201" s="38" t="s">
        <v>306</v>
      </c>
      <c r="C201" s="38" t="s">
        <v>318</v>
      </c>
      <c r="D201" s="186">
        <f>CapExEsc</f>
        <v>0.03</v>
      </c>
      <c r="E201" s="325"/>
      <c r="G201" s="36" t="s">
        <v>8</v>
      </c>
      <c r="H201" s="39"/>
      <c r="I201" s="39"/>
      <c r="J201" s="70"/>
      <c r="K201" s="39"/>
      <c r="L201" s="43" t="str">
        <f>"["&amp;CostBaseYr&amp;" $]"</f>
        <v>[2013 $]</v>
      </c>
      <c r="N201" s="52">
        <f ca="1">SUMIFS(OFFSET(Assumptions!$I$65,0,MATCH($A201,Configurations,0)-1,COUNT(Assumptions!$A$65:$A$84),1),Assumptions!$E$65:$E$84,$C201)</f>
        <v>741000</v>
      </c>
      <c r="O201" s="52"/>
      <c r="P201" s="322"/>
      <c r="Q201" s="52"/>
      <c r="R201" s="52">
        <f t="shared" ref="R201:AU201" ca="1" si="142">R202*IF($P201=0,$N201,$P201)*(1+$D201)^(R$8-CostBaseYr)</f>
        <v>763230</v>
      </c>
      <c r="S201" s="52">
        <f t="shared" ca="1" si="142"/>
        <v>0</v>
      </c>
      <c r="T201" s="52">
        <f t="shared" ca="1" si="142"/>
        <v>0</v>
      </c>
      <c r="U201" s="52">
        <f t="shared" ca="1" si="142"/>
        <v>0</v>
      </c>
      <c r="V201" s="52">
        <f t="shared" ca="1" si="142"/>
        <v>0</v>
      </c>
      <c r="W201" s="52">
        <f t="shared" ca="1" si="142"/>
        <v>0</v>
      </c>
      <c r="X201" s="52">
        <f t="shared" ca="1" si="142"/>
        <v>0</v>
      </c>
      <c r="Y201" s="52">
        <f t="shared" ca="1" si="142"/>
        <v>0</v>
      </c>
      <c r="Z201" s="52">
        <f t="shared" ca="1" si="142"/>
        <v>0</v>
      </c>
      <c r="AA201" s="52">
        <f t="shared" ca="1" si="142"/>
        <v>0</v>
      </c>
      <c r="AB201" s="52">
        <f t="shared" ca="1" si="142"/>
        <v>0</v>
      </c>
      <c r="AC201" s="52">
        <f t="shared" ca="1" si="142"/>
        <v>0</v>
      </c>
      <c r="AD201" s="52">
        <f t="shared" ca="1" si="142"/>
        <v>0</v>
      </c>
      <c r="AE201" s="52">
        <f t="shared" ca="1" si="142"/>
        <v>0</v>
      </c>
      <c r="AF201" s="52">
        <f t="shared" ca="1" si="142"/>
        <v>0</v>
      </c>
      <c r="AG201" s="52">
        <f t="shared" ca="1" si="142"/>
        <v>0</v>
      </c>
      <c r="AH201" s="52">
        <f t="shared" ca="1" si="142"/>
        <v>0</v>
      </c>
      <c r="AI201" s="52">
        <f t="shared" ca="1" si="142"/>
        <v>0</v>
      </c>
      <c r="AJ201" s="52">
        <f t="shared" ca="1" si="142"/>
        <v>0</v>
      </c>
      <c r="AK201" s="52">
        <f t="shared" ca="1" si="142"/>
        <v>0</v>
      </c>
      <c r="AL201" s="52">
        <f t="shared" ca="1" si="142"/>
        <v>0</v>
      </c>
      <c r="AM201" s="52">
        <f t="shared" ca="1" si="142"/>
        <v>0</v>
      </c>
      <c r="AN201" s="52">
        <f t="shared" ca="1" si="142"/>
        <v>0</v>
      </c>
      <c r="AO201" s="52">
        <f t="shared" ca="1" si="142"/>
        <v>0</v>
      </c>
      <c r="AP201" s="52">
        <f t="shared" ca="1" si="142"/>
        <v>0</v>
      </c>
      <c r="AQ201" s="52">
        <f t="shared" ca="1" si="142"/>
        <v>0</v>
      </c>
      <c r="AR201" s="52">
        <f t="shared" ca="1" si="142"/>
        <v>0</v>
      </c>
      <c r="AS201" s="52">
        <f t="shared" ca="1" si="142"/>
        <v>0</v>
      </c>
      <c r="AT201" s="52">
        <f t="shared" ca="1" si="142"/>
        <v>0</v>
      </c>
      <c r="AU201" s="52">
        <f t="shared" ca="1" si="142"/>
        <v>0</v>
      </c>
    </row>
    <row r="202" spans="1:47">
      <c r="E202" s="325"/>
      <c r="G202" s="36" t="s">
        <v>10</v>
      </c>
      <c r="H202" s="39"/>
      <c r="I202" s="39"/>
      <c r="J202" s="39"/>
      <c r="K202" s="39"/>
      <c r="L202" s="43"/>
      <c r="R202" s="54">
        <f>Assumptions!M$60</f>
        <v>1</v>
      </c>
      <c r="S202" s="54">
        <f>Assumptions!N$60</f>
        <v>0</v>
      </c>
      <c r="T202" s="54">
        <f>Assumptions!O$60</f>
        <v>0</v>
      </c>
      <c r="U202" s="54">
        <f>Assumptions!P$60</f>
        <v>0</v>
      </c>
      <c r="V202" s="54">
        <f>Assumptions!Q$60</f>
        <v>0</v>
      </c>
      <c r="W202" s="54">
        <f>Assumptions!R$60</f>
        <v>0</v>
      </c>
      <c r="X202" s="54">
        <f>Assumptions!S$60</f>
        <v>0</v>
      </c>
      <c r="Y202" s="54">
        <f>Assumptions!T$60</f>
        <v>0</v>
      </c>
      <c r="Z202" s="54">
        <f>Assumptions!U$60</f>
        <v>0</v>
      </c>
      <c r="AA202" s="54">
        <f>Assumptions!V$60</f>
        <v>0</v>
      </c>
      <c r="AB202" s="54">
        <f>Assumptions!W$60</f>
        <v>0</v>
      </c>
      <c r="AC202" s="54">
        <f>Assumptions!X$60</f>
        <v>0</v>
      </c>
      <c r="AD202" s="54">
        <f>Assumptions!Y$60</f>
        <v>0</v>
      </c>
      <c r="AE202" s="54">
        <f>Assumptions!Z$60</f>
        <v>0</v>
      </c>
      <c r="AF202" s="54">
        <f>Assumptions!AA$60</f>
        <v>0</v>
      </c>
      <c r="AG202" s="54">
        <f>Assumptions!AB$60</f>
        <v>0</v>
      </c>
      <c r="AH202" s="54">
        <f>Assumptions!AC$60</f>
        <v>0</v>
      </c>
      <c r="AI202" s="54">
        <f>Assumptions!AD$60</f>
        <v>0</v>
      </c>
      <c r="AJ202" s="54">
        <f>Assumptions!AE$60</f>
        <v>0</v>
      </c>
      <c r="AK202" s="54">
        <f>Assumptions!AF$60</f>
        <v>0</v>
      </c>
      <c r="AL202" s="54">
        <f>Assumptions!AG$60</f>
        <v>0</v>
      </c>
      <c r="AM202" s="54">
        <f>Assumptions!AH$60</f>
        <v>0</v>
      </c>
      <c r="AN202" s="54">
        <f>Assumptions!AI$60</f>
        <v>0</v>
      </c>
      <c r="AO202" s="54">
        <f>Assumptions!AJ$60</f>
        <v>0</v>
      </c>
      <c r="AP202" s="54">
        <f>Assumptions!AK$60</f>
        <v>0</v>
      </c>
      <c r="AQ202" s="54">
        <f>Assumptions!AL$60</f>
        <v>0</v>
      </c>
      <c r="AR202" s="54">
        <f>Assumptions!AM$60</f>
        <v>0</v>
      </c>
      <c r="AS202" s="54">
        <f>Assumptions!AN$60</f>
        <v>0</v>
      </c>
      <c r="AT202" s="54">
        <f>Assumptions!AO$60</f>
        <v>0</v>
      </c>
      <c r="AU202" s="54">
        <f>Assumptions!AP$60</f>
        <v>0</v>
      </c>
    </row>
    <row r="203" spans="1:47">
      <c r="E203" s="326"/>
      <c r="G203" s="39"/>
      <c r="H203" s="39"/>
      <c r="I203" s="39"/>
      <c r="J203" s="39"/>
      <c r="K203" s="39"/>
    </row>
    <row r="204" spans="1:47">
      <c r="E204" s="327"/>
      <c r="F204" s="28"/>
      <c r="G204" s="324" t="str">
        <f>C201&amp;" O&amp;M"</f>
        <v>CHP O&amp;M</v>
      </c>
      <c r="H204" s="324"/>
      <c r="I204" s="324"/>
      <c r="J204" s="324"/>
      <c r="K204" s="324"/>
      <c r="L204" s="405" t="s">
        <v>79</v>
      </c>
      <c r="M204" s="256"/>
      <c r="N204" s="325" t="s">
        <v>490</v>
      </c>
      <c r="O204" s="311"/>
      <c r="P204" s="325" t="s">
        <v>491</v>
      </c>
      <c r="Q204" s="310"/>
      <c r="R204" s="325">
        <f>R$8</f>
        <v>2014</v>
      </c>
      <c r="S204" s="325">
        <f t="shared" ref="S204:AU204" si="143">S$8</f>
        <v>2015</v>
      </c>
      <c r="T204" s="325">
        <f t="shared" si="143"/>
        <v>2016</v>
      </c>
      <c r="U204" s="325">
        <f t="shared" si="143"/>
        <v>2017</v>
      </c>
      <c r="V204" s="325">
        <f t="shared" si="143"/>
        <v>2018</v>
      </c>
      <c r="W204" s="325">
        <f t="shared" si="143"/>
        <v>2019</v>
      </c>
      <c r="X204" s="325">
        <f t="shared" si="143"/>
        <v>2020</v>
      </c>
      <c r="Y204" s="325">
        <f t="shared" si="143"/>
        <v>2021</v>
      </c>
      <c r="Z204" s="325">
        <f t="shared" si="143"/>
        <v>2022</v>
      </c>
      <c r="AA204" s="325">
        <f t="shared" si="143"/>
        <v>2023</v>
      </c>
      <c r="AB204" s="325">
        <f t="shared" si="143"/>
        <v>2024</v>
      </c>
      <c r="AC204" s="325">
        <f t="shared" si="143"/>
        <v>2025</v>
      </c>
      <c r="AD204" s="325">
        <f t="shared" si="143"/>
        <v>2026</v>
      </c>
      <c r="AE204" s="325">
        <f t="shared" si="143"/>
        <v>2027</v>
      </c>
      <c r="AF204" s="325">
        <f t="shared" si="143"/>
        <v>2028</v>
      </c>
      <c r="AG204" s="325">
        <f t="shared" si="143"/>
        <v>2029</v>
      </c>
      <c r="AH204" s="325">
        <f t="shared" si="143"/>
        <v>2030</v>
      </c>
      <c r="AI204" s="325">
        <f t="shared" si="143"/>
        <v>2031</v>
      </c>
      <c r="AJ204" s="325">
        <f t="shared" si="143"/>
        <v>2032</v>
      </c>
      <c r="AK204" s="325">
        <f t="shared" si="143"/>
        <v>2033</v>
      </c>
      <c r="AL204" s="325">
        <f t="shared" si="143"/>
        <v>2034</v>
      </c>
      <c r="AM204" s="325">
        <f t="shared" si="143"/>
        <v>2035</v>
      </c>
      <c r="AN204" s="325">
        <f t="shared" si="143"/>
        <v>2036</v>
      </c>
      <c r="AO204" s="325">
        <f t="shared" si="143"/>
        <v>2037</v>
      </c>
      <c r="AP204" s="325">
        <f t="shared" si="143"/>
        <v>2038</v>
      </c>
      <c r="AQ204" s="325">
        <f t="shared" si="143"/>
        <v>2039</v>
      </c>
      <c r="AR204" s="325">
        <f t="shared" si="143"/>
        <v>2040</v>
      </c>
      <c r="AS204" s="325">
        <f t="shared" si="143"/>
        <v>2041</v>
      </c>
      <c r="AT204" s="325">
        <f t="shared" si="143"/>
        <v>2042</v>
      </c>
      <c r="AU204" s="325">
        <f t="shared" si="143"/>
        <v>2043</v>
      </c>
    </row>
    <row r="205" spans="1:47">
      <c r="E205" s="325"/>
      <c r="G205" s="39"/>
      <c r="H205" s="39"/>
      <c r="I205" s="39"/>
      <c r="J205" s="39"/>
      <c r="K205" s="39"/>
    </row>
    <row r="206" spans="1:47">
      <c r="E206" s="325"/>
      <c r="G206" s="39" t="s">
        <v>23</v>
      </c>
      <c r="H206" s="39"/>
      <c r="I206" s="39"/>
      <c r="J206" s="39"/>
      <c r="K206" s="39"/>
    </row>
    <row r="207" spans="1:47">
      <c r="A207" s="38" t="str">
        <f t="shared" ref="A207:A214" si="144">$J$4&amp;"-"</f>
        <v>2Y-</v>
      </c>
      <c r="B207" s="38" t="s">
        <v>262</v>
      </c>
      <c r="C207" s="38" t="str">
        <f>C201</f>
        <v>CHP</v>
      </c>
      <c r="D207" s="186">
        <f>LaborEsc</f>
        <v>0.02</v>
      </c>
      <c r="E207" s="325"/>
      <c r="G207" s="36" t="s">
        <v>125</v>
      </c>
      <c r="I207" s="39"/>
      <c r="K207" s="39"/>
      <c r="L207" s="43" t="s">
        <v>266</v>
      </c>
      <c r="N207" s="70">
        <f ca="1">SUMIFS(OFFSET(Assumptions!$I$90,0,MATCH($A207,Configurations,0)-1,COUNT(Assumptions!$A$90:$A$183),1),Assumptions!$D$90:$D$183,$B207&amp;$C207)</f>
        <v>1460</v>
      </c>
      <c r="O207" s="313"/>
      <c r="P207" s="323"/>
      <c r="Q207" s="313"/>
      <c r="R207" s="50">
        <f t="shared" ref="R207:AU207" ca="1" si="145">IF(OR(R$99&lt;InServiceYr,R$99&gt;(InServiceYr+analysis_period-1)),0,IF($P207=0,$N207,$P207)*LaborCost*(1+$D207)^(R$99-CostBaseYr))</f>
        <v>52122</v>
      </c>
      <c r="S207" s="50">
        <f t="shared" ca="1" si="145"/>
        <v>53164.44</v>
      </c>
      <c r="T207" s="50">
        <f t="shared" ca="1" si="145"/>
        <v>54227.728799999997</v>
      </c>
      <c r="U207" s="50">
        <f t="shared" ca="1" si="145"/>
        <v>55312.283375999999</v>
      </c>
      <c r="V207" s="50">
        <f t="shared" ca="1" si="145"/>
        <v>56418.52904352</v>
      </c>
      <c r="W207" s="50">
        <f t="shared" ca="1" si="145"/>
        <v>57546.899624390404</v>
      </c>
      <c r="X207" s="50">
        <f t="shared" ca="1" si="145"/>
        <v>58697.837616878198</v>
      </c>
      <c r="Y207" s="50">
        <f t="shared" ca="1" si="145"/>
        <v>59871.794369215771</v>
      </c>
      <c r="Z207" s="50">
        <f t="shared" ca="1" si="145"/>
        <v>61069.230256600087</v>
      </c>
      <c r="AA207" s="50">
        <f t="shared" ca="1" si="145"/>
        <v>62290.614861732087</v>
      </c>
      <c r="AB207" s="50">
        <f t="shared" ca="1" si="145"/>
        <v>63536.427158966719</v>
      </c>
      <c r="AC207" s="50">
        <f t="shared" ca="1" si="145"/>
        <v>64807.155702146061</v>
      </c>
      <c r="AD207" s="50">
        <f t="shared" ca="1" si="145"/>
        <v>66103.298816188981</v>
      </c>
      <c r="AE207" s="50">
        <f t="shared" ca="1" si="145"/>
        <v>67425.364792512773</v>
      </c>
      <c r="AF207" s="50">
        <f t="shared" ca="1" si="145"/>
        <v>68773.872088363001</v>
      </c>
      <c r="AG207" s="50">
        <f t="shared" ca="1" si="145"/>
        <v>70149.349530130276</v>
      </c>
      <c r="AH207" s="50">
        <f t="shared" ca="1" si="145"/>
        <v>71552.33652073289</v>
      </c>
      <c r="AI207" s="50">
        <f t="shared" ca="1" si="145"/>
        <v>72983.383251147534</v>
      </c>
      <c r="AJ207" s="50">
        <f t="shared" ca="1" si="145"/>
        <v>74443.050916170483</v>
      </c>
      <c r="AK207" s="50">
        <f t="shared" ca="1" si="145"/>
        <v>75931.911934493895</v>
      </c>
      <c r="AL207" s="50">
        <f t="shared" si="145"/>
        <v>0</v>
      </c>
      <c r="AM207" s="50">
        <f t="shared" si="145"/>
        <v>0</v>
      </c>
      <c r="AN207" s="50">
        <f t="shared" si="145"/>
        <v>0</v>
      </c>
      <c r="AO207" s="50">
        <f t="shared" si="145"/>
        <v>0</v>
      </c>
      <c r="AP207" s="50">
        <f t="shared" si="145"/>
        <v>0</v>
      </c>
      <c r="AQ207" s="50">
        <f t="shared" si="145"/>
        <v>0</v>
      </c>
      <c r="AR207" s="50">
        <f t="shared" si="145"/>
        <v>0</v>
      </c>
      <c r="AS207" s="50">
        <f t="shared" si="145"/>
        <v>0</v>
      </c>
      <c r="AT207" s="50">
        <f t="shared" si="145"/>
        <v>0</v>
      </c>
      <c r="AU207" s="50">
        <f t="shared" si="145"/>
        <v>0</v>
      </c>
    </row>
    <row r="208" spans="1:47">
      <c r="A208" s="38" t="str">
        <f t="shared" si="144"/>
        <v>2Y-</v>
      </c>
      <c r="B208" s="38" t="s">
        <v>270</v>
      </c>
      <c r="C208" s="38" t="str">
        <f>C207</f>
        <v>CHP</v>
      </c>
      <c r="D208" s="186">
        <f>OMEsc</f>
        <v>0.02</v>
      </c>
      <c r="E208" s="325"/>
      <c r="G208" s="36" t="s">
        <v>126</v>
      </c>
      <c r="I208" s="39"/>
      <c r="K208" s="39"/>
      <c r="L208" s="43" t="str">
        <f>"["&amp;CostBaseYr&amp;" $]"</f>
        <v>[2013 $]</v>
      </c>
      <c r="N208" s="70">
        <f ca="1">SUMIFS(OFFSET(Assumptions!$I$90,0,MATCH($A208,Configurations,0)-1,COUNT(Assumptions!$A$90:$A$183),1),Assumptions!$D$90:$D$183,$B208&amp;$C208)</f>
        <v>15000</v>
      </c>
      <c r="O208" s="313"/>
      <c r="P208" s="323"/>
      <c r="Q208" s="313"/>
      <c r="R208" s="50">
        <f t="shared" ref="R208:AG210" ca="1" si="146">IF(OR(R$99&lt;InServiceYr,R$99&gt;(InServiceYr+analysis_period-1)),0,IF($P208=0,$N208,$P208)*(1+$D208)^(R$99-CostBaseYr))</f>
        <v>15300</v>
      </c>
      <c r="S208" s="50">
        <f t="shared" ca="1" si="146"/>
        <v>15606</v>
      </c>
      <c r="T208" s="50">
        <f t="shared" ca="1" si="146"/>
        <v>15918.119999999999</v>
      </c>
      <c r="U208" s="50">
        <f t="shared" ca="1" si="146"/>
        <v>16236.482399999999</v>
      </c>
      <c r="V208" s="50">
        <f t="shared" ca="1" si="146"/>
        <v>16561.212048000001</v>
      </c>
      <c r="W208" s="50">
        <f t="shared" ca="1" si="146"/>
        <v>16892.436288960002</v>
      </c>
      <c r="X208" s="50">
        <f t="shared" ca="1" si="146"/>
        <v>17230.285014739198</v>
      </c>
      <c r="Y208" s="50">
        <f t="shared" ca="1" si="146"/>
        <v>17574.890715033984</v>
      </c>
      <c r="Z208" s="50">
        <f t="shared" ca="1" si="146"/>
        <v>17926.388529334661</v>
      </c>
      <c r="AA208" s="50">
        <f t="shared" ca="1" si="146"/>
        <v>18284.916299921355</v>
      </c>
      <c r="AB208" s="50">
        <f t="shared" ca="1" si="146"/>
        <v>18650.614625919781</v>
      </c>
      <c r="AC208" s="50">
        <f t="shared" ca="1" si="146"/>
        <v>19023.626918438178</v>
      </c>
      <c r="AD208" s="50">
        <f t="shared" ca="1" si="146"/>
        <v>19404.09945680694</v>
      </c>
      <c r="AE208" s="50">
        <f t="shared" ca="1" si="146"/>
        <v>19792.181445943083</v>
      </c>
      <c r="AF208" s="50">
        <f t="shared" ca="1" si="146"/>
        <v>20188.02507486194</v>
      </c>
      <c r="AG208" s="50">
        <f t="shared" ca="1" si="146"/>
        <v>20591.78557635918</v>
      </c>
      <c r="AH208" s="50">
        <f t="shared" ref="S208:AU210" ca="1" si="147">IF(OR(AH$99&lt;InServiceYr,AH$99&gt;(InServiceYr+analysis_period-1)),0,IF($P208=0,$N208,$P208)*(1+$D208)^(AH$99-CostBaseYr))</f>
        <v>21003.621287886366</v>
      </c>
      <c r="AI208" s="50">
        <f t="shared" ca="1" si="147"/>
        <v>21423.69371364409</v>
      </c>
      <c r="AJ208" s="50">
        <f t="shared" ca="1" si="147"/>
        <v>21852.167587916971</v>
      </c>
      <c r="AK208" s="50">
        <f t="shared" ca="1" si="147"/>
        <v>22289.210939675315</v>
      </c>
      <c r="AL208" s="50">
        <f t="shared" si="147"/>
        <v>0</v>
      </c>
      <c r="AM208" s="50">
        <f t="shared" si="147"/>
        <v>0</v>
      </c>
      <c r="AN208" s="50">
        <f t="shared" si="147"/>
        <v>0</v>
      </c>
      <c r="AO208" s="50">
        <f t="shared" si="147"/>
        <v>0</v>
      </c>
      <c r="AP208" s="50">
        <f t="shared" si="147"/>
        <v>0</v>
      </c>
      <c r="AQ208" s="50">
        <f t="shared" si="147"/>
        <v>0</v>
      </c>
      <c r="AR208" s="50">
        <f t="shared" si="147"/>
        <v>0</v>
      </c>
      <c r="AS208" s="50">
        <f t="shared" si="147"/>
        <v>0</v>
      </c>
      <c r="AT208" s="50">
        <f t="shared" si="147"/>
        <v>0</v>
      </c>
      <c r="AU208" s="50">
        <f t="shared" si="147"/>
        <v>0</v>
      </c>
    </row>
    <row r="209" spans="1:47">
      <c r="A209" s="38" t="str">
        <f t="shared" si="144"/>
        <v>2Y-</v>
      </c>
      <c r="B209" s="38" t="s">
        <v>263</v>
      </c>
      <c r="C209" s="38" t="str">
        <f t="shared" ref="C209:C213" si="148">C208</f>
        <v>CHP</v>
      </c>
      <c r="D209" s="186">
        <f>OMEsc</f>
        <v>0.02</v>
      </c>
      <c r="E209" s="325"/>
      <c r="G209" s="36" t="s">
        <v>127</v>
      </c>
      <c r="I209" s="39"/>
      <c r="K209" s="39"/>
      <c r="L209" s="43" t="str">
        <f>"["&amp;CostBaseYr&amp;" $]"</f>
        <v>[2013 $]</v>
      </c>
      <c r="N209" s="70">
        <f ca="1">SUMIFS(OFFSET(Assumptions!$I$90,0,MATCH($A209,Configurations,0)-1,COUNT(Assumptions!$A$90:$A$183),1),Assumptions!$D$90:$D$183,$B209&amp;$C209)</f>
        <v>0</v>
      </c>
      <c r="O209" s="313"/>
      <c r="P209" s="323"/>
      <c r="Q209" s="313"/>
      <c r="R209" s="50">
        <f t="shared" ca="1" si="146"/>
        <v>0</v>
      </c>
      <c r="S209" s="50">
        <f t="shared" ca="1" si="147"/>
        <v>0</v>
      </c>
      <c r="T209" s="50">
        <f t="shared" ca="1" si="147"/>
        <v>0</v>
      </c>
      <c r="U209" s="50">
        <f t="shared" ca="1" si="147"/>
        <v>0</v>
      </c>
      <c r="V209" s="50">
        <f t="shared" ca="1" si="147"/>
        <v>0</v>
      </c>
      <c r="W209" s="50">
        <f t="shared" ca="1" si="147"/>
        <v>0</v>
      </c>
      <c r="X209" s="50">
        <f t="shared" ca="1" si="147"/>
        <v>0</v>
      </c>
      <c r="Y209" s="50">
        <f t="shared" ca="1" si="147"/>
        <v>0</v>
      </c>
      <c r="Z209" s="50">
        <f t="shared" ca="1" si="147"/>
        <v>0</v>
      </c>
      <c r="AA209" s="50">
        <f t="shared" ca="1" si="147"/>
        <v>0</v>
      </c>
      <c r="AB209" s="50">
        <f t="shared" ca="1" si="147"/>
        <v>0</v>
      </c>
      <c r="AC209" s="50">
        <f t="shared" ca="1" si="147"/>
        <v>0</v>
      </c>
      <c r="AD209" s="50">
        <f t="shared" ca="1" si="147"/>
        <v>0</v>
      </c>
      <c r="AE209" s="50">
        <f t="shared" ca="1" si="147"/>
        <v>0</v>
      </c>
      <c r="AF209" s="50">
        <f t="shared" ca="1" si="147"/>
        <v>0</v>
      </c>
      <c r="AG209" s="50">
        <f t="shared" ca="1" si="147"/>
        <v>0</v>
      </c>
      <c r="AH209" s="50">
        <f t="shared" ca="1" si="147"/>
        <v>0</v>
      </c>
      <c r="AI209" s="50">
        <f t="shared" ca="1" si="147"/>
        <v>0</v>
      </c>
      <c r="AJ209" s="50">
        <f t="shared" ca="1" si="147"/>
        <v>0</v>
      </c>
      <c r="AK209" s="50">
        <f t="shared" ca="1" si="147"/>
        <v>0</v>
      </c>
      <c r="AL209" s="50">
        <f t="shared" si="147"/>
        <v>0</v>
      </c>
      <c r="AM209" s="50">
        <f t="shared" si="147"/>
        <v>0</v>
      </c>
      <c r="AN209" s="50">
        <f t="shared" si="147"/>
        <v>0</v>
      </c>
      <c r="AO209" s="50">
        <f t="shared" si="147"/>
        <v>0</v>
      </c>
      <c r="AP209" s="50">
        <f t="shared" si="147"/>
        <v>0</v>
      </c>
      <c r="AQ209" s="50">
        <f t="shared" si="147"/>
        <v>0</v>
      </c>
      <c r="AR209" s="50">
        <f t="shared" si="147"/>
        <v>0</v>
      </c>
      <c r="AS209" s="50">
        <f t="shared" si="147"/>
        <v>0</v>
      </c>
      <c r="AT209" s="50">
        <f t="shared" si="147"/>
        <v>0</v>
      </c>
      <c r="AU209" s="50">
        <f t="shared" si="147"/>
        <v>0</v>
      </c>
    </row>
    <row r="210" spans="1:47">
      <c r="A210" s="38" t="str">
        <f t="shared" si="144"/>
        <v>2Y-</v>
      </c>
      <c r="B210" s="38" t="s">
        <v>277</v>
      </c>
      <c r="C210" s="38" t="str">
        <f t="shared" si="148"/>
        <v>CHP</v>
      </c>
      <c r="D210" s="186">
        <f>OMEsc</f>
        <v>0.02</v>
      </c>
      <c r="E210" s="325"/>
      <c r="G210" s="36" t="s">
        <v>276</v>
      </c>
      <c r="I210" s="39"/>
      <c r="K210" s="39"/>
      <c r="L210" s="43" t="str">
        <f>"["&amp;CostBaseYr&amp;" $]"</f>
        <v>[2013 $]</v>
      </c>
      <c r="N210" s="70">
        <f ca="1">SUMIFS(OFFSET(Assumptions!$I$90,0,MATCH($A210,Configurations,0)-1,COUNT(Assumptions!$A$90:$A$183),1),Assumptions!$D$90:$D$183,$B210&amp;$C210)</f>
        <v>0</v>
      </c>
      <c r="O210" s="313"/>
      <c r="P210" s="323"/>
      <c r="Q210" s="313"/>
      <c r="R210" s="50">
        <f t="shared" ca="1" si="146"/>
        <v>0</v>
      </c>
      <c r="S210" s="50">
        <f t="shared" ca="1" si="147"/>
        <v>0</v>
      </c>
      <c r="T210" s="50">
        <f t="shared" ca="1" si="147"/>
        <v>0</v>
      </c>
      <c r="U210" s="50">
        <f t="shared" ca="1" si="147"/>
        <v>0</v>
      </c>
      <c r="V210" s="50">
        <f t="shared" ca="1" si="147"/>
        <v>0</v>
      </c>
      <c r="W210" s="50">
        <f t="shared" ca="1" si="147"/>
        <v>0</v>
      </c>
      <c r="X210" s="50">
        <f t="shared" ca="1" si="147"/>
        <v>0</v>
      </c>
      <c r="Y210" s="50">
        <f t="shared" ca="1" si="147"/>
        <v>0</v>
      </c>
      <c r="Z210" s="50">
        <f t="shared" ca="1" si="147"/>
        <v>0</v>
      </c>
      <c r="AA210" s="50">
        <f t="shared" ca="1" si="147"/>
        <v>0</v>
      </c>
      <c r="AB210" s="50">
        <f t="shared" ca="1" si="147"/>
        <v>0</v>
      </c>
      <c r="AC210" s="50">
        <f t="shared" ca="1" si="147"/>
        <v>0</v>
      </c>
      <c r="AD210" s="50">
        <f t="shared" ca="1" si="147"/>
        <v>0</v>
      </c>
      <c r="AE210" s="50">
        <f t="shared" ca="1" si="147"/>
        <v>0</v>
      </c>
      <c r="AF210" s="50">
        <f t="shared" ca="1" si="147"/>
        <v>0</v>
      </c>
      <c r="AG210" s="50">
        <f t="shared" ca="1" si="147"/>
        <v>0</v>
      </c>
      <c r="AH210" s="50">
        <f t="shared" ca="1" si="147"/>
        <v>0</v>
      </c>
      <c r="AI210" s="50">
        <f t="shared" ca="1" si="147"/>
        <v>0</v>
      </c>
      <c r="AJ210" s="50">
        <f t="shared" ca="1" si="147"/>
        <v>0</v>
      </c>
      <c r="AK210" s="50">
        <f t="shared" ca="1" si="147"/>
        <v>0</v>
      </c>
      <c r="AL210" s="50">
        <f t="shared" si="147"/>
        <v>0</v>
      </c>
      <c r="AM210" s="50">
        <f t="shared" si="147"/>
        <v>0</v>
      </c>
      <c r="AN210" s="50">
        <f t="shared" si="147"/>
        <v>0</v>
      </c>
      <c r="AO210" s="50">
        <f t="shared" si="147"/>
        <v>0</v>
      </c>
      <c r="AP210" s="50">
        <f t="shared" si="147"/>
        <v>0</v>
      </c>
      <c r="AQ210" s="50">
        <f t="shared" si="147"/>
        <v>0</v>
      </c>
      <c r="AR210" s="50">
        <f t="shared" si="147"/>
        <v>0</v>
      </c>
      <c r="AS210" s="50">
        <f t="shared" si="147"/>
        <v>0</v>
      </c>
      <c r="AT210" s="50">
        <f t="shared" si="147"/>
        <v>0</v>
      </c>
      <c r="AU210" s="50">
        <f t="shared" si="147"/>
        <v>0</v>
      </c>
    </row>
    <row r="211" spans="1:47">
      <c r="A211" s="38" t="str">
        <f t="shared" si="144"/>
        <v>2Y-</v>
      </c>
      <c r="B211" s="38" t="s">
        <v>274</v>
      </c>
      <c r="C211" s="38" t="str">
        <f t="shared" si="148"/>
        <v>CHP</v>
      </c>
      <c r="D211" s="186"/>
      <c r="E211" s="325"/>
      <c r="G211" s="36" t="s">
        <v>16</v>
      </c>
      <c r="I211" s="39"/>
      <c r="K211" s="39"/>
      <c r="L211" s="43" t="s">
        <v>275</v>
      </c>
      <c r="N211" s="70">
        <f ca="1">SUMIFS(OFFSET(Assumptions!$I$90,0,MATCH($A211,Configurations,0)-1,COUNT(Assumptions!$A$90:$A$183),1),Assumptions!$D$90:$D$183,$B211&amp;$C211)</f>
        <v>0</v>
      </c>
      <c r="O211" s="313"/>
      <c r="P211" s="323"/>
      <c r="Q211" s="313"/>
      <c r="R211" s="50">
        <f t="shared" ref="R211:AU211" ca="1" si="149">IF(OR(R$99&lt;InServiceYr,R$99&gt;(InServiceYr+analysis_period-1)),0,IF($P211=0,$N211,$P211)*R$505)</f>
        <v>0</v>
      </c>
      <c r="S211" s="50">
        <f t="shared" ca="1" si="149"/>
        <v>0</v>
      </c>
      <c r="T211" s="50">
        <f t="shared" ca="1" si="149"/>
        <v>0</v>
      </c>
      <c r="U211" s="50">
        <f t="shared" ca="1" si="149"/>
        <v>0</v>
      </c>
      <c r="V211" s="50">
        <f t="shared" ca="1" si="149"/>
        <v>0</v>
      </c>
      <c r="W211" s="50">
        <f t="shared" ca="1" si="149"/>
        <v>0</v>
      </c>
      <c r="X211" s="50">
        <f t="shared" ca="1" si="149"/>
        <v>0</v>
      </c>
      <c r="Y211" s="50">
        <f t="shared" ca="1" si="149"/>
        <v>0</v>
      </c>
      <c r="Z211" s="50">
        <f t="shared" ca="1" si="149"/>
        <v>0</v>
      </c>
      <c r="AA211" s="50">
        <f t="shared" ca="1" si="149"/>
        <v>0</v>
      </c>
      <c r="AB211" s="50">
        <f t="shared" ca="1" si="149"/>
        <v>0</v>
      </c>
      <c r="AC211" s="50">
        <f t="shared" ca="1" si="149"/>
        <v>0</v>
      </c>
      <c r="AD211" s="50">
        <f t="shared" ca="1" si="149"/>
        <v>0</v>
      </c>
      <c r="AE211" s="50">
        <f t="shared" ca="1" si="149"/>
        <v>0</v>
      </c>
      <c r="AF211" s="50">
        <f t="shared" ca="1" si="149"/>
        <v>0</v>
      </c>
      <c r="AG211" s="50">
        <f t="shared" ca="1" si="149"/>
        <v>0</v>
      </c>
      <c r="AH211" s="50">
        <f t="shared" ca="1" si="149"/>
        <v>0</v>
      </c>
      <c r="AI211" s="50">
        <f t="shared" ca="1" si="149"/>
        <v>0</v>
      </c>
      <c r="AJ211" s="50">
        <f t="shared" ca="1" si="149"/>
        <v>0</v>
      </c>
      <c r="AK211" s="50">
        <f t="shared" ca="1" si="149"/>
        <v>0</v>
      </c>
      <c r="AL211" s="50">
        <f t="shared" si="149"/>
        <v>0</v>
      </c>
      <c r="AM211" s="50">
        <f t="shared" si="149"/>
        <v>0</v>
      </c>
      <c r="AN211" s="50">
        <f t="shared" si="149"/>
        <v>0</v>
      </c>
      <c r="AO211" s="50">
        <f t="shared" si="149"/>
        <v>0</v>
      </c>
      <c r="AP211" s="50">
        <f t="shared" si="149"/>
        <v>0</v>
      </c>
      <c r="AQ211" s="50">
        <f t="shared" si="149"/>
        <v>0</v>
      </c>
      <c r="AR211" s="50">
        <f t="shared" si="149"/>
        <v>0</v>
      </c>
      <c r="AS211" s="50">
        <f t="shared" si="149"/>
        <v>0</v>
      </c>
      <c r="AT211" s="50">
        <f t="shared" si="149"/>
        <v>0</v>
      </c>
      <c r="AU211" s="50">
        <f t="shared" si="149"/>
        <v>0</v>
      </c>
    </row>
    <row r="212" spans="1:47">
      <c r="A212" s="38" t="str">
        <f t="shared" si="144"/>
        <v>2Y-</v>
      </c>
      <c r="B212" s="38" t="s">
        <v>257</v>
      </c>
      <c r="C212" s="38" t="str">
        <f t="shared" si="148"/>
        <v>CHP</v>
      </c>
      <c r="D212" s="186"/>
      <c r="E212" s="325"/>
      <c r="G212" s="36" t="s">
        <v>284</v>
      </c>
      <c r="I212" s="39"/>
      <c r="K212" s="39"/>
      <c r="L212" s="43" t="s">
        <v>293</v>
      </c>
      <c r="N212" s="70">
        <f ca="1">SUMIFS(OFFSET(Assumptions!$I$90,0,MATCH($A212,Configurations,0)-1,COUNT(Assumptions!$A$90:$A$183),1),Assumptions!$D$90:$D$183,$B212&amp;$C212)</f>
        <v>0</v>
      </c>
      <c r="O212" s="313"/>
      <c r="P212" s="323"/>
      <c r="Q212" s="313"/>
      <c r="R212" s="50">
        <f t="shared" ref="R212:AU212" ca="1" si="150">IF(OR(R$99&lt;InServiceYr,R$99&gt;(InServiceYr+analysis_period-1)),0,IF($P212=0,$N212,$P212)*R$501)</f>
        <v>0</v>
      </c>
      <c r="S212" s="50">
        <f t="shared" ca="1" si="150"/>
        <v>0</v>
      </c>
      <c r="T212" s="50">
        <f t="shared" ca="1" si="150"/>
        <v>0</v>
      </c>
      <c r="U212" s="50">
        <f t="shared" ca="1" si="150"/>
        <v>0</v>
      </c>
      <c r="V212" s="50">
        <f t="shared" ca="1" si="150"/>
        <v>0</v>
      </c>
      <c r="W212" s="50">
        <f t="shared" ca="1" si="150"/>
        <v>0</v>
      </c>
      <c r="X212" s="50">
        <f t="shared" ca="1" si="150"/>
        <v>0</v>
      </c>
      <c r="Y212" s="50">
        <f t="shared" ca="1" si="150"/>
        <v>0</v>
      </c>
      <c r="Z212" s="50">
        <f t="shared" ca="1" si="150"/>
        <v>0</v>
      </c>
      <c r="AA212" s="50">
        <f t="shared" ca="1" si="150"/>
        <v>0</v>
      </c>
      <c r="AB212" s="50">
        <f t="shared" ca="1" si="150"/>
        <v>0</v>
      </c>
      <c r="AC212" s="50">
        <f t="shared" ca="1" si="150"/>
        <v>0</v>
      </c>
      <c r="AD212" s="50">
        <f t="shared" ca="1" si="150"/>
        <v>0</v>
      </c>
      <c r="AE212" s="50">
        <f t="shared" ca="1" si="150"/>
        <v>0</v>
      </c>
      <c r="AF212" s="50">
        <f t="shared" ca="1" si="150"/>
        <v>0</v>
      </c>
      <c r="AG212" s="50">
        <f t="shared" ca="1" si="150"/>
        <v>0</v>
      </c>
      <c r="AH212" s="50">
        <f t="shared" ca="1" si="150"/>
        <v>0</v>
      </c>
      <c r="AI212" s="50">
        <f t="shared" ca="1" si="150"/>
        <v>0</v>
      </c>
      <c r="AJ212" s="50">
        <f t="shared" ca="1" si="150"/>
        <v>0</v>
      </c>
      <c r="AK212" s="50">
        <f t="shared" ca="1" si="150"/>
        <v>0</v>
      </c>
      <c r="AL212" s="50">
        <f t="shared" si="150"/>
        <v>0</v>
      </c>
      <c r="AM212" s="50">
        <f t="shared" si="150"/>
        <v>0</v>
      </c>
      <c r="AN212" s="50">
        <f t="shared" si="150"/>
        <v>0</v>
      </c>
      <c r="AO212" s="50">
        <f t="shared" si="150"/>
        <v>0</v>
      </c>
      <c r="AP212" s="50">
        <f t="shared" si="150"/>
        <v>0</v>
      </c>
      <c r="AQ212" s="50">
        <f t="shared" si="150"/>
        <v>0</v>
      </c>
      <c r="AR212" s="50">
        <f t="shared" si="150"/>
        <v>0</v>
      </c>
      <c r="AS212" s="50">
        <f t="shared" si="150"/>
        <v>0</v>
      </c>
      <c r="AT212" s="50">
        <f t="shared" si="150"/>
        <v>0</v>
      </c>
      <c r="AU212" s="50">
        <f t="shared" si="150"/>
        <v>0</v>
      </c>
    </row>
    <row r="213" spans="1:47">
      <c r="A213" s="38" t="str">
        <f t="shared" si="144"/>
        <v>2Y-</v>
      </c>
      <c r="B213" s="38" t="s">
        <v>864</v>
      </c>
      <c r="C213" s="38" t="str">
        <f t="shared" si="148"/>
        <v>CHP</v>
      </c>
      <c r="D213" s="186">
        <f>GHGEsc</f>
        <v>0.02</v>
      </c>
      <c r="E213" s="325"/>
      <c r="G213" s="36" t="s">
        <v>865</v>
      </c>
      <c r="I213" s="39"/>
      <c r="K213" s="39"/>
      <c r="L213" s="43" t="s">
        <v>866</v>
      </c>
      <c r="N213" s="70">
        <f ca="1">SUMIFS(OFFSET(Assumptions!$I$90,0,MATCH($A213,Configurations,0)-1,COUNT(Assumptions!$A$90:$A$183),1),Assumptions!$D$90:$D$183,$B213&amp;$C213)</f>
        <v>3340.5379188712523</v>
      </c>
      <c r="O213" s="313"/>
      <c r="P213" s="323"/>
      <c r="Q213" s="313"/>
      <c r="R213" s="50">
        <f t="shared" ref="R213:AU213" ca="1" si="151">IF(OR(R$99&lt;InServiceYr,R$99&gt;(InServiceYr+analysis_period-1)),0,IF($P213=0,$N213,$P213)*R$513)</f>
        <v>0</v>
      </c>
      <c r="S213" s="50">
        <f t="shared" ca="1" si="151"/>
        <v>0</v>
      </c>
      <c r="T213" s="50">
        <f t="shared" ca="1" si="151"/>
        <v>0</v>
      </c>
      <c r="U213" s="50">
        <f t="shared" ca="1" si="151"/>
        <v>0</v>
      </c>
      <c r="V213" s="50">
        <f t="shared" ca="1" si="151"/>
        <v>0</v>
      </c>
      <c r="W213" s="50">
        <f t="shared" ca="1" si="151"/>
        <v>0</v>
      </c>
      <c r="X213" s="50">
        <f t="shared" ca="1" si="151"/>
        <v>0</v>
      </c>
      <c r="Y213" s="50">
        <f t="shared" ca="1" si="151"/>
        <v>0</v>
      </c>
      <c r="Z213" s="50">
        <f t="shared" ca="1" si="151"/>
        <v>0</v>
      </c>
      <c r="AA213" s="50">
        <f t="shared" ca="1" si="151"/>
        <v>0</v>
      </c>
      <c r="AB213" s="50">
        <f t="shared" ca="1" si="151"/>
        <v>0</v>
      </c>
      <c r="AC213" s="50">
        <f t="shared" ca="1" si="151"/>
        <v>0</v>
      </c>
      <c r="AD213" s="50">
        <f t="shared" ca="1" si="151"/>
        <v>0</v>
      </c>
      <c r="AE213" s="50">
        <f t="shared" ca="1" si="151"/>
        <v>0</v>
      </c>
      <c r="AF213" s="50">
        <f t="shared" ca="1" si="151"/>
        <v>0</v>
      </c>
      <c r="AG213" s="50">
        <f t="shared" ca="1" si="151"/>
        <v>0</v>
      </c>
      <c r="AH213" s="50">
        <f t="shared" ca="1" si="151"/>
        <v>0</v>
      </c>
      <c r="AI213" s="50">
        <f t="shared" ca="1" si="151"/>
        <v>0</v>
      </c>
      <c r="AJ213" s="50">
        <f t="shared" ca="1" si="151"/>
        <v>0</v>
      </c>
      <c r="AK213" s="50">
        <f t="shared" ca="1" si="151"/>
        <v>0</v>
      </c>
      <c r="AL213" s="50">
        <f t="shared" si="151"/>
        <v>0</v>
      </c>
      <c r="AM213" s="50">
        <f t="shared" si="151"/>
        <v>0</v>
      </c>
      <c r="AN213" s="50">
        <f t="shared" si="151"/>
        <v>0</v>
      </c>
      <c r="AO213" s="50">
        <f t="shared" si="151"/>
        <v>0</v>
      </c>
      <c r="AP213" s="50">
        <f t="shared" si="151"/>
        <v>0</v>
      </c>
      <c r="AQ213" s="50">
        <f t="shared" si="151"/>
        <v>0</v>
      </c>
      <c r="AR213" s="50">
        <f t="shared" si="151"/>
        <v>0</v>
      </c>
      <c r="AS213" s="50">
        <f t="shared" si="151"/>
        <v>0</v>
      </c>
      <c r="AT213" s="50">
        <f t="shared" si="151"/>
        <v>0</v>
      </c>
      <c r="AU213" s="50">
        <f t="shared" si="151"/>
        <v>0</v>
      </c>
    </row>
    <row r="214" spans="1:47">
      <c r="A214" s="38" t="str">
        <f t="shared" si="144"/>
        <v>2Y-</v>
      </c>
      <c r="B214" s="38" t="s">
        <v>273</v>
      </c>
      <c r="C214" s="38" t="str">
        <f>C212</f>
        <v>CHP</v>
      </c>
      <c r="D214" s="186">
        <f>LaborEsc</f>
        <v>0.02</v>
      </c>
      <c r="E214" s="325"/>
      <c r="G214" s="36" t="s">
        <v>291</v>
      </c>
      <c r="I214" s="39"/>
      <c r="K214" s="39"/>
      <c r="L214" s="43" t="str">
        <f>"["&amp;CostBaseYr&amp;" $]"</f>
        <v>[2013 $]</v>
      </c>
      <c r="N214" s="70">
        <f ca="1">SUMIFS(OFFSET(Assumptions!$I$90,0,MATCH($A214,Configurations,0)-1,COUNT(Assumptions!$A$90:$A$183),1),Assumptions!$D$90:$D$183,$B214&amp;$C214)</f>
        <v>0</v>
      </c>
      <c r="O214" s="313"/>
      <c r="P214" s="323"/>
      <c r="Q214" s="313"/>
      <c r="R214" s="50">
        <f t="shared" ref="R214:AU214" ca="1" si="152">IF(OR(R$99&lt;InServiceYr,R$99&gt;(InServiceYr+analysis_period-1)),0,IF($P214=0,$N214,$P214)*(1+$D214)^(R$99-CostBaseYr))*R$509</f>
        <v>0</v>
      </c>
      <c r="S214" s="50">
        <f t="shared" ca="1" si="152"/>
        <v>0</v>
      </c>
      <c r="T214" s="50">
        <f t="shared" ca="1" si="152"/>
        <v>0</v>
      </c>
      <c r="U214" s="50">
        <f t="shared" ca="1" si="152"/>
        <v>0</v>
      </c>
      <c r="V214" s="50">
        <f t="shared" ca="1" si="152"/>
        <v>0</v>
      </c>
      <c r="W214" s="50">
        <f t="shared" ca="1" si="152"/>
        <v>0</v>
      </c>
      <c r="X214" s="50">
        <f t="shared" ca="1" si="152"/>
        <v>0</v>
      </c>
      <c r="Y214" s="50">
        <f t="shared" ca="1" si="152"/>
        <v>0</v>
      </c>
      <c r="Z214" s="50">
        <f t="shared" ca="1" si="152"/>
        <v>0</v>
      </c>
      <c r="AA214" s="50">
        <f t="shared" ca="1" si="152"/>
        <v>0</v>
      </c>
      <c r="AB214" s="50">
        <f t="shared" ca="1" si="152"/>
        <v>0</v>
      </c>
      <c r="AC214" s="50">
        <f t="shared" ca="1" si="152"/>
        <v>0</v>
      </c>
      <c r="AD214" s="50">
        <f t="shared" ca="1" si="152"/>
        <v>0</v>
      </c>
      <c r="AE214" s="50">
        <f t="shared" ca="1" si="152"/>
        <v>0</v>
      </c>
      <c r="AF214" s="50">
        <f t="shared" ca="1" si="152"/>
        <v>0</v>
      </c>
      <c r="AG214" s="50">
        <f t="shared" ca="1" si="152"/>
        <v>0</v>
      </c>
      <c r="AH214" s="50">
        <f t="shared" ca="1" si="152"/>
        <v>0</v>
      </c>
      <c r="AI214" s="50">
        <f t="shared" ca="1" si="152"/>
        <v>0</v>
      </c>
      <c r="AJ214" s="50">
        <f t="shared" ca="1" si="152"/>
        <v>0</v>
      </c>
      <c r="AK214" s="50">
        <f t="shared" ca="1" si="152"/>
        <v>0</v>
      </c>
      <c r="AL214" s="50">
        <f t="shared" si="152"/>
        <v>0</v>
      </c>
      <c r="AM214" s="50">
        <f t="shared" si="152"/>
        <v>0</v>
      </c>
      <c r="AN214" s="50">
        <f t="shared" si="152"/>
        <v>0</v>
      </c>
      <c r="AO214" s="50">
        <f t="shared" si="152"/>
        <v>0</v>
      </c>
      <c r="AP214" s="50">
        <f t="shared" si="152"/>
        <v>0</v>
      </c>
      <c r="AQ214" s="50">
        <f t="shared" si="152"/>
        <v>0</v>
      </c>
      <c r="AR214" s="50">
        <f t="shared" si="152"/>
        <v>0</v>
      </c>
      <c r="AS214" s="50">
        <f t="shared" si="152"/>
        <v>0</v>
      </c>
      <c r="AT214" s="50">
        <f t="shared" si="152"/>
        <v>0</v>
      </c>
      <c r="AU214" s="50">
        <f t="shared" si="152"/>
        <v>0</v>
      </c>
    </row>
    <row r="215" spans="1:47">
      <c r="D215" s="186"/>
      <c r="E215" s="325"/>
      <c r="G215" s="39" t="s">
        <v>304</v>
      </c>
      <c r="I215" s="39"/>
      <c r="K215" s="39"/>
      <c r="L215" s="43"/>
      <c r="N215" s="70"/>
      <c r="O215" s="313"/>
      <c r="P215" s="70"/>
      <c r="Q215" s="313"/>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row>
    <row r="216" spans="1:47">
      <c r="A216" s="38" t="str">
        <f>$J$4&amp;"-"</f>
        <v>2Y-</v>
      </c>
      <c r="B216" s="38" t="s">
        <v>265</v>
      </c>
      <c r="C216" s="38" t="str">
        <f>C207</f>
        <v>CHP</v>
      </c>
      <c r="D216" s="186"/>
      <c r="E216" s="325"/>
      <c r="G216" s="36" t="s">
        <v>108</v>
      </c>
      <c r="I216" s="39"/>
      <c r="K216" s="39"/>
      <c r="L216" s="43" t="s">
        <v>293</v>
      </c>
      <c r="N216" s="70">
        <f ca="1">SUMIFS(OFFSET(Assumptions!$I$90,0,MATCH($A216,Configurations,0)-1,COUNT(Assumptions!$A$90:$A$183),1),Assumptions!$D$90:$D$183,$B216&amp;$C216)</f>
        <v>2503900</v>
      </c>
      <c r="O216" s="313"/>
      <c r="P216" s="323"/>
      <c r="Q216" s="313"/>
      <c r="R216" s="50">
        <f t="shared" ref="R216:AU216" ca="1" si="153">IF(OR(R$99&lt;InServiceYr,R$99&gt;(InServiceYr+analysis_period-1)),0,IF($P216=0,$N216,$P216)*R$501)</f>
        <v>161705.75822557823</v>
      </c>
      <c r="S216" s="50">
        <f t="shared" ca="1" si="153"/>
        <v>162713.75612770638</v>
      </c>
      <c r="T216" s="50">
        <f t="shared" ca="1" si="153"/>
        <v>169728.33663519312</v>
      </c>
      <c r="U216" s="50">
        <f t="shared" ca="1" si="153"/>
        <v>174819.7620148327</v>
      </c>
      <c r="V216" s="50">
        <f t="shared" ca="1" si="153"/>
        <v>179038.35698012201</v>
      </c>
      <c r="W216" s="50">
        <f t="shared" ca="1" si="153"/>
        <v>181328.84531482233</v>
      </c>
      <c r="X216" s="50">
        <f t="shared" ca="1" si="153"/>
        <v>184279.51409525934</v>
      </c>
      <c r="Y216" s="50">
        <f t="shared" ca="1" si="153"/>
        <v>188819.78599729275</v>
      </c>
      <c r="Z216" s="50">
        <f t="shared" ca="1" si="153"/>
        <v>193340.26042543261</v>
      </c>
      <c r="AA216" s="50">
        <f t="shared" ca="1" si="153"/>
        <v>198174.24181079262</v>
      </c>
      <c r="AB216" s="50">
        <f t="shared" ca="1" si="153"/>
        <v>202466.65685230342</v>
      </c>
      <c r="AC216" s="50">
        <f t="shared" ca="1" si="153"/>
        <v>206365.42742584</v>
      </c>
      <c r="AD216" s="50">
        <f t="shared" ca="1" si="153"/>
        <v>211132.4269310064</v>
      </c>
      <c r="AE216" s="50">
        <f t="shared" ca="1" si="153"/>
        <v>215944.48511112324</v>
      </c>
      <c r="AF216" s="50">
        <f t="shared" ca="1" si="153"/>
        <v>221078.9117309534</v>
      </c>
      <c r="AG216" s="50">
        <f t="shared" ca="1" si="153"/>
        <v>226830.67976072984</v>
      </c>
      <c r="AH216" s="50">
        <f t="shared" ca="1" si="153"/>
        <v>232389.72335189168</v>
      </c>
      <c r="AI216" s="50">
        <f t="shared" ca="1" si="153"/>
        <v>238418.28038493556</v>
      </c>
      <c r="AJ216" s="50">
        <f t="shared" ca="1" si="153"/>
        <v>244800.38325081873</v>
      </c>
      <c r="AK216" s="50">
        <f t="shared" ca="1" si="153"/>
        <v>251459.75319609611</v>
      </c>
      <c r="AL216" s="50">
        <f t="shared" si="153"/>
        <v>0</v>
      </c>
      <c r="AM216" s="50">
        <f t="shared" si="153"/>
        <v>0</v>
      </c>
      <c r="AN216" s="50">
        <f t="shared" si="153"/>
        <v>0</v>
      </c>
      <c r="AO216" s="50">
        <f t="shared" si="153"/>
        <v>0</v>
      </c>
      <c r="AP216" s="50">
        <f t="shared" si="153"/>
        <v>0</v>
      </c>
      <c r="AQ216" s="50">
        <f t="shared" si="153"/>
        <v>0</v>
      </c>
      <c r="AR216" s="50">
        <f t="shared" si="153"/>
        <v>0</v>
      </c>
      <c r="AS216" s="50">
        <f t="shared" si="153"/>
        <v>0</v>
      </c>
      <c r="AT216" s="50">
        <f t="shared" si="153"/>
        <v>0</v>
      </c>
      <c r="AU216" s="50">
        <f t="shared" si="153"/>
        <v>0</v>
      </c>
    </row>
    <row r="217" spans="1:47">
      <c r="A217" s="38" t="str">
        <f>$J$4&amp;"-"</f>
        <v>2Y-</v>
      </c>
      <c r="B217" s="38" t="s">
        <v>289</v>
      </c>
      <c r="C217" s="38" t="str">
        <f>C207</f>
        <v>CHP</v>
      </c>
      <c r="D217" s="186">
        <f>LaborEsc</f>
        <v>0.02</v>
      </c>
      <c r="E217" s="325"/>
      <c r="G217" s="36" t="s">
        <v>292</v>
      </c>
      <c r="I217" s="39"/>
      <c r="K217" s="39"/>
      <c r="L217" s="43" t="str">
        <f>"["&amp;CostBaseYr&amp;" $]"</f>
        <v>[2013 $]</v>
      </c>
      <c r="N217" s="70">
        <f ca="1">SUMIFS(OFFSET(Assumptions!$I$90,0,MATCH($A217,Configurations,0)-1,COUNT(Assumptions!$A$90:$A$183),1),Assumptions!$D$90:$D$183,$B217&amp;$C217)</f>
        <v>0</v>
      </c>
      <c r="O217" s="313"/>
      <c r="P217" s="323"/>
      <c r="Q217" s="313"/>
      <c r="R217" s="50">
        <f t="shared" ref="R217:AU217" ca="1" si="154">IF(OR(R$99&lt;InServiceYr,R$99&gt;(InServiceYr+analysis_period-1)),0,IF($P217=0,$N217,$P217)*(1+$D217)^(R$99-CostBaseYr))</f>
        <v>0</v>
      </c>
      <c r="S217" s="50">
        <f t="shared" ca="1" si="154"/>
        <v>0</v>
      </c>
      <c r="T217" s="50">
        <f t="shared" ca="1" si="154"/>
        <v>0</v>
      </c>
      <c r="U217" s="50">
        <f t="shared" ca="1" si="154"/>
        <v>0</v>
      </c>
      <c r="V217" s="50">
        <f t="shared" ca="1" si="154"/>
        <v>0</v>
      </c>
      <c r="W217" s="50">
        <f t="shared" ca="1" si="154"/>
        <v>0</v>
      </c>
      <c r="X217" s="50">
        <f t="shared" ca="1" si="154"/>
        <v>0</v>
      </c>
      <c r="Y217" s="50">
        <f t="shared" ca="1" si="154"/>
        <v>0</v>
      </c>
      <c r="Z217" s="50">
        <f t="shared" ca="1" si="154"/>
        <v>0</v>
      </c>
      <c r="AA217" s="50">
        <f t="shared" ca="1" si="154"/>
        <v>0</v>
      </c>
      <c r="AB217" s="50">
        <f t="shared" ca="1" si="154"/>
        <v>0</v>
      </c>
      <c r="AC217" s="50">
        <f t="shared" ca="1" si="154"/>
        <v>0</v>
      </c>
      <c r="AD217" s="50">
        <f t="shared" ca="1" si="154"/>
        <v>0</v>
      </c>
      <c r="AE217" s="50">
        <f t="shared" ca="1" si="154"/>
        <v>0</v>
      </c>
      <c r="AF217" s="50">
        <f t="shared" ca="1" si="154"/>
        <v>0</v>
      </c>
      <c r="AG217" s="50">
        <f t="shared" ca="1" si="154"/>
        <v>0</v>
      </c>
      <c r="AH217" s="50">
        <f t="shared" ca="1" si="154"/>
        <v>0</v>
      </c>
      <c r="AI217" s="50">
        <f t="shared" ca="1" si="154"/>
        <v>0</v>
      </c>
      <c r="AJ217" s="50">
        <f t="shared" ca="1" si="154"/>
        <v>0</v>
      </c>
      <c r="AK217" s="50">
        <f t="shared" ca="1" si="154"/>
        <v>0</v>
      </c>
      <c r="AL217" s="50">
        <f t="shared" si="154"/>
        <v>0</v>
      </c>
      <c r="AM217" s="50">
        <f t="shared" si="154"/>
        <v>0</v>
      </c>
      <c r="AN217" s="50">
        <f t="shared" si="154"/>
        <v>0</v>
      </c>
      <c r="AO217" s="50">
        <f t="shared" si="154"/>
        <v>0</v>
      </c>
      <c r="AP217" s="50">
        <f t="shared" si="154"/>
        <v>0</v>
      </c>
      <c r="AQ217" s="50">
        <f t="shared" si="154"/>
        <v>0</v>
      </c>
      <c r="AR217" s="50">
        <f t="shared" si="154"/>
        <v>0</v>
      </c>
      <c r="AS217" s="50">
        <f t="shared" si="154"/>
        <v>0</v>
      </c>
      <c r="AT217" s="50">
        <f t="shared" si="154"/>
        <v>0</v>
      </c>
      <c r="AU217" s="50">
        <f t="shared" si="154"/>
        <v>0</v>
      </c>
    </row>
    <row r="218" spans="1:47" s="60" customFormat="1">
      <c r="D218" s="187"/>
      <c r="E218" s="325"/>
      <c r="G218" s="39" t="s">
        <v>305</v>
      </c>
      <c r="I218" s="39"/>
      <c r="K218" s="39"/>
      <c r="L218" s="174"/>
      <c r="N218" s="188"/>
      <c r="O218" s="314"/>
      <c r="P218" s="185"/>
      <c r="Q218" s="314"/>
      <c r="R218" s="185">
        <f ca="1">SUM(R207:R214)-SUM(R216:R217)</f>
        <v>-94283.758225578233</v>
      </c>
      <c r="S218" s="185">
        <f t="shared" ref="S218:AU218" ca="1" si="155">SUM(S207:S214)-SUM(S216:S217)</f>
        <v>-93943.316127706377</v>
      </c>
      <c r="T218" s="185">
        <f t="shared" ca="1" si="155"/>
        <v>-99582.487835193126</v>
      </c>
      <c r="U218" s="185">
        <f t="shared" ca="1" si="155"/>
        <v>-103270.9962388327</v>
      </c>
      <c r="V218" s="185">
        <f t="shared" ca="1" si="155"/>
        <v>-106058.61588860201</v>
      </c>
      <c r="W218" s="185">
        <f t="shared" ca="1" si="155"/>
        <v>-106889.50940147194</v>
      </c>
      <c r="X218" s="185">
        <f t="shared" ca="1" si="155"/>
        <v>-108351.39146364194</v>
      </c>
      <c r="Y218" s="185">
        <f t="shared" ca="1" si="155"/>
        <v>-111373.100913043</v>
      </c>
      <c r="Z218" s="185">
        <f t="shared" ca="1" si="155"/>
        <v>-114344.64163949786</v>
      </c>
      <c r="AA218" s="185">
        <f t="shared" ca="1" si="155"/>
        <v>-117598.71064913918</v>
      </c>
      <c r="AB218" s="185">
        <f t="shared" ca="1" si="155"/>
        <v>-120279.61506741692</v>
      </c>
      <c r="AC218" s="185">
        <f t="shared" ca="1" si="155"/>
        <v>-122534.64480525575</v>
      </c>
      <c r="AD218" s="185">
        <f t="shared" ca="1" si="155"/>
        <v>-125625.02865801047</v>
      </c>
      <c r="AE218" s="185">
        <f t="shared" ca="1" si="155"/>
        <v>-128726.93887266738</v>
      </c>
      <c r="AF218" s="185">
        <f t="shared" ca="1" si="155"/>
        <v>-132117.01456772845</v>
      </c>
      <c r="AG218" s="185">
        <f t="shared" ca="1" si="155"/>
        <v>-136089.54465424037</v>
      </c>
      <c r="AH218" s="185">
        <f t="shared" ca="1" si="155"/>
        <v>-139833.76554327243</v>
      </c>
      <c r="AI218" s="185">
        <f t="shared" ca="1" si="155"/>
        <v>-144011.20342014392</v>
      </c>
      <c r="AJ218" s="185">
        <f t="shared" ca="1" si="155"/>
        <v>-148505.16474673129</v>
      </c>
      <c r="AK218" s="185">
        <f t="shared" ca="1" si="155"/>
        <v>-153238.6303219269</v>
      </c>
      <c r="AL218" s="185">
        <f t="shared" si="155"/>
        <v>0</v>
      </c>
      <c r="AM218" s="185">
        <f t="shared" si="155"/>
        <v>0</v>
      </c>
      <c r="AN218" s="185">
        <f t="shared" si="155"/>
        <v>0</v>
      </c>
      <c r="AO218" s="185">
        <f t="shared" si="155"/>
        <v>0</v>
      </c>
      <c r="AP218" s="185">
        <f t="shared" si="155"/>
        <v>0</v>
      </c>
      <c r="AQ218" s="185">
        <f t="shared" si="155"/>
        <v>0</v>
      </c>
      <c r="AR218" s="185">
        <f t="shared" si="155"/>
        <v>0</v>
      </c>
      <c r="AS218" s="185">
        <f t="shared" si="155"/>
        <v>0</v>
      </c>
      <c r="AT218" s="185">
        <f t="shared" si="155"/>
        <v>0</v>
      </c>
      <c r="AU218" s="185">
        <f t="shared" si="155"/>
        <v>0</v>
      </c>
    </row>
    <row r="219" spans="1:47">
      <c r="E219" s="36"/>
      <c r="G219" s="39"/>
      <c r="H219" s="39"/>
      <c r="I219" s="39"/>
      <c r="J219" s="39"/>
      <c r="K219" s="39"/>
    </row>
    <row r="220" spans="1:47">
      <c r="E220" s="327"/>
      <c r="F220" s="28"/>
      <c r="G220" s="324" t="str">
        <f>C222&amp;" Capital Costs"</f>
        <v>Dewatering Capital Costs</v>
      </c>
      <c r="H220" s="324"/>
      <c r="I220" s="324"/>
      <c r="J220" s="324"/>
      <c r="K220" s="324"/>
      <c r="L220" s="405" t="s">
        <v>79</v>
      </c>
      <c r="M220" s="256"/>
      <c r="N220" s="325" t="s">
        <v>490</v>
      </c>
      <c r="O220" s="311"/>
      <c r="P220" s="325" t="s">
        <v>491</v>
      </c>
      <c r="Q220" s="310"/>
      <c r="R220" s="325">
        <f>R$8</f>
        <v>2014</v>
      </c>
      <c r="S220" s="325">
        <f t="shared" ref="S220:AU220" si="156">S$8</f>
        <v>2015</v>
      </c>
      <c r="T220" s="325">
        <f t="shared" si="156"/>
        <v>2016</v>
      </c>
      <c r="U220" s="325">
        <f t="shared" si="156"/>
        <v>2017</v>
      </c>
      <c r="V220" s="325">
        <f t="shared" si="156"/>
        <v>2018</v>
      </c>
      <c r="W220" s="325">
        <f t="shared" si="156"/>
        <v>2019</v>
      </c>
      <c r="X220" s="325">
        <f t="shared" si="156"/>
        <v>2020</v>
      </c>
      <c r="Y220" s="325">
        <f t="shared" si="156"/>
        <v>2021</v>
      </c>
      <c r="Z220" s="325">
        <f t="shared" si="156"/>
        <v>2022</v>
      </c>
      <c r="AA220" s="325">
        <f t="shared" si="156"/>
        <v>2023</v>
      </c>
      <c r="AB220" s="325">
        <f t="shared" si="156"/>
        <v>2024</v>
      </c>
      <c r="AC220" s="325">
        <f t="shared" si="156"/>
        <v>2025</v>
      </c>
      <c r="AD220" s="325">
        <f t="shared" si="156"/>
        <v>2026</v>
      </c>
      <c r="AE220" s="325">
        <f t="shared" si="156"/>
        <v>2027</v>
      </c>
      <c r="AF220" s="325">
        <f t="shared" si="156"/>
        <v>2028</v>
      </c>
      <c r="AG220" s="325">
        <f t="shared" si="156"/>
        <v>2029</v>
      </c>
      <c r="AH220" s="325">
        <f t="shared" si="156"/>
        <v>2030</v>
      </c>
      <c r="AI220" s="325">
        <f t="shared" si="156"/>
        <v>2031</v>
      </c>
      <c r="AJ220" s="325">
        <f t="shared" si="156"/>
        <v>2032</v>
      </c>
      <c r="AK220" s="325">
        <f t="shared" si="156"/>
        <v>2033</v>
      </c>
      <c r="AL220" s="325">
        <f t="shared" si="156"/>
        <v>2034</v>
      </c>
      <c r="AM220" s="325">
        <f t="shared" si="156"/>
        <v>2035</v>
      </c>
      <c r="AN220" s="325">
        <f t="shared" si="156"/>
        <v>2036</v>
      </c>
      <c r="AO220" s="325">
        <f t="shared" si="156"/>
        <v>2037</v>
      </c>
      <c r="AP220" s="325">
        <f t="shared" si="156"/>
        <v>2038</v>
      </c>
      <c r="AQ220" s="325">
        <f t="shared" si="156"/>
        <v>2039</v>
      </c>
      <c r="AR220" s="325">
        <f t="shared" si="156"/>
        <v>2040</v>
      </c>
      <c r="AS220" s="325">
        <f t="shared" si="156"/>
        <v>2041</v>
      </c>
      <c r="AT220" s="325">
        <f t="shared" si="156"/>
        <v>2042</v>
      </c>
      <c r="AU220" s="325">
        <f t="shared" si="156"/>
        <v>2043</v>
      </c>
    </row>
    <row r="221" spans="1:47">
      <c r="E221" s="325"/>
      <c r="G221" s="39"/>
      <c r="H221" s="39"/>
      <c r="I221" s="39"/>
      <c r="J221" s="39"/>
      <c r="K221" s="39"/>
    </row>
    <row r="222" spans="1:47">
      <c r="A222" s="38" t="str">
        <f>$J$4&amp;"-"</f>
        <v>2Y-</v>
      </c>
      <c r="B222" s="38" t="s">
        <v>306</v>
      </c>
      <c r="C222" s="38" t="s">
        <v>319</v>
      </c>
      <c r="D222" s="186">
        <f>CapExEsc</f>
        <v>0.03</v>
      </c>
      <c r="E222" s="325"/>
      <c r="G222" s="36" t="s">
        <v>8</v>
      </c>
      <c r="H222" s="39"/>
      <c r="I222" s="39"/>
      <c r="J222" s="70"/>
      <c r="K222" s="39"/>
      <c r="L222" s="43" t="str">
        <f>"["&amp;CostBaseYr&amp;" $]"</f>
        <v>[2013 $]</v>
      </c>
      <c r="N222" s="52">
        <f ca="1">SUMIFS(OFFSET(Assumptions!$I$65,0,MATCH($A222,Configurations,0)-1,COUNT(Assumptions!$A$65:$A$84),1),Assumptions!$E$65:$E$84,$C222)</f>
        <v>0</v>
      </c>
      <c r="O222" s="52"/>
      <c r="P222" s="322"/>
      <c r="Q222" s="52"/>
      <c r="R222" s="52">
        <f t="shared" ref="R222:AU222" ca="1" si="157">R223*IF($P222=0,$N222,$P222)*(1+$D222)^(R$8-CostBaseYr)</f>
        <v>0</v>
      </c>
      <c r="S222" s="52">
        <f t="shared" ca="1" si="157"/>
        <v>0</v>
      </c>
      <c r="T222" s="52">
        <f t="shared" ca="1" si="157"/>
        <v>0</v>
      </c>
      <c r="U222" s="52">
        <f t="shared" ca="1" si="157"/>
        <v>0</v>
      </c>
      <c r="V222" s="52">
        <f t="shared" ca="1" si="157"/>
        <v>0</v>
      </c>
      <c r="W222" s="52">
        <f t="shared" ca="1" si="157"/>
        <v>0</v>
      </c>
      <c r="X222" s="52">
        <f t="shared" ca="1" si="157"/>
        <v>0</v>
      </c>
      <c r="Y222" s="52">
        <f t="shared" ca="1" si="157"/>
        <v>0</v>
      </c>
      <c r="Z222" s="52">
        <f t="shared" ca="1" si="157"/>
        <v>0</v>
      </c>
      <c r="AA222" s="52">
        <f t="shared" ca="1" si="157"/>
        <v>0</v>
      </c>
      <c r="AB222" s="52">
        <f t="shared" ca="1" si="157"/>
        <v>0</v>
      </c>
      <c r="AC222" s="52">
        <f t="shared" ca="1" si="157"/>
        <v>0</v>
      </c>
      <c r="AD222" s="52">
        <f t="shared" ca="1" si="157"/>
        <v>0</v>
      </c>
      <c r="AE222" s="52">
        <f t="shared" ca="1" si="157"/>
        <v>0</v>
      </c>
      <c r="AF222" s="52">
        <f t="shared" ca="1" si="157"/>
        <v>0</v>
      </c>
      <c r="AG222" s="52">
        <f t="shared" ca="1" si="157"/>
        <v>0</v>
      </c>
      <c r="AH222" s="52">
        <f t="shared" ca="1" si="157"/>
        <v>0</v>
      </c>
      <c r="AI222" s="52">
        <f t="shared" ca="1" si="157"/>
        <v>0</v>
      </c>
      <c r="AJ222" s="52">
        <f t="shared" ca="1" si="157"/>
        <v>0</v>
      </c>
      <c r="AK222" s="52">
        <f t="shared" ca="1" si="157"/>
        <v>0</v>
      </c>
      <c r="AL222" s="52">
        <f t="shared" ca="1" si="157"/>
        <v>0</v>
      </c>
      <c r="AM222" s="52">
        <f t="shared" ca="1" si="157"/>
        <v>0</v>
      </c>
      <c r="AN222" s="52">
        <f t="shared" ca="1" si="157"/>
        <v>0</v>
      </c>
      <c r="AO222" s="52">
        <f t="shared" ca="1" si="157"/>
        <v>0</v>
      </c>
      <c r="AP222" s="52">
        <f t="shared" ca="1" si="157"/>
        <v>0</v>
      </c>
      <c r="AQ222" s="52">
        <f t="shared" ca="1" si="157"/>
        <v>0</v>
      </c>
      <c r="AR222" s="52">
        <f t="shared" ca="1" si="157"/>
        <v>0</v>
      </c>
      <c r="AS222" s="52">
        <f t="shared" ca="1" si="157"/>
        <v>0</v>
      </c>
      <c r="AT222" s="52">
        <f t="shared" ca="1" si="157"/>
        <v>0</v>
      </c>
      <c r="AU222" s="52">
        <f t="shared" ca="1" si="157"/>
        <v>0</v>
      </c>
    </row>
    <row r="223" spans="1:47">
      <c r="E223" s="325"/>
      <c r="G223" s="36" t="s">
        <v>10</v>
      </c>
      <c r="H223" s="39"/>
      <c r="I223" s="39"/>
      <c r="J223" s="39"/>
      <c r="K223" s="39"/>
      <c r="L223" s="43"/>
      <c r="R223" s="54">
        <f>Assumptions!M$60</f>
        <v>1</v>
      </c>
      <c r="S223" s="54">
        <f>Assumptions!N$60</f>
        <v>0</v>
      </c>
      <c r="T223" s="54">
        <f>Assumptions!O$60</f>
        <v>0</v>
      </c>
      <c r="U223" s="54">
        <f>Assumptions!P$60</f>
        <v>0</v>
      </c>
      <c r="V223" s="54">
        <f>Assumptions!Q$60</f>
        <v>0</v>
      </c>
      <c r="W223" s="54">
        <f>Assumptions!R$60</f>
        <v>0</v>
      </c>
      <c r="X223" s="54">
        <f>Assumptions!S$60</f>
        <v>0</v>
      </c>
      <c r="Y223" s="54">
        <f>Assumptions!T$60</f>
        <v>0</v>
      </c>
      <c r="Z223" s="54">
        <f>Assumptions!U$60</f>
        <v>0</v>
      </c>
      <c r="AA223" s="54">
        <f>Assumptions!V$60</f>
        <v>0</v>
      </c>
      <c r="AB223" s="54">
        <f>Assumptions!W$60</f>
        <v>0</v>
      </c>
      <c r="AC223" s="54">
        <f>Assumptions!X$60</f>
        <v>0</v>
      </c>
      <c r="AD223" s="54">
        <f>Assumptions!Y$60</f>
        <v>0</v>
      </c>
      <c r="AE223" s="54">
        <f>Assumptions!Z$60</f>
        <v>0</v>
      </c>
      <c r="AF223" s="54">
        <f>Assumptions!AA$60</f>
        <v>0</v>
      </c>
      <c r="AG223" s="54">
        <f>Assumptions!AB$60</f>
        <v>0</v>
      </c>
      <c r="AH223" s="54">
        <f>Assumptions!AC$60</f>
        <v>0</v>
      </c>
      <c r="AI223" s="54">
        <f>Assumptions!AD$60</f>
        <v>0</v>
      </c>
      <c r="AJ223" s="54">
        <f>Assumptions!AE$60</f>
        <v>0</v>
      </c>
      <c r="AK223" s="54">
        <f>Assumptions!AF$60</f>
        <v>0</v>
      </c>
      <c r="AL223" s="54">
        <f>Assumptions!AG$60</f>
        <v>0</v>
      </c>
      <c r="AM223" s="54">
        <f>Assumptions!AH$60</f>
        <v>0</v>
      </c>
      <c r="AN223" s="54">
        <f>Assumptions!AI$60</f>
        <v>0</v>
      </c>
      <c r="AO223" s="54">
        <f>Assumptions!AJ$60</f>
        <v>0</v>
      </c>
      <c r="AP223" s="54">
        <f>Assumptions!AK$60</f>
        <v>0</v>
      </c>
      <c r="AQ223" s="54">
        <f>Assumptions!AL$60</f>
        <v>0</v>
      </c>
      <c r="AR223" s="54">
        <f>Assumptions!AM$60</f>
        <v>0</v>
      </c>
      <c r="AS223" s="54">
        <f>Assumptions!AN$60</f>
        <v>0</v>
      </c>
      <c r="AT223" s="54">
        <f>Assumptions!AO$60</f>
        <v>0</v>
      </c>
      <c r="AU223" s="54">
        <f>Assumptions!AP$60</f>
        <v>0</v>
      </c>
    </row>
    <row r="224" spans="1:47">
      <c r="E224" s="326"/>
      <c r="G224" s="39"/>
      <c r="H224" s="39"/>
      <c r="I224" s="39"/>
      <c r="J224" s="39"/>
      <c r="K224" s="39"/>
    </row>
    <row r="225" spans="1:47">
      <c r="E225" s="327"/>
      <c r="F225" s="28"/>
      <c r="G225" s="324" t="str">
        <f>C222&amp;" O&amp;M"</f>
        <v>Dewatering O&amp;M</v>
      </c>
      <c r="H225" s="324"/>
      <c r="I225" s="324"/>
      <c r="J225" s="324"/>
      <c r="K225" s="324"/>
      <c r="L225" s="405" t="s">
        <v>79</v>
      </c>
      <c r="M225" s="256"/>
      <c r="N225" s="325" t="s">
        <v>490</v>
      </c>
      <c r="O225" s="311"/>
      <c r="P225" s="325" t="s">
        <v>491</v>
      </c>
      <c r="Q225" s="310"/>
      <c r="R225" s="325">
        <f>R$8</f>
        <v>2014</v>
      </c>
      <c r="S225" s="325">
        <f t="shared" ref="S225:AU225" si="158">S$8</f>
        <v>2015</v>
      </c>
      <c r="T225" s="325">
        <f t="shared" si="158"/>
        <v>2016</v>
      </c>
      <c r="U225" s="325">
        <f t="shared" si="158"/>
        <v>2017</v>
      </c>
      <c r="V225" s="325">
        <f t="shared" si="158"/>
        <v>2018</v>
      </c>
      <c r="W225" s="325">
        <f t="shared" si="158"/>
        <v>2019</v>
      </c>
      <c r="X225" s="325">
        <f t="shared" si="158"/>
        <v>2020</v>
      </c>
      <c r="Y225" s="325">
        <f t="shared" si="158"/>
        <v>2021</v>
      </c>
      <c r="Z225" s="325">
        <f t="shared" si="158"/>
        <v>2022</v>
      </c>
      <c r="AA225" s="325">
        <f t="shared" si="158"/>
        <v>2023</v>
      </c>
      <c r="AB225" s="325">
        <f t="shared" si="158"/>
        <v>2024</v>
      </c>
      <c r="AC225" s="325">
        <f t="shared" si="158"/>
        <v>2025</v>
      </c>
      <c r="AD225" s="325">
        <f t="shared" si="158"/>
        <v>2026</v>
      </c>
      <c r="AE225" s="325">
        <f t="shared" si="158"/>
        <v>2027</v>
      </c>
      <c r="AF225" s="325">
        <f t="shared" si="158"/>
        <v>2028</v>
      </c>
      <c r="AG225" s="325">
        <f t="shared" si="158"/>
        <v>2029</v>
      </c>
      <c r="AH225" s="325">
        <f t="shared" si="158"/>
        <v>2030</v>
      </c>
      <c r="AI225" s="325">
        <f t="shared" si="158"/>
        <v>2031</v>
      </c>
      <c r="AJ225" s="325">
        <f t="shared" si="158"/>
        <v>2032</v>
      </c>
      <c r="AK225" s="325">
        <f t="shared" si="158"/>
        <v>2033</v>
      </c>
      <c r="AL225" s="325">
        <f t="shared" si="158"/>
        <v>2034</v>
      </c>
      <c r="AM225" s="325">
        <f t="shared" si="158"/>
        <v>2035</v>
      </c>
      <c r="AN225" s="325">
        <f t="shared" si="158"/>
        <v>2036</v>
      </c>
      <c r="AO225" s="325">
        <f t="shared" si="158"/>
        <v>2037</v>
      </c>
      <c r="AP225" s="325">
        <f t="shared" si="158"/>
        <v>2038</v>
      </c>
      <c r="AQ225" s="325">
        <f t="shared" si="158"/>
        <v>2039</v>
      </c>
      <c r="AR225" s="325">
        <f t="shared" si="158"/>
        <v>2040</v>
      </c>
      <c r="AS225" s="325">
        <f t="shared" si="158"/>
        <v>2041</v>
      </c>
      <c r="AT225" s="325">
        <f t="shared" si="158"/>
        <v>2042</v>
      </c>
      <c r="AU225" s="325">
        <f t="shared" si="158"/>
        <v>2043</v>
      </c>
    </row>
    <row r="226" spans="1:47">
      <c r="E226" s="325"/>
      <c r="G226" s="39"/>
      <c r="H226" s="39"/>
      <c r="I226" s="39"/>
      <c r="J226" s="39"/>
      <c r="K226" s="39"/>
    </row>
    <row r="227" spans="1:47">
      <c r="E227" s="325"/>
      <c r="G227" s="39" t="s">
        <v>23</v>
      </c>
      <c r="H227" s="39"/>
      <c r="I227" s="39"/>
      <c r="J227" s="39"/>
      <c r="K227" s="39"/>
    </row>
    <row r="228" spans="1:47">
      <c r="A228" s="38" t="str">
        <f t="shared" ref="A228:A235" si="159">$J$4&amp;"-"</f>
        <v>2Y-</v>
      </c>
      <c r="B228" s="38" t="s">
        <v>262</v>
      </c>
      <c r="C228" s="38" t="str">
        <f>C222</f>
        <v>Dewatering</v>
      </c>
      <c r="D228" s="186">
        <f>LaborEsc</f>
        <v>0.02</v>
      </c>
      <c r="E228" s="325"/>
      <c r="G228" s="36" t="s">
        <v>125</v>
      </c>
      <c r="I228" s="39"/>
      <c r="K228" s="39"/>
      <c r="L228" s="43" t="s">
        <v>266</v>
      </c>
      <c r="N228" s="70">
        <f ca="1">SUMIFS(OFFSET(Assumptions!$I$90,0,MATCH($A228,Configurations,0)-1,COUNT(Assumptions!$A$90:$A$183),1),Assumptions!$D$90:$D$183,$B228&amp;$C228)</f>
        <v>0</v>
      </c>
      <c r="O228" s="313"/>
      <c r="P228" s="323"/>
      <c r="Q228" s="313"/>
      <c r="R228" s="50">
        <f t="shared" ref="R228:AU228" ca="1" si="160">IF(OR(R$99&lt;InServiceYr,R$99&gt;(InServiceYr+analysis_period-1)),0,IF($P228=0,$N228,$P228)*LaborCost*(1+$D228)^(R$99-CostBaseYr))</f>
        <v>0</v>
      </c>
      <c r="S228" s="50">
        <f t="shared" ca="1" si="160"/>
        <v>0</v>
      </c>
      <c r="T228" s="50">
        <f t="shared" ca="1" si="160"/>
        <v>0</v>
      </c>
      <c r="U228" s="50">
        <f t="shared" ca="1" si="160"/>
        <v>0</v>
      </c>
      <c r="V228" s="50">
        <f t="shared" ca="1" si="160"/>
        <v>0</v>
      </c>
      <c r="W228" s="50">
        <f t="shared" ca="1" si="160"/>
        <v>0</v>
      </c>
      <c r="X228" s="50">
        <f t="shared" ca="1" si="160"/>
        <v>0</v>
      </c>
      <c r="Y228" s="50">
        <f t="shared" ca="1" si="160"/>
        <v>0</v>
      </c>
      <c r="Z228" s="50">
        <f t="shared" ca="1" si="160"/>
        <v>0</v>
      </c>
      <c r="AA228" s="50">
        <f t="shared" ca="1" si="160"/>
        <v>0</v>
      </c>
      <c r="AB228" s="50">
        <f t="shared" ca="1" si="160"/>
        <v>0</v>
      </c>
      <c r="AC228" s="50">
        <f t="shared" ca="1" si="160"/>
        <v>0</v>
      </c>
      <c r="AD228" s="50">
        <f t="shared" ca="1" si="160"/>
        <v>0</v>
      </c>
      <c r="AE228" s="50">
        <f t="shared" ca="1" si="160"/>
        <v>0</v>
      </c>
      <c r="AF228" s="50">
        <f t="shared" ca="1" si="160"/>
        <v>0</v>
      </c>
      <c r="AG228" s="50">
        <f t="shared" ca="1" si="160"/>
        <v>0</v>
      </c>
      <c r="AH228" s="50">
        <f t="shared" ca="1" si="160"/>
        <v>0</v>
      </c>
      <c r="AI228" s="50">
        <f t="shared" ca="1" si="160"/>
        <v>0</v>
      </c>
      <c r="AJ228" s="50">
        <f t="shared" ca="1" si="160"/>
        <v>0</v>
      </c>
      <c r="AK228" s="50">
        <f t="shared" ca="1" si="160"/>
        <v>0</v>
      </c>
      <c r="AL228" s="50">
        <f t="shared" si="160"/>
        <v>0</v>
      </c>
      <c r="AM228" s="50">
        <f t="shared" si="160"/>
        <v>0</v>
      </c>
      <c r="AN228" s="50">
        <f t="shared" si="160"/>
        <v>0</v>
      </c>
      <c r="AO228" s="50">
        <f t="shared" si="160"/>
        <v>0</v>
      </c>
      <c r="AP228" s="50">
        <f t="shared" si="160"/>
        <v>0</v>
      </c>
      <c r="AQ228" s="50">
        <f t="shared" si="160"/>
        <v>0</v>
      </c>
      <c r="AR228" s="50">
        <f t="shared" si="160"/>
        <v>0</v>
      </c>
      <c r="AS228" s="50">
        <f t="shared" si="160"/>
        <v>0</v>
      </c>
      <c r="AT228" s="50">
        <f t="shared" si="160"/>
        <v>0</v>
      </c>
      <c r="AU228" s="50">
        <f t="shared" si="160"/>
        <v>0</v>
      </c>
    </row>
    <row r="229" spans="1:47">
      <c r="A229" s="38" t="str">
        <f t="shared" si="159"/>
        <v>2Y-</v>
      </c>
      <c r="B229" s="38" t="s">
        <v>270</v>
      </c>
      <c r="C229" s="38" t="str">
        <f>C228</f>
        <v>Dewatering</v>
      </c>
      <c r="D229" s="186">
        <f>OMEsc</f>
        <v>0.02</v>
      </c>
      <c r="E229" s="325"/>
      <c r="G229" s="36" t="s">
        <v>126</v>
      </c>
      <c r="I229" s="39"/>
      <c r="K229" s="39"/>
      <c r="L229" s="43" t="str">
        <f>"["&amp;CostBaseYr&amp;" $]"</f>
        <v>[2013 $]</v>
      </c>
      <c r="N229" s="70">
        <f ca="1">SUMIFS(OFFSET(Assumptions!$I$90,0,MATCH($A229,Configurations,0)-1,COUNT(Assumptions!$A$90:$A$183),1),Assumptions!$D$90:$D$183,$B229&amp;$C229)</f>
        <v>0</v>
      </c>
      <c r="O229" s="313"/>
      <c r="P229" s="323"/>
      <c r="Q229" s="313"/>
      <c r="R229" s="50">
        <f t="shared" ref="R229:AG231" ca="1" si="161">IF(OR(R$99&lt;InServiceYr,R$99&gt;(InServiceYr+analysis_period-1)),0,IF($P229=0,$N229,$P229)*(1+$D229)^(R$99-CostBaseYr))</f>
        <v>0</v>
      </c>
      <c r="S229" s="50">
        <f t="shared" ca="1" si="161"/>
        <v>0</v>
      </c>
      <c r="T229" s="50">
        <f t="shared" ca="1" si="161"/>
        <v>0</v>
      </c>
      <c r="U229" s="50">
        <f t="shared" ca="1" si="161"/>
        <v>0</v>
      </c>
      <c r="V229" s="50">
        <f t="shared" ca="1" si="161"/>
        <v>0</v>
      </c>
      <c r="W229" s="50">
        <f t="shared" ca="1" si="161"/>
        <v>0</v>
      </c>
      <c r="X229" s="50">
        <f t="shared" ca="1" si="161"/>
        <v>0</v>
      </c>
      <c r="Y229" s="50">
        <f t="shared" ca="1" si="161"/>
        <v>0</v>
      </c>
      <c r="Z229" s="50">
        <f t="shared" ca="1" si="161"/>
        <v>0</v>
      </c>
      <c r="AA229" s="50">
        <f t="shared" ca="1" si="161"/>
        <v>0</v>
      </c>
      <c r="AB229" s="50">
        <f t="shared" ca="1" si="161"/>
        <v>0</v>
      </c>
      <c r="AC229" s="50">
        <f t="shared" ca="1" si="161"/>
        <v>0</v>
      </c>
      <c r="AD229" s="50">
        <f t="shared" ca="1" si="161"/>
        <v>0</v>
      </c>
      <c r="AE229" s="50">
        <f t="shared" ca="1" si="161"/>
        <v>0</v>
      </c>
      <c r="AF229" s="50">
        <f t="shared" ca="1" si="161"/>
        <v>0</v>
      </c>
      <c r="AG229" s="50">
        <f t="shared" ca="1" si="161"/>
        <v>0</v>
      </c>
      <c r="AH229" s="50">
        <f t="shared" ref="S229:AU231" ca="1" si="162">IF(OR(AH$99&lt;InServiceYr,AH$99&gt;(InServiceYr+analysis_period-1)),0,IF($P229=0,$N229,$P229)*(1+$D229)^(AH$99-CostBaseYr))</f>
        <v>0</v>
      </c>
      <c r="AI229" s="50">
        <f t="shared" ca="1" si="162"/>
        <v>0</v>
      </c>
      <c r="AJ229" s="50">
        <f t="shared" ca="1" si="162"/>
        <v>0</v>
      </c>
      <c r="AK229" s="50">
        <f t="shared" ca="1" si="162"/>
        <v>0</v>
      </c>
      <c r="AL229" s="50">
        <f t="shared" si="162"/>
        <v>0</v>
      </c>
      <c r="AM229" s="50">
        <f t="shared" si="162"/>
        <v>0</v>
      </c>
      <c r="AN229" s="50">
        <f t="shared" si="162"/>
        <v>0</v>
      </c>
      <c r="AO229" s="50">
        <f t="shared" si="162"/>
        <v>0</v>
      </c>
      <c r="AP229" s="50">
        <f t="shared" si="162"/>
        <v>0</v>
      </c>
      <c r="AQ229" s="50">
        <f t="shared" si="162"/>
        <v>0</v>
      </c>
      <c r="AR229" s="50">
        <f t="shared" si="162"/>
        <v>0</v>
      </c>
      <c r="AS229" s="50">
        <f t="shared" si="162"/>
        <v>0</v>
      </c>
      <c r="AT229" s="50">
        <f t="shared" si="162"/>
        <v>0</v>
      </c>
      <c r="AU229" s="50">
        <f t="shared" si="162"/>
        <v>0</v>
      </c>
    </row>
    <row r="230" spans="1:47">
      <c r="A230" s="38" t="str">
        <f t="shared" si="159"/>
        <v>2Y-</v>
      </c>
      <c r="B230" s="38" t="s">
        <v>263</v>
      </c>
      <c r="C230" s="38" t="str">
        <f t="shared" ref="C230:C234" si="163">C229</f>
        <v>Dewatering</v>
      </c>
      <c r="D230" s="186">
        <f>OMEsc</f>
        <v>0.02</v>
      </c>
      <c r="E230" s="325"/>
      <c r="G230" s="36" t="s">
        <v>127</v>
      </c>
      <c r="I230" s="39"/>
      <c r="K230" s="39"/>
      <c r="L230" s="43" t="str">
        <f>"["&amp;CostBaseYr&amp;" $]"</f>
        <v>[2013 $]</v>
      </c>
      <c r="N230" s="70">
        <f ca="1">SUMIFS(OFFSET(Assumptions!$I$90,0,MATCH($A230,Configurations,0)-1,COUNT(Assumptions!$A$90:$A$183),1),Assumptions!$D$90:$D$183,$B230&amp;$C230)</f>
        <v>0</v>
      </c>
      <c r="O230" s="313"/>
      <c r="P230" s="323"/>
      <c r="Q230" s="313"/>
      <c r="R230" s="50">
        <f t="shared" ca="1" si="161"/>
        <v>0</v>
      </c>
      <c r="S230" s="50">
        <f t="shared" ca="1" si="162"/>
        <v>0</v>
      </c>
      <c r="T230" s="50">
        <f t="shared" ca="1" si="162"/>
        <v>0</v>
      </c>
      <c r="U230" s="50">
        <f t="shared" ca="1" si="162"/>
        <v>0</v>
      </c>
      <c r="V230" s="50">
        <f t="shared" ca="1" si="162"/>
        <v>0</v>
      </c>
      <c r="W230" s="50">
        <f t="shared" ca="1" si="162"/>
        <v>0</v>
      </c>
      <c r="X230" s="50">
        <f t="shared" ca="1" si="162"/>
        <v>0</v>
      </c>
      <c r="Y230" s="50">
        <f t="shared" ca="1" si="162"/>
        <v>0</v>
      </c>
      <c r="Z230" s="50">
        <f t="shared" ca="1" si="162"/>
        <v>0</v>
      </c>
      <c r="AA230" s="50">
        <f t="shared" ca="1" si="162"/>
        <v>0</v>
      </c>
      <c r="AB230" s="50">
        <f t="shared" ca="1" si="162"/>
        <v>0</v>
      </c>
      <c r="AC230" s="50">
        <f t="shared" ca="1" si="162"/>
        <v>0</v>
      </c>
      <c r="AD230" s="50">
        <f t="shared" ca="1" si="162"/>
        <v>0</v>
      </c>
      <c r="AE230" s="50">
        <f t="shared" ca="1" si="162"/>
        <v>0</v>
      </c>
      <c r="AF230" s="50">
        <f t="shared" ca="1" si="162"/>
        <v>0</v>
      </c>
      <c r="AG230" s="50">
        <f t="shared" ca="1" si="162"/>
        <v>0</v>
      </c>
      <c r="AH230" s="50">
        <f t="shared" ca="1" si="162"/>
        <v>0</v>
      </c>
      <c r="AI230" s="50">
        <f t="shared" ca="1" si="162"/>
        <v>0</v>
      </c>
      <c r="AJ230" s="50">
        <f t="shared" ca="1" si="162"/>
        <v>0</v>
      </c>
      <c r="AK230" s="50">
        <f t="shared" ca="1" si="162"/>
        <v>0</v>
      </c>
      <c r="AL230" s="50">
        <f t="shared" si="162"/>
        <v>0</v>
      </c>
      <c r="AM230" s="50">
        <f t="shared" si="162"/>
        <v>0</v>
      </c>
      <c r="AN230" s="50">
        <f t="shared" si="162"/>
        <v>0</v>
      </c>
      <c r="AO230" s="50">
        <f t="shared" si="162"/>
        <v>0</v>
      </c>
      <c r="AP230" s="50">
        <f t="shared" si="162"/>
        <v>0</v>
      </c>
      <c r="AQ230" s="50">
        <f t="shared" si="162"/>
        <v>0</v>
      </c>
      <c r="AR230" s="50">
        <f t="shared" si="162"/>
        <v>0</v>
      </c>
      <c r="AS230" s="50">
        <f t="shared" si="162"/>
        <v>0</v>
      </c>
      <c r="AT230" s="50">
        <f t="shared" si="162"/>
        <v>0</v>
      </c>
      <c r="AU230" s="50">
        <f t="shared" si="162"/>
        <v>0</v>
      </c>
    </row>
    <row r="231" spans="1:47">
      <c r="A231" s="38" t="str">
        <f t="shared" si="159"/>
        <v>2Y-</v>
      </c>
      <c r="B231" s="38" t="s">
        <v>277</v>
      </c>
      <c r="C231" s="38" t="str">
        <f t="shared" si="163"/>
        <v>Dewatering</v>
      </c>
      <c r="D231" s="186">
        <f>OMEsc</f>
        <v>0.02</v>
      </c>
      <c r="E231" s="325"/>
      <c r="G231" s="36" t="s">
        <v>276</v>
      </c>
      <c r="I231" s="39"/>
      <c r="K231" s="39"/>
      <c r="L231" s="43" t="str">
        <f>"["&amp;CostBaseYr&amp;" $]"</f>
        <v>[2013 $]</v>
      </c>
      <c r="N231" s="70">
        <f ca="1">SUMIFS(OFFSET(Assumptions!$I$90,0,MATCH($A231,Configurations,0)-1,COUNT(Assumptions!$A$90:$A$183),1),Assumptions!$D$90:$D$183,$B231&amp;$C231)</f>
        <v>0</v>
      </c>
      <c r="O231" s="313"/>
      <c r="P231" s="323"/>
      <c r="Q231" s="313"/>
      <c r="R231" s="50">
        <f t="shared" ca="1" si="161"/>
        <v>0</v>
      </c>
      <c r="S231" s="50">
        <f t="shared" ca="1" si="162"/>
        <v>0</v>
      </c>
      <c r="T231" s="50">
        <f t="shared" ca="1" si="162"/>
        <v>0</v>
      </c>
      <c r="U231" s="50">
        <f t="shared" ca="1" si="162"/>
        <v>0</v>
      </c>
      <c r="V231" s="50">
        <f t="shared" ca="1" si="162"/>
        <v>0</v>
      </c>
      <c r="W231" s="50">
        <f t="shared" ca="1" si="162"/>
        <v>0</v>
      </c>
      <c r="X231" s="50">
        <f t="shared" ca="1" si="162"/>
        <v>0</v>
      </c>
      <c r="Y231" s="50">
        <f t="shared" ca="1" si="162"/>
        <v>0</v>
      </c>
      <c r="Z231" s="50">
        <f t="shared" ca="1" si="162"/>
        <v>0</v>
      </c>
      <c r="AA231" s="50">
        <f t="shared" ca="1" si="162"/>
        <v>0</v>
      </c>
      <c r="AB231" s="50">
        <f t="shared" ca="1" si="162"/>
        <v>0</v>
      </c>
      <c r="AC231" s="50">
        <f t="shared" ca="1" si="162"/>
        <v>0</v>
      </c>
      <c r="AD231" s="50">
        <f t="shared" ca="1" si="162"/>
        <v>0</v>
      </c>
      <c r="AE231" s="50">
        <f t="shared" ca="1" si="162"/>
        <v>0</v>
      </c>
      <c r="AF231" s="50">
        <f t="shared" ca="1" si="162"/>
        <v>0</v>
      </c>
      <c r="AG231" s="50">
        <f t="shared" ca="1" si="162"/>
        <v>0</v>
      </c>
      <c r="AH231" s="50">
        <f t="shared" ca="1" si="162"/>
        <v>0</v>
      </c>
      <c r="AI231" s="50">
        <f t="shared" ca="1" si="162"/>
        <v>0</v>
      </c>
      <c r="AJ231" s="50">
        <f t="shared" ca="1" si="162"/>
        <v>0</v>
      </c>
      <c r="AK231" s="50">
        <f t="shared" ca="1" si="162"/>
        <v>0</v>
      </c>
      <c r="AL231" s="50">
        <f t="shared" si="162"/>
        <v>0</v>
      </c>
      <c r="AM231" s="50">
        <f t="shared" si="162"/>
        <v>0</v>
      </c>
      <c r="AN231" s="50">
        <f t="shared" si="162"/>
        <v>0</v>
      </c>
      <c r="AO231" s="50">
        <f t="shared" si="162"/>
        <v>0</v>
      </c>
      <c r="AP231" s="50">
        <f t="shared" si="162"/>
        <v>0</v>
      </c>
      <c r="AQ231" s="50">
        <f t="shared" si="162"/>
        <v>0</v>
      </c>
      <c r="AR231" s="50">
        <f t="shared" si="162"/>
        <v>0</v>
      </c>
      <c r="AS231" s="50">
        <f t="shared" si="162"/>
        <v>0</v>
      </c>
      <c r="AT231" s="50">
        <f t="shared" si="162"/>
        <v>0</v>
      </c>
      <c r="AU231" s="50">
        <f t="shared" si="162"/>
        <v>0</v>
      </c>
    </row>
    <row r="232" spans="1:47">
      <c r="A232" s="38" t="str">
        <f t="shared" si="159"/>
        <v>2Y-</v>
      </c>
      <c r="B232" s="38" t="s">
        <v>274</v>
      </c>
      <c r="C232" s="38" t="str">
        <f t="shared" si="163"/>
        <v>Dewatering</v>
      </c>
      <c r="D232" s="186"/>
      <c r="E232" s="325"/>
      <c r="G232" s="36" t="s">
        <v>16</v>
      </c>
      <c r="I232" s="39"/>
      <c r="K232" s="39"/>
      <c r="L232" s="43" t="s">
        <v>275</v>
      </c>
      <c r="N232" s="70">
        <f ca="1">SUMIFS(OFFSET(Assumptions!$I$90,0,MATCH($A232,Configurations,0)-1,COUNT(Assumptions!$A$90:$A$183),1),Assumptions!$D$90:$D$183,$B232&amp;$C232)</f>
        <v>0</v>
      </c>
      <c r="O232" s="313"/>
      <c r="P232" s="323"/>
      <c r="Q232" s="313"/>
      <c r="R232" s="50">
        <f t="shared" ref="R232:AU232" ca="1" si="164">IF(OR(R$99&lt;InServiceYr,R$99&gt;(InServiceYr+analysis_period-1)),0,IF($P232=0,$N232,$P232)*R$505)</f>
        <v>0</v>
      </c>
      <c r="S232" s="50">
        <f t="shared" ca="1" si="164"/>
        <v>0</v>
      </c>
      <c r="T232" s="50">
        <f t="shared" ca="1" si="164"/>
        <v>0</v>
      </c>
      <c r="U232" s="50">
        <f t="shared" ca="1" si="164"/>
        <v>0</v>
      </c>
      <c r="V232" s="50">
        <f t="shared" ca="1" si="164"/>
        <v>0</v>
      </c>
      <c r="W232" s="50">
        <f t="shared" ca="1" si="164"/>
        <v>0</v>
      </c>
      <c r="X232" s="50">
        <f t="shared" ca="1" si="164"/>
        <v>0</v>
      </c>
      <c r="Y232" s="50">
        <f t="shared" ca="1" si="164"/>
        <v>0</v>
      </c>
      <c r="Z232" s="50">
        <f t="shared" ca="1" si="164"/>
        <v>0</v>
      </c>
      <c r="AA232" s="50">
        <f t="shared" ca="1" si="164"/>
        <v>0</v>
      </c>
      <c r="AB232" s="50">
        <f t="shared" ca="1" si="164"/>
        <v>0</v>
      </c>
      <c r="AC232" s="50">
        <f t="shared" ca="1" si="164"/>
        <v>0</v>
      </c>
      <c r="AD232" s="50">
        <f t="shared" ca="1" si="164"/>
        <v>0</v>
      </c>
      <c r="AE232" s="50">
        <f t="shared" ca="1" si="164"/>
        <v>0</v>
      </c>
      <c r="AF232" s="50">
        <f t="shared" ca="1" si="164"/>
        <v>0</v>
      </c>
      <c r="AG232" s="50">
        <f t="shared" ca="1" si="164"/>
        <v>0</v>
      </c>
      <c r="AH232" s="50">
        <f t="shared" ca="1" si="164"/>
        <v>0</v>
      </c>
      <c r="AI232" s="50">
        <f t="shared" ca="1" si="164"/>
        <v>0</v>
      </c>
      <c r="AJ232" s="50">
        <f t="shared" ca="1" si="164"/>
        <v>0</v>
      </c>
      <c r="AK232" s="50">
        <f t="shared" ca="1" si="164"/>
        <v>0</v>
      </c>
      <c r="AL232" s="50">
        <f t="shared" si="164"/>
        <v>0</v>
      </c>
      <c r="AM232" s="50">
        <f t="shared" si="164"/>
        <v>0</v>
      </c>
      <c r="AN232" s="50">
        <f t="shared" si="164"/>
        <v>0</v>
      </c>
      <c r="AO232" s="50">
        <f t="shared" si="164"/>
        <v>0</v>
      </c>
      <c r="AP232" s="50">
        <f t="shared" si="164"/>
        <v>0</v>
      </c>
      <c r="AQ232" s="50">
        <f t="shared" si="164"/>
        <v>0</v>
      </c>
      <c r="AR232" s="50">
        <f t="shared" si="164"/>
        <v>0</v>
      </c>
      <c r="AS232" s="50">
        <f t="shared" si="164"/>
        <v>0</v>
      </c>
      <c r="AT232" s="50">
        <f t="shared" si="164"/>
        <v>0</v>
      </c>
      <c r="AU232" s="50">
        <f t="shared" si="164"/>
        <v>0</v>
      </c>
    </row>
    <row r="233" spans="1:47">
      <c r="A233" s="38" t="str">
        <f t="shared" si="159"/>
        <v>2Y-</v>
      </c>
      <c r="B233" s="38" t="s">
        <v>257</v>
      </c>
      <c r="C233" s="38" t="str">
        <f t="shared" si="163"/>
        <v>Dewatering</v>
      </c>
      <c r="D233" s="186"/>
      <c r="E233" s="325"/>
      <c r="G233" s="36" t="s">
        <v>284</v>
      </c>
      <c r="I233" s="39"/>
      <c r="K233" s="39"/>
      <c r="L233" s="43" t="s">
        <v>293</v>
      </c>
      <c r="N233" s="70">
        <f ca="1">SUMIFS(OFFSET(Assumptions!$I$90,0,MATCH($A233,Configurations,0)-1,COUNT(Assumptions!$A$90:$A$183),1),Assumptions!$D$90:$D$183,$B233&amp;$C233)</f>
        <v>0</v>
      </c>
      <c r="O233" s="313"/>
      <c r="P233" s="323"/>
      <c r="Q233" s="313"/>
      <c r="R233" s="50">
        <f t="shared" ref="R233:AU233" ca="1" si="165">IF(OR(R$99&lt;InServiceYr,R$99&gt;(InServiceYr+analysis_period-1)),0,IF($P233=0,$N233,$P233)*R$501)</f>
        <v>0</v>
      </c>
      <c r="S233" s="50">
        <f t="shared" ca="1" si="165"/>
        <v>0</v>
      </c>
      <c r="T233" s="50">
        <f t="shared" ca="1" si="165"/>
        <v>0</v>
      </c>
      <c r="U233" s="50">
        <f t="shared" ca="1" si="165"/>
        <v>0</v>
      </c>
      <c r="V233" s="50">
        <f t="shared" ca="1" si="165"/>
        <v>0</v>
      </c>
      <c r="W233" s="50">
        <f t="shared" ca="1" si="165"/>
        <v>0</v>
      </c>
      <c r="X233" s="50">
        <f t="shared" ca="1" si="165"/>
        <v>0</v>
      </c>
      <c r="Y233" s="50">
        <f t="shared" ca="1" si="165"/>
        <v>0</v>
      </c>
      <c r="Z233" s="50">
        <f t="shared" ca="1" si="165"/>
        <v>0</v>
      </c>
      <c r="AA233" s="50">
        <f t="shared" ca="1" si="165"/>
        <v>0</v>
      </c>
      <c r="AB233" s="50">
        <f t="shared" ca="1" si="165"/>
        <v>0</v>
      </c>
      <c r="AC233" s="50">
        <f t="shared" ca="1" si="165"/>
        <v>0</v>
      </c>
      <c r="AD233" s="50">
        <f t="shared" ca="1" si="165"/>
        <v>0</v>
      </c>
      <c r="AE233" s="50">
        <f t="shared" ca="1" si="165"/>
        <v>0</v>
      </c>
      <c r="AF233" s="50">
        <f t="shared" ca="1" si="165"/>
        <v>0</v>
      </c>
      <c r="AG233" s="50">
        <f t="shared" ca="1" si="165"/>
        <v>0</v>
      </c>
      <c r="AH233" s="50">
        <f t="shared" ca="1" si="165"/>
        <v>0</v>
      </c>
      <c r="AI233" s="50">
        <f t="shared" ca="1" si="165"/>
        <v>0</v>
      </c>
      <c r="AJ233" s="50">
        <f t="shared" ca="1" si="165"/>
        <v>0</v>
      </c>
      <c r="AK233" s="50">
        <f t="shared" ca="1" si="165"/>
        <v>0</v>
      </c>
      <c r="AL233" s="50">
        <f t="shared" si="165"/>
        <v>0</v>
      </c>
      <c r="AM233" s="50">
        <f t="shared" si="165"/>
        <v>0</v>
      </c>
      <c r="AN233" s="50">
        <f t="shared" si="165"/>
        <v>0</v>
      </c>
      <c r="AO233" s="50">
        <f t="shared" si="165"/>
        <v>0</v>
      </c>
      <c r="AP233" s="50">
        <f t="shared" si="165"/>
        <v>0</v>
      </c>
      <c r="AQ233" s="50">
        <f t="shared" si="165"/>
        <v>0</v>
      </c>
      <c r="AR233" s="50">
        <f t="shared" si="165"/>
        <v>0</v>
      </c>
      <c r="AS233" s="50">
        <f t="shared" si="165"/>
        <v>0</v>
      </c>
      <c r="AT233" s="50">
        <f t="shared" si="165"/>
        <v>0</v>
      </c>
      <c r="AU233" s="50">
        <f t="shared" si="165"/>
        <v>0</v>
      </c>
    </row>
    <row r="234" spans="1:47">
      <c r="A234" s="38" t="str">
        <f t="shared" si="159"/>
        <v>2Y-</v>
      </c>
      <c r="B234" s="38" t="s">
        <v>864</v>
      </c>
      <c r="C234" s="38" t="str">
        <f t="shared" si="163"/>
        <v>Dewatering</v>
      </c>
      <c r="D234" s="186">
        <f>GHGEsc</f>
        <v>0.02</v>
      </c>
      <c r="E234" s="325"/>
      <c r="G234" s="36" t="s">
        <v>865</v>
      </c>
      <c r="I234" s="39"/>
      <c r="K234" s="39"/>
      <c r="L234" s="43" t="s">
        <v>866</v>
      </c>
      <c r="N234" s="70">
        <f ca="1">SUMIFS(OFFSET(Assumptions!$I$90,0,MATCH($A234,Configurations,0)-1,COUNT(Assumptions!$A$90:$A$183),1),Assumptions!$D$90:$D$183,$B234&amp;$C234)</f>
        <v>0</v>
      </c>
      <c r="O234" s="313"/>
      <c r="P234" s="323"/>
      <c r="Q234" s="313"/>
      <c r="R234" s="50">
        <f t="shared" ref="R234:AU234" ca="1" si="166">IF(OR(R$99&lt;InServiceYr,R$99&gt;(InServiceYr+analysis_period-1)),0,IF($P234=0,$N234,$P234)*R$513)</f>
        <v>0</v>
      </c>
      <c r="S234" s="50">
        <f t="shared" ca="1" si="166"/>
        <v>0</v>
      </c>
      <c r="T234" s="50">
        <f t="shared" ca="1" si="166"/>
        <v>0</v>
      </c>
      <c r="U234" s="50">
        <f t="shared" ca="1" si="166"/>
        <v>0</v>
      </c>
      <c r="V234" s="50">
        <f t="shared" ca="1" si="166"/>
        <v>0</v>
      </c>
      <c r="W234" s="50">
        <f t="shared" ca="1" si="166"/>
        <v>0</v>
      </c>
      <c r="X234" s="50">
        <f t="shared" ca="1" si="166"/>
        <v>0</v>
      </c>
      <c r="Y234" s="50">
        <f t="shared" ca="1" si="166"/>
        <v>0</v>
      </c>
      <c r="Z234" s="50">
        <f t="shared" ca="1" si="166"/>
        <v>0</v>
      </c>
      <c r="AA234" s="50">
        <f t="shared" ca="1" si="166"/>
        <v>0</v>
      </c>
      <c r="AB234" s="50">
        <f t="shared" ca="1" si="166"/>
        <v>0</v>
      </c>
      <c r="AC234" s="50">
        <f t="shared" ca="1" si="166"/>
        <v>0</v>
      </c>
      <c r="AD234" s="50">
        <f t="shared" ca="1" si="166"/>
        <v>0</v>
      </c>
      <c r="AE234" s="50">
        <f t="shared" ca="1" si="166"/>
        <v>0</v>
      </c>
      <c r="AF234" s="50">
        <f t="shared" ca="1" si="166"/>
        <v>0</v>
      </c>
      <c r="AG234" s="50">
        <f t="shared" ca="1" si="166"/>
        <v>0</v>
      </c>
      <c r="AH234" s="50">
        <f t="shared" ca="1" si="166"/>
        <v>0</v>
      </c>
      <c r="AI234" s="50">
        <f t="shared" ca="1" si="166"/>
        <v>0</v>
      </c>
      <c r="AJ234" s="50">
        <f t="shared" ca="1" si="166"/>
        <v>0</v>
      </c>
      <c r="AK234" s="50">
        <f t="shared" ca="1" si="166"/>
        <v>0</v>
      </c>
      <c r="AL234" s="50">
        <f t="shared" si="166"/>
        <v>0</v>
      </c>
      <c r="AM234" s="50">
        <f t="shared" si="166"/>
        <v>0</v>
      </c>
      <c r="AN234" s="50">
        <f t="shared" si="166"/>
        <v>0</v>
      </c>
      <c r="AO234" s="50">
        <f t="shared" si="166"/>
        <v>0</v>
      </c>
      <c r="AP234" s="50">
        <f t="shared" si="166"/>
        <v>0</v>
      </c>
      <c r="AQ234" s="50">
        <f t="shared" si="166"/>
        <v>0</v>
      </c>
      <c r="AR234" s="50">
        <f t="shared" si="166"/>
        <v>0</v>
      </c>
      <c r="AS234" s="50">
        <f t="shared" si="166"/>
        <v>0</v>
      </c>
      <c r="AT234" s="50">
        <f t="shared" si="166"/>
        <v>0</v>
      </c>
      <c r="AU234" s="50">
        <f t="shared" si="166"/>
        <v>0</v>
      </c>
    </row>
    <row r="235" spans="1:47">
      <c r="A235" s="38" t="str">
        <f t="shared" si="159"/>
        <v>2Y-</v>
      </c>
      <c r="B235" s="38" t="s">
        <v>273</v>
      </c>
      <c r="C235" s="38" t="str">
        <f>C233</f>
        <v>Dewatering</v>
      </c>
      <c r="D235" s="186">
        <f>LaborEsc</f>
        <v>0.02</v>
      </c>
      <c r="E235" s="325"/>
      <c r="G235" s="36" t="s">
        <v>291</v>
      </c>
      <c r="I235" s="39"/>
      <c r="K235" s="39"/>
      <c r="L235" s="43" t="str">
        <f>"["&amp;CostBaseYr&amp;" $]"</f>
        <v>[2013 $]</v>
      </c>
      <c r="N235" s="70">
        <f ca="1">SUMIFS(OFFSET(Assumptions!$I$90,0,MATCH($A235,Configurations,0)-1,COUNT(Assumptions!$A$90:$A$183),1),Assumptions!$D$90:$D$183,$B235&amp;$C235)</f>
        <v>0</v>
      </c>
      <c r="O235" s="313"/>
      <c r="P235" s="323"/>
      <c r="Q235" s="313"/>
      <c r="R235" s="50">
        <f t="shared" ref="R235:AU235" ca="1" si="167">IF(OR(R$99&lt;InServiceYr,R$99&gt;(InServiceYr+analysis_period-1)),0,IF($P235=0,$N235,$P235)*(1+$D235)^(R$99-CostBaseYr))*R$509</f>
        <v>0</v>
      </c>
      <c r="S235" s="50">
        <f t="shared" ca="1" si="167"/>
        <v>0</v>
      </c>
      <c r="T235" s="50">
        <f t="shared" ca="1" si="167"/>
        <v>0</v>
      </c>
      <c r="U235" s="50">
        <f t="shared" ca="1" si="167"/>
        <v>0</v>
      </c>
      <c r="V235" s="50">
        <f t="shared" ca="1" si="167"/>
        <v>0</v>
      </c>
      <c r="W235" s="50">
        <f t="shared" ca="1" si="167"/>
        <v>0</v>
      </c>
      <c r="X235" s="50">
        <f t="shared" ca="1" si="167"/>
        <v>0</v>
      </c>
      <c r="Y235" s="50">
        <f t="shared" ca="1" si="167"/>
        <v>0</v>
      </c>
      <c r="Z235" s="50">
        <f t="shared" ca="1" si="167"/>
        <v>0</v>
      </c>
      <c r="AA235" s="50">
        <f t="shared" ca="1" si="167"/>
        <v>0</v>
      </c>
      <c r="AB235" s="50">
        <f t="shared" ca="1" si="167"/>
        <v>0</v>
      </c>
      <c r="AC235" s="50">
        <f t="shared" ca="1" si="167"/>
        <v>0</v>
      </c>
      <c r="AD235" s="50">
        <f t="shared" ca="1" si="167"/>
        <v>0</v>
      </c>
      <c r="AE235" s="50">
        <f t="shared" ca="1" si="167"/>
        <v>0</v>
      </c>
      <c r="AF235" s="50">
        <f t="shared" ca="1" si="167"/>
        <v>0</v>
      </c>
      <c r="AG235" s="50">
        <f t="shared" ca="1" si="167"/>
        <v>0</v>
      </c>
      <c r="AH235" s="50">
        <f t="shared" ca="1" si="167"/>
        <v>0</v>
      </c>
      <c r="AI235" s="50">
        <f t="shared" ca="1" si="167"/>
        <v>0</v>
      </c>
      <c r="AJ235" s="50">
        <f t="shared" ca="1" si="167"/>
        <v>0</v>
      </c>
      <c r="AK235" s="50">
        <f t="shared" ca="1" si="167"/>
        <v>0</v>
      </c>
      <c r="AL235" s="50">
        <f t="shared" si="167"/>
        <v>0</v>
      </c>
      <c r="AM235" s="50">
        <f t="shared" si="167"/>
        <v>0</v>
      </c>
      <c r="AN235" s="50">
        <f t="shared" si="167"/>
        <v>0</v>
      </c>
      <c r="AO235" s="50">
        <f t="shared" si="167"/>
        <v>0</v>
      </c>
      <c r="AP235" s="50">
        <f t="shared" si="167"/>
        <v>0</v>
      </c>
      <c r="AQ235" s="50">
        <f t="shared" si="167"/>
        <v>0</v>
      </c>
      <c r="AR235" s="50">
        <f t="shared" si="167"/>
        <v>0</v>
      </c>
      <c r="AS235" s="50">
        <f t="shared" si="167"/>
        <v>0</v>
      </c>
      <c r="AT235" s="50">
        <f t="shared" si="167"/>
        <v>0</v>
      </c>
      <c r="AU235" s="50">
        <f t="shared" si="167"/>
        <v>0</v>
      </c>
    </row>
    <row r="236" spans="1:47">
      <c r="D236" s="186"/>
      <c r="E236" s="325"/>
      <c r="G236" s="39" t="s">
        <v>304</v>
      </c>
      <c r="I236" s="39"/>
      <c r="K236" s="39"/>
      <c r="L236" s="43"/>
      <c r="N236" s="70"/>
      <c r="O236" s="313"/>
      <c r="P236" s="70"/>
      <c r="Q236" s="313"/>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row>
    <row r="237" spans="1:47">
      <c r="A237" s="38" t="str">
        <f>$J$4&amp;"-"</f>
        <v>2Y-</v>
      </c>
      <c r="B237" s="38" t="s">
        <v>265</v>
      </c>
      <c r="C237" s="38" t="str">
        <f>C228</f>
        <v>Dewatering</v>
      </c>
      <c r="D237" s="186"/>
      <c r="E237" s="325"/>
      <c r="G237" s="36" t="s">
        <v>108</v>
      </c>
      <c r="I237" s="39"/>
      <c r="K237" s="39"/>
      <c r="L237" s="43" t="s">
        <v>293</v>
      </c>
      <c r="N237" s="70">
        <f ca="1">SUMIFS(OFFSET(Assumptions!$I$90,0,MATCH($A237,Configurations,0)-1,COUNT(Assumptions!$A$90:$A$183),1),Assumptions!$D$90:$D$183,$B237&amp;$C237)</f>
        <v>0</v>
      </c>
      <c r="O237" s="313"/>
      <c r="P237" s="323"/>
      <c r="Q237" s="313"/>
      <c r="R237" s="50">
        <f t="shared" ref="R237:AU237" ca="1" si="168">IF(OR(R$99&lt;InServiceYr,R$99&gt;(InServiceYr+analysis_period-1)),0,IF($P237=0,$N237,$P237)*R$501)</f>
        <v>0</v>
      </c>
      <c r="S237" s="50">
        <f t="shared" ca="1" si="168"/>
        <v>0</v>
      </c>
      <c r="T237" s="50">
        <f t="shared" ca="1" si="168"/>
        <v>0</v>
      </c>
      <c r="U237" s="50">
        <f t="shared" ca="1" si="168"/>
        <v>0</v>
      </c>
      <c r="V237" s="50">
        <f t="shared" ca="1" si="168"/>
        <v>0</v>
      </c>
      <c r="W237" s="50">
        <f t="shared" ca="1" si="168"/>
        <v>0</v>
      </c>
      <c r="X237" s="50">
        <f t="shared" ca="1" si="168"/>
        <v>0</v>
      </c>
      <c r="Y237" s="50">
        <f t="shared" ca="1" si="168"/>
        <v>0</v>
      </c>
      <c r="Z237" s="50">
        <f t="shared" ca="1" si="168"/>
        <v>0</v>
      </c>
      <c r="AA237" s="50">
        <f t="shared" ca="1" si="168"/>
        <v>0</v>
      </c>
      <c r="AB237" s="50">
        <f t="shared" ca="1" si="168"/>
        <v>0</v>
      </c>
      <c r="AC237" s="50">
        <f t="shared" ca="1" si="168"/>
        <v>0</v>
      </c>
      <c r="AD237" s="50">
        <f t="shared" ca="1" si="168"/>
        <v>0</v>
      </c>
      <c r="AE237" s="50">
        <f t="shared" ca="1" si="168"/>
        <v>0</v>
      </c>
      <c r="AF237" s="50">
        <f t="shared" ca="1" si="168"/>
        <v>0</v>
      </c>
      <c r="AG237" s="50">
        <f t="shared" ca="1" si="168"/>
        <v>0</v>
      </c>
      <c r="AH237" s="50">
        <f t="shared" ca="1" si="168"/>
        <v>0</v>
      </c>
      <c r="AI237" s="50">
        <f t="shared" ca="1" si="168"/>
        <v>0</v>
      </c>
      <c r="AJ237" s="50">
        <f t="shared" ca="1" si="168"/>
        <v>0</v>
      </c>
      <c r="AK237" s="50">
        <f t="shared" ca="1" si="168"/>
        <v>0</v>
      </c>
      <c r="AL237" s="50">
        <f t="shared" si="168"/>
        <v>0</v>
      </c>
      <c r="AM237" s="50">
        <f t="shared" si="168"/>
        <v>0</v>
      </c>
      <c r="AN237" s="50">
        <f t="shared" si="168"/>
        <v>0</v>
      </c>
      <c r="AO237" s="50">
        <f t="shared" si="168"/>
        <v>0</v>
      </c>
      <c r="AP237" s="50">
        <f t="shared" si="168"/>
        <v>0</v>
      </c>
      <c r="AQ237" s="50">
        <f t="shared" si="168"/>
        <v>0</v>
      </c>
      <c r="AR237" s="50">
        <f t="shared" si="168"/>
        <v>0</v>
      </c>
      <c r="AS237" s="50">
        <f t="shared" si="168"/>
        <v>0</v>
      </c>
      <c r="AT237" s="50">
        <f t="shared" si="168"/>
        <v>0</v>
      </c>
      <c r="AU237" s="50">
        <f t="shared" si="168"/>
        <v>0</v>
      </c>
    </row>
    <row r="238" spans="1:47">
      <c r="A238" s="38" t="str">
        <f>$J$4&amp;"-"</f>
        <v>2Y-</v>
      </c>
      <c r="B238" s="38" t="s">
        <v>289</v>
      </c>
      <c r="C238" s="38" t="str">
        <f>C228</f>
        <v>Dewatering</v>
      </c>
      <c r="D238" s="186">
        <f>LaborEsc</f>
        <v>0.02</v>
      </c>
      <c r="E238" s="325"/>
      <c r="G238" s="36" t="s">
        <v>292</v>
      </c>
      <c r="I238" s="39"/>
      <c r="K238" s="39"/>
      <c r="L238" s="43" t="str">
        <f>"["&amp;CostBaseYr&amp;" $]"</f>
        <v>[2013 $]</v>
      </c>
      <c r="N238" s="70">
        <f ca="1">SUMIFS(OFFSET(Assumptions!$I$90,0,MATCH($A238,Configurations,0)-1,COUNT(Assumptions!$A$90:$A$183),1),Assumptions!$D$90:$D$183,$B238&amp;$C238)</f>
        <v>0</v>
      </c>
      <c r="O238" s="313"/>
      <c r="P238" s="323"/>
      <c r="Q238" s="313"/>
      <c r="R238" s="50">
        <f t="shared" ref="R238:AU238" ca="1" si="169">IF(OR(R$99&lt;InServiceYr,R$99&gt;(InServiceYr+analysis_period-1)),0,IF($P238=0,$N238,$P238)*(1+$D238)^(R$99-CostBaseYr))</f>
        <v>0</v>
      </c>
      <c r="S238" s="50">
        <f t="shared" ca="1" si="169"/>
        <v>0</v>
      </c>
      <c r="T238" s="50">
        <f t="shared" ca="1" si="169"/>
        <v>0</v>
      </c>
      <c r="U238" s="50">
        <f t="shared" ca="1" si="169"/>
        <v>0</v>
      </c>
      <c r="V238" s="50">
        <f t="shared" ca="1" si="169"/>
        <v>0</v>
      </c>
      <c r="W238" s="50">
        <f t="shared" ca="1" si="169"/>
        <v>0</v>
      </c>
      <c r="X238" s="50">
        <f t="shared" ca="1" si="169"/>
        <v>0</v>
      </c>
      <c r="Y238" s="50">
        <f t="shared" ca="1" si="169"/>
        <v>0</v>
      </c>
      <c r="Z238" s="50">
        <f t="shared" ca="1" si="169"/>
        <v>0</v>
      </c>
      <c r="AA238" s="50">
        <f t="shared" ca="1" si="169"/>
        <v>0</v>
      </c>
      <c r="AB238" s="50">
        <f t="shared" ca="1" si="169"/>
        <v>0</v>
      </c>
      <c r="AC238" s="50">
        <f t="shared" ca="1" si="169"/>
        <v>0</v>
      </c>
      <c r="AD238" s="50">
        <f t="shared" ca="1" si="169"/>
        <v>0</v>
      </c>
      <c r="AE238" s="50">
        <f t="shared" ca="1" si="169"/>
        <v>0</v>
      </c>
      <c r="AF238" s="50">
        <f t="shared" ca="1" si="169"/>
        <v>0</v>
      </c>
      <c r="AG238" s="50">
        <f t="shared" ca="1" si="169"/>
        <v>0</v>
      </c>
      <c r="AH238" s="50">
        <f t="shared" ca="1" si="169"/>
        <v>0</v>
      </c>
      <c r="AI238" s="50">
        <f t="shared" ca="1" si="169"/>
        <v>0</v>
      </c>
      <c r="AJ238" s="50">
        <f t="shared" ca="1" si="169"/>
        <v>0</v>
      </c>
      <c r="AK238" s="50">
        <f t="shared" ca="1" si="169"/>
        <v>0</v>
      </c>
      <c r="AL238" s="50">
        <f t="shared" si="169"/>
        <v>0</v>
      </c>
      <c r="AM238" s="50">
        <f t="shared" si="169"/>
        <v>0</v>
      </c>
      <c r="AN238" s="50">
        <f t="shared" si="169"/>
        <v>0</v>
      </c>
      <c r="AO238" s="50">
        <f t="shared" si="169"/>
        <v>0</v>
      </c>
      <c r="AP238" s="50">
        <f t="shared" si="169"/>
        <v>0</v>
      </c>
      <c r="AQ238" s="50">
        <f t="shared" si="169"/>
        <v>0</v>
      </c>
      <c r="AR238" s="50">
        <f t="shared" si="169"/>
        <v>0</v>
      </c>
      <c r="AS238" s="50">
        <f t="shared" si="169"/>
        <v>0</v>
      </c>
      <c r="AT238" s="50">
        <f t="shared" si="169"/>
        <v>0</v>
      </c>
      <c r="AU238" s="50">
        <f t="shared" si="169"/>
        <v>0</v>
      </c>
    </row>
    <row r="239" spans="1:47" s="60" customFormat="1">
      <c r="D239" s="187"/>
      <c r="E239" s="325"/>
      <c r="G239" s="39" t="s">
        <v>305</v>
      </c>
      <c r="I239" s="39"/>
      <c r="K239" s="39"/>
      <c r="L239" s="174"/>
      <c r="N239" s="188"/>
      <c r="O239" s="314"/>
      <c r="P239" s="185"/>
      <c r="Q239" s="314"/>
      <c r="R239" s="185">
        <f ca="1">SUM(R228:R235)-SUM(R237:R238)</f>
        <v>0</v>
      </c>
      <c r="S239" s="185">
        <f t="shared" ref="S239:AU239" ca="1" si="170">SUM(S228:S235)-SUM(S237:S238)</f>
        <v>0</v>
      </c>
      <c r="T239" s="185">
        <f t="shared" ca="1" si="170"/>
        <v>0</v>
      </c>
      <c r="U239" s="185">
        <f t="shared" ca="1" si="170"/>
        <v>0</v>
      </c>
      <c r="V239" s="185">
        <f t="shared" ca="1" si="170"/>
        <v>0</v>
      </c>
      <c r="W239" s="185">
        <f t="shared" ca="1" si="170"/>
        <v>0</v>
      </c>
      <c r="X239" s="185">
        <f t="shared" ca="1" si="170"/>
        <v>0</v>
      </c>
      <c r="Y239" s="185">
        <f t="shared" ca="1" si="170"/>
        <v>0</v>
      </c>
      <c r="Z239" s="185">
        <f t="shared" ca="1" si="170"/>
        <v>0</v>
      </c>
      <c r="AA239" s="185">
        <f t="shared" ca="1" si="170"/>
        <v>0</v>
      </c>
      <c r="AB239" s="185">
        <f t="shared" ca="1" si="170"/>
        <v>0</v>
      </c>
      <c r="AC239" s="185">
        <f t="shared" ca="1" si="170"/>
        <v>0</v>
      </c>
      <c r="AD239" s="185">
        <f t="shared" ca="1" si="170"/>
        <v>0</v>
      </c>
      <c r="AE239" s="185">
        <f t="shared" ca="1" si="170"/>
        <v>0</v>
      </c>
      <c r="AF239" s="185">
        <f t="shared" ca="1" si="170"/>
        <v>0</v>
      </c>
      <c r="AG239" s="185">
        <f t="shared" ca="1" si="170"/>
        <v>0</v>
      </c>
      <c r="AH239" s="185">
        <f t="shared" ca="1" si="170"/>
        <v>0</v>
      </c>
      <c r="AI239" s="185">
        <f t="shared" ca="1" si="170"/>
        <v>0</v>
      </c>
      <c r="AJ239" s="185">
        <f t="shared" ca="1" si="170"/>
        <v>0</v>
      </c>
      <c r="AK239" s="185">
        <f t="shared" ca="1" si="170"/>
        <v>0</v>
      </c>
      <c r="AL239" s="185">
        <f t="shared" si="170"/>
        <v>0</v>
      </c>
      <c r="AM239" s="185">
        <f t="shared" si="170"/>
        <v>0</v>
      </c>
      <c r="AN239" s="185">
        <f t="shared" si="170"/>
        <v>0</v>
      </c>
      <c r="AO239" s="185">
        <f t="shared" si="170"/>
        <v>0</v>
      </c>
      <c r="AP239" s="185">
        <f t="shared" si="170"/>
        <v>0</v>
      </c>
      <c r="AQ239" s="185">
        <f t="shared" si="170"/>
        <v>0</v>
      </c>
      <c r="AR239" s="185">
        <f t="shared" si="170"/>
        <v>0</v>
      </c>
      <c r="AS239" s="185">
        <f t="shared" si="170"/>
        <v>0</v>
      </c>
      <c r="AT239" s="185">
        <f t="shared" si="170"/>
        <v>0</v>
      </c>
      <c r="AU239" s="185">
        <f t="shared" si="170"/>
        <v>0</v>
      </c>
    </row>
    <row r="240" spans="1:47">
      <c r="E240" s="36"/>
      <c r="G240" s="39"/>
      <c r="H240" s="39"/>
      <c r="I240" s="39"/>
      <c r="J240" s="39"/>
      <c r="K240" s="39"/>
    </row>
    <row r="241" spans="1:47">
      <c r="E241" s="327"/>
      <c r="F241" s="28"/>
      <c r="G241" s="324" t="str">
        <f>C243&amp;" Capital Costs"</f>
        <v>Drying/Gasification/Energy Recovery Capital Costs</v>
      </c>
      <c r="H241" s="324"/>
      <c r="I241" s="324"/>
      <c r="J241" s="324"/>
      <c r="K241" s="324"/>
      <c r="L241" s="405" t="s">
        <v>79</v>
      </c>
      <c r="M241" s="256"/>
      <c r="N241" s="325" t="s">
        <v>490</v>
      </c>
      <c r="O241" s="311"/>
      <c r="P241" s="325" t="s">
        <v>491</v>
      </c>
      <c r="Q241" s="310"/>
      <c r="R241" s="325">
        <f>R$8</f>
        <v>2014</v>
      </c>
      <c r="S241" s="325">
        <f t="shared" ref="S241:AU241" si="171">S$8</f>
        <v>2015</v>
      </c>
      <c r="T241" s="325">
        <f t="shared" si="171"/>
        <v>2016</v>
      </c>
      <c r="U241" s="325">
        <f t="shared" si="171"/>
        <v>2017</v>
      </c>
      <c r="V241" s="325">
        <f t="shared" si="171"/>
        <v>2018</v>
      </c>
      <c r="W241" s="325">
        <f t="shared" si="171"/>
        <v>2019</v>
      </c>
      <c r="X241" s="325">
        <f t="shared" si="171"/>
        <v>2020</v>
      </c>
      <c r="Y241" s="325">
        <f t="shared" si="171"/>
        <v>2021</v>
      </c>
      <c r="Z241" s="325">
        <f t="shared" si="171"/>
        <v>2022</v>
      </c>
      <c r="AA241" s="325">
        <f t="shared" si="171"/>
        <v>2023</v>
      </c>
      <c r="AB241" s="325">
        <f t="shared" si="171"/>
        <v>2024</v>
      </c>
      <c r="AC241" s="325">
        <f t="shared" si="171"/>
        <v>2025</v>
      </c>
      <c r="AD241" s="325">
        <f t="shared" si="171"/>
        <v>2026</v>
      </c>
      <c r="AE241" s="325">
        <f t="shared" si="171"/>
        <v>2027</v>
      </c>
      <c r="AF241" s="325">
        <f t="shared" si="171"/>
        <v>2028</v>
      </c>
      <c r="AG241" s="325">
        <f t="shared" si="171"/>
        <v>2029</v>
      </c>
      <c r="AH241" s="325">
        <f t="shared" si="171"/>
        <v>2030</v>
      </c>
      <c r="AI241" s="325">
        <f t="shared" si="171"/>
        <v>2031</v>
      </c>
      <c r="AJ241" s="325">
        <f t="shared" si="171"/>
        <v>2032</v>
      </c>
      <c r="AK241" s="325">
        <f t="shared" si="171"/>
        <v>2033</v>
      </c>
      <c r="AL241" s="325">
        <f t="shared" si="171"/>
        <v>2034</v>
      </c>
      <c r="AM241" s="325">
        <f t="shared" si="171"/>
        <v>2035</v>
      </c>
      <c r="AN241" s="325">
        <f t="shared" si="171"/>
        <v>2036</v>
      </c>
      <c r="AO241" s="325">
        <f t="shared" si="171"/>
        <v>2037</v>
      </c>
      <c r="AP241" s="325">
        <f t="shared" si="171"/>
        <v>2038</v>
      </c>
      <c r="AQ241" s="325">
        <f t="shared" si="171"/>
        <v>2039</v>
      </c>
      <c r="AR241" s="325">
        <f t="shared" si="171"/>
        <v>2040</v>
      </c>
      <c r="AS241" s="325">
        <f t="shared" si="171"/>
        <v>2041</v>
      </c>
      <c r="AT241" s="325">
        <f t="shared" si="171"/>
        <v>2042</v>
      </c>
      <c r="AU241" s="325">
        <f t="shared" si="171"/>
        <v>2043</v>
      </c>
    </row>
    <row r="242" spans="1:47">
      <c r="E242" s="325"/>
      <c r="G242" s="39"/>
      <c r="H242" s="39"/>
      <c r="I242" s="39"/>
      <c r="J242" s="39"/>
      <c r="K242" s="39"/>
    </row>
    <row r="243" spans="1:47">
      <c r="A243" s="38" t="str">
        <f>$J$4&amp;"-"</f>
        <v>2Y-</v>
      </c>
      <c r="B243" s="38" t="s">
        <v>306</v>
      </c>
      <c r="C243" s="38" t="s">
        <v>320</v>
      </c>
      <c r="D243" s="186">
        <f>CapExEsc</f>
        <v>0.03</v>
      </c>
      <c r="E243" s="325"/>
      <c r="G243" s="36" t="s">
        <v>8</v>
      </c>
      <c r="H243" s="39"/>
      <c r="I243" s="39"/>
      <c r="J243" s="70"/>
      <c r="K243" s="39"/>
      <c r="L243" s="43" t="str">
        <f>"["&amp;CostBaseYr&amp;" $]"</f>
        <v>[2013 $]</v>
      </c>
      <c r="N243" s="52">
        <f ca="1">SUMIFS(OFFSET(Assumptions!$I$65,0,MATCH($A243,Configurations,0)-1,COUNT(Assumptions!$A$65:$A$84),1),Assumptions!$E$65:$E$84,$C243)</f>
        <v>0</v>
      </c>
      <c r="O243" s="52"/>
      <c r="P243" s="322"/>
      <c r="Q243" s="52"/>
      <c r="R243" s="52">
        <f t="shared" ref="R243:AU243" ca="1" si="172">R244*IF($P243=0,$N243,$P243)*(1+$D243)^(R$8-CostBaseYr)</f>
        <v>0</v>
      </c>
      <c r="S243" s="52">
        <f t="shared" ca="1" si="172"/>
        <v>0</v>
      </c>
      <c r="T243" s="52">
        <f t="shared" ca="1" si="172"/>
        <v>0</v>
      </c>
      <c r="U243" s="52">
        <f t="shared" ca="1" si="172"/>
        <v>0</v>
      </c>
      <c r="V243" s="52">
        <f t="shared" ca="1" si="172"/>
        <v>0</v>
      </c>
      <c r="W243" s="52">
        <f t="shared" ca="1" si="172"/>
        <v>0</v>
      </c>
      <c r="X243" s="52">
        <f t="shared" ca="1" si="172"/>
        <v>0</v>
      </c>
      <c r="Y243" s="52">
        <f t="shared" ca="1" si="172"/>
        <v>0</v>
      </c>
      <c r="Z243" s="52">
        <f t="shared" ca="1" si="172"/>
        <v>0</v>
      </c>
      <c r="AA243" s="52">
        <f t="shared" ca="1" si="172"/>
        <v>0</v>
      </c>
      <c r="AB243" s="52">
        <f t="shared" ca="1" si="172"/>
        <v>0</v>
      </c>
      <c r="AC243" s="52">
        <f t="shared" ca="1" si="172"/>
        <v>0</v>
      </c>
      <c r="AD243" s="52">
        <f t="shared" ca="1" si="172"/>
        <v>0</v>
      </c>
      <c r="AE243" s="52">
        <f t="shared" ca="1" si="172"/>
        <v>0</v>
      </c>
      <c r="AF243" s="52">
        <f t="shared" ca="1" si="172"/>
        <v>0</v>
      </c>
      <c r="AG243" s="52">
        <f t="shared" ca="1" si="172"/>
        <v>0</v>
      </c>
      <c r="AH243" s="52">
        <f t="shared" ca="1" si="172"/>
        <v>0</v>
      </c>
      <c r="AI243" s="52">
        <f t="shared" ca="1" si="172"/>
        <v>0</v>
      </c>
      <c r="AJ243" s="52">
        <f t="shared" ca="1" si="172"/>
        <v>0</v>
      </c>
      <c r="AK243" s="52">
        <f t="shared" ca="1" si="172"/>
        <v>0</v>
      </c>
      <c r="AL243" s="52">
        <f t="shared" ca="1" si="172"/>
        <v>0</v>
      </c>
      <c r="AM243" s="52">
        <f t="shared" ca="1" si="172"/>
        <v>0</v>
      </c>
      <c r="AN243" s="52">
        <f t="shared" ca="1" si="172"/>
        <v>0</v>
      </c>
      <c r="AO243" s="52">
        <f t="shared" ca="1" si="172"/>
        <v>0</v>
      </c>
      <c r="AP243" s="52">
        <f t="shared" ca="1" si="172"/>
        <v>0</v>
      </c>
      <c r="AQ243" s="52">
        <f t="shared" ca="1" si="172"/>
        <v>0</v>
      </c>
      <c r="AR243" s="52">
        <f t="shared" ca="1" si="172"/>
        <v>0</v>
      </c>
      <c r="AS243" s="52">
        <f t="shared" ca="1" si="172"/>
        <v>0</v>
      </c>
      <c r="AT243" s="52">
        <f t="shared" ca="1" si="172"/>
        <v>0</v>
      </c>
      <c r="AU243" s="52">
        <f t="shared" ca="1" si="172"/>
        <v>0</v>
      </c>
    </row>
    <row r="244" spans="1:47">
      <c r="E244" s="325"/>
      <c r="G244" s="36" t="s">
        <v>10</v>
      </c>
      <c r="H244" s="39"/>
      <c r="I244" s="39"/>
      <c r="J244" s="39"/>
      <c r="K244" s="39"/>
      <c r="L244" s="43"/>
      <c r="R244" s="54">
        <f>Assumptions!M$60</f>
        <v>1</v>
      </c>
      <c r="S244" s="54">
        <f>Assumptions!N$60</f>
        <v>0</v>
      </c>
      <c r="T244" s="54">
        <f>Assumptions!O$60</f>
        <v>0</v>
      </c>
      <c r="U244" s="54">
        <f>Assumptions!P$60</f>
        <v>0</v>
      </c>
      <c r="V244" s="54">
        <f>Assumptions!Q$60</f>
        <v>0</v>
      </c>
      <c r="W244" s="54">
        <f>Assumptions!R$60</f>
        <v>0</v>
      </c>
      <c r="X244" s="54">
        <f>Assumptions!S$60</f>
        <v>0</v>
      </c>
      <c r="Y244" s="54">
        <f>Assumptions!T$60</f>
        <v>0</v>
      </c>
      <c r="Z244" s="54">
        <f>Assumptions!U$60</f>
        <v>0</v>
      </c>
      <c r="AA244" s="54">
        <f>Assumptions!V$60</f>
        <v>0</v>
      </c>
      <c r="AB244" s="54">
        <f>Assumptions!W$60</f>
        <v>0</v>
      </c>
      <c r="AC244" s="54">
        <f>Assumptions!X$60</f>
        <v>0</v>
      </c>
      <c r="AD244" s="54">
        <f>Assumptions!Y$60</f>
        <v>0</v>
      </c>
      <c r="AE244" s="54">
        <f>Assumptions!Z$60</f>
        <v>0</v>
      </c>
      <c r="AF244" s="54">
        <f>Assumptions!AA$60</f>
        <v>0</v>
      </c>
      <c r="AG244" s="54">
        <f>Assumptions!AB$60</f>
        <v>0</v>
      </c>
      <c r="AH244" s="54">
        <f>Assumptions!AC$60</f>
        <v>0</v>
      </c>
      <c r="AI244" s="54">
        <f>Assumptions!AD$60</f>
        <v>0</v>
      </c>
      <c r="AJ244" s="54">
        <f>Assumptions!AE$60</f>
        <v>0</v>
      </c>
      <c r="AK244" s="54">
        <f>Assumptions!AF$60</f>
        <v>0</v>
      </c>
      <c r="AL244" s="54">
        <f>Assumptions!AG$60</f>
        <v>0</v>
      </c>
      <c r="AM244" s="54">
        <f>Assumptions!AH$60</f>
        <v>0</v>
      </c>
      <c r="AN244" s="54">
        <f>Assumptions!AI$60</f>
        <v>0</v>
      </c>
      <c r="AO244" s="54">
        <f>Assumptions!AJ$60</f>
        <v>0</v>
      </c>
      <c r="AP244" s="54">
        <f>Assumptions!AK$60</f>
        <v>0</v>
      </c>
      <c r="AQ244" s="54">
        <f>Assumptions!AL$60</f>
        <v>0</v>
      </c>
      <c r="AR244" s="54">
        <f>Assumptions!AM$60</f>
        <v>0</v>
      </c>
      <c r="AS244" s="54">
        <f>Assumptions!AN$60</f>
        <v>0</v>
      </c>
      <c r="AT244" s="54">
        <f>Assumptions!AO$60</f>
        <v>0</v>
      </c>
      <c r="AU244" s="54">
        <f>Assumptions!AP$60</f>
        <v>0</v>
      </c>
    </row>
    <row r="245" spans="1:47">
      <c r="E245" s="326"/>
      <c r="G245" s="39"/>
      <c r="H245" s="39"/>
      <c r="I245" s="39"/>
      <c r="J245" s="39"/>
      <c r="K245" s="39"/>
    </row>
    <row r="246" spans="1:47">
      <c r="E246" s="327"/>
      <c r="F246" s="28"/>
      <c r="G246" s="324" t="str">
        <f>C243&amp;" O&amp;M"</f>
        <v>Drying/Gasification/Energy Recovery O&amp;M</v>
      </c>
      <c r="H246" s="324"/>
      <c r="I246" s="324"/>
      <c r="J246" s="324"/>
      <c r="K246" s="324"/>
      <c r="L246" s="405" t="s">
        <v>79</v>
      </c>
      <c r="M246" s="256"/>
      <c r="N246" s="325" t="s">
        <v>490</v>
      </c>
      <c r="O246" s="311"/>
      <c r="P246" s="325" t="s">
        <v>491</v>
      </c>
      <c r="Q246" s="310"/>
      <c r="R246" s="325">
        <f>R$8</f>
        <v>2014</v>
      </c>
      <c r="S246" s="325">
        <f t="shared" ref="S246:AU246" si="173">S$8</f>
        <v>2015</v>
      </c>
      <c r="T246" s="325">
        <f t="shared" si="173"/>
        <v>2016</v>
      </c>
      <c r="U246" s="325">
        <f t="shared" si="173"/>
        <v>2017</v>
      </c>
      <c r="V246" s="325">
        <f t="shared" si="173"/>
        <v>2018</v>
      </c>
      <c r="W246" s="325">
        <f t="shared" si="173"/>
        <v>2019</v>
      </c>
      <c r="X246" s="325">
        <f t="shared" si="173"/>
        <v>2020</v>
      </c>
      <c r="Y246" s="325">
        <f t="shared" si="173"/>
        <v>2021</v>
      </c>
      <c r="Z246" s="325">
        <f t="shared" si="173"/>
        <v>2022</v>
      </c>
      <c r="AA246" s="325">
        <f t="shared" si="173"/>
        <v>2023</v>
      </c>
      <c r="AB246" s="325">
        <f t="shared" si="173"/>
        <v>2024</v>
      </c>
      <c r="AC246" s="325">
        <f t="shared" si="173"/>
        <v>2025</v>
      </c>
      <c r="AD246" s="325">
        <f t="shared" si="173"/>
        <v>2026</v>
      </c>
      <c r="AE246" s="325">
        <f t="shared" si="173"/>
        <v>2027</v>
      </c>
      <c r="AF246" s="325">
        <f t="shared" si="173"/>
        <v>2028</v>
      </c>
      <c r="AG246" s="325">
        <f t="shared" si="173"/>
        <v>2029</v>
      </c>
      <c r="AH246" s="325">
        <f t="shared" si="173"/>
        <v>2030</v>
      </c>
      <c r="AI246" s="325">
        <f t="shared" si="173"/>
        <v>2031</v>
      </c>
      <c r="AJ246" s="325">
        <f t="shared" si="173"/>
        <v>2032</v>
      </c>
      <c r="AK246" s="325">
        <f t="shared" si="173"/>
        <v>2033</v>
      </c>
      <c r="AL246" s="325">
        <f t="shared" si="173"/>
        <v>2034</v>
      </c>
      <c r="AM246" s="325">
        <f t="shared" si="173"/>
        <v>2035</v>
      </c>
      <c r="AN246" s="325">
        <f t="shared" si="173"/>
        <v>2036</v>
      </c>
      <c r="AO246" s="325">
        <f t="shared" si="173"/>
        <v>2037</v>
      </c>
      <c r="AP246" s="325">
        <f t="shared" si="173"/>
        <v>2038</v>
      </c>
      <c r="AQ246" s="325">
        <f t="shared" si="173"/>
        <v>2039</v>
      </c>
      <c r="AR246" s="325">
        <f t="shared" si="173"/>
        <v>2040</v>
      </c>
      <c r="AS246" s="325">
        <f t="shared" si="173"/>
        <v>2041</v>
      </c>
      <c r="AT246" s="325">
        <f t="shared" si="173"/>
        <v>2042</v>
      </c>
      <c r="AU246" s="325">
        <f t="shared" si="173"/>
        <v>2043</v>
      </c>
    </row>
    <row r="247" spans="1:47">
      <c r="E247" s="325"/>
      <c r="G247" s="39"/>
      <c r="H247" s="39"/>
      <c r="I247" s="39"/>
      <c r="J247" s="39"/>
      <c r="K247" s="39"/>
    </row>
    <row r="248" spans="1:47">
      <c r="E248" s="325"/>
      <c r="G248" s="39" t="s">
        <v>23</v>
      </c>
      <c r="H248" s="39"/>
      <c r="I248" s="39"/>
      <c r="J248" s="39"/>
      <c r="K248" s="39"/>
    </row>
    <row r="249" spans="1:47">
      <c r="A249" s="38" t="str">
        <f t="shared" ref="A249:A256" si="174">$J$4&amp;"-"</f>
        <v>2Y-</v>
      </c>
      <c r="B249" s="38" t="s">
        <v>262</v>
      </c>
      <c r="C249" s="38" t="str">
        <f>C243</f>
        <v>Drying/Gasification/Energy Recovery</v>
      </c>
      <c r="D249" s="186">
        <f>LaborEsc</f>
        <v>0.02</v>
      </c>
      <c r="E249" s="325"/>
      <c r="G249" s="36" t="s">
        <v>125</v>
      </c>
      <c r="I249" s="39"/>
      <c r="K249" s="39"/>
      <c r="L249" s="43" t="s">
        <v>266</v>
      </c>
      <c r="N249" s="70">
        <f ca="1">SUMIFS(OFFSET(Assumptions!$I$90,0,MATCH($A249,Configurations,0)-1,COUNT(Assumptions!$A$90:$A$183),1),Assumptions!$D$90:$D$183,$B249&amp;$C249)</f>
        <v>0</v>
      </c>
      <c r="O249" s="313"/>
      <c r="P249" s="323"/>
      <c r="Q249" s="313"/>
      <c r="R249" s="50">
        <f t="shared" ref="R249:AU249" ca="1" si="175">IF(OR(R$99&lt;InServiceYr,R$99&gt;(InServiceYr+analysis_period-1)),0,IF($P249=0,$N249,$P249)*LaborCost*(1+$D249)^(R$99-CostBaseYr))</f>
        <v>0</v>
      </c>
      <c r="S249" s="50">
        <f t="shared" ca="1" si="175"/>
        <v>0</v>
      </c>
      <c r="T249" s="50">
        <f t="shared" ca="1" si="175"/>
        <v>0</v>
      </c>
      <c r="U249" s="50">
        <f t="shared" ca="1" si="175"/>
        <v>0</v>
      </c>
      <c r="V249" s="50">
        <f t="shared" ca="1" si="175"/>
        <v>0</v>
      </c>
      <c r="W249" s="50">
        <f t="shared" ca="1" si="175"/>
        <v>0</v>
      </c>
      <c r="X249" s="50">
        <f t="shared" ca="1" si="175"/>
        <v>0</v>
      </c>
      <c r="Y249" s="50">
        <f t="shared" ca="1" si="175"/>
        <v>0</v>
      </c>
      <c r="Z249" s="50">
        <f t="shared" ca="1" si="175"/>
        <v>0</v>
      </c>
      <c r="AA249" s="50">
        <f t="shared" ca="1" si="175"/>
        <v>0</v>
      </c>
      <c r="AB249" s="50">
        <f t="shared" ca="1" si="175"/>
        <v>0</v>
      </c>
      <c r="AC249" s="50">
        <f t="shared" ca="1" si="175"/>
        <v>0</v>
      </c>
      <c r="AD249" s="50">
        <f t="shared" ca="1" si="175"/>
        <v>0</v>
      </c>
      <c r="AE249" s="50">
        <f t="shared" ca="1" si="175"/>
        <v>0</v>
      </c>
      <c r="AF249" s="50">
        <f t="shared" ca="1" si="175"/>
        <v>0</v>
      </c>
      <c r="AG249" s="50">
        <f t="shared" ca="1" si="175"/>
        <v>0</v>
      </c>
      <c r="AH249" s="50">
        <f t="shared" ca="1" si="175"/>
        <v>0</v>
      </c>
      <c r="AI249" s="50">
        <f t="shared" ca="1" si="175"/>
        <v>0</v>
      </c>
      <c r="AJ249" s="50">
        <f t="shared" ca="1" si="175"/>
        <v>0</v>
      </c>
      <c r="AK249" s="50">
        <f t="shared" ca="1" si="175"/>
        <v>0</v>
      </c>
      <c r="AL249" s="50">
        <f t="shared" si="175"/>
        <v>0</v>
      </c>
      <c r="AM249" s="50">
        <f t="shared" si="175"/>
        <v>0</v>
      </c>
      <c r="AN249" s="50">
        <f t="shared" si="175"/>
        <v>0</v>
      </c>
      <c r="AO249" s="50">
        <f t="shared" si="175"/>
        <v>0</v>
      </c>
      <c r="AP249" s="50">
        <f t="shared" si="175"/>
        <v>0</v>
      </c>
      <c r="AQ249" s="50">
        <f t="shared" si="175"/>
        <v>0</v>
      </c>
      <c r="AR249" s="50">
        <f t="shared" si="175"/>
        <v>0</v>
      </c>
      <c r="AS249" s="50">
        <f t="shared" si="175"/>
        <v>0</v>
      </c>
      <c r="AT249" s="50">
        <f t="shared" si="175"/>
        <v>0</v>
      </c>
      <c r="AU249" s="50">
        <f t="shared" si="175"/>
        <v>0</v>
      </c>
    </row>
    <row r="250" spans="1:47">
      <c r="A250" s="38" t="str">
        <f t="shared" si="174"/>
        <v>2Y-</v>
      </c>
      <c r="B250" s="38" t="s">
        <v>270</v>
      </c>
      <c r="C250" s="38" t="str">
        <f>C249</f>
        <v>Drying/Gasification/Energy Recovery</v>
      </c>
      <c r="D250" s="186">
        <f>OMEsc</f>
        <v>0.02</v>
      </c>
      <c r="E250" s="325"/>
      <c r="G250" s="36" t="s">
        <v>126</v>
      </c>
      <c r="I250" s="39"/>
      <c r="K250" s="39"/>
      <c r="L250" s="43" t="str">
        <f>"["&amp;CostBaseYr&amp;" $]"</f>
        <v>[2013 $]</v>
      </c>
      <c r="N250" s="70">
        <f ca="1">SUMIFS(OFFSET(Assumptions!$I$90,0,MATCH($A250,Configurations,0)-1,COUNT(Assumptions!$A$90:$A$183),1),Assumptions!$D$90:$D$183,$B250&amp;$C250)</f>
        <v>0</v>
      </c>
      <c r="O250" s="313"/>
      <c r="P250" s="323"/>
      <c r="Q250" s="313"/>
      <c r="R250" s="50">
        <f t="shared" ref="R250:AG252" ca="1" si="176">IF(OR(R$99&lt;InServiceYr,R$99&gt;(InServiceYr+analysis_period-1)),0,IF($P250=0,$N250,$P250)*(1+$D250)^(R$99-CostBaseYr))</f>
        <v>0</v>
      </c>
      <c r="S250" s="50">
        <f t="shared" ca="1" si="176"/>
        <v>0</v>
      </c>
      <c r="T250" s="50">
        <f t="shared" ca="1" si="176"/>
        <v>0</v>
      </c>
      <c r="U250" s="50">
        <f t="shared" ca="1" si="176"/>
        <v>0</v>
      </c>
      <c r="V250" s="50">
        <f t="shared" ca="1" si="176"/>
        <v>0</v>
      </c>
      <c r="W250" s="50">
        <f t="shared" ca="1" si="176"/>
        <v>0</v>
      </c>
      <c r="X250" s="50">
        <f t="shared" ca="1" si="176"/>
        <v>0</v>
      </c>
      <c r="Y250" s="50">
        <f t="shared" ca="1" si="176"/>
        <v>0</v>
      </c>
      <c r="Z250" s="50">
        <f t="shared" ca="1" si="176"/>
        <v>0</v>
      </c>
      <c r="AA250" s="50">
        <f t="shared" ca="1" si="176"/>
        <v>0</v>
      </c>
      <c r="AB250" s="50">
        <f t="shared" ca="1" si="176"/>
        <v>0</v>
      </c>
      <c r="AC250" s="50">
        <f t="shared" ca="1" si="176"/>
        <v>0</v>
      </c>
      <c r="AD250" s="50">
        <f t="shared" ca="1" si="176"/>
        <v>0</v>
      </c>
      <c r="AE250" s="50">
        <f t="shared" ca="1" si="176"/>
        <v>0</v>
      </c>
      <c r="AF250" s="50">
        <f t="shared" ca="1" si="176"/>
        <v>0</v>
      </c>
      <c r="AG250" s="50">
        <f t="shared" ca="1" si="176"/>
        <v>0</v>
      </c>
      <c r="AH250" s="50">
        <f t="shared" ref="S250:AU252" ca="1" si="177">IF(OR(AH$99&lt;InServiceYr,AH$99&gt;(InServiceYr+analysis_period-1)),0,IF($P250=0,$N250,$P250)*(1+$D250)^(AH$99-CostBaseYr))</f>
        <v>0</v>
      </c>
      <c r="AI250" s="50">
        <f t="shared" ca="1" si="177"/>
        <v>0</v>
      </c>
      <c r="AJ250" s="50">
        <f t="shared" ca="1" si="177"/>
        <v>0</v>
      </c>
      <c r="AK250" s="50">
        <f t="shared" ca="1" si="177"/>
        <v>0</v>
      </c>
      <c r="AL250" s="50">
        <f t="shared" si="177"/>
        <v>0</v>
      </c>
      <c r="AM250" s="50">
        <f t="shared" si="177"/>
        <v>0</v>
      </c>
      <c r="AN250" s="50">
        <f t="shared" si="177"/>
        <v>0</v>
      </c>
      <c r="AO250" s="50">
        <f t="shared" si="177"/>
        <v>0</v>
      </c>
      <c r="AP250" s="50">
        <f t="shared" si="177"/>
        <v>0</v>
      </c>
      <c r="AQ250" s="50">
        <f t="shared" si="177"/>
        <v>0</v>
      </c>
      <c r="AR250" s="50">
        <f t="shared" si="177"/>
        <v>0</v>
      </c>
      <c r="AS250" s="50">
        <f t="shared" si="177"/>
        <v>0</v>
      </c>
      <c r="AT250" s="50">
        <f t="shared" si="177"/>
        <v>0</v>
      </c>
      <c r="AU250" s="50">
        <f t="shared" si="177"/>
        <v>0</v>
      </c>
    </row>
    <row r="251" spans="1:47">
      <c r="A251" s="38" t="str">
        <f t="shared" si="174"/>
        <v>2Y-</v>
      </c>
      <c r="B251" s="38" t="s">
        <v>263</v>
      </c>
      <c r="C251" s="38" t="str">
        <f t="shared" ref="C251:C255" si="178">C250</f>
        <v>Drying/Gasification/Energy Recovery</v>
      </c>
      <c r="D251" s="186">
        <f>OMEsc</f>
        <v>0.02</v>
      </c>
      <c r="E251" s="325"/>
      <c r="G251" s="36" t="s">
        <v>127</v>
      </c>
      <c r="I251" s="39"/>
      <c r="K251" s="39"/>
      <c r="L251" s="43" t="str">
        <f>"["&amp;CostBaseYr&amp;" $]"</f>
        <v>[2013 $]</v>
      </c>
      <c r="N251" s="70">
        <f ca="1">SUMIFS(OFFSET(Assumptions!$I$90,0,MATCH($A251,Configurations,0)-1,COUNT(Assumptions!$A$90:$A$183),1),Assumptions!$D$90:$D$183,$B251&amp;$C251)</f>
        <v>0</v>
      </c>
      <c r="O251" s="313"/>
      <c r="P251" s="323"/>
      <c r="Q251" s="313"/>
      <c r="R251" s="50">
        <f t="shared" ca="1" si="176"/>
        <v>0</v>
      </c>
      <c r="S251" s="50">
        <f t="shared" ca="1" si="177"/>
        <v>0</v>
      </c>
      <c r="T251" s="50">
        <f t="shared" ca="1" si="177"/>
        <v>0</v>
      </c>
      <c r="U251" s="50">
        <f t="shared" ca="1" si="177"/>
        <v>0</v>
      </c>
      <c r="V251" s="50">
        <f t="shared" ca="1" si="177"/>
        <v>0</v>
      </c>
      <c r="W251" s="50">
        <f t="shared" ca="1" si="177"/>
        <v>0</v>
      </c>
      <c r="X251" s="50">
        <f t="shared" ca="1" si="177"/>
        <v>0</v>
      </c>
      <c r="Y251" s="50">
        <f t="shared" ca="1" si="177"/>
        <v>0</v>
      </c>
      <c r="Z251" s="50">
        <f t="shared" ca="1" si="177"/>
        <v>0</v>
      </c>
      <c r="AA251" s="50">
        <f t="shared" ca="1" si="177"/>
        <v>0</v>
      </c>
      <c r="AB251" s="50">
        <f t="shared" ca="1" si="177"/>
        <v>0</v>
      </c>
      <c r="AC251" s="50">
        <f t="shared" ca="1" si="177"/>
        <v>0</v>
      </c>
      <c r="AD251" s="50">
        <f t="shared" ca="1" si="177"/>
        <v>0</v>
      </c>
      <c r="AE251" s="50">
        <f t="shared" ca="1" si="177"/>
        <v>0</v>
      </c>
      <c r="AF251" s="50">
        <f t="shared" ca="1" si="177"/>
        <v>0</v>
      </c>
      <c r="AG251" s="50">
        <f t="shared" ca="1" si="177"/>
        <v>0</v>
      </c>
      <c r="AH251" s="50">
        <f t="shared" ca="1" si="177"/>
        <v>0</v>
      </c>
      <c r="AI251" s="50">
        <f t="shared" ca="1" si="177"/>
        <v>0</v>
      </c>
      <c r="AJ251" s="50">
        <f t="shared" ca="1" si="177"/>
        <v>0</v>
      </c>
      <c r="AK251" s="50">
        <f t="shared" ca="1" si="177"/>
        <v>0</v>
      </c>
      <c r="AL251" s="50">
        <f t="shared" si="177"/>
        <v>0</v>
      </c>
      <c r="AM251" s="50">
        <f t="shared" si="177"/>
        <v>0</v>
      </c>
      <c r="AN251" s="50">
        <f t="shared" si="177"/>
        <v>0</v>
      </c>
      <c r="AO251" s="50">
        <f t="shared" si="177"/>
        <v>0</v>
      </c>
      <c r="AP251" s="50">
        <f t="shared" si="177"/>
        <v>0</v>
      </c>
      <c r="AQ251" s="50">
        <f t="shared" si="177"/>
        <v>0</v>
      </c>
      <c r="AR251" s="50">
        <f t="shared" si="177"/>
        <v>0</v>
      </c>
      <c r="AS251" s="50">
        <f t="shared" si="177"/>
        <v>0</v>
      </c>
      <c r="AT251" s="50">
        <f t="shared" si="177"/>
        <v>0</v>
      </c>
      <c r="AU251" s="50">
        <f t="shared" si="177"/>
        <v>0</v>
      </c>
    </row>
    <row r="252" spans="1:47">
      <c r="A252" s="38" t="str">
        <f t="shared" si="174"/>
        <v>2Y-</v>
      </c>
      <c r="B252" s="38" t="s">
        <v>277</v>
      </c>
      <c r="C252" s="38" t="str">
        <f t="shared" si="178"/>
        <v>Drying/Gasification/Energy Recovery</v>
      </c>
      <c r="D252" s="186">
        <f>OMEsc</f>
        <v>0.02</v>
      </c>
      <c r="E252" s="325"/>
      <c r="G252" s="36" t="s">
        <v>276</v>
      </c>
      <c r="I252" s="39"/>
      <c r="K252" s="39"/>
      <c r="L252" s="43" t="str">
        <f>"["&amp;CostBaseYr&amp;" $]"</f>
        <v>[2013 $]</v>
      </c>
      <c r="N252" s="70">
        <f ca="1">SUMIFS(OFFSET(Assumptions!$I$90,0,MATCH($A252,Configurations,0)-1,COUNT(Assumptions!$A$90:$A$183),1),Assumptions!$D$90:$D$183,$B252&amp;$C252)</f>
        <v>0</v>
      </c>
      <c r="O252" s="313"/>
      <c r="P252" s="323"/>
      <c r="Q252" s="313"/>
      <c r="R252" s="50">
        <f t="shared" ca="1" si="176"/>
        <v>0</v>
      </c>
      <c r="S252" s="50">
        <f t="shared" ca="1" si="177"/>
        <v>0</v>
      </c>
      <c r="T252" s="50">
        <f t="shared" ca="1" si="177"/>
        <v>0</v>
      </c>
      <c r="U252" s="50">
        <f t="shared" ca="1" si="177"/>
        <v>0</v>
      </c>
      <c r="V252" s="50">
        <f t="shared" ca="1" si="177"/>
        <v>0</v>
      </c>
      <c r="W252" s="50">
        <f t="shared" ca="1" si="177"/>
        <v>0</v>
      </c>
      <c r="X252" s="50">
        <f t="shared" ca="1" si="177"/>
        <v>0</v>
      </c>
      <c r="Y252" s="50">
        <f t="shared" ca="1" si="177"/>
        <v>0</v>
      </c>
      <c r="Z252" s="50">
        <f t="shared" ca="1" si="177"/>
        <v>0</v>
      </c>
      <c r="AA252" s="50">
        <f t="shared" ca="1" si="177"/>
        <v>0</v>
      </c>
      <c r="AB252" s="50">
        <f t="shared" ca="1" si="177"/>
        <v>0</v>
      </c>
      <c r="AC252" s="50">
        <f t="shared" ca="1" si="177"/>
        <v>0</v>
      </c>
      <c r="AD252" s="50">
        <f t="shared" ca="1" si="177"/>
        <v>0</v>
      </c>
      <c r="AE252" s="50">
        <f t="shared" ca="1" si="177"/>
        <v>0</v>
      </c>
      <c r="AF252" s="50">
        <f t="shared" ca="1" si="177"/>
        <v>0</v>
      </c>
      <c r="AG252" s="50">
        <f t="shared" ca="1" si="177"/>
        <v>0</v>
      </c>
      <c r="AH252" s="50">
        <f t="shared" ca="1" si="177"/>
        <v>0</v>
      </c>
      <c r="AI252" s="50">
        <f t="shared" ca="1" si="177"/>
        <v>0</v>
      </c>
      <c r="AJ252" s="50">
        <f t="shared" ca="1" si="177"/>
        <v>0</v>
      </c>
      <c r="AK252" s="50">
        <f t="shared" ca="1" si="177"/>
        <v>0</v>
      </c>
      <c r="AL252" s="50">
        <f t="shared" si="177"/>
        <v>0</v>
      </c>
      <c r="AM252" s="50">
        <f t="shared" si="177"/>
        <v>0</v>
      </c>
      <c r="AN252" s="50">
        <f t="shared" si="177"/>
        <v>0</v>
      </c>
      <c r="AO252" s="50">
        <f t="shared" si="177"/>
        <v>0</v>
      </c>
      <c r="AP252" s="50">
        <f t="shared" si="177"/>
        <v>0</v>
      </c>
      <c r="AQ252" s="50">
        <f t="shared" si="177"/>
        <v>0</v>
      </c>
      <c r="AR252" s="50">
        <f t="shared" si="177"/>
        <v>0</v>
      </c>
      <c r="AS252" s="50">
        <f t="shared" si="177"/>
        <v>0</v>
      </c>
      <c r="AT252" s="50">
        <f t="shared" si="177"/>
        <v>0</v>
      </c>
      <c r="AU252" s="50">
        <f t="shared" si="177"/>
        <v>0</v>
      </c>
    </row>
    <row r="253" spans="1:47">
      <c r="A253" s="38" t="str">
        <f t="shared" si="174"/>
        <v>2Y-</v>
      </c>
      <c r="B253" s="38" t="s">
        <v>274</v>
      </c>
      <c r="C253" s="38" t="str">
        <f t="shared" si="178"/>
        <v>Drying/Gasification/Energy Recovery</v>
      </c>
      <c r="D253" s="186"/>
      <c r="E253" s="325"/>
      <c r="G253" s="36" t="s">
        <v>16</v>
      </c>
      <c r="I253" s="39"/>
      <c r="K253" s="39"/>
      <c r="L253" s="43" t="s">
        <v>275</v>
      </c>
      <c r="N253" s="70">
        <f ca="1">SUMIFS(OFFSET(Assumptions!$I$90,0,MATCH($A253,Configurations,0)-1,COUNT(Assumptions!$A$90:$A$183),1),Assumptions!$D$90:$D$183,$B253&amp;$C253)</f>
        <v>0</v>
      </c>
      <c r="O253" s="313"/>
      <c r="P253" s="323"/>
      <c r="Q253" s="313"/>
      <c r="R253" s="50">
        <f t="shared" ref="R253:AU253" ca="1" si="179">IF(OR(R$99&lt;InServiceYr,R$99&gt;(InServiceYr+analysis_period-1)),0,IF($P253=0,$N253,$P253)*R$505)</f>
        <v>0</v>
      </c>
      <c r="S253" s="50">
        <f t="shared" ca="1" si="179"/>
        <v>0</v>
      </c>
      <c r="T253" s="50">
        <f t="shared" ca="1" si="179"/>
        <v>0</v>
      </c>
      <c r="U253" s="50">
        <f t="shared" ca="1" si="179"/>
        <v>0</v>
      </c>
      <c r="V253" s="50">
        <f t="shared" ca="1" si="179"/>
        <v>0</v>
      </c>
      <c r="W253" s="50">
        <f t="shared" ca="1" si="179"/>
        <v>0</v>
      </c>
      <c r="X253" s="50">
        <f t="shared" ca="1" si="179"/>
        <v>0</v>
      </c>
      <c r="Y253" s="50">
        <f t="shared" ca="1" si="179"/>
        <v>0</v>
      </c>
      <c r="Z253" s="50">
        <f t="shared" ca="1" si="179"/>
        <v>0</v>
      </c>
      <c r="AA253" s="50">
        <f t="shared" ca="1" si="179"/>
        <v>0</v>
      </c>
      <c r="AB253" s="50">
        <f t="shared" ca="1" si="179"/>
        <v>0</v>
      </c>
      <c r="AC253" s="50">
        <f t="shared" ca="1" si="179"/>
        <v>0</v>
      </c>
      <c r="AD253" s="50">
        <f t="shared" ca="1" si="179"/>
        <v>0</v>
      </c>
      <c r="AE253" s="50">
        <f t="shared" ca="1" si="179"/>
        <v>0</v>
      </c>
      <c r="AF253" s="50">
        <f t="shared" ca="1" si="179"/>
        <v>0</v>
      </c>
      <c r="AG253" s="50">
        <f t="shared" ca="1" si="179"/>
        <v>0</v>
      </c>
      <c r="AH253" s="50">
        <f t="shared" ca="1" si="179"/>
        <v>0</v>
      </c>
      <c r="AI253" s="50">
        <f t="shared" ca="1" si="179"/>
        <v>0</v>
      </c>
      <c r="AJ253" s="50">
        <f t="shared" ca="1" si="179"/>
        <v>0</v>
      </c>
      <c r="AK253" s="50">
        <f t="shared" ca="1" si="179"/>
        <v>0</v>
      </c>
      <c r="AL253" s="50">
        <f t="shared" si="179"/>
        <v>0</v>
      </c>
      <c r="AM253" s="50">
        <f t="shared" si="179"/>
        <v>0</v>
      </c>
      <c r="AN253" s="50">
        <f t="shared" si="179"/>
        <v>0</v>
      </c>
      <c r="AO253" s="50">
        <f t="shared" si="179"/>
        <v>0</v>
      </c>
      <c r="AP253" s="50">
        <f t="shared" si="179"/>
        <v>0</v>
      </c>
      <c r="AQ253" s="50">
        <f t="shared" si="179"/>
        <v>0</v>
      </c>
      <c r="AR253" s="50">
        <f t="shared" si="179"/>
        <v>0</v>
      </c>
      <c r="AS253" s="50">
        <f t="shared" si="179"/>
        <v>0</v>
      </c>
      <c r="AT253" s="50">
        <f t="shared" si="179"/>
        <v>0</v>
      </c>
      <c r="AU253" s="50">
        <f t="shared" si="179"/>
        <v>0</v>
      </c>
    </row>
    <row r="254" spans="1:47">
      <c r="A254" s="38" t="str">
        <f t="shared" si="174"/>
        <v>2Y-</v>
      </c>
      <c r="B254" s="38" t="s">
        <v>257</v>
      </c>
      <c r="C254" s="38" t="str">
        <f t="shared" si="178"/>
        <v>Drying/Gasification/Energy Recovery</v>
      </c>
      <c r="D254" s="186"/>
      <c r="E254" s="325"/>
      <c r="G254" s="36" t="s">
        <v>284</v>
      </c>
      <c r="I254" s="39"/>
      <c r="K254" s="39"/>
      <c r="L254" s="43" t="s">
        <v>293</v>
      </c>
      <c r="N254" s="70">
        <f ca="1">SUMIFS(OFFSET(Assumptions!$I$90,0,MATCH($A254,Configurations,0)-1,COUNT(Assumptions!$A$90:$A$183),1),Assumptions!$D$90:$D$183,$B254&amp;$C254)</f>
        <v>0</v>
      </c>
      <c r="O254" s="313"/>
      <c r="P254" s="323"/>
      <c r="Q254" s="313"/>
      <c r="R254" s="50">
        <f t="shared" ref="R254:AU254" ca="1" si="180">IF(OR(R$99&lt;InServiceYr,R$99&gt;(InServiceYr+analysis_period-1)),0,IF($P254=0,$N254,$P254)*R$501)</f>
        <v>0</v>
      </c>
      <c r="S254" s="50">
        <f t="shared" ca="1" si="180"/>
        <v>0</v>
      </c>
      <c r="T254" s="50">
        <f t="shared" ca="1" si="180"/>
        <v>0</v>
      </c>
      <c r="U254" s="50">
        <f t="shared" ca="1" si="180"/>
        <v>0</v>
      </c>
      <c r="V254" s="50">
        <f t="shared" ca="1" si="180"/>
        <v>0</v>
      </c>
      <c r="W254" s="50">
        <f t="shared" ca="1" si="180"/>
        <v>0</v>
      </c>
      <c r="X254" s="50">
        <f t="shared" ca="1" si="180"/>
        <v>0</v>
      </c>
      <c r="Y254" s="50">
        <f t="shared" ca="1" si="180"/>
        <v>0</v>
      </c>
      <c r="Z254" s="50">
        <f t="shared" ca="1" si="180"/>
        <v>0</v>
      </c>
      <c r="AA254" s="50">
        <f t="shared" ca="1" si="180"/>
        <v>0</v>
      </c>
      <c r="AB254" s="50">
        <f t="shared" ca="1" si="180"/>
        <v>0</v>
      </c>
      <c r="AC254" s="50">
        <f t="shared" ca="1" si="180"/>
        <v>0</v>
      </c>
      <c r="AD254" s="50">
        <f t="shared" ca="1" si="180"/>
        <v>0</v>
      </c>
      <c r="AE254" s="50">
        <f t="shared" ca="1" si="180"/>
        <v>0</v>
      </c>
      <c r="AF254" s="50">
        <f t="shared" ca="1" si="180"/>
        <v>0</v>
      </c>
      <c r="AG254" s="50">
        <f t="shared" ca="1" si="180"/>
        <v>0</v>
      </c>
      <c r="AH254" s="50">
        <f t="shared" ca="1" si="180"/>
        <v>0</v>
      </c>
      <c r="AI254" s="50">
        <f t="shared" ca="1" si="180"/>
        <v>0</v>
      </c>
      <c r="AJ254" s="50">
        <f t="shared" ca="1" si="180"/>
        <v>0</v>
      </c>
      <c r="AK254" s="50">
        <f t="shared" ca="1" si="180"/>
        <v>0</v>
      </c>
      <c r="AL254" s="50">
        <f t="shared" si="180"/>
        <v>0</v>
      </c>
      <c r="AM254" s="50">
        <f t="shared" si="180"/>
        <v>0</v>
      </c>
      <c r="AN254" s="50">
        <f t="shared" si="180"/>
        <v>0</v>
      </c>
      <c r="AO254" s="50">
        <f t="shared" si="180"/>
        <v>0</v>
      </c>
      <c r="AP254" s="50">
        <f t="shared" si="180"/>
        <v>0</v>
      </c>
      <c r="AQ254" s="50">
        <f t="shared" si="180"/>
        <v>0</v>
      </c>
      <c r="AR254" s="50">
        <f t="shared" si="180"/>
        <v>0</v>
      </c>
      <c r="AS254" s="50">
        <f t="shared" si="180"/>
        <v>0</v>
      </c>
      <c r="AT254" s="50">
        <f t="shared" si="180"/>
        <v>0</v>
      </c>
      <c r="AU254" s="50">
        <f t="shared" si="180"/>
        <v>0</v>
      </c>
    </row>
    <row r="255" spans="1:47">
      <c r="A255" s="38" t="str">
        <f t="shared" si="174"/>
        <v>2Y-</v>
      </c>
      <c r="B255" s="38" t="s">
        <v>864</v>
      </c>
      <c r="C255" s="38" t="str">
        <f t="shared" si="178"/>
        <v>Drying/Gasification/Energy Recovery</v>
      </c>
      <c r="D255" s="186">
        <f>GHGEsc</f>
        <v>0.02</v>
      </c>
      <c r="E255" s="325"/>
      <c r="G255" s="36" t="s">
        <v>865</v>
      </c>
      <c r="I255" s="39"/>
      <c r="K255" s="39"/>
      <c r="L255" s="43" t="s">
        <v>866</v>
      </c>
      <c r="N255" s="70">
        <f ca="1">SUMIFS(OFFSET(Assumptions!$I$90,0,MATCH($A255,Configurations,0)-1,COUNT(Assumptions!$A$90:$A$183),1),Assumptions!$D$90:$D$183,$B255&amp;$C255)</f>
        <v>0</v>
      </c>
      <c r="O255" s="313"/>
      <c r="P255" s="323"/>
      <c r="Q255" s="313"/>
      <c r="R255" s="50">
        <f t="shared" ref="R255:AU255" ca="1" si="181">IF(OR(R$99&lt;InServiceYr,R$99&gt;(InServiceYr+analysis_period-1)),0,IF($P255=0,$N255,$P255)*R$513)</f>
        <v>0</v>
      </c>
      <c r="S255" s="50">
        <f t="shared" ca="1" si="181"/>
        <v>0</v>
      </c>
      <c r="T255" s="50">
        <f t="shared" ca="1" si="181"/>
        <v>0</v>
      </c>
      <c r="U255" s="50">
        <f t="shared" ca="1" si="181"/>
        <v>0</v>
      </c>
      <c r="V255" s="50">
        <f t="shared" ca="1" si="181"/>
        <v>0</v>
      </c>
      <c r="W255" s="50">
        <f t="shared" ca="1" si="181"/>
        <v>0</v>
      </c>
      <c r="X255" s="50">
        <f t="shared" ca="1" si="181"/>
        <v>0</v>
      </c>
      <c r="Y255" s="50">
        <f t="shared" ca="1" si="181"/>
        <v>0</v>
      </c>
      <c r="Z255" s="50">
        <f t="shared" ca="1" si="181"/>
        <v>0</v>
      </c>
      <c r="AA255" s="50">
        <f t="shared" ca="1" si="181"/>
        <v>0</v>
      </c>
      <c r="AB255" s="50">
        <f t="shared" ca="1" si="181"/>
        <v>0</v>
      </c>
      <c r="AC255" s="50">
        <f t="shared" ca="1" si="181"/>
        <v>0</v>
      </c>
      <c r="AD255" s="50">
        <f t="shared" ca="1" si="181"/>
        <v>0</v>
      </c>
      <c r="AE255" s="50">
        <f t="shared" ca="1" si="181"/>
        <v>0</v>
      </c>
      <c r="AF255" s="50">
        <f t="shared" ca="1" si="181"/>
        <v>0</v>
      </c>
      <c r="AG255" s="50">
        <f t="shared" ca="1" si="181"/>
        <v>0</v>
      </c>
      <c r="AH255" s="50">
        <f t="shared" ca="1" si="181"/>
        <v>0</v>
      </c>
      <c r="AI255" s="50">
        <f t="shared" ca="1" si="181"/>
        <v>0</v>
      </c>
      <c r="AJ255" s="50">
        <f t="shared" ca="1" si="181"/>
        <v>0</v>
      </c>
      <c r="AK255" s="50">
        <f t="shared" ca="1" si="181"/>
        <v>0</v>
      </c>
      <c r="AL255" s="50">
        <f t="shared" si="181"/>
        <v>0</v>
      </c>
      <c r="AM255" s="50">
        <f t="shared" si="181"/>
        <v>0</v>
      </c>
      <c r="AN255" s="50">
        <f t="shared" si="181"/>
        <v>0</v>
      </c>
      <c r="AO255" s="50">
        <f t="shared" si="181"/>
        <v>0</v>
      </c>
      <c r="AP255" s="50">
        <f t="shared" si="181"/>
        <v>0</v>
      </c>
      <c r="AQ255" s="50">
        <f t="shared" si="181"/>
        <v>0</v>
      </c>
      <c r="AR255" s="50">
        <f t="shared" si="181"/>
        <v>0</v>
      </c>
      <c r="AS255" s="50">
        <f t="shared" si="181"/>
        <v>0</v>
      </c>
      <c r="AT255" s="50">
        <f t="shared" si="181"/>
        <v>0</v>
      </c>
      <c r="AU255" s="50">
        <f t="shared" si="181"/>
        <v>0</v>
      </c>
    </row>
    <row r="256" spans="1:47">
      <c r="A256" s="38" t="str">
        <f t="shared" si="174"/>
        <v>2Y-</v>
      </c>
      <c r="B256" s="38" t="s">
        <v>273</v>
      </c>
      <c r="C256" s="38" t="str">
        <f>C254</f>
        <v>Drying/Gasification/Energy Recovery</v>
      </c>
      <c r="D256" s="186">
        <f>LaborEsc</f>
        <v>0.02</v>
      </c>
      <c r="E256" s="325"/>
      <c r="G256" s="36" t="s">
        <v>291</v>
      </c>
      <c r="I256" s="39"/>
      <c r="K256" s="39"/>
      <c r="L256" s="43" t="str">
        <f>"["&amp;CostBaseYr&amp;" $]"</f>
        <v>[2013 $]</v>
      </c>
      <c r="N256" s="70">
        <f ca="1">SUMIFS(OFFSET(Assumptions!$I$90,0,MATCH($A256,Configurations,0)-1,COUNT(Assumptions!$A$90:$A$183),1),Assumptions!$D$90:$D$183,$B256&amp;$C256)</f>
        <v>0</v>
      </c>
      <c r="O256" s="313"/>
      <c r="P256" s="323"/>
      <c r="Q256" s="313"/>
      <c r="R256" s="50">
        <f t="shared" ref="R256:AU256" ca="1" si="182">IF(OR(R$99&lt;InServiceYr,R$99&gt;(InServiceYr+analysis_period-1)),0,IF($P256=0,$N256,$P256)*(1+$D256)^(R$99-CostBaseYr))*R$509</f>
        <v>0</v>
      </c>
      <c r="S256" s="50">
        <f t="shared" ca="1" si="182"/>
        <v>0</v>
      </c>
      <c r="T256" s="50">
        <f t="shared" ca="1" si="182"/>
        <v>0</v>
      </c>
      <c r="U256" s="50">
        <f t="shared" ca="1" si="182"/>
        <v>0</v>
      </c>
      <c r="V256" s="50">
        <f t="shared" ca="1" si="182"/>
        <v>0</v>
      </c>
      <c r="W256" s="50">
        <f t="shared" ca="1" si="182"/>
        <v>0</v>
      </c>
      <c r="X256" s="50">
        <f t="shared" ca="1" si="182"/>
        <v>0</v>
      </c>
      <c r="Y256" s="50">
        <f t="shared" ca="1" si="182"/>
        <v>0</v>
      </c>
      <c r="Z256" s="50">
        <f t="shared" ca="1" si="182"/>
        <v>0</v>
      </c>
      <c r="AA256" s="50">
        <f t="shared" ca="1" si="182"/>
        <v>0</v>
      </c>
      <c r="AB256" s="50">
        <f t="shared" ca="1" si="182"/>
        <v>0</v>
      </c>
      <c r="AC256" s="50">
        <f t="shared" ca="1" si="182"/>
        <v>0</v>
      </c>
      <c r="AD256" s="50">
        <f t="shared" ca="1" si="182"/>
        <v>0</v>
      </c>
      <c r="AE256" s="50">
        <f t="shared" ca="1" si="182"/>
        <v>0</v>
      </c>
      <c r="AF256" s="50">
        <f t="shared" ca="1" si="182"/>
        <v>0</v>
      </c>
      <c r="AG256" s="50">
        <f t="shared" ca="1" si="182"/>
        <v>0</v>
      </c>
      <c r="AH256" s="50">
        <f t="shared" ca="1" si="182"/>
        <v>0</v>
      </c>
      <c r="AI256" s="50">
        <f t="shared" ca="1" si="182"/>
        <v>0</v>
      </c>
      <c r="AJ256" s="50">
        <f t="shared" ca="1" si="182"/>
        <v>0</v>
      </c>
      <c r="AK256" s="50">
        <f t="shared" ca="1" si="182"/>
        <v>0</v>
      </c>
      <c r="AL256" s="50">
        <f t="shared" si="182"/>
        <v>0</v>
      </c>
      <c r="AM256" s="50">
        <f t="shared" si="182"/>
        <v>0</v>
      </c>
      <c r="AN256" s="50">
        <f t="shared" si="182"/>
        <v>0</v>
      </c>
      <c r="AO256" s="50">
        <f t="shared" si="182"/>
        <v>0</v>
      </c>
      <c r="AP256" s="50">
        <f t="shared" si="182"/>
        <v>0</v>
      </c>
      <c r="AQ256" s="50">
        <f t="shared" si="182"/>
        <v>0</v>
      </c>
      <c r="AR256" s="50">
        <f t="shared" si="182"/>
        <v>0</v>
      </c>
      <c r="AS256" s="50">
        <f t="shared" si="182"/>
        <v>0</v>
      </c>
      <c r="AT256" s="50">
        <f t="shared" si="182"/>
        <v>0</v>
      </c>
      <c r="AU256" s="50">
        <f t="shared" si="182"/>
        <v>0</v>
      </c>
    </row>
    <row r="257" spans="1:47">
      <c r="D257" s="186"/>
      <c r="E257" s="325"/>
      <c r="G257" s="39" t="s">
        <v>304</v>
      </c>
      <c r="I257" s="39"/>
      <c r="K257" s="39"/>
      <c r="L257" s="43"/>
      <c r="N257" s="70"/>
      <c r="O257" s="313"/>
      <c r="P257" s="70"/>
      <c r="Q257" s="313"/>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row>
    <row r="258" spans="1:47">
      <c r="A258" s="38" t="str">
        <f>$J$4&amp;"-"</f>
        <v>2Y-</v>
      </c>
      <c r="B258" s="38" t="s">
        <v>265</v>
      </c>
      <c r="C258" s="38" t="str">
        <f>C249</f>
        <v>Drying/Gasification/Energy Recovery</v>
      </c>
      <c r="D258" s="186"/>
      <c r="E258" s="325"/>
      <c r="G258" s="36" t="s">
        <v>108</v>
      </c>
      <c r="I258" s="39"/>
      <c r="K258" s="39"/>
      <c r="L258" s="43" t="s">
        <v>293</v>
      </c>
      <c r="N258" s="70">
        <f ca="1">SUMIFS(OFFSET(Assumptions!$I$90,0,MATCH($A258,Configurations,0)-1,COUNT(Assumptions!$A$90:$A$183),1),Assumptions!$D$90:$D$183,$B258&amp;$C258)</f>
        <v>0</v>
      </c>
      <c r="O258" s="313"/>
      <c r="P258" s="323"/>
      <c r="Q258" s="313"/>
      <c r="R258" s="50">
        <f t="shared" ref="R258:AU258" ca="1" si="183">IF(OR(R$99&lt;InServiceYr,R$99&gt;(InServiceYr+analysis_period-1)),0,IF($P258=0,$N258,$P258)*R$501)</f>
        <v>0</v>
      </c>
      <c r="S258" s="50">
        <f t="shared" ca="1" si="183"/>
        <v>0</v>
      </c>
      <c r="T258" s="50">
        <f t="shared" ca="1" si="183"/>
        <v>0</v>
      </c>
      <c r="U258" s="50">
        <f t="shared" ca="1" si="183"/>
        <v>0</v>
      </c>
      <c r="V258" s="50">
        <f t="shared" ca="1" si="183"/>
        <v>0</v>
      </c>
      <c r="W258" s="50">
        <f t="shared" ca="1" si="183"/>
        <v>0</v>
      </c>
      <c r="X258" s="50">
        <f t="shared" ca="1" si="183"/>
        <v>0</v>
      </c>
      <c r="Y258" s="50">
        <f t="shared" ca="1" si="183"/>
        <v>0</v>
      </c>
      <c r="Z258" s="50">
        <f t="shared" ca="1" si="183"/>
        <v>0</v>
      </c>
      <c r="AA258" s="50">
        <f t="shared" ca="1" si="183"/>
        <v>0</v>
      </c>
      <c r="AB258" s="50">
        <f t="shared" ca="1" si="183"/>
        <v>0</v>
      </c>
      <c r="AC258" s="50">
        <f t="shared" ca="1" si="183"/>
        <v>0</v>
      </c>
      <c r="AD258" s="50">
        <f t="shared" ca="1" si="183"/>
        <v>0</v>
      </c>
      <c r="AE258" s="50">
        <f t="shared" ca="1" si="183"/>
        <v>0</v>
      </c>
      <c r="AF258" s="50">
        <f t="shared" ca="1" si="183"/>
        <v>0</v>
      </c>
      <c r="AG258" s="50">
        <f t="shared" ca="1" si="183"/>
        <v>0</v>
      </c>
      <c r="AH258" s="50">
        <f t="shared" ca="1" si="183"/>
        <v>0</v>
      </c>
      <c r="AI258" s="50">
        <f t="shared" ca="1" si="183"/>
        <v>0</v>
      </c>
      <c r="AJ258" s="50">
        <f t="shared" ca="1" si="183"/>
        <v>0</v>
      </c>
      <c r="AK258" s="50">
        <f t="shared" ca="1" si="183"/>
        <v>0</v>
      </c>
      <c r="AL258" s="50">
        <f t="shared" si="183"/>
        <v>0</v>
      </c>
      <c r="AM258" s="50">
        <f t="shared" si="183"/>
        <v>0</v>
      </c>
      <c r="AN258" s="50">
        <f t="shared" si="183"/>
        <v>0</v>
      </c>
      <c r="AO258" s="50">
        <f t="shared" si="183"/>
        <v>0</v>
      </c>
      <c r="AP258" s="50">
        <f t="shared" si="183"/>
        <v>0</v>
      </c>
      <c r="AQ258" s="50">
        <f t="shared" si="183"/>
        <v>0</v>
      </c>
      <c r="AR258" s="50">
        <f t="shared" si="183"/>
        <v>0</v>
      </c>
      <c r="AS258" s="50">
        <f t="shared" si="183"/>
        <v>0</v>
      </c>
      <c r="AT258" s="50">
        <f t="shared" si="183"/>
        <v>0</v>
      </c>
      <c r="AU258" s="50">
        <f t="shared" si="183"/>
        <v>0</v>
      </c>
    </row>
    <row r="259" spans="1:47">
      <c r="A259" s="38" t="str">
        <f>$J$4&amp;"-"</f>
        <v>2Y-</v>
      </c>
      <c r="B259" s="38" t="s">
        <v>289</v>
      </c>
      <c r="C259" s="38" t="str">
        <f>C249</f>
        <v>Drying/Gasification/Energy Recovery</v>
      </c>
      <c r="D259" s="186">
        <f>LaborEsc</f>
        <v>0.02</v>
      </c>
      <c r="E259" s="325"/>
      <c r="G259" s="36" t="s">
        <v>292</v>
      </c>
      <c r="I259" s="39"/>
      <c r="K259" s="39"/>
      <c r="L259" s="43" t="str">
        <f>"["&amp;CostBaseYr&amp;" $]"</f>
        <v>[2013 $]</v>
      </c>
      <c r="N259" s="70">
        <f ca="1">SUMIFS(OFFSET(Assumptions!$I$90,0,MATCH($A259,Configurations,0)-1,COUNT(Assumptions!$A$90:$A$183),1),Assumptions!$D$90:$D$183,$B259&amp;$C259)</f>
        <v>0</v>
      </c>
      <c r="O259" s="313"/>
      <c r="P259" s="323"/>
      <c r="Q259" s="313"/>
      <c r="R259" s="50">
        <f t="shared" ref="R259:AU259" ca="1" si="184">IF(OR(R$99&lt;InServiceYr,R$99&gt;(InServiceYr+analysis_period-1)),0,IF($P259=0,$N259,$P259)*(1+$D259)^(R$99-CostBaseYr))</f>
        <v>0</v>
      </c>
      <c r="S259" s="50">
        <f t="shared" ca="1" si="184"/>
        <v>0</v>
      </c>
      <c r="T259" s="50">
        <f t="shared" ca="1" si="184"/>
        <v>0</v>
      </c>
      <c r="U259" s="50">
        <f t="shared" ca="1" si="184"/>
        <v>0</v>
      </c>
      <c r="V259" s="50">
        <f t="shared" ca="1" si="184"/>
        <v>0</v>
      </c>
      <c r="W259" s="50">
        <f t="shared" ca="1" si="184"/>
        <v>0</v>
      </c>
      <c r="X259" s="50">
        <f t="shared" ca="1" si="184"/>
        <v>0</v>
      </c>
      <c r="Y259" s="50">
        <f t="shared" ca="1" si="184"/>
        <v>0</v>
      </c>
      <c r="Z259" s="50">
        <f t="shared" ca="1" si="184"/>
        <v>0</v>
      </c>
      <c r="AA259" s="50">
        <f t="shared" ca="1" si="184"/>
        <v>0</v>
      </c>
      <c r="AB259" s="50">
        <f t="shared" ca="1" si="184"/>
        <v>0</v>
      </c>
      <c r="AC259" s="50">
        <f t="shared" ca="1" si="184"/>
        <v>0</v>
      </c>
      <c r="AD259" s="50">
        <f t="shared" ca="1" si="184"/>
        <v>0</v>
      </c>
      <c r="AE259" s="50">
        <f t="shared" ca="1" si="184"/>
        <v>0</v>
      </c>
      <c r="AF259" s="50">
        <f t="shared" ca="1" si="184"/>
        <v>0</v>
      </c>
      <c r="AG259" s="50">
        <f t="shared" ca="1" si="184"/>
        <v>0</v>
      </c>
      <c r="AH259" s="50">
        <f t="shared" ca="1" si="184"/>
        <v>0</v>
      </c>
      <c r="AI259" s="50">
        <f t="shared" ca="1" si="184"/>
        <v>0</v>
      </c>
      <c r="AJ259" s="50">
        <f t="shared" ca="1" si="184"/>
        <v>0</v>
      </c>
      <c r="AK259" s="50">
        <f t="shared" ca="1" si="184"/>
        <v>0</v>
      </c>
      <c r="AL259" s="50">
        <f t="shared" si="184"/>
        <v>0</v>
      </c>
      <c r="AM259" s="50">
        <f t="shared" si="184"/>
        <v>0</v>
      </c>
      <c r="AN259" s="50">
        <f t="shared" si="184"/>
        <v>0</v>
      </c>
      <c r="AO259" s="50">
        <f t="shared" si="184"/>
        <v>0</v>
      </c>
      <c r="AP259" s="50">
        <f t="shared" si="184"/>
        <v>0</v>
      </c>
      <c r="AQ259" s="50">
        <f t="shared" si="184"/>
        <v>0</v>
      </c>
      <c r="AR259" s="50">
        <f t="shared" si="184"/>
        <v>0</v>
      </c>
      <c r="AS259" s="50">
        <f t="shared" si="184"/>
        <v>0</v>
      </c>
      <c r="AT259" s="50">
        <f t="shared" si="184"/>
        <v>0</v>
      </c>
      <c r="AU259" s="50">
        <f t="shared" si="184"/>
        <v>0</v>
      </c>
    </row>
    <row r="260" spans="1:47" s="60" customFormat="1">
      <c r="D260" s="187"/>
      <c r="E260" s="325"/>
      <c r="G260" s="39" t="s">
        <v>305</v>
      </c>
      <c r="I260" s="39"/>
      <c r="K260" s="39"/>
      <c r="L260" s="174"/>
      <c r="N260" s="188"/>
      <c r="O260" s="314"/>
      <c r="P260" s="185"/>
      <c r="Q260" s="314"/>
      <c r="R260" s="185">
        <f ca="1">SUM(R249:R256)-SUM(R258:R259)</f>
        <v>0</v>
      </c>
      <c r="S260" s="185">
        <f t="shared" ref="S260:AU260" ca="1" si="185">SUM(S249:S256)-SUM(S258:S259)</f>
        <v>0</v>
      </c>
      <c r="T260" s="185">
        <f t="shared" ca="1" si="185"/>
        <v>0</v>
      </c>
      <c r="U260" s="185">
        <f t="shared" ca="1" si="185"/>
        <v>0</v>
      </c>
      <c r="V260" s="185">
        <f t="shared" ca="1" si="185"/>
        <v>0</v>
      </c>
      <c r="W260" s="185">
        <f t="shared" ca="1" si="185"/>
        <v>0</v>
      </c>
      <c r="X260" s="185">
        <f t="shared" ca="1" si="185"/>
        <v>0</v>
      </c>
      <c r="Y260" s="185">
        <f t="shared" ca="1" si="185"/>
        <v>0</v>
      </c>
      <c r="Z260" s="185">
        <f t="shared" ca="1" si="185"/>
        <v>0</v>
      </c>
      <c r="AA260" s="185">
        <f t="shared" ca="1" si="185"/>
        <v>0</v>
      </c>
      <c r="AB260" s="185">
        <f t="shared" ca="1" si="185"/>
        <v>0</v>
      </c>
      <c r="AC260" s="185">
        <f t="shared" ca="1" si="185"/>
        <v>0</v>
      </c>
      <c r="AD260" s="185">
        <f t="shared" ca="1" si="185"/>
        <v>0</v>
      </c>
      <c r="AE260" s="185">
        <f t="shared" ca="1" si="185"/>
        <v>0</v>
      </c>
      <c r="AF260" s="185">
        <f t="shared" ca="1" si="185"/>
        <v>0</v>
      </c>
      <c r="AG260" s="185">
        <f t="shared" ca="1" si="185"/>
        <v>0</v>
      </c>
      <c r="AH260" s="185">
        <f t="shared" ca="1" si="185"/>
        <v>0</v>
      </c>
      <c r="AI260" s="185">
        <f t="shared" ca="1" si="185"/>
        <v>0</v>
      </c>
      <c r="AJ260" s="185">
        <f t="shared" ca="1" si="185"/>
        <v>0</v>
      </c>
      <c r="AK260" s="185">
        <f t="shared" ca="1" si="185"/>
        <v>0</v>
      </c>
      <c r="AL260" s="185">
        <f t="shared" si="185"/>
        <v>0</v>
      </c>
      <c r="AM260" s="185">
        <f t="shared" si="185"/>
        <v>0</v>
      </c>
      <c r="AN260" s="185">
        <f t="shared" si="185"/>
        <v>0</v>
      </c>
      <c r="AO260" s="185">
        <f t="shared" si="185"/>
        <v>0</v>
      </c>
      <c r="AP260" s="185">
        <f t="shared" si="185"/>
        <v>0</v>
      </c>
      <c r="AQ260" s="185">
        <f t="shared" si="185"/>
        <v>0</v>
      </c>
      <c r="AR260" s="185">
        <f t="shared" si="185"/>
        <v>0</v>
      </c>
      <c r="AS260" s="185">
        <f t="shared" si="185"/>
        <v>0</v>
      </c>
      <c r="AT260" s="185">
        <f t="shared" si="185"/>
        <v>0</v>
      </c>
      <c r="AU260" s="185">
        <f t="shared" si="185"/>
        <v>0</v>
      </c>
    </row>
    <row r="261" spans="1:47">
      <c r="E261" s="36"/>
      <c r="G261" s="39"/>
      <c r="H261" s="39"/>
      <c r="I261" s="39"/>
      <c r="J261" s="39"/>
      <c r="K261" s="39"/>
    </row>
    <row r="262" spans="1:47">
      <c r="E262" s="327"/>
      <c r="F262" s="28"/>
      <c r="G262" s="324" t="str">
        <f>C264&amp;" Capital Costs"</f>
        <v>Energy Recovery Capital Costs</v>
      </c>
      <c r="H262" s="324"/>
      <c r="I262" s="324"/>
      <c r="J262" s="324"/>
      <c r="K262" s="324"/>
      <c r="L262" s="405" t="s">
        <v>79</v>
      </c>
      <c r="M262" s="256"/>
      <c r="N262" s="325" t="s">
        <v>490</v>
      </c>
      <c r="O262" s="311"/>
      <c r="P262" s="325" t="s">
        <v>491</v>
      </c>
      <c r="Q262" s="310"/>
      <c r="R262" s="325">
        <f>R$8</f>
        <v>2014</v>
      </c>
      <c r="S262" s="325">
        <f t="shared" ref="S262:AU262" si="186">S$8</f>
        <v>2015</v>
      </c>
      <c r="T262" s="325">
        <f t="shared" si="186"/>
        <v>2016</v>
      </c>
      <c r="U262" s="325">
        <f t="shared" si="186"/>
        <v>2017</v>
      </c>
      <c r="V262" s="325">
        <f t="shared" si="186"/>
        <v>2018</v>
      </c>
      <c r="W262" s="325">
        <f t="shared" si="186"/>
        <v>2019</v>
      </c>
      <c r="X262" s="325">
        <f t="shared" si="186"/>
        <v>2020</v>
      </c>
      <c r="Y262" s="325">
        <f t="shared" si="186"/>
        <v>2021</v>
      </c>
      <c r="Z262" s="325">
        <f t="shared" si="186"/>
        <v>2022</v>
      </c>
      <c r="AA262" s="325">
        <f t="shared" si="186"/>
        <v>2023</v>
      </c>
      <c r="AB262" s="325">
        <f t="shared" si="186"/>
        <v>2024</v>
      </c>
      <c r="AC262" s="325">
        <f t="shared" si="186"/>
        <v>2025</v>
      </c>
      <c r="AD262" s="325">
        <f t="shared" si="186"/>
        <v>2026</v>
      </c>
      <c r="AE262" s="325">
        <f t="shared" si="186"/>
        <v>2027</v>
      </c>
      <c r="AF262" s="325">
        <f t="shared" si="186"/>
        <v>2028</v>
      </c>
      <c r="AG262" s="325">
        <f t="shared" si="186"/>
        <v>2029</v>
      </c>
      <c r="AH262" s="325">
        <f t="shared" si="186"/>
        <v>2030</v>
      </c>
      <c r="AI262" s="325">
        <f t="shared" si="186"/>
        <v>2031</v>
      </c>
      <c r="AJ262" s="325">
        <f t="shared" si="186"/>
        <v>2032</v>
      </c>
      <c r="AK262" s="325">
        <f t="shared" si="186"/>
        <v>2033</v>
      </c>
      <c r="AL262" s="325">
        <f t="shared" si="186"/>
        <v>2034</v>
      </c>
      <c r="AM262" s="325">
        <f t="shared" si="186"/>
        <v>2035</v>
      </c>
      <c r="AN262" s="325">
        <f t="shared" si="186"/>
        <v>2036</v>
      </c>
      <c r="AO262" s="325">
        <f t="shared" si="186"/>
        <v>2037</v>
      </c>
      <c r="AP262" s="325">
        <f t="shared" si="186"/>
        <v>2038</v>
      </c>
      <c r="AQ262" s="325">
        <f t="shared" si="186"/>
        <v>2039</v>
      </c>
      <c r="AR262" s="325">
        <f t="shared" si="186"/>
        <v>2040</v>
      </c>
      <c r="AS262" s="325">
        <f t="shared" si="186"/>
        <v>2041</v>
      </c>
      <c r="AT262" s="325">
        <f t="shared" si="186"/>
        <v>2042</v>
      </c>
      <c r="AU262" s="325">
        <f t="shared" si="186"/>
        <v>2043</v>
      </c>
    </row>
    <row r="263" spans="1:47">
      <c r="E263" s="325"/>
      <c r="G263" s="39"/>
      <c r="H263" s="39"/>
      <c r="I263" s="39"/>
      <c r="J263" s="39"/>
      <c r="K263" s="39"/>
    </row>
    <row r="264" spans="1:47">
      <c r="A264" s="38" t="str">
        <f>$J$4&amp;"-"</f>
        <v>2Y-</v>
      </c>
      <c r="B264" s="38" t="s">
        <v>306</v>
      </c>
      <c r="C264" s="38" t="s">
        <v>321</v>
      </c>
      <c r="D264" s="186">
        <f>CapExEsc</f>
        <v>0.03</v>
      </c>
      <c r="E264" s="325"/>
      <c r="G264" s="36" t="s">
        <v>8</v>
      </c>
      <c r="H264" s="39"/>
      <c r="I264" s="39"/>
      <c r="J264" s="70"/>
      <c r="K264" s="39"/>
      <c r="L264" s="43" t="str">
        <f>"["&amp;CostBaseYr&amp;" $]"</f>
        <v>[2013 $]</v>
      </c>
      <c r="N264" s="52">
        <f ca="1">SUMIFS(OFFSET(Assumptions!$I$65,0,MATCH($A264,Configurations,0)-1,COUNT(Assumptions!$A$65:$A$84),1),Assumptions!$E$65:$E$84,$C264)</f>
        <v>0</v>
      </c>
      <c r="O264" s="52"/>
      <c r="P264" s="322"/>
      <c r="Q264" s="52"/>
      <c r="R264" s="52">
        <f t="shared" ref="R264:AU264" ca="1" si="187">R265*IF($P264=0,$N264,$P264)*(1+$D264)^(R$8-CostBaseYr)</f>
        <v>0</v>
      </c>
      <c r="S264" s="52">
        <f t="shared" ca="1" si="187"/>
        <v>0</v>
      </c>
      <c r="T264" s="52">
        <f t="shared" ca="1" si="187"/>
        <v>0</v>
      </c>
      <c r="U264" s="52">
        <f t="shared" ca="1" si="187"/>
        <v>0</v>
      </c>
      <c r="V264" s="52">
        <f t="shared" ca="1" si="187"/>
        <v>0</v>
      </c>
      <c r="W264" s="52">
        <f t="shared" ca="1" si="187"/>
        <v>0</v>
      </c>
      <c r="X264" s="52">
        <f t="shared" ca="1" si="187"/>
        <v>0</v>
      </c>
      <c r="Y264" s="52">
        <f t="shared" ca="1" si="187"/>
        <v>0</v>
      </c>
      <c r="Z264" s="52">
        <f t="shared" ca="1" si="187"/>
        <v>0</v>
      </c>
      <c r="AA264" s="52">
        <f t="shared" ca="1" si="187"/>
        <v>0</v>
      </c>
      <c r="AB264" s="52">
        <f t="shared" ca="1" si="187"/>
        <v>0</v>
      </c>
      <c r="AC264" s="52">
        <f t="shared" ca="1" si="187"/>
        <v>0</v>
      </c>
      <c r="AD264" s="52">
        <f t="shared" ca="1" si="187"/>
        <v>0</v>
      </c>
      <c r="AE264" s="52">
        <f t="shared" ca="1" si="187"/>
        <v>0</v>
      </c>
      <c r="AF264" s="52">
        <f t="shared" ca="1" si="187"/>
        <v>0</v>
      </c>
      <c r="AG264" s="52">
        <f t="shared" ca="1" si="187"/>
        <v>0</v>
      </c>
      <c r="AH264" s="52">
        <f t="shared" ca="1" si="187"/>
        <v>0</v>
      </c>
      <c r="AI264" s="52">
        <f t="shared" ca="1" si="187"/>
        <v>0</v>
      </c>
      <c r="AJ264" s="52">
        <f t="shared" ca="1" si="187"/>
        <v>0</v>
      </c>
      <c r="AK264" s="52">
        <f t="shared" ca="1" si="187"/>
        <v>0</v>
      </c>
      <c r="AL264" s="52">
        <f t="shared" ca="1" si="187"/>
        <v>0</v>
      </c>
      <c r="AM264" s="52">
        <f t="shared" ca="1" si="187"/>
        <v>0</v>
      </c>
      <c r="AN264" s="52">
        <f t="shared" ca="1" si="187"/>
        <v>0</v>
      </c>
      <c r="AO264" s="52">
        <f t="shared" ca="1" si="187"/>
        <v>0</v>
      </c>
      <c r="AP264" s="52">
        <f t="shared" ca="1" si="187"/>
        <v>0</v>
      </c>
      <c r="AQ264" s="52">
        <f t="shared" ca="1" si="187"/>
        <v>0</v>
      </c>
      <c r="AR264" s="52">
        <f t="shared" ca="1" si="187"/>
        <v>0</v>
      </c>
      <c r="AS264" s="52">
        <f t="shared" ca="1" si="187"/>
        <v>0</v>
      </c>
      <c r="AT264" s="52">
        <f t="shared" ca="1" si="187"/>
        <v>0</v>
      </c>
      <c r="AU264" s="52">
        <f t="shared" ca="1" si="187"/>
        <v>0</v>
      </c>
    </row>
    <row r="265" spans="1:47">
      <c r="E265" s="325"/>
      <c r="G265" s="36" t="s">
        <v>10</v>
      </c>
      <c r="H265" s="39"/>
      <c r="I265" s="39"/>
      <c r="J265" s="39"/>
      <c r="K265" s="39"/>
      <c r="L265" s="43"/>
      <c r="R265" s="54">
        <f>Assumptions!M$60</f>
        <v>1</v>
      </c>
      <c r="S265" s="54">
        <f>Assumptions!N$60</f>
        <v>0</v>
      </c>
      <c r="T265" s="54">
        <f>Assumptions!O$60</f>
        <v>0</v>
      </c>
      <c r="U265" s="54">
        <f>Assumptions!P$60</f>
        <v>0</v>
      </c>
      <c r="V265" s="54">
        <f>Assumptions!Q$60</f>
        <v>0</v>
      </c>
      <c r="W265" s="54">
        <f>Assumptions!R$60</f>
        <v>0</v>
      </c>
      <c r="X265" s="54">
        <f>Assumptions!S$60</f>
        <v>0</v>
      </c>
      <c r="Y265" s="54">
        <f>Assumptions!T$60</f>
        <v>0</v>
      </c>
      <c r="Z265" s="54">
        <f>Assumptions!U$60</f>
        <v>0</v>
      </c>
      <c r="AA265" s="54">
        <f>Assumptions!V$60</f>
        <v>0</v>
      </c>
      <c r="AB265" s="54">
        <f>Assumptions!W$60</f>
        <v>0</v>
      </c>
      <c r="AC265" s="54">
        <f>Assumptions!X$60</f>
        <v>0</v>
      </c>
      <c r="AD265" s="54">
        <f>Assumptions!Y$60</f>
        <v>0</v>
      </c>
      <c r="AE265" s="54">
        <f>Assumptions!Z$60</f>
        <v>0</v>
      </c>
      <c r="AF265" s="54">
        <f>Assumptions!AA$60</f>
        <v>0</v>
      </c>
      <c r="AG265" s="54">
        <f>Assumptions!AB$60</f>
        <v>0</v>
      </c>
      <c r="AH265" s="54">
        <f>Assumptions!AC$60</f>
        <v>0</v>
      </c>
      <c r="AI265" s="54">
        <f>Assumptions!AD$60</f>
        <v>0</v>
      </c>
      <c r="AJ265" s="54">
        <f>Assumptions!AE$60</f>
        <v>0</v>
      </c>
      <c r="AK265" s="54">
        <f>Assumptions!AF$60</f>
        <v>0</v>
      </c>
      <c r="AL265" s="54">
        <f>Assumptions!AG$60</f>
        <v>0</v>
      </c>
      <c r="AM265" s="54">
        <f>Assumptions!AH$60</f>
        <v>0</v>
      </c>
      <c r="AN265" s="54">
        <f>Assumptions!AI$60</f>
        <v>0</v>
      </c>
      <c r="AO265" s="54">
        <f>Assumptions!AJ$60</f>
        <v>0</v>
      </c>
      <c r="AP265" s="54">
        <f>Assumptions!AK$60</f>
        <v>0</v>
      </c>
      <c r="AQ265" s="54">
        <f>Assumptions!AL$60</f>
        <v>0</v>
      </c>
      <c r="AR265" s="54">
        <f>Assumptions!AM$60</f>
        <v>0</v>
      </c>
      <c r="AS265" s="54">
        <f>Assumptions!AN$60</f>
        <v>0</v>
      </c>
      <c r="AT265" s="54">
        <f>Assumptions!AO$60</f>
        <v>0</v>
      </c>
      <c r="AU265" s="54">
        <f>Assumptions!AP$60</f>
        <v>0</v>
      </c>
    </row>
    <row r="266" spans="1:47">
      <c r="E266" s="326"/>
      <c r="G266" s="39"/>
      <c r="H266" s="39"/>
      <c r="I266" s="39"/>
      <c r="J266" s="39"/>
      <c r="K266" s="39"/>
    </row>
    <row r="267" spans="1:47">
      <c r="E267" s="327"/>
      <c r="F267" s="28"/>
      <c r="G267" s="324" t="str">
        <f>C264&amp;" O&amp;M"</f>
        <v>Energy Recovery O&amp;M</v>
      </c>
      <c r="H267" s="324"/>
      <c r="I267" s="324"/>
      <c r="J267" s="324"/>
      <c r="K267" s="324"/>
      <c r="L267" s="405" t="s">
        <v>79</v>
      </c>
      <c r="M267" s="256"/>
      <c r="N267" s="325" t="s">
        <v>490</v>
      </c>
      <c r="O267" s="311"/>
      <c r="P267" s="325" t="s">
        <v>491</v>
      </c>
      <c r="Q267" s="310"/>
      <c r="R267" s="325">
        <f>R$8</f>
        <v>2014</v>
      </c>
      <c r="S267" s="325">
        <f t="shared" ref="S267:AU267" si="188">S$8</f>
        <v>2015</v>
      </c>
      <c r="T267" s="325">
        <f t="shared" si="188"/>
        <v>2016</v>
      </c>
      <c r="U267" s="325">
        <f t="shared" si="188"/>
        <v>2017</v>
      </c>
      <c r="V267" s="325">
        <f t="shared" si="188"/>
        <v>2018</v>
      </c>
      <c r="W267" s="325">
        <f t="shared" si="188"/>
        <v>2019</v>
      </c>
      <c r="X267" s="325">
        <f t="shared" si="188"/>
        <v>2020</v>
      </c>
      <c r="Y267" s="325">
        <f t="shared" si="188"/>
        <v>2021</v>
      </c>
      <c r="Z267" s="325">
        <f t="shared" si="188"/>
        <v>2022</v>
      </c>
      <c r="AA267" s="325">
        <f t="shared" si="188"/>
        <v>2023</v>
      </c>
      <c r="AB267" s="325">
        <f t="shared" si="188"/>
        <v>2024</v>
      </c>
      <c r="AC267" s="325">
        <f t="shared" si="188"/>
        <v>2025</v>
      </c>
      <c r="AD267" s="325">
        <f t="shared" si="188"/>
        <v>2026</v>
      </c>
      <c r="AE267" s="325">
        <f t="shared" si="188"/>
        <v>2027</v>
      </c>
      <c r="AF267" s="325">
        <f t="shared" si="188"/>
        <v>2028</v>
      </c>
      <c r="AG267" s="325">
        <f t="shared" si="188"/>
        <v>2029</v>
      </c>
      <c r="AH267" s="325">
        <f t="shared" si="188"/>
        <v>2030</v>
      </c>
      <c r="AI267" s="325">
        <f t="shared" si="188"/>
        <v>2031</v>
      </c>
      <c r="AJ267" s="325">
        <f t="shared" si="188"/>
        <v>2032</v>
      </c>
      <c r="AK267" s="325">
        <f t="shared" si="188"/>
        <v>2033</v>
      </c>
      <c r="AL267" s="325">
        <f t="shared" si="188"/>
        <v>2034</v>
      </c>
      <c r="AM267" s="325">
        <f t="shared" si="188"/>
        <v>2035</v>
      </c>
      <c r="AN267" s="325">
        <f t="shared" si="188"/>
        <v>2036</v>
      </c>
      <c r="AO267" s="325">
        <f t="shared" si="188"/>
        <v>2037</v>
      </c>
      <c r="AP267" s="325">
        <f t="shared" si="188"/>
        <v>2038</v>
      </c>
      <c r="AQ267" s="325">
        <f t="shared" si="188"/>
        <v>2039</v>
      </c>
      <c r="AR267" s="325">
        <f t="shared" si="188"/>
        <v>2040</v>
      </c>
      <c r="AS267" s="325">
        <f t="shared" si="188"/>
        <v>2041</v>
      </c>
      <c r="AT267" s="325">
        <f t="shared" si="188"/>
        <v>2042</v>
      </c>
      <c r="AU267" s="325">
        <f t="shared" si="188"/>
        <v>2043</v>
      </c>
    </row>
    <row r="268" spans="1:47">
      <c r="E268" s="325"/>
      <c r="G268" s="39"/>
      <c r="H268" s="39"/>
      <c r="I268" s="39"/>
      <c r="J268" s="39"/>
      <c r="K268" s="39"/>
    </row>
    <row r="269" spans="1:47">
      <c r="E269" s="325"/>
      <c r="G269" s="39" t="s">
        <v>23</v>
      </c>
      <c r="H269" s="39"/>
      <c r="I269" s="39"/>
      <c r="J269" s="39"/>
      <c r="K269" s="39"/>
    </row>
    <row r="270" spans="1:47">
      <c r="A270" s="38" t="str">
        <f t="shared" ref="A270:A277" si="189">$J$4&amp;"-"</f>
        <v>2Y-</v>
      </c>
      <c r="B270" s="38" t="s">
        <v>262</v>
      </c>
      <c r="C270" s="38" t="str">
        <f>C264</f>
        <v>Energy Recovery</v>
      </c>
      <c r="D270" s="186">
        <f>LaborEsc</f>
        <v>0.02</v>
      </c>
      <c r="E270" s="325"/>
      <c r="G270" s="36" t="s">
        <v>125</v>
      </c>
      <c r="I270" s="39"/>
      <c r="K270" s="39"/>
      <c r="L270" s="43" t="s">
        <v>266</v>
      </c>
      <c r="N270" s="70">
        <f ca="1">SUMIFS(OFFSET(Assumptions!$I$90,0,MATCH($A270,Configurations,0)-1,COUNT(Assumptions!$A$90:$A$183),1),Assumptions!$D$90:$D$183,$B270&amp;$C270)</f>
        <v>0</v>
      </c>
      <c r="O270" s="313"/>
      <c r="P270" s="323"/>
      <c r="Q270" s="313"/>
      <c r="R270" s="50">
        <f t="shared" ref="R270:AU270" ca="1" si="190">IF(OR(R$99&lt;InServiceYr,R$99&gt;(InServiceYr+analysis_period-1)),0,IF($P270=0,$N270,$P270)*LaborCost*(1+$D270)^(R$99-CostBaseYr))</f>
        <v>0</v>
      </c>
      <c r="S270" s="50">
        <f t="shared" ca="1" si="190"/>
        <v>0</v>
      </c>
      <c r="T270" s="50">
        <f t="shared" ca="1" si="190"/>
        <v>0</v>
      </c>
      <c r="U270" s="50">
        <f t="shared" ca="1" si="190"/>
        <v>0</v>
      </c>
      <c r="V270" s="50">
        <f t="shared" ca="1" si="190"/>
        <v>0</v>
      </c>
      <c r="W270" s="50">
        <f t="shared" ca="1" si="190"/>
        <v>0</v>
      </c>
      <c r="X270" s="50">
        <f t="shared" ca="1" si="190"/>
        <v>0</v>
      </c>
      <c r="Y270" s="50">
        <f t="shared" ca="1" si="190"/>
        <v>0</v>
      </c>
      <c r="Z270" s="50">
        <f t="shared" ca="1" si="190"/>
        <v>0</v>
      </c>
      <c r="AA270" s="50">
        <f t="shared" ca="1" si="190"/>
        <v>0</v>
      </c>
      <c r="AB270" s="50">
        <f t="shared" ca="1" si="190"/>
        <v>0</v>
      </c>
      <c r="AC270" s="50">
        <f t="shared" ca="1" si="190"/>
        <v>0</v>
      </c>
      <c r="AD270" s="50">
        <f t="shared" ca="1" si="190"/>
        <v>0</v>
      </c>
      <c r="AE270" s="50">
        <f t="shared" ca="1" si="190"/>
        <v>0</v>
      </c>
      <c r="AF270" s="50">
        <f t="shared" ca="1" si="190"/>
        <v>0</v>
      </c>
      <c r="AG270" s="50">
        <f t="shared" ca="1" si="190"/>
        <v>0</v>
      </c>
      <c r="AH270" s="50">
        <f t="shared" ca="1" si="190"/>
        <v>0</v>
      </c>
      <c r="AI270" s="50">
        <f t="shared" ca="1" si="190"/>
        <v>0</v>
      </c>
      <c r="AJ270" s="50">
        <f t="shared" ca="1" si="190"/>
        <v>0</v>
      </c>
      <c r="AK270" s="50">
        <f t="shared" ca="1" si="190"/>
        <v>0</v>
      </c>
      <c r="AL270" s="50">
        <f t="shared" si="190"/>
        <v>0</v>
      </c>
      <c r="AM270" s="50">
        <f t="shared" si="190"/>
        <v>0</v>
      </c>
      <c r="AN270" s="50">
        <f t="shared" si="190"/>
        <v>0</v>
      </c>
      <c r="AO270" s="50">
        <f t="shared" si="190"/>
        <v>0</v>
      </c>
      <c r="AP270" s="50">
        <f t="shared" si="190"/>
        <v>0</v>
      </c>
      <c r="AQ270" s="50">
        <f t="shared" si="190"/>
        <v>0</v>
      </c>
      <c r="AR270" s="50">
        <f t="shared" si="190"/>
        <v>0</v>
      </c>
      <c r="AS270" s="50">
        <f t="shared" si="190"/>
        <v>0</v>
      </c>
      <c r="AT270" s="50">
        <f t="shared" si="190"/>
        <v>0</v>
      </c>
      <c r="AU270" s="50">
        <f t="shared" si="190"/>
        <v>0</v>
      </c>
    </row>
    <row r="271" spans="1:47">
      <c r="A271" s="38" t="str">
        <f t="shared" si="189"/>
        <v>2Y-</v>
      </c>
      <c r="B271" s="38" t="s">
        <v>270</v>
      </c>
      <c r="C271" s="38" t="str">
        <f>C270</f>
        <v>Energy Recovery</v>
      </c>
      <c r="D271" s="186">
        <f>OMEsc</f>
        <v>0.02</v>
      </c>
      <c r="E271" s="325"/>
      <c r="G271" s="36" t="s">
        <v>126</v>
      </c>
      <c r="I271" s="39"/>
      <c r="K271" s="39"/>
      <c r="L271" s="43" t="str">
        <f>"["&amp;CostBaseYr&amp;" $]"</f>
        <v>[2013 $]</v>
      </c>
      <c r="N271" s="70">
        <f ca="1">SUMIFS(OFFSET(Assumptions!$I$90,0,MATCH($A271,Configurations,0)-1,COUNT(Assumptions!$A$90:$A$183),1),Assumptions!$D$90:$D$183,$B271&amp;$C271)</f>
        <v>0</v>
      </c>
      <c r="O271" s="313"/>
      <c r="P271" s="323"/>
      <c r="Q271" s="313"/>
      <c r="R271" s="50">
        <f t="shared" ref="R271:AG273" ca="1" si="191">IF(OR(R$99&lt;InServiceYr,R$99&gt;(InServiceYr+analysis_period-1)),0,IF($P271=0,$N271,$P271)*(1+$D271)^(R$99-CostBaseYr))</f>
        <v>0</v>
      </c>
      <c r="S271" s="50">
        <f t="shared" ca="1" si="191"/>
        <v>0</v>
      </c>
      <c r="T271" s="50">
        <f t="shared" ca="1" si="191"/>
        <v>0</v>
      </c>
      <c r="U271" s="50">
        <f t="shared" ca="1" si="191"/>
        <v>0</v>
      </c>
      <c r="V271" s="50">
        <f t="shared" ca="1" si="191"/>
        <v>0</v>
      </c>
      <c r="W271" s="50">
        <f t="shared" ca="1" si="191"/>
        <v>0</v>
      </c>
      <c r="X271" s="50">
        <f t="shared" ca="1" si="191"/>
        <v>0</v>
      </c>
      <c r="Y271" s="50">
        <f t="shared" ca="1" si="191"/>
        <v>0</v>
      </c>
      <c r="Z271" s="50">
        <f t="shared" ca="1" si="191"/>
        <v>0</v>
      </c>
      <c r="AA271" s="50">
        <f t="shared" ca="1" si="191"/>
        <v>0</v>
      </c>
      <c r="AB271" s="50">
        <f t="shared" ca="1" si="191"/>
        <v>0</v>
      </c>
      <c r="AC271" s="50">
        <f t="shared" ca="1" si="191"/>
        <v>0</v>
      </c>
      <c r="AD271" s="50">
        <f t="shared" ca="1" si="191"/>
        <v>0</v>
      </c>
      <c r="AE271" s="50">
        <f t="shared" ca="1" si="191"/>
        <v>0</v>
      </c>
      <c r="AF271" s="50">
        <f t="shared" ca="1" si="191"/>
        <v>0</v>
      </c>
      <c r="AG271" s="50">
        <f t="shared" ca="1" si="191"/>
        <v>0</v>
      </c>
      <c r="AH271" s="50">
        <f t="shared" ref="S271:AU273" ca="1" si="192">IF(OR(AH$99&lt;InServiceYr,AH$99&gt;(InServiceYr+analysis_period-1)),0,IF($P271=0,$N271,$P271)*(1+$D271)^(AH$99-CostBaseYr))</f>
        <v>0</v>
      </c>
      <c r="AI271" s="50">
        <f t="shared" ca="1" si="192"/>
        <v>0</v>
      </c>
      <c r="AJ271" s="50">
        <f t="shared" ca="1" si="192"/>
        <v>0</v>
      </c>
      <c r="AK271" s="50">
        <f t="shared" ca="1" si="192"/>
        <v>0</v>
      </c>
      <c r="AL271" s="50">
        <f t="shared" si="192"/>
        <v>0</v>
      </c>
      <c r="AM271" s="50">
        <f t="shared" si="192"/>
        <v>0</v>
      </c>
      <c r="AN271" s="50">
        <f t="shared" si="192"/>
        <v>0</v>
      </c>
      <c r="AO271" s="50">
        <f t="shared" si="192"/>
        <v>0</v>
      </c>
      <c r="AP271" s="50">
        <f t="shared" si="192"/>
        <v>0</v>
      </c>
      <c r="AQ271" s="50">
        <f t="shared" si="192"/>
        <v>0</v>
      </c>
      <c r="AR271" s="50">
        <f t="shared" si="192"/>
        <v>0</v>
      </c>
      <c r="AS271" s="50">
        <f t="shared" si="192"/>
        <v>0</v>
      </c>
      <c r="AT271" s="50">
        <f t="shared" si="192"/>
        <v>0</v>
      </c>
      <c r="AU271" s="50">
        <f t="shared" si="192"/>
        <v>0</v>
      </c>
    </row>
    <row r="272" spans="1:47">
      <c r="A272" s="38" t="str">
        <f t="shared" si="189"/>
        <v>2Y-</v>
      </c>
      <c r="B272" s="38" t="s">
        <v>263</v>
      </c>
      <c r="C272" s="38" t="str">
        <f t="shared" ref="C272:C276" si="193">C271</f>
        <v>Energy Recovery</v>
      </c>
      <c r="D272" s="186">
        <f>OMEsc</f>
        <v>0.02</v>
      </c>
      <c r="E272" s="325"/>
      <c r="G272" s="36" t="s">
        <v>127</v>
      </c>
      <c r="I272" s="39"/>
      <c r="K272" s="39"/>
      <c r="L272" s="43" t="str">
        <f>"["&amp;CostBaseYr&amp;" $]"</f>
        <v>[2013 $]</v>
      </c>
      <c r="N272" s="70">
        <f ca="1">SUMIFS(OFFSET(Assumptions!$I$90,0,MATCH($A272,Configurations,0)-1,COUNT(Assumptions!$A$90:$A$183),1),Assumptions!$D$90:$D$183,$B272&amp;$C272)</f>
        <v>0</v>
      </c>
      <c r="O272" s="313"/>
      <c r="P272" s="323"/>
      <c r="Q272" s="313"/>
      <c r="R272" s="50">
        <f t="shared" ca="1" si="191"/>
        <v>0</v>
      </c>
      <c r="S272" s="50">
        <f t="shared" ca="1" si="192"/>
        <v>0</v>
      </c>
      <c r="T272" s="50">
        <f t="shared" ca="1" si="192"/>
        <v>0</v>
      </c>
      <c r="U272" s="50">
        <f t="shared" ca="1" si="192"/>
        <v>0</v>
      </c>
      <c r="V272" s="50">
        <f t="shared" ca="1" si="192"/>
        <v>0</v>
      </c>
      <c r="W272" s="50">
        <f t="shared" ca="1" si="192"/>
        <v>0</v>
      </c>
      <c r="X272" s="50">
        <f t="shared" ca="1" si="192"/>
        <v>0</v>
      </c>
      <c r="Y272" s="50">
        <f t="shared" ca="1" si="192"/>
        <v>0</v>
      </c>
      <c r="Z272" s="50">
        <f t="shared" ca="1" si="192"/>
        <v>0</v>
      </c>
      <c r="AA272" s="50">
        <f t="shared" ca="1" si="192"/>
        <v>0</v>
      </c>
      <c r="AB272" s="50">
        <f t="shared" ca="1" si="192"/>
        <v>0</v>
      </c>
      <c r="AC272" s="50">
        <f t="shared" ca="1" si="192"/>
        <v>0</v>
      </c>
      <c r="AD272" s="50">
        <f t="shared" ca="1" si="192"/>
        <v>0</v>
      </c>
      <c r="AE272" s="50">
        <f t="shared" ca="1" si="192"/>
        <v>0</v>
      </c>
      <c r="AF272" s="50">
        <f t="shared" ca="1" si="192"/>
        <v>0</v>
      </c>
      <c r="AG272" s="50">
        <f t="shared" ca="1" si="192"/>
        <v>0</v>
      </c>
      <c r="AH272" s="50">
        <f t="shared" ca="1" si="192"/>
        <v>0</v>
      </c>
      <c r="AI272" s="50">
        <f t="shared" ca="1" si="192"/>
        <v>0</v>
      </c>
      <c r="AJ272" s="50">
        <f t="shared" ca="1" si="192"/>
        <v>0</v>
      </c>
      <c r="AK272" s="50">
        <f t="shared" ca="1" si="192"/>
        <v>0</v>
      </c>
      <c r="AL272" s="50">
        <f t="shared" si="192"/>
        <v>0</v>
      </c>
      <c r="AM272" s="50">
        <f t="shared" si="192"/>
        <v>0</v>
      </c>
      <c r="AN272" s="50">
        <f t="shared" si="192"/>
        <v>0</v>
      </c>
      <c r="AO272" s="50">
        <f t="shared" si="192"/>
        <v>0</v>
      </c>
      <c r="AP272" s="50">
        <f t="shared" si="192"/>
        <v>0</v>
      </c>
      <c r="AQ272" s="50">
        <f t="shared" si="192"/>
        <v>0</v>
      </c>
      <c r="AR272" s="50">
        <f t="shared" si="192"/>
        <v>0</v>
      </c>
      <c r="AS272" s="50">
        <f t="shared" si="192"/>
        <v>0</v>
      </c>
      <c r="AT272" s="50">
        <f t="shared" si="192"/>
        <v>0</v>
      </c>
      <c r="AU272" s="50">
        <f t="shared" si="192"/>
        <v>0</v>
      </c>
    </row>
    <row r="273" spans="1:47">
      <c r="A273" s="38" t="str">
        <f t="shared" si="189"/>
        <v>2Y-</v>
      </c>
      <c r="B273" s="38" t="s">
        <v>277</v>
      </c>
      <c r="C273" s="38" t="str">
        <f t="shared" si="193"/>
        <v>Energy Recovery</v>
      </c>
      <c r="D273" s="186">
        <f>OMEsc</f>
        <v>0.02</v>
      </c>
      <c r="E273" s="325"/>
      <c r="G273" s="36" t="s">
        <v>276</v>
      </c>
      <c r="I273" s="39"/>
      <c r="K273" s="39"/>
      <c r="L273" s="43" t="str">
        <f>"["&amp;CostBaseYr&amp;" $]"</f>
        <v>[2013 $]</v>
      </c>
      <c r="N273" s="70">
        <f ca="1">SUMIFS(OFFSET(Assumptions!$I$90,0,MATCH($A273,Configurations,0)-1,COUNT(Assumptions!$A$90:$A$183),1),Assumptions!$D$90:$D$183,$B273&amp;$C273)</f>
        <v>0</v>
      </c>
      <c r="O273" s="313"/>
      <c r="P273" s="323"/>
      <c r="Q273" s="313"/>
      <c r="R273" s="50">
        <f t="shared" ca="1" si="191"/>
        <v>0</v>
      </c>
      <c r="S273" s="50">
        <f t="shared" ca="1" si="192"/>
        <v>0</v>
      </c>
      <c r="T273" s="50">
        <f t="shared" ca="1" si="192"/>
        <v>0</v>
      </c>
      <c r="U273" s="50">
        <f t="shared" ca="1" si="192"/>
        <v>0</v>
      </c>
      <c r="V273" s="50">
        <f t="shared" ca="1" si="192"/>
        <v>0</v>
      </c>
      <c r="W273" s="50">
        <f t="shared" ca="1" si="192"/>
        <v>0</v>
      </c>
      <c r="X273" s="50">
        <f t="shared" ca="1" si="192"/>
        <v>0</v>
      </c>
      <c r="Y273" s="50">
        <f t="shared" ca="1" si="192"/>
        <v>0</v>
      </c>
      <c r="Z273" s="50">
        <f t="shared" ca="1" si="192"/>
        <v>0</v>
      </c>
      <c r="AA273" s="50">
        <f t="shared" ca="1" si="192"/>
        <v>0</v>
      </c>
      <c r="AB273" s="50">
        <f t="shared" ca="1" si="192"/>
        <v>0</v>
      </c>
      <c r="AC273" s="50">
        <f t="shared" ca="1" si="192"/>
        <v>0</v>
      </c>
      <c r="AD273" s="50">
        <f t="shared" ca="1" si="192"/>
        <v>0</v>
      </c>
      <c r="AE273" s="50">
        <f t="shared" ca="1" si="192"/>
        <v>0</v>
      </c>
      <c r="AF273" s="50">
        <f t="shared" ca="1" si="192"/>
        <v>0</v>
      </c>
      <c r="AG273" s="50">
        <f t="shared" ca="1" si="192"/>
        <v>0</v>
      </c>
      <c r="AH273" s="50">
        <f t="shared" ca="1" si="192"/>
        <v>0</v>
      </c>
      <c r="AI273" s="50">
        <f t="shared" ca="1" si="192"/>
        <v>0</v>
      </c>
      <c r="AJ273" s="50">
        <f t="shared" ca="1" si="192"/>
        <v>0</v>
      </c>
      <c r="AK273" s="50">
        <f t="shared" ca="1" si="192"/>
        <v>0</v>
      </c>
      <c r="AL273" s="50">
        <f t="shared" si="192"/>
        <v>0</v>
      </c>
      <c r="AM273" s="50">
        <f t="shared" si="192"/>
        <v>0</v>
      </c>
      <c r="AN273" s="50">
        <f t="shared" si="192"/>
        <v>0</v>
      </c>
      <c r="AO273" s="50">
        <f t="shared" si="192"/>
        <v>0</v>
      </c>
      <c r="AP273" s="50">
        <f t="shared" si="192"/>
        <v>0</v>
      </c>
      <c r="AQ273" s="50">
        <f t="shared" si="192"/>
        <v>0</v>
      </c>
      <c r="AR273" s="50">
        <f t="shared" si="192"/>
        <v>0</v>
      </c>
      <c r="AS273" s="50">
        <f t="shared" si="192"/>
        <v>0</v>
      </c>
      <c r="AT273" s="50">
        <f t="shared" si="192"/>
        <v>0</v>
      </c>
      <c r="AU273" s="50">
        <f t="shared" si="192"/>
        <v>0</v>
      </c>
    </row>
    <row r="274" spans="1:47">
      <c r="A274" s="38" t="str">
        <f t="shared" si="189"/>
        <v>2Y-</v>
      </c>
      <c r="B274" s="38" t="s">
        <v>274</v>
      </c>
      <c r="C274" s="38" t="str">
        <f t="shared" si="193"/>
        <v>Energy Recovery</v>
      </c>
      <c r="D274" s="186"/>
      <c r="E274" s="325"/>
      <c r="G274" s="36" t="s">
        <v>16</v>
      </c>
      <c r="I274" s="39"/>
      <c r="K274" s="39"/>
      <c r="L274" s="43" t="s">
        <v>275</v>
      </c>
      <c r="N274" s="70">
        <f ca="1">SUMIFS(OFFSET(Assumptions!$I$90,0,MATCH($A274,Configurations,0)-1,COUNT(Assumptions!$A$90:$A$183),1),Assumptions!$D$90:$D$183,$B274&amp;$C274)</f>
        <v>0</v>
      </c>
      <c r="O274" s="313"/>
      <c r="P274" s="323"/>
      <c r="Q274" s="313"/>
      <c r="R274" s="50">
        <f t="shared" ref="R274:AU274" ca="1" si="194">IF(OR(R$99&lt;InServiceYr,R$99&gt;(InServiceYr+analysis_period-1)),0,IF($P274=0,$N274,$P274)*R$505)</f>
        <v>0</v>
      </c>
      <c r="S274" s="50">
        <f t="shared" ca="1" si="194"/>
        <v>0</v>
      </c>
      <c r="T274" s="50">
        <f t="shared" ca="1" si="194"/>
        <v>0</v>
      </c>
      <c r="U274" s="50">
        <f t="shared" ca="1" si="194"/>
        <v>0</v>
      </c>
      <c r="V274" s="50">
        <f t="shared" ca="1" si="194"/>
        <v>0</v>
      </c>
      <c r="W274" s="50">
        <f t="shared" ca="1" si="194"/>
        <v>0</v>
      </c>
      <c r="X274" s="50">
        <f t="shared" ca="1" si="194"/>
        <v>0</v>
      </c>
      <c r="Y274" s="50">
        <f t="shared" ca="1" si="194"/>
        <v>0</v>
      </c>
      <c r="Z274" s="50">
        <f t="shared" ca="1" si="194"/>
        <v>0</v>
      </c>
      <c r="AA274" s="50">
        <f t="shared" ca="1" si="194"/>
        <v>0</v>
      </c>
      <c r="AB274" s="50">
        <f t="shared" ca="1" si="194"/>
        <v>0</v>
      </c>
      <c r="AC274" s="50">
        <f t="shared" ca="1" si="194"/>
        <v>0</v>
      </c>
      <c r="AD274" s="50">
        <f t="shared" ca="1" si="194"/>
        <v>0</v>
      </c>
      <c r="AE274" s="50">
        <f t="shared" ca="1" si="194"/>
        <v>0</v>
      </c>
      <c r="AF274" s="50">
        <f t="shared" ca="1" si="194"/>
        <v>0</v>
      </c>
      <c r="AG274" s="50">
        <f t="shared" ca="1" si="194"/>
        <v>0</v>
      </c>
      <c r="AH274" s="50">
        <f t="shared" ca="1" si="194"/>
        <v>0</v>
      </c>
      <c r="AI274" s="50">
        <f t="shared" ca="1" si="194"/>
        <v>0</v>
      </c>
      <c r="AJ274" s="50">
        <f t="shared" ca="1" si="194"/>
        <v>0</v>
      </c>
      <c r="AK274" s="50">
        <f t="shared" ca="1" si="194"/>
        <v>0</v>
      </c>
      <c r="AL274" s="50">
        <f t="shared" si="194"/>
        <v>0</v>
      </c>
      <c r="AM274" s="50">
        <f t="shared" si="194"/>
        <v>0</v>
      </c>
      <c r="AN274" s="50">
        <f t="shared" si="194"/>
        <v>0</v>
      </c>
      <c r="AO274" s="50">
        <f t="shared" si="194"/>
        <v>0</v>
      </c>
      <c r="AP274" s="50">
        <f t="shared" si="194"/>
        <v>0</v>
      </c>
      <c r="AQ274" s="50">
        <f t="shared" si="194"/>
        <v>0</v>
      </c>
      <c r="AR274" s="50">
        <f t="shared" si="194"/>
        <v>0</v>
      </c>
      <c r="AS274" s="50">
        <f t="shared" si="194"/>
        <v>0</v>
      </c>
      <c r="AT274" s="50">
        <f t="shared" si="194"/>
        <v>0</v>
      </c>
      <c r="AU274" s="50">
        <f t="shared" si="194"/>
        <v>0</v>
      </c>
    </row>
    <row r="275" spans="1:47">
      <c r="A275" s="38" t="str">
        <f t="shared" si="189"/>
        <v>2Y-</v>
      </c>
      <c r="B275" s="38" t="s">
        <v>257</v>
      </c>
      <c r="C275" s="38" t="str">
        <f t="shared" si="193"/>
        <v>Energy Recovery</v>
      </c>
      <c r="D275" s="186"/>
      <c r="E275" s="325"/>
      <c r="G275" s="36" t="s">
        <v>284</v>
      </c>
      <c r="I275" s="39"/>
      <c r="K275" s="39"/>
      <c r="L275" s="43" t="s">
        <v>293</v>
      </c>
      <c r="N275" s="70">
        <f ca="1">SUMIFS(OFFSET(Assumptions!$I$90,0,MATCH($A275,Configurations,0)-1,COUNT(Assumptions!$A$90:$A$183),1),Assumptions!$D$90:$D$183,$B275&amp;$C275)</f>
        <v>0</v>
      </c>
      <c r="O275" s="313"/>
      <c r="P275" s="323"/>
      <c r="Q275" s="313"/>
      <c r="R275" s="50">
        <f t="shared" ref="R275:AU275" ca="1" si="195">IF(OR(R$99&lt;InServiceYr,R$99&gt;(InServiceYr+analysis_period-1)),0,IF($P275=0,$N275,$P275)*R$501)</f>
        <v>0</v>
      </c>
      <c r="S275" s="50">
        <f t="shared" ca="1" si="195"/>
        <v>0</v>
      </c>
      <c r="T275" s="50">
        <f t="shared" ca="1" si="195"/>
        <v>0</v>
      </c>
      <c r="U275" s="50">
        <f t="shared" ca="1" si="195"/>
        <v>0</v>
      </c>
      <c r="V275" s="50">
        <f t="shared" ca="1" si="195"/>
        <v>0</v>
      </c>
      <c r="W275" s="50">
        <f t="shared" ca="1" si="195"/>
        <v>0</v>
      </c>
      <c r="X275" s="50">
        <f t="shared" ca="1" si="195"/>
        <v>0</v>
      </c>
      <c r="Y275" s="50">
        <f t="shared" ca="1" si="195"/>
        <v>0</v>
      </c>
      <c r="Z275" s="50">
        <f t="shared" ca="1" si="195"/>
        <v>0</v>
      </c>
      <c r="AA275" s="50">
        <f t="shared" ca="1" si="195"/>
        <v>0</v>
      </c>
      <c r="AB275" s="50">
        <f t="shared" ca="1" si="195"/>
        <v>0</v>
      </c>
      <c r="AC275" s="50">
        <f t="shared" ca="1" si="195"/>
        <v>0</v>
      </c>
      <c r="AD275" s="50">
        <f t="shared" ca="1" si="195"/>
        <v>0</v>
      </c>
      <c r="AE275" s="50">
        <f t="shared" ca="1" si="195"/>
        <v>0</v>
      </c>
      <c r="AF275" s="50">
        <f t="shared" ca="1" si="195"/>
        <v>0</v>
      </c>
      <c r="AG275" s="50">
        <f t="shared" ca="1" si="195"/>
        <v>0</v>
      </c>
      <c r="AH275" s="50">
        <f t="shared" ca="1" si="195"/>
        <v>0</v>
      </c>
      <c r="AI275" s="50">
        <f t="shared" ca="1" si="195"/>
        <v>0</v>
      </c>
      <c r="AJ275" s="50">
        <f t="shared" ca="1" si="195"/>
        <v>0</v>
      </c>
      <c r="AK275" s="50">
        <f t="shared" ca="1" si="195"/>
        <v>0</v>
      </c>
      <c r="AL275" s="50">
        <f t="shared" si="195"/>
        <v>0</v>
      </c>
      <c r="AM275" s="50">
        <f t="shared" si="195"/>
        <v>0</v>
      </c>
      <c r="AN275" s="50">
        <f t="shared" si="195"/>
        <v>0</v>
      </c>
      <c r="AO275" s="50">
        <f t="shared" si="195"/>
        <v>0</v>
      </c>
      <c r="AP275" s="50">
        <f t="shared" si="195"/>
        <v>0</v>
      </c>
      <c r="AQ275" s="50">
        <f t="shared" si="195"/>
        <v>0</v>
      </c>
      <c r="AR275" s="50">
        <f t="shared" si="195"/>
        <v>0</v>
      </c>
      <c r="AS275" s="50">
        <f t="shared" si="195"/>
        <v>0</v>
      </c>
      <c r="AT275" s="50">
        <f t="shared" si="195"/>
        <v>0</v>
      </c>
      <c r="AU275" s="50">
        <f t="shared" si="195"/>
        <v>0</v>
      </c>
    </row>
    <row r="276" spans="1:47">
      <c r="A276" s="38" t="str">
        <f t="shared" si="189"/>
        <v>2Y-</v>
      </c>
      <c r="B276" s="38" t="s">
        <v>864</v>
      </c>
      <c r="C276" s="38" t="str">
        <f t="shared" si="193"/>
        <v>Energy Recovery</v>
      </c>
      <c r="D276" s="186">
        <f>GHGEsc</f>
        <v>0.02</v>
      </c>
      <c r="E276" s="325"/>
      <c r="G276" s="36" t="s">
        <v>865</v>
      </c>
      <c r="I276" s="39"/>
      <c r="K276" s="39"/>
      <c r="L276" s="43" t="s">
        <v>866</v>
      </c>
      <c r="N276" s="70">
        <f ca="1">SUMIFS(OFFSET(Assumptions!$I$90,0,MATCH($A276,Configurations,0)-1,COUNT(Assumptions!$A$90:$A$183),1),Assumptions!$D$90:$D$183,$B276&amp;$C276)</f>
        <v>0</v>
      </c>
      <c r="O276" s="313"/>
      <c r="P276" s="323"/>
      <c r="Q276" s="313"/>
      <c r="R276" s="50">
        <f t="shared" ref="R276:AU276" ca="1" si="196">IF(OR(R$99&lt;InServiceYr,R$99&gt;(InServiceYr+analysis_period-1)),0,IF($P276=0,$N276,$P276)*R$513)</f>
        <v>0</v>
      </c>
      <c r="S276" s="50">
        <f t="shared" ca="1" si="196"/>
        <v>0</v>
      </c>
      <c r="T276" s="50">
        <f t="shared" ca="1" si="196"/>
        <v>0</v>
      </c>
      <c r="U276" s="50">
        <f t="shared" ca="1" si="196"/>
        <v>0</v>
      </c>
      <c r="V276" s="50">
        <f t="shared" ca="1" si="196"/>
        <v>0</v>
      </c>
      <c r="W276" s="50">
        <f t="shared" ca="1" si="196"/>
        <v>0</v>
      </c>
      <c r="X276" s="50">
        <f t="shared" ca="1" si="196"/>
        <v>0</v>
      </c>
      <c r="Y276" s="50">
        <f t="shared" ca="1" si="196"/>
        <v>0</v>
      </c>
      <c r="Z276" s="50">
        <f t="shared" ca="1" si="196"/>
        <v>0</v>
      </c>
      <c r="AA276" s="50">
        <f t="shared" ca="1" si="196"/>
        <v>0</v>
      </c>
      <c r="AB276" s="50">
        <f t="shared" ca="1" si="196"/>
        <v>0</v>
      </c>
      <c r="AC276" s="50">
        <f t="shared" ca="1" si="196"/>
        <v>0</v>
      </c>
      <c r="AD276" s="50">
        <f t="shared" ca="1" si="196"/>
        <v>0</v>
      </c>
      <c r="AE276" s="50">
        <f t="shared" ca="1" si="196"/>
        <v>0</v>
      </c>
      <c r="AF276" s="50">
        <f t="shared" ca="1" si="196"/>
        <v>0</v>
      </c>
      <c r="AG276" s="50">
        <f t="shared" ca="1" si="196"/>
        <v>0</v>
      </c>
      <c r="AH276" s="50">
        <f t="shared" ca="1" si="196"/>
        <v>0</v>
      </c>
      <c r="AI276" s="50">
        <f t="shared" ca="1" si="196"/>
        <v>0</v>
      </c>
      <c r="AJ276" s="50">
        <f t="shared" ca="1" si="196"/>
        <v>0</v>
      </c>
      <c r="AK276" s="50">
        <f t="shared" ca="1" si="196"/>
        <v>0</v>
      </c>
      <c r="AL276" s="50">
        <f t="shared" si="196"/>
        <v>0</v>
      </c>
      <c r="AM276" s="50">
        <f t="shared" si="196"/>
        <v>0</v>
      </c>
      <c r="AN276" s="50">
        <f t="shared" si="196"/>
        <v>0</v>
      </c>
      <c r="AO276" s="50">
        <f t="shared" si="196"/>
        <v>0</v>
      </c>
      <c r="AP276" s="50">
        <f t="shared" si="196"/>
        <v>0</v>
      </c>
      <c r="AQ276" s="50">
        <f t="shared" si="196"/>
        <v>0</v>
      </c>
      <c r="AR276" s="50">
        <f t="shared" si="196"/>
        <v>0</v>
      </c>
      <c r="AS276" s="50">
        <f t="shared" si="196"/>
        <v>0</v>
      </c>
      <c r="AT276" s="50">
        <f t="shared" si="196"/>
        <v>0</v>
      </c>
      <c r="AU276" s="50">
        <f t="shared" si="196"/>
        <v>0</v>
      </c>
    </row>
    <row r="277" spans="1:47">
      <c r="A277" s="38" t="str">
        <f t="shared" si="189"/>
        <v>2Y-</v>
      </c>
      <c r="B277" s="38" t="s">
        <v>273</v>
      </c>
      <c r="C277" s="38" t="str">
        <f>C275</f>
        <v>Energy Recovery</v>
      </c>
      <c r="D277" s="186">
        <f>LaborEsc</f>
        <v>0.02</v>
      </c>
      <c r="E277" s="325"/>
      <c r="G277" s="36" t="s">
        <v>291</v>
      </c>
      <c r="I277" s="39"/>
      <c r="K277" s="39"/>
      <c r="L277" s="43" t="str">
        <f>"["&amp;CostBaseYr&amp;" $]"</f>
        <v>[2013 $]</v>
      </c>
      <c r="N277" s="70">
        <f ca="1">SUMIFS(OFFSET(Assumptions!$I$90,0,MATCH($A277,Configurations,0)-1,COUNT(Assumptions!$A$90:$A$183),1),Assumptions!$D$90:$D$183,$B277&amp;$C277)</f>
        <v>0</v>
      </c>
      <c r="O277" s="313"/>
      <c r="P277" s="323"/>
      <c r="Q277" s="313"/>
      <c r="R277" s="50">
        <f t="shared" ref="R277:AU277" ca="1" si="197">IF(OR(R$99&lt;InServiceYr,R$99&gt;(InServiceYr+analysis_period-1)),0,IF($P277=0,$N277,$P277)*(1+$D277)^(R$99-CostBaseYr))*R$509</f>
        <v>0</v>
      </c>
      <c r="S277" s="50">
        <f t="shared" ca="1" si="197"/>
        <v>0</v>
      </c>
      <c r="T277" s="50">
        <f t="shared" ca="1" si="197"/>
        <v>0</v>
      </c>
      <c r="U277" s="50">
        <f t="shared" ca="1" si="197"/>
        <v>0</v>
      </c>
      <c r="V277" s="50">
        <f t="shared" ca="1" si="197"/>
        <v>0</v>
      </c>
      <c r="W277" s="50">
        <f t="shared" ca="1" si="197"/>
        <v>0</v>
      </c>
      <c r="X277" s="50">
        <f t="shared" ca="1" si="197"/>
        <v>0</v>
      </c>
      <c r="Y277" s="50">
        <f t="shared" ca="1" si="197"/>
        <v>0</v>
      </c>
      <c r="Z277" s="50">
        <f t="shared" ca="1" si="197"/>
        <v>0</v>
      </c>
      <c r="AA277" s="50">
        <f t="shared" ca="1" si="197"/>
        <v>0</v>
      </c>
      <c r="AB277" s="50">
        <f t="shared" ca="1" si="197"/>
        <v>0</v>
      </c>
      <c r="AC277" s="50">
        <f t="shared" ca="1" si="197"/>
        <v>0</v>
      </c>
      <c r="AD277" s="50">
        <f t="shared" ca="1" si="197"/>
        <v>0</v>
      </c>
      <c r="AE277" s="50">
        <f t="shared" ca="1" si="197"/>
        <v>0</v>
      </c>
      <c r="AF277" s="50">
        <f t="shared" ca="1" si="197"/>
        <v>0</v>
      </c>
      <c r="AG277" s="50">
        <f t="shared" ca="1" si="197"/>
        <v>0</v>
      </c>
      <c r="AH277" s="50">
        <f t="shared" ca="1" si="197"/>
        <v>0</v>
      </c>
      <c r="AI277" s="50">
        <f t="shared" ca="1" si="197"/>
        <v>0</v>
      </c>
      <c r="AJ277" s="50">
        <f t="shared" ca="1" si="197"/>
        <v>0</v>
      </c>
      <c r="AK277" s="50">
        <f t="shared" ca="1" si="197"/>
        <v>0</v>
      </c>
      <c r="AL277" s="50">
        <f t="shared" si="197"/>
        <v>0</v>
      </c>
      <c r="AM277" s="50">
        <f t="shared" si="197"/>
        <v>0</v>
      </c>
      <c r="AN277" s="50">
        <f t="shared" si="197"/>
        <v>0</v>
      </c>
      <c r="AO277" s="50">
        <f t="shared" si="197"/>
        <v>0</v>
      </c>
      <c r="AP277" s="50">
        <f t="shared" si="197"/>
        <v>0</v>
      </c>
      <c r="AQ277" s="50">
        <f t="shared" si="197"/>
        <v>0</v>
      </c>
      <c r="AR277" s="50">
        <f t="shared" si="197"/>
        <v>0</v>
      </c>
      <c r="AS277" s="50">
        <f t="shared" si="197"/>
        <v>0</v>
      </c>
      <c r="AT277" s="50">
        <f t="shared" si="197"/>
        <v>0</v>
      </c>
      <c r="AU277" s="50">
        <f t="shared" si="197"/>
        <v>0</v>
      </c>
    </row>
    <row r="278" spans="1:47">
      <c r="D278" s="186"/>
      <c r="E278" s="325"/>
      <c r="G278" s="39" t="s">
        <v>304</v>
      </c>
      <c r="I278" s="39"/>
      <c r="K278" s="39"/>
      <c r="L278" s="43"/>
      <c r="N278" s="70"/>
      <c r="O278" s="313"/>
      <c r="P278" s="70"/>
      <c r="Q278" s="313"/>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row>
    <row r="279" spans="1:47">
      <c r="A279" s="38" t="str">
        <f>$J$4&amp;"-"</f>
        <v>2Y-</v>
      </c>
      <c r="B279" s="38" t="s">
        <v>265</v>
      </c>
      <c r="C279" s="38" t="str">
        <f>C270</f>
        <v>Energy Recovery</v>
      </c>
      <c r="D279" s="186"/>
      <c r="E279" s="325"/>
      <c r="G279" s="36" t="s">
        <v>108</v>
      </c>
      <c r="I279" s="39"/>
      <c r="K279" s="39"/>
      <c r="L279" s="43" t="s">
        <v>293</v>
      </c>
      <c r="N279" s="70">
        <f ca="1">SUMIFS(OFFSET(Assumptions!$I$90,0,MATCH($A279,Configurations,0)-1,COUNT(Assumptions!$A$90:$A$183),1),Assumptions!$D$90:$D$183,$B279&amp;$C279)</f>
        <v>0</v>
      </c>
      <c r="O279" s="313"/>
      <c r="P279" s="323"/>
      <c r="Q279" s="313"/>
      <c r="R279" s="50">
        <f t="shared" ref="R279:AU279" ca="1" si="198">IF(OR(R$99&lt;InServiceYr,R$99&gt;(InServiceYr+analysis_period-1)),0,IF($P279=0,$N279,$P279)*R$501)</f>
        <v>0</v>
      </c>
      <c r="S279" s="50">
        <f t="shared" ca="1" si="198"/>
        <v>0</v>
      </c>
      <c r="T279" s="50">
        <f t="shared" ca="1" si="198"/>
        <v>0</v>
      </c>
      <c r="U279" s="50">
        <f t="shared" ca="1" si="198"/>
        <v>0</v>
      </c>
      <c r="V279" s="50">
        <f t="shared" ca="1" si="198"/>
        <v>0</v>
      </c>
      <c r="W279" s="50">
        <f t="shared" ca="1" si="198"/>
        <v>0</v>
      </c>
      <c r="X279" s="50">
        <f t="shared" ca="1" si="198"/>
        <v>0</v>
      </c>
      <c r="Y279" s="50">
        <f t="shared" ca="1" si="198"/>
        <v>0</v>
      </c>
      <c r="Z279" s="50">
        <f t="shared" ca="1" si="198"/>
        <v>0</v>
      </c>
      <c r="AA279" s="50">
        <f t="shared" ca="1" si="198"/>
        <v>0</v>
      </c>
      <c r="AB279" s="50">
        <f t="shared" ca="1" si="198"/>
        <v>0</v>
      </c>
      <c r="AC279" s="50">
        <f t="shared" ca="1" si="198"/>
        <v>0</v>
      </c>
      <c r="AD279" s="50">
        <f t="shared" ca="1" si="198"/>
        <v>0</v>
      </c>
      <c r="AE279" s="50">
        <f t="shared" ca="1" si="198"/>
        <v>0</v>
      </c>
      <c r="AF279" s="50">
        <f t="shared" ca="1" si="198"/>
        <v>0</v>
      </c>
      <c r="AG279" s="50">
        <f t="shared" ca="1" si="198"/>
        <v>0</v>
      </c>
      <c r="AH279" s="50">
        <f t="shared" ca="1" si="198"/>
        <v>0</v>
      </c>
      <c r="AI279" s="50">
        <f t="shared" ca="1" si="198"/>
        <v>0</v>
      </c>
      <c r="AJ279" s="50">
        <f t="shared" ca="1" si="198"/>
        <v>0</v>
      </c>
      <c r="AK279" s="50">
        <f t="shared" ca="1" si="198"/>
        <v>0</v>
      </c>
      <c r="AL279" s="50">
        <f t="shared" si="198"/>
        <v>0</v>
      </c>
      <c r="AM279" s="50">
        <f t="shared" si="198"/>
        <v>0</v>
      </c>
      <c r="AN279" s="50">
        <f t="shared" si="198"/>
        <v>0</v>
      </c>
      <c r="AO279" s="50">
        <f t="shared" si="198"/>
        <v>0</v>
      </c>
      <c r="AP279" s="50">
        <f t="shared" si="198"/>
        <v>0</v>
      </c>
      <c r="AQ279" s="50">
        <f t="shared" si="198"/>
        <v>0</v>
      </c>
      <c r="AR279" s="50">
        <f t="shared" si="198"/>
        <v>0</v>
      </c>
      <c r="AS279" s="50">
        <f t="shared" si="198"/>
        <v>0</v>
      </c>
      <c r="AT279" s="50">
        <f t="shared" si="198"/>
        <v>0</v>
      </c>
      <c r="AU279" s="50">
        <f t="shared" si="198"/>
        <v>0</v>
      </c>
    </row>
    <row r="280" spans="1:47">
      <c r="A280" s="38" t="str">
        <f>$J$4&amp;"-"</f>
        <v>2Y-</v>
      </c>
      <c r="B280" s="38" t="s">
        <v>289</v>
      </c>
      <c r="C280" s="38" t="str">
        <f>C270</f>
        <v>Energy Recovery</v>
      </c>
      <c r="D280" s="186">
        <f>LaborEsc</f>
        <v>0.02</v>
      </c>
      <c r="E280" s="325"/>
      <c r="G280" s="36" t="s">
        <v>292</v>
      </c>
      <c r="I280" s="39"/>
      <c r="K280" s="39"/>
      <c r="L280" s="43" t="str">
        <f>"["&amp;CostBaseYr&amp;" $]"</f>
        <v>[2013 $]</v>
      </c>
      <c r="N280" s="70">
        <f ca="1">SUMIFS(OFFSET(Assumptions!$I$90,0,MATCH($A280,Configurations,0)-1,COUNT(Assumptions!$A$90:$A$183),1),Assumptions!$D$90:$D$183,$B280&amp;$C280)</f>
        <v>0</v>
      </c>
      <c r="O280" s="313"/>
      <c r="P280" s="323"/>
      <c r="Q280" s="313"/>
      <c r="R280" s="50">
        <f t="shared" ref="R280:AU280" ca="1" si="199">IF(OR(R$99&lt;InServiceYr,R$99&gt;(InServiceYr+analysis_period-1)),0,IF($P280=0,$N280,$P280)*(1+$D280)^(R$99-CostBaseYr))</f>
        <v>0</v>
      </c>
      <c r="S280" s="50">
        <f t="shared" ca="1" si="199"/>
        <v>0</v>
      </c>
      <c r="T280" s="50">
        <f t="shared" ca="1" si="199"/>
        <v>0</v>
      </c>
      <c r="U280" s="50">
        <f t="shared" ca="1" si="199"/>
        <v>0</v>
      </c>
      <c r="V280" s="50">
        <f t="shared" ca="1" si="199"/>
        <v>0</v>
      </c>
      <c r="W280" s="50">
        <f t="shared" ca="1" si="199"/>
        <v>0</v>
      </c>
      <c r="X280" s="50">
        <f t="shared" ca="1" si="199"/>
        <v>0</v>
      </c>
      <c r="Y280" s="50">
        <f t="shared" ca="1" si="199"/>
        <v>0</v>
      </c>
      <c r="Z280" s="50">
        <f t="shared" ca="1" si="199"/>
        <v>0</v>
      </c>
      <c r="AA280" s="50">
        <f t="shared" ca="1" si="199"/>
        <v>0</v>
      </c>
      <c r="AB280" s="50">
        <f t="shared" ca="1" si="199"/>
        <v>0</v>
      </c>
      <c r="AC280" s="50">
        <f t="shared" ca="1" si="199"/>
        <v>0</v>
      </c>
      <c r="AD280" s="50">
        <f t="shared" ca="1" si="199"/>
        <v>0</v>
      </c>
      <c r="AE280" s="50">
        <f t="shared" ca="1" si="199"/>
        <v>0</v>
      </c>
      <c r="AF280" s="50">
        <f t="shared" ca="1" si="199"/>
        <v>0</v>
      </c>
      <c r="AG280" s="50">
        <f t="shared" ca="1" si="199"/>
        <v>0</v>
      </c>
      <c r="AH280" s="50">
        <f t="shared" ca="1" si="199"/>
        <v>0</v>
      </c>
      <c r="AI280" s="50">
        <f t="shared" ca="1" si="199"/>
        <v>0</v>
      </c>
      <c r="AJ280" s="50">
        <f t="shared" ca="1" si="199"/>
        <v>0</v>
      </c>
      <c r="AK280" s="50">
        <f t="shared" ca="1" si="199"/>
        <v>0</v>
      </c>
      <c r="AL280" s="50">
        <f t="shared" si="199"/>
        <v>0</v>
      </c>
      <c r="AM280" s="50">
        <f t="shared" si="199"/>
        <v>0</v>
      </c>
      <c r="AN280" s="50">
        <f t="shared" si="199"/>
        <v>0</v>
      </c>
      <c r="AO280" s="50">
        <f t="shared" si="199"/>
        <v>0</v>
      </c>
      <c r="AP280" s="50">
        <f t="shared" si="199"/>
        <v>0</v>
      </c>
      <c r="AQ280" s="50">
        <f t="shared" si="199"/>
        <v>0</v>
      </c>
      <c r="AR280" s="50">
        <f t="shared" si="199"/>
        <v>0</v>
      </c>
      <c r="AS280" s="50">
        <f t="shared" si="199"/>
        <v>0</v>
      </c>
      <c r="AT280" s="50">
        <f t="shared" si="199"/>
        <v>0</v>
      </c>
      <c r="AU280" s="50">
        <f t="shared" si="199"/>
        <v>0</v>
      </c>
    </row>
    <row r="281" spans="1:47" s="60" customFormat="1">
      <c r="D281" s="187"/>
      <c r="E281" s="325"/>
      <c r="G281" s="39" t="s">
        <v>305</v>
      </c>
      <c r="I281" s="39"/>
      <c r="K281" s="39"/>
      <c r="L281" s="174"/>
      <c r="N281" s="188"/>
      <c r="O281" s="314"/>
      <c r="P281" s="185"/>
      <c r="Q281" s="314"/>
      <c r="R281" s="185">
        <f ca="1">SUM(R270:R277)-SUM(R279:R280)</f>
        <v>0</v>
      </c>
      <c r="S281" s="185">
        <f t="shared" ref="S281:AU281" ca="1" si="200">SUM(S270:S277)-SUM(S279:S280)</f>
        <v>0</v>
      </c>
      <c r="T281" s="185">
        <f t="shared" ca="1" si="200"/>
        <v>0</v>
      </c>
      <c r="U281" s="185">
        <f t="shared" ca="1" si="200"/>
        <v>0</v>
      </c>
      <c r="V281" s="185">
        <f t="shared" ca="1" si="200"/>
        <v>0</v>
      </c>
      <c r="W281" s="185">
        <f t="shared" ca="1" si="200"/>
        <v>0</v>
      </c>
      <c r="X281" s="185">
        <f t="shared" ca="1" si="200"/>
        <v>0</v>
      </c>
      <c r="Y281" s="185">
        <f t="shared" ca="1" si="200"/>
        <v>0</v>
      </c>
      <c r="Z281" s="185">
        <f t="shared" ca="1" si="200"/>
        <v>0</v>
      </c>
      <c r="AA281" s="185">
        <f t="shared" ca="1" si="200"/>
        <v>0</v>
      </c>
      <c r="AB281" s="185">
        <f t="shared" ca="1" si="200"/>
        <v>0</v>
      </c>
      <c r="AC281" s="185">
        <f t="shared" ca="1" si="200"/>
        <v>0</v>
      </c>
      <c r="AD281" s="185">
        <f t="shared" ca="1" si="200"/>
        <v>0</v>
      </c>
      <c r="AE281" s="185">
        <f t="shared" ca="1" si="200"/>
        <v>0</v>
      </c>
      <c r="AF281" s="185">
        <f t="shared" ca="1" si="200"/>
        <v>0</v>
      </c>
      <c r="AG281" s="185">
        <f t="shared" ca="1" si="200"/>
        <v>0</v>
      </c>
      <c r="AH281" s="185">
        <f t="shared" ca="1" si="200"/>
        <v>0</v>
      </c>
      <c r="AI281" s="185">
        <f t="shared" ca="1" si="200"/>
        <v>0</v>
      </c>
      <c r="AJ281" s="185">
        <f t="shared" ca="1" si="200"/>
        <v>0</v>
      </c>
      <c r="AK281" s="185">
        <f t="shared" ca="1" si="200"/>
        <v>0</v>
      </c>
      <c r="AL281" s="185">
        <f t="shared" si="200"/>
        <v>0</v>
      </c>
      <c r="AM281" s="185">
        <f t="shared" si="200"/>
        <v>0</v>
      </c>
      <c r="AN281" s="185">
        <f t="shared" si="200"/>
        <v>0</v>
      </c>
      <c r="AO281" s="185">
        <f t="shared" si="200"/>
        <v>0</v>
      </c>
      <c r="AP281" s="185">
        <f t="shared" si="200"/>
        <v>0</v>
      </c>
      <c r="AQ281" s="185">
        <f t="shared" si="200"/>
        <v>0</v>
      </c>
      <c r="AR281" s="185">
        <f t="shared" si="200"/>
        <v>0</v>
      </c>
      <c r="AS281" s="185">
        <f t="shared" si="200"/>
        <v>0</v>
      </c>
      <c r="AT281" s="185">
        <f t="shared" si="200"/>
        <v>0</v>
      </c>
      <c r="AU281" s="185">
        <f t="shared" si="200"/>
        <v>0</v>
      </c>
    </row>
    <row r="282" spans="1:47">
      <c r="E282" s="36"/>
      <c r="G282" s="39"/>
      <c r="H282" s="39"/>
      <c r="I282" s="39"/>
      <c r="J282" s="39"/>
      <c r="K282" s="39"/>
    </row>
    <row r="283" spans="1:47">
      <c r="E283" s="327"/>
      <c r="F283" s="28"/>
      <c r="G283" s="324" t="str">
        <f>C285&amp;" Capital Costs"</f>
        <v>Fluid Bed Incineration Capital Costs</v>
      </c>
      <c r="H283" s="324"/>
      <c r="I283" s="324"/>
      <c r="J283" s="324"/>
      <c r="K283" s="324"/>
      <c r="L283" s="405" t="s">
        <v>79</v>
      </c>
      <c r="M283" s="256"/>
      <c r="N283" s="325" t="s">
        <v>490</v>
      </c>
      <c r="O283" s="311"/>
      <c r="P283" s="325" t="s">
        <v>491</v>
      </c>
      <c r="Q283" s="310"/>
      <c r="R283" s="325">
        <f>R$8</f>
        <v>2014</v>
      </c>
      <c r="S283" s="325">
        <f t="shared" ref="S283:AU283" si="201">S$8</f>
        <v>2015</v>
      </c>
      <c r="T283" s="325">
        <f t="shared" si="201"/>
        <v>2016</v>
      </c>
      <c r="U283" s="325">
        <f t="shared" si="201"/>
        <v>2017</v>
      </c>
      <c r="V283" s="325">
        <f t="shared" si="201"/>
        <v>2018</v>
      </c>
      <c r="W283" s="325">
        <f t="shared" si="201"/>
        <v>2019</v>
      </c>
      <c r="X283" s="325">
        <f t="shared" si="201"/>
        <v>2020</v>
      </c>
      <c r="Y283" s="325">
        <f t="shared" si="201"/>
        <v>2021</v>
      </c>
      <c r="Z283" s="325">
        <f t="shared" si="201"/>
        <v>2022</v>
      </c>
      <c r="AA283" s="325">
        <f t="shared" si="201"/>
        <v>2023</v>
      </c>
      <c r="AB283" s="325">
        <f t="shared" si="201"/>
        <v>2024</v>
      </c>
      <c r="AC283" s="325">
        <f t="shared" si="201"/>
        <v>2025</v>
      </c>
      <c r="AD283" s="325">
        <f t="shared" si="201"/>
        <v>2026</v>
      </c>
      <c r="AE283" s="325">
        <f t="shared" si="201"/>
        <v>2027</v>
      </c>
      <c r="AF283" s="325">
        <f t="shared" si="201"/>
        <v>2028</v>
      </c>
      <c r="AG283" s="325">
        <f t="shared" si="201"/>
        <v>2029</v>
      </c>
      <c r="AH283" s="325">
        <f t="shared" si="201"/>
        <v>2030</v>
      </c>
      <c r="AI283" s="325">
        <f t="shared" si="201"/>
        <v>2031</v>
      </c>
      <c r="AJ283" s="325">
        <f t="shared" si="201"/>
        <v>2032</v>
      </c>
      <c r="AK283" s="325">
        <f t="shared" si="201"/>
        <v>2033</v>
      </c>
      <c r="AL283" s="325">
        <f t="shared" si="201"/>
        <v>2034</v>
      </c>
      <c r="AM283" s="325">
        <f t="shared" si="201"/>
        <v>2035</v>
      </c>
      <c r="AN283" s="325">
        <f t="shared" si="201"/>
        <v>2036</v>
      </c>
      <c r="AO283" s="325">
        <f t="shared" si="201"/>
        <v>2037</v>
      </c>
      <c r="AP283" s="325">
        <f t="shared" si="201"/>
        <v>2038</v>
      </c>
      <c r="AQ283" s="325">
        <f t="shared" si="201"/>
        <v>2039</v>
      </c>
      <c r="AR283" s="325">
        <f t="shared" si="201"/>
        <v>2040</v>
      </c>
      <c r="AS283" s="325">
        <f t="shared" si="201"/>
        <v>2041</v>
      </c>
      <c r="AT283" s="325">
        <f t="shared" si="201"/>
        <v>2042</v>
      </c>
      <c r="AU283" s="325">
        <f t="shared" si="201"/>
        <v>2043</v>
      </c>
    </row>
    <row r="284" spans="1:47">
      <c r="E284" s="325"/>
      <c r="G284" s="39"/>
      <c r="H284" s="39"/>
      <c r="I284" s="39"/>
      <c r="J284" s="39"/>
      <c r="K284" s="39"/>
    </row>
    <row r="285" spans="1:47">
      <c r="A285" s="38" t="str">
        <f>$J$4&amp;"-"</f>
        <v>2Y-</v>
      </c>
      <c r="B285" s="38" t="s">
        <v>306</v>
      </c>
      <c r="C285" s="38" t="s">
        <v>160</v>
      </c>
      <c r="D285" s="186">
        <f>CapExEsc</f>
        <v>0.03</v>
      </c>
      <c r="E285" s="325"/>
      <c r="G285" s="36" t="s">
        <v>8</v>
      </c>
      <c r="H285" s="39"/>
      <c r="I285" s="39"/>
      <c r="J285" s="70"/>
      <c r="K285" s="39"/>
      <c r="L285" s="43" t="str">
        <f>"["&amp;CostBaseYr&amp;" $]"</f>
        <v>[2013 $]</v>
      </c>
      <c r="N285" s="52">
        <f ca="1">SUMIFS(OFFSET(Assumptions!$I$65,0,MATCH($A285,Configurations,0)-1,COUNT(Assumptions!$A$65:$A$84),1),Assumptions!$E$65:$E$84,$C285)</f>
        <v>0</v>
      </c>
      <c r="O285" s="52"/>
      <c r="P285" s="322"/>
      <c r="Q285" s="52"/>
      <c r="R285" s="52">
        <f t="shared" ref="R285:AU285" ca="1" si="202">R286*IF($P285=0,$N285,$P285)*(1+$D285)^(R$8-CostBaseYr)</f>
        <v>0</v>
      </c>
      <c r="S285" s="52">
        <f t="shared" ca="1" si="202"/>
        <v>0</v>
      </c>
      <c r="T285" s="52">
        <f t="shared" ca="1" si="202"/>
        <v>0</v>
      </c>
      <c r="U285" s="52">
        <f t="shared" ca="1" si="202"/>
        <v>0</v>
      </c>
      <c r="V285" s="52">
        <f t="shared" ca="1" si="202"/>
        <v>0</v>
      </c>
      <c r="W285" s="52">
        <f t="shared" ca="1" si="202"/>
        <v>0</v>
      </c>
      <c r="X285" s="52">
        <f t="shared" ca="1" si="202"/>
        <v>0</v>
      </c>
      <c r="Y285" s="52">
        <f t="shared" ca="1" si="202"/>
        <v>0</v>
      </c>
      <c r="Z285" s="52">
        <f t="shared" ca="1" si="202"/>
        <v>0</v>
      </c>
      <c r="AA285" s="52">
        <f t="shared" ca="1" si="202"/>
        <v>0</v>
      </c>
      <c r="AB285" s="52">
        <f t="shared" ca="1" si="202"/>
        <v>0</v>
      </c>
      <c r="AC285" s="52">
        <f t="shared" ca="1" si="202"/>
        <v>0</v>
      </c>
      <c r="AD285" s="52">
        <f t="shared" ca="1" si="202"/>
        <v>0</v>
      </c>
      <c r="AE285" s="52">
        <f t="shared" ca="1" si="202"/>
        <v>0</v>
      </c>
      <c r="AF285" s="52">
        <f t="shared" ca="1" si="202"/>
        <v>0</v>
      </c>
      <c r="AG285" s="52">
        <f t="shared" ca="1" si="202"/>
        <v>0</v>
      </c>
      <c r="AH285" s="52">
        <f t="shared" ca="1" si="202"/>
        <v>0</v>
      </c>
      <c r="AI285" s="52">
        <f t="shared" ca="1" si="202"/>
        <v>0</v>
      </c>
      <c r="AJ285" s="52">
        <f t="shared" ca="1" si="202"/>
        <v>0</v>
      </c>
      <c r="AK285" s="52">
        <f t="shared" ca="1" si="202"/>
        <v>0</v>
      </c>
      <c r="AL285" s="52">
        <f t="shared" ca="1" si="202"/>
        <v>0</v>
      </c>
      <c r="AM285" s="52">
        <f t="shared" ca="1" si="202"/>
        <v>0</v>
      </c>
      <c r="AN285" s="52">
        <f t="shared" ca="1" si="202"/>
        <v>0</v>
      </c>
      <c r="AO285" s="52">
        <f t="shared" ca="1" si="202"/>
        <v>0</v>
      </c>
      <c r="AP285" s="52">
        <f t="shared" ca="1" si="202"/>
        <v>0</v>
      </c>
      <c r="AQ285" s="52">
        <f t="shared" ca="1" si="202"/>
        <v>0</v>
      </c>
      <c r="AR285" s="52">
        <f t="shared" ca="1" si="202"/>
        <v>0</v>
      </c>
      <c r="AS285" s="52">
        <f t="shared" ca="1" si="202"/>
        <v>0</v>
      </c>
      <c r="AT285" s="52">
        <f t="shared" ca="1" si="202"/>
        <v>0</v>
      </c>
      <c r="AU285" s="52">
        <f t="shared" ca="1" si="202"/>
        <v>0</v>
      </c>
    </row>
    <row r="286" spans="1:47">
      <c r="E286" s="325"/>
      <c r="G286" s="36" t="s">
        <v>10</v>
      </c>
      <c r="H286" s="39"/>
      <c r="I286" s="39"/>
      <c r="J286" s="39"/>
      <c r="K286" s="39"/>
      <c r="L286" s="43"/>
      <c r="R286" s="54">
        <f>Assumptions!M$60</f>
        <v>1</v>
      </c>
      <c r="S286" s="54">
        <f>Assumptions!N$60</f>
        <v>0</v>
      </c>
      <c r="T286" s="54">
        <f>Assumptions!O$60</f>
        <v>0</v>
      </c>
      <c r="U286" s="54">
        <f>Assumptions!P$60</f>
        <v>0</v>
      </c>
      <c r="V286" s="54">
        <f>Assumptions!Q$60</f>
        <v>0</v>
      </c>
      <c r="W286" s="54">
        <f>Assumptions!R$60</f>
        <v>0</v>
      </c>
      <c r="X286" s="54">
        <f>Assumptions!S$60</f>
        <v>0</v>
      </c>
      <c r="Y286" s="54">
        <f>Assumptions!T$60</f>
        <v>0</v>
      </c>
      <c r="Z286" s="54">
        <f>Assumptions!U$60</f>
        <v>0</v>
      </c>
      <c r="AA286" s="54">
        <f>Assumptions!V$60</f>
        <v>0</v>
      </c>
      <c r="AB286" s="54">
        <f>Assumptions!W$60</f>
        <v>0</v>
      </c>
      <c r="AC286" s="54">
        <f>Assumptions!X$60</f>
        <v>0</v>
      </c>
      <c r="AD286" s="54">
        <f>Assumptions!Y$60</f>
        <v>0</v>
      </c>
      <c r="AE286" s="54">
        <f>Assumptions!Z$60</f>
        <v>0</v>
      </c>
      <c r="AF286" s="54">
        <f>Assumptions!AA$60</f>
        <v>0</v>
      </c>
      <c r="AG286" s="54">
        <f>Assumptions!AB$60</f>
        <v>0</v>
      </c>
      <c r="AH286" s="54">
        <f>Assumptions!AC$60</f>
        <v>0</v>
      </c>
      <c r="AI286" s="54">
        <f>Assumptions!AD$60</f>
        <v>0</v>
      </c>
      <c r="AJ286" s="54">
        <f>Assumptions!AE$60</f>
        <v>0</v>
      </c>
      <c r="AK286" s="54">
        <f>Assumptions!AF$60</f>
        <v>0</v>
      </c>
      <c r="AL286" s="54">
        <f>Assumptions!AG$60</f>
        <v>0</v>
      </c>
      <c r="AM286" s="54">
        <f>Assumptions!AH$60</f>
        <v>0</v>
      </c>
      <c r="AN286" s="54">
        <f>Assumptions!AI$60</f>
        <v>0</v>
      </c>
      <c r="AO286" s="54">
        <f>Assumptions!AJ$60</f>
        <v>0</v>
      </c>
      <c r="AP286" s="54">
        <f>Assumptions!AK$60</f>
        <v>0</v>
      </c>
      <c r="AQ286" s="54">
        <f>Assumptions!AL$60</f>
        <v>0</v>
      </c>
      <c r="AR286" s="54">
        <f>Assumptions!AM$60</f>
        <v>0</v>
      </c>
      <c r="AS286" s="54">
        <f>Assumptions!AN$60</f>
        <v>0</v>
      </c>
      <c r="AT286" s="54">
        <f>Assumptions!AO$60</f>
        <v>0</v>
      </c>
      <c r="AU286" s="54">
        <f>Assumptions!AP$60</f>
        <v>0</v>
      </c>
    </row>
    <row r="287" spans="1:47">
      <c r="E287" s="326"/>
      <c r="G287" s="39"/>
      <c r="H287" s="39"/>
      <c r="I287" s="39"/>
      <c r="J287" s="39"/>
      <c r="K287" s="39"/>
    </row>
    <row r="288" spans="1:47">
      <c r="E288" s="327"/>
      <c r="F288" s="28"/>
      <c r="G288" s="324" t="str">
        <f>C285&amp;" O&amp;M"</f>
        <v>Fluid Bed Incineration O&amp;M</v>
      </c>
      <c r="H288" s="324"/>
      <c r="I288" s="324"/>
      <c r="J288" s="324"/>
      <c r="K288" s="324"/>
      <c r="L288" s="405" t="s">
        <v>79</v>
      </c>
      <c r="M288" s="256"/>
      <c r="N288" s="325" t="s">
        <v>490</v>
      </c>
      <c r="O288" s="311"/>
      <c r="P288" s="325" t="s">
        <v>491</v>
      </c>
      <c r="Q288" s="310"/>
      <c r="R288" s="325">
        <f>R$8</f>
        <v>2014</v>
      </c>
      <c r="S288" s="325">
        <f t="shared" ref="S288:AU288" si="203">S$8</f>
        <v>2015</v>
      </c>
      <c r="T288" s="325">
        <f t="shared" si="203"/>
        <v>2016</v>
      </c>
      <c r="U288" s="325">
        <f t="shared" si="203"/>
        <v>2017</v>
      </c>
      <c r="V288" s="325">
        <f t="shared" si="203"/>
        <v>2018</v>
      </c>
      <c r="W288" s="325">
        <f t="shared" si="203"/>
        <v>2019</v>
      </c>
      <c r="X288" s="325">
        <f t="shared" si="203"/>
        <v>2020</v>
      </c>
      <c r="Y288" s="325">
        <f t="shared" si="203"/>
        <v>2021</v>
      </c>
      <c r="Z288" s="325">
        <f t="shared" si="203"/>
        <v>2022</v>
      </c>
      <c r="AA288" s="325">
        <f t="shared" si="203"/>
        <v>2023</v>
      </c>
      <c r="AB288" s="325">
        <f t="shared" si="203"/>
        <v>2024</v>
      </c>
      <c r="AC288" s="325">
        <f t="shared" si="203"/>
        <v>2025</v>
      </c>
      <c r="AD288" s="325">
        <f t="shared" si="203"/>
        <v>2026</v>
      </c>
      <c r="AE288" s="325">
        <f t="shared" si="203"/>
        <v>2027</v>
      </c>
      <c r="AF288" s="325">
        <f t="shared" si="203"/>
        <v>2028</v>
      </c>
      <c r="AG288" s="325">
        <f t="shared" si="203"/>
        <v>2029</v>
      </c>
      <c r="AH288" s="325">
        <f t="shared" si="203"/>
        <v>2030</v>
      </c>
      <c r="AI288" s="325">
        <f t="shared" si="203"/>
        <v>2031</v>
      </c>
      <c r="AJ288" s="325">
        <f t="shared" si="203"/>
        <v>2032</v>
      </c>
      <c r="AK288" s="325">
        <f t="shared" si="203"/>
        <v>2033</v>
      </c>
      <c r="AL288" s="325">
        <f t="shared" si="203"/>
        <v>2034</v>
      </c>
      <c r="AM288" s="325">
        <f t="shared" si="203"/>
        <v>2035</v>
      </c>
      <c r="AN288" s="325">
        <f t="shared" si="203"/>
        <v>2036</v>
      </c>
      <c r="AO288" s="325">
        <f t="shared" si="203"/>
        <v>2037</v>
      </c>
      <c r="AP288" s="325">
        <f t="shared" si="203"/>
        <v>2038</v>
      </c>
      <c r="AQ288" s="325">
        <f t="shared" si="203"/>
        <v>2039</v>
      </c>
      <c r="AR288" s="325">
        <f t="shared" si="203"/>
        <v>2040</v>
      </c>
      <c r="AS288" s="325">
        <f t="shared" si="203"/>
        <v>2041</v>
      </c>
      <c r="AT288" s="325">
        <f t="shared" si="203"/>
        <v>2042</v>
      </c>
      <c r="AU288" s="325">
        <f t="shared" si="203"/>
        <v>2043</v>
      </c>
    </row>
    <row r="289" spans="1:47">
      <c r="E289" s="325"/>
      <c r="G289" s="39"/>
      <c r="H289" s="39"/>
      <c r="I289" s="39"/>
      <c r="J289" s="39"/>
      <c r="K289" s="39"/>
    </row>
    <row r="290" spans="1:47">
      <c r="E290" s="325"/>
      <c r="G290" s="39" t="s">
        <v>23</v>
      </c>
      <c r="H290" s="39"/>
      <c r="I290" s="39"/>
      <c r="J290" s="39"/>
      <c r="K290" s="39"/>
    </row>
    <row r="291" spans="1:47">
      <c r="A291" s="38" t="str">
        <f t="shared" ref="A291:A298" si="204">$J$4&amp;"-"</f>
        <v>2Y-</v>
      </c>
      <c r="B291" s="38" t="s">
        <v>262</v>
      </c>
      <c r="C291" s="38" t="str">
        <f>C285</f>
        <v>Fluid Bed Incineration</v>
      </c>
      <c r="D291" s="186">
        <f>LaborEsc</f>
        <v>0.02</v>
      </c>
      <c r="E291" s="325"/>
      <c r="G291" s="36" t="s">
        <v>125</v>
      </c>
      <c r="I291" s="39"/>
      <c r="K291" s="39"/>
      <c r="L291" s="43" t="s">
        <v>266</v>
      </c>
      <c r="N291" s="70">
        <f ca="1">SUMIFS(OFFSET(Assumptions!$I$90,0,MATCH($A291,Configurations,0)-1,COUNT(Assumptions!$A$90:$A$183),1),Assumptions!$D$90:$D$183,$B291&amp;$C291)</f>
        <v>0</v>
      </c>
      <c r="O291" s="313"/>
      <c r="P291" s="323"/>
      <c r="Q291" s="313"/>
      <c r="R291" s="50">
        <f t="shared" ref="R291:AU291" ca="1" si="205">IF(OR(R$99&lt;InServiceYr,R$99&gt;(InServiceYr+analysis_period-1)),0,IF($P291=0,$N291,$P291)*LaborCost*(1+$D291)^(R$99-CostBaseYr))</f>
        <v>0</v>
      </c>
      <c r="S291" s="50">
        <f t="shared" ca="1" si="205"/>
        <v>0</v>
      </c>
      <c r="T291" s="50">
        <f t="shared" ca="1" si="205"/>
        <v>0</v>
      </c>
      <c r="U291" s="50">
        <f t="shared" ca="1" si="205"/>
        <v>0</v>
      </c>
      <c r="V291" s="50">
        <f t="shared" ca="1" si="205"/>
        <v>0</v>
      </c>
      <c r="W291" s="50">
        <f t="shared" ca="1" si="205"/>
        <v>0</v>
      </c>
      <c r="X291" s="50">
        <f t="shared" ca="1" si="205"/>
        <v>0</v>
      </c>
      <c r="Y291" s="50">
        <f t="shared" ca="1" si="205"/>
        <v>0</v>
      </c>
      <c r="Z291" s="50">
        <f t="shared" ca="1" si="205"/>
        <v>0</v>
      </c>
      <c r="AA291" s="50">
        <f t="shared" ca="1" si="205"/>
        <v>0</v>
      </c>
      <c r="AB291" s="50">
        <f t="shared" ca="1" si="205"/>
        <v>0</v>
      </c>
      <c r="AC291" s="50">
        <f t="shared" ca="1" si="205"/>
        <v>0</v>
      </c>
      <c r="AD291" s="50">
        <f t="shared" ca="1" si="205"/>
        <v>0</v>
      </c>
      <c r="AE291" s="50">
        <f t="shared" ca="1" si="205"/>
        <v>0</v>
      </c>
      <c r="AF291" s="50">
        <f t="shared" ca="1" si="205"/>
        <v>0</v>
      </c>
      <c r="AG291" s="50">
        <f t="shared" ca="1" si="205"/>
        <v>0</v>
      </c>
      <c r="AH291" s="50">
        <f t="shared" ca="1" si="205"/>
        <v>0</v>
      </c>
      <c r="AI291" s="50">
        <f t="shared" ca="1" si="205"/>
        <v>0</v>
      </c>
      <c r="AJ291" s="50">
        <f t="shared" ca="1" si="205"/>
        <v>0</v>
      </c>
      <c r="AK291" s="50">
        <f t="shared" ca="1" si="205"/>
        <v>0</v>
      </c>
      <c r="AL291" s="50">
        <f t="shared" si="205"/>
        <v>0</v>
      </c>
      <c r="AM291" s="50">
        <f t="shared" si="205"/>
        <v>0</v>
      </c>
      <c r="AN291" s="50">
        <f t="shared" si="205"/>
        <v>0</v>
      </c>
      <c r="AO291" s="50">
        <f t="shared" si="205"/>
        <v>0</v>
      </c>
      <c r="AP291" s="50">
        <f t="shared" si="205"/>
        <v>0</v>
      </c>
      <c r="AQ291" s="50">
        <f t="shared" si="205"/>
        <v>0</v>
      </c>
      <c r="AR291" s="50">
        <f t="shared" si="205"/>
        <v>0</v>
      </c>
      <c r="AS291" s="50">
        <f t="shared" si="205"/>
        <v>0</v>
      </c>
      <c r="AT291" s="50">
        <f t="shared" si="205"/>
        <v>0</v>
      </c>
      <c r="AU291" s="50">
        <f t="shared" si="205"/>
        <v>0</v>
      </c>
    </row>
    <row r="292" spans="1:47">
      <c r="A292" s="38" t="str">
        <f t="shared" si="204"/>
        <v>2Y-</v>
      </c>
      <c r="B292" s="38" t="s">
        <v>270</v>
      </c>
      <c r="C292" s="38" t="str">
        <f>C291</f>
        <v>Fluid Bed Incineration</v>
      </c>
      <c r="D292" s="186">
        <f>OMEsc</f>
        <v>0.02</v>
      </c>
      <c r="E292" s="325"/>
      <c r="G292" s="36" t="s">
        <v>126</v>
      </c>
      <c r="I292" s="39"/>
      <c r="K292" s="39"/>
      <c r="L292" s="43" t="str">
        <f>"["&amp;CostBaseYr&amp;" $]"</f>
        <v>[2013 $]</v>
      </c>
      <c r="N292" s="70">
        <f ca="1">SUMIFS(OFFSET(Assumptions!$I$90,0,MATCH($A292,Configurations,0)-1,COUNT(Assumptions!$A$90:$A$183),1),Assumptions!$D$90:$D$183,$B292&amp;$C292)</f>
        <v>0</v>
      </c>
      <c r="O292" s="313"/>
      <c r="P292" s="323"/>
      <c r="Q292" s="313"/>
      <c r="R292" s="50">
        <f t="shared" ref="R292:AG294" ca="1" si="206">IF(OR(R$99&lt;InServiceYr,R$99&gt;(InServiceYr+analysis_period-1)),0,IF($P292=0,$N292,$P292)*(1+$D292)^(R$99-CostBaseYr))</f>
        <v>0</v>
      </c>
      <c r="S292" s="50">
        <f t="shared" ca="1" si="206"/>
        <v>0</v>
      </c>
      <c r="T292" s="50">
        <f t="shared" ca="1" si="206"/>
        <v>0</v>
      </c>
      <c r="U292" s="50">
        <f t="shared" ca="1" si="206"/>
        <v>0</v>
      </c>
      <c r="V292" s="50">
        <f t="shared" ca="1" si="206"/>
        <v>0</v>
      </c>
      <c r="W292" s="50">
        <f t="shared" ca="1" si="206"/>
        <v>0</v>
      </c>
      <c r="X292" s="50">
        <f t="shared" ca="1" si="206"/>
        <v>0</v>
      </c>
      <c r="Y292" s="50">
        <f t="shared" ca="1" si="206"/>
        <v>0</v>
      </c>
      <c r="Z292" s="50">
        <f t="shared" ca="1" si="206"/>
        <v>0</v>
      </c>
      <c r="AA292" s="50">
        <f t="shared" ca="1" si="206"/>
        <v>0</v>
      </c>
      <c r="AB292" s="50">
        <f t="shared" ca="1" si="206"/>
        <v>0</v>
      </c>
      <c r="AC292" s="50">
        <f t="shared" ca="1" si="206"/>
        <v>0</v>
      </c>
      <c r="AD292" s="50">
        <f t="shared" ca="1" si="206"/>
        <v>0</v>
      </c>
      <c r="AE292" s="50">
        <f t="shared" ca="1" si="206"/>
        <v>0</v>
      </c>
      <c r="AF292" s="50">
        <f t="shared" ca="1" si="206"/>
        <v>0</v>
      </c>
      <c r="AG292" s="50">
        <f t="shared" ca="1" si="206"/>
        <v>0</v>
      </c>
      <c r="AH292" s="50">
        <f t="shared" ref="S292:AU294" ca="1" si="207">IF(OR(AH$99&lt;InServiceYr,AH$99&gt;(InServiceYr+analysis_period-1)),0,IF($P292=0,$N292,$P292)*(1+$D292)^(AH$99-CostBaseYr))</f>
        <v>0</v>
      </c>
      <c r="AI292" s="50">
        <f t="shared" ca="1" si="207"/>
        <v>0</v>
      </c>
      <c r="AJ292" s="50">
        <f t="shared" ca="1" si="207"/>
        <v>0</v>
      </c>
      <c r="AK292" s="50">
        <f t="shared" ca="1" si="207"/>
        <v>0</v>
      </c>
      <c r="AL292" s="50">
        <f t="shared" si="207"/>
        <v>0</v>
      </c>
      <c r="AM292" s="50">
        <f t="shared" si="207"/>
        <v>0</v>
      </c>
      <c r="AN292" s="50">
        <f t="shared" si="207"/>
        <v>0</v>
      </c>
      <c r="AO292" s="50">
        <f t="shared" si="207"/>
        <v>0</v>
      </c>
      <c r="AP292" s="50">
        <f t="shared" si="207"/>
        <v>0</v>
      </c>
      <c r="AQ292" s="50">
        <f t="shared" si="207"/>
        <v>0</v>
      </c>
      <c r="AR292" s="50">
        <f t="shared" si="207"/>
        <v>0</v>
      </c>
      <c r="AS292" s="50">
        <f t="shared" si="207"/>
        <v>0</v>
      </c>
      <c r="AT292" s="50">
        <f t="shared" si="207"/>
        <v>0</v>
      </c>
      <c r="AU292" s="50">
        <f t="shared" si="207"/>
        <v>0</v>
      </c>
    </row>
    <row r="293" spans="1:47">
      <c r="A293" s="38" t="str">
        <f t="shared" si="204"/>
        <v>2Y-</v>
      </c>
      <c r="B293" s="38" t="s">
        <v>263</v>
      </c>
      <c r="C293" s="38" t="str">
        <f t="shared" ref="C293:C297" si="208">C292</f>
        <v>Fluid Bed Incineration</v>
      </c>
      <c r="D293" s="186">
        <f>OMEsc</f>
        <v>0.02</v>
      </c>
      <c r="E293" s="325"/>
      <c r="G293" s="36" t="s">
        <v>127</v>
      </c>
      <c r="I293" s="39"/>
      <c r="K293" s="39"/>
      <c r="L293" s="43" t="str">
        <f>"["&amp;CostBaseYr&amp;" $]"</f>
        <v>[2013 $]</v>
      </c>
      <c r="N293" s="70">
        <f ca="1">SUMIFS(OFFSET(Assumptions!$I$90,0,MATCH($A293,Configurations,0)-1,COUNT(Assumptions!$A$90:$A$183),1),Assumptions!$D$90:$D$183,$B293&amp;$C293)</f>
        <v>0</v>
      </c>
      <c r="O293" s="313"/>
      <c r="P293" s="323"/>
      <c r="Q293" s="313"/>
      <c r="R293" s="50">
        <f t="shared" ca="1" si="206"/>
        <v>0</v>
      </c>
      <c r="S293" s="50">
        <f t="shared" ca="1" si="207"/>
        <v>0</v>
      </c>
      <c r="T293" s="50">
        <f t="shared" ca="1" si="207"/>
        <v>0</v>
      </c>
      <c r="U293" s="50">
        <f t="shared" ca="1" si="207"/>
        <v>0</v>
      </c>
      <c r="V293" s="50">
        <f t="shared" ca="1" si="207"/>
        <v>0</v>
      </c>
      <c r="W293" s="50">
        <f t="shared" ca="1" si="207"/>
        <v>0</v>
      </c>
      <c r="X293" s="50">
        <f t="shared" ca="1" si="207"/>
        <v>0</v>
      </c>
      <c r="Y293" s="50">
        <f t="shared" ca="1" si="207"/>
        <v>0</v>
      </c>
      <c r="Z293" s="50">
        <f t="shared" ca="1" si="207"/>
        <v>0</v>
      </c>
      <c r="AA293" s="50">
        <f t="shared" ca="1" si="207"/>
        <v>0</v>
      </c>
      <c r="AB293" s="50">
        <f t="shared" ca="1" si="207"/>
        <v>0</v>
      </c>
      <c r="AC293" s="50">
        <f t="shared" ca="1" si="207"/>
        <v>0</v>
      </c>
      <c r="AD293" s="50">
        <f t="shared" ca="1" si="207"/>
        <v>0</v>
      </c>
      <c r="AE293" s="50">
        <f t="shared" ca="1" si="207"/>
        <v>0</v>
      </c>
      <c r="AF293" s="50">
        <f t="shared" ca="1" si="207"/>
        <v>0</v>
      </c>
      <c r="AG293" s="50">
        <f t="shared" ca="1" si="207"/>
        <v>0</v>
      </c>
      <c r="AH293" s="50">
        <f t="shared" ca="1" si="207"/>
        <v>0</v>
      </c>
      <c r="AI293" s="50">
        <f t="shared" ca="1" si="207"/>
        <v>0</v>
      </c>
      <c r="AJ293" s="50">
        <f t="shared" ca="1" si="207"/>
        <v>0</v>
      </c>
      <c r="AK293" s="50">
        <f t="shared" ca="1" si="207"/>
        <v>0</v>
      </c>
      <c r="AL293" s="50">
        <f t="shared" si="207"/>
        <v>0</v>
      </c>
      <c r="AM293" s="50">
        <f t="shared" si="207"/>
        <v>0</v>
      </c>
      <c r="AN293" s="50">
        <f t="shared" si="207"/>
        <v>0</v>
      </c>
      <c r="AO293" s="50">
        <f t="shared" si="207"/>
        <v>0</v>
      </c>
      <c r="AP293" s="50">
        <f t="shared" si="207"/>
        <v>0</v>
      </c>
      <c r="AQ293" s="50">
        <f t="shared" si="207"/>
        <v>0</v>
      </c>
      <c r="AR293" s="50">
        <f t="shared" si="207"/>
        <v>0</v>
      </c>
      <c r="AS293" s="50">
        <f t="shared" si="207"/>
        <v>0</v>
      </c>
      <c r="AT293" s="50">
        <f t="shared" si="207"/>
        <v>0</v>
      </c>
      <c r="AU293" s="50">
        <f t="shared" si="207"/>
        <v>0</v>
      </c>
    </row>
    <row r="294" spans="1:47">
      <c r="A294" s="38" t="str">
        <f t="shared" si="204"/>
        <v>2Y-</v>
      </c>
      <c r="B294" s="38" t="s">
        <v>277</v>
      </c>
      <c r="C294" s="38" t="str">
        <f t="shared" si="208"/>
        <v>Fluid Bed Incineration</v>
      </c>
      <c r="D294" s="186">
        <f>OMEsc</f>
        <v>0.02</v>
      </c>
      <c r="E294" s="325"/>
      <c r="G294" s="36" t="s">
        <v>276</v>
      </c>
      <c r="I294" s="39"/>
      <c r="K294" s="39"/>
      <c r="L294" s="43" t="str">
        <f>"["&amp;CostBaseYr&amp;" $]"</f>
        <v>[2013 $]</v>
      </c>
      <c r="N294" s="70">
        <f ca="1">SUMIFS(OFFSET(Assumptions!$I$90,0,MATCH($A294,Configurations,0)-1,COUNT(Assumptions!$A$90:$A$183),1),Assumptions!$D$90:$D$183,$B294&amp;$C294)</f>
        <v>0</v>
      </c>
      <c r="O294" s="313"/>
      <c r="P294" s="323"/>
      <c r="Q294" s="313"/>
      <c r="R294" s="50">
        <f t="shared" ca="1" si="206"/>
        <v>0</v>
      </c>
      <c r="S294" s="50">
        <f t="shared" ca="1" si="207"/>
        <v>0</v>
      </c>
      <c r="T294" s="50">
        <f t="shared" ca="1" si="207"/>
        <v>0</v>
      </c>
      <c r="U294" s="50">
        <f t="shared" ca="1" si="207"/>
        <v>0</v>
      </c>
      <c r="V294" s="50">
        <f t="shared" ca="1" si="207"/>
        <v>0</v>
      </c>
      <c r="W294" s="50">
        <f t="shared" ca="1" si="207"/>
        <v>0</v>
      </c>
      <c r="X294" s="50">
        <f t="shared" ca="1" si="207"/>
        <v>0</v>
      </c>
      <c r="Y294" s="50">
        <f t="shared" ca="1" si="207"/>
        <v>0</v>
      </c>
      <c r="Z294" s="50">
        <f t="shared" ca="1" si="207"/>
        <v>0</v>
      </c>
      <c r="AA294" s="50">
        <f t="shared" ca="1" si="207"/>
        <v>0</v>
      </c>
      <c r="AB294" s="50">
        <f t="shared" ca="1" si="207"/>
        <v>0</v>
      </c>
      <c r="AC294" s="50">
        <f t="shared" ca="1" si="207"/>
        <v>0</v>
      </c>
      <c r="AD294" s="50">
        <f t="shared" ca="1" si="207"/>
        <v>0</v>
      </c>
      <c r="AE294" s="50">
        <f t="shared" ca="1" si="207"/>
        <v>0</v>
      </c>
      <c r="AF294" s="50">
        <f t="shared" ca="1" si="207"/>
        <v>0</v>
      </c>
      <c r="AG294" s="50">
        <f t="shared" ca="1" si="207"/>
        <v>0</v>
      </c>
      <c r="AH294" s="50">
        <f t="shared" ca="1" si="207"/>
        <v>0</v>
      </c>
      <c r="AI294" s="50">
        <f t="shared" ca="1" si="207"/>
        <v>0</v>
      </c>
      <c r="AJ294" s="50">
        <f t="shared" ca="1" si="207"/>
        <v>0</v>
      </c>
      <c r="AK294" s="50">
        <f t="shared" ca="1" si="207"/>
        <v>0</v>
      </c>
      <c r="AL294" s="50">
        <f t="shared" si="207"/>
        <v>0</v>
      </c>
      <c r="AM294" s="50">
        <f t="shared" si="207"/>
        <v>0</v>
      </c>
      <c r="AN294" s="50">
        <f t="shared" si="207"/>
        <v>0</v>
      </c>
      <c r="AO294" s="50">
        <f t="shared" si="207"/>
        <v>0</v>
      </c>
      <c r="AP294" s="50">
        <f t="shared" si="207"/>
        <v>0</v>
      </c>
      <c r="AQ294" s="50">
        <f t="shared" si="207"/>
        <v>0</v>
      </c>
      <c r="AR294" s="50">
        <f t="shared" si="207"/>
        <v>0</v>
      </c>
      <c r="AS294" s="50">
        <f t="shared" si="207"/>
        <v>0</v>
      </c>
      <c r="AT294" s="50">
        <f t="shared" si="207"/>
        <v>0</v>
      </c>
      <c r="AU294" s="50">
        <f t="shared" si="207"/>
        <v>0</v>
      </c>
    </row>
    <row r="295" spans="1:47">
      <c r="A295" s="38" t="str">
        <f t="shared" si="204"/>
        <v>2Y-</v>
      </c>
      <c r="B295" s="38" t="s">
        <v>274</v>
      </c>
      <c r="C295" s="38" t="str">
        <f t="shared" si="208"/>
        <v>Fluid Bed Incineration</v>
      </c>
      <c r="D295" s="186"/>
      <c r="E295" s="325"/>
      <c r="G295" s="36" t="s">
        <v>16</v>
      </c>
      <c r="I295" s="39"/>
      <c r="K295" s="39"/>
      <c r="L295" s="43" t="s">
        <v>275</v>
      </c>
      <c r="N295" s="70">
        <f ca="1">SUMIFS(OFFSET(Assumptions!$I$90,0,MATCH($A295,Configurations,0)-1,COUNT(Assumptions!$A$90:$A$183),1),Assumptions!$D$90:$D$183,$B295&amp;$C295)</f>
        <v>0</v>
      </c>
      <c r="O295" s="313"/>
      <c r="P295" s="323"/>
      <c r="Q295" s="313"/>
      <c r="R295" s="50">
        <f t="shared" ref="R295:AU295" ca="1" si="209">IF(OR(R$99&lt;InServiceYr,R$99&gt;(InServiceYr+analysis_period-1)),0,IF($P295=0,$N295,$P295)*R$505)</f>
        <v>0</v>
      </c>
      <c r="S295" s="50">
        <f t="shared" ca="1" si="209"/>
        <v>0</v>
      </c>
      <c r="T295" s="50">
        <f t="shared" ca="1" si="209"/>
        <v>0</v>
      </c>
      <c r="U295" s="50">
        <f t="shared" ca="1" si="209"/>
        <v>0</v>
      </c>
      <c r="V295" s="50">
        <f t="shared" ca="1" si="209"/>
        <v>0</v>
      </c>
      <c r="W295" s="50">
        <f t="shared" ca="1" si="209"/>
        <v>0</v>
      </c>
      <c r="X295" s="50">
        <f t="shared" ca="1" si="209"/>
        <v>0</v>
      </c>
      <c r="Y295" s="50">
        <f t="shared" ca="1" si="209"/>
        <v>0</v>
      </c>
      <c r="Z295" s="50">
        <f t="shared" ca="1" si="209"/>
        <v>0</v>
      </c>
      <c r="AA295" s="50">
        <f t="shared" ca="1" si="209"/>
        <v>0</v>
      </c>
      <c r="AB295" s="50">
        <f t="shared" ca="1" si="209"/>
        <v>0</v>
      </c>
      <c r="AC295" s="50">
        <f t="shared" ca="1" si="209"/>
        <v>0</v>
      </c>
      <c r="AD295" s="50">
        <f t="shared" ca="1" si="209"/>
        <v>0</v>
      </c>
      <c r="AE295" s="50">
        <f t="shared" ca="1" si="209"/>
        <v>0</v>
      </c>
      <c r="AF295" s="50">
        <f t="shared" ca="1" si="209"/>
        <v>0</v>
      </c>
      <c r="AG295" s="50">
        <f t="shared" ca="1" si="209"/>
        <v>0</v>
      </c>
      <c r="AH295" s="50">
        <f t="shared" ca="1" si="209"/>
        <v>0</v>
      </c>
      <c r="AI295" s="50">
        <f t="shared" ca="1" si="209"/>
        <v>0</v>
      </c>
      <c r="AJ295" s="50">
        <f t="shared" ca="1" si="209"/>
        <v>0</v>
      </c>
      <c r="AK295" s="50">
        <f t="shared" ca="1" si="209"/>
        <v>0</v>
      </c>
      <c r="AL295" s="50">
        <f t="shared" si="209"/>
        <v>0</v>
      </c>
      <c r="AM295" s="50">
        <f t="shared" si="209"/>
        <v>0</v>
      </c>
      <c r="AN295" s="50">
        <f t="shared" si="209"/>
        <v>0</v>
      </c>
      <c r="AO295" s="50">
        <f t="shared" si="209"/>
        <v>0</v>
      </c>
      <c r="AP295" s="50">
        <f t="shared" si="209"/>
        <v>0</v>
      </c>
      <c r="AQ295" s="50">
        <f t="shared" si="209"/>
        <v>0</v>
      </c>
      <c r="AR295" s="50">
        <f t="shared" si="209"/>
        <v>0</v>
      </c>
      <c r="AS295" s="50">
        <f t="shared" si="209"/>
        <v>0</v>
      </c>
      <c r="AT295" s="50">
        <f t="shared" si="209"/>
        <v>0</v>
      </c>
      <c r="AU295" s="50">
        <f t="shared" si="209"/>
        <v>0</v>
      </c>
    </row>
    <row r="296" spans="1:47">
      <c r="A296" s="38" t="str">
        <f t="shared" si="204"/>
        <v>2Y-</v>
      </c>
      <c r="B296" s="38" t="s">
        <v>257</v>
      </c>
      <c r="C296" s="38" t="str">
        <f t="shared" si="208"/>
        <v>Fluid Bed Incineration</v>
      </c>
      <c r="D296" s="186"/>
      <c r="E296" s="325"/>
      <c r="G296" s="36" t="s">
        <v>284</v>
      </c>
      <c r="I296" s="39"/>
      <c r="K296" s="39"/>
      <c r="L296" s="43" t="s">
        <v>293</v>
      </c>
      <c r="N296" s="70">
        <f ca="1">SUMIFS(OFFSET(Assumptions!$I$90,0,MATCH($A296,Configurations,0)-1,COUNT(Assumptions!$A$90:$A$183),1),Assumptions!$D$90:$D$183,$B296&amp;$C296)</f>
        <v>0</v>
      </c>
      <c r="O296" s="313"/>
      <c r="P296" s="323"/>
      <c r="Q296" s="313"/>
      <c r="R296" s="50">
        <f t="shared" ref="R296:AU296" ca="1" si="210">IF(OR(R$99&lt;InServiceYr,R$99&gt;(InServiceYr+analysis_period-1)),0,IF($P296=0,$N296,$P296)*R$501)</f>
        <v>0</v>
      </c>
      <c r="S296" s="50">
        <f t="shared" ca="1" si="210"/>
        <v>0</v>
      </c>
      <c r="T296" s="50">
        <f t="shared" ca="1" si="210"/>
        <v>0</v>
      </c>
      <c r="U296" s="50">
        <f t="shared" ca="1" si="210"/>
        <v>0</v>
      </c>
      <c r="V296" s="50">
        <f t="shared" ca="1" si="210"/>
        <v>0</v>
      </c>
      <c r="W296" s="50">
        <f t="shared" ca="1" si="210"/>
        <v>0</v>
      </c>
      <c r="X296" s="50">
        <f t="shared" ca="1" si="210"/>
        <v>0</v>
      </c>
      <c r="Y296" s="50">
        <f t="shared" ca="1" si="210"/>
        <v>0</v>
      </c>
      <c r="Z296" s="50">
        <f t="shared" ca="1" si="210"/>
        <v>0</v>
      </c>
      <c r="AA296" s="50">
        <f t="shared" ca="1" si="210"/>
        <v>0</v>
      </c>
      <c r="AB296" s="50">
        <f t="shared" ca="1" si="210"/>
        <v>0</v>
      </c>
      <c r="AC296" s="50">
        <f t="shared" ca="1" si="210"/>
        <v>0</v>
      </c>
      <c r="AD296" s="50">
        <f t="shared" ca="1" si="210"/>
        <v>0</v>
      </c>
      <c r="AE296" s="50">
        <f t="shared" ca="1" si="210"/>
        <v>0</v>
      </c>
      <c r="AF296" s="50">
        <f t="shared" ca="1" si="210"/>
        <v>0</v>
      </c>
      <c r="AG296" s="50">
        <f t="shared" ca="1" si="210"/>
        <v>0</v>
      </c>
      <c r="AH296" s="50">
        <f t="shared" ca="1" si="210"/>
        <v>0</v>
      </c>
      <c r="AI296" s="50">
        <f t="shared" ca="1" si="210"/>
        <v>0</v>
      </c>
      <c r="AJ296" s="50">
        <f t="shared" ca="1" si="210"/>
        <v>0</v>
      </c>
      <c r="AK296" s="50">
        <f t="shared" ca="1" si="210"/>
        <v>0</v>
      </c>
      <c r="AL296" s="50">
        <f t="shared" si="210"/>
        <v>0</v>
      </c>
      <c r="AM296" s="50">
        <f t="shared" si="210"/>
        <v>0</v>
      </c>
      <c r="AN296" s="50">
        <f t="shared" si="210"/>
        <v>0</v>
      </c>
      <c r="AO296" s="50">
        <f t="shared" si="210"/>
        <v>0</v>
      </c>
      <c r="AP296" s="50">
        <f t="shared" si="210"/>
        <v>0</v>
      </c>
      <c r="AQ296" s="50">
        <f t="shared" si="210"/>
        <v>0</v>
      </c>
      <c r="AR296" s="50">
        <f t="shared" si="210"/>
        <v>0</v>
      </c>
      <c r="AS296" s="50">
        <f t="shared" si="210"/>
        <v>0</v>
      </c>
      <c r="AT296" s="50">
        <f t="shared" si="210"/>
        <v>0</v>
      </c>
      <c r="AU296" s="50">
        <f t="shared" si="210"/>
        <v>0</v>
      </c>
    </row>
    <row r="297" spans="1:47">
      <c r="A297" s="38" t="str">
        <f t="shared" si="204"/>
        <v>2Y-</v>
      </c>
      <c r="B297" s="38" t="s">
        <v>864</v>
      </c>
      <c r="C297" s="38" t="str">
        <f t="shared" si="208"/>
        <v>Fluid Bed Incineration</v>
      </c>
      <c r="D297" s="186">
        <f>GHGEsc</f>
        <v>0.02</v>
      </c>
      <c r="E297" s="325"/>
      <c r="G297" s="36" t="s">
        <v>865</v>
      </c>
      <c r="I297" s="39"/>
      <c r="K297" s="39"/>
      <c r="L297" s="43" t="s">
        <v>866</v>
      </c>
      <c r="N297" s="70">
        <f ca="1">SUMIFS(OFFSET(Assumptions!$I$90,0,MATCH($A297,Configurations,0)-1,COUNT(Assumptions!$A$90:$A$183),1),Assumptions!$D$90:$D$183,$B297&amp;$C297)</f>
        <v>0</v>
      </c>
      <c r="O297" s="313"/>
      <c r="P297" s="323"/>
      <c r="Q297" s="313"/>
      <c r="R297" s="50">
        <f t="shared" ref="R297:AU297" ca="1" si="211">IF(OR(R$99&lt;InServiceYr,R$99&gt;(InServiceYr+analysis_period-1)),0,IF($P297=0,$N297,$P297)*R$513)</f>
        <v>0</v>
      </c>
      <c r="S297" s="50">
        <f t="shared" ca="1" si="211"/>
        <v>0</v>
      </c>
      <c r="T297" s="50">
        <f t="shared" ca="1" si="211"/>
        <v>0</v>
      </c>
      <c r="U297" s="50">
        <f t="shared" ca="1" si="211"/>
        <v>0</v>
      </c>
      <c r="V297" s="50">
        <f t="shared" ca="1" si="211"/>
        <v>0</v>
      </c>
      <c r="W297" s="50">
        <f t="shared" ca="1" si="211"/>
        <v>0</v>
      </c>
      <c r="X297" s="50">
        <f t="shared" ca="1" si="211"/>
        <v>0</v>
      </c>
      <c r="Y297" s="50">
        <f t="shared" ca="1" si="211"/>
        <v>0</v>
      </c>
      <c r="Z297" s="50">
        <f t="shared" ca="1" si="211"/>
        <v>0</v>
      </c>
      <c r="AA297" s="50">
        <f t="shared" ca="1" si="211"/>
        <v>0</v>
      </c>
      <c r="AB297" s="50">
        <f t="shared" ca="1" si="211"/>
        <v>0</v>
      </c>
      <c r="AC297" s="50">
        <f t="shared" ca="1" si="211"/>
        <v>0</v>
      </c>
      <c r="AD297" s="50">
        <f t="shared" ca="1" si="211"/>
        <v>0</v>
      </c>
      <c r="AE297" s="50">
        <f t="shared" ca="1" si="211"/>
        <v>0</v>
      </c>
      <c r="AF297" s="50">
        <f t="shared" ca="1" si="211"/>
        <v>0</v>
      </c>
      <c r="AG297" s="50">
        <f t="shared" ca="1" si="211"/>
        <v>0</v>
      </c>
      <c r="AH297" s="50">
        <f t="shared" ca="1" si="211"/>
        <v>0</v>
      </c>
      <c r="AI297" s="50">
        <f t="shared" ca="1" si="211"/>
        <v>0</v>
      </c>
      <c r="AJ297" s="50">
        <f t="shared" ca="1" si="211"/>
        <v>0</v>
      </c>
      <c r="AK297" s="50">
        <f t="shared" ca="1" si="211"/>
        <v>0</v>
      </c>
      <c r="AL297" s="50">
        <f t="shared" si="211"/>
        <v>0</v>
      </c>
      <c r="AM297" s="50">
        <f t="shared" si="211"/>
        <v>0</v>
      </c>
      <c r="AN297" s="50">
        <f t="shared" si="211"/>
        <v>0</v>
      </c>
      <c r="AO297" s="50">
        <f t="shared" si="211"/>
        <v>0</v>
      </c>
      <c r="AP297" s="50">
        <f t="shared" si="211"/>
        <v>0</v>
      </c>
      <c r="AQ297" s="50">
        <f t="shared" si="211"/>
        <v>0</v>
      </c>
      <c r="AR297" s="50">
        <f t="shared" si="211"/>
        <v>0</v>
      </c>
      <c r="AS297" s="50">
        <f t="shared" si="211"/>
        <v>0</v>
      </c>
      <c r="AT297" s="50">
        <f t="shared" si="211"/>
        <v>0</v>
      </c>
      <c r="AU297" s="50">
        <f t="shared" si="211"/>
        <v>0</v>
      </c>
    </row>
    <row r="298" spans="1:47">
      <c r="A298" s="38" t="str">
        <f t="shared" si="204"/>
        <v>2Y-</v>
      </c>
      <c r="B298" s="38" t="s">
        <v>273</v>
      </c>
      <c r="C298" s="38" t="str">
        <f>C296</f>
        <v>Fluid Bed Incineration</v>
      </c>
      <c r="D298" s="186">
        <f>LaborEsc</f>
        <v>0.02</v>
      </c>
      <c r="E298" s="325"/>
      <c r="G298" s="36" t="s">
        <v>291</v>
      </c>
      <c r="I298" s="39"/>
      <c r="K298" s="39"/>
      <c r="L298" s="43" t="str">
        <f>"["&amp;CostBaseYr&amp;" $]"</f>
        <v>[2013 $]</v>
      </c>
      <c r="N298" s="70">
        <f ca="1">SUMIFS(OFFSET(Assumptions!$I$90,0,MATCH($A298,Configurations,0)-1,COUNT(Assumptions!$A$90:$A$183),1),Assumptions!$D$90:$D$183,$B298&amp;$C298)</f>
        <v>0</v>
      </c>
      <c r="O298" s="313"/>
      <c r="P298" s="323"/>
      <c r="Q298" s="313"/>
      <c r="R298" s="50">
        <f t="shared" ref="R298:AU298" ca="1" si="212">IF(OR(R$99&lt;InServiceYr,R$99&gt;(InServiceYr+analysis_period-1)),0,IF($P298=0,$N298,$P298)*(1+$D298)^(R$99-CostBaseYr))*R$509</f>
        <v>0</v>
      </c>
      <c r="S298" s="50">
        <f t="shared" ca="1" si="212"/>
        <v>0</v>
      </c>
      <c r="T298" s="50">
        <f t="shared" ca="1" si="212"/>
        <v>0</v>
      </c>
      <c r="U298" s="50">
        <f t="shared" ca="1" si="212"/>
        <v>0</v>
      </c>
      <c r="V298" s="50">
        <f t="shared" ca="1" si="212"/>
        <v>0</v>
      </c>
      <c r="W298" s="50">
        <f t="shared" ca="1" si="212"/>
        <v>0</v>
      </c>
      <c r="X298" s="50">
        <f t="shared" ca="1" si="212"/>
        <v>0</v>
      </c>
      <c r="Y298" s="50">
        <f t="shared" ca="1" si="212"/>
        <v>0</v>
      </c>
      <c r="Z298" s="50">
        <f t="shared" ca="1" si="212"/>
        <v>0</v>
      </c>
      <c r="AA298" s="50">
        <f t="shared" ca="1" si="212"/>
        <v>0</v>
      </c>
      <c r="AB298" s="50">
        <f t="shared" ca="1" si="212"/>
        <v>0</v>
      </c>
      <c r="AC298" s="50">
        <f t="shared" ca="1" si="212"/>
        <v>0</v>
      </c>
      <c r="AD298" s="50">
        <f t="shared" ca="1" si="212"/>
        <v>0</v>
      </c>
      <c r="AE298" s="50">
        <f t="shared" ca="1" si="212"/>
        <v>0</v>
      </c>
      <c r="AF298" s="50">
        <f t="shared" ca="1" si="212"/>
        <v>0</v>
      </c>
      <c r="AG298" s="50">
        <f t="shared" ca="1" si="212"/>
        <v>0</v>
      </c>
      <c r="AH298" s="50">
        <f t="shared" ca="1" si="212"/>
        <v>0</v>
      </c>
      <c r="AI298" s="50">
        <f t="shared" ca="1" si="212"/>
        <v>0</v>
      </c>
      <c r="AJ298" s="50">
        <f t="shared" ca="1" si="212"/>
        <v>0</v>
      </c>
      <c r="AK298" s="50">
        <f t="shared" ca="1" si="212"/>
        <v>0</v>
      </c>
      <c r="AL298" s="50">
        <f t="shared" si="212"/>
        <v>0</v>
      </c>
      <c r="AM298" s="50">
        <f t="shared" si="212"/>
        <v>0</v>
      </c>
      <c r="AN298" s="50">
        <f t="shared" si="212"/>
        <v>0</v>
      </c>
      <c r="AO298" s="50">
        <f t="shared" si="212"/>
        <v>0</v>
      </c>
      <c r="AP298" s="50">
        <f t="shared" si="212"/>
        <v>0</v>
      </c>
      <c r="AQ298" s="50">
        <f t="shared" si="212"/>
        <v>0</v>
      </c>
      <c r="AR298" s="50">
        <f t="shared" si="212"/>
        <v>0</v>
      </c>
      <c r="AS298" s="50">
        <f t="shared" si="212"/>
        <v>0</v>
      </c>
      <c r="AT298" s="50">
        <f t="shared" si="212"/>
        <v>0</v>
      </c>
      <c r="AU298" s="50">
        <f t="shared" si="212"/>
        <v>0</v>
      </c>
    </row>
    <row r="299" spans="1:47">
      <c r="D299" s="186"/>
      <c r="E299" s="325"/>
      <c r="G299" s="39" t="s">
        <v>304</v>
      </c>
      <c r="I299" s="39"/>
      <c r="K299" s="39"/>
      <c r="L299" s="43"/>
      <c r="N299" s="70"/>
      <c r="O299" s="313"/>
      <c r="P299" s="70"/>
      <c r="Q299" s="313"/>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row>
    <row r="300" spans="1:47">
      <c r="A300" s="38" t="str">
        <f>$J$4&amp;"-"</f>
        <v>2Y-</v>
      </c>
      <c r="B300" s="38" t="s">
        <v>265</v>
      </c>
      <c r="C300" s="38" t="str">
        <f>C291</f>
        <v>Fluid Bed Incineration</v>
      </c>
      <c r="D300" s="186"/>
      <c r="E300" s="325"/>
      <c r="G300" s="36" t="s">
        <v>108</v>
      </c>
      <c r="I300" s="39"/>
      <c r="K300" s="39"/>
      <c r="L300" s="43" t="s">
        <v>293</v>
      </c>
      <c r="N300" s="70">
        <f ca="1">SUMIFS(OFFSET(Assumptions!$I$90,0,MATCH($A300,Configurations,0)-1,COUNT(Assumptions!$A$90:$A$183),1),Assumptions!$D$90:$D$183,$B300&amp;$C300)</f>
        <v>0</v>
      </c>
      <c r="O300" s="313"/>
      <c r="P300" s="323"/>
      <c r="Q300" s="313"/>
      <c r="R300" s="50">
        <f t="shared" ref="R300:AU300" ca="1" si="213">IF(OR(R$99&lt;InServiceYr,R$99&gt;(InServiceYr+analysis_period-1)),0,IF($P300=0,$N300,$P300)*R$501)</f>
        <v>0</v>
      </c>
      <c r="S300" s="50">
        <f t="shared" ca="1" si="213"/>
        <v>0</v>
      </c>
      <c r="T300" s="50">
        <f t="shared" ca="1" si="213"/>
        <v>0</v>
      </c>
      <c r="U300" s="50">
        <f t="shared" ca="1" si="213"/>
        <v>0</v>
      </c>
      <c r="V300" s="50">
        <f t="shared" ca="1" si="213"/>
        <v>0</v>
      </c>
      <c r="W300" s="50">
        <f t="shared" ca="1" si="213"/>
        <v>0</v>
      </c>
      <c r="X300" s="50">
        <f t="shared" ca="1" si="213"/>
        <v>0</v>
      </c>
      <c r="Y300" s="50">
        <f t="shared" ca="1" si="213"/>
        <v>0</v>
      </c>
      <c r="Z300" s="50">
        <f t="shared" ca="1" si="213"/>
        <v>0</v>
      </c>
      <c r="AA300" s="50">
        <f t="shared" ca="1" si="213"/>
        <v>0</v>
      </c>
      <c r="AB300" s="50">
        <f t="shared" ca="1" si="213"/>
        <v>0</v>
      </c>
      <c r="AC300" s="50">
        <f t="shared" ca="1" si="213"/>
        <v>0</v>
      </c>
      <c r="AD300" s="50">
        <f t="shared" ca="1" si="213"/>
        <v>0</v>
      </c>
      <c r="AE300" s="50">
        <f t="shared" ca="1" si="213"/>
        <v>0</v>
      </c>
      <c r="AF300" s="50">
        <f t="shared" ca="1" si="213"/>
        <v>0</v>
      </c>
      <c r="AG300" s="50">
        <f t="shared" ca="1" si="213"/>
        <v>0</v>
      </c>
      <c r="AH300" s="50">
        <f t="shared" ca="1" si="213"/>
        <v>0</v>
      </c>
      <c r="AI300" s="50">
        <f t="shared" ca="1" si="213"/>
        <v>0</v>
      </c>
      <c r="AJ300" s="50">
        <f t="shared" ca="1" si="213"/>
        <v>0</v>
      </c>
      <c r="AK300" s="50">
        <f t="shared" ca="1" si="213"/>
        <v>0</v>
      </c>
      <c r="AL300" s="50">
        <f t="shared" si="213"/>
        <v>0</v>
      </c>
      <c r="AM300" s="50">
        <f t="shared" si="213"/>
        <v>0</v>
      </c>
      <c r="AN300" s="50">
        <f t="shared" si="213"/>
        <v>0</v>
      </c>
      <c r="AO300" s="50">
        <f t="shared" si="213"/>
        <v>0</v>
      </c>
      <c r="AP300" s="50">
        <f t="shared" si="213"/>
        <v>0</v>
      </c>
      <c r="AQ300" s="50">
        <f t="shared" si="213"/>
        <v>0</v>
      </c>
      <c r="AR300" s="50">
        <f t="shared" si="213"/>
        <v>0</v>
      </c>
      <c r="AS300" s="50">
        <f t="shared" si="213"/>
        <v>0</v>
      </c>
      <c r="AT300" s="50">
        <f t="shared" si="213"/>
        <v>0</v>
      </c>
      <c r="AU300" s="50">
        <f t="shared" si="213"/>
        <v>0</v>
      </c>
    </row>
    <row r="301" spans="1:47">
      <c r="A301" s="38" t="str">
        <f>$J$4&amp;"-"</f>
        <v>2Y-</v>
      </c>
      <c r="B301" s="38" t="s">
        <v>289</v>
      </c>
      <c r="C301" s="38" t="str">
        <f>C291</f>
        <v>Fluid Bed Incineration</v>
      </c>
      <c r="D301" s="186">
        <f>LaborEsc</f>
        <v>0.02</v>
      </c>
      <c r="E301" s="325"/>
      <c r="G301" s="36" t="s">
        <v>292</v>
      </c>
      <c r="I301" s="39"/>
      <c r="K301" s="39"/>
      <c r="L301" s="43" t="str">
        <f>"["&amp;CostBaseYr&amp;" $]"</f>
        <v>[2013 $]</v>
      </c>
      <c r="N301" s="70">
        <f ca="1">SUMIFS(OFFSET(Assumptions!$I$90,0,MATCH($A301,Configurations,0)-1,COUNT(Assumptions!$A$90:$A$183),1),Assumptions!$D$90:$D$183,$B301&amp;$C301)</f>
        <v>0</v>
      </c>
      <c r="O301" s="313"/>
      <c r="P301" s="323"/>
      <c r="Q301" s="313"/>
      <c r="R301" s="50">
        <f t="shared" ref="R301:AU301" ca="1" si="214">IF(OR(R$99&lt;InServiceYr,R$99&gt;(InServiceYr+analysis_period-1)),0,IF($P301=0,$N301,$P301)*(1+$D301)^(R$99-CostBaseYr))</f>
        <v>0</v>
      </c>
      <c r="S301" s="50">
        <f t="shared" ca="1" si="214"/>
        <v>0</v>
      </c>
      <c r="T301" s="50">
        <f t="shared" ca="1" si="214"/>
        <v>0</v>
      </c>
      <c r="U301" s="50">
        <f t="shared" ca="1" si="214"/>
        <v>0</v>
      </c>
      <c r="V301" s="50">
        <f t="shared" ca="1" si="214"/>
        <v>0</v>
      </c>
      <c r="W301" s="50">
        <f t="shared" ca="1" si="214"/>
        <v>0</v>
      </c>
      <c r="X301" s="50">
        <f t="shared" ca="1" si="214"/>
        <v>0</v>
      </c>
      <c r="Y301" s="50">
        <f t="shared" ca="1" si="214"/>
        <v>0</v>
      </c>
      <c r="Z301" s="50">
        <f t="shared" ca="1" si="214"/>
        <v>0</v>
      </c>
      <c r="AA301" s="50">
        <f t="shared" ca="1" si="214"/>
        <v>0</v>
      </c>
      <c r="AB301" s="50">
        <f t="shared" ca="1" si="214"/>
        <v>0</v>
      </c>
      <c r="AC301" s="50">
        <f t="shared" ca="1" si="214"/>
        <v>0</v>
      </c>
      <c r="AD301" s="50">
        <f t="shared" ca="1" si="214"/>
        <v>0</v>
      </c>
      <c r="AE301" s="50">
        <f t="shared" ca="1" si="214"/>
        <v>0</v>
      </c>
      <c r="AF301" s="50">
        <f t="shared" ca="1" si="214"/>
        <v>0</v>
      </c>
      <c r="AG301" s="50">
        <f t="shared" ca="1" si="214"/>
        <v>0</v>
      </c>
      <c r="AH301" s="50">
        <f t="shared" ca="1" si="214"/>
        <v>0</v>
      </c>
      <c r="AI301" s="50">
        <f t="shared" ca="1" si="214"/>
        <v>0</v>
      </c>
      <c r="AJ301" s="50">
        <f t="shared" ca="1" si="214"/>
        <v>0</v>
      </c>
      <c r="AK301" s="50">
        <f t="shared" ca="1" si="214"/>
        <v>0</v>
      </c>
      <c r="AL301" s="50">
        <f t="shared" si="214"/>
        <v>0</v>
      </c>
      <c r="AM301" s="50">
        <f t="shared" si="214"/>
        <v>0</v>
      </c>
      <c r="AN301" s="50">
        <f t="shared" si="214"/>
        <v>0</v>
      </c>
      <c r="AO301" s="50">
        <f t="shared" si="214"/>
        <v>0</v>
      </c>
      <c r="AP301" s="50">
        <f t="shared" si="214"/>
        <v>0</v>
      </c>
      <c r="AQ301" s="50">
        <f t="shared" si="214"/>
        <v>0</v>
      </c>
      <c r="AR301" s="50">
        <f t="shared" si="214"/>
        <v>0</v>
      </c>
      <c r="AS301" s="50">
        <f t="shared" si="214"/>
        <v>0</v>
      </c>
      <c r="AT301" s="50">
        <f t="shared" si="214"/>
        <v>0</v>
      </c>
      <c r="AU301" s="50">
        <f t="shared" si="214"/>
        <v>0</v>
      </c>
    </row>
    <row r="302" spans="1:47" s="60" customFormat="1">
      <c r="D302" s="187"/>
      <c r="E302" s="325"/>
      <c r="G302" s="39" t="s">
        <v>305</v>
      </c>
      <c r="I302" s="39"/>
      <c r="K302" s="39"/>
      <c r="L302" s="174"/>
      <c r="N302" s="188"/>
      <c r="O302" s="314"/>
      <c r="P302" s="185"/>
      <c r="Q302" s="314"/>
      <c r="R302" s="185">
        <f ca="1">SUM(R291:R298)-SUM(R300:R301)</f>
        <v>0</v>
      </c>
      <c r="S302" s="185">
        <f t="shared" ref="S302:AU302" ca="1" si="215">SUM(S291:S298)-SUM(S300:S301)</f>
        <v>0</v>
      </c>
      <c r="T302" s="185">
        <f t="shared" ca="1" si="215"/>
        <v>0</v>
      </c>
      <c r="U302" s="185">
        <f t="shared" ca="1" si="215"/>
        <v>0</v>
      </c>
      <c r="V302" s="185">
        <f t="shared" ca="1" si="215"/>
        <v>0</v>
      </c>
      <c r="W302" s="185">
        <f t="shared" ca="1" si="215"/>
        <v>0</v>
      </c>
      <c r="X302" s="185">
        <f t="shared" ca="1" si="215"/>
        <v>0</v>
      </c>
      <c r="Y302" s="185">
        <f t="shared" ca="1" si="215"/>
        <v>0</v>
      </c>
      <c r="Z302" s="185">
        <f t="shared" ca="1" si="215"/>
        <v>0</v>
      </c>
      <c r="AA302" s="185">
        <f t="shared" ca="1" si="215"/>
        <v>0</v>
      </c>
      <c r="AB302" s="185">
        <f t="shared" ca="1" si="215"/>
        <v>0</v>
      </c>
      <c r="AC302" s="185">
        <f t="shared" ca="1" si="215"/>
        <v>0</v>
      </c>
      <c r="AD302" s="185">
        <f t="shared" ca="1" si="215"/>
        <v>0</v>
      </c>
      <c r="AE302" s="185">
        <f t="shared" ca="1" si="215"/>
        <v>0</v>
      </c>
      <c r="AF302" s="185">
        <f t="shared" ca="1" si="215"/>
        <v>0</v>
      </c>
      <c r="AG302" s="185">
        <f t="shared" ca="1" si="215"/>
        <v>0</v>
      </c>
      <c r="AH302" s="185">
        <f t="shared" ca="1" si="215"/>
        <v>0</v>
      </c>
      <c r="AI302" s="185">
        <f t="shared" ca="1" si="215"/>
        <v>0</v>
      </c>
      <c r="AJ302" s="185">
        <f t="shared" ca="1" si="215"/>
        <v>0</v>
      </c>
      <c r="AK302" s="185">
        <f t="shared" ca="1" si="215"/>
        <v>0</v>
      </c>
      <c r="AL302" s="185">
        <f t="shared" si="215"/>
        <v>0</v>
      </c>
      <c r="AM302" s="185">
        <f t="shared" si="215"/>
        <v>0</v>
      </c>
      <c r="AN302" s="185">
        <f t="shared" si="215"/>
        <v>0</v>
      </c>
      <c r="AO302" s="185">
        <f t="shared" si="215"/>
        <v>0</v>
      </c>
      <c r="AP302" s="185">
        <f t="shared" si="215"/>
        <v>0</v>
      </c>
      <c r="AQ302" s="185">
        <f t="shared" si="215"/>
        <v>0</v>
      </c>
      <c r="AR302" s="185">
        <f t="shared" si="215"/>
        <v>0</v>
      </c>
      <c r="AS302" s="185">
        <f t="shared" si="215"/>
        <v>0</v>
      </c>
      <c r="AT302" s="185">
        <f t="shared" si="215"/>
        <v>0</v>
      </c>
      <c r="AU302" s="185">
        <f t="shared" si="215"/>
        <v>0</v>
      </c>
    </row>
    <row r="303" spans="1:47">
      <c r="E303" s="36"/>
      <c r="G303" s="39"/>
      <c r="H303" s="39"/>
      <c r="I303" s="39"/>
      <c r="J303" s="39"/>
      <c r="K303" s="39"/>
    </row>
    <row r="304" spans="1:47">
      <c r="E304" s="327"/>
      <c r="F304" s="28"/>
      <c r="G304" s="324" t="str">
        <f>C306&amp;" Capital Costs"</f>
        <v>FOG Receiving Capital Costs</v>
      </c>
      <c r="H304" s="324"/>
      <c r="I304" s="324"/>
      <c r="J304" s="324"/>
      <c r="K304" s="324"/>
      <c r="L304" s="405" t="s">
        <v>79</v>
      </c>
      <c r="M304" s="256"/>
      <c r="N304" s="325" t="s">
        <v>490</v>
      </c>
      <c r="O304" s="311"/>
      <c r="P304" s="325" t="s">
        <v>491</v>
      </c>
      <c r="Q304" s="310"/>
      <c r="R304" s="325">
        <f>R$8</f>
        <v>2014</v>
      </c>
      <c r="S304" s="325">
        <f t="shared" ref="S304:AU304" si="216">S$8</f>
        <v>2015</v>
      </c>
      <c r="T304" s="325">
        <f t="shared" si="216"/>
        <v>2016</v>
      </c>
      <c r="U304" s="325">
        <f t="shared" si="216"/>
        <v>2017</v>
      </c>
      <c r="V304" s="325">
        <f t="shared" si="216"/>
        <v>2018</v>
      </c>
      <c r="W304" s="325">
        <f t="shared" si="216"/>
        <v>2019</v>
      </c>
      <c r="X304" s="325">
        <f t="shared" si="216"/>
        <v>2020</v>
      </c>
      <c r="Y304" s="325">
        <f t="shared" si="216"/>
        <v>2021</v>
      </c>
      <c r="Z304" s="325">
        <f t="shared" si="216"/>
        <v>2022</v>
      </c>
      <c r="AA304" s="325">
        <f t="shared" si="216"/>
        <v>2023</v>
      </c>
      <c r="AB304" s="325">
        <f t="shared" si="216"/>
        <v>2024</v>
      </c>
      <c r="AC304" s="325">
        <f t="shared" si="216"/>
        <v>2025</v>
      </c>
      <c r="AD304" s="325">
        <f t="shared" si="216"/>
        <v>2026</v>
      </c>
      <c r="AE304" s="325">
        <f t="shared" si="216"/>
        <v>2027</v>
      </c>
      <c r="AF304" s="325">
        <f t="shared" si="216"/>
        <v>2028</v>
      </c>
      <c r="AG304" s="325">
        <f t="shared" si="216"/>
        <v>2029</v>
      </c>
      <c r="AH304" s="325">
        <f t="shared" si="216"/>
        <v>2030</v>
      </c>
      <c r="AI304" s="325">
        <f t="shared" si="216"/>
        <v>2031</v>
      </c>
      <c r="AJ304" s="325">
        <f t="shared" si="216"/>
        <v>2032</v>
      </c>
      <c r="AK304" s="325">
        <f t="shared" si="216"/>
        <v>2033</v>
      </c>
      <c r="AL304" s="325">
        <f t="shared" si="216"/>
        <v>2034</v>
      </c>
      <c r="AM304" s="325">
        <f t="shared" si="216"/>
        <v>2035</v>
      </c>
      <c r="AN304" s="325">
        <f t="shared" si="216"/>
        <v>2036</v>
      </c>
      <c r="AO304" s="325">
        <f t="shared" si="216"/>
        <v>2037</v>
      </c>
      <c r="AP304" s="325">
        <f t="shared" si="216"/>
        <v>2038</v>
      </c>
      <c r="AQ304" s="325">
        <f t="shared" si="216"/>
        <v>2039</v>
      </c>
      <c r="AR304" s="325">
        <f t="shared" si="216"/>
        <v>2040</v>
      </c>
      <c r="AS304" s="325">
        <f t="shared" si="216"/>
        <v>2041</v>
      </c>
      <c r="AT304" s="325">
        <f t="shared" si="216"/>
        <v>2042</v>
      </c>
      <c r="AU304" s="325">
        <f t="shared" si="216"/>
        <v>2043</v>
      </c>
    </row>
    <row r="305" spans="1:47">
      <c r="E305" s="325"/>
      <c r="G305" s="39"/>
      <c r="H305" s="39"/>
      <c r="I305" s="39"/>
      <c r="J305" s="39"/>
      <c r="K305" s="39"/>
    </row>
    <row r="306" spans="1:47">
      <c r="A306" s="38" t="str">
        <f>$J$4&amp;"-"</f>
        <v>2Y-</v>
      </c>
      <c r="B306" s="38" t="s">
        <v>306</v>
      </c>
      <c r="C306" s="38" t="s">
        <v>161</v>
      </c>
      <c r="D306" s="186">
        <f>CapExEsc</f>
        <v>0.03</v>
      </c>
      <c r="E306" s="325"/>
      <c r="G306" s="36" t="s">
        <v>8</v>
      </c>
      <c r="H306" s="39"/>
      <c r="I306" s="39"/>
      <c r="J306" s="70"/>
      <c r="K306" s="39"/>
      <c r="L306" s="43" t="str">
        <f>"["&amp;CostBaseYr&amp;" $]"</f>
        <v>[2013 $]</v>
      </c>
      <c r="N306" s="52">
        <f ca="1">SUMIFS(OFFSET(Assumptions!$I$65,0,MATCH($A306,Configurations,0)-1,COUNT(Assumptions!$A$65:$A$84),1),Assumptions!$E$65:$E$84,$C306)</f>
        <v>600000</v>
      </c>
      <c r="O306" s="52"/>
      <c r="P306" s="322"/>
      <c r="Q306" s="52"/>
      <c r="R306" s="52">
        <f t="shared" ref="R306:AU306" ca="1" si="217">R307*IF($P306=0,$N306,$P306)*(1+$D306)^(R$8-CostBaseYr)</f>
        <v>618000</v>
      </c>
      <c r="S306" s="52">
        <f t="shared" ca="1" si="217"/>
        <v>0</v>
      </c>
      <c r="T306" s="52">
        <f t="shared" ca="1" si="217"/>
        <v>0</v>
      </c>
      <c r="U306" s="52">
        <f t="shared" ca="1" si="217"/>
        <v>0</v>
      </c>
      <c r="V306" s="52">
        <f t="shared" ca="1" si="217"/>
        <v>0</v>
      </c>
      <c r="W306" s="52">
        <f t="shared" ca="1" si="217"/>
        <v>0</v>
      </c>
      <c r="X306" s="52">
        <f t="shared" ca="1" si="217"/>
        <v>0</v>
      </c>
      <c r="Y306" s="52">
        <f t="shared" ca="1" si="217"/>
        <v>0</v>
      </c>
      <c r="Z306" s="52">
        <f t="shared" ca="1" si="217"/>
        <v>0</v>
      </c>
      <c r="AA306" s="52">
        <f t="shared" ca="1" si="217"/>
        <v>0</v>
      </c>
      <c r="AB306" s="52">
        <f t="shared" ca="1" si="217"/>
        <v>0</v>
      </c>
      <c r="AC306" s="52">
        <f t="shared" ca="1" si="217"/>
        <v>0</v>
      </c>
      <c r="AD306" s="52">
        <f t="shared" ca="1" si="217"/>
        <v>0</v>
      </c>
      <c r="AE306" s="52">
        <f t="shared" ca="1" si="217"/>
        <v>0</v>
      </c>
      <c r="AF306" s="52">
        <f t="shared" ca="1" si="217"/>
        <v>0</v>
      </c>
      <c r="AG306" s="52">
        <f t="shared" ca="1" si="217"/>
        <v>0</v>
      </c>
      <c r="AH306" s="52">
        <f t="shared" ca="1" si="217"/>
        <v>0</v>
      </c>
      <c r="AI306" s="52">
        <f t="shared" ca="1" si="217"/>
        <v>0</v>
      </c>
      <c r="AJ306" s="52">
        <f t="shared" ca="1" si="217"/>
        <v>0</v>
      </c>
      <c r="AK306" s="52">
        <f t="shared" ca="1" si="217"/>
        <v>0</v>
      </c>
      <c r="AL306" s="52">
        <f t="shared" ca="1" si="217"/>
        <v>0</v>
      </c>
      <c r="AM306" s="52">
        <f t="shared" ca="1" si="217"/>
        <v>0</v>
      </c>
      <c r="AN306" s="52">
        <f t="shared" ca="1" si="217"/>
        <v>0</v>
      </c>
      <c r="AO306" s="52">
        <f t="shared" ca="1" si="217"/>
        <v>0</v>
      </c>
      <c r="AP306" s="52">
        <f t="shared" ca="1" si="217"/>
        <v>0</v>
      </c>
      <c r="AQ306" s="52">
        <f t="shared" ca="1" si="217"/>
        <v>0</v>
      </c>
      <c r="AR306" s="52">
        <f t="shared" ca="1" si="217"/>
        <v>0</v>
      </c>
      <c r="AS306" s="52">
        <f t="shared" ca="1" si="217"/>
        <v>0</v>
      </c>
      <c r="AT306" s="52">
        <f t="shared" ca="1" si="217"/>
        <v>0</v>
      </c>
      <c r="AU306" s="52">
        <f t="shared" ca="1" si="217"/>
        <v>0</v>
      </c>
    </row>
    <row r="307" spans="1:47">
      <c r="E307" s="325"/>
      <c r="G307" s="36" t="s">
        <v>10</v>
      </c>
      <c r="H307" s="39"/>
      <c r="I307" s="39"/>
      <c r="J307" s="39"/>
      <c r="K307" s="39"/>
      <c r="L307" s="43"/>
      <c r="R307" s="54">
        <f>Assumptions!M$60</f>
        <v>1</v>
      </c>
      <c r="S307" s="54">
        <f>Assumptions!N$60</f>
        <v>0</v>
      </c>
      <c r="T307" s="54">
        <f>Assumptions!O$60</f>
        <v>0</v>
      </c>
      <c r="U307" s="54">
        <f>Assumptions!P$60</f>
        <v>0</v>
      </c>
      <c r="V307" s="54">
        <f>Assumptions!Q$60</f>
        <v>0</v>
      </c>
      <c r="W307" s="54">
        <f>Assumptions!R$60</f>
        <v>0</v>
      </c>
      <c r="X307" s="54">
        <f>Assumptions!S$60</f>
        <v>0</v>
      </c>
      <c r="Y307" s="54">
        <f>Assumptions!T$60</f>
        <v>0</v>
      </c>
      <c r="Z307" s="54">
        <f>Assumptions!U$60</f>
        <v>0</v>
      </c>
      <c r="AA307" s="54">
        <f>Assumptions!V$60</f>
        <v>0</v>
      </c>
      <c r="AB307" s="54">
        <f>Assumptions!W$60</f>
        <v>0</v>
      </c>
      <c r="AC307" s="54">
        <f>Assumptions!X$60</f>
        <v>0</v>
      </c>
      <c r="AD307" s="54">
        <f>Assumptions!Y$60</f>
        <v>0</v>
      </c>
      <c r="AE307" s="54">
        <f>Assumptions!Z$60</f>
        <v>0</v>
      </c>
      <c r="AF307" s="54">
        <f>Assumptions!AA$60</f>
        <v>0</v>
      </c>
      <c r="AG307" s="54">
        <f>Assumptions!AB$60</f>
        <v>0</v>
      </c>
      <c r="AH307" s="54">
        <f>Assumptions!AC$60</f>
        <v>0</v>
      </c>
      <c r="AI307" s="54">
        <f>Assumptions!AD$60</f>
        <v>0</v>
      </c>
      <c r="AJ307" s="54">
        <f>Assumptions!AE$60</f>
        <v>0</v>
      </c>
      <c r="AK307" s="54">
        <f>Assumptions!AF$60</f>
        <v>0</v>
      </c>
      <c r="AL307" s="54">
        <f>Assumptions!AG$60</f>
        <v>0</v>
      </c>
      <c r="AM307" s="54">
        <f>Assumptions!AH$60</f>
        <v>0</v>
      </c>
      <c r="AN307" s="54">
        <f>Assumptions!AI$60</f>
        <v>0</v>
      </c>
      <c r="AO307" s="54">
        <f>Assumptions!AJ$60</f>
        <v>0</v>
      </c>
      <c r="AP307" s="54">
        <f>Assumptions!AK$60</f>
        <v>0</v>
      </c>
      <c r="AQ307" s="54">
        <f>Assumptions!AL$60</f>
        <v>0</v>
      </c>
      <c r="AR307" s="54">
        <f>Assumptions!AM$60</f>
        <v>0</v>
      </c>
      <c r="AS307" s="54">
        <f>Assumptions!AN$60</f>
        <v>0</v>
      </c>
      <c r="AT307" s="54">
        <f>Assumptions!AO$60</f>
        <v>0</v>
      </c>
      <c r="AU307" s="54">
        <f>Assumptions!AP$60</f>
        <v>0</v>
      </c>
    </row>
    <row r="308" spans="1:47">
      <c r="E308" s="326"/>
      <c r="G308" s="39"/>
      <c r="H308" s="39"/>
      <c r="I308" s="39"/>
      <c r="J308" s="39"/>
      <c r="K308" s="39"/>
    </row>
    <row r="309" spans="1:47">
      <c r="E309" s="327"/>
      <c r="F309" s="28"/>
      <c r="G309" s="324" t="str">
        <f>C306&amp;" O&amp;M"</f>
        <v>FOG Receiving O&amp;M</v>
      </c>
      <c r="H309" s="324"/>
      <c r="I309" s="324"/>
      <c r="J309" s="324"/>
      <c r="K309" s="324"/>
      <c r="L309" s="405" t="s">
        <v>79</v>
      </c>
      <c r="M309" s="256"/>
      <c r="N309" s="325" t="s">
        <v>490</v>
      </c>
      <c r="O309" s="311"/>
      <c r="P309" s="325" t="s">
        <v>491</v>
      </c>
      <c r="Q309" s="310"/>
      <c r="R309" s="325">
        <f>R$8</f>
        <v>2014</v>
      </c>
      <c r="S309" s="325">
        <f t="shared" ref="S309:AU309" si="218">S$8</f>
        <v>2015</v>
      </c>
      <c r="T309" s="325">
        <f t="shared" si="218"/>
        <v>2016</v>
      </c>
      <c r="U309" s="325">
        <f t="shared" si="218"/>
        <v>2017</v>
      </c>
      <c r="V309" s="325">
        <f t="shared" si="218"/>
        <v>2018</v>
      </c>
      <c r="W309" s="325">
        <f t="shared" si="218"/>
        <v>2019</v>
      </c>
      <c r="X309" s="325">
        <f t="shared" si="218"/>
        <v>2020</v>
      </c>
      <c r="Y309" s="325">
        <f t="shared" si="218"/>
        <v>2021</v>
      </c>
      <c r="Z309" s="325">
        <f t="shared" si="218"/>
        <v>2022</v>
      </c>
      <c r="AA309" s="325">
        <f t="shared" si="218"/>
        <v>2023</v>
      </c>
      <c r="AB309" s="325">
        <f t="shared" si="218"/>
        <v>2024</v>
      </c>
      <c r="AC309" s="325">
        <f t="shared" si="218"/>
        <v>2025</v>
      </c>
      <c r="AD309" s="325">
        <f t="shared" si="218"/>
        <v>2026</v>
      </c>
      <c r="AE309" s="325">
        <f t="shared" si="218"/>
        <v>2027</v>
      </c>
      <c r="AF309" s="325">
        <f t="shared" si="218"/>
        <v>2028</v>
      </c>
      <c r="AG309" s="325">
        <f t="shared" si="218"/>
        <v>2029</v>
      </c>
      <c r="AH309" s="325">
        <f t="shared" si="218"/>
        <v>2030</v>
      </c>
      <c r="AI309" s="325">
        <f t="shared" si="218"/>
        <v>2031</v>
      </c>
      <c r="AJ309" s="325">
        <f t="shared" si="218"/>
        <v>2032</v>
      </c>
      <c r="AK309" s="325">
        <f t="shared" si="218"/>
        <v>2033</v>
      </c>
      <c r="AL309" s="325">
        <f t="shared" si="218"/>
        <v>2034</v>
      </c>
      <c r="AM309" s="325">
        <f t="shared" si="218"/>
        <v>2035</v>
      </c>
      <c r="AN309" s="325">
        <f t="shared" si="218"/>
        <v>2036</v>
      </c>
      <c r="AO309" s="325">
        <f t="shared" si="218"/>
        <v>2037</v>
      </c>
      <c r="AP309" s="325">
        <f t="shared" si="218"/>
        <v>2038</v>
      </c>
      <c r="AQ309" s="325">
        <f t="shared" si="218"/>
        <v>2039</v>
      </c>
      <c r="AR309" s="325">
        <f t="shared" si="218"/>
        <v>2040</v>
      </c>
      <c r="AS309" s="325">
        <f t="shared" si="218"/>
        <v>2041</v>
      </c>
      <c r="AT309" s="325">
        <f t="shared" si="218"/>
        <v>2042</v>
      </c>
      <c r="AU309" s="325">
        <f t="shared" si="218"/>
        <v>2043</v>
      </c>
    </row>
    <row r="310" spans="1:47">
      <c r="E310" s="325"/>
      <c r="G310" s="39"/>
      <c r="H310" s="39"/>
      <c r="I310" s="39"/>
      <c r="J310" s="39"/>
      <c r="K310" s="39"/>
    </row>
    <row r="311" spans="1:47">
      <c r="E311" s="325"/>
      <c r="G311" s="39" t="s">
        <v>23</v>
      </c>
      <c r="H311" s="39"/>
      <c r="I311" s="39"/>
      <c r="J311" s="39"/>
      <c r="K311" s="39"/>
    </row>
    <row r="312" spans="1:47">
      <c r="A312" s="38" t="str">
        <f t="shared" ref="A312:A319" si="219">$J$4&amp;"-"</f>
        <v>2Y-</v>
      </c>
      <c r="B312" s="38" t="s">
        <v>262</v>
      </c>
      <c r="C312" s="38" t="str">
        <f>C306</f>
        <v>FOG Receiving</v>
      </c>
      <c r="D312" s="186">
        <f>LaborEsc</f>
        <v>0.02</v>
      </c>
      <c r="E312" s="325"/>
      <c r="G312" s="36" t="s">
        <v>125</v>
      </c>
      <c r="I312" s="39"/>
      <c r="K312" s="39"/>
      <c r="L312" s="43" t="s">
        <v>266</v>
      </c>
      <c r="N312" s="70">
        <f ca="1">SUMIFS(OFFSET(Assumptions!$I$90,0,MATCH($A312,Configurations,0)-1,COUNT(Assumptions!$A$90:$A$183),1),Assumptions!$D$90:$D$183,$B312&amp;$C312)</f>
        <v>3285</v>
      </c>
      <c r="O312" s="313"/>
      <c r="P312" s="323"/>
      <c r="Q312" s="313"/>
      <c r="R312" s="50">
        <f t="shared" ref="R312:AU312" ca="1" si="220">IF(OR(R$99&lt;InServiceYr,R$99&gt;(InServiceYr+analysis_period-1)),0,IF($P312=0,$N312,$P312)*LaborCost*(1+$D312)^(R$99-CostBaseYr))</f>
        <v>117274.5</v>
      </c>
      <c r="S312" s="50">
        <f t="shared" ca="1" si="220"/>
        <v>119619.99</v>
      </c>
      <c r="T312" s="50">
        <f t="shared" ca="1" si="220"/>
        <v>122012.38979999999</v>
      </c>
      <c r="U312" s="50">
        <f t="shared" ca="1" si="220"/>
        <v>124452.637596</v>
      </c>
      <c r="V312" s="50">
        <f t="shared" ca="1" si="220"/>
        <v>126941.69034792</v>
      </c>
      <c r="W312" s="50">
        <f t="shared" ca="1" si="220"/>
        <v>129480.52415487841</v>
      </c>
      <c r="X312" s="50">
        <f t="shared" ca="1" si="220"/>
        <v>132070.13463797595</v>
      </c>
      <c r="Y312" s="50">
        <f t="shared" ca="1" si="220"/>
        <v>134711.53733073547</v>
      </c>
      <c r="Z312" s="50">
        <f t="shared" ca="1" si="220"/>
        <v>137405.76807735019</v>
      </c>
      <c r="AA312" s="50">
        <f t="shared" ca="1" si="220"/>
        <v>140153.8834388972</v>
      </c>
      <c r="AB312" s="50">
        <f t="shared" ca="1" si="220"/>
        <v>142956.9611076751</v>
      </c>
      <c r="AC312" s="50">
        <f t="shared" ca="1" si="220"/>
        <v>145816.10032982865</v>
      </c>
      <c r="AD312" s="50">
        <f t="shared" ca="1" si="220"/>
        <v>148732.4223364252</v>
      </c>
      <c r="AE312" s="50">
        <f t="shared" ca="1" si="220"/>
        <v>151707.07078315373</v>
      </c>
      <c r="AF312" s="50">
        <f t="shared" ca="1" si="220"/>
        <v>154741.21219881676</v>
      </c>
      <c r="AG312" s="50">
        <f t="shared" ca="1" si="220"/>
        <v>157836.03644279312</v>
      </c>
      <c r="AH312" s="50">
        <f t="shared" ca="1" si="220"/>
        <v>160992.75717164899</v>
      </c>
      <c r="AI312" s="50">
        <f t="shared" ca="1" si="220"/>
        <v>164212.61231508196</v>
      </c>
      <c r="AJ312" s="50">
        <f t="shared" ca="1" si="220"/>
        <v>167496.86456138358</v>
      </c>
      <c r="AK312" s="50">
        <f t="shared" ca="1" si="220"/>
        <v>170846.80185261127</v>
      </c>
      <c r="AL312" s="50">
        <f t="shared" si="220"/>
        <v>0</v>
      </c>
      <c r="AM312" s="50">
        <f t="shared" si="220"/>
        <v>0</v>
      </c>
      <c r="AN312" s="50">
        <f t="shared" si="220"/>
        <v>0</v>
      </c>
      <c r="AO312" s="50">
        <f t="shared" si="220"/>
        <v>0</v>
      </c>
      <c r="AP312" s="50">
        <f t="shared" si="220"/>
        <v>0</v>
      </c>
      <c r="AQ312" s="50">
        <f t="shared" si="220"/>
        <v>0</v>
      </c>
      <c r="AR312" s="50">
        <f t="shared" si="220"/>
        <v>0</v>
      </c>
      <c r="AS312" s="50">
        <f t="shared" si="220"/>
        <v>0</v>
      </c>
      <c r="AT312" s="50">
        <f t="shared" si="220"/>
        <v>0</v>
      </c>
      <c r="AU312" s="50">
        <f t="shared" si="220"/>
        <v>0</v>
      </c>
    </row>
    <row r="313" spans="1:47">
      <c r="A313" s="38" t="str">
        <f t="shared" si="219"/>
        <v>2Y-</v>
      </c>
      <c r="B313" s="38" t="s">
        <v>270</v>
      </c>
      <c r="C313" s="38" t="str">
        <f>C312</f>
        <v>FOG Receiving</v>
      </c>
      <c r="D313" s="186">
        <f>OMEsc</f>
        <v>0.02</v>
      </c>
      <c r="E313" s="325"/>
      <c r="G313" s="36" t="s">
        <v>126</v>
      </c>
      <c r="I313" s="39"/>
      <c r="K313" s="39"/>
      <c r="L313" s="43" t="str">
        <f>"["&amp;CostBaseYr&amp;" $]"</f>
        <v>[2013 $]</v>
      </c>
      <c r="N313" s="70">
        <f ca="1">SUMIFS(OFFSET(Assumptions!$I$90,0,MATCH($A313,Configurations,0)-1,COUNT(Assumptions!$A$90:$A$183),1),Assumptions!$D$90:$D$183,$B313&amp;$C313)</f>
        <v>12000</v>
      </c>
      <c r="O313" s="313"/>
      <c r="P313" s="323"/>
      <c r="Q313" s="313"/>
      <c r="R313" s="50">
        <f t="shared" ref="R313:AG315" ca="1" si="221">IF(OR(R$99&lt;InServiceYr,R$99&gt;(InServiceYr+analysis_period-1)),0,IF($P313=0,$N313,$P313)*(1+$D313)^(R$99-CostBaseYr))</f>
        <v>12240</v>
      </c>
      <c r="S313" s="50">
        <f t="shared" ca="1" si="221"/>
        <v>12484.8</v>
      </c>
      <c r="T313" s="50">
        <f t="shared" ca="1" si="221"/>
        <v>12734.495999999999</v>
      </c>
      <c r="U313" s="50">
        <f t="shared" ca="1" si="221"/>
        <v>12989.18592</v>
      </c>
      <c r="V313" s="50">
        <f t="shared" ca="1" si="221"/>
        <v>13248.9696384</v>
      </c>
      <c r="W313" s="50">
        <f t="shared" ca="1" si="221"/>
        <v>13513.949031168</v>
      </c>
      <c r="X313" s="50">
        <f t="shared" ca="1" si="221"/>
        <v>13784.228011791358</v>
      </c>
      <c r="Y313" s="50">
        <f t="shared" ca="1" si="221"/>
        <v>14059.912572027186</v>
      </c>
      <c r="Z313" s="50">
        <f t="shared" ca="1" si="221"/>
        <v>14341.11082346773</v>
      </c>
      <c r="AA313" s="50">
        <f t="shared" ca="1" si="221"/>
        <v>14627.933039937085</v>
      </c>
      <c r="AB313" s="50">
        <f t="shared" ca="1" si="221"/>
        <v>14920.491700735824</v>
      </c>
      <c r="AC313" s="50">
        <f t="shared" ca="1" si="221"/>
        <v>15218.901534750543</v>
      </c>
      <c r="AD313" s="50">
        <f t="shared" ca="1" si="221"/>
        <v>15523.279565445553</v>
      </c>
      <c r="AE313" s="50">
        <f t="shared" ca="1" si="221"/>
        <v>15833.745156754465</v>
      </c>
      <c r="AF313" s="50">
        <f t="shared" ca="1" si="221"/>
        <v>16150.420059889551</v>
      </c>
      <c r="AG313" s="50">
        <f t="shared" ca="1" si="221"/>
        <v>16473.428461087344</v>
      </c>
      <c r="AH313" s="50">
        <f t="shared" ref="S313:AU315" ca="1" si="222">IF(OR(AH$99&lt;InServiceYr,AH$99&gt;(InServiceYr+analysis_period-1)),0,IF($P313=0,$N313,$P313)*(1+$D313)^(AH$99-CostBaseYr))</f>
        <v>16802.897030309094</v>
      </c>
      <c r="AI313" s="50">
        <f t="shared" ca="1" si="222"/>
        <v>17138.954970915274</v>
      </c>
      <c r="AJ313" s="50">
        <f t="shared" ca="1" si="222"/>
        <v>17481.734070333576</v>
      </c>
      <c r="AK313" s="50">
        <f t="shared" ca="1" si="222"/>
        <v>17831.36875174025</v>
      </c>
      <c r="AL313" s="50">
        <f t="shared" si="222"/>
        <v>0</v>
      </c>
      <c r="AM313" s="50">
        <f t="shared" si="222"/>
        <v>0</v>
      </c>
      <c r="AN313" s="50">
        <f t="shared" si="222"/>
        <v>0</v>
      </c>
      <c r="AO313" s="50">
        <f t="shared" si="222"/>
        <v>0</v>
      </c>
      <c r="AP313" s="50">
        <f t="shared" si="222"/>
        <v>0</v>
      </c>
      <c r="AQ313" s="50">
        <f t="shared" si="222"/>
        <v>0</v>
      </c>
      <c r="AR313" s="50">
        <f t="shared" si="222"/>
        <v>0</v>
      </c>
      <c r="AS313" s="50">
        <f t="shared" si="222"/>
        <v>0</v>
      </c>
      <c r="AT313" s="50">
        <f t="shared" si="222"/>
        <v>0</v>
      </c>
      <c r="AU313" s="50">
        <f t="shared" si="222"/>
        <v>0</v>
      </c>
    </row>
    <row r="314" spans="1:47">
      <c r="A314" s="38" t="str">
        <f t="shared" si="219"/>
        <v>2Y-</v>
      </c>
      <c r="B314" s="38" t="s">
        <v>263</v>
      </c>
      <c r="C314" s="38" t="str">
        <f t="shared" ref="C314:C318" si="223">C313</f>
        <v>FOG Receiving</v>
      </c>
      <c r="D314" s="186">
        <f>OMEsc</f>
        <v>0.02</v>
      </c>
      <c r="E314" s="325"/>
      <c r="G314" s="36" t="s">
        <v>127</v>
      </c>
      <c r="I314" s="39"/>
      <c r="K314" s="39"/>
      <c r="L314" s="43" t="str">
        <f>"["&amp;CostBaseYr&amp;" $]"</f>
        <v>[2013 $]</v>
      </c>
      <c r="N314" s="70">
        <f ca="1">SUMIFS(OFFSET(Assumptions!$I$90,0,MATCH($A314,Configurations,0)-1,COUNT(Assumptions!$A$90:$A$183),1),Assumptions!$D$90:$D$183,$B314&amp;$C314)</f>
        <v>0</v>
      </c>
      <c r="O314" s="313"/>
      <c r="P314" s="323"/>
      <c r="Q314" s="313"/>
      <c r="R314" s="50">
        <f t="shared" ca="1" si="221"/>
        <v>0</v>
      </c>
      <c r="S314" s="50">
        <f t="shared" ca="1" si="222"/>
        <v>0</v>
      </c>
      <c r="T314" s="50">
        <f t="shared" ca="1" si="222"/>
        <v>0</v>
      </c>
      <c r="U314" s="50">
        <f t="shared" ca="1" si="222"/>
        <v>0</v>
      </c>
      <c r="V314" s="50">
        <f t="shared" ca="1" si="222"/>
        <v>0</v>
      </c>
      <c r="W314" s="50">
        <f t="shared" ca="1" si="222"/>
        <v>0</v>
      </c>
      <c r="X314" s="50">
        <f t="shared" ca="1" si="222"/>
        <v>0</v>
      </c>
      <c r="Y314" s="50">
        <f t="shared" ca="1" si="222"/>
        <v>0</v>
      </c>
      <c r="Z314" s="50">
        <f t="shared" ca="1" si="222"/>
        <v>0</v>
      </c>
      <c r="AA314" s="50">
        <f t="shared" ca="1" si="222"/>
        <v>0</v>
      </c>
      <c r="AB314" s="50">
        <f t="shared" ca="1" si="222"/>
        <v>0</v>
      </c>
      <c r="AC314" s="50">
        <f t="shared" ca="1" si="222"/>
        <v>0</v>
      </c>
      <c r="AD314" s="50">
        <f t="shared" ca="1" si="222"/>
        <v>0</v>
      </c>
      <c r="AE314" s="50">
        <f t="shared" ca="1" si="222"/>
        <v>0</v>
      </c>
      <c r="AF314" s="50">
        <f t="shared" ca="1" si="222"/>
        <v>0</v>
      </c>
      <c r="AG314" s="50">
        <f t="shared" ca="1" si="222"/>
        <v>0</v>
      </c>
      <c r="AH314" s="50">
        <f t="shared" ca="1" si="222"/>
        <v>0</v>
      </c>
      <c r="AI314" s="50">
        <f t="shared" ca="1" si="222"/>
        <v>0</v>
      </c>
      <c r="AJ314" s="50">
        <f t="shared" ca="1" si="222"/>
        <v>0</v>
      </c>
      <c r="AK314" s="50">
        <f t="shared" ca="1" si="222"/>
        <v>0</v>
      </c>
      <c r="AL314" s="50">
        <f t="shared" si="222"/>
        <v>0</v>
      </c>
      <c r="AM314" s="50">
        <f t="shared" si="222"/>
        <v>0</v>
      </c>
      <c r="AN314" s="50">
        <f t="shared" si="222"/>
        <v>0</v>
      </c>
      <c r="AO314" s="50">
        <f t="shared" si="222"/>
        <v>0</v>
      </c>
      <c r="AP314" s="50">
        <f t="shared" si="222"/>
        <v>0</v>
      </c>
      <c r="AQ314" s="50">
        <f t="shared" si="222"/>
        <v>0</v>
      </c>
      <c r="AR314" s="50">
        <f t="shared" si="222"/>
        <v>0</v>
      </c>
      <c r="AS314" s="50">
        <f t="shared" si="222"/>
        <v>0</v>
      </c>
      <c r="AT314" s="50">
        <f t="shared" si="222"/>
        <v>0</v>
      </c>
      <c r="AU314" s="50">
        <f t="shared" si="222"/>
        <v>0</v>
      </c>
    </row>
    <row r="315" spans="1:47">
      <c r="A315" s="38" t="str">
        <f t="shared" si="219"/>
        <v>2Y-</v>
      </c>
      <c r="B315" s="38" t="s">
        <v>277</v>
      </c>
      <c r="C315" s="38" t="str">
        <f t="shared" si="223"/>
        <v>FOG Receiving</v>
      </c>
      <c r="D315" s="186">
        <f>OMEsc</f>
        <v>0.02</v>
      </c>
      <c r="E315" s="325"/>
      <c r="G315" s="36" t="s">
        <v>276</v>
      </c>
      <c r="I315" s="39"/>
      <c r="K315" s="39"/>
      <c r="L315" s="43" t="str">
        <f>"["&amp;CostBaseYr&amp;" $]"</f>
        <v>[2013 $]</v>
      </c>
      <c r="N315" s="70">
        <f ca="1">SUMIFS(OFFSET(Assumptions!$I$90,0,MATCH($A315,Configurations,0)-1,COUNT(Assumptions!$A$90:$A$183),1),Assumptions!$D$90:$D$183,$B315&amp;$C315)</f>
        <v>0</v>
      </c>
      <c r="O315" s="313"/>
      <c r="P315" s="323"/>
      <c r="Q315" s="313"/>
      <c r="R315" s="50">
        <f t="shared" ca="1" si="221"/>
        <v>0</v>
      </c>
      <c r="S315" s="50">
        <f t="shared" ca="1" si="222"/>
        <v>0</v>
      </c>
      <c r="T315" s="50">
        <f t="shared" ca="1" si="222"/>
        <v>0</v>
      </c>
      <c r="U315" s="50">
        <f t="shared" ca="1" si="222"/>
        <v>0</v>
      </c>
      <c r="V315" s="50">
        <f t="shared" ca="1" si="222"/>
        <v>0</v>
      </c>
      <c r="W315" s="50">
        <f t="shared" ca="1" si="222"/>
        <v>0</v>
      </c>
      <c r="X315" s="50">
        <f t="shared" ca="1" si="222"/>
        <v>0</v>
      </c>
      <c r="Y315" s="50">
        <f t="shared" ca="1" si="222"/>
        <v>0</v>
      </c>
      <c r="Z315" s="50">
        <f t="shared" ca="1" si="222"/>
        <v>0</v>
      </c>
      <c r="AA315" s="50">
        <f t="shared" ca="1" si="222"/>
        <v>0</v>
      </c>
      <c r="AB315" s="50">
        <f t="shared" ca="1" si="222"/>
        <v>0</v>
      </c>
      <c r="AC315" s="50">
        <f t="shared" ca="1" si="222"/>
        <v>0</v>
      </c>
      <c r="AD315" s="50">
        <f t="shared" ca="1" si="222"/>
        <v>0</v>
      </c>
      <c r="AE315" s="50">
        <f t="shared" ca="1" si="222"/>
        <v>0</v>
      </c>
      <c r="AF315" s="50">
        <f t="shared" ca="1" si="222"/>
        <v>0</v>
      </c>
      <c r="AG315" s="50">
        <f t="shared" ca="1" si="222"/>
        <v>0</v>
      </c>
      <c r="AH315" s="50">
        <f t="shared" ca="1" si="222"/>
        <v>0</v>
      </c>
      <c r="AI315" s="50">
        <f t="shared" ca="1" si="222"/>
        <v>0</v>
      </c>
      <c r="AJ315" s="50">
        <f t="shared" ca="1" si="222"/>
        <v>0</v>
      </c>
      <c r="AK315" s="50">
        <f t="shared" ca="1" si="222"/>
        <v>0</v>
      </c>
      <c r="AL315" s="50">
        <f t="shared" si="222"/>
        <v>0</v>
      </c>
      <c r="AM315" s="50">
        <f t="shared" si="222"/>
        <v>0</v>
      </c>
      <c r="AN315" s="50">
        <f t="shared" si="222"/>
        <v>0</v>
      </c>
      <c r="AO315" s="50">
        <f t="shared" si="222"/>
        <v>0</v>
      </c>
      <c r="AP315" s="50">
        <f t="shared" si="222"/>
        <v>0</v>
      </c>
      <c r="AQ315" s="50">
        <f t="shared" si="222"/>
        <v>0</v>
      </c>
      <c r="AR315" s="50">
        <f t="shared" si="222"/>
        <v>0</v>
      </c>
      <c r="AS315" s="50">
        <f t="shared" si="222"/>
        <v>0</v>
      </c>
      <c r="AT315" s="50">
        <f t="shared" si="222"/>
        <v>0</v>
      </c>
      <c r="AU315" s="50">
        <f t="shared" si="222"/>
        <v>0</v>
      </c>
    </row>
    <row r="316" spans="1:47">
      <c r="A316" s="38" t="str">
        <f t="shared" si="219"/>
        <v>2Y-</v>
      </c>
      <c r="B316" s="38" t="s">
        <v>274</v>
      </c>
      <c r="C316" s="38" t="str">
        <f t="shared" si="223"/>
        <v>FOG Receiving</v>
      </c>
      <c r="D316" s="186"/>
      <c r="E316" s="325"/>
      <c r="G316" s="36" t="s">
        <v>16</v>
      </c>
      <c r="I316" s="39"/>
      <c r="K316" s="39"/>
      <c r="L316" s="43" t="s">
        <v>275</v>
      </c>
      <c r="N316" s="70">
        <f ca="1">SUMIFS(OFFSET(Assumptions!$I$90,0,MATCH($A316,Configurations,0)-1,COUNT(Assumptions!$A$90:$A$183),1),Assumptions!$D$90:$D$183,$B316&amp;$C316)</f>
        <v>0</v>
      </c>
      <c r="O316" s="313"/>
      <c r="P316" s="323"/>
      <c r="Q316" s="313"/>
      <c r="R316" s="50">
        <f t="shared" ref="R316:AU316" ca="1" si="224">IF(OR(R$99&lt;InServiceYr,R$99&gt;(InServiceYr+analysis_period-1)),0,IF($P316=0,$N316,$P316)*R$505)</f>
        <v>0</v>
      </c>
      <c r="S316" s="50">
        <f t="shared" ca="1" si="224"/>
        <v>0</v>
      </c>
      <c r="T316" s="50">
        <f t="shared" ca="1" si="224"/>
        <v>0</v>
      </c>
      <c r="U316" s="50">
        <f t="shared" ca="1" si="224"/>
        <v>0</v>
      </c>
      <c r="V316" s="50">
        <f t="shared" ca="1" si="224"/>
        <v>0</v>
      </c>
      <c r="W316" s="50">
        <f t="shared" ca="1" si="224"/>
        <v>0</v>
      </c>
      <c r="X316" s="50">
        <f t="shared" ca="1" si="224"/>
        <v>0</v>
      </c>
      <c r="Y316" s="50">
        <f t="shared" ca="1" si="224"/>
        <v>0</v>
      </c>
      <c r="Z316" s="50">
        <f t="shared" ca="1" si="224"/>
        <v>0</v>
      </c>
      <c r="AA316" s="50">
        <f t="shared" ca="1" si="224"/>
        <v>0</v>
      </c>
      <c r="AB316" s="50">
        <f t="shared" ca="1" si="224"/>
        <v>0</v>
      </c>
      <c r="AC316" s="50">
        <f t="shared" ca="1" si="224"/>
        <v>0</v>
      </c>
      <c r="AD316" s="50">
        <f t="shared" ca="1" si="224"/>
        <v>0</v>
      </c>
      <c r="AE316" s="50">
        <f t="shared" ca="1" si="224"/>
        <v>0</v>
      </c>
      <c r="AF316" s="50">
        <f t="shared" ca="1" si="224"/>
        <v>0</v>
      </c>
      <c r="AG316" s="50">
        <f t="shared" ca="1" si="224"/>
        <v>0</v>
      </c>
      <c r="AH316" s="50">
        <f t="shared" ca="1" si="224"/>
        <v>0</v>
      </c>
      <c r="AI316" s="50">
        <f t="shared" ca="1" si="224"/>
        <v>0</v>
      </c>
      <c r="AJ316" s="50">
        <f t="shared" ca="1" si="224"/>
        <v>0</v>
      </c>
      <c r="AK316" s="50">
        <f t="shared" ca="1" si="224"/>
        <v>0</v>
      </c>
      <c r="AL316" s="50">
        <f t="shared" si="224"/>
        <v>0</v>
      </c>
      <c r="AM316" s="50">
        <f t="shared" si="224"/>
        <v>0</v>
      </c>
      <c r="AN316" s="50">
        <f t="shared" si="224"/>
        <v>0</v>
      </c>
      <c r="AO316" s="50">
        <f t="shared" si="224"/>
        <v>0</v>
      </c>
      <c r="AP316" s="50">
        <f t="shared" si="224"/>
        <v>0</v>
      </c>
      <c r="AQ316" s="50">
        <f t="shared" si="224"/>
        <v>0</v>
      </c>
      <c r="AR316" s="50">
        <f t="shared" si="224"/>
        <v>0</v>
      </c>
      <c r="AS316" s="50">
        <f t="shared" si="224"/>
        <v>0</v>
      </c>
      <c r="AT316" s="50">
        <f t="shared" si="224"/>
        <v>0</v>
      </c>
      <c r="AU316" s="50">
        <f t="shared" si="224"/>
        <v>0</v>
      </c>
    </row>
    <row r="317" spans="1:47">
      <c r="A317" s="38" t="str">
        <f t="shared" si="219"/>
        <v>2Y-</v>
      </c>
      <c r="B317" s="38" t="s">
        <v>257</v>
      </c>
      <c r="C317" s="38" t="str">
        <f t="shared" si="223"/>
        <v>FOG Receiving</v>
      </c>
      <c r="D317" s="186"/>
      <c r="E317" s="325"/>
      <c r="G317" s="36" t="s">
        <v>284</v>
      </c>
      <c r="I317" s="39"/>
      <c r="K317" s="39"/>
      <c r="L317" s="43" t="s">
        <v>293</v>
      </c>
      <c r="N317" s="70">
        <f ca="1">SUMIFS(OFFSET(Assumptions!$I$90,0,MATCH($A317,Configurations,0)-1,COUNT(Assumptions!$A$90:$A$183),1),Assumptions!$D$90:$D$183,$B317&amp;$C317)</f>
        <v>105850</v>
      </c>
      <c r="O317" s="313"/>
      <c r="P317" s="323"/>
      <c r="Q317" s="313"/>
      <c r="R317" s="50">
        <f t="shared" ref="R317:AU317" ca="1" si="225">IF(OR(R$99&lt;InServiceYr,R$99&gt;(InServiceYr+analysis_period-1)),0,IF($P317=0,$N317,$P317)*R$501)</f>
        <v>6835.9577092445606</v>
      </c>
      <c r="S317" s="50">
        <f t="shared" ca="1" si="225"/>
        <v>6878.5698654569751</v>
      </c>
      <c r="T317" s="50">
        <f t="shared" ca="1" si="225"/>
        <v>7175.1046099425666</v>
      </c>
      <c r="U317" s="50">
        <f t="shared" ca="1" si="225"/>
        <v>7390.3397936299534</v>
      </c>
      <c r="V317" s="50">
        <f t="shared" ca="1" si="225"/>
        <v>7568.6768985765866</v>
      </c>
      <c r="W317" s="50">
        <f t="shared" ca="1" si="225"/>
        <v>7665.505122638262</v>
      </c>
      <c r="X317" s="50">
        <f t="shared" ca="1" si="225"/>
        <v>7790.2418495080474</v>
      </c>
      <c r="Y317" s="50">
        <f t="shared" ca="1" si="225"/>
        <v>7982.1775421596067</v>
      </c>
      <c r="Z317" s="50">
        <f t="shared" ca="1" si="225"/>
        <v>8173.2763153608539</v>
      </c>
      <c r="AA317" s="50">
        <f t="shared" ca="1" si="225"/>
        <v>8377.6282981238855</v>
      </c>
      <c r="AB317" s="50">
        <f t="shared" ca="1" si="225"/>
        <v>8559.0860768466464</v>
      </c>
      <c r="AC317" s="50">
        <f t="shared" ca="1" si="225"/>
        <v>8723.902908672535</v>
      </c>
      <c r="AD317" s="50">
        <f t="shared" ca="1" si="225"/>
        <v>8925.4232959171804</v>
      </c>
      <c r="AE317" s="50">
        <f t="shared" ca="1" si="225"/>
        <v>9128.8484959512753</v>
      </c>
      <c r="AF317" s="50">
        <f t="shared" ca="1" si="225"/>
        <v>9345.9015163231034</v>
      </c>
      <c r="AG317" s="50">
        <f t="shared" ca="1" si="225"/>
        <v>9589.0520598559269</v>
      </c>
      <c r="AH317" s="50">
        <f t="shared" ca="1" si="225"/>
        <v>9824.0553603569369</v>
      </c>
      <c r="AI317" s="50">
        <f t="shared" ca="1" si="225"/>
        <v>10078.906896739258</v>
      </c>
      <c r="AJ317" s="50">
        <f t="shared" ca="1" si="225"/>
        <v>10348.704248212454</v>
      </c>
      <c r="AK317" s="50">
        <f t="shared" ca="1" si="225"/>
        <v>10630.222802750419</v>
      </c>
      <c r="AL317" s="50">
        <f t="shared" si="225"/>
        <v>0</v>
      </c>
      <c r="AM317" s="50">
        <f t="shared" si="225"/>
        <v>0</v>
      </c>
      <c r="AN317" s="50">
        <f t="shared" si="225"/>
        <v>0</v>
      </c>
      <c r="AO317" s="50">
        <f t="shared" si="225"/>
        <v>0</v>
      </c>
      <c r="AP317" s="50">
        <f t="shared" si="225"/>
        <v>0</v>
      </c>
      <c r="AQ317" s="50">
        <f t="shared" si="225"/>
        <v>0</v>
      </c>
      <c r="AR317" s="50">
        <f t="shared" si="225"/>
        <v>0</v>
      </c>
      <c r="AS317" s="50">
        <f t="shared" si="225"/>
        <v>0</v>
      </c>
      <c r="AT317" s="50">
        <f t="shared" si="225"/>
        <v>0</v>
      </c>
      <c r="AU317" s="50">
        <f t="shared" si="225"/>
        <v>0</v>
      </c>
    </row>
    <row r="318" spans="1:47">
      <c r="A318" s="38" t="str">
        <f t="shared" si="219"/>
        <v>2Y-</v>
      </c>
      <c r="B318" s="38" t="s">
        <v>864</v>
      </c>
      <c r="C318" s="38" t="str">
        <f t="shared" si="223"/>
        <v>FOG Receiving</v>
      </c>
      <c r="D318" s="186">
        <f>GHGEsc</f>
        <v>0.02</v>
      </c>
      <c r="E318" s="325"/>
      <c r="G318" s="36" t="s">
        <v>865</v>
      </c>
      <c r="I318" s="39"/>
      <c r="K318" s="39"/>
      <c r="L318" s="43" t="s">
        <v>866</v>
      </c>
      <c r="N318" s="70">
        <f ca="1">SUMIFS(OFFSET(Assumptions!$I$90,0,MATCH($A318,Configurations,0)-1,COUNT(Assumptions!$A$90:$A$183),1),Assumptions!$D$90:$D$183,$B318&amp;$C318)</f>
        <v>0</v>
      </c>
      <c r="O318" s="313"/>
      <c r="P318" s="323"/>
      <c r="Q318" s="313"/>
      <c r="R318" s="50">
        <f t="shared" ref="R318:AU318" ca="1" si="226">IF(OR(R$99&lt;InServiceYr,R$99&gt;(InServiceYr+analysis_period-1)),0,IF($P318=0,$N318,$P318)*R$513)</f>
        <v>0</v>
      </c>
      <c r="S318" s="50">
        <f t="shared" ca="1" si="226"/>
        <v>0</v>
      </c>
      <c r="T318" s="50">
        <f t="shared" ca="1" si="226"/>
        <v>0</v>
      </c>
      <c r="U318" s="50">
        <f t="shared" ca="1" si="226"/>
        <v>0</v>
      </c>
      <c r="V318" s="50">
        <f t="shared" ca="1" si="226"/>
        <v>0</v>
      </c>
      <c r="W318" s="50">
        <f t="shared" ca="1" si="226"/>
        <v>0</v>
      </c>
      <c r="X318" s="50">
        <f t="shared" ca="1" si="226"/>
        <v>0</v>
      </c>
      <c r="Y318" s="50">
        <f t="shared" ca="1" si="226"/>
        <v>0</v>
      </c>
      <c r="Z318" s="50">
        <f t="shared" ca="1" si="226"/>
        <v>0</v>
      </c>
      <c r="AA318" s="50">
        <f t="shared" ca="1" si="226"/>
        <v>0</v>
      </c>
      <c r="AB318" s="50">
        <f t="shared" ca="1" si="226"/>
        <v>0</v>
      </c>
      <c r="AC318" s="50">
        <f t="shared" ca="1" si="226"/>
        <v>0</v>
      </c>
      <c r="AD318" s="50">
        <f t="shared" ca="1" si="226"/>
        <v>0</v>
      </c>
      <c r="AE318" s="50">
        <f t="shared" ca="1" si="226"/>
        <v>0</v>
      </c>
      <c r="AF318" s="50">
        <f t="shared" ca="1" si="226"/>
        <v>0</v>
      </c>
      <c r="AG318" s="50">
        <f t="shared" ca="1" si="226"/>
        <v>0</v>
      </c>
      <c r="AH318" s="50">
        <f t="shared" ca="1" si="226"/>
        <v>0</v>
      </c>
      <c r="AI318" s="50">
        <f t="shared" ca="1" si="226"/>
        <v>0</v>
      </c>
      <c r="AJ318" s="50">
        <f t="shared" ca="1" si="226"/>
        <v>0</v>
      </c>
      <c r="AK318" s="50">
        <f t="shared" ca="1" si="226"/>
        <v>0</v>
      </c>
      <c r="AL318" s="50">
        <f t="shared" si="226"/>
        <v>0</v>
      </c>
      <c r="AM318" s="50">
        <f t="shared" si="226"/>
        <v>0</v>
      </c>
      <c r="AN318" s="50">
        <f t="shared" si="226"/>
        <v>0</v>
      </c>
      <c r="AO318" s="50">
        <f t="shared" si="226"/>
        <v>0</v>
      </c>
      <c r="AP318" s="50">
        <f t="shared" si="226"/>
        <v>0</v>
      </c>
      <c r="AQ318" s="50">
        <f t="shared" si="226"/>
        <v>0</v>
      </c>
      <c r="AR318" s="50">
        <f t="shared" si="226"/>
        <v>0</v>
      </c>
      <c r="AS318" s="50">
        <f t="shared" si="226"/>
        <v>0</v>
      </c>
      <c r="AT318" s="50">
        <f t="shared" si="226"/>
        <v>0</v>
      </c>
      <c r="AU318" s="50">
        <f t="shared" si="226"/>
        <v>0</v>
      </c>
    </row>
    <row r="319" spans="1:47">
      <c r="A319" s="38" t="str">
        <f t="shared" si="219"/>
        <v>2Y-</v>
      </c>
      <c r="B319" s="38" t="s">
        <v>273</v>
      </c>
      <c r="C319" s="38" t="str">
        <f>C317</f>
        <v>FOG Receiving</v>
      </c>
      <c r="D319" s="186">
        <f>LaborEsc</f>
        <v>0.02</v>
      </c>
      <c r="E319" s="325"/>
      <c r="G319" s="36" t="s">
        <v>291</v>
      </c>
      <c r="I319" s="39"/>
      <c r="K319" s="39"/>
      <c r="L319" s="43" t="str">
        <f>"["&amp;CostBaseYr&amp;" $]"</f>
        <v>[2013 $]</v>
      </c>
      <c r="N319" s="70">
        <f ca="1">SUMIFS(OFFSET(Assumptions!$I$90,0,MATCH($A319,Configurations,0)-1,COUNT(Assumptions!$A$90:$A$183),1),Assumptions!$D$90:$D$183,$B319&amp;$C319)</f>
        <v>0</v>
      </c>
      <c r="O319" s="313"/>
      <c r="P319" s="323"/>
      <c r="Q319" s="313"/>
      <c r="R319" s="50">
        <f t="shared" ref="R319:AU319" ca="1" si="227">IF(OR(R$99&lt;InServiceYr,R$99&gt;(InServiceYr+analysis_period-1)),0,IF($P319=0,$N319,$P319)*(1+$D319)^(R$99-CostBaseYr))*R$509</f>
        <v>0</v>
      </c>
      <c r="S319" s="50">
        <f t="shared" ca="1" si="227"/>
        <v>0</v>
      </c>
      <c r="T319" s="50">
        <f t="shared" ca="1" si="227"/>
        <v>0</v>
      </c>
      <c r="U319" s="50">
        <f t="shared" ca="1" si="227"/>
        <v>0</v>
      </c>
      <c r="V319" s="50">
        <f t="shared" ca="1" si="227"/>
        <v>0</v>
      </c>
      <c r="W319" s="50">
        <f t="shared" ca="1" si="227"/>
        <v>0</v>
      </c>
      <c r="X319" s="50">
        <f t="shared" ca="1" si="227"/>
        <v>0</v>
      </c>
      <c r="Y319" s="50">
        <f t="shared" ca="1" si="227"/>
        <v>0</v>
      </c>
      <c r="Z319" s="50">
        <f t="shared" ca="1" si="227"/>
        <v>0</v>
      </c>
      <c r="AA319" s="50">
        <f t="shared" ca="1" si="227"/>
        <v>0</v>
      </c>
      <c r="AB319" s="50">
        <f t="shared" ca="1" si="227"/>
        <v>0</v>
      </c>
      <c r="AC319" s="50">
        <f t="shared" ca="1" si="227"/>
        <v>0</v>
      </c>
      <c r="AD319" s="50">
        <f t="shared" ca="1" si="227"/>
        <v>0</v>
      </c>
      <c r="AE319" s="50">
        <f t="shared" ca="1" si="227"/>
        <v>0</v>
      </c>
      <c r="AF319" s="50">
        <f t="shared" ca="1" si="227"/>
        <v>0</v>
      </c>
      <c r="AG319" s="50">
        <f t="shared" ca="1" si="227"/>
        <v>0</v>
      </c>
      <c r="AH319" s="50">
        <f t="shared" ca="1" si="227"/>
        <v>0</v>
      </c>
      <c r="AI319" s="50">
        <f t="shared" ca="1" si="227"/>
        <v>0</v>
      </c>
      <c r="AJ319" s="50">
        <f t="shared" ca="1" si="227"/>
        <v>0</v>
      </c>
      <c r="AK319" s="50">
        <f t="shared" ca="1" si="227"/>
        <v>0</v>
      </c>
      <c r="AL319" s="50">
        <f t="shared" si="227"/>
        <v>0</v>
      </c>
      <c r="AM319" s="50">
        <f t="shared" si="227"/>
        <v>0</v>
      </c>
      <c r="AN319" s="50">
        <f t="shared" si="227"/>
        <v>0</v>
      </c>
      <c r="AO319" s="50">
        <f t="shared" si="227"/>
        <v>0</v>
      </c>
      <c r="AP319" s="50">
        <f t="shared" si="227"/>
        <v>0</v>
      </c>
      <c r="AQ319" s="50">
        <f t="shared" si="227"/>
        <v>0</v>
      </c>
      <c r="AR319" s="50">
        <f t="shared" si="227"/>
        <v>0</v>
      </c>
      <c r="AS319" s="50">
        <f t="shared" si="227"/>
        <v>0</v>
      </c>
      <c r="AT319" s="50">
        <f t="shared" si="227"/>
        <v>0</v>
      </c>
      <c r="AU319" s="50">
        <f t="shared" si="227"/>
        <v>0</v>
      </c>
    </row>
    <row r="320" spans="1:47">
      <c r="D320" s="186"/>
      <c r="E320" s="325"/>
      <c r="G320" s="39" t="s">
        <v>304</v>
      </c>
      <c r="I320" s="39"/>
      <c r="K320" s="39"/>
      <c r="L320" s="43"/>
      <c r="N320" s="70"/>
      <c r="O320" s="313"/>
      <c r="P320" s="70"/>
      <c r="Q320" s="313"/>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row>
    <row r="321" spans="1:47">
      <c r="A321" s="38" t="str">
        <f>$J$4&amp;"-"</f>
        <v>2Y-</v>
      </c>
      <c r="B321" s="38" t="s">
        <v>265</v>
      </c>
      <c r="C321" s="38" t="str">
        <f>C312</f>
        <v>FOG Receiving</v>
      </c>
      <c r="D321" s="186"/>
      <c r="E321" s="325"/>
      <c r="G321" s="36" t="s">
        <v>108</v>
      </c>
      <c r="I321" s="39"/>
      <c r="K321" s="39"/>
      <c r="L321" s="43" t="s">
        <v>293</v>
      </c>
      <c r="N321" s="70">
        <f ca="1">SUMIFS(OFFSET(Assumptions!$I$90,0,MATCH($A321,Configurations,0)-1,COUNT(Assumptions!$A$90:$A$183),1),Assumptions!$D$90:$D$183,$B321&amp;$C321)</f>
        <v>0</v>
      </c>
      <c r="O321" s="313"/>
      <c r="P321" s="323"/>
      <c r="Q321" s="313"/>
      <c r="R321" s="50">
        <f t="shared" ref="R321:AU321" ca="1" si="228">IF(OR(R$99&lt;InServiceYr,R$99&gt;(InServiceYr+analysis_period-1)),0,IF($P321=0,$N321,$P321)*R$501)</f>
        <v>0</v>
      </c>
      <c r="S321" s="50">
        <f t="shared" ca="1" si="228"/>
        <v>0</v>
      </c>
      <c r="T321" s="50">
        <f t="shared" ca="1" si="228"/>
        <v>0</v>
      </c>
      <c r="U321" s="50">
        <f t="shared" ca="1" si="228"/>
        <v>0</v>
      </c>
      <c r="V321" s="50">
        <f t="shared" ca="1" si="228"/>
        <v>0</v>
      </c>
      <c r="W321" s="50">
        <f t="shared" ca="1" si="228"/>
        <v>0</v>
      </c>
      <c r="X321" s="50">
        <f t="shared" ca="1" si="228"/>
        <v>0</v>
      </c>
      <c r="Y321" s="50">
        <f t="shared" ca="1" si="228"/>
        <v>0</v>
      </c>
      <c r="Z321" s="50">
        <f t="shared" ca="1" si="228"/>
        <v>0</v>
      </c>
      <c r="AA321" s="50">
        <f t="shared" ca="1" si="228"/>
        <v>0</v>
      </c>
      <c r="AB321" s="50">
        <f t="shared" ca="1" si="228"/>
        <v>0</v>
      </c>
      <c r="AC321" s="50">
        <f t="shared" ca="1" si="228"/>
        <v>0</v>
      </c>
      <c r="AD321" s="50">
        <f t="shared" ca="1" si="228"/>
        <v>0</v>
      </c>
      <c r="AE321" s="50">
        <f t="shared" ca="1" si="228"/>
        <v>0</v>
      </c>
      <c r="AF321" s="50">
        <f t="shared" ca="1" si="228"/>
        <v>0</v>
      </c>
      <c r="AG321" s="50">
        <f t="shared" ca="1" si="228"/>
        <v>0</v>
      </c>
      <c r="AH321" s="50">
        <f t="shared" ca="1" si="228"/>
        <v>0</v>
      </c>
      <c r="AI321" s="50">
        <f t="shared" ca="1" si="228"/>
        <v>0</v>
      </c>
      <c r="AJ321" s="50">
        <f t="shared" ca="1" si="228"/>
        <v>0</v>
      </c>
      <c r="AK321" s="50">
        <f t="shared" ca="1" si="228"/>
        <v>0</v>
      </c>
      <c r="AL321" s="50">
        <f t="shared" si="228"/>
        <v>0</v>
      </c>
      <c r="AM321" s="50">
        <f t="shared" si="228"/>
        <v>0</v>
      </c>
      <c r="AN321" s="50">
        <f t="shared" si="228"/>
        <v>0</v>
      </c>
      <c r="AO321" s="50">
        <f t="shared" si="228"/>
        <v>0</v>
      </c>
      <c r="AP321" s="50">
        <f t="shared" si="228"/>
        <v>0</v>
      </c>
      <c r="AQ321" s="50">
        <f t="shared" si="228"/>
        <v>0</v>
      </c>
      <c r="AR321" s="50">
        <f t="shared" si="228"/>
        <v>0</v>
      </c>
      <c r="AS321" s="50">
        <f t="shared" si="228"/>
        <v>0</v>
      </c>
      <c r="AT321" s="50">
        <f t="shared" si="228"/>
        <v>0</v>
      </c>
      <c r="AU321" s="50">
        <f t="shared" si="228"/>
        <v>0</v>
      </c>
    </row>
    <row r="322" spans="1:47">
      <c r="A322" s="38" t="str">
        <f>$J$4&amp;"-"</f>
        <v>2Y-</v>
      </c>
      <c r="B322" s="38" t="s">
        <v>289</v>
      </c>
      <c r="C322" s="38" t="str">
        <f>C312</f>
        <v>FOG Receiving</v>
      </c>
      <c r="D322" s="186">
        <f>LaborEsc</f>
        <v>0.02</v>
      </c>
      <c r="E322" s="325"/>
      <c r="G322" s="36" t="s">
        <v>292</v>
      </c>
      <c r="I322" s="39"/>
      <c r="K322" s="39"/>
      <c r="L322" s="43" t="str">
        <f>"["&amp;CostBaseYr&amp;" $]"</f>
        <v>[2013 $]</v>
      </c>
      <c r="N322" s="70">
        <f ca="1">SUMIFS(OFFSET(Assumptions!$I$90,0,MATCH($A322,Configurations,0)-1,COUNT(Assumptions!$A$90:$A$183),1),Assumptions!$D$90:$D$183,$B322&amp;$C322)</f>
        <v>15000</v>
      </c>
      <c r="O322" s="313"/>
      <c r="P322" s="323"/>
      <c r="Q322" s="313"/>
      <c r="R322" s="50">
        <f t="shared" ref="R322:AU322" ca="1" si="229">IF(OR(R$99&lt;InServiceYr,R$99&gt;(InServiceYr+analysis_period-1)),0,IF($P322=0,$N322,$P322)*(1+$D322)^(R$99-CostBaseYr))</f>
        <v>15300</v>
      </c>
      <c r="S322" s="50">
        <f t="shared" ca="1" si="229"/>
        <v>15606</v>
      </c>
      <c r="T322" s="50">
        <f t="shared" ca="1" si="229"/>
        <v>15918.119999999999</v>
      </c>
      <c r="U322" s="50">
        <f t="shared" ca="1" si="229"/>
        <v>16236.482399999999</v>
      </c>
      <c r="V322" s="50">
        <f t="shared" ca="1" si="229"/>
        <v>16561.212048000001</v>
      </c>
      <c r="W322" s="50">
        <f t="shared" ca="1" si="229"/>
        <v>16892.436288960002</v>
      </c>
      <c r="X322" s="50">
        <f t="shared" ca="1" si="229"/>
        <v>17230.285014739198</v>
      </c>
      <c r="Y322" s="50">
        <f t="shared" ca="1" si="229"/>
        <v>17574.890715033984</v>
      </c>
      <c r="Z322" s="50">
        <f t="shared" ca="1" si="229"/>
        <v>17926.388529334661</v>
      </c>
      <c r="AA322" s="50">
        <f t="shared" ca="1" si="229"/>
        <v>18284.916299921355</v>
      </c>
      <c r="AB322" s="50">
        <f t="shared" ca="1" si="229"/>
        <v>18650.614625919781</v>
      </c>
      <c r="AC322" s="50">
        <f t="shared" ca="1" si="229"/>
        <v>19023.626918438178</v>
      </c>
      <c r="AD322" s="50">
        <f t="shared" ca="1" si="229"/>
        <v>19404.09945680694</v>
      </c>
      <c r="AE322" s="50">
        <f t="shared" ca="1" si="229"/>
        <v>19792.181445943083</v>
      </c>
      <c r="AF322" s="50">
        <f t="shared" ca="1" si="229"/>
        <v>20188.02507486194</v>
      </c>
      <c r="AG322" s="50">
        <f t="shared" ca="1" si="229"/>
        <v>20591.78557635918</v>
      </c>
      <c r="AH322" s="50">
        <f t="shared" ca="1" si="229"/>
        <v>21003.621287886366</v>
      </c>
      <c r="AI322" s="50">
        <f t="shared" ca="1" si="229"/>
        <v>21423.69371364409</v>
      </c>
      <c r="AJ322" s="50">
        <f t="shared" ca="1" si="229"/>
        <v>21852.167587916971</v>
      </c>
      <c r="AK322" s="50">
        <f t="shared" ca="1" si="229"/>
        <v>22289.210939675315</v>
      </c>
      <c r="AL322" s="50">
        <f t="shared" si="229"/>
        <v>0</v>
      </c>
      <c r="AM322" s="50">
        <f t="shared" si="229"/>
        <v>0</v>
      </c>
      <c r="AN322" s="50">
        <f t="shared" si="229"/>
        <v>0</v>
      </c>
      <c r="AO322" s="50">
        <f t="shared" si="229"/>
        <v>0</v>
      </c>
      <c r="AP322" s="50">
        <f t="shared" si="229"/>
        <v>0</v>
      </c>
      <c r="AQ322" s="50">
        <f t="shared" si="229"/>
        <v>0</v>
      </c>
      <c r="AR322" s="50">
        <f t="shared" si="229"/>
        <v>0</v>
      </c>
      <c r="AS322" s="50">
        <f t="shared" si="229"/>
        <v>0</v>
      </c>
      <c r="AT322" s="50">
        <f t="shared" si="229"/>
        <v>0</v>
      </c>
      <c r="AU322" s="50">
        <f t="shared" si="229"/>
        <v>0</v>
      </c>
    </row>
    <row r="323" spans="1:47" s="60" customFormat="1">
      <c r="D323" s="187"/>
      <c r="E323" s="325"/>
      <c r="G323" s="39" t="s">
        <v>305</v>
      </c>
      <c r="I323" s="39"/>
      <c r="K323" s="39"/>
      <c r="L323" s="174"/>
      <c r="N323" s="188"/>
      <c r="O323" s="314"/>
      <c r="P323" s="185"/>
      <c r="Q323" s="314"/>
      <c r="R323" s="185">
        <f ca="1">SUM(R312:R319)-SUM(R321:R322)</f>
        <v>121050.45770924457</v>
      </c>
      <c r="S323" s="185">
        <f t="shared" ref="S323:AU323" ca="1" si="230">SUM(S312:S319)-SUM(S321:S322)</f>
        <v>123377.35986545699</v>
      </c>
      <c r="T323" s="185">
        <f t="shared" ca="1" si="230"/>
        <v>126003.87040994255</v>
      </c>
      <c r="U323" s="185">
        <f t="shared" ca="1" si="230"/>
        <v>128595.68090962995</v>
      </c>
      <c r="V323" s="185">
        <f t="shared" ca="1" si="230"/>
        <v>131198.1248368966</v>
      </c>
      <c r="W323" s="185">
        <f t="shared" ca="1" si="230"/>
        <v>133767.54201972467</v>
      </c>
      <c r="X323" s="185">
        <f t="shared" ca="1" si="230"/>
        <v>136414.31948453616</v>
      </c>
      <c r="Y323" s="185">
        <f t="shared" ca="1" si="230"/>
        <v>139178.73672988827</v>
      </c>
      <c r="Z323" s="185">
        <f t="shared" ca="1" si="230"/>
        <v>141993.76668684412</v>
      </c>
      <c r="AA323" s="185">
        <f t="shared" ca="1" si="230"/>
        <v>144874.52847703683</v>
      </c>
      <c r="AB323" s="185">
        <f t="shared" ca="1" si="230"/>
        <v>147785.92425933777</v>
      </c>
      <c r="AC323" s="185">
        <f t="shared" ca="1" si="230"/>
        <v>150735.27785481355</v>
      </c>
      <c r="AD323" s="185">
        <f t="shared" ca="1" si="230"/>
        <v>153777.02574098101</v>
      </c>
      <c r="AE323" s="185">
        <f t="shared" ca="1" si="230"/>
        <v>156877.4829899164</v>
      </c>
      <c r="AF323" s="185">
        <f t="shared" ca="1" si="230"/>
        <v>160049.50870016747</v>
      </c>
      <c r="AG323" s="185">
        <f t="shared" ca="1" si="230"/>
        <v>163306.73138737719</v>
      </c>
      <c r="AH323" s="185">
        <f t="shared" ca="1" si="230"/>
        <v>166616.08827442865</v>
      </c>
      <c r="AI323" s="185">
        <f t="shared" ca="1" si="230"/>
        <v>170006.78046909242</v>
      </c>
      <c r="AJ323" s="185">
        <f t="shared" ca="1" si="230"/>
        <v>173475.13529201262</v>
      </c>
      <c r="AK323" s="185">
        <f t="shared" ca="1" si="230"/>
        <v>177019.18246742664</v>
      </c>
      <c r="AL323" s="185">
        <f t="shared" si="230"/>
        <v>0</v>
      </c>
      <c r="AM323" s="185">
        <f t="shared" si="230"/>
        <v>0</v>
      </c>
      <c r="AN323" s="185">
        <f t="shared" si="230"/>
        <v>0</v>
      </c>
      <c r="AO323" s="185">
        <f t="shared" si="230"/>
        <v>0</v>
      </c>
      <c r="AP323" s="185">
        <f t="shared" si="230"/>
        <v>0</v>
      </c>
      <c r="AQ323" s="185">
        <f t="shared" si="230"/>
        <v>0</v>
      </c>
      <c r="AR323" s="185">
        <f t="shared" si="230"/>
        <v>0</v>
      </c>
      <c r="AS323" s="185">
        <f t="shared" si="230"/>
        <v>0</v>
      </c>
      <c r="AT323" s="185">
        <f t="shared" si="230"/>
        <v>0</v>
      </c>
      <c r="AU323" s="185">
        <f t="shared" si="230"/>
        <v>0</v>
      </c>
    </row>
    <row r="324" spans="1:47">
      <c r="E324" s="36"/>
      <c r="G324" s="39"/>
      <c r="H324" s="39"/>
      <c r="I324" s="39"/>
      <c r="J324" s="39"/>
      <c r="K324" s="39"/>
    </row>
    <row r="325" spans="1:47">
      <c r="E325" s="327"/>
      <c r="F325" s="28"/>
      <c r="G325" s="324" t="str">
        <f>C327&amp;" Capital Costs"</f>
        <v>Gas Cleaning Capital Costs</v>
      </c>
      <c r="H325" s="324"/>
      <c r="I325" s="324"/>
      <c r="J325" s="324"/>
      <c r="K325" s="324"/>
      <c r="L325" s="405" t="s">
        <v>79</v>
      </c>
      <c r="M325" s="256"/>
      <c r="N325" s="325" t="s">
        <v>490</v>
      </c>
      <c r="O325" s="311"/>
      <c r="P325" s="325" t="s">
        <v>491</v>
      </c>
      <c r="Q325" s="310"/>
      <c r="R325" s="325">
        <f>R$8</f>
        <v>2014</v>
      </c>
      <c r="S325" s="325">
        <f t="shared" ref="S325:AU325" si="231">S$8</f>
        <v>2015</v>
      </c>
      <c r="T325" s="325">
        <f t="shared" si="231"/>
        <v>2016</v>
      </c>
      <c r="U325" s="325">
        <f t="shared" si="231"/>
        <v>2017</v>
      </c>
      <c r="V325" s="325">
        <f t="shared" si="231"/>
        <v>2018</v>
      </c>
      <c r="W325" s="325">
        <f t="shared" si="231"/>
        <v>2019</v>
      </c>
      <c r="X325" s="325">
        <f t="shared" si="231"/>
        <v>2020</v>
      </c>
      <c r="Y325" s="325">
        <f t="shared" si="231"/>
        <v>2021</v>
      </c>
      <c r="Z325" s="325">
        <f t="shared" si="231"/>
        <v>2022</v>
      </c>
      <c r="AA325" s="325">
        <f t="shared" si="231"/>
        <v>2023</v>
      </c>
      <c r="AB325" s="325">
        <f t="shared" si="231"/>
        <v>2024</v>
      </c>
      <c r="AC325" s="325">
        <f t="shared" si="231"/>
        <v>2025</v>
      </c>
      <c r="AD325" s="325">
        <f t="shared" si="231"/>
        <v>2026</v>
      </c>
      <c r="AE325" s="325">
        <f t="shared" si="231"/>
        <v>2027</v>
      </c>
      <c r="AF325" s="325">
        <f t="shared" si="231"/>
        <v>2028</v>
      </c>
      <c r="AG325" s="325">
        <f t="shared" si="231"/>
        <v>2029</v>
      </c>
      <c r="AH325" s="325">
        <f t="shared" si="231"/>
        <v>2030</v>
      </c>
      <c r="AI325" s="325">
        <f t="shared" si="231"/>
        <v>2031</v>
      </c>
      <c r="AJ325" s="325">
        <f t="shared" si="231"/>
        <v>2032</v>
      </c>
      <c r="AK325" s="325">
        <f t="shared" si="231"/>
        <v>2033</v>
      </c>
      <c r="AL325" s="325">
        <f t="shared" si="231"/>
        <v>2034</v>
      </c>
      <c r="AM325" s="325">
        <f t="shared" si="231"/>
        <v>2035</v>
      </c>
      <c r="AN325" s="325">
        <f t="shared" si="231"/>
        <v>2036</v>
      </c>
      <c r="AO325" s="325">
        <f t="shared" si="231"/>
        <v>2037</v>
      </c>
      <c r="AP325" s="325">
        <f t="shared" si="231"/>
        <v>2038</v>
      </c>
      <c r="AQ325" s="325">
        <f t="shared" si="231"/>
        <v>2039</v>
      </c>
      <c r="AR325" s="325">
        <f t="shared" si="231"/>
        <v>2040</v>
      </c>
      <c r="AS325" s="325">
        <f t="shared" si="231"/>
        <v>2041</v>
      </c>
      <c r="AT325" s="325">
        <f t="shared" si="231"/>
        <v>2042</v>
      </c>
      <c r="AU325" s="325">
        <f t="shared" si="231"/>
        <v>2043</v>
      </c>
    </row>
    <row r="326" spans="1:47">
      <c r="E326" s="325"/>
      <c r="G326" s="39"/>
      <c r="H326" s="39"/>
      <c r="I326" s="39"/>
      <c r="J326" s="39"/>
      <c r="K326" s="39"/>
    </row>
    <row r="327" spans="1:47">
      <c r="A327" s="38" t="str">
        <f>$J$4&amp;"-"</f>
        <v>2Y-</v>
      </c>
      <c r="B327" s="38" t="s">
        <v>306</v>
      </c>
      <c r="C327" s="38" t="s">
        <v>162</v>
      </c>
      <c r="D327" s="186">
        <f>CapExEsc</f>
        <v>0.03</v>
      </c>
      <c r="E327" s="325"/>
      <c r="G327" s="36" t="s">
        <v>8</v>
      </c>
      <c r="H327" s="39"/>
      <c r="I327" s="39"/>
      <c r="J327" s="70"/>
      <c r="K327" s="39"/>
      <c r="L327" s="43" t="str">
        <f>"["&amp;CostBaseYr&amp;" $]"</f>
        <v>[2013 $]</v>
      </c>
      <c r="N327" s="52">
        <f ca="1">SUMIFS(OFFSET(Assumptions!$I$65,0,MATCH($A327,Configurations,0)-1,COUNT(Assumptions!$A$65:$A$84),1),Assumptions!$E$65:$E$84,$C327)</f>
        <v>696000</v>
      </c>
      <c r="O327" s="52"/>
      <c r="P327" s="322"/>
      <c r="Q327" s="52"/>
      <c r="R327" s="52">
        <f t="shared" ref="R327:AU327" ca="1" si="232">R328*IF($P327=0,$N327,$P327)*(1+$D327)^(R$8-CostBaseYr)</f>
        <v>716880</v>
      </c>
      <c r="S327" s="52">
        <f t="shared" ca="1" si="232"/>
        <v>0</v>
      </c>
      <c r="T327" s="52">
        <f t="shared" ca="1" si="232"/>
        <v>0</v>
      </c>
      <c r="U327" s="52">
        <f t="shared" ca="1" si="232"/>
        <v>0</v>
      </c>
      <c r="V327" s="52">
        <f t="shared" ca="1" si="232"/>
        <v>0</v>
      </c>
      <c r="W327" s="52">
        <f t="shared" ca="1" si="232"/>
        <v>0</v>
      </c>
      <c r="X327" s="52">
        <f t="shared" ca="1" si="232"/>
        <v>0</v>
      </c>
      <c r="Y327" s="52">
        <f t="shared" ca="1" si="232"/>
        <v>0</v>
      </c>
      <c r="Z327" s="52">
        <f t="shared" ca="1" si="232"/>
        <v>0</v>
      </c>
      <c r="AA327" s="52">
        <f t="shared" ca="1" si="232"/>
        <v>0</v>
      </c>
      <c r="AB327" s="52">
        <f t="shared" ca="1" si="232"/>
        <v>0</v>
      </c>
      <c r="AC327" s="52">
        <f t="shared" ca="1" si="232"/>
        <v>0</v>
      </c>
      <c r="AD327" s="52">
        <f t="shared" ca="1" si="232"/>
        <v>0</v>
      </c>
      <c r="AE327" s="52">
        <f t="shared" ca="1" si="232"/>
        <v>0</v>
      </c>
      <c r="AF327" s="52">
        <f t="shared" ca="1" si="232"/>
        <v>0</v>
      </c>
      <c r="AG327" s="52">
        <f t="shared" ca="1" si="232"/>
        <v>0</v>
      </c>
      <c r="AH327" s="52">
        <f t="shared" ca="1" si="232"/>
        <v>0</v>
      </c>
      <c r="AI327" s="52">
        <f t="shared" ca="1" si="232"/>
        <v>0</v>
      </c>
      <c r="AJ327" s="52">
        <f t="shared" ca="1" si="232"/>
        <v>0</v>
      </c>
      <c r="AK327" s="52">
        <f t="shared" ca="1" si="232"/>
        <v>0</v>
      </c>
      <c r="AL327" s="52">
        <f t="shared" ca="1" si="232"/>
        <v>0</v>
      </c>
      <c r="AM327" s="52">
        <f t="shared" ca="1" si="232"/>
        <v>0</v>
      </c>
      <c r="AN327" s="52">
        <f t="shared" ca="1" si="232"/>
        <v>0</v>
      </c>
      <c r="AO327" s="52">
        <f t="shared" ca="1" si="232"/>
        <v>0</v>
      </c>
      <c r="AP327" s="52">
        <f t="shared" ca="1" si="232"/>
        <v>0</v>
      </c>
      <c r="AQ327" s="52">
        <f t="shared" ca="1" si="232"/>
        <v>0</v>
      </c>
      <c r="AR327" s="52">
        <f t="shared" ca="1" si="232"/>
        <v>0</v>
      </c>
      <c r="AS327" s="52">
        <f t="shared" ca="1" si="232"/>
        <v>0</v>
      </c>
      <c r="AT327" s="52">
        <f t="shared" ca="1" si="232"/>
        <v>0</v>
      </c>
      <c r="AU327" s="52">
        <f t="shared" ca="1" si="232"/>
        <v>0</v>
      </c>
    </row>
    <row r="328" spans="1:47">
      <c r="E328" s="325"/>
      <c r="G328" s="36" t="s">
        <v>10</v>
      </c>
      <c r="H328" s="39"/>
      <c r="I328" s="39"/>
      <c r="J328" s="39"/>
      <c r="K328" s="39"/>
      <c r="L328" s="43"/>
      <c r="R328" s="54">
        <f>Assumptions!M$60</f>
        <v>1</v>
      </c>
      <c r="S328" s="54">
        <f>Assumptions!N$60</f>
        <v>0</v>
      </c>
      <c r="T328" s="54">
        <f>Assumptions!O$60</f>
        <v>0</v>
      </c>
      <c r="U328" s="54">
        <f>Assumptions!P$60</f>
        <v>0</v>
      </c>
      <c r="V328" s="54">
        <f>Assumptions!Q$60</f>
        <v>0</v>
      </c>
      <c r="W328" s="54">
        <f>Assumptions!R$60</f>
        <v>0</v>
      </c>
      <c r="X328" s="54">
        <f>Assumptions!S$60</f>
        <v>0</v>
      </c>
      <c r="Y328" s="54">
        <f>Assumptions!T$60</f>
        <v>0</v>
      </c>
      <c r="Z328" s="54">
        <f>Assumptions!U$60</f>
        <v>0</v>
      </c>
      <c r="AA328" s="54">
        <f>Assumptions!V$60</f>
        <v>0</v>
      </c>
      <c r="AB328" s="54">
        <f>Assumptions!W$60</f>
        <v>0</v>
      </c>
      <c r="AC328" s="54">
        <f>Assumptions!X$60</f>
        <v>0</v>
      </c>
      <c r="AD328" s="54">
        <f>Assumptions!Y$60</f>
        <v>0</v>
      </c>
      <c r="AE328" s="54">
        <f>Assumptions!Z$60</f>
        <v>0</v>
      </c>
      <c r="AF328" s="54">
        <f>Assumptions!AA$60</f>
        <v>0</v>
      </c>
      <c r="AG328" s="54">
        <f>Assumptions!AB$60</f>
        <v>0</v>
      </c>
      <c r="AH328" s="54">
        <f>Assumptions!AC$60</f>
        <v>0</v>
      </c>
      <c r="AI328" s="54">
        <f>Assumptions!AD$60</f>
        <v>0</v>
      </c>
      <c r="AJ328" s="54">
        <f>Assumptions!AE$60</f>
        <v>0</v>
      </c>
      <c r="AK328" s="54">
        <f>Assumptions!AF$60</f>
        <v>0</v>
      </c>
      <c r="AL328" s="54">
        <f>Assumptions!AG$60</f>
        <v>0</v>
      </c>
      <c r="AM328" s="54">
        <f>Assumptions!AH$60</f>
        <v>0</v>
      </c>
      <c r="AN328" s="54">
        <f>Assumptions!AI$60</f>
        <v>0</v>
      </c>
      <c r="AO328" s="54">
        <f>Assumptions!AJ$60</f>
        <v>0</v>
      </c>
      <c r="AP328" s="54">
        <f>Assumptions!AK$60</f>
        <v>0</v>
      </c>
      <c r="AQ328" s="54">
        <f>Assumptions!AL$60</f>
        <v>0</v>
      </c>
      <c r="AR328" s="54">
        <f>Assumptions!AM$60</f>
        <v>0</v>
      </c>
      <c r="AS328" s="54">
        <f>Assumptions!AN$60</f>
        <v>0</v>
      </c>
      <c r="AT328" s="54">
        <f>Assumptions!AO$60</f>
        <v>0</v>
      </c>
      <c r="AU328" s="54">
        <f>Assumptions!AP$60</f>
        <v>0</v>
      </c>
    </row>
    <row r="329" spans="1:47">
      <c r="E329" s="326"/>
      <c r="G329" s="39"/>
      <c r="H329" s="39"/>
      <c r="I329" s="39"/>
      <c r="J329" s="39"/>
      <c r="K329" s="39"/>
    </row>
    <row r="330" spans="1:47">
      <c r="E330" s="327"/>
      <c r="F330" s="28"/>
      <c r="G330" s="324" t="str">
        <f>C327&amp;" O&amp;M"</f>
        <v>Gas Cleaning O&amp;M</v>
      </c>
      <c r="H330" s="324"/>
      <c r="I330" s="324"/>
      <c r="J330" s="324"/>
      <c r="K330" s="324"/>
      <c r="L330" s="405" t="s">
        <v>79</v>
      </c>
      <c r="M330" s="256"/>
      <c r="N330" s="325" t="s">
        <v>490</v>
      </c>
      <c r="O330" s="311"/>
      <c r="P330" s="325" t="s">
        <v>491</v>
      </c>
      <c r="Q330" s="310"/>
      <c r="R330" s="325">
        <f>R$8</f>
        <v>2014</v>
      </c>
      <c r="S330" s="325">
        <f t="shared" ref="S330:AU330" si="233">S$8</f>
        <v>2015</v>
      </c>
      <c r="T330" s="325">
        <f t="shared" si="233"/>
        <v>2016</v>
      </c>
      <c r="U330" s="325">
        <f t="shared" si="233"/>
        <v>2017</v>
      </c>
      <c r="V330" s="325">
        <f t="shared" si="233"/>
        <v>2018</v>
      </c>
      <c r="W330" s="325">
        <f t="shared" si="233"/>
        <v>2019</v>
      </c>
      <c r="X330" s="325">
        <f t="shared" si="233"/>
        <v>2020</v>
      </c>
      <c r="Y330" s="325">
        <f t="shared" si="233"/>
        <v>2021</v>
      </c>
      <c r="Z330" s="325">
        <f t="shared" si="233"/>
        <v>2022</v>
      </c>
      <c r="AA330" s="325">
        <f t="shared" si="233"/>
        <v>2023</v>
      </c>
      <c r="AB330" s="325">
        <f t="shared" si="233"/>
        <v>2024</v>
      </c>
      <c r="AC330" s="325">
        <f t="shared" si="233"/>
        <v>2025</v>
      </c>
      <c r="AD330" s="325">
        <f t="shared" si="233"/>
        <v>2026</v>
      </c>
      <c r="AE330" s="325">
        <f t="shared" si="233"/>
        <v>2027</v>
      </c>
      <c r="AF330" s="325">
        <f t="shared" si="233"/>
        <v>2028</v>
      </c>
      <c r="AG330" s="325">
        <f t="shared" si="233"/>
        <v>2029</v>
      </c>
      <c r="AH330" s="325">
        <f t="shared" si="233"/>
        <v>2030</v>
      </c>
      <c r="AI330" s="325">
        <f t="shared" si="233"/>
        <v>2031</v>
      </c>
      <c r="AJ330" s="325">
        <f t="shared" si="233"/>
        <v>2032</v>
      </c>
      <c r="AK330" s="325">
        <f t="shared" si="233"/>
        <v>2033</v>
      </c>
      <c r="AL330" s="325">
        <f t="shared" si="233"/>
        <v>2034</v>
      </c>
      <c r="AM330" s="325">
        <f t="shared" si="233"/>
        <v>2035</v>
      </c>
      <c r="AN330" s="325">
        <f t="shared" si="233"/>
        <v>2036</v>
      </c>
      <c r="AO330" s="325">
        <f t="shared" si="233"/>
        <v>2037</v>
      </c>
      <c r="AP330" s="325">
        <f t="shared" si="233"/>
        <v>2038</v>
      </c>
      <c r="AQ330" s="325">
        <f t="shared" si="233"/>
        <v>2039</v>
      </c>
      <c r="AR330" s="325">
        <f t="shared" si="233"/>
        <v>2040</v>
      </c>
      <c r="AS330" s="325">
        <f t="shared" si="233"/>
        <v>2041</v>
      </c>
      <c r="AT330" s="325">
        <f t="shared" si="233"/>
        <v>2042</v>
      </c>
      <c r="AU330" s="325">
        <f t="shared" si="233"/>
        <v>2043</v>
      </c>
    </row>
    <row r="331" spans="1:47">
      <c r="E331" s="325"/>
      <c r="G331" s="39"/>
      <c r="H331" s="39"/>
      <c r="I331" s="39"/>
      <c r="J331" s="39"/>
      <c r="K331" s="39"/>
    </row>
    <row r="332" spans="1:47">
      <c r="E332" s="325"/>
      <c r="G332" s="39" t="s">
        <v>23</v>
      </c>
      <c r="H332" s="39"/>
      <c r="I332" s="39"/>
      <c r="J332" s="39"/>
      <c r="K332" s="39"/>
    </row>
    <row r="333" spans="1:47">
      <c r="A333" s="38" t="str">
        <f t="shared" ref="A333:A340" si="234">$J$4&amp;"-"</f>
        <v>2Y-</v>
      </c>
      <c r="B333" s="38" t="s">
        <v>262</v>
      </c>
      <c r="C333" s="38" t="str">
        <f>C327</f>
        <v>Gas Cleaning</v>
      </c>
      <c r="D333" s="186">
        <f>LaborEsc</f>
        <v>0.02</v>
      </c>
      <c r="E333" s="325"/>
      <c r="G333" s="36" t="s">
        <v>125</v>
      </c>
      <c r="I333" s="39"/>
      <c r="K333" s="39"/>
      <c r="L333" s="43" t="s">
        <v>266</v>
      </c>
      <c r="N333" s="70">
        <f ca="1">SUMIFS(OFFSET(Assumptions!$I$90,0,MATCH($A333,Configurations,0)-1,COUNT(Assumptions!$A$90:$A$183),1),Assumptions!$D$90:$D$183,$B333&amp;$C333)</f>
        <v>1460</v>
      </c>
      <c r="O333" s="313"/>
      <c r="P333" s="323"/>
      <c r="Q333" s="313"/>
      <c r="R333" s="50">
        <f t="shared" ref="R333:AU333" ca="1" si="235">IF(OR(R$99&lt;InServiceYr,R$99&gt;(InServiceYr+analysis_period-1)),0,IF($P333=0,$N333,$P333)*LaborCost*(1+$D333)^(R$99-CostBaseYr))</f>
        <v>52122</v>
      </c>
      <c r="S333" s="50">
        <f t="shared" ca="1" si="235"/>
        <v>53164.44</v>
      </c>
      <c r="T333" s="50">
        <f t="shared" ca="1" si="235"/>
        <v>54227.728799999997</v>
      </c>
      <c r="U333" s="50">
        <f t="shared" ca="1" si="235"/>
        <v>55312.283375999999</v>
      </c>
      <c r="V333" s="50">
        <f t="shared" ca="1" si="235"/>
        <v>56418.52904352</v>
      </c>
      <c r="W333" s="50">
        <f t="shared" ca="1" si="235"/>
        <v>57546.899624390404</v>
      </c>
      <c r="X333" s="50">
        <f t="shared" ca="1" si="235"/>
        <v>58697.837616878198</v>
      </c>
      <c r="Y333" s="50">
        <f t="shared" ca="1" si="235"/>
        <v>59871.794369215771</v>
      </c>
      <c r="Z333" s="50">
        <f t="shared" ca="1" si="235"/>
        <v>61069.230256600087</v>
      </c>
      <c r="AA333" s="50">
        <f t="shared" ca="1" si="235"/>
        <v>62290.614861732087</v>
      </c>
      <c r="AB333" s="50">
        <f t="shared" ca="1" si="235"/>
        <v>63536.427158966719</v>
      </c>
      <c r="AC333" s="50">
        <f t="shared" ca="1" si="235"/>
        <v>64807.155702146061</v>
      </c>
      <c r="AD333" s="50">
        <f t="shared" ca="1" si="235"/>
        <v>66103.298816188981</v>
      </c>
      <c r="AE333" s="50">
        <f t="shared" ca="1" si="235"/>
        <v>67425.364792512773</v>
      </c>
      <c r="AF333" s="50">
        <f t="shared" ca="1" si="235"/>
        <v>68773.872088363001</v>
      </c>
      <c r="AG333" s="50">
        <f t="shared" ca="1" si="235"/>
        <v>70149.349530130276</v>
      </c>
      <c r="AH333" s="50">
        <f t="shared" ca="1" si="235"/>
        <v>71552.33652073289</v>
      </c>
      <c r="AI333" s="50">
        <f t="shared" ca="1" si="235"/>
        <v>72983.383251147534</v>
      </c>
      <c r="AJ333" s="50">
        <f t="shared" ca="1" si="235"/>
        <v>74443.050916170483</v>
      </c>
      <c r="AK333" s="50">
        <f t="shared" ca="1" si="235"/>
        <v>75931.911934493895</v>
      </c>
      <c r="AL333" s="50">
        <f t="shared" si="235"/>
        <v>0</v>
      </c>
      <c r="AM333" s="50">
        <f t="shared" si="235"/>
        <v>0</v>
      </c>
      <c r="AN333" s="50">
        <f t="shared" si="235"/>
        <v>0</v>
      </c>
      <c r="AO333" s="50">
        <f t="shared" si="235"/>
        <v>0</v>
      </c>
      <c r="AP333" s="50">
        <f t="shared" si="235"/>
        <v>0</v>
      </c>
      <c r="AQ333" s="50">
        <f t="shared" si="235"/>
        <v>0</v>
      </c>
      <c r="AR333" s="50">
        <f t="shared" si="235"/>
        <v>0</v>
      </c>
      <c r="AS333" s="50">
        <f t="shared" si="235"/>
        <v>0</v>
      </c>
      <c r="AT333" s="50">
        <f t="shared" si="235"/>
        <v>0</v>
      </c>
      <c r="AU333" s="50">
        <f t="shared" si="235"/>
        <v>0</v>
      </c>
    </row>
    <row r="334" spans="1:47">
      <c r="A334" s="38" t="str">
        <f t="shared" si="234"/>
        <v>2Y-</v>
      </c>
      <c r="B334" s="38" t="s">
        <v>270</v>
      </c>
      <c r="C334" s="38" t="str">
        <f>C333</f>
        <v>Gas Cleaning</v>
      </c>
      <c r="D334" s="186">
        <f>OMEsc</f>
        <v>0.02</v>
      </c>
      <c r="E334" s="325"/>
      <c r="G334" s="36" t="s">
        <v>126</v>
      </c>
      <c r="I334" s="39"/>
      <c r="K334" s="39"/>
      <c r="L334" s="43" t="str">
        <f>"["&amp;CostBaseYr&amp;" $]"</f>
        <v>[2013 $]</v>
      </c>
      <c r="N334" s="70">
        <f ca="1">SUMIFS(OFFSET(Assumptions!$I$90,0,MATCH($A334,Configurations,0)-1,COUNT(Assumptions!$A$90:$A$183),1),Assumptions!$D$90:$D$183,$B334&amp;$C334)</f>
        <v>13000</v>
      </c>
      <c r="O334" s="313"/>
      <c r="P334" s="323"/>
      <c r="Q334" s="313"/>
      <c r="R334" s="50">
        <f t="shared" ref="R334:AG336" ca="1" si="236">IF(OR(R$99&lt;InServiceYr,R$99&gt;(InServiceYr+analysis_period-1)),0,IF($P334=0,$N334,$P334)*(1+$D334)^(R$99-CostBaseYr))</f>
        <v>13260</v>
      </c>
      <c r="S334" s="50">
        <f t="shared" ca="1" si="236"/>
        <v>13525.2</v>
      </c>
      <c r="T334" s="50">
        <f t="shared" ca="1" si="236"/>
        <v>13795.704</v>
      </c>
      <c r="U334" s="50">
        <f t="shared" ca="1" si="236"/>
        <v>14071.61808</v>
      </c>
      <c r="V334" s="50">
        <f t="shared" ca="1" si="236"/>
        <v>14353.0504416</v>
      </c>
      <c r="W334" s="50">
        <f t="shared" ca="1" si="236"/>
        <v>14640.111450432001</v>
      </c>
      <c r="X334" s="50">
        <f t="shared" ca="1" si="236"/>
        <v>14932.913679440637</v>
      </c>
      <c r="Y334" s="50">
        <f t="shared" ca="1" si="236"/>
        <v>15231.571953029452</v>
      </c>
      <c r="Z334" s="50">
        <f t="shared" ca="1" si="236"/>
        <v>15536.203392090041</v>
      </c>
      <c r="AA334" s="50">
        <f t="shared" ca="1" si="236"/>
        <v>15846.927459931843</v>
      </c>
      <c r="AB334" s="50">
        <f t="shared" ca="1" si="236"/>
        <v>16163.866009130476</v>
      </c>
      <c r="AC334" s="50">
        <f t="shared" ca="1" si="236"/>
        <v>16487.143329313087</v>
      </c>
      <c r="AD334" s="50">
        <f t="shared" ca="1" si="236"/>
        <v>16816.886195899348</v>
      </c>
      <c r="AE334" s="50">
        <f t="shared" ca="1" si="236"/>
        <v>17153.223919817337</v>
      </c>
      <c r="AF334" s="50">
        <f t="shared" ca="1" si="236"/>
        <v>17496.288398213681</v>
      </c>
      <c r="AG334" s="50">
        <f t="shared" ca="1" si="236"/>
        <v>17846.214166177957</v>
      </c>
      <c r="AH334" s="50">
        <f t="shared" ref="S334:AU336" ca="1" si="237">IF(OR(AH$99&lt;InServiceYr,AH$99&gt;(InServiceYr+analysis_period-1)),0,IF($P334=0,$N334,$P334)*(1+$D334)^(AH$99-CostBaseYr))</f>
        <v>18203.138449501515</v>
      </c>
      <c r="AI334" s="50">
        <f t="shared" ca="1" si="237"/>
        <v>18567.201218491544</v>
      </c>
      <c r="AJ334" s="50">
        <f t="shared" ca="1" si="237"/>
        <v>18938.545242861375</v>
      </c>
      <c r="AK334" s="50">
        <f t="shared" ca="1" si="237"/>
        <v>19317.316147718604</v>
      </c>
      <c r="AL334" s="50">
        <f t="shared" si="237"/>
        <v>0</v>
      </c>
      <c r="AM334" s="50">
        <f t="shared" si="237"/>
        <v>0</v>
      </c>
      <c r="AN334" s="50">
        <f t="shared" si="237"/>
        <v>0</v>
      </c>
      <c r="AO334" s="50">
        <f t="shared" si="237"/>
        <v>0</v>
      </c>
      <c r="AP334" s="50">
        <f t="shared" si="237"/>
        <v>0</v>
      </c>
      <c r="AQ334" s="50">
        <f t="shared" si="237"/>
        <v>0</v>
      </c>
      <c r="AR334" s="50">
        <f t="shared" si="237"/>
        <v>0</v>
      </c>
      <c r="AS334" s="50">
        <f t="shared" si="237"/>
        <v>0</v>
      </c>
      <c r="AT334" s="50">
        <f t="shared" si="237"/>
        <v>0</v>
      </c>
      <c r="AU334" s="50">
        <f t="shared" si="237"/>
        <v>0</v>
      </c>
    </row>
    <row r="335" spans="1:47">
      <c r="A335" s="38" t="str">
        <f t="shared" si="234"/>
        <v>2Y-</v>
      </c>
      <c r="B335" s="38" t="s">
        <v>263</v>
      </c>
      <c r="C335" s="38" t="str">
        <f t="shared" ref="C335:C339" si="238">C334</f>
        <v>Gas Cleaning</v>
      </c>
      <c r="D335" s="186">
        <f>OMEsc</f>
        <v>0.02</v>
      </c>
      <c r="E335" s="325"/>
      <c r="G335" s="36" t="s">
        <v>127</v>
      </c>
      <c r="I335" s="39"/>
      <c r="K335" s="39"/>
      <c r="L335" s="43" t="str">
        <f>"["&amp;CostBaseYr&amp;" $]"</f>
        <v>[2013 $]</v>
      </c>
      <c r="N335" s="70">
        <f ca="1">SUMIFS(OFFSET(Assumptions!$I$90,0,MATCH($A335,Configurations,0)-1,COUNT(Assumptions!$A$90:$A$183),1),Assumptions!$D$90:$D$183,$B335&amp;$C335)</f>
        <v>0</v>
      </c>
      <c r="O335" s="313"/>
      <c r="P335" s="323"/>
      <c r="Q335" s="313"/>
      <c r="R335" s="50">
        <f t="shared" ca="1" si="236"/>
        <v>0</v>
      </c>
      <c r="S335" s="50">
        <f t="shared" ca="1" si="237"/>
        <v>0</v>
      </c>
      <c r="T335" s="50">
        <f t="shared" ca="1" si="237"/>
        <v>0</v>
      </c>
      <c r="U335" s="50">
        <f t="shared" ca="1" si="237"/>
        <v>0</v>
      </c>
      <c r="V335" s="50">
        <f t="shared" ca="1" si="237"/>
        <v>0</v>
      </c>
      <c r="W335" s="50">
        <f t="shared" ca="1" si="237"/>
        <v>0</v>
      </c>
      <c r="X335" s="50">
        <f t="shared" ca="1" si="237"/>
        <v>0</v>
      </c>
      <c r="Y335" s="50">
        <f t="shared" ca="1" si="237"/>
        <v>0</v>
      </c>
      <c r="Z335" s="50">
        <f t="shared" ca="1" si="237"/>
        <v>0</v>
      </c>
      <c r="AA335" s="50">
        <f t="shared" ca="1" si="237"/>
        <v>0</v>
      </c>
      <c r="AB335" s="50">
        <f t="shared" ca="1" si="237"/>
        <v>0</v>
      </c>
      <c r="AC335" s="50">
        <f t="shared" ca="1" si="237"/>
        <v>0</v>
      </c>
      <c r="AD335" s="50">
        <f t="shared" ca="1" si="237"/>
        <v>0</v>
      </c>
      <c r="AE335" s="50">
        <f t="shared" ca="1" si="237"/>
        <v>0</v>
      </c>
      <c r="AF335" s="50">
        <f t="shared" ca="1" si="237"/>
        <v>0</v>
      </c>
      <c r="AG335" s="50">
        <f t="shared" ca="1" si="237"/>
        <v>0</v>
      </c>
      <c r="AH335" s="50">
        <f t="shared" ca="1" si="237"/>
        <v>0</v>
      </c>
      <c r="AI335" s="50">
        <f t="shared" ca="1" si="237"/>
        <v>0</v>
      </c>
      <c r="AJ335" s="50">
        <f t="shared" ca="1" si="237"/>
        <v>0</v>
      </c>
      <c r="AK335" s="50">
        <f t="shared" ca="1" si="237"/>
        <v>0</v>
      </c>
      <c r="AL335" s="50">
        <f t="shared" si="237"/>
        <v>0</v>
      </c>
      <c r="AM335" s="50">
        <f t="shared" si="237"/>
        <v>0</v>
      </c>
      <c r="AN335" s="50">
        <f t="shared" si="237"/>
        <v>0</v>
      </c>
      <c r="AO335" s="50">
        <f t="shared" si="237"/>
        <v>0</v>
      </c>
      <c r="AP335" s="50">
        <f t="shared" si="237"/>
        <v>0</v>
      </c>
      <c r="AQ335" s="50">
        <f t="shared" si="237"/>
        <v>0</v>
      </c>
      <c r="AR335" s="50">
        <f t="shared" si="237"/>
        <v>0</v>
      </c>
      <c r="AS335" s="50">
        <f t="shared" si="237"/>
        <v>0</v>
      </c>
      <c r="AT335" s="50">
        <f t="shared" si="237"/>
        <v>0</v>
      </c>
      <c r="AU335" s="50">
        <f t="shared" si="237"/>
        <v>0</v>
      </c>
    </row>
    <row r="336" spans="1:47">
      <c r="A336" s="38" t="str">
        <f t="shared" si="234"/>
        <v>2Y-</v>
      </c>
      <c r="B336" s="38" t="s">
        <v>277</v>
      </c>
      <c r="C336" s="38" t="str">
        <f t="shared" si="238"/>
        <v>Gas Cleaning</v>
      </c>
      <c r="D336" s="186">
        <f>OMEsc</f>
        <v>0.02</v>
      </c>
      <c r="E336" s="325"/>
      <c r="G336" s="36" t="s">
        <v>276</v>
      </c>
      <c r="I336" s="39"/>
      <c r="K336" s="39"/>
      <c r="L336" s="43" t="str">
        <f>"["&amp;CostBaseYr&amp;" $]"</f>
        <v>[2013 $]</v>
      </c>
      <c r="N336" s="70">
        <f ca="1">SUMIFS(OFFSET(Assumptions!$I$90,0,MATCH($A336,Configurations,0)-1,COUNT(Assumptions!$A$90:$A$183),1),Assumptions!$D$90:$D$183,$B336&amp;$C336)</f>
        <v>30000</v>
      </c>
      <c r="O336" s="313"/>
      <c r="P336" s="323"/>
      <c r="Q336" s="313"/>
      <c r="R336" s="50">
        <f t="shared" ca="1" si="236"/>
        <v>30600</v>
      </c>
      <c r="S336" s="50">
        <f t="shared" ca="1" si="237"/>
        <v>31212</v>
      </c>
      <c r="T336" s="50">
        <f t="shared" ca="1" si="237"/>
        <v>31836.239999999998</v>
      </c>
      <c r="U336" s="50">
        <f t="shared" ca="1" si="237"/>
        <v>32472.964799999998</v>
      </c>
      <c r="V336" s="50">
        <f t="shared" ca="1" si="237"/>
        <v>33122.424096000002</v>
      </c>
      <c r="W336" s="50">
        <f t="shared" ca="1" si="237"/>
        <v>33784.872577920003</v>
      </c>
      <c r="X336" s="50">
        <f t="shared" ca="1" si="237"/>
        <v>34460.570029478396</v>
      </c>
      <c r="Y336" s="50">
        <f t="shared" ca="1" si="237"/>
        <v>35149.781430067967</v>
      </c>
      <c r="Z336" s="50">
        <f t="shared" ca="1" si="237"/>
        <v>35852.777058669322</v>
      </c>
      <c r="AA336" s="50">
        <f t="shared" ca="1" si="237"/>
        <v>36569.83259984271</v>
      </c>
      <c r="AB336" s="50">
        <f t="shared" ca="1" si="237"/>
        <v>37301.229251839562</v>
      </c>
      <c r="AC336" s="50">
        <f t="shared" ca="1" si="237"/>
        <v>38047.253836876356</v>
      </c>
      <c r="AD336" s="50">
        <f t="shared" ca="1" si="237"/>
        <v>38808.19891361388</v>
      </c>
      <c r="AE336" s="50">
        <f t="shared" ca="1" si="237"/>
        <v>39584.362891886165</v>
      </c>
      <c r="AF336" s="50">
        <f t="shared" ca="1" si="237"/>
        <v>40376.05014972388</v>
      </c>
      <c r="AG336" s="50">
        <f t="shared" ca="1" si="237"/>
        <v>41183.571152718359</v>
      </c>
      <c r="AH336" s="50">
        <f t="shared" ca="1" si="237"/>
        <v>42007.242575772732</v>
      </c>
      <c r="AI336" s="50">
        <f t="shared" ca="1" si="237"/>
        <v>42847.38742728818</v>
      </c>
      <c r="AJ336" s="50">
        <f t="shared" ca="1" si="237"/>
        <v>43704.335175833941</v>
      </c>
      <c r="AK336" s="50">
        <f t="shared" ca="1" si="237"/>
        <v>44578.42187935063</v>
      </c>
      <c r="AL336" s="50">
        <f t="shared" si="237"/>
        <v>0</v>
      </c>
      <c r="AM336" s="50">
        <f t="shared" si="237"/>
        <v>0</v>
      </c>
      <c r="AN336" s="50">
        <f t="shared" si="237"/>
        <v>0</v>
      </c>
      <c r="AO336" s="50">
        <f t="shared" si="237"/>
        <v>0</v>
      </c>
      <c r="AP336" s="50">
        <f t="shared" si="237"/>
        <v>0</v>
      </c>
      <c r="AQ336" s="50">
        <f t="shared" si="237"/>
        <v>0</v>
      </c>
      <c r="AR336" s="50">
        <f t="shared" si="237"/>
        <v>0</v>
      </c>
      <c r="AS336" s="50">
        <f t="shared" si="237"/>
        <v>0</v>
      </c>
      <c r="AT336" s="50">
        <f t="shared" si="237"/>
        <v>0</v>
      </c>
      <c r="AU336" s="50">
        <f t="shared" si="237"/>
        <v>0</v>
      </c>
    </row>
    <row r="337" spans="1:47">
      <c r="A337" s="38" t="str">
        <f t="shared" si="234"/>
        <v>2Y-</v>
      </c>
      <c r="B337" s="38" t="s">
        <v>274</v>
      </c>
      <c r="C337" s="38" t="str">
        <f t="shared" si="238"/>
        <v>Gas Cleaning</v>
      </c>
      <c r="D337" s="186"/>
      <c r="E337" s="325"/>
      <c r="G337" s="36" t="s">
        <v>16</v>
      </c>
      <c r="I337" s="39"/>
      <c r="K337" s="39"/>
      <c r="L337" s="43" t="s">
        <v>275</v>
      </c>
      <c r="N337" s="70">
        <f ca="1">SUMIFS(OFFSET(Assumptions!$I$90,0,MATCH($A337,Configurations,0)-1,COUNT(Assumptions!$A$90:$A$183),1),Assumptions!$D$90:$D$183,$B337&amp;$C337)</f>
        <v>0</v>
      </c>
      <c r="O337" s="313"/>
      <c r="P337" s="323"/>
      <c r="Q337" s="313"/>
      <c r="R337" s="50">
        <f t="shared" ref="R337:AU337" ca="1" si="239">IF(OR(R$99&lt;InServiceYr,R$99&gt;(InServiceYr+analysis_period-1)),0,IF($P337=0,$N337,$P337)*R$505)</f>
        <v>0</v>
      </c>
      <c r="S337" s="50">
        <f t="shared" ca="1" si="239"/>
        <v>0</v>
      </c>
      <c r="T337" s="50">
        <f t="shared" ca="1" si="239"/>
        <v>0</v>
      </c>
      <c r="U337" s="50">
        <f t="shared" ca="1" si="239"/>
        <v>0</v>
      </c>
      <c r="V337" s="50">
        <f t="shared" ca="1" si="239"/>
        <v>0</v>
      </c>
      <c r="W337" s="50">
        <f t="shared" ca="1" si="239"/>
        <v>0</v>
      </c>
      <c r="X337" s="50">
        <f t="shared" ca="1" si="239"/>
        <v>0</v>
      </c>
      <c r="Y337" s="50">
        <f t="shared" ca="1" si="239"/>
        <v>0</v>
      </c>
      <c r="Z337" s="50">
        <f t="shared" ca="1" si="239"/>
        <v>0</v>
      </c>
      <c r="AA337" s="50">
        <f t="shared" ca="1" si="239"/>
        <v>0</v>
      </c>
      <c r="AB337" s="50">
        <f t="shared" ca="1" si="239"/>
        <v>0</v>
      </c>
      <c r="AC337" s="50">
        <f t="shared" ca="1" si="239"/>
        <v>0</v>
      </c>
      <c r="AD337" s="50">
        <f t="shared" ca="1" si="239"/>
        <v>0</v>
      </c>
      <c r="AE337" s="50">
        <f t="shared" ca="1" si="239"/>
        <v>0</v>
      </c>
      <c r="AF337" s="50">
        <f t="shared" ca="1" si="239"/>
        <v>0</v>
      </c>
      <c r="AG337" s="50">
        <f t="shared" ca="1" si="239"/>
        <v>0</v>
      </c>
      <c r="AH337" s="50">
        <f t="shared" ca="1" si="239"/>
        <v>0</v>
      </c>
      <c r="AI337" s="50">
        <f t="shared" ca="1" si="239"/>
        <v>0</v>
      </c>
      <c r="AJ337" s="50">
        <f t="shared" ca="1" si="239"/>
        <v>0</v>
      </c>
      <c r="AK337" s="50">
        <f t="shared" ca="1" si="239"/>
        <v>0</v>
      </c>
      <c r="AL337" s="50">
        <f t="shared" si="239"/>
        <v>0</v>
      </c>
      <c r="AM337" s="50">
        <f t="shared" si="239"/>
        <v>0</v>
      </c>
      <c r="AN337" s="50">
        <f t="shared" si="239"/>
        <v>0</v>
      </c>
      <c r="AO337" s="50">
        <f t="shared" si="239"/>
        <v>0</v>
      </c>
      <c r="AP337" s="50">
        <f t="shared" si="239"/>
        <v>0</v>
      </c>
      <c r="AQ337" s="50">
        <f t="shared" si="239"/>
        <v>0</v>
      </c>
      <c r="AR337" s="50">
        <f t="shared" si="239"/>
        <v>0</v>
      </c>
      <c r="AS337" s="50">
        <f t="shared" si="239"/>
        <v>0</v>
      </c>
      <c r="AT337" s="50">
        <f t="shared" si="239"/>
        <v>0</v>
      </c>
      <c r="AU337" s="50">
        <f t="shared" si="239"/>
        <v>0</v>
      </c>
    </row>
    <row r="338" spans="1:47">
      <c r="A338" s="38" t="str">
        <f t="shared" si="234"/>
        <v>2Y-</v>
      </c>
      <c r="B338" s="38" t="s">
        <v>257</v>
      </c>
      <c r="C338" s="38" t="str">
        <f t="shared" si="238"/>
        <v>Gas Cleaning</v>
      </c>
      <c r="D338" s="186"/>
      <c r="E338" s="325"/>
      <c r="G338" s="36" t="s">
        <v>284</v>
      </c>
      <c r="I338" s="39"/>
      <c r="K338" s="39"/>
      <c r="L338" s="43" t="s">
        <v>293</v>
      </c>
      <c r="N338" s="70">
        <f ca="1">SUMIFS(OFFSET(Assumptions!$I$90,0,MATCH($A338,Configurations,0)-1,COUNT(Assumptions!$A$90:$A$183),1),Assumptions!$D$90:$D$183,$B338&amp;$C338)</f>
        <v>196010</v>
      </c>
      <c r="O338" s="313"/>
      <c r="P338" s="323"/>
      <c r="Q338" s="313"/>
      <c r="R338" s="50">
        <f t="shared" ref="R338:AU338" ca="1" si="240">IF(OR(R$99&lt;InServiceYr,R$99&gt;(InServiceYr+analysis_period-1)),0,IF($P338=0,$N338,$P338)*R$501)</f>
        <v>12658.630803864207</v>
      </c>
      <c r="S338" s="50">
        <f t="shared" ca="1" si="240"/>
        <v>12737.538774947772</v>
      </c>
      <c r="T338" s="50">
        <f t="shared" ca="1" si="240"/>
        <v>13286.653326356565</v>
      </c>
      <c r="U338" s="50">
        <f t="shared" ca="1" si="240"/>
        <v>13685.219678312775</v>
      </c>
      <c r="V338" s="50">
        <f t="shared" ca="1" si="240"/>
        <v>14015.45922427961</v>
      </c>
      <c r="W338" s="50">
        <f t="shared" ca="1" si="240"/>
        <v>14194.762957849085</v>
      </c>
      <c r="X338" s="50">
        <f t="shared" ca="1" si="240"/>
        <v>14425.746858026192</v>
      </c>
      <c r="Y338" s="50">
        <f t="shared" ca="1" si="240"/>
        <v>14781.167879439816</v>
      </c>
      <c r="Z338" s="50">
        <f t="shared" ca="1" si="240"/>
        <v>15135.039117372518</v>
      </c>
      <c r="AA338" s="50">
        <f t="shared" ca="1" si="240"/>
        <v>15513.45226939313</v>
      </c>
      <c r="AB338" s="50">
        <f t="shared" ca="1" si="240"/>
        <v>15849.470589728022</v>
      </c>
      <c r="AC338" s="50">
        <f t="shared" ca="1" si="240"/>
        <v>16154.67368095327</v>
      </c>
      <c r="AD338" s="50">
        <f t="shared" ca="1" si="240"/>
        <v>16527.843365448523</v>
      </c>
      <c r="AE338" s="50">
        <f t="shared" ca="1" si="240"/>
        <v>16904.54032774123</v>
      </c>
      <c r="AF338" s="50">
        <f t="shared" ca="1" si="240"/>
        <v>17306.472897633364</v>
      </c>
      <c r="AG338" s="50">
        <f t="shared" ca="1" si="240"/>
        <v>17756.732113862636</v>
      </c>
      <c r="AH338" s="50">
        <f t="shared" ca="1" si="240"/>
        <v>18191.9044986638</v>
      </c>
      <c r="AI338" s="50">
        <f t="shared" ca="1" si="240"/>
        <v>18663.831278506015</v>
      </c>
      <c r="AJ338" s="50">
        <f t="shared" ca="1" si="240"/>
        <v>19163.434290903384</v>
      </c>
      <c r="AK338" s="50">
        <f t="shared" ca="1" si="240"/>
        <v>19684.742291611805</v>
      </c>
      <c r="AL338" s="50">
        <f t="shared" si="240"/>
        <v>0</v>
      </c>
      <c r="AM338" s="50">
        <f t="shared" si="240"/>
        <v>0</v>
      </c>
      <c r="AN338" s="50">
        <f t="shared" si="240"/>
        <v>0</v>
      </c>
      <c r="AO338" s="50">
        <f t="shared" si="240"/>
        <v>0</v>
      </c>
      <c r="AP338" s="50">
        <f t="shared" si="240"/>
        <v>0</v>
      </c>
      <c r="AQ338" s="50">
        <f t="shared" si="240"/>
        <v>0</v>
      </c>
      <c r="AR338" s="50">
        <f t="shared" si="240"/>
        <v>0</v>
      </c>
      <c r="AS338" s="50">
        <f t="shared" si="240"/>
        <v>0</v>
      </c>
      <c r="AT338" s="50">
        <f t="shared" si="240"/>
        <v>0</v>
      </c>
      <c r="AU338" s="50">
        <f t="shared" si="240"/>
        <v>0</v>
      </c>
    </row>
    <row r="339" spans="1:47">
      <c r="A339" s="38" t="str">
        <f t="shared" si="234"/>
        <v>2Y-</v>
      </c>
      <c r="B339" s="38" t="s">
        <v>864</v>
      </c>
      <c r="C339" s="38" t="str">
        <f t="shared" si="238"/>
        <v>Gas Cleaning</v>
      </c>
      <c r="D339" s="186">
        <f>GHGEsc</f>
        <v>0.02</v>
      </c>
      <c r="E339" s="325"/>
      <c r="G339" s="36" t="s">
        <v>865</v>
      </c>
      <c r="I339" s="39"/>
      <c r="K339" s="39"/>
      <c r="L339" s="43" t="s">
        <v>866</v>
      </c>
      <c r="N339" s="70">
        <f ca="1">SUMIFS(OFFSET(Assumptions!$I$90,0,MATCH($A339,Configurations,0)-1,COUNT(Assumptions!$A$90:$A$183),1),Assumptions!$D$90:$D$183,$B339&amp;$C339)</f>
        <v>0</v>
      </c>
      <c r="O339" s="313"/>
      <c r="P339" s="323"/>
      <c r="Q339" s="313"/>
      <c r="R339" s="50">
        <f t="shared" ref="R339:AU339" ca="1" si="241">IF(OR(R$99&lt;InServiceYr,R$99&gt;(InServiceYr+analysis_period-1)),0,IF($P339=0,$N339,$P339)*R$513)</f>
        <v>0</v>
      </c>
      <c r="S339" s="50">
        <f t="shared" ca="1" si="241"/>
        <v>0</v>
      </c>
      <c r="T339" s="50">
        <f t="shared" ca="1" si="241"/>
        <v>0</v>
      </c>
      <c r="U339" s="50">
        <f t="shared" ca="1" si="241"/>
        <v>0</v>
      </c>
      <c r="V339" s="50">
        <f t="shared" ca="1" si="241"/>
        <v>0</v>
      </c>
      <c r="W339" s="50">
        <f t="shared" ca="1" si="241"/>
        <v>0</v>
      </c>
      <c r="X339" s="50">
        <f t="shared" ca="1" si="241"/>
        <v>0</v>
      </c>
      <c r="Y339" s="50">
        <f t="shared" ca="1" si="241"/>
        <v>0</v>
      </c>
      <c r="Z339" s="50">
        <f t="shared" ca="1" si="241"/>
        <v>0</v>
      </c>
      <c r="AA339" s="50">
        <f t="shared" ca="1" si="241"/>
        <v>0</v>
      </c>
      <c r="AB339" s="50">
        <f t="shared" ca="1" si="241"/>
        <v>0</v>
      </c>
      <c r="AC339" s="50">
        <f t="shared" ca="1" si="241"/>
        <v>0</v>
      </c>
      <c r="AD339" s="50">
        <f t="shared" ca="1" si="241"/>
        <v>0</v>
      </c>
      <c r="AE339" s="50">
        <f t="shared" ca="1" si="241"/>
        <v>0</v>
      </c>
      <c r="AF339" s="50">
        <f t="shared" ca="1" si="241"/>
        <v>0</v>
      </c>
      <c r="AG339" s="50">
        <f t="shared" ca="1" si="241"/>
        <v>0</v>
      </c>
      <c r="AH339" s="50">
        <f t="shared" ca="1" si="241"/>
        <v>0</v>
      </c>
      <c r="AI339" s="50">
        <f t="shared" ca="1" si="241"/>
        <v>0</v>
      </c>
      <c r="AJ339" s="50">
        <f t="shared" ca="1" si="241"/>
        <v>0</v>
      </c>
      <c r="AK339" s="50">
        <f t="shared" ca="1" si="241"/>
        <v>0</v>
      </c>
      <c r="AL339" s="50">
        <f t="shared" si="241"/>
        <v>0</v>
      </c>
      <c r="AM339" s="50">
        <f t="shared" si="241"/>
        <v>0</v>
      </c>
      <c r="AN339" s="50">
        <f t="shared" si="241"/>
        <v>0</v>
      </c>
      <c r="AO339" s="50">
        <f t="shared" si="241"/>
        <v>0</v>
      </c>
      <c r="AP339" s="50">
        <f t="shared" si="241"/>
        <v>0</v>
      </c>
      <c r="AQ339" s="50">
        <f t="shared" si="241"/>
        <v>0</v>
      </c>
      <c r="AR339" s="50">
        <f t="shared" si="241"/>
        <v>0</v>
      </c>
      <c r="AS339" s="50">
        <f t="shared" si="241"/>
        <v>0</v>
      </c>
      <c r="AT339" s="50">
        <f t="shared" si="241"/>
        <v>0</v>
      </c>
      <c r="AU339" s="50">
        <f t="shared" si="241"/>
        <v>0</v>
      </c>
    </row>
    <row r="340" spans="1:47">
      <c r="A340" s="38" t="str">
        <f t="shared" si="234"/>
        <v>2Y-</v>
      </c>
      <c r="B340" s="38" t="s">
        <v>273</v>
      </c>
      <c r="C340" s="38" t="str">
        <f>C338</f>
        <v>Gas Cleaning</v>
      </c>
      <c r="D340" s="186">
        <f>LaborEsc</f>
        <v>0.02</v>
      </c>
      <c r="E340" s="325"/>
      <c r="G340" s="36" t="s">
        <v>291</v>
      </c>
      <c r="I340" s="39"/>
      <c r="K340" s="39"/>
      <c r="L340" s="43" t="str">
        <f>"["&amp;CostBaseYr&amp;" $]"</f>
        <v>[2013 $]</v>
      </c>
      <c r="N340" s="70">
        <f ca="1">SUMIFS(OFFSET(Assumptions!$I$90,0,MATCH($A340,Configurations,0)-1,COUNT(Assumptions!$A$90:$A$183),1),Assumptions!$D$90:$D$183,$B340&amp;$C340)</f>
        <v>0</v>
      </c>
      <c r="O340" s="313"/>
      <c r="P340" s="323"/>
      <c r="Q340" s="313"/>
      <c r="R340" s="50">
        <f t="shared" ref="R340:AU340" ca="1" si="242">IF(OR(R$99&lt;InServiceYr,R$99&gt;(InServiceYr+analysis_period-1)),0,IF($P340=0,$N340,$P340)*(1+$D340)^(R$99-CostBaseYr))*R$509</f>
        <v>0</v>
      </c>
      <c r="S340" s="50">
        <f t="shared" ca="1" si="242"/>
        <v>0</v>
      </c>
      <c r="T340" s="50">
        <f t="shared" ca="1" si="242"/>
        <v>0</v>
      </c>
      <c r="U340" s="50">
        <f t="shared" ca="1" si="242"/>
        <v>0</v>
      </c>
      <c r="V340" s="50">
        <f t="shared" ca="1" si="242"/>
        <v>0</v>
      </c>
      <c r="W340" s="50">
        <f t="shared" ca="1" si="242"/>
        <v>0</v>
      </c>
      <c r="X340" s="50">
        <f t="shared" ca="1" si="242"/>
        <v>0</v>
      </c>
      <c r="Y340" s="50">
        <f t="shared" ca="1" si="242"/>
        <v>0</v>
      </c>
      <c r="Z340" s="50">
        <f t="shared" ca="1" si="242"/>
        <v>0</v>
      </c>
      <c r="AA340" s="50">
        <f t="shared" ca="1" si="242"/>
        <v>0</v>
      </c>
      <c r="AB340" s="50">
        <f t="shared" ca="1" si="242"/>
        <v>0</v>
      </c>
      <c r="AC340" s="50">
        <f t="shared" ca="1" si="242"/>
        <v>0</v>
      </c>
      <c r="AD340" s="50">
        <f t="shared" ca="1" si="242"/>
        <v>0</v>
      </c>
      <c r="AE340" s="50">
        <f t="shared" ca="1" si="242"/>
        <v>0</v>
      </c>
      <c r="AF340" s="50">
        <f t="shared" ca="1" si="242"/>
        <v>0</v>
      </c>
      <c r="AG340" s="50">
        <f t="shared" ca="1" si="242"/>
        <v>0</v>
      </c>
      <c r="AH340" s="50">
        <f t="shared" ca="1" si="242"/>
        <v>0</v>
      </c>
      <c r="AI340" s="50">
        <f t="shared" ca="1" si="242"/>
        <v>0</v>
      </c>
      <c r="AJ340" s="50">
        <f t="shared" ca="1" si="242"/>
        <v>0</v>
      </c>
      <c r="AK340" s="50">
        <f t="shared" ca="1" si="242"/>
        <v>0</v>
      </c>
      <c r="AL340" s="50">
        <f t="shared" si="242"/>
        <v>0</v>
      </c>
      <c r="AM340" s="50">
        <f t="shared" si="242"/>
        <v>0</v>
      </c>
      <c r="AN340" s="50">
        <f t="shared" si="242"/>
        <v>0</v>
      </c>
      <c r="AO340" s="50">
        <f t="shared" si="242"/>
        <v>0</v>
      </c>
      <c r="AP340" s="50">
        <f t="shared" si="242"/>
        <v>0</v>
      </c>
      <c r="AQ340" s="50">
        <f t="shared" si="242"/>
        <v>0</v>
      </c>
      <c r="AR340" s="50">
        <f t="shared" si="242"/>
        <v>0</v>
      </c>
      <c r="AS340" s="50">
        <f t="shared" si="242"/>
        <v>0</v>
      </c>
      <c r="AT340" s="50">
        <f t="shared" si="242"/>
        <v>0</v>
      </c>
      <c r="AU340" s="50">
        <f t="shared" si="242"/>
        <v>0</v>
      </c>
    </row>
    <row r="341" spans="1:47">
      <c r="D341" s="186"/>
      <c r="E341" s="325"/>
      <c r="G341" s="39" t="s">
        <v>304</v>
      </c>
      <c r="I341" s="39"/>
      <c r="K341" s="39"/>
      <c r="L341" s="43"/>
      <c r="N341" s="70"/>
      <c r="O341" s="313"/>
      <c r="P341" s="70"/>
      <c r="Q341" s="313"/>
      <c r="R341" s="50"/>
      <c r="S341" s="50"/>
      <c r="T341" s="50"/>
      <c r="U341" s="50"/>
      <c r="V341" s="50"/>
      <c r="W341" s="50"/>
      <c r="X341" s="50"/>
      <c r="Y341" s="50"/>
      <c r="Z341" s="50"/>
      <c r="AA341" s="50"/>
      <c r="AB341" s="50"/>
      <c r="AC341" s="50"/>
      <c r="AD341" s="50"/>
      <c r="AE341" s="50"/>
      <c r="AF341" s="50"/>
      <c r="AG341" s="50"/>
      <c r="AH341" s="50"/>
      <c r="AI341" s="50"/>
      <c r="AJ341" s="50"/>
      <c r="AK341" s="50"/>
      <c r="AL341" s="50"/>
      <c r="AM341" s="50"/>
      <c r="AN341" s="50"/>
      <c r="AO341" s="50"/>
      <c r="AP341" s="50"/>
      <c r="AQ341" s="50"/>
      <c r="AR341" s="50"/>
      <c r="AS341" s="50"/>
      <c r="AT341" s="50"/>
      <c r="AU341" s="50"/>
    </row>
    <row r="342" spans="1:47">
      <c r="A342" s="38" t="str">
        <f>$J$4&amp;"-"</f>
        <v>2Y-</v>
      </c>
      <c r="B342" s="38" t="s">
        <v>265</v>
      </c>
      <c r="C342" s="38" t="str">
        <f>C333</f>
        <v>Gas Cleaning</v>
      </c>
      <c r="D342" s="186"/>
      <c r="E342" s="325"/>
      <c r="G342" s="36" t="s">
        <v>108</v>
      </c>
      <c r="I342" s="39"/>
      <c r="K342" s="39"/>
      <c r="L342" s="43" t="s">
        <v>293</v>
      </c>
      <c r="N342" s="70">
        <f ca="1">SUMIFS(OFFSET(Assumptions!$I$90,0,MATCH($A342,Configurations,0)-1,COUNT(Assumptions!$A$90:$A$183),1),Assumptions!$D$90:$D$183,$B342&amp;$C342)</f>
        <v>0</v>
      </c>
      <c r="O342" s="313"/>
      <c r="P342" s="323"/>
      <c r="Q342" s="313"/>
      <c r="R342" s="50">
        <f t="shared" ref="R342:AU342" ca="1" si="243">IF(OR(R$99&lt;InServiceYr,R$99&gt;(InServiceYr+analysis_period-1)),0,IF($P342=0,$N342,$P342)*R$501)</f>
        <v>0</v>
      </c>
      <c r="S342" s="50">
        <f t="shared" ca="1" si="243"/>
        <v>0</v>
      </c>
      <c r="T342" s="50">
        <f t="shared" ca="1" si="243"/>
        <v>0</v>
      </c>
      <c r="U342" s="50">
        <f t="shared" ca="1" si="243"/>
        <v>0</v>
      </c>
      <c r="V342" s="50">
        <f t="shared" ca="1" si="243"/>
        <v>0</v>
      </c>
      <c r="W342" s="50">
        <f t="shared" ca="1" si="243"/>
        <v>0</v>
      </c>
      <c r="X342" s="50">
        <f t="shared" ca="1" si="243"/>
        <v>0</v>
      </c>
      <c r="Y342" s="50">
        <f t="shared" ca="1" si="243"/>
        <v>0</v>
      </c>
      <c r="Z342" s="50">
        <f t="shared" ca="1" si="243"/>
        <v>0</v>
      </c>
      <c r="AA342" s="50">
        <f t="shared" ca="1" si="243"/>
        <v>0</v>
      </c>
      <c r="AB342" s="50">
        <f t="shared" ca="1" si="243"/>
        <v>0</v>
      </c>
      <c r="AC342" s="50">
        <f t="shared" ca="1" si="243"/>
        <v>0</v>
      </c>
      <c r="AD342" s="50">
        <f t="shared" ca="1" si="243"/>
        <v>0</v>
      </c>
      <c r="AE342" s="50">
        <f t="shared" ca="1" si="243"/>
        <v>0</v>
      </c>
      <c r="AF342" s="50">
        <f t="shared" ca="1" si="243"/>
        <v>0</v>
      </c>
      <c r="AG342" s="50">
        <f t="shared" ca="1" si="243"/>
        <v>0</v>
      </c>
      <c r="AH342" s="50">
        <f t="shared" ca="1" si="243"/>
        <v>0</v>
      </c>
      <c r="AI342" s="50">
        <f t="shared" ca="1" si="243"/>
        <v>0</v>
      </c>
      <c r="AJ342" s="50">
        <f t="shared" ca="1" si="243"/>
        <v>0</v>
      </c>
      <c r="AK342" s="50">
        <f t="shared" ca="1" si="243"/>
        <v>0</v>
      </c>
      <c r="AL342" s="50">
        <f t="shared" si="243"/>
        <v>0</v>
      </c>
      <c r="AM342" s="50">
        <f t="shared" si="243"/>
        <v>0</v>
      </c>
      <c r="AN342" s="50">
        <f t="shared" si="243"/>
        <v>0</v>
      </c>
      <c r="AO342" s="50">
        <f t="shared" si="243"/>
        <v>0</v>
      </c>
      <c r="AP342" s="50">
        <f t="shared" si="243"/>
        <v>0</v>
      </c>
      <c r="AQ342" s="50">
        <f t="shared" si="243"/>
        <v>0</v>
      </c>
      <c r="AR342" s="50">
        <f t="shared" si="243"/>
        <v>0</v>
      </c>
      <c r="AS342" s="50">
        <f t="shared" si="243"/>
        <v>0</v>
      </c>
      <c r="AT342" s="50">
        <f t="shared" si="243"/>
        <v>0</v>
      </c>
      <c r="AU342" s="50">
        <f t="shared" si="243"/>
        <v>0</v>
      </c>
    </row>
    <row r="343" spans="1:47">
      <c r="A343" s="38" t="str">
        <f>$J$4&amp;"-"</f>
        <v>2Y-</v>
      </c>
      <c r="B343" s="38" t="s">
        <v>289</v>
      </c>
      <c r="C343" s="38" t="str">
        <f>C333</f>
        <v>Gas Cleaning</v>
      </c>
      <c r="D343" s="186">
        <f>LaborEsc</f>
        <v>0.02</v>
      </c>
      <c r="E343" s="325"/>
      <c r="G343" s="36" t="s">
        <v>292</v>
      </c>
      <c r="I343" s="39"/>
      <c r="K343" s="39"/>
      <c r="L343" s="43" t="str">
        <f>"["&amp;CostBaseYr&amp;" $]"</f>
        <v>[2013 $]</v>
      </c>
      <c r="N343" s="70">
        <f ca="1">SUMIFS(OFFSET(Assumptions!$I$90,0,MATCH($A343,Configurations,0)-1,COUNT(Assumptions!$A$90:$A$183),1),Assumptions!$D$90:$D$183,$B343&amp;$C343)</f>
        <v>0</v>
      </c>
      <c r="O343" s="313"/>
      <c r="P343" s="323"/>
      <c r="Q343" s="313"/>
      <c r="R343" s="50">
        <f t="shared" ref="R343:AU343" ca="1" si="244">IF(OR(R$99&lt;InServiceYr,R$99&gt;(InServiceYr+analysis_period-1)),0,IF($P343=0,$N343,$P343)*(1+$D343)^(R$99-CostBaseYr))</f>
        <v>0</v>
      </c>
      <c r="S343" s="50">
        <f t="shared" ca="1" si="244"/>
        <v>0</v>
      </c>
      <c r="T343" s="50">
        <f t="shared" ca="1" si="244"/>
        <v>0</v>
      </c>
      <c r="U343" s="50">
        <f t="shared" ca="1" si="244"/>
        <v>0</v>
      </c>
      <c r="V343" s="50">
        <f t="shared" ca="1" si="244"/>
        <v>0</v>
      </c>
      <c r="W343" s="50">
        <f t="shared" ca="1" si="244"/>
        <v>0</v>
      </c>
      <c r="X343" s="50">
        <f t="shared" ca="1" si="244"/>
        <v>0</v>
      </c>
      <c r="Y343" s="50">
        <f t="shared" ca="1" si="244"/>
        <v>0</v>
      </c>
      <c r="Z343" s="50">
        <f t="shared" ca="1" si="244"/>
        <v>0</v>
      </c>
      <c r="AA343" s="50">
        <f t="shared" ca="1" si="244"/>
        <v>0</v>
      </c>
      <c r="AB343" s="50">
        <f t="shared" ca="1" si="244"/>
        <v>0</v>
      </c>
      <c r="AC343" s="50">
        <f t="shared" ca="1" si="244"/>
        <v>0</v>
      </c>
      <c r="AD343" s="50">
        <f t="shared" ca="1" si="244"/>
        <v>0</v>
      </c>
      <c r="AE343" s="50">
        <f t="shared" ca="1" si="244"/>
        <v>0</v>
      </c>
      <c r="AF343" s="50">
        <f t="shared" ca="1" si="244"/>
        <v>0</v>
      </c>
      <c r="AG343" s="50">
        <f t="shared" ca="1" si="244"/>
        <v>0</v>
      </c>
      <c r="AH343" s="50">
        <f t="shared" ca="1" si="244"/>
        <v>0</v>
      </c>
      <c r="AI343" s="50">
        <f t="shared" ca="1" si="244"/>
        <v>0</v>
      </c>
      <c r="AJ343" s="50">
        <f t="shared" ca="1" si="244"/>
        <v>0</v>
      </c>
      <c r="AK343" s="50">
        <f t="shared" ca="1" si="244"/>
        <v>0</v>
      </c>
      <c r="AL343" s="50">
        <f t="shared" si="244"/>
        <v>0</v>
      </c>
      <c r="AM343" s="50">
        <f t="shared" si="244"/>
        <v>0</v>
      </c>
      <c r="AN343" s="50">
        <f t="shared" si="244"/>
        <v>0</v>
      </c>
      <c r="AO343" s="50">
        <f t="shared" si="244"/>
        <v>0</v>
      </c>
      <c r="AP343" s="50">
        <f t="shared" si="244"/>
        <v>0</v>
      </c>
      <c r="AQ343" s="50">
        <f t="shared" si="244"/>
        <v>0</v>
      </c>
      <c r="AR343" s="50">
        <f t="shared" si="244"/>
        <v>0</v>
      </c>
      <c r="AS343" s="50">
        <f t="shared" si="244"/>
        <v>0</v>
      </c>
      <c r="AT343" s="50">
        <f t="shared" si="244"/>
        <v>0</v>
      </c>
      <c r="AU343" s="50">
        <f t="shared" si="244"/>
        <v>0</v>
      </c>
    </row>
    <row r="344" spans="1:47" s="60" customFormat="1">
      <c r="D344" s="187"/>
      <c r="E344" s="325"/>
      <c r="G344" s="39" t="s">
        <v>305</v>
      </c>
      <c r="I344" s="39"/>
      <c r="K344" s="39"/>
      <c r="L344" s="174"/>
      <c r="N344" s="188"/>
      <c r="O344" s="314"/>
      <c r="P344" s="185"/>
      <c r="Q344" s="314"/>
      <c r="R344" s="185">
        <f ca="1">SUM(R333:R340)-SUM(R342:R343)</f>
        <v>108640.6308038642</v>
      </c>
      <c r="S344" s="185">
        <f t="shared" ref="S344:AU344" ca="1" si="245">SUM(S333:S340)-SUM(S342:S343)</f>
        <v>110639.17877494777</v>
      </c>
      <c r="T344" s="185">
        <f t="shared" ca="1" si="245"/>
        <v>113146.32612635657</v>
      </c>
      <c r="U344" s="185">
        <f t="shared" ca="1" si="245"/>
        <v>115542.08593431277</v>
      </c>
      <c r="V344" s="185">
        <f t="shared" ca="1" si="245"/>
        <v>117909.46280539961</v>
      </c>
      <c r="W344" s="185">
        <f t="shared" ca="1" si="245"/>
        <v>120166.6466105915</v>
      </c>
      <c r="X344" s="185">
        <f t="shared" ca="1" si="245"/>
        <v>122517.06818382343</v>
      </c>
      <c r="Y344" s="185">
        <f t="shared" ca="1" si="245"/>
        <v>125034.31563175299</v>
      </c>
      <c r="Z344" s="185">
        <f t="shared" ca="1" si="245"/>
        <v>127593.24982473197</v>
      </c>
      <c r="AA344" s="185">
        <f t="shared" ca="1" si="245"/>
        <v>130220.82719089978</v>
      </c>
      <c r="AB344" s="185">
        <f t="shared" ca="1" si="245"/>
        <v>132850.99300966476</v>
      </c>
      <c r="AC344" s="185">
        <f t="shared" ca="1" si="245"/>
        <v>135496.22654928878</v>
      </c>
      <c r="AD344" s="185">
        <f t="shared" ca="1" si="245"/>
        <v>138256.22729115075</v>
      </c>
      <c r="AE344" s="185">
        <f t="shared" ca="1" si="245"/>
        <v>141067.49193195751</v>
      </c>
      <c r="AF344" s="185">
        <f t="shared" ca="1" si="245"/>
        <v>143952.68353393392</v>
      </c>
      <c r="AG344" s="185">
        <f t="shared" ca="1" si="245"/>
        <v>146935.86696288924</v>
      </c>
      <c r="AH344" s="185">
        <f t="shared" ca="1" si="245"/>
        <v>149954.62204467092</v>
      </c>
      <c r="AI344" s="185">
        <f t="shared" ca="1" si="245"/>
        <v>153061.80317543331</v>
      </c>
      <c r="AJ344" s="185">
        <f t="shared" ca="1" si="245"/>
        <v>156249.36562576919</v>
      </c>
      <c r="AK344" s="185">
        <f t="shared" ca="1" si="245"/>
        <v>159512.39225317491</v>
      </c>
      <c r="AL344" s="185">
        <f t="shared" si="245"/>
        <v>0</v>
      </c>
      <c r="AM344" s="185">
        <f t="shared" si="245"/>
        <v>0</v>
      </c>
      <c r="AN344" s="185">
        <f t="shared" si="245"/>
        <v>0</v>
      </c>
      <c r="AO344" s="185">
        <f t="shared" si="245"/>
        <v>0</v>
      </c>
      <c r="AP344" s="185">
        <f t="shared" si="245"/>
        <v>0</v>
      </c>
      <c r="AQ344" s="185">
        <f t="shared" si="245"/>
        <v>0</v>
      </c>
      <c r="AR344" s="185">
        <f t="shared" si="245"/>
        <v>0</v>
      </c>
      <c r="AS344" s="185">
        <f t="shared" si="245"/>
        <v>0</v>
      </c>
      <c r="AT344" s="185">
        <f t="shared" si="245"/>
        <v>0</v>
      </c>
      <c r="AU344" s="185">
        <f t="shared" si="245"/>
        <v>0</v>
      </c>
    </row>
    <row r="345" spans="1:47">
      <c r="E345" s="36"/>
      <c r="G345" s="39"/>
      <c r="H345" s="39"/>
      <c r="I345" s="39"/>
      <c r="J345" s="39"/>
      <c r="K345" s="39"/>
    </row>
    <row r="346" spans="1:47">
      <c r="E346" s="327"/>
      <c r="F346" s="28"/>
      <c r="G346" s="324" t="str">
        <f>C348&amp;" Capital Costs"</f>
        <v>Gravity Belt Thickener Capital Costs</v>
      </c>
      <c r="H346" s="324"/>
      <c r="I346" s="324"/>
      <c r="J346" s="324"/>
      <c r="K346" s="324"/>
      <c r="L346" s="405" t="s">
        <v>79</v>
      </c>
      <c r="M346" s="256"/>
      <c r="N346" s="325" t="s">
        <v>490</v>
      </c>
      <c r="O346" s="311"/>
      <c r="P346" s="325" t="s">
        <v>491</v>
      </c>
      <c r="Q346" s="310"/>
      <c r="R346" s="325">
        <f>R$8</f>
        <v>2014</v>
      </c>
      <c r="S346" s="325">
        <f t="shared" ref="S346:AU346" si="246">S$8</f>
        <v>2015</v>
      </c>
      <c r="T346" s="325">
        <f t="shared" si="246"/>
        <v>2016</v>
      </c>
      <c r="U346" s="325">
        <f t="shared" si="246"/>
        <v>2017</v>
      </c>
      <c r="V346" s="325">
        <f t="shared" si="246"/>
        <v>2018</v>
      </c>
      <c r="W346" s="325">
        <f t="shared" si="246"/>
        <v>2019</v>
      </c>
      <c r="X346" s="325">
        <f t="shared" si="246"/>
        <v>2020</v>
      </c>
      <c r="Y346" s="325">
        <f t="shared" si="246"/>
        <v>2021</v>
      </c>
      <c r="Z346" s="325">
        <f t="shared" si="246"/>
        <v>2022</v>
      </c>
      <c r="AA346" s="325">
        <f t="shared" si="246"/>
        <v>2023</v>
      </c>
      <c r="AB346" s="325">
        <f t="shared" si="246"/>
        <v>2024</v>
      </c>
      <c r="AC346" s="325">
        <f t="shared" si="246"/>
        <v>2025</v>
      </c>
      <c r="AD346" s="325">
        <f t="shared" si="246"/>
        <v>2026</v>
      </c>
      <c r="AE346" s="325">
        <f t="shared" si="246"/>
        <v>2027</v>
      </c>
      <c r="AF346" s="325">
        <f t="shared" si="246"/>
        <v>2028</v>
      </c>
      <c r="AG346" s="325">
        <f t="shared" si="246"/>
        <v>2029</v>
      </c>
      <c r="AH346" s="325">
        <f t="shared" si="246"/>
        <v>2030</v>
      </c>
      <c r="AI346" s="325">
        <f t="shared" si="246"/>
        <v>2031</v>
      </c>
      <c r="AJ346" s="325">
        <f t="shared" si="246"/>
        <v>2032</v>
      </c>
      <c r="AK346" s="325">
        <f t="shared" si="246"/>
        <v>2033</v>
      </c>
      <c r="AL346" s="325">
        <f t="shared" si="246"/>
        <v>2034</v>
      </c>
      <c r="AM346" s="325">
        <f t="shared" si="246"/>
        <v>2035</v>
      </c>
      <c r="AN346" s="325">
        <f t="shared" si="246"/>
        <v>2036</v>
      </c>
      <c r="AO346" s="325">
        <f t="shared" si="246"/>
        <v>2037</v>
      </c>
      <c r="AP346" s="325">
        <f t="shared" si="246"/>
        <v>2038</v>
      </c>
      <c r="AQ346" s="325">
        <f t="shared" si="246"/>
        <v>2039</v>
      </c>
      <c r="AR346" s="325">
        <f t="shared" si="246"/>
        <v>2040</v>
      </c>
      <c r="AS346" s="325">
        <f t="shared" si="246"/>
        <v>2041</v>
      </c>
      <c r="AT346" s="325">
        <f t="shared" si="246"/>
        <v>2042</v>
      </c>
      <c r="AU346" s="325">
        <f t="shared" si="246"/>
        <v>2043</v>
      </c>
    </row>
    <row r="347" spans="1:47">
      <c r="E347" s="325"/>
      <c r="G347" s="39"/>
      <c r="H347" s="39"/>
      <c r="I347" s="39"/>
      <c r="J347" s="39"/>
      <c r="K347" s="39"/>
    </row>
    <row r="348" spans="1:47">
      <c r="A348" s="38" t="str">
        <f>$J$4&amp;"-"</f>
        <v>2Y-</v>
      </c>
      <c r="B348" s="38" t="s">
        <v>306</v>
      </c>
      <c r="C348" s="38" t="s">
        <v>135</v>
      </c>
      <c r="D348" s="186">
        <f>CapExEsc</f>
        <v>0.03</v>
      </c>
      <c r="E348" s="325"/>
      <c r="G348" s="36" t="s">
        <v>8</v>
      </c>
      <c r="H348" s="39"/>
      <c r="I348" s="39"/>
      <c r="J348" s="70"/>
      <c r="K348" s="39"/>
      <c r="L348" s="43" t="str">
        <f>"["&amp;CostBaseYr&amp;" $]"</f>
        <v>[2013 $]</v>
      </c>
      <c r="N348" s="52">
        <f ca="1">SUMIFS(OFFSET(Assumptions!$I$65,0,MATCH($A348,Configurations,0)-1,COUNT(Assumptions!$A$65:$A$84),1),Assumptions!$E$65:$E$84,$C348)</f>
        <v>2050000</v>
      </c>
      <c r="O348" s="52"/>
      <c r="P348" s="322"/>
      <c r="Q348" s="52"/>
      <c r="R348" s="52">
        <f t="shared" ref="R348:AU348" ca="1" si="247">R349*IF($P348=0,$N348,$P348)*(1+$D348)^(R$8-CostBaseYr)</f>
        <v>2111500</v>
      </c>
      <c r="S348" s="52">
        <f t="shared" ca="1" si="247"/>
        <v>0</v>
      </c>
      <c r="T348" s="52">
        <f t="shared" ca="1" si="247"/>
        <v>0</v>
      </c>
      <c r="U348" s="52">
        <f t="shared" ca="1" si="247"/>
        <v>0</v>
      </c>
      <c r="V348" s="52">
        <f t="shared" ca="1" si="247"/>
        <v>0</v>
      </c>
      <c r="W348" s="52">
        <f t="shared" ca="1" si="247"/>
        <v>0</v>
      </c>
      <c r="X348" s="52">
        <f t="shared" ca="1" si="247"/>
        <v>0</v>
      </c>
      <c r="Y348" s="52">
        <f t="shared" ca="1" si="247"/>
        <v>0</v>
      </c>
      <c r="Z348" s="52">
        <f t="shared" ca="1" si="247"/>
        <v>0</v>
      </c>
      <c r="AA348" s="52">
        <f t="shared" ca="1" si="247"/>
        <v>0</v>
      </c>
      <c r="AB348" s="52">
        <f t="shared" ca="1" si="247"/>
        <v>0</v>
      </c>
      <c r="AC348" s="52">
        <f t="shared" ca="1" si="247"/>
        <v>0</v>
      </c>
      <c r="AD348" s="52">
        <f t="shared" ca="1" si="247"/>
        <v>0</v>
      </c>
      <c r="AE348" s="52">
        <f t="shared" ca="1" si="247"/>
        <v>0</v>
      </c>
      <c r="AF348" s="52">
        <f t="shared" ca="1" si="247"/>
        <v>0</v>
      </c>
      <c r="AG348" s="52">
        <f t="shared" ca="1" si="247"/>
        <v>0</v>
      </c>
      <c r="AH348" s="52">
        <f t="shared" ca="1" si="247"/>
        <v>0</v>
      </c>
      <c r="AI348" s="52">
        <f t="shared" ca="1" si="247"/>
        <v>0</v>
      </c>
      <c r="AJ348" s="52">
        <f t="shared" ca="1" si="247"/>
        <v>0</v>
      </c>
      <c r="AK348" s="52">
        <f t="shared" ca="1" si="247"/>
        <v>0</v>
      </c>
      <c r="AL348" s="52">
        <f t="shared" ca="1" si="247"/>
        <v>0</v>
      </c>
      <c r="AM348" s="52">
        <f t="shared" ca="1" si="247"/>
        <v>0</v>
      </c>
      <c r="AN348" s="52">
        <f t="shared" ca="1" si="247"/>
        <v>0</v>
      </c>
      <c r="AO348" s="52">
        <f t="shared" ca="1" si="247"/>
        <v>0</v>
      </c>
      <c r="AP348" s="52">
        <f t="shared" ca="1" si="247"/>
        <v>0</v>
      </c>
      <c r="AQ348" s="52">
        <f t="shared" ca="1" si="247"/>
        <v>0</v>
      </c>
      <c r="AR348" s="52">
        <f t="shared" ca="1" si="247"/>
        <v>0</v>
      </c>
      <c r="AS348" s="52">
        <f t="shared" ca="1" si="247"/>
        <v>0</v>
      </c>
      <c r="AT348" s="52">
        <f t="shared" ca="1" si="247"/>
        <v>0</v>
      </c>
      <c r="AU348" s="52">
        <f t="shared" ca="1" si="247"/>
        <v>0</v>
      </c>
    </row>
    <row r="349" spans="1:47">
      <c r="E349" s="325"/>
      <c r="G349" s="36" t="s">
        <v>10</v>
      </c>
      <c r="H349" s="39"/>
      <c r="I349" s="39"/>
      <c r="J349" s="39"/>
      <c r="K349" s="39"/>
      <c r="L349" s="43"/>
      <c r="R349" s="54">
        <f>Assumptions!M$60</f>
        <v>1</v>
      </c>
      <c r="S349" s="54">
        <f>Assumptions!N$60</f>
        <v>0</v>
      </c>
      <c r="T349" s="54">
        <f>Assumptions!O$60</f>
        <v>0</v>
      </c>
      <c r="U349" s="54">
        <f>Assumptions!P$60</f>
        <v>0</v>
      </c>
      <c r="V349" s="54">
        <f>Assumptions!Q$60</f>
        <v>0</v>
      </c>
      <c r="W349" s="54">
        <f>Assumptions!R$60</f>
        <v>0</v>
      </c>
      <c r="X349" s="54">
        <f>Assumptions!S$60</f>
        <v>0</v>
      </c>
      <c r="Y349" s="54">
        <f>Assumptions!T$60</f>
        <v>0</v>
      </c>
      <c r="Z349" s="54">
        <f>Assumptions!U$60</f>
        <v>0</v>
      </c>
      <c r="AA349" s="54">
        <f>Assumptions!V$60</f>
        <v>0</v>
      </c>
      <c r="AB349" s="54">
        <f>Assumptions!W$60</f>
        <v>0</v>
      </c>
      <c r="AC349" s="54">
        <f>Assumptions!X$60</f>
        <v>0</v>
      </c>
      <c r="AD349" s="54">
        <f>Assumptions!Y$60</f>
        <v>0</v>
      </c>
      <c r="AE349" s="54">
        <f>Assumptions!Z$60</f>
        <v>0</v>
      </c>
      <c r="AF349" s="54">
        <f>Assumptions!AA$60</f>
        <v>0</v>
      </c>
      <c r="AG349" s="54">
        <f>Assumptions!AB$60</f>
        <v>0</v>
      </c>
      <c r="AH349" s="54">
        <f>Assumptions!AC$60</f>
        <v>0</v>
      </c>
      <c r="AI349" s="54">
        <f>Assumptions!AD$60</f>
        <v>0</v>
      </c>
      <c r="AJ349" s="54">
        <f>Assumptions!AE$60</f>
        <v>0</v>
      </c>
      <c r="AK349" s="54">
        <f>Assumptions!AF$60</f>
        <v>0</v>
      </c>
      <c r="AL349" s="54">
        <f>Assumptions!AG$60</f>
        <v>0</v>
      </c>
      <c r="AM349" s="54">
        <f>Assumptions!AH$60</f>
        <v>0</v>
      </c>
      <c r="AN349" s="54">
        <f>Assumptions!AI$60</f>
        <v>0</v>
      </c>
      <c r="AO349" s="54">
        <f>Assumptions!AJ$60</f>
        <v>0</v>
      </c>
      <c r="AP349" s="54">
        <f>Assumptions!AK$60</f>
        <v>0</v>
      </c>
      <c r="AQ349" s="54">
        <f>Assumptions!AL$60</f>
        <v>0</v>
      </c>
      <c r="AR349" s="54">
        <f>Assumptions!AM$60</f>
        <v>0</v>
      </c>
      <c r="AS349" s="54">
        <f>Assumptions!AN$60</f>
        <v>0</v>
      </c>
      <c r="AT349" s="54">
        <f>Assumptions!AO$60</f>
        <v>0</v>
      </c>
      <c r="AU349" s="54">
        <f>Assumptions!AP$60</f>
        <v>0</v>
      </c>
    </row>
    <row r="350" spans="1:47">
      <c r="E350" s="326"/>
      <c r="G350" s="39"/>
      <c r="H350" s="39"/>
      <c r="I350" s="39"/>
      <c r="J350" s="39"/>
      <c r="K350" s="39"/>
    </row>
    <row r="351" spans="1:47">
      <c r="E351" s="327"/>
      <c r="F351" s="28"/>
      <c r="G351" s="324" t="str">
        <f>C348&amp;" O&amp;M"</f>
        <v>Gravity Belt Thickener O&amp;M</v>
      </c>
      <c r="H351" s="324"/>
      <c r="I351" s="324"/>
      <c r="J351" s="324"/>
      <c r="K351" s="324"/>
      <c r="L351" s="405" t="s">
        <v>79</v>
      </c>
      <c r="M351" s="256"/>
      <c r="N351" s="325" t="s">
        <v>490</v>
      </c>
      <c r="O351" s="311"/>
      <c r="P351" s="325" t="s">
        <v>491</v>
      </c>
      <c r="Q351" s="310"/>
      <c r="R351" s="325">
        <f>R$8</f>
        <v>2014</v>
      </c>
      <c r="S351" s="325">
        <f t="shared" ref="S351:AU351" si="248">S$8</f>
        <v>2015</v>
      </c>
      <c r="T351" s="325">
        <f t="shared" si="248"/>
        <v>2016</v>
      </c>
      <c r="U351" s="325">
        <f t="shared" si="248"/>
        <v>2017</v>
      </c>
      <c r="V351" s="325">
        <f t="shared" si="248"/>
        <v>2018</v>
      </c>
      <c r="W351" s="325">
        <f t="shared" si="248"/>
        <v>2019</v>
      </c>
      <c r="X351" s="325">
        <f t="shared" si="248"/>
        <v>2020</v>
      </c>
      <c r="Y351" s="325">
        <f t="shared" si="248"/>
        <v>2021</v>
      </c>
      <c r="Z351" s="325">
        <f t="shared" si="248"/>
        <v>2022</v>
      </c>
      <c r="AA351" s="325">
        <f t="shared" si="248"/>
        <v>2023</v>
      </c>
      <c r="AB351" s="325">
        <f t="shared" si="248"/>
        <v>2024</v>
      </c>
      <c r="AC351" s="325">
        <f t="shared" si="248"/>
        <v>2025</v>
      </c>
      <c r="AD351" s="325">
        <f t="shared" si="248"/>
        <v>2026</v>
      </c>
      <c r="AE351" s="325">
        <f t="shared" si="248"/>
        <v>2027</v>
      </c>
      <c r="AF351" s="325">
        <f t="shared" si="248"/>
        <v>2028</v>
      </c>
      <c r="AG351" s="325">
        <f t="shared" si="248"/>
        <v>2029</v>
      </c>
      <c r="AH351" s="325">
        <f t="shared" si="248"/>
        <v>2030</v>
      </c>
      <c r="AI351" s="325">
        <f t="shared" si="248"/>
        <v>2031</v>
      </c>
      <c r="AJ351" s="325">
        <f t="shared" si="248"/>
        <v>2032</v>
      </c>
      <c r="AK351" s="325">
        <f t="shared" si="248"/>
        <v>2033</v>
      </c>
      <c r="AL351" s="325">
        <f t="shared" si="248"/>
        <v>2034</v>
      </c>
      <c r="AM351" s="325">
        <f t="shared" si="248"/>
        <v>2035</v>
      </c>
      <c r="AN351" s="325">
        <f t="shared" si="248"/>
        <v>2036</v>
      </c>
      <c r="AO351" s="325">
        <f t="shared" si="248"/>
        <v>2037</v>
      </c>
      <c r="AP351" s="325">
        <f t="shared" si="248"/>
        <v>2038</v>
      </c>
      <c r="AQ351" s="325">
        <f t="shared" si="248"/>
        <v>2039</v>
      </c>
      <c r="AR351" s="325">
        <f t="shared" si="248"/>
        <v>2040</v>
      </c>
      <c r="AS351" s="325">
        <f t="shared" si="248"/>
        <v>2041</v>
      </c>
      <c r="AT351" s="325">
        <f t="shared" si="248"/>
        <v>2042</v>
      </c>
      <c r="AU351" s="325">
        <f t="shared" si="248"/>
        <v>2043</v>
      </c>
    </row>
    <row r="352" spans="1:47">
      <c r="E352" s="325"/>
      <c r="G352" s="39"/>
      <c r="H352" s="39"/>
      <c r="I352" s="39"/>
      <c r="J352" s="39"/>
      <c r="K352" s="39"/>
    </row>
    <row r="353" spans="1:47">
      <c r="E353" s="325"/>
      <c r="G353" s="39" t="s">
        <v>23</v>
      </c>
      <c r="H353" s="39"/>
      <c r="I353" s="39"/>
      <c r="J353" s="39"/>
      <c r="K353" s="39"/>
    </row>
    <row r="354" spans="1:47">
      <c r="A354" s="38" t="str">
        <f t="shared" ref="A354:A361" si="249">$J$4&amp;"-"</f>
        <v>2Y-</v>
      </c>
      <c r="B354" s="38" t="s">
        <v>262</v>
      </c>
      <c r="C354" s="38" t="str">
        <f>C348</f>
        <v>Gravity Belt Thickener</v>
      </c>
      <c r="D354" s="186">
        <f>LaborEsc</f>
        <v>0.02</v>
      </c>
      <c r="E354" s="325"/>
      <c r="G354" s="36" t="s">
        <v>125</v>
      </c>
      <c r="I354" s="39"/>
      <c r="K354" s="39"/>
      <c r="L354" s="43" t="s">
        <v>266</v>
      </c>
      <c r="N354" s="70">
        <f ca="1">SUMIFS(OFFSET(Assumptions!$I$90,0,MATCH($A354,Configurations,0)-1,COUNT(Assumptions!$A$90:$A$183),1),Assumptions!$D$90:$D$183,$B354&amp;$C354)</f>
        <v>5110</v>
      </c>
      <c r="O354" s="313"/>
      <c r="P354" s="323"/>
      <c r="Q354" s="313"/>
      <c r="R354" s="50">
        <f t="shared" ref="R354:AU354" ca="1" si="250">IF(OR(R$99&lt;InServiceYr,R$99&gt;(InServiceYr+analysis_period-1)),0,IF($P354=0,$N354,$P354)*LaborCost*(1+$D354)^(R$99-CostBaseYr))</f>
        <v>182427</v>
      </c>
      <c r="S354" s="50">
        <f t="shared" ca="1" si="250"/>
        <v>186075.54</v>
      </c>
      <c r="T354" s="50">
        <f t="shared" ca="1" si="250"/>
        <v>189797.0508</v>
      </c>
      <c r="U354" s="50">
        <f t="shared" ca="1" si="250"/>
        <v>193592.99181599999</v>
      </c>
      <c r="V354" s="50">
        <f t="shared" ca="1" si="250"/>
        <v>197464.85165232001</v>
      </c>
      <c r="W354" s="50">
        <f t="shared" ca="1" si="250"/>
        <v>201414.14868536641</v>
      </c>
      <c r="X354" s="50">
        <f t="shared" ca="1" si="250"/>
        <v>205442.43165907369</v>
      </c>
      <c r="Y354" s="50">
        <f t="shared" ca="1" si="250"/>
        <v>209551.28029225519</v>
      </c>
      <c r="Z354" s="50">
        <f t="shared" ca="1" si="250"/>
        <v>213742.30589810028</v>
      </c>
      <c r="AA354" s="50">
        <f t="shared" ca="1" si="250"/>
        <v>218017.15201606232</v>
      </c>
      <c r="AB354" s="50">
        <f t="shared" ca="1" si="250"/>
        <v>222377.49505638352</v>
      </c>
      <c r="AC354" s="50">
        <f t="shared" ca="1" si="250"/>
        <v>226825.04495751121</v>
      </c>
      <c r="AD354" s="50">
        <f t="shared" ca="1" si="250"/>
        <v>231361.54585666143</v>
      </c>
      <c r="AE354" s="50">
        <f t="shared" ca="1" si="250"/>
        <v>235988.77677379467</v>
      </c>
      <c r="AF354" s="50">
        <f t="shared" ca="1" si="250"/>
        <v>240708.55230927051</v>
      </c>
      <c r="AG354" s="50">
        <f t="shared" ca="1" si="250"/>
        <v>245522.72335545596</v>
      </c>
      <c r="AH354" s="50">
        <f t="shared" ca="1" si="250"/>
        <v>250433.17782256511</v>
      </c>
      <c r="AI354" s="50">
        <f t="shared" ca="1" si="250"/>
        <v>255441.84137901638</v>
      </c>
      <c r="AJ354" s="50">
        <f t="shared" ca="1" si="250"/>
        <v>260550.6782065967</v>
      </c>
      <c r="AK354" s="50">
        <f t="shared" ca="1" si="250"/>
        <v>265761.69177072868</v>
      </c>
      <c r="AL354" s="50">
        <f t="shared" si="250"/>
        <v>0</v>
      </c>
      <c r="AM354" s="50">
        <f t="shared" si="250"/>
        <v>0</v>
      </c>
      <c r="AN354" s="50">
        <f t="shared" si="250"/>
        <v>0</v>
      </c>
      <c r="AO354" s="50">
        <f t="shared" si="250"/>
        <v>0</v>
      </c>
      <c r="AP354" s="50">
        <f t="shared" si="250"/>
        <v>0</v>
      </c>
      <c r="AQ354" s="50">
        <f t="shared" si="250"/>
        <v>0</v>
      </c>
      <c r="AR354" s="50">
        <f t="shared" si="250"/>
        <v>0</v>
      </c>
      <c r="AS354" s="50">
        <f t="shared" si="250"/>
        <v>0</v>
      </c>
      <c r="AT354" s="50">
        <f t="shared" si="250"/>
        <v>0</v>
      </c>
      <c r="AU354" s="50">
        <f t="shared" si="250"/>
        <v>0</v>
      </c>
    </row>
    <row r="355" spans="1:47">
      <c r="A355" s="38" t="str">
        <f t="shared" si="249"/>
        <v>2Y-</v>
      </c>
      <c r="B355" s="38" t="s">
        <v>270</v>
      </c>
      <c r="C355" s="38" t="str">
        <f>C354</f>
        <v>Gravity Belt Thickener</v>
      </c>
      <c r="D355" s="186">
        <f>OMEsc</f>
        <v>0.02</v>
      </c>
      <c r="E355" s="325"/>
      <c r="G355" s="36" t="s">
        <v>126</v>
      </c>
      <c r="I355" s="39"/>
      <c r="K355" s="39"/>
      <c r="L355" s="43" t="str">
        <f>"["&amp;CostBaseYr&amp;" $]"</f>
        <v>[2013 $]</v>
      </c>
      <c r="N355" s="70">
        <f ca="1">SUMIFS(OFFSET(Assumptions!$I$90,0,MATCH($A355,Configurations,0)-1,COUNT(Assumptions!$A$90:$A$183),1),Assumptions!$D$90:$D$183,$B355&amp;$C355)</f>
        <v>25000</v>
      </c>
      <c r="O355" s="313"/>
      <c r="P355" s="323"/>
      <c r="Q355" s="313"/>
      <c r="R355" s="50">
        <f t="shared" ref="R355:AG357" ca="1" si="251">IF(OR(R$99&lt;InServiceYr,R$99&gt;(InServiceYr+analysis_period-1)),0,IF($P355=0,$N355,$P355)*(1+$D355)^(R$99-CostBaseYr))</f>
        <v>25500</v>
      </c>
      <c r="S355" s="50">
        <f t="shared" ca="1" si="251"/>
        <v>26010</v>
      </c>
      <c r="T355" s="50">
        <f t="shared" ca="1" si="251"/>
        <v>26530.199999999997</v>
      </c>
      <c r="U355" s="50">
        <f t="shared" ca="1" si="251"/>
        <v>27060.804</v>
      </c>
      <c r="V355" s="50">
        <f t="shared" ca="1" si="251"/>
        <v>27602.020080000002</v>
      </c>
      <c r="W355" s="50">
        <f t="shared" ca="1" si="251"/>
        <v>28154.060481600001</v>
      </c>
      <c r="X355" s="50">
        <f t="shared" ca="1" si="251"/>
        <v>28717.141691231995</v>
      </c>
      <c r="Y355" s="50">
        <f t="shared" ca="1" si="251"/>
        <v>29291.48452505664</v>
      </c>
      <c r="Z355" s="50">
        <f t="shared" ca="1" si="251"/>
        <v>29877.31421555777</v>
      </c>
      <c r="AA355" s="50">
        <f t="shared" ca="1" si="251"/>
        <v>30474.860499868926</v>
      </c>
      <c r="AB355" s="50">
        <f t="shared" ca="1" si="251"/>
        <v>31084.357709866301</v>
      </c>
      <c r="AC355" s="50">
        <f t="shared" ca="1" si="251"/>
        <v>31706.044864063631</v>
      </c>
      <c r="AD355" s="50">
        <f t="shared" ca="1" si="251"/>
        <v>32340.165761344902</v>
      </c>
      <c r="AE355" s="50">
        <f t="shared" ca="1" si="251"/>
        <v>32986.969076571804</v>
      </c>
      <c r="AF355" s="50">
        <f t="shared" ca="1" si="251"/>
        <v>33646.708458103232</v>
      </c>
      <c r="AG355" s="50">
        <f t="shared" ca="1" si="251"/>
        <v>34319.642627265304</v>
      </c>
      <c r="AH355" s="50">
        <f t="shared" ref="S355:AU357" ca="1" si="252">IF(OR(AH$99&lt;InServiceYr,AH$99&gt;(InServiceYr+analysis_period-1)),0,IF($P355=0,$N355,$P355)*(1+$D355)^(AH$99-CostBaseYr))</f>
        <v>35006.035479810613</v>
      </c>
      <c r="AI355" s="50">
        <f t="shared" ca="1" si="252"/>
        <v>35706.156189406815</v>
      </c>
      <c r="AJ355" s="50">
        <f t="shared" ca="1" si="252"/>
        <v>36420.279313194951</v>
      </c>
      <c r="AK355" s="50">
        <f t="shared" ca="1" si="252"/>
        <v>37148.684899458858</v>
      </c>
      <c r="AL355" s="50">
        <f t="shared" si="252"/>
        <v>0</v>
      </c>
      <c r="AM355" s="50">
        <f t="shared" si="252"/>
        <v>0</v>
      </c>
      <c r="AN355" s="50">
        <f t="shared" si="252"/>
        <v>0</v>
      </c>
      <c r="AO355" s="50">
        <f t="shared" si="252"/>
        <v>0</v>
      </c>
      <c r="AP355" s="50">
        <f t="shared" si="252"/>
        <v>0</v>
      </c>
      <c r="AQ355" s="50">
        <f t="shared" si="252"/>
        <v>0</v>
      </c>
      <c r="AR355" s="50">
        <f t="shared" si="252"/>
        <v>0</v>
      </c>
      <c r="AS355" s="50">
        <f t="shared" si="252"/>
        <v>0</v>
      </c>
      <c r="AT355" s="50">
        <f t="shared" si="252"/>
        <v>0</v>
      </c>
      <c r="AU355" s="50">
        <f t="shared" si="252"/>
        <v>0</v>
      </c>
    </row>
    <row r="356" spans="1:47">
      <c r="A356" s="38" t="str">
        <f t="shared" si="249"/>
        <v>2Y-</v>
      </c>
      <c r="B356" s="38" t="s">
        <v>263</v>
      </c>
      <c r="C356" s="38" t="str">
        <f t="shared" ref="C356:C360" si="253">C355</f>
        <v>Gravity Belt Thickener</v>
      </c>
      <c r="D356" s="186">
        <f>OMEsc</f>
        <v>0.02</v>
      </c>
      <c r="E356" s="325"/>
      <c r="G356" s="36" t="s">
        <v>127</v>
      </c>
      <c r="I356" s="39"/>
      <c r="K356" s="39"/>
      <c r="L356" s="43" t="str">
        <f>"["&amp;CostBaseYr&amp;" $]"</f>
        <v>[2013 $]</v>
      </c>
      <c r="N356" s="70">
        <f ca="1">SUMIFS(OFFSET(Assumptions!$I$90,0,MATCH($A356,Configurations,0)-1,COUNT(Assumptions!$A$90:$A$183),1),Assumptions!$D$90:$D$183,$B356&amp;$C356)</f>
        <v>30000</v>
      </c>
      <c r="O356" s="313"/>
      <c r="P356" s="323"/>
      <c r="Q356" s="313"/>
      <c r="R356" s="50">
        <f t="shared" ca="1" si="251"/>
        <v>30600</v>
      </c>
      <c r="S356" s="50">
        <f t="shared" ca="1" si="252"/>
        <v>31212</v>
      </c>
      <c r="T356" s="50">
        <f t="shared" ca="1" si="252"/>
        <v>31836.239999999998</v>
      </c>
      <c r="U356" s="50">
        <f t="shared" ca="1" si="252"/>
        <v>32472.964799999998</v>
      </c>
      <c r="V356" s="50">
        <f t="shared" ca="1" si="252"/>
        <v>33122.424096000002</v>
      </c>
      <c r="W356" s="50">
        <f t="shared" ca="1" si="252"/>
        <v>33784.872577920003</v>
      </c>
      <c r="X356" s="50">
        <f t="shared" ca="1" si="252"/>
        <v>34460.570029478396</v>
      </c>
      <c r="Y356" s="50">
        <f t="shared" ca="1" si="252"/>
        <v>35149.781430067967</v>
      </c>
      <c r="Z356" s="50">
        <f t="shared" ca="1" si="252"/>
        <v>35852.777058669322</v>
      </c>
      <c r="AA356" s="50">
        <f t="shared" ca="1" si="252"/>
        <v>36569.83259984271</v>
      </c>
      <c r="AB356" s="50">
        <f t="shared" ca="1" si="252"/>
        <v>37301.229251839562</v>
      </c>
      <c r="AC356" s="50">
        <f t="shared" ca="1" si="252"/>
        <v>38047.253836876356</v>
      </c>
      <c r="AD356" s="50">
        <f t="shared" ca="1" si="252"/>
        <v>38808.19891361388</v>
      </c>
      <c r="AE356" s="50">
        <f t="shared" ca="1" si="252"/>
        <v>39584.362891886165</v>
      </c>
      <c r="AF356" s="50">
        <f t="shared" ca="1" si="252"/>
        <v>40376.05014972388</v>
      </c>
      <c r="AG356" s="50">
        <f t="shared" ca="1" si="252"/>
        <v>41183.571152718359</v>
      </c>
      <c r="AH356" s="50">
        <f t="shared" ca="1" si="252"/>
        <v>42007.242575772732</v>
      </c>
      <c r="AI356" s="50">
        <f t="shared" ca="1" si="252"/>
        <v>42847.38742728818</v>
      </c>
      <c r="AJ356" s="50">
        <f t="shared" ca="1" si="252"/>
        <v>43704.335175833941</v>
      </c>
      <c r="AK356" s="50">
        <f t="shared" ca="1" si="252"/>
        <v>44578.42187935063</v>
      </c>
      <c r="AL356" s="50">
        <f t="shared" si="252"/>
        <v>0</v>
      </c>
      <c r="AM356" s="50">
        <f t="shared" si="252"/>
        <v>0</v>
      </c>
      <c r="AN356" s="50">
        <f t="shared" si="252"/>
        <v>0</v>
      </c>
      <c r="AO356" s="50">
        <f t="shared" si="252"/>
        <v>0</v>
      </c>
      <c r="AP356" s="50">
        <f t="shared" si="252"/>
        <v>0</v>
      </c>
      <c r="AQ356" s="50">
        <f t="shared" si="252"/>
        <v>0</v>
      </c>
      <c r="AR356" s="50">
        <f t="shared" si="252"/>
        <v>0</v>
      </c>
      <c r="AS356" s="50">
        <f t="shared" si="252"/>
        <v>0</v>
      </c>
      <c r="AT356" s="50">
        <f t="shared" si="252"/>
        <v>0</v>
      </c>
      <c r="AU356" s="50">
        <f t="shared" si="252"/>
        <v>0</v>
      </c>
    </row>
    <row r="357" spans="1:47">
      <c r="A357" s="38" t="str">
        <f t="shared" si="249"/>
        <v>2Y-</v>
      </c>
      <c r="B357" s="38" t="s">
        <v>277</v>
      </c>
      <c r="C357" s="38" t="str">
        <f t="shared" si="253"/>
        <v>Gravity Belt Thickener</v>
      </c>
      <c r="D357" s="186">
        <f>OMEsc</f>
        <v>0.02</v>
      </c>
      <c r="E357" s="325"/>
      <c r="G357" s="36" t="s">
        <v>276</v>
      </c>
      <c r="I357" s="39"/>
      <c r="K357" s="39"/>
      <c r="L357" s="43" t="str">
        <f>"["&amp;CostBaseYr&amp;" $]"</f>
        <v>[2013 $]</v>
      </c>
      <c r="N357" s="70">
        <f ca="1">SUMIFS(OFFSET(Assumptions!$I$90,0,MATCH($A357,Configurations,0)-1,COUNT(Assumptions!$A$90:$A$183),1),Assumptions!$D$90:$D$183,$B357&amp;$C357)</f>
        <v>0</v>
      </c>
      <c r="O357" s="313"/>
      <c r="P357" s="323"/>
      <c r="Q357" s="313"/>
      <c r="R357" s="50">
        <f t="shared" ca="1" si="251"/>
        <v>0</v>
      </c>
      <c r="S357" s="50">
        <f t="shared" ca="1" si="252"/>
        <v>0</v>
      </c>
      <c r="T357" s="50">
        <f t="shared" ca="1" si="252"/>
        <v>0</v>
      </c>
      <c r="U357" s="50">
        <f t="shared" ca="1" si="252"/>
        <v>0</v>
      </c>
      <c r="V357" s="50">
        <f t="shared" ca="1" si="252"/>
        <v>0</v>
      </c>
      <c r="W357" s="50">
        <f t="shared" ca="1" si="252"/>
        <v>0</v>
      </c>
      <c r="X357" s="50">
        <f t="shared" ca="1" si="252"/>
        <v>0</v>
      </c>
      <c r="Y357" s="50">
        <f t="shared" ca="1" si="252"/>
        <v>0</v>
      </c>
      <c r="Z357" s="50">
        <f t="shared" ca="1" si="252"/>
        <v>0</v>
      </c>
      <c r="AA357" s="50">
        <f t="shared" ca="1" si="252"/>
        <v>0</v>
      </c>
      <c r="AB357" s="50">
        <f t="shared" ca="1" si="252"/>
        <v>0</v>
      </c>
      <c r="AC357" s="50">
        <f t="shared" ca="1" si="252"/>
        <v>0</v>
      </c>
      <c r="AD357" s="50">
        <f t="shared" ca="1" si="252"/>
        <v>0</v>
      </c>
      <c r="AE357" s="50">
        <f t="shared" ca="1" si="252"/>
        <v>0</v>
      </c>
      <c r="AF357" s="50">
        <f t="shared" ca="1" si="252"/>
        <v>0</v>
      </c>
      <c r="AG357" s="50">
        <f t="shared" ca="1" si="252"/>
        <v>0</v>
      </c>
      <c r="AH357" s="50">
        <f t="shared" ca="1" si="252"/>
        <v>0</v>
      </c>
      <c r="AI357" s="50">
        <f t="shared" ca="1" si="252"/>
        <v>0</v>
      </c>
      <c r="AJ357" s="50">
        <f t="shared" ca="1" si="252"/>
        <v>0</v>
      </c>
      <c r="AK357" s="50">
        <f t="shared" ca="1" si="252"/>
        <v>0</v>
      </c>
      <c r="AL357" s="50">
        <f t="shared" si="252"/>
        <v>0</v>
      </c>
      <c r="AM357" s="50">
        <f t="shared" si="252"/>
        <v>0</v>
      </c>
      <c r="AN357" s="50">
        <f t="shared" si="252"/>
        <v>0</v>
      </c>
      <c r="AO357" s="50">
        <f t="shared" si="252"/>
        <v>0</v>
      </c>
      <c r="AP357" s="50">
        <f t="shared" si="252"/>
        <v>0</v>
      </c>
      <c r="AQ357" s="50">
        <f t="shared" si="252"/>
        <v>0</v>
      </c>
      <c r="AR357" s="50">
        <f t="shared" si="252"/>
        <v>0</v>
      </c>
      <c r="AS357" s="50">
        <f t="shared" si="252"/>
        <v>0</v>
      </c>
      <c r="AT357" s="50">
        <f t="shared" si="252"/>
        <v>0</v>
      </c>
      <c r="AU357" s="50">
        <f t="shared" si="252"/>
        <v>0</v>
      </c>
    </row>
    <row r="358" spans="1:47">
      <c r="A358" s="38" t="str">
        <f t="shared" si="249"/>
        <v>2Y-</v>
      </c>
      <c r="B358" s="38" t="s">
        <v>274</v>
      </c>
      <c r="C358" s="38" t="str">
        <f t="shared" si="253"/>
        <v>Gravity Belt Thickener</v>
      </c>
      <c r="D358" s="186"/>
      <c r="E358" s="325"/>
      <c r="G358" s="36" t="s">
        <v>16</v>
      </c>
      <c r="I358" s="39"/>
      <c r="K358" s="39"/>
      <c r="L358" s="43" t="s">
        <v>275</v>
      </c>
      <c r="N358" s="70">
        <f ca="1">SUMIFS(OFFSET(Assumptions!$I$90,0,MATCH($A358,Configurations,0)-1,COUNT(Assumptions!$A$90:$A$183),1),Assumptions!$D$90:$D$183,$B358&amp;$C358)</f>
        <v>0</v>
      </c>
      <c r="O358" s="313"/>
      <c r="P358" s="323"/>
      <c r="Q358" s="313"/>
      <c r="R358" s="50">
        <f t="shared" ref="R358:AU358" ca="1" si="254">IF(OR(R$99&lt;InServiceYr,R$99&gt;(InServiceYr+analysis_period-1)),0,IF($P358=0,$N358,$P358)*R$505)</f>
        <v>0</v>
      </c>
      <c r="S358" s="50">
        <f t="shared" ca="1" si="254"/>
        <v>0</v>
      </c>
      <c r="T358" s="50">
        <f t="shared" ca="1" si="254"/>
        <v>0</v>
      </c>
      <c r="U358" s="50">
        <f t="shared" ca="1" si="254"/>
        <v>0</v>
      </c>
      <c r="V358" s="50">
        <f t="shared" ca="1" si="254"/>
        <v>0</v>
      </c>
      <c r="W358" s="50">
        <f t="shared" ca="1" si="254"/>
        <v>0</v>
      </c>
      <c r="X358" s="50">
        <f t="shared" ca="1" si="254"/>
        <v>0</v>
      </c>
      <c r="Y358" s="50">
        <f t="shared" ca="1" si="254"/>
        <v>0</v>
      </c>
      <c r="Z358" s="50">
        <f t="shared" ca="1" si="254"/>
        <v>0</v>
      </c>
      <c r="AA358" s="50">
        <f t="shared" ca="1" si="254"/>
        <v>0</v>
      </c>
      <c r="AB358" s="50">
        <f t="shared" ca="1" si="254"/>
        <v>0</v>
      </c>
      <c r="AC358" s="50">
        <f t="shared" ca="1" si="254"/>
        <v>0</v>
      </c>
      <c r="AD358" s="50">
        <f t="shared" ca="1" si="254"/>
        <v>0</v>
      </c>
      <c r="AE358" s="50">
        <f t="shared" ca="1" si="254"/>
        <v>0</v>
      </c>
      <c r="AF358" s="50">
        <f t="shared" ca="1" si="254"/>
        <v>0</v>
      </c>
      <c r="AG358" s="50">
        <f t="shared" ca="1" si="254"/>
        <v>0</v>
      </c>
      <c r="AH358" s="50">
        <f t="shared" ca="1" si="254"/>
        <v>0</v>
      </c>
      <c r="AI358" s="50">
        <f t="shared" ca="1" si="254"/>
        <v>0</v>
      </c>
      <c r="AJ358" s="50">
        <f t="shared" ca="1" si="254"/>
        <v>0</v>
      </c>
      <c r="AK358" s="50">
        <f t="shared" ca="1" si="254"/>
        <v>0</v>
      </c>
      <c r="AL358" s="50">
        <f t="shared" si="254"/>
        <v>0</v>
      </c>
      <c r="AM358" s="50">
        <f t="shared" si="254"/>
        <v>0</v>
      </c>
      <c r="AN358" s="50">
        <f t="shared" si="254"/>
        <v>0</v>
      </c>
      <c r="AO358" s="50">
        <f t="shared" si="254"/>
        <v>0</v>
      </c>
      <c r="AP358" s="50">
        <f t="shared" si="254"/>
        <v>0</v>
      </c>
      <c r="AQ358" s="50">
        <f t="shared" si="254"/>
        <v>0</v>
      </c>
      <c r="AR358" s="50">
        <f t="shared" si="254"/>
        <v>0</v>
      </c>
      <c r="AS358" s="50">
        <f t="shared" si="254"/>
        <v>0</v>
      </c>
      <c r="AT358" s="50">
        <f t="shared" si="254"/>
        <v>0</v>
      </c>
      <c r="AU358" s="50">
        <f t="shared" si="254"/>
        <v>0</v>
      </c>
    </row>
    <row r="359" spans="1:47">
      <c r="A359" s="38" t="str">
        <f t="shared" si="249"/>
        <v>2Y-</v>
      </c>
      <c r="B359" s="38" t="s">
        <v>257</v>
      </c>
      <c r="C359" s="38" t="str">
        <f t="shared" si="253"/>
        <v>Gravity Belt Thickener</v>
      </c>
      <c r="D359" s="186"/>
      <c r="E359" s="325"/>
      <c r="G359" s="36" t="s">
        <v>284</v>
      </c>
      <c r="I359" s="39"/>
      <c r="K359" s="39"/>
      <c r="L359" s="43" t="s">
        <v>293</v>
      </c>
      <c r="N359" s="70">
        <f ca="1">SUMIFS(OFFSET(Assumptions!$I$90,0,MATCH($A359,Configurations,0)-1,COUNT(Assumptions!$A$90:$A$183),1),Assumptions!$D$90:$D$183,$B359&amp;$C359)</f>
        <v>57670</v>
      </c>
      <c r="O359" s="313"/>
      <c r="P359" s="323"/>
      <c r="Q359" s="313"/>
      <c r="R359" s="50">
        <f t="shared" ref="R359:AU359" ca="1" si="255">IF(OR(R$99&lt;InServiceYr,R$99&gt;(InServiceYr+analysis_period-1)),0,IF($P359=0,$N359,$P359)*R$501)</f>
        <v>3724.4183381401403</v>
      </c>
      <c r="S359" s="50">
        <f t="shared" ca="1" si="255"/>
        <v>3747.6346163524208</v>
      </c>
      <c r="T359" s="50">
        <f t="shared" ca="1" si="255"/>
        <v>3909.1949254169845</v>
      </c>
      <c r="U359" s="50">
        <f t="shared" ca="1" si="255"/>
        <v>4026.4609910121817</v>
      </c>
      <c r="V359" s="50">
        <f t="shared" ca="1" si="255"/>
        <v>4123.6239654313813</v>
      </c>
      <c r="W359" s="50">
        <f t="shared" ca="1" si="255"/>
        <v>4176.3786530236048</v>
      </c>
      <c r="X359" s="50">
        <f t="shared" ca="1" si="255"/>
        <v>4244.3386628354192</v>
      </c>
      <c r="Y359" s="50">
        <f t="shared" ca="1" si="255"/>
        <v>4348.910522969717</v>
      </c>
      <c r="Z359" s="50">
        <f t="shared" ca="1" si="255"/>
        <v>4453.0264063000513</v>
      </c>
      <c r="AA359" s="50">
        <f t="shared" ca="1" si="255"/>
        <v>4564.363003805428</v>
      </c>
      <c r="AB359" s="50">
        <f t="shared" ca="1" si="255"/>
        <v>4663.2262073854145</v>
      </c>
      <c r="AC359" s="50">
        <f t="shared" ca="1" si="255"/>
        <v>4753.0229640353818</v>
      </c>
      <c r="AD359" s="50">
        <f t="shared" ca="1" si="255"/>
        <v>4862.8168301893602</v>
      </c>
      <c r="AE359" s="50">
        <f t="shared" ca="1" si="255"/>
        <v>4973.6484908975908</v>
      </c>
      <c r="AF359" s="50">
        <f t="shared" ca="1" si="255"/>
        <v>5091.9049640656904</v>
      </c>
      <c r="AG359" s="50">
        <f t="shared" ca="1" si="255"/>
        <v>5224.3800877835738</v>
      </c>
      <c r="AH359" s="50">
        <f t="shared" ca="1" si="255"/>
        <v>5352.4163687461933</v>
      </c>
      <c r="AI359" s="50">
        <f t="shared" ca="1" si="255"/>
        <v>5491.2665161544919</v>
      </c>
      <c r="AJ359" s="50">
        <f t="shared" ca="1" si="255"/>
        <v>5638.2595559226475</v>
      </c>
      <c r="AK359" s="50">
        <f t="shared" ca="1" si="255"/>
        <v>5791.6386304640209</v>
      </c>
      <c r="AL359" s="50">
        <f t="shared" si="255"/>
        <v>0</v>
      </c>
      <c r="AM359" s="50">
        <f t="shared" si="255"/>
        <v>0</v>
      </c>
      <c r="AN359" s="50">
        <f t="shared" si="255"/>
        <v>0</v>
      </c>
      <c r="AO359" s="50">
        <f t="shared" si="255"/>
        <v>0</v>
      </c>
      <c r="AP359" s="50">
        <f t="shared" si="255"/>
        <v>0</v>
      </c>
      <c r="AQ359" s="50">
        <f t="shared" si="255"/>
        <v>0</v>
      </c>
      <c r="AR359" s="50">
        <f t="shared" si="255"/>
        <v>0</v>
      </c>
      <c r="AS359" s="50">
        <f t="shared" si="255"/>
        <v>0</v>
      </c>
      <c r="AT359" s="50">
        <f t="shared" si="255"/>
        <v>0</v>
      </c>
      <c r="AU359" s="50">
        <f t="shared" si="255"/>
        <v>0</v>
      </c>
    </row>
    <row r="360" spans="1:47">
      <c r="A360" s="38" t="str">
        <f t="shared" si="249"/>
        <v>2Y-</v>
      </c>
      <c r="B360" s="38" t="s">
        <v>864</v>
      </c>
      <c r="C360" s="38" t="str">
        <f t="shared" si="253"/>
        <v>Gravity Belt Thickener</v>
      </c>
      <c r="D360" s="186">
        <f>GHGEsc</f>
        <v>0.02</v>
      </c>
      <c r="E360" s="325"/>
      <c r="G360" s="36" t="s">
        <v>865</v>
      </c>
      <c r="I360" s="39"/>
      <c r="K360" s="39"/>
      <c r="L360" s="43" t="s">
        <v>866</v>
      </c>
      <c r="N360" s="70">
        <f ca="1">SUMIFS(OFFSET(Assumptions!$I$90,0,MATCH($A360,Configurations,0)-1,COUNT(Assumptions!$A$90:$A$183),1),Assumptions!$D$90:$D$183,$B360&amp;$C360)</f>
        <v>0</v>
      </c>
      <c r="O360" s="313"/>
      <c r="P360" s="323"/>
      <c r="Q360" s="313"/>
      <c r="R360" s="50">
        <f t="shared" ref="R360:AU360" ca="1" si="256">IF(OR(R$99&lt;InServiceYr,R$99&gt;(InServiceYr+analysis_period-1)),0,IF($P360=0,$N360,$P360)*R$513)</f>
        <v>0</v>
      </c>
      <c r="S360" s="50">
        <f t="shared" ca="1" si="256"/>
        <v>0</v>
      </c>
      <c r="T360" s="50">
        <f t="shared" ca="1" si="256"/>
        <v>0</v>
      </c>
      <c r="U360" s="50">
        <f t="shared" ca="1" si="256"/>
        <v>0</v>
      </c>
      <c r="V360" s="50">
        <f t="shared" ca="1" si="256"/>
        <v>0</v>
      </c>
      <c r="W360" s="50">
        <f t="shared" ca="1" si="256"/>
        <v>0</v>
      </c>
      <c r="X360" s="50">
        <f t="shared" ca="1" si="256"/>
        <v>0</v>
      </c>
      <c r="Y360" s="50">
        <f t="shared" ca="1" si="256"/>
        <v>0</v>
      </c>
      <c r="Z360" s="50">
        <f t="shared" ca="1" si="256"/>
        <v>0</v>
      </c>
      <c r="AA360" s="50">
        <f t="shared" ca="1" si="256"/>
        <v>0</v>
      </c>
      <c r="AB360" s="50">
        <f t="shared" ca="1" si="256"/>
        <v>0</v>
      </c>
      <c r="AC360" s="50">
        <f t="shared" ca="1" si="256"/>
        <v>0</v>
      </c>
      <c r="AD360" s="50">
        <f t="shared" ca="1" si="256"/>
        <v>0</v>
      </c>
      <c r="AE360" s="50">
        <f t="shared" ca="1" si="256"/>
        <v>0</v>
      </c>
      <c r="AF360" s="50">
        <f t="shared" ca="1" si="256"/>
        <v>0</v>
      </c>
      <c r="AG360" s="50">
        <f t="shared" ca="1" si="256"/>
        <v>0</v>
      </c>
      <c r="AH360" s="50">
        <f t="shared" ca="1" si="256"/>
        <v>0</v>
      </c>
      <c r="AI360" s="50">
        <f t="shared" ca="1" si="256"/>
        <v>0</v>
      </c>
      <c r="AJ360" s="50">
        <f t="shared" ca="1" si="256"/>
        <v>0</v>
      </c>
      <c r="AK360" s="50">
        <f t="shared" ca="1" si="256"/>
        <v>0</v>
      </c>
      <c r="AL360" s="50">
        <f t="shared" si="256"/>
        <v>0</v>
      </c>
      <c r="AM360" s="50">
        <f t="shared" si="256"/>
        <v>0</v>
      </c>
      <c r="AN360" s="50">
        <f t="shared" si="256"/>
        <v>0</v>
      </c>
      <c r="AO360" s="50">
        <f t="shared" si="256"/>
        <v>0</v>
      </c>
      <c r="AP360" s="50">
        <f t="shared" si="256"/>
        <v>0</v>
      </c>
      <c r="AQ360" s="50">
        <f t="shared" si="256"/>
        <v>0</v>
      </c>
      <c r="AR360" s="50">
        <f t="shared" si="256"/>
        <v>0</v>
      </c>
      <c r="AS360" s="50">
        <f t="shared" si="256"/>
        <v>0</v>
      </c>
      <c r="AT360" s="50">
        <f t="shared" si="256"/>
        <v>0</v>
      </c>
      <c r="AU360" s="50">
        <f t="shared" si="256"/>
        <v>0</v>
      </c>
    </row>
    <row r="361" spans="1:47">
      <c r="A361" s="38" t="str">
        <f t="shared" si="249"/>
        <v>2Y-</v>
      </c>
      <c r="B361" s="38" t="s">
        <v>273</v>
      </c>
      <c r="C361" s="38" t="str">
        <f>C359</f>
        <v>Gravity Belt Thickener</v>
      </c>
      <c r="D361" s="186">
        <f>LaborEsc</f>
        <v>0.02</v>
      </c>
      <c r="E361" s="325"/>
      <c r="G361" s="36" t="s">
        <v>291</v>
      </c>
      <c r="I361" s="39"/>
      <c r="K361" s="39"/>
      <c r="L361" s="43" t="str">
        <f>"["&amp;CostBaseYr&amp;" $]"</f>
        <v>[2013 $]</v>
      </c>
      <c r="N361" s="70">
        <f ca="1">SUMIFS(OFFSET(Assumptions!$I$90,0,MATCH($A361,Configurations,0)-1,COUNT(Assumptions!$A$90:$A$183),1),Assumptions!$D$90:$D$183,$B361&amp;$C361)</f>
        <v>0</v>
      </c>
      <c r="O361" s="313"/>
      <c r="P361" s="323"/>
      <c r="Q361" s="313"/>
      <c r="R361" s="50">
        <f t="shared" ref="R361:AU361" ca="1" si="257">IF(OR(R$99&lt;InServiceYr,R$99&gt;(InServiceYr+analysis_period-1)),0,IF($P361=0,$N361,$P361)*(1+$D361)^(R$99-CostBaseYr))*R$509</f>
        <v>0</v>
      </c>
      <c r="S361" s="50">
        <f t="shared" ca="1" si="257"/>
        <v>0</v>
      </c>
      <c r="T361" s="50">
        <f t="shared" ca="1" si="257"/>
        <v>0</v>
      </c>
      <c r="U361" s="50">
        <f t="shared" ca="1" si="257"/>
        <v>0</v>
      </c>
      <c r="V361" s="50">
        <f t="shared" ca="1" si="257"/>
        <v>0</v>
      </c>
      <c r="W361" s="50">
        <f t="shared" ca="1" si="257"/>
        <v>0</v>
      </c>
      <c r="X361" s="50">
        <f t="shared" ca="1" si="257"/>
        <v>0</v>
      </c>
      <c r="Y361" s="50">
        <f t="shared" ca="1" si="257"/>
        <v>0</v>
      </c>
      <c r="Z361" s="50">
        <f t="shared" ca="1" si="257"/>
        <v>0</v>
      </c>
      <c r="AA361" s="50">
        <f t="shared" ca="1" si="257"/>
        <v>0</v>
      </c>
      <c r="AB361" s="50">
        <f t="shared" ca="1" si="257"/>
        <v>0</v>
      </c>
      <c r="AC361" s="50">
        <f t="shared" ca="1" si="257"/>
        <v>0</v>
      </c>
      <c r="AD361" s="50">
        <f t="shared" ca="1" si="257"/>
        <v>0</v>
      </c>
      <c r="AE361" s="50">
        <f t="shared" ca="1" si="257"/>
        <v>0</v>
      </c>
      <c r="AF361" s="50">
        <f t="shared" ca="1" si="257"/>
        <v>0</v>
      </c>
      <c r="AG361" s="50">
        <f t="shared" ca="1" si="257"/>
        <v>0</v>
      </c>
      <c r="AH361" s="50">
        <f t="shared" ca="1" si="257"/>
        <v>0</v>
      </c>
      <c r="AI361" s="50">
        <f t="shared" ca="1" si="257"/>
        <v>0</v>
      </c>
      <c r="AJ361" s="50">
        <f t="shared" ca="1" si="257"/>
        <v>0</v>
      </c>
      <c r="AK361" s="50">
        <f t="shared" ca="1" si="257"/>
        <v>0</v>
      </c>
      <c r="AL361" s="50">
        <f t="shared" si="257"/>
        <v>0</v>
      </c>
      <c r="AM361" s="50">
        <f t="shared" si="257"/>
        <v>0</v>
      </c>
      <c r="AN361" s="50">
        <f t="shared" si="257"/>
        <v>0</v>
      </c>
      <c r="AO361" s="50">
        <f t="shared" si="257"/>
        <v>0</v>
      </c>
      <c r="AP361" s="50">
        <f t="shared" si="257"/>
        <v>0</v>
      </c>
      <c r="AQ361" s="50">
        <f t="shared" si="257"/>
        <v>0</v>
      </c>
      <c r="AR361" s="50">
        <f t="shared" si="257"/>
        <v>0</v>
      </c>
      <c r="AS361" s="50">
        <f t="shared" si="257"/>
        <v>0</v>
      </c>
      <c r="AT361" s="50">
        <f t="shared" si="257"/>
        <v>0</v>
      </c>
      <c r="AU361" s="50">
        <f t="shared" si="257"/>
        <v>0</v>
      </c>
    </row>
    <row r="362" spans="1:47">
      <c r="D362" s="186"/>
      <c r="E362" s="325"/>
      <c r="G362" s="39" t="s">
        <v>304</v>
      </c>
      <c r="I362" s="39"/>
      <c r="K362" s="39"/>
      <c r="L362" s="43"/>
      <c r="N362" s="70"/>
      <c r="O362" s="313"/>
      <c r="P362" s="70"/>
      <c r="Q362" s="313"/>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row>
    <row r="363" spans="1:47">
      <c r="A363" s="38" t="str">
        <f>$J$4&amp;"-"</f>
        <v>2Y-</v>
      </c>
      <c r="B363" s="38" t="s">
        <v>265</v>
      </c>
      <c r="C363" s="38" t="str">
        <f>C354</f>
        <v>Gravity Belt Thickener</v>
      </c>
      <c r="D363" s="186"/>
      <c r="E363" s="325"/>
      <c r="G363" s="36" t="s">
        <v>108</v>
      </c>
      <c r="I363" s="39"/>
      <c r="K363" s="39"/>
      <c r="L363" s="43" t="s">
        <v>293</v>
      </c>
      <c r="N363" s="70">
        <f ca="1">SUMIFS(OFFSET(Assumptions!$I$90,0,MATCH($A363,Configurations,0)-1,COUNT(Assumptions!$A$90:$A$183),1),Assumptions!$D$90:$D$183,$B363&amp;$C363)</f>
        <v>0</v>
      </c>
      <c r="O363" s="313"/>
      <c r="P363" s="323"/>
      <c r="Q363" s="313"/>
      <c r="R363" s="50">
        <f t="shared" ref="R363:AU363" ca="1" si="258">IF(OR(R$99&lt;InServiceYr,R$99&gt;(InServiceYr+analysis_period-1)),0,IF($P363=0,$N363,$P363)*R$501)</f>
        <v>0</v>
      </c>
      <c r="S363" s="50">
        <f t="shared" ca="1" si="258"/>
        <v>0</v>
      </c>
      <c r="T363" s="50">
        <f t="shared" ca="1" si="258"/>
        <v>0</v>
      </c>
      <c r="U363" s="50">
        <f t="shared" ca="1" si="258"/>
        <v>0</v>
      </c>
      <c r="V363" s="50">
        <f t="shared" ca="1" si="258"/>
        <v>0</v>
      </c>
      <c r="W363" s="50">
        <f t="shared" ca="1" si="258"/>
        <v>0</v>
      </c>
      <c r="X363" s="50">
        <f t="shared" ca="1" si="258"/>
        <v>0</v>
      </c>
      <c r="Y363" s="50">
        <f t="shared" ca="1" si="258"/>
        <v>0</v>
      </c>
      <c r="Z363" s="50">
        <f t="shared" ca="1" si="258"/>
        <v>0</v>
      </c>
      <c r="AA363" s="50">
        <f t="shared" ca="1" si="258"/>
        <v>0</v>
      </c>
      <c r="AB363" s="50">
        <f t="shared" ca="1" si="258"/>
        <v>0</v>
      </c>
      <c r="AC363" s="50">
        <f t="shared" ca="1" si="258"/>
        <v>0</v>
      </c>
      <c r="AD363" s="50">
        <f t="shared" ca="1" si="258"/>
        <v>0</v>
      </c>
      <c r="AE363" s="50">
        <f t="shared" ca="1" si="258"/>
        <v>0</v>
      </c>
      <c r="AF363" s="50">
        <f t="shared" ca="1" si="258"/>
        <v>0</v>
      </c>
      <c r="AG363" s="50">
        <f t="shared" ca="1" si="258"/>
        <v>0</v>
      </c>
      <c r="AH363" s="50">
        <f t="shared" ca="1" si="258"/>
        <v>0</v>
      </c>
      <c r="AI363" s="50">
        <f t="shared" ca="1" si="258"/>
        <v>0</v>
      </c>
      <c r="AJ363" s="50">
        <f t="shared" ca="1" si="258"/>
        <v>0</v>
      </c>
      <c r="AK363" s="50">
        <f t="shared" ca="1" si="258"/>
        <v>0</v>
      </c>
      <c r="AL363" s="50">
        <f t="shared" si="258"/>
        <v>0</v>
      </c>
      <c r="AM363" s="50">
        <f t="shared" si="258"/>
        <v>0</v>
      </c>
      <c r="AN363" s="50">
        <f t="shared" si="258"/>
        <v>0</v>
      </c>
      <c r="AO363" s="50">
        <f t="shared" si="258"/>
        <v>0</v>
      </c>
      <c r="AP363" s="50">
        <f t="shared" si="258"/>
        <v>0</v>
      </c>
      <c r="AQ363" s="50">
        <f t="shared" si="258"/>
        <v>0</v>
      </c>
      <c r="AR363" s="50">
        <f t="shared" si="258"/>
        <v>0</v>
      </c>
      <c r="AS363" s="50">
        <f t="shared" si="258"/>
        <v>0</v>
      </c>
      <c r="AT363" s="50">
        <f t="shared" si="258"/>
        <v>0</v>
      </c>
      <c r="AU363" s="50">
        <f t="shared" si="258"/>
        <v>0</v>
      </c>
    </row>
    <row r="364" spans="1:47">
      <c r="A364" s="38" t="str">
        <f>$J$4&amp;"-"</f>
        <v>2Y-</v>
      </c>
      <c r="B364" s="38" t="s">
        <v>289</v>
      </c>
      <c r="C364" s="38" t="str">
        <f>C354</f>
        <v>Gravity Belt Thickener</v>
      </c>
      <c r="D364" s="186">
        <f>LaborEsc</f>
        <v>0.02</v>
      </c>
      <c r="E364" s="325"/>
      <c r="G364" s="36" t="s">
        <v>292</v>
      </c>
      <c r="I364" s="39"/>
      <c r="K364" s="39"/>
      <c r="L364" s="43" t="str">
        <f>"["&amp;CostBaseYr&amp;" $]"</f>
        <v>[2013 $]</v>
      </c>
      <c r="N364" s="70">
        <f ca="1">SUMIFS(OFFSET(Assumptions!$I$90,0,MATCH($A364,Configurations,0)-1,COUNT(Assumptions!$A$90:$A$183),1),Assumptions!$D$90:$D$183,$B364&amp;$C364)</f>
        <v>0</v>
      </c>
      <c r="O364" s="313"/>
      <c r="P364" s="323"/>
      <c r="Q364" s="313"/>
      <c r="R364" s="50">
        <f t="shared" ref="R364:AU364" ca="1" si="259">IF(OR(R$99&lt;InServiceYr,R$99&gt;(InServiceYr+analysis_period-1)),0,IF($P364=0,$N364,$P364)*(1+$D364)^(R$99-CostBaseYr))</f>
        <v>0</v>
      </c>
      <c r="S364" s="50">
        <f t="shared" ca="1" si="259"/>
        <v>0</v>
      </c>
      <c r="T364" s="50">
        <f t="shared" ca="1" si="259"/>
        <v>0</v>
      </c>
      <c r="U364" s="50">
        <f t="shared" ca="1" si="259"/>
        <v>0</v>
      </c>
      <c r="V364" s="50">
        <f t="shared" ca="1" si="259"/>
        <v>0</v>
      </c>
      <c r="W364" s="50">
        <f t="shared" ca="1" si="259"/>
        <v>0</v>
      </c>
      <c r="X364" s="50">
        <f t="shared" ca="1" si="259"/>
        <v>0</v>
      </c>
      <c r="Y364" s="50">
        <f t="shared" ca="1" si="259"/>
        <v>0</v>
      </c>
      <c r="Z364" s="50">
        <f t="shared" ca="1" si="259"/>
        <v>0</v>
      </c>
      <c r="AA364" s="50">
        <f t="shared" ca="1" si="259"/>
        <v>0</v>
      </c>
      <c r="AB364" s="50">
        <f t="shared" ca="1" si="259"/>
        <v>0</v>
      </c>
      <c r="AC364" s="50">
        <f t="shared" ca="1" si="259"/>
        <v>0</v>
      </c>
      <c r="AD364" s="50">
        <f t="shared" ca="1" si="259"/>
        <v>0</v>
      </c>
      <c r="AE364" s="50">
        <f t="shared" ca="1" si="259"/>
        <v>0</v>
      </c>
      <c r="AF364" s="50">
        <f t="shared" ca="1" si="259"/>
        <v>0</v>
      </c>
      <c r="AG364" s="50">
        <f t="shared" ca="1" si="259"/>
        <v>0</v>
      </c>
      <c r="AH364" s="50">
        <f t="shared" ca="1" si="259"/>
        <v>0</v>
      </c>
      <c r="AI364" s="50">
        <f t="shared" ca="1" si="259"/>
        <v>0</v>
      </c>
      <c r="AJ364" s="50">
        <f t="shared" ca="1" si="259"/>
        <v>0</v>
      </c>
      <c r="AK364" s="50">
        <f t="shared" ca="1" si="259"/>
        <v>0</v>
      </c>
      <c r="AL364" s="50">
        <f t="shared" si="259"/>
        <v>0</v>
      </c>
      <c r="AM364" s="50">
        <f t="shared" si="259"/>
        <v>0</v>
      </c>
      <c r="AN364" s="50">
        <f t="shared" si="259"/>
        <v>0</v>
      </c>
      <c r="AO364" s="50">
        <f t="shared" si="259"/>
        <v>0</v>
      </c>
      <c r="AP364" s="50">
        <f t="shared" si="259"/>
        <v>0</v>
      </c>
      <c r="AQ364" s="50">
        <f t="shared" si="259"/>
        <v>0</v>
      </c>
      <c r="AR364" s="50">
        <f t="shared" si="259"/>
        <v>0</v>
      </c>
      <c r="AS364" s="50">
        <f t="shared" si="259"/>
        <v>0</v>
      </c>
      <c r="AT364" s="50">
        <f t="shared" si="259"/>
        <v>0</v>
      </c>
      <c r="AU364" s="50">
        <f t="shared" si="259"/>
        <v>0</v>
      </c>
    </row>
    <row r="365" spans="1:47" s="60" customFormat="1">
      <c r="D365" s="187"/>
      <c r="E365" s="325"/>
      <c r="G365" s="39" t="s">
        <v>305</v>
      </c>
      <c r="I365" s="39"/>
      <c r="K365" s="39"/>
      <c r="L365" s="174"/>
      <c r="N365" s="188"/>
      <c r="O365" s="314"/>
      <c r="P365" s="185"/>
      <c r="Q365" s="314"/>
      <c r="R365" s="185">
        <f ca="1">SUM(R354:R361)-SUM(R363:R364)</f>
        <v>242251.41833814015</v>
      </c>
      <c r="S365" s="185">
        <f t="shared" ref="S365:AU365" ca="1" si="260">SUM(S354:S361)-SUM(S363:S364)</f>
        <v>247045.17461635242</v>
      </c>
      <c r="T365" s="185">
        <f t="shared" ca="1" si="260"/>
        <v>252072.68572541696</v>
      </c>
      <c r="U365" s="185">
        <f t="shared" ca="1" si="260"/>
        <v>257153.22160701218</v>
      </c>
      <c r="V365" s="185">
        <f t="shared" ca="1" si="260"/>
        <v>262312.91979375138</v>
      </c>
      <c r="W365" s="185">
        <f t="shared" ca="1" si="260"/>
        <v>267529.46039791004</v>
      </c>
      <c r="X365" s="185">
        <f t="shared" ca="1" si="260"/>
        <v>272864.48204261949</v>
      </c>
      <c r="Y365" s="185">
        <f t="shared" ca="1" si="260"/>
        <v>278341.45677034953</v>
      </c>
      <c r="Z365" s="185">
        <f t="shared" ca="1" si="260"/>
        <v>283925.42357862747</v>
      </c>
      <c r="AA365" s="185">
        <f t="shared" ca="1" si="260"/>
        <v>289626.20811957942</v>
      </c>
      <c r="AB365" s="185">
        <f t="shared" ca="1" si="260"/>
        <v>295426.30822547479</v>
      </c>
      <c r="AC365" s="185">
        <f t="shared" ca="1" si="260"/>
        <v>301331.36662248662</v>
      </c>
      <c r="AD365" s="185">
        <f t="shared" ca="1" si="260"/>
        <v>307372.72736180958</v>
      </c>
      <c r="AE365" s="185">
        <f t="shared" ca="1" si="260"/>
        <v>313533.75723315025</v>
      </c>
      <c r="AF365" s="185">
        <f t="shared" ca="1" si="260"/>
        <v>319823.21588116331</v>
      </c>
      <c r="AG365" s="185">
        <f t="shared" ca="1" si="260"/>
        <v>326250.31722322316</v>
      </c>
      <c r="AH365" s="185">
        <f t="shared" ca="1" si="260"/>
        <v>332798.87224689469</v>
      </c>
      <c r="AI365" s="185">
        <f t="shared" ca="1" si="260"/>
        <v>339486.65151186584</v>
      </c>
      <c r="AJ365" s="185">
        <f t="shared" ca="1" si="260"/>
        <v>346313.55225154827</v>
      </c>
      <c r="AK365" s="185">
        <f t="shared" ca="1" si="260"/>
        <v>353280.43718000216</v>
      </c>
      <c r="AL365" s="185">
        <f t="shared" si="260"/>
        <v>0</v>
      </c>
      <c r="AM365" s="185">
        <f t="shared" si="260"/>
        <v>0</v>
      </c>
      <c r="AN365" s="185">
        <f t="shared" si="260"/>
        <v>0</v>
      </c>
      <c r="AO365" s="185">
        <f t="shared" si="260"/>
        <v>0</v>
      </c>
      <c r="AP365" s="185">
        <f t="shared" si="260"/>
        <v>0</v>
      </c>
      <c r="AQ365" s="185">
        <f t="shared" si="260"/>
        <v>0</v>
      </c>
      <c r="AR365" s="185">
        <f t="shared" si="260"/>
        <v>0</v>
      </c>
      <c r="AS365" s="185">
        <f t="shared" si="260"/>
        <v>0</v>
      </c>
      <c r="AT365" s="185">
        <f t="shared" si="260"/>
        <v>0</v>
      </c>
      <c r="AU365" s="185">
        <f t="shared" si="260"/>
        <v>0</v>
      </c>
    </row>
    <row r="366" spans="1:47">
      <c r="E366" s="36"/>
      <c r="G366" s="39"/>
      <c r="H366" s="39"/>
      <c r="I366" s="39"/>
      <c r="J366" s="39"/>
      <c r="K366" s="39"/>
    </row>
    <row r="367" spans="1:47">
      <c r="E367" s="327"/>
      <c r="F367" s="28"/>
      <c r="G367" s="324" t="str">
        <f>C369&amp;" Capital Costs"</f>
        <v>Gravity Thickener Capital Costs</v>
      </c>
      <c r="H367" s="324"/>
      <c r="I367" s="324"/>
      <c r="J367" s="324"/>
      <c r="K367" s="324"/>
      <c r="L367" s="405" t="s">
        <v>79</v>
      </c>
      <c r="M367" s="256"/>
      <c r="N367" s="325" t="s">
        <v>490</v>
      </c>
      <c r="O367" s="311"/>
      <c r="P367" s="325" t="s">
        <v>491</v>
      </c>
      <c r="Q367" s="310"/>
      <c r="R367" s="325">
        <f>R$8</f>
        <v>2014</v>
      </c>
      <c r="S367" s="325">
        <f t="shared" ref="S367:AU367" si="261">S$8</f>
        <v>2015</v>
      </c>
      <c r="T367" s="325">
        <f t="shared" si="261"/>
        <v>2016</v>
      </c>
      <c r="U367" s="325">
        <f t="shared" si="261"/>
        <v>2017</v>
      </c>
      <c r="V367" s="325">
        <f t="shared" si="261"/>
        <v>2018</v>
      </c>
      <c r="W367" s="325">
        <f t="shared" si="261"/>
        <v>2019</v>
      </c>
      <c r="X367" s="325">
        <f t="shared" si="261"/>
        <v>2020</v>
      </c>
      <c r="Y367" s="325">
        <f t="shared" si="261"/>
        <v>2021</v>
      </c>
      <c r="Z367" s="325">
        <f t="shared" si="261"/>
        <v>2022</v>
      </c>
      <c r="AA367" s="325">
        <f t="shared" si="261"/>
        <v>2023</v>
      </c>
      <c r="AB367" s="325">
        <f t="shared" si="261"/>
        <v>2024</v>
      </c>
      <c r="AC367" s="325">
        <f t="shared" si="261"/>
        <v>2025</v>
      </c>
      <c r="AD367" s="325">
        <f t="shared" si="261"/>
        <v>2026</v>
      </c>
      <c r="AE367" s="325">
        <f t="shared" si="261"/>
        <v>2027</v>
      </c>
      <c r="AF367" s="325">
        <f t="shared" si="261"/>
        <v>2028</v>
      </c>
      <c r="AG367" s="325">
        <f t="shared" si="261"/>
        <v>2029</v>
      </c>
      <c r="AH367" s="325">
        <f t="shared" si="261"/>
        <v>2030</v>
      </c>
      <c r="AI367" s="325">
        <f t="shared" si="261"/>
        <v>2031</v>
      </c>
      <c r="AJ367" s="325">
        <f t="shared" si="261"/>
        <v>2032</v>
      </c>
      <c r="AK367" s="325">
        <f t="shared" si="261"/>
        <v>2033</v>
      </c>
      <c r="AL367" s="325">
        <f t="shared" si="261"/>
        <v>2034</v>
      </c>
      <c r="AM367" s="325">
        <f t="shared" si="261"/>
        <v>2035</v>
      </c>
      <c r="AN367" s="325">
        <f t="shared" si="261"/>
        <v>2036</v>
      </c>
      <c r="AO367" s="325">
        <f t="shared" si="261"/>
        <v>2037</v>
      </c>
      <c r="AP367" s="325">
        <f t="shared" si="261"/>
        <v>2038</v>
      </c>
      <c r="AQ367" s="325">
        <f t="shared" si="261"/>
        <v>2039</v>
      </c>
      <c r="AR367" s="325">
        <f t="shared" si="261"/>
        <v>2040</v>
      </c>
      <c r="AS367" s="325">
        <f t="shared" si="261"/>
        <v>2041</v>
      </c>
      <c r="AT367" s="325">
        <f t="shared" si="261"/>
        <v>2042</v>
      </c>
      <c r="AU367" s="325">
        <f t="shared" si="261"/>
        <v>2043</v>
      </c>
    </row>
    <row r="368" spans="1:47">
      <c r="E368" s="325"/>
      <c r="G368" s="39"/>
      <c r="H368" s="39"/>
      <c r="I368" s="39"/>
      <c r="J368" s="39"/>
      <c r="K368" s="39"/>
    </row>
    <row r="369" spans="1:47">
      <c r="A369" s="38" t="str">
        <f>$J$4&amp;"-"</f>
        <v>2Y-</v>
      </c>
      <c r="B369" s="38" t="s">
        <v>306</v>
      </c>
      <c r="C369" s="38" t="s">
        <v>29</v>
      </c>
      <c r="D369" s="186">
        <f>CapExEsc</f>
        <v>0.03</v>
      </c>
      <c r="E369" s="325"/>
      <c r="G369" s="36" t="s">
        <v>8</v>
      </c>
      <c r="H369" s="39"/>
      <c r="I369" s="39"/>
      <c r="J369" s="70"/>
      <c r="K369" s="39"/>
      <c r="L369" s="43" t="str">
        <f>"["&amp;CostBaseYr&amp;" $]"</f>
        <v>[2013 $]</v>
      </c>
      <c r="N369" s="52">
        <f ca="1">SUMIFS(OFFSET(Assumptions!$I$65,0,MATCH($A369,Configurations,0)-1,COUNT(Assumptions!$A$65:$A$84),1),Assumptions!$E$65:$E$84,$C369)</f>
        <v>1029000</v>
      </c>
      <c r="O369" s="52"/>
      <c r="P369" s="322"/>
      <c r="Q369" s="52"/>
      <c r="R369" s="52">
        <f t="shared" ref="R369:AU369" ca="1" si="262">R370*IF($P369=0,$N369,$P369)*(1+$D369)^(R$8-CostBaseYr)</f>
        <v>1059870</v>
      </c>
      <c r="S369" s="52">
        <f t="shared" ca="1" si="262"/>
        <v>0</v>
      </c>
      <c r="T369" s="52">
        <f t="shared" ca="1" si="262"/>
        <v>0</v>
      </c>
      <c r="U369" s="52">
        <f t="shared" ca="1" si="262"/>
        <v>0</v>
      </c>
      <c r="V369" s="52">
        <f t="shared" ca="1" si="262"/>
        <v>0</v>
      </c>
      <c r="W369" s="52">
        <f t="shared" ca="1" si="262"/>
        <v>0</v>
      </c>
      <c r="X369" s="52">
        <f t="shared" ca="1" si="262"/>
        <v>0</v>
      </c>
      <c r="Y369" s="52">
        <f t="shared" ca="1" si="262"/>
        <v>0</v>
      </c>
      <c r="Z369" s="52">
        <f t="shared" ca="1" si="262"/>
        <v>0</v>
      </c>
      <c r="AA369" s="52">
        <f t="shared" ca="1" si="262"/>
        <v>0</v>
      </c>
      <c r="AB369" s="52">
        <f t="shared" ca="1" si="262"/>
        <v>0</v>
      </c>
      <c r="AC369" s="52">
        <f t="shared" ca="1" si="262"/>
        <v>0</v>
      </c>
      <c r="AD369" s="52">
        <f t="shared" ca="1" si="262"/>
        <v>0</v>
      </c>
      <c r="AE369" s="52">
        <f t="shared" ca="1" si="262"/>
        <v>0</v>
      </c>
      <c r="AF369" s="52">
        <f t="shared" ca="1" si="262"/>
        <v>0</v>
      </c>
      <c r="AG369" s="52">
        <f t="shared" ca="1" si="262"/>
        <v>0</v>
      </c>
      <c r="AH369" s="52">
        <f t="shared" ca="1" si="262"/>
        <v>0</v>
      </c>
      <c r="AI369" s="52">
        <f t="shared" ca="1" si="262"/>
        <v>0</v>
      </c>
      <c r="AJ369" s="52">
        <f t="shared" ca="1" si="262"/>
        <v>0</v>
      </c>
      <c r="AK369" s="52">
        <f t="shared" ca="1" si="262"/>
        <v>0</v>
      </c>
      <c r="AL369" s="52">
        <f t="shared" ca="1" si="262"/>
        <v>0</v>
      </c>
      <c r="AM369" s="52">
        <f t="shared" ca="1" si="262"/>
        <v>0</v>
      </c>
      <c r="AN369" s="52">
        <f t="shared" ca="1" si="262"/>
        <v>0</v>
      </c>
      <c r="AO369" s="52">
        <f t="shared" ca="1" si="262"/>
        <v>0</v>
      </c>
      <c r="AP369" s="52">
        <f t="shared" ca="1" si="262"/>
        <v>0</v>
      </c>
      <c r="AQ369" s="52">
        <f t="shared" ca="1" si="262"/>
        <v>0</v>
      </c>
      <c r="AR369" s="52">
        <f t="shared" ca="1" si="262"/>
        <v>0</v>
      </c>
      <c r="AS369" s="52">
        <f t="shared" ca="1" si="262"/>
        <v>0</v>
      </c>
      <c r="AT369" s="52">
        <f t="shared" ca="1" si="262"/>
        <v>0</v>
      </c>
      <c r="AU369" s="52">
        <f t="shared" ca="1" si="262"/>
        <v>0</v>
      </c>
    </row>
    <row r="370" spans="1:47">
      <c r="E370" s="325"/>
      <c r="G370" s="36" t="s">
        <v>10</v>
      </c>
      <c r="H370" s="39"/>
      <c r="I370" s="39"/>
      <c r="J370" s="39"/>
      <c r="K370" s="39"/>
      <c r="L370" s="43"/>
      <c r="R370" s="54">
        <f>Assumptions!M$60</f>
        <v>1</v>
      </c>
      <c r="S370" s="54">
        <f>Assumptions!N$60</f>
        <v>0</v>
      </c>
      <c r="T370" s="54">
        <f>Assumptions!O$60</f>
        <v>0</v>
      </c>
      <c r="U370" s="54">
        <f>Assumptions!P$60</f>
        <v>0</v>
      </c>
      <c r="V370" s="54">
        <f>Assumptions!Q$60</f>
        <v>0</v>
      </c>
      <c r="W370" s="54">
        <f>Assumptions!R$60</f>
        <v>0</v>
      </c>
      <c r="X370" s="54">
        <f>Assumptions!S$60</f>
        <v>0</v>
      </c>
      <c r="Y370" s="54">
        <f>Assumptions!T$60</f>
        <v>0</v>
      </c>
      <c r="Z370" s="54">
        <f>Assumptions!U$60</f>
        <v>0</v>
      </c>
      <c r="AA370" s="54">
        <f>Assumptions!V$60</f>
        <v>0</v>
      </c>
      <c r="AB370" s="54">
        <f>Assumptions!W$60</f>
        <v>0</v>
      </c>
      <c r="AC370" s="54">
        <f>Assumptions!X$60</f>
        <v>0</v>
      </c>
      <c r="AD370" s="54">
        <f>Assumptions!Y$60</f>
        <v>0</v>
      </c>
      <c r="AE370" s="54">
        <f>Assumptions!Z$60</f>
        <v>0</v>
      </c>
      <c r="AF370" s="54">
        <f>Assumptions!AA$60</f>
        <v>0</v>
      </c>
      <c r="AG370" s="54">
        <f>Assumptions!AB$60</f>
        <v>0</v>
      </c>
      <c r="AH370" s="54">
        <f>Assumptions!AC$60</f>
        <v>0</v>
      </c>
      <c r="AI370" s="54">
        <f>Assumptions!AD$60</f>
        <v>0</v>
      </c>
      <c r="AJ370" s="54">
        <f>Assumptions!AE$60</f>
        <v>0</v>
      </c>
      <c r="AK370" s="54">
        <f>Assumptions!AF$60</f>
        <v>0</v>
      </c>
      <c r="AL370" s="54">
        <f>Assumptions!AG$60</f>
        <v>0</v>
      </c>
      <c r="AM370" s="54">
        <f>Assumptions!AH$60</f>
        <v>0</v>
      </c>
      <c r="AN370" s="54">
        <f>Assumptions!AI$60</f>
        <v>0</v>
      </c>
      <c r="AO370" s="54">
        <f>Assumptions!AJ$60</f>
        <v>0</v>
      </c>
      <c r="AP370" s="54">
        <f>Assumptions!AK$60</f>
        <v>0</v>
      </c>
      <c r="AQ370" s="54">
        <f>Assumptions!AL$60</f>
        <v>0</v>
      </c>
      <c r="AR370" s="54">
        <f>Assumptions!AM$60</f>
        <v>0</v>
      </c>
      <c r="AS370" s="54">
        <f>Assumptions!AN$60</f>
        <v>0</v>
      </c>
      <c r="AT370" s="54">
        <f>Assumptions!AO$60</f>
        <v>0</v>
      </c>
      <c r="AU370" s="54">
        <f>Assumptions!AP$60</f>
        <v>0</v>
      </c>
    </row>
    <row r="371" spans="1:47">
      <c r="E371" s="326"/>
      <c r="G371" s="39"/>
      <c r="H371" s="39"/>
      <c r="I371" s="39"/>
      <c r="J371" s="39"/>
      <c r="K371" s="39"/>
    </row>
    <row r="372" spans="1:47">
      <c r="E372" s="327"/>
      <c r="F372" s="28"/>
      <c r="G372" s="324" t="str">
        <f>C369&amp;" O&amp;M"</f>
        <v>Gravity Thickener O&amp;M</v>
      </c>
      <c r="H372" s="324"/>
      <c r="I372" s="324"/>
      <c r="J372" s="324"/>
      <c r="K372" s="324"/>
      <c r="L372" s="405" t="s">
        <v>79</v>
      </c>
      <c r="M372" s="256"/>
      <c r="N372" s="325" t="s">
        <v>490</v>
      </c>
      <c r="O372" s="311"/>
      <c r="P372" s="325" t="s">
        <v>491</v>
      </c>
      <c r="Q372" s="310"/>
      <c r="R372" s="325">
        <f>R$8</f>
        <v>2014</v>
      </c>
      <c r="S372" s="325">
        <f t="shared" ref="S372:AU372" si="263">S$8</f>
        <v>2015</v>
      </c>
      <c r="T372" s="325">
        <f t="shared" si="263"/>
        <v>2016</v>
      </c>
      <c r="U372" s="325">
        <f t="shared" si="263"/>
        <v>2017</v>
      </c>
      <c r="V372" s="325">
        <f t="shared" si="263"/>
        <v>2018</v>
      </c>
      <c r="W372" s="325">
        <f t="shared" si="263"/>
        <v>2019</v>
      </c>
      <c r="X372" s="325">
        <f t="shared" si="263"/>
        <v>2020</v>
      </c>
      <c r="Y372" s="325">
        <f t="shared" si="263"/>
        <v>2021</v>
      </c>
      <c r="Z372" s="325">
        <f t="shared" si="263"/>
        <v>2022</v>
      </c>
      <c r="AA372" s="325">
        <f t="shared" si="263"/>
        <v>2023</v>
      </c>
      <c r="AB372" s="325">
        <f t="shared" si="263"/>
        <v>2024</v>
      </c>
      <c r="AC372" s="325">
        <f t="shared" si="263"/>
        <v>2025</v>
      </c>
      <c r="AD372" s="325">
        <f t="shared" si="263"/>
        <v>2026</v>
      </c>
      <c r="AE372" s="325">
        <f t="shared" si="263"/>
        <v>2027</v>
      </c>
      <c r="AF372" s="325">
        <f t="shared" si="263"/>
        <v>2028</v>
      </c>
      <c r="AG372" s="325">
        <f t="shared" si="263"/>
        <v>2029</v>
      </c>
      <c r="AH372" s="325">
        <f t="shared" si="263"/>
        <v>2030</v>
      </c>
      <c r="AI372" s="325">
        <f t="shared" si="263"/>
        <v>2031</v>
      </c>
      <c r="AJ372" s="325">
        <f t="shared" si="263"/>
        <v>2032</v>
      </c>
      <c r="AK372" s="325">
        <f t="shared" si="263"/>
        <v>2033</v>
      </c>
      <c r="AL372" s="325">
        <f t="shared" si="263"/>
        <v>2034</v>
      </c>
      <c r="AM372" s="325">
        <f t="shared" si="263"/>
        <v>2035</v>
      </c>
      <c r="AN372" s="325">
        <f t="shared" si="263"/>
        <v>2036</v>
      </c>
      <c r="AO372" s="325">
        <f t="shared" si="263"/>
        <v>2037</v>
      </c>
      <c r="AP372" s="325">
        <f t="shared" si="263"/>
        <v>2038</v>
      </c>
      <c r="AQ372" s="325">
        <f t="shared" si="263"/>
        <v>2039</v>
      </c>
      <c r="AR372" s="325">
        <f t="shared" si="263"/>
        <v>2040</v>
      </c>
      <c r="AS372" s="325">
        <f t="shared" si="263"/>
        <v>2041</v>
      </c>
      <c r="AT372" s="325">
        <f t="shared" si="263"/>
        <v>2042</v>
      </c>
      <c r="AU372" s="325">
        <f t="shared" si="263"/>
        <v>2043</v>
      </c>
    </row>
    <row r="373" spans="1:47">
      <c r="E373" s="325"/>
      <c r="G373" s="39"/>
      <c r="H373" s="39"/>
      <c r="I373" s="39"/>
      <c r="J373" s="39"/>
      <c r="K373" s="39"/>
    </row>
    <row r="374" spans="1:47">
      <c r="E374" s="325"/>
      <c r="G374" s="39" t="s">
        <v>23</v>
      </c>
      <c r="H374" s="39"/>
      <c r="I374" s="39"/>
      <c r="J374" s="39"/>
      <c r="K374" s="39"/>
    </row>
    <row r="375" spans="1:47">
      <c r="A375" s="38" t="str">
        <f t="shared" ref="A375:A382" si="264">$J$4&amp;"-"</f>
        <v>2Y-</v>
      </c>
      <c r="B375" s="38" t="s">
        <v>262</v>
      </c>
      <c r="C375" s="38" t="str">
        <f>C369</f>
        <v>Gravity Thickener</v>
      </c>
      <c r="D375" s="186">
        <f>LaborEsc</f>
        <v>0.02</v>
      </c>
      <c r="E375" s="325"/>
      <c r="G375" s="36" t="s">
        <v>125</v>
      </c>
      <c r="I375" s="39"/>
      <c r="K375" s="39"/>
      <c r="L375" s="43" t="s">
        <v>266</v>
      </c>
      <c r="N375" s="70">
        <f ca="1">SUMIFS(OFFSET(Assumptions!$I$90,0,MATCH($A375,Configurations,0)-1,COUNT(Assumptions!$A$90:$A$183),1),Assumptions!$D$90:$D$183,$B375&amp;$C375)</f>
        <v>1460</v>
      </c>
      <c r="O375" s="313"/>
      <c r="P375" s="323"/>
      <c r="Q375" s="313"/>
      <c r="R375" s="50">
        <f t="shared" ref="R375:AU375" ca="1" si="265">IF(OR(R$99&lt;InServiceYr,R$99&gt;(InServiceYr+analysis_period-1)),0,IF($P375=0,$N375,$P375)*LaborCost*(1+$D375)^(R$99-CostBaseYr))</f>
        <v>52122</v>
      </c>
      <c r="S375" s="50">
        <f t="shared" ca="1" si="265"/>
        <v>53164.44</v>
      </c>
      <c r="T375" s="50">
        <f t="shared" ca="1" si="265"/>
        <v>54227.728799999997</v>
      </c>
      <c r="U375" s="50">
        <f t="shared" ca="1" si="265"/>
        <v>55312.283375999999</v>
      </c>
      <c r="V375" s="50">
        <f t="shared" ca="1" si="265"/>
        <v>56418.52904352</v>
      </c>
      <c r="W375" s="50">
        <f t="shared" ca="1" si="265"/>
        <v>57546.899624390404</v>
      </c>
      <c r="X375" s="50">
        <f t="shared" ca="1" si="265"/>
        <v>58697.837616878198</v>
      </c>
      <c r="Y375" s="50">
        <f t="shared" ca="1" si="265"/>
        <v>59871.794369215771</v>
      </c>
      <c r="Z375" s="50">
        <f t="shared" ca="1" si="265"/>
        <v>61069.230256600087</v>
      </c>
      <c r="AA375" s="50">
        <f t="shared" ca="1" si="265"/>
        <v>62290.614861732087</v>
      </c>
      <c r="AB375" s="50">
        <f t="shared" ca="1" si="265"/>
        <v>63536.427158966719</v>
      </c>
      <c r="AC375" s="50">
        <f t="shared" ca="1" si="265"/>
        <v>64807.155702146061</v>
      </c>
      <c r="AD375" s="50">
        <f t="shared" ca="1" si="265"/>
        <v>66103.298816188981</v>
      </c>
      <c r="AE375" s="50">
        <f t="shared" ca="1" si="265"/>
        <v>67425.364792512773</v>
      </c>
      <c r="AF375" s="50">
        <f t="shared" ca="1" si="265"/>
        <v>68773.872088363001</v>
      </c>
      <c r="AG375" s="50">
        <f t="shared" ca="1" si="265"/>
        <v>70149.349530130276</v>
      </c>
      <c r="AH375" s="50">
        <f t="shared" ca="1" si="265"/>
        <v>71552.33652073289</v>
      </c>
      <c r="AI375" s="50">
        <f t="shared" ca="1" si="265"/>
        <v>72983.383251147534</v>
      </c>
      <c r="AJ375" s="50">
        <f t="shared" ca="1" si="265"/>
        <v>74443.050916170483</v>
      </c>
      <c r="AK375" s="50">
        <f t="shared" ca="1" si="265"/>
        <v>75931.911934493895</v>
      </c>
      <c r="AL375" s="50">
        <f t="shared" si="265"/>
        <v>0</v>
      </c>
      <c r="AM375" s="50">
        <f t="shared" si="265"/>
        <v>0</v>
      </c>
      <c r="AN375" s="50">
        <f t="shared" si="265"/>
        <v>0</v>
      </c>
      <c r="AO375" s="50">
        <f t="shared" si="265"/>
        <v>0</v>
      </c>
      <c r="AP375" s="50">
        <f t="shared" si="265"/>
        <v>0</v>
      </c>
      <c r="AQ375" s="50">
        <f t="shared" si="265"/>
        <v>0</v>
      </c>
      <c r="AR375" s="50">
        <f t="shared" si="265"/>
        <v>0</v>
      </c>
      <c r="AS375" s="50">
        <f t="shared" si="265"/>
        <v>0</v>
      </c>
      <c r="AT375" s="50">
        <f t="shared" si="265"/>
        <v>0</v>
      </c>
      <c r="AU375" s="50">
        <f t="shared" si="265"/>
        <v>0</v>
      </c>
    </row>
    <row r="376" spans="1:47">
      <c r="A376" s="38" t="str">
        <f t="shared" si="264"/>
        <v>2Y-</v>
      </c>
      <c r="B376" s="38" t="s">
        <v>270</v>
      </c>
      <c r="C376" s="38" t="str">
        <f>C375</f>
        <v>Gravity Thickener</v>
      </c>
      <c r="D376" s="186">
        <f>OMEsc</f>
        <v>0.02</v>
      </c>
      <c r="E376" s="325"/>
      <c r="G376" s="36" t="s">
        <v>126</v>
      </c>
      <c r="I376" s="39"/>
      <c r="K376" s="39"/>
      <c r="L376" s="43" t="str">
        <f>"["&amp;CostBaseYr&amp;" $]"</f>
        <v>[2013 $]</v>
      </c>
      <c r="N376" s="70">
        <f ca="1">SUMIFS(OFFSET(Assumptions!$I$90,0,MATCH($A376,Configurations,0)-1,COUNT(Assumptions!$A$90:$A$183),1),Assumptions!$D$90:$D$183,$B376&amp;$C376)</f>
        <v>10000</v>
      </c>
      <c r="O376" s="313"/>
      <c r="P376" s="323"/>
      <c r="Q376" s="313"/>
      <c r="R376" s="50">
        <f t="shared" ref="R376:AG378" ca="1" si="266">IF(OR(R$99&lt;InServiceYr,R$99&gt;(InServiceYr+analysis_period-1)),0,IF($P376=0,$N376,$P376)*(1+$D376)^(R$99-CostBaseYr))</f>
        <v>10200</v>
      </c>
      <c r="S376" s="50">
        <f t="shared" ca="1" si="266"/>
        <v>10404</v>
      </c>
      <c r="T376" s="50">
        <f t="shared" ca="1" si="266"/>
        <v>10612.08</v>
      </c>
      <c r="U376" s="50">
        <f t="shared" ca="1" si="266"/>
        <v>10824.321599999999</v>
      </c>
      <c r="V376" s="50">
        <f t="shared" ca="1" si="266"/>
        <v>11040.808032000001</v>
      </c>
      <c r="W376" s="50">
        <f t="shared" ca="1" si="266"/>
        <v>11261.62419264</v>
      </c>
      <c r="X376" s="50">
        <f t="shared" ca="1" si="266"/>
        <v>11486.856676492798</v>
      </c>
      <c r="Y376" s="50">
        <f t="shared" ca="1" si="266"/>
        <v>11716.593810022656</v>
      </c>
      <c r="Z376" s="50">
        <f t="shared" ca="1" si="266"/>
        <v>11950.925686223109</v>
      </c>
      <c r="AA376" s="50">
        <f t="shared" ca="1" si="266"/>
        <v>12189.944199947571</v>
      </c>
      <c r="AB376" s="50">
        <f t="shared" ca="1" si="266"/>
        <v>12433.74308394652</v>
      </c>
      <c r="AC376" s="50">
        <f t="shared" ca="1" si="266"/>
        <v>12682.417945625453</v>
      </c>
      <c r="AD376" s="50">
        <f t="shared" ca="1" si="266"/>
        <v>12936.066304537961</v>
      </c>
      <c r="AE376" s="50">
        <f t="shared" ca="1" si="266"/>
        <v>13194.787630628722</v>
      </c>
      <c r="AF376" s="50">
        <f t="shared" ca="1" si="266"/>
        <v>13458.683383241292</v>
      </c>
      <c r="AG376" s="50">
        <f t="shared" ca="1" si="266"/>
        <v>13727.857050906121</v>
      </c>
      <c r="AH376" s="50">
        <f t="shared" ref="S376:AU378" ca="1" si="267">IF(OR(AH$99&lt;InServiceYr,AH$99&gt;(InServiceYr+analysis_period-1)),0,IF($P376=0,$N376,$P376)*(1+$D376)^(AH$99-CostBaseYr))</f>
        <v>14002.414191924245</v>
      </c>
      <c r="AI376" s="50">
        <f t="shared" ca="1" si="267"/>
        <v>14282.462475762728</v>
      </c>
      <c r="AJ376" s="50">
        <f t="shared" ca="1" si="267"/>
        <v>14568.11172527798</v>
      </c>
      <c r="AK376" s="50">
        <f t="shared" ca="1" si="267"/>
        <v>14859.473959783543</v>
      </c>
      <c r="AL376" s="50">
        <f t="shared" si="267"/>
        <v>0</v>
      </c>
      <c r="AM376" s="50">
        <f t="shared" si="267"/>
        <v>0</v>
      </c>
      <c r="AN376" s="50">
        <f t="shared" si="267"/>
        <v>0</v>
      </c>
      <c r="AO376" s="50">
        <f t="shared" si="267"/>
        <v>0</v>
      </c>
      <c r="AP376" s="50">
        <f t="shared" si="267"/>
        <v>0</v>
      </c>
      <c r="AQ376" s="50">
        <f t="shared" si="267"/>
        <v>0</v>
      </c>
      <c r="AR376" s="50">
        <f t="shared" si="267"/>
        <v>0</v>
      </c>
      <c r="AS376" s="50">
        <f t="shared" si="267"/>
        <v>0</v>
      </c>
      <c r="AT376" s="50">
        <f t="shared" si="267"/>
        <v>0</v>
      </c>
      <c r="AU376" s="50">
        <f t="shared" si="267"/>
        <v>0</v>
      </c>
    </row>
    <row r="377" spans="1:47">
      <c r="A377" s="38" t="str">
        <f t="shared" si="264"/>
        <v>2Y-</v>
      </c>
      <c r="B377" s="38" t="s">
        <v>263</v>
      </c>
      <c r="C377" s="38" t="str">
        <f t="shared" ref="C377:C381" si="268">C376</f>
        <v>Gravity Thickener</v>
      </c>
      <c r="D377" s="186">
        <f>OMEsc</f>
        <v>0.02</v>
      </c>
      <c r="E377" s="325"/>
      <c r="G377" s="36" t="s">
        <v>127</v>
      </c>
      <c r="I377" s="39"/>
      <c r="K377" s="39"/>
      <c r="L377" s="43" t="str">
        <f>"["&amp;CostBaseYr&amp;" $]"</f>
        <v>[2013 $]</v>
      </c>
      <c r="N377" s="70">
        <f ca="1">SUMIFS(OFFSET(Assumptions!$I$90,0,MATCH($A377,Configurations,0)-1,COUNT(Assumptions!$A$90:$A$183),1),Assumptions!$D$90:$D$183,$B377&amp;$C377)</f>
        <v>0</v>
      </c>
      <c r="O377" s="313"/>
      <c r="P377" s="323"/>
      <c r="Q377" s="313"/>
      <c r="R377" s="50">
        <f t="shared" ca="1" si="266"/>
        <v>0</v>
      </c>
      <c r="S377" s="50">
        <f t="shared" ca="1" si="267"/>
        <v>0</v>
      </c>
      <c r="T377" s="50">
        <f t="shared" ca="1" si="267"/>
        <v>0</v>
      </c>
      <c r="U377" s="50">
        <f t="shared" ca="1" si="267"/>
        <v>0</v>
      </c>
      <c r="V377" s="50">
        <f t="shared" ca="1" si="267"/>
        <v>0</v>
      </c>
      <c r="W377" s="50">
        <f t="shared" ca="1" si="267"/>
        <v>0</v>
      </c>
      <c r="X377" s="50">
        <f t="shared" ca="1" si="267"/>
        <v>0</v>
      </c>
      <c r="Y377" s="50">
        <f t="shared" ca="1" si="267"/>
        <v>0</v>
      </c>
      <c r="Z377" s="50">
        <f t="shared" ca="1" si="267"/>
        <v>0</v>
      </c>
      <c r="AA377" s="50">
        <f t="shared" ca="1" si="267"/>
        <v>0</v>
      </c>
      <c r="AB377" s="50">
        <f t="shared" ca="1" si="267"/>
        <v>0</v>
      </c>
      <c r="AC377" s="50">
        <f t="shared" ca="1" si="267"/>
        <v>0</v>
      </c>
      <c r="AD377" s="50">
        <f t="shared" ca="1" si="267"/>
        <v>0</v>
      </c>
      <c r="AE377" s="50">
        <f t="shared" ca="1" si="267"/>
        <v>0</v>
      </c>
      <c r="AF377" s="50">
        <f t="shared" ca="1" si="267"/>
        <v>0</v>
      </c>
      <c r="AG377" s="50">
        <f t="shared" ca="1" si="267"/>
        <v>0</v>
      </c>
      <c r="AH377" s="50">
        <f t="shared" ca="1" si="267"/>
        <v>0</v>
      </c>
      <c r="AI377" s="50">
        <f t="shared" ca="1" si="267"/>
        <v>0</v>
      </c>
      <c r="AJ377" s="50">
        <f t="shared" ca="1" si="267"/>
        <v>0</v>
      </c>
      <c r="AK377" s="50">
        <f t="shared" ca="1" si="267"/>
        <v>0</v>
      </c>
      <c r="AL377" s="50">
        <f t="shared" si="267"/>
        <v>0</v>
      </c>
      <c r="AM377" s="50">
        <f t="shared" si="267"/>
        <v>0</v>
      </c>
      <c r="AN377" s="50">
        <f t="shared" si="267"/>
        <v>0</v>
      </c>
      <c r="AO377" s="50">
        <f t="shared" si="267"/>
        <v>0</v>
      </c>
      <c r="AP377" s="50">
        <f t="shared" si="267"/>
        <v>0</v>
      </c>
      <c r="AQ377" s="50">
        <f t="shared" si="267"/>
        <v>0</v>
      </c>
      <c r="AR377" s="50">
        <f t="shared" si="267"/>
        <v>0</v>
      </c>
      <c r="AS377" s="50">
        <f t="shared" si="267"/>
        <v>0</v>
      </c>
      <c r="AT377" s="50">
        <f t="shared" si="267"/>
        <v>0</v>
      </c>
      <c r="AU377" s="50">
        <f t="shared" si="267"/>
        <v>0</v>
      </c>
    </row>
    <row r="378" spans="1:47">
      <c r="A378" s="38" t="str">
        <f t="shared" si="264"/>
        <v>2Y-</v>
      </c>
      <c r="B378" s="38" t="s">
        <v>277</v>
      </c>
      <c r="C378" s="38" t="str">
        <f t="shared" si="268"/>
        <v>Gravity Thickener</v>
      </c>
      <c r="D378" s="186">
        <f>OMEsc</f>
        <v>0.02</v>
      </c>
      <c r="E378" s="325"/>
      <c r="G378" s="36" t="s">
        <v>276</v>
      </c>
      <c r="I378" s="39"/>
      <c r="K378" s="39"/>
      <c r="L378" s="43" t="str">
        <f>"["&amp;CostBaseYr&amp;" $]"</f>
        <v>[2013 $]</v>
      </c>
      <c r="N378" s="70">
        <f ca="1">SUMIFS(OFFSET(Assumptions!$I$90,0,MATCH($A378,Configurations,0)-1,COUNT(Assumptions!$A$90:$A$183),1),Assumptions!$D$90:$D$183,$B378&amp;$C378)</f>
        <v>0</v>
      </c>
      <c r="O378" s="313"/>
      <c r="P378" s="323"/>
      <c r="Q378" s="313"/>
      <c r="R378" s="50">
        <f t="shared" ca="1" si="266"/>
        <v>0</v>
      </c>
      <c r="S378" s="50">
        <f t="shared" ca="1" si="267"/>
        <v>0</v>
      </c>
      <c r="T378" s="50">
        <f t="shared" ca="1" si="267"/>
        <v>0</v>
      </c>
      <c r="U378" s="50">
        <f t="shared" ca="1" si="267"/>
        <v>0</v>
      </c>
      <c r="V378" s="50">
        <f t="shared" ca="1" si="267"/>
        <v>0</v>
      </c>
      <c r="W378" s="50">
        <f t="shared" ca="1" si="267"/>
        <v>0</v>
      </c>
      <c r="X378" s="50">
        <f t="shared" ca="1" si="267"/>
        <v>0</v>
      </c>
      <c r="Y378" s="50">
        <f t="shared" ca="1" si="267"/>
        <v>0</v>
      </c>
      <c r="Z378" s="50">
        <f t="shared" ca="1" si="267"/>
        <v>0</v>
      </c>
      <c r="AA378" s="50">
        <f t="shared" ca="1" si="267"/>
        <v>0</v>
      </c>
      <c r="AB378" s="50">
        <f t="shared" ca="1" si="267"/>
        <v>0</v>
      </c>
      <c r="AC378" s="50">
        <f t="shared" ca="1" si="267"/>
        <v>0</v>
      </c>
      <c r="AD378" s="50">
        <f t="shared" ca="1" si="267"/>
        <v>0</v>
      </c>
      <c r="AE378" s="50">
        <f t="shared" ca="1" si="267"/>
        <v>0</v>
      </c>
      <c r="AF378" s="50">
        <f t="shared" ca="1" si="267"/>
        <v>0</v>
      </c>
      <c r="AG378" s="50">
        <f t="shared" ca="1" si="267"/>
        <v>0</v>
      </c>
      <c r="AH378" s="50">
        <f t="shared" ca="1" si="267"/>
        <v>0</v>
      </c>
      <c r="AI378" s="50">
        <f t="shared" ca="1" si="267"/>
        <v>0</v>
      </c>
      <c r="AJ378" s="50">
        <f t="shared" ca="1" si="267"/>
        <v>0</v>
      </c>
      <c r="AK378" s="50">
        <f t="shared" ca="1" si="267"/>
        <v>0</v>
      </c>
      <c r="AL378" s="50">
        <f t="shared" si="267"/>
        <v>0</v>
      </c>
      <c r="AM378" s="50">
        <f t="shared" si="267"/>
        <v>0</v>
      </c>
      <c r="AN378" s="50">
        <f t="shared" si="267"/>
        <v>0</v>
      </c>
      <c r="AO378" s="50">
        <f t="shared" si="267"/>
        <v>0</v>
      </c>
      <c r="AP378" s="50">
        <f t="shared" si="267"/>
        <v>0</v>
      </c>
      <c r="AQ378" s="50">
        <f t="shared" si="267"/>
        <v>0</v>
      </c>
      <c r="AR378" s="50">
        <f t="shared" si="267"/>
        <v>0</v>
      </c>
      <c r="AS378" s="50">
        <f t="shared" si="267"/>
        <v>0</v>
      </c>
      <c r="AT378" s="50">
        <f t="shared" si="267"/>
        <v>0</v>
      </c>
      <c r="AU378" s="50">
        <f t="shared" si="267"/>
        <v>0</v>
      </c>
    </row>
    <row r="379" spans="1:47">
      <c r="A379" s="38" t="str">
        <f t="shared" si="264"/>
        <v>2Y-</v>
      </c>
      <c r="B379" s="38" t="s">
        <v>274</v>
      </c>
      <c r="C379" s="38" t="str">
        <f t="shared" si="268"/>
        <v>Gravity Thickener</v>
      </c>
      <c r="D379" s="186"/>
      <c r="E379" s="325"/>
      <c r="G379" s="36" t="s">
        <v>16</v>
      </c>
      <c r="I379" s="39"/>
      <c r="K379" s="39"/>
      <c r="L379" s="43" t="s">
        <v>275</v>
      </c>
      <c r="N379" s="70">
        <f ca="1">SUMIFS(OFFSET(Assumptions!$I$90,0,MATCH($A379,Configurations,0)-1,COUNT(Assumptions!$A$90:$A$183),1),Assumptions!$D$90:$D$183,$B379&amp;$C379)</f>
        <v>0</v>
      </c>
      <c r="O379" s="313"/>
      <c r="P379" s="323"/>
      <c r="Q379" s="313"/>
      <c r="R379" s="50">
        <f t="shared" ref="R379:AU379" ca="1" si="269">IF(OR(R$99&lt;InServiceYr,R$99&gt;(InServiceYr+analysis_period-1)),0,IF($P379=0,$N379,$P379)*R$505)</f>
        <v>0</v>
      </c>
      <c r="S379" s="50">
        <f t="shared" ca="1" si="269"/>
        <v>0</v>
      </c>
      <c r="T379" s="50">
        <f t="shared" ca="1" si="269"/>
        <v>0</v>
      </c>
      <c r="U379" s="50">
        <f t="shared" ca="1" si="269"/>
        <v>0</v>
      </c>
      <c r="V379" s="50">
        <f t="shared" ca="1" si="269"/>
        <v>0</v>
      </c>
      <c r="W379" s="50">
        <f t="shared" ca="1" si="269"/>
        <v>0</v>
      </c>
      <c r="X379" s="50">
        <f t="shared" ca="1" si="269"/>
        <v>0</v>
      </c>
      <c r="Y379" s="50">
        <f t="shared" ca="1" si="269"/>
        <v>0</v>
      </c>
      <c r="Z379" s="50">
        <f t="shared" ca="1" si="269"/>
        <v>0</v>
      </c>
      <c r="AA379" s="50">
        <f t="shared" ca="1" si="269"/>
        <v>0</v>
      </c>
      <c r="AB379" s="50">
        <f t="shared" ca="1" si="269"/>
        <v>0</v>
      </c>
      <c r="AC379" s="50">
        <f t="shared" ca="1" si="269"/>
        <v>0</v>
      </c>
      <c r="AD379" s="50">
        <f t="shared" ca="1" si="269"/>
        <v>0</v>
      </c>
      <c r="AE379" s="50">
        <f t="shared" ca="1" si="269"/>
        <v>0</v>
      </c>
      <c r="AF379" s="50">
        <f t="shared" ca="1" si="269"/>
        <v>0</v>
      </c>
      <c r="AG379" s="50">
        <f t="shared" ca="1" si="269"/>
        <v>0</v>
      </c>
      <c r="AH379" s="50">
        <f t="shared" ca="1" si="269"/>
        <v>0</v>
      </c>
      <c r="AI379" s="50">
        <f t="shared" ca="1" si="269"/>
        <v>0</v>
      </c>
      <c r="AJ379" s="50">
        <f t="shared" ca="1" si="269"/>
        <v>0</v>
      </c>
      <c r="AK379" s="50">
        <f t="shared" ca="1" si="269"/>
        <v>0</v>
      </c>
      <c r="AL379" s="50">
        <f t="shared" si="269"/>
        <v>0</v>
      </c>
      <c r="AM379" s="50">
        <f t="shared" si="269"/>
        <v>0</v>
      </c>
      <c r="AN379" s="50">
        <f t="shared" si="269"/>
        <v>0</v>
      </c>
      <c r="AO379" s="50">
        <f t="shared" si="269"/>
        <v>0</v>
      </c>
      <c r="AP379" s="50">
        <f t="shared" si="269"/>
        <v>0</v>
      </c>
      <c r="AQ379" s="50">
        <f t="shared" si="269"/>
        <v>0</v>
      </c>
      <c r="AR379" s="50">
        <f t="shared" si="269"/>
        <v>0</v>
      </c>
      <c r="AS379" s="50">
        <f t="shared" si="269"/>
        <v>0</v>
      </c>
      <c r="AT379" s="50">
        <f t="shared" si="269"/>
        <v>0</v>
      </c>
      <c r="AU379" s="50">
        <f t="shared" si="269"/>
        <v>0</v>
      </c>
    </row>
    <row r="380" spans="1:47">
      <c r="A380" s="38" t="str">
        <f t="shared" si="264"/>
        <v>2Y-</v>
      </c>
      <c r="B380" s="38" t="s">
        <v>257</v>
      </c>
      <c r="C380" s="38" t="str">
        <f t="shared" si="268"/>
        <v>Gravity Thickener</v>
      </c>
      <c r="D380" s="186"/>
      <c r="E380" s="325"/>
      <c r="G380" s="36" t="s">
        <v>284</v>
      </c>
      <c r="I380" s="39"/>
      <c r="K380" s="39"/>
      <c r="L380" s="43" t="s">
        <v>293</v>
      </c>
      <c r="N380" s="70">
        <f ca="1">SUMIFS(OFFSET(Assumptions!$I$90,0,MATCH($A380,Configurations,0)-1,COUNT(Assumptions!$A$90:$A$183),1),Assumptions!$D$90:$D$183,$B380&amp;$C380)</f>
        <v>8400</v>
      </c>
      <c r="O380" s="313"/>
      <c r="P380" s="323"/>
      <c r="Q380" s="313"/>
      <c r="R380" s="50">
        <f t="shared" ref="R380:AU380" ca="1" si="270">IF(OR(R$99&lt;InServiceYr,R$99&gt;(InServiceYr+analysis_period-1)),0,IF($P380=0,$N380,$P380)*R$501)</f>
        <v>542.48507092729631</v>
      </c>
      <c r="S380" s="50">
        <f t="shared" ca="1" si="270"/>
        <v>545.86666858609908</v>
      </c>
      <c r="T380" s="50">
        <f t="shared" ca="1" si="270"/>
        <v>569.3989487342235</v>
      </c>
      <c r="U380" s="50">
        <f t="shared" ca="1" si="270"/>
        <v>586.4794923617535</v>
      </c>
      <c r="V380" s="50">
        <f t="shared" ca="1" si="270"/>
        <v>600.63189369903944</v>
      </c>
      <c r="W380" s="50">
        <f t="shared" ca="1" si="270"/>
        <v>608.31594737989042</v>
      </c>
      <c r="X380" s="50">
        <f t="shared" ca="1" si="270"/>
        <v>618.21475234641093</v>
      </c>
      <c r="Y380" s="50">
        <f t="shared" ca="1" si="270"/>
        <v>633.4463047155474</v>
      </c>
      <c r="Z380" s="50">
        <f t="shared" ca="1" si="270"/>
        <v>648.61144118121092</v>
      </c>
      <c r="AA380" s="50">
        <f t="shared" ca="1" si="270"/>
        <v>664.82832030458803</v>
      </c>
      <c r="AB380" s="50">
        <f t="shared" ca="1" si="270"/>
        <v>679.22837076534552</v>
      </c>
      <c r="AC380" s="50">
        <f t="shared" ca="1" si="270"/>
        <v>692.30783592677653</v>
      </c>
      <c r="AD380" s="50">
        <f t="shared" ca="1" si="270"/>
        <v>708.3000064780756</v>
      </c>
      <c r="AE380" s="50">
        <f t="shared" ca="1" si="270"/>
        <v>724.44333836552391</v>
      </c>
      <c r="AF380" s="50">
        <f t="shared" ca="1" si="270"/>
        <v>741.66814111586268</v>
      </c>
      <c r="AG380" s="50">
        <f t="shared" ca="1" si="270"/>
        <v>760.96398018696061</v>
      </c>
      <c r="AH380" s="50">
        <f t="shared" ca="1" si="270"/>
        <v>779.61327375529777</v>
      </c>
      <c r="AI380" s="50">
        <f t="shared" ca="1" si="270"/>
        <v>799.8376753198844</v>
      </c>
      <c r="AJ380" s="50">
        <f t="shared" ca="1" si="270"/>
        <v>821.2481406233785</v>
      </c>
      <c r="AK380" s="50">
        <f t="shared" ca="1" si="270"/>
        <v>843.58877225416643</v>
      </c>
      <c r="AL380" s="50">
        <f t="shared" si="270"/>
        <v>0</v>
      </c>
      <c r="AM380" s="50">
        <f t="shared" si="270"/>
        <v>0</v>
      </c>
      <c r="AN380" s="50">
        <f t="shared" si="270"/>
        <v>0</v>
      </c>
      <c r="AO380" s="50">
        <f t="shared" si="270"/>
        <v>0</v>
      </c>
      <c r="AP380" s="50">
        <f t="shared" si="270"/>
        <v>0</v>
      </c>
      <c r="AQ380" s="50">
        <f t="shared" si="270"/>
        <v>0</v>
      </c>
      <c r="AR380" s="50">
        <f t="shared" si="270"/>
        <v>0</v>
      </c>
      <c r="AS380" s="50">
        <f t="shared" si="270"/>
        <v>0</v>
      </c>
      <c r="AT380" s="50">
        <f t="shared" si="270"/>
        <v>0</v>
      </c>
      <c r="AU380" s="50">
        <f t="shared" si="270"/>
        <v>0</v>
      </c>
    </row>
    <row r="381" spans="1:47">
      <c r="A381" s="38" t="str">
        <f t="shared" si="264"/>
        <v>2Y-</v>
      </c>
      <c r="B381" s="38" t="s">
        <v>864</v>
      </c>
      <c r="C381" s="38" t="str">
        <f t="shared" si="268"/>
        <v>Gravity Thickener</v>
      </c>
      <c r="D381" s="186">
        <f>GHGEsc</f>
        <v>0.02</v>
      </c>
      <c r="E381" s="325"/>
      <c r="G381" s="36" t="s">
        <v>865</v>
      </c>
      <c r="I381" s="39"/>
      <c r="K381" s="39"/>
      <c r="L381" s="43" t="s">
        <v>866</v>
      </c>
      <c r="N381" s="70">
        <f ca="1">SUMIFS(OFFSET(Assumptions!$I$90,0,MATCH($A381,Configurations,0)-1,COUNT(Assumptions!$A$90:$A$183),1),Assumptions!$D$90:$D$183,$B381&amp;$C381)</f>
        <v>0</v>
      </c>
      <c r="O381" s="313"/>
      <c r="P381" s="323"/>
      <c r="Q381" s="313"/>
      <c r="R381" s="50">
        <f t="shared" ref="R381:AU381" ca="1" si="271">IF(OR(R$99&lt;InServiceYr,R$99&gt;(InServiceYr+analysis_period-1)),0,IF($P381=0,$N381,$P381)*R$513)</f>
        <v>0</v>
      </c>
      <c r="S381" s="50">
        <f t="shared" ca="1" si="271"/>
        <v>0</v>
      </c>
      <c r="T381" s="50">
        <f t="shared" ca="1" si="271"/>
        <v>0</v>
      </c>
      <c r="U381" s="50">
        <f t="shared" ca="1" si="271"/>
        <v>0</v>
      </c>
      <c r="V381" s="50">
        <f t="shared" ca="1" si="271"/>
        <v>0</v>
      </c>
      <c r="W381" s="50">
        <f t="shared" ca="1" si="271"/>
        <v>0</v>
      </c>
      <c r="X381" s="50">
        <f t="shared" ca="1" si="271"/>
        <v>0</v>
      </c>
      <c r="Y381" s="50">
        <f t="shared" ca="1" si="271"/>
        <v>0</v>
      </c>
      <c r="Z381" s="50">
        <f t="shared" ca="1" si="271"/>
        <v>0</v>
      </c>
      <c r="AA381" s="50">
        <f t="shared" ca="1" si="271"/>
        <v>0</v>
      </c>
      <c r="AB381" s="50">
        <f t="shared" ca="1" si="271"/>
        <v>0</v>
      </c>
      <c r="AC381" s="50">
        <f t="shared" ca="1" si="271"/>
        <v>0</v>
      </c>
      <c r="AD381" s="50">
        <f t="shared" ca="1" si="271"/>
        <v>0</v>
      </c>
      <c r="AE381" s="50">
        <f t="shared" ca="1" si="271"/>
        <v>0</v>
      </c>
      <c r="AF381" s="50">
        <f t="shared" ca="1" si="271"/>
        <v>0</v>
      </c>
      <c r="AG381" s="50">
        <f t="shared" ca="1" si="271"/>
        <v>0</v>
      </c>
      <c r="AH381" s="50">
        <f t="shared" ca="1" si="271"/>
        <v>0</v>
      </c>
      <c r="AI381" s="50">
        <f t="shared" ca="1" si="271"/>
        <v>0</v>
      </c>
      <c r="AJ381" s="50">
        <f t="shared" ca="1" si="271"/>
        <v>0</v>
      </c>
      <c r="AK381" s="50">
        <f t="shared" ca="1" si="271"/>
        <v>0</v>
      </c>
      <c r="AL381" s="50">
        <f t="shared" si="271"/>
        <v>0</v>
      </c>
      <c r="AM381" s="50">
        <f t="shared" si="271"/>
        <v>0</v>
      </c>
      <c r="AN381" s="50">
        <f t="shared" si="271"/>
        <v>0</v>
      </c>
      <c r="AO381" s="50">
        <f t="shared" si="271"/>
        <v>0</v>
      </c>
      <c r="AP381" s="50">
        <f t="shared" si="271"/>
        <v>0</v>
      </c>
      <c r="AQ381" s="50">
        <f t="shared" si="271"/>
        <v>0</v>
      </c>
      <c r="AR381" s="50">
        <f t="shared" si="271"/>
        <v>0</v>
      </c>
      <c r="AS381" s="50">
        <f t="shared" si="271"/>
        <v>0</v>
      </c>
      <c r="AT381" s="50">
        <f t="shared" si="271"/>
        <v>0</v>
      </c>
      <c r="AU381" s="50">
        <f t="shared" si="271"/>
        <v>0</v>
      </c>
    </row>
    <row r="382" spans="1:47">
      <c r="A382" s="38" t="str">
        <f t="shared" si="264"/>
        <v>2Y-</v>
      </c>
      <c r="B382" s="38" t="s">
        <v>273</v>
      </c>
      <c r="C382" s="38" t="str">
        <f>C380</f>
        <v>Gravity Thickener</v>
      </c>
      <c r="D382" s="186">
        <f>LaborEsc</f>
        <v>0.02</v>
      </c>
      <c r="E382" s="325"/>
      <c r="G382" s="36" t="s">
        <v>291</v>
      </c>
      <c r="I382" s="39"/>
      <c r="K382" s="39"/>
      <c r="L382" s="43" t="str">
        <f>"["&amp;CostBaseYr&amp;" $]"</f>
        <v>[2013 $]</v>
      </c>
      <c r="N382" s="70">
        <f ca="1">SUMIFS(OFFSET(Assumptions!$I$90,0,MATCH($A382,Configurations,0)-1,COUNT(Assumptions!$A$90:$A$183),1),Assumptions!$D$90:$D$183,$B382&amp;$C382)</f>
        <v>0</v>
      </c>
      <c r="O382" s="313"/>
      <c r="P382" s="323"/>
      <c r="Q382" s="313"/>
      <c r="R382" s="50">
        <f t="shared" ref="R382:AU382" ca="1" si="272">IF(OR(R$99&lt;InServiceYr,R$99&gt;(InServiceYr+analysis_period-1)),0,IF($P382=0,$N382,$P382)*(1+$D382)^(R$99-CostBaseYr))*R$509</f>
        <v>0</v>
      </c>
      <c r="S382" s="50">
        <f t="shared" ca="1" si="272"/>
        <v>0</v>
      </c>
      <c r="T382" s="50">
        <f t="shared" ca="1" si="272"/>
        <v>0</v>
      </c>
      <c r="U382" s="50">
        <f t="shared" ca="1" si="272"/>
        <v>0</v>
      </c>
      <c r="V382" s="50">
        <f t="shared" ca="1" si="272"/>
        <v>0</v>
      </c>
      <c r="W382" s="50">
        <f t="shared" ca="1" si="272"/>
        <v>0</v>
      </c>
      <c r="X382" s="50">
        <f t="shared" ca="1" si="272"/>
        <v>0</v>
      </c>
      <c r="Y382" s="50">
        <f t="shared" ca="1" si="272"/>
        <v>0</v>
      </c>
      <c r="Z382" s="50">
        <f t="shared" ca="1" si="272"/>
        <v>0</v>
      </c>
      <c r="AA382" s="50">
        <f t="shared" ca="1" si="272"/>
        <v>0</v>
      </c>
      <c r="AB382" s="50">
        <f t="shared" ca="1" si="272"/>
        <v>0</v>
      </c>
      <c r="AC382" s="50">
        <f t="shared" ca="1" si="272"/>
        <v>0</v>
      </c>
      <c r="AD382" s="50">
        <f t="shared" ca="1" si="272"/>
        <v>0</v>
      </c>
      <c r="AE382" s="50">
        <f t="shared" ca="1" si="272"/>
        <v>0</v>
      </c>
      <c r="AF382" s="50">
        <f t="shared" ca="1" si="272"/>
        <v>0</v>
      </c>
      <c r="AG382" s="50">
        <f t="shared" ca="1" si="272"/>
        <v>0</v>
      </c>
      <c r="AH382" s="50">
        <f t="shared" ca="1" si="272"/>
        <v>0</v>
      </c>
      <c r="AI382" s="50">
        <f t="shared" ca="1" si="272"/>
        <v>0</v>
      </c>
      <c r="AJ382" s="50">
        <f t="shared" ca="1" si="272"/>
        <v>0</v>
      </c>
      <c r="AK382" s="50">
        <f t="shared" ca="1" si="272"/>
        <v>0</v>
      </c>
      <c r="AL382" s="50">
        <f t="shared" si="272"/>
        <v>0</v>
      </c>
      <c r="AM382" s="50">
        <f t="shared" si="272"/>
        <v>0</v>
      </c>
      <c r="AN382" s="50">
        <f t="shared" si="272"/>
        <v>0</v>
      </c>
      <c r="AO382" s="50">
        <f t="shared" si="272"/>
        <v>0</v>
      </c>
      <c r="AP382" s="50">
        <f t="shared" si="272"/>
        <v>0</v>
      </c>
      <c r="AQ382" s="50">
        <f t="shared" si="272"/>
        <v>0</v>
      </c>
      <c r="AR382" s="50">
        <f t="shared" si="272"/>
        <v>0</v>
      </c>
      <c r="AS382" s="50">
        <f t="shared" si="272"/>
        <v>0</v>
      </c>
      <c r="AT382" s="50">
        <f t="shared" si="272"/>
        <v>0</v>
      </c>
      <c r="AU382" s="50">
        <f t="shared" si="272"/>
        <v>0</v>
      </c>
    </row>
    <row r="383" spans="1:47">
      <c r="D383" s="186"/>
      <c r="E383" s="325"/>
      <c r="G383" s="39" t="s">
        <v>304</v>
      </c>
      <c r="I383" s="39"/>
      <c r="K383" s="39"/>
      <c r="L383" s="43"/>
      <c r="N383" s="70"/>
      <c r="O383" s="313"/>
      <c r="P383" s="70"/>
      <c r="Q383" s="313"/>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row>
    <row r="384" spans="1:47">
      <c r="A384" s="38" t="str">
        <f>$J$4&amp;"-"</f>
        <v>2Y-</v>
      </c>
      <c r="B384" s="38" t="s">
        <v>265</v>
      </c>
      <c r="C384" s="38" t="str">
        <f>C375</f>
        <v>Gravity Thickener</v>
      </c>
      <c r="D384" s="186"/>
      <c r="E384" s="325"/>
      <c r="G384" s="36" t="s">
        <v>108</v>
      </c>
      <c r="I384" s="39"/>
      <c r="K384" s="39"/>
      <c r="L384" s="43" t="s">
        <v>293</v>
      </c>
      <c r="N384" s="70">
        <f ca="1">SUMIFS(OFFSET(Assumptions!$I$90,0,MATCH($A384,Configurations,0)-1,COUNT(Assumptions!$A$90:$A$183),1),Assumptions!$D$90:$D$183,$B384&amp;$C384)</f>
        <v>0</v>
      </c>
      <c r="O384" s="313"/>
      <c r="P384" s="323"/>
      <c r="Q384" s="313"/>
      <c r="R384" s="50">
        <f t="shared" ref="R384:AU384" ca="1" si="273">IF(OR(R$99&lt;InServiceYr,R$99&gt;(InServiceYr+analysis_period-1)),0,IF($P384=0,$N384,$P384)*R$501)</f>
        <v>0</v>
      </c>
      <c r="S384" s="50">
        <f t="shared" ca="1" si="273"/>
        <v>0</v>
      </c>
      <c r="T384" s="50">
        <f t="shared" ca="1" si="273"/>
        <v>0</v>
      </c>
      <c r="U384" s="50">
        <f t="shared" ca="1" si="273"/>
        <v>0</v>
      </c>
      <c r="V384" s="50">
        <f t="shared" ca="1" si="273"/>
        <v>0</v>
      </c>
      <c r="W384" s="50">
        <f t="shared" ca="1" si="273"/>
        <v>0</v>
      </c>
      <c r="X384" s="50">
        <f t="shared" ca="1" si="273"/>
        <v>0</v>
      </c>
      <c r="Y384" s="50">
        <f t="shared" ca="1" si="273"/>
        <v>0</v>
      </c>
      <c r="Z384" s="50">
        <f t="shared" ca="1" si="273"/>
        <v>0</v>
      </c>
      <c r="AA384" s="50">
        <f t="shared" ca="1" si="273"/>
        <v>0</v>
      </c>
      <c r="AB384" s="50">
        <f t="shared" ca="1" si="273"/>
        <v>0</v>
      </c>
      <c r="AC384" s="50">
        <f t="shared" ca="1" si="273"/>
        <v>0</v>
      </c>
      <c r="AD384" s="50">
        <f t="shared" ca="1" si="273"/>
        <v>0</v>
      </c>
      <c r="AE384" s="50">
        <f t="shared" ca="1" si="273"/>
        <v>0</v>
      </c>
      <c r="AF384" s="50">
        <f t="shared" ca="1" si="273"/>
        <v>0</v>
      </c>
      <c r="AG384" s="50">
        <f t="shared" ca="1" si="273"/>
        <v>0</v>
      </c>
      <c r="AH384" s="50">
        <f t="shared" ca="1" si="273"/>
        <v>0</v>
      </c>
      <c r="AI384" s="50">
        <f t="shared" ca="1" si="273"/>
        <v>0</v>
      </c>
      <c r="AJ384" s="50">
        <f t="shared" ca="1" si="273"/>
        <v>0</v>
      </c>
      <c r="AK384" s="50">
        <f t="shared" ca="1" si="273"/>
        <v>0</v>
      </c>
      <c r="AL384" s="50">
        <f t="shared" si="273"/>
        <v>0</v>
      </c>
      <c r="AM384" s="50">
        <f t="shared" si="273"/>
        <v>0</v>
      </c>
      <c r="AN384" s="50">
        <f t="shared" si="273"/>
        <v>0</v>
      </c>
      <c r="AO384" s="50">
        <f t="shared" si="273"/>
        <v>0</v>
      </c>
      <c r="AP384" s="50">
        <f t="shared" si="273"/>
        <v>0</v>
      </c>
      <c r="AQ384" s="50">
        <f t="shared" si="273"/>
        <v>0</v>
      </c>
      <c r="AR384" s="50">
        <f t="shared" si="273"/>
        <v>0</v>
      </c>
      <c r="AS384" s="50">
        <f t="shared" si="273"/>
        <v>0</v>
      </c>
      <c r="AT384" s="50">
        <f t="shared" si="273"/>
        <v>0</v>
      </c>
      <c r="AU384" s="50">
        <f t="shared" si="273"/>
        <v>0</v>
      </c>
    </row>
    <row r="385" spans="1:47">
      <c r="A385" s="38" t="str">
        <f>$J$4&amp;"-"</f>
        <v>2Y-</v>
      </c>
      <c r="B385" s="38" t="s">
        <v>289</v>
      </c>
      <c r="C385" s="38" t="str">
        <f>C375</f>
        <v>Gravity Thickener</v>
      </c>
      <c r="D385" s="186">
        <f>LaborEsc</f>
        <v>0.02</v>
      </c>
      <c r="E385" s="325"/>
      <c r="G385" s="36" t="s">
        <v>292</v>
      </c>
      <c r="I385" s="39"/>
      <c r="K385" s="39"/>
      <c r="L385" s="43" t="str">
        <f>"["&amp;CostBaseYr&amp;" $]"</f>
        <v>[2013 $]</v>
      </c>
      <c r="N385" s="70">
        <f ca="1">SUMIFS(OFFSET(Assumptions!$I$90,0,MATCH($A385,Configurations,0)-1,COUNT(Assumptions!$A$90:$A$183),1),Assumptions!$D$90:$D$183,$B385&amp;$C385)</f>
        <v>0</v>
      </c>
      <c r="O385" s="313"/>
      <c r="P385" s="323"/>
      <c r="Q385" s="313"/>
      <c r="R385" s="50">
        <f t="shared" ref="R385:AU385" ca="1" si="274">IF(OR(R$99&lt;InServiceYr,R$99&gt;(InServiceYr+analysis_period-1)),0,IF($P385=0,$N385,$P385)*(1+$D385)^(R$99-CostBaseYr))</f>
        <v>0</v>
      </c>
      <c r="S385" s="50">
        <f t="shared" ca="1" si="274"/>
        <v>0</v>
      </c>
      <c r="T385" s="50">
        <f t="shared" ca="1" si="274"/>
        <v>0</v>
      </c>
      <c r="U385" s="50">
        <f t="shared" ca="1" si="274"/>
        <v>0</v>
      </c>
      <c r="V385" s="50">
        <f t="shared" ca="1" si="274"/>
        <v>0</v>
      </c>
      <c r="W385" s="50">
        <f t="shared" ca="1" si="274"/>
        <v>0</v>
      </c>
      <c r="X385" s="50">
        <f t="shared" ca="1" si="274"/>
        <v>0</v>
      </c>
      <c r="Y385" s="50">
        <f t="shared" ca="1" si="274"/>
        <v>0</v>
      </c>
      <c r="Z385" s="50">
        <f t="shared" ca="1" si="274"/>
        <v>0</v>
      </c>
      <c r="AA385" s="50">
        <f t="shared" ca="1" si="274"/>
        <v>0</v>
      </c>
      <c r="AB385" s="50">
        <f t="shared" ca="1" si="274"/>
        <v>0</v>
      </c>
      <c r="AC385" s="50">
        <f t="shared" ca="1" si="274"/>
        <v>0</v>
      </c>
      <c r="AD385" s="50">
        <f t="shared" ca="1" si="274"/>
        <v>0</v>
      </c>
      <c r="AE385" s="50">
        <f t="shared" ca="1" si="274"/>
        <v>0</v>
      </c>
      <c r="AF385" s="50">
        <f t="shared" ca="1" si="274"/>
        <v>0</v>
      </c>
      <c r="AG385" s="50">
        <f t="shared" ca="1" si="274"/>
        <v>0</v>
      </c>
      <c r="AH385" s="50">
        <f t="shared" ca="1" si="274"/>
        <v>0</v>
      </c>
      <c r="AI385" s="50">
        <f t="shared" ca="1" si="274"/>
        <v>0</v>
      </c>
      <c r="AJ385" s="50">
        <f t="shared" ca="1" si="274"/>
        <v>0</v>
      </c>
      <c r="AK385" s="50">
        <f t="shared" ca="1" si="274"/>
        <v>0</v>
      </c>
      <c r="AL385" s="50">
        <f t="shared" si="274"/>
        <v>0</v>
      </c>
      <c r="AM385" s="50">
        <f t="shared" si="274"/>
        <v>0</v>
      </c>
      <c r="AN385" s="50">
        <f t="shared" si="274"/>
        <v>0</v>
      </c>
      <c r="AO385" s="50">
        <f t="shared" si="274"/>
        <v>0</v>
      </c>
      <c r="AP385" s="50">
        <f t="shared" si="274"/>
        <v>0</v>
      </c>
      <c r="AQ385" s="50">
        <f t="shared" si="274"/>
        <v>0</v>
      </c>
      <c r="AR385" s="50">
        <f t="shared" si="274"/>
        <v>0</v>
      </c>
      <c r="AS385" s="50">
        <f t="shared" si="274"/>
        <v>0</v>
      </c>
      <c r="AT385" s="50">
        <f t="shared" si="274"/>
        <v>0</v>
      </c>
      <c r="AU385" s="50">
        <f t="shared" si="274"/>
        <v>0</v>
      </c>
    </row>
    <row r="386" spans="1:47" s="60" customFormat="1">
      <c r="D386" s="187"/>
      <c r="E386" s="325"/>
      <c r="G386" s="39" t="s">
        <v>305</v>
      </c>
      <c r="I386" s="39"/>
      <c r="K386" s="39"/>
      <c r="L386" s="174"/>
      <c r="N386" s="188"/>
      <c r="O386" s="314"/>
      <c r="P386" s="185"/>
      <c r="Q386" s="314"/>
      <c r="R386" s="185">
        <f ca="1">SUM(R375:R382)-SUM(R384:R385)</f>
        <v>62864.485070927294</v>
      </c>
      <c r="S386" s="185">
        <f t="shared" ref="S386:AU386" ca="1" si="275">SUM(S375:S382)-SUM(S384:S385)</f>
        <v>64114.306668586105</v>
      </c>
      <c r="T386" s="185">
        <f t="shared" ca="1" si="275"/>
        <v>65409.207748734225</v>
      </c>
      <c r="U386" s="185">
        <f t="shared" ca="1" si="275"/>
        <v>66723.084468361762</v>
      </c>
      <c r="V386" s="185">
        <f t="shared" ca="1" si="275"/>
        <v>68059.968969219044</v>
      </c>
      <c r="W386" s="185">
        <f t="shared" ca="1" si="275"/>
        <v>69416.839764410295</v>
      </c>
      <c r="X386" s="185">
        <f t="shared" ca="1" si="275"/>
        <v>70802.909045717402</v>
      </c>
      <c r="Y386" s="185">
        <f t="shared" ca="1" si="275"/>
        <v>72221.834483953964</v>
      </c>
      <c r="Z386" s="185">
        <f t="shared" ca="1" si="275"/>
        <v>73668.767384004415</v>
      </c>
      <c r="AA386" s="185">
        <f t="shared" ca="1" si="275"/>
        <v>75145.387381984241</v>
      </c>
      <c r="AB386" s="185">
        <f t="shared" ca="1" si="275"/>
        <v>76649.398613678582</v>
      </c>
      <c r="AC386" s="185">
        <f t="shared" ca="1" si="275"/>
        <v>78181.881483698293</v>
      </c>
      <c r="AD386" s="185">
        <f t="shared" ca="1" si="275"/>
        <v>79747.665127205022</v>
      </c>
      <c r="AE386" s="185">
        <f t="shared" ca="1" si="275"/>
        <v>81344.595761507022</v>
      </c>
      <c r="AF386" s="185">
        <f t="shared" ca="1" si="275"/>
        <v>82974.223612720161</v>
      </c>
      <c r="AG386" s="185">
        <f t="shared" ca="1" si="275"/>
        <v>84638.170561223364</v>
      </c>
      <c r="AH386" s="185">
        <f t="shared" ca="1" si="275"/>
        <v>86334.363986412427</v>
      </c>
      <c r="AI386" s="185">
        <f t="shared" ca="1" si="275"/>
        <v>88065.683402230148</v>
      </c>
      <c r="AJ386" s="185">
        <f t="shared" ca="1" si="275"/>
        <v>89832.410782071849</v>
      </c>
      <c r="AK386" s="185">
        <f t="shared" ca="1" si="275"/>
        <v>91634.974666531605</v>
      </c>
      <c r="AL386" s="185">
        <f t="shared" si="275"/>
        <v>0</v>
      </c>
      <c r="AM386" s="185">
        <f t="shared" si="275"/>
        <v>0</v>
      </c>
      <c r="AN386" s="185">
        <f t="shared" si="275"/>
        <v>0</v>
      </c>
      <c r="AO386" s="185">
        <f t="shared" si="275"/>
        <v>0</v>
      </c>
      <c r="AP386" s="185">
        <f t="shared" si="275"/>
        <v>0</v>
      </c>
      <c r="AQ386" s="185">
        <f t="shared" si="275"/>
        <v>0</v>
      </c>
      <c r="AR386" s="185">
        <f t="shared" si="275"/>
        <v>0</v>
      </c>
      <c r="AS386" s="185">
        <f t="shared" si="275"/>
        <v>0</v>
      </c>
      <c r="AT386" s="185">
        <f t="shared" si="275"/>
        <v>0</v>
      </c>
      <c r="AU386" s="185">
        <f t="shared" si="275"/>
        <v>0</v>
      </c>
    </row>
    <row r="387" spans="1:47">
      <c r="E387" s="36"/>
      <c r="G387" s="39"/>
      <c r="H387" s="39"/>
      <c r="I387" s="39"/>
      <c r="J387" s="39"/>
      <c r="K387" s="39"/>
    </row>
    <row r="388" spans="1:47">
      <c r="E388" s="327"/>
      <c r="F388" s="28"/>
      <c r="G388" s="324" t="str">
        <f>C390&amp;" Capital Costs"</f>
        <v>Pre-Dewatering  Capital Costs</v>
      </c>
      <c r="H388" s="324"/>
      <c r="I388" s="324"/>
      <c r="J388" s="324"/>
      <c r="K388" s="324"/>
      <c r="L388" s="405" t="s">
        <v>79</v>
      </c>
      <c r="M388" s="256"/>
      <c r="N388" s="325" t="s">
        <v>490</v>
      </c>
      <c r="O388" s="311"/>
      <c r="P388" s="325" t="s">
        <v>491</v>
      </c>
      <c r="Q388" s="310"/>
      <c r="R388" s="325">
        <f>R$8</f>
        <v>2014</v>
      </c>
      <c r="S388" s="325">
        <f t="shared" ref="S388:AU388" si="276">S$8</f>
        <v>2015</v>
      </c>
      <c r="T388" s="325">
        <f t="shared" si="276"/>
        <v>2016</v>
      </c>
      <c r="U388" s="325">
        <f t="shared" si="276"/>
        <v>2017</v>
      </c>
      <c r="V388" s="325">
        <f t="shared" si="276"/>
        <v>2018</v>
      </c>
      <c r="W388" s="325">
        <f t="shared" si="276"/>
        <v>2019</v>
      </c>
      <c r="X388" s="325">
        <f t="shared" si="276"/>
        <v>2020</v>
      </c>
      <c r="Y388" s="325">
        <f t="shared" si="276"/>
        <v>2021</v>
      </c>
      <c r="Z388" s="325">
        <f t="shared" si="276"/>
        <v>2022</v>
      </c>
      <c r="AA388" s="325">
        <f t="shared" si="276"/>
        <v>2023</v>
      </c>
      <c r="AB388" s="325">
        <f t="shared" si="276"/>
        <v>2024</v>
      </c>
      <c r="AC388" s="325">
        <f t="shared" si="276"/>
        <v>2025</v>
      </c>
      <c r="AD388" s="325">
        <f t="shared" si="276"/>
        <v>2026</v>
      </c>
      <c r="AE388" s="325">
        <f t="shared" si="276"/>
        <v>2027</v>
      </c>
      <c r="AF388" s="325">
        <f t="shared" si="276"/>
        <v>2028</v>
      </c>
      <c r="AG388" s="325">
        <f t="shared" si="276"/>
        <v>2029</v>
      </c>
      <c r="AH388" s="325">
        <f t="shared" si="276"/>
        <v>2030</v>
      </c>
      <c r="AI388" s="325">
        <f t="shared" si="276"/>
        <v>2031</v>
      </c>
      <c r="AJ388" s="325">
        <f t="shared" si="276"/>
        <v>2032</v>
      </c>
      <c r="AK388" s="325">
        <f t="shared" si="276"/>
        <v>2033</v>
      </c>
      <c r="AL388" s="325">
        <f t="shared" si="276"/>
        <v>2034</v>
      </c>
      <c r="AM388" s="325">
        <f t="shared" si="276"/>
        <v>2035</v>
      </c>
      <c r="AN388" s="325">
        <f t="shared" si="276"/>
        <v>2036</v>
      </c>
      <c r="AO388" s="325">
        <f t="shared" si="276"/>
        <v>2037</v>
      </c>
      <c r="AP388" s="325">
        <f t="shared" si="276"/>
        <v>2038</v>
      </c>
      <c r="AQ388" s="325">
        <f t="shared" si="276"/>
        <v>2039</v>
      </c>
      <c r="AR388" s="325">
        <f t="shared" si="276"/>
        <v>2040</v>
      </c>
      <c r="AS388" s="325">
        <f t="shared" si="276"/>
        <v>2041</v>
      </c>
      <c r="AT388" s="325">
        <f t="shared" si="276"/>
        <v>2042</v>
      </c>
      <c r="AU388" s="325">
        <f t="shared" si="276"/>
        <v>2043</v>
      </c>
    </row>
    <row r="389" spans="1:47">
      <c r="E389" s="325"/>
      <c r="G389" s="39"/>
      <c r="H389" s="39"/>
      <c r="I389" s="39"/>
      <c r="J389" s="39"/>
      <c r="K389" s="39"/>
    </row>
    <row r="390" spans="1:47">
      <c r="A390" s="38" t="str">
        <f>$J$4&amp;"-"</f>
        <v>2Y-</v>
      </c>
      <c r="B390" s="38" t="s">
        <v>306</v>
      </c>
      <c r="C390" s="38" t="s">
        <v>163</v>
      </c>
      <c r="D390" s="186">
        <f>CapExEsc</f>
        <v>0.03</v>
      </c>
      <c r="E390" s="325"/>
      <c r="G390" s="36" t="s">
        <v>8</v>
      </c>
      <c r="H390" s="39"/>
      <c r="I390" s="39"/>
      <c r="J390" s="70"/>
      <c r="K390" s="39"/>
      <c r="L390" s="43" t="str">
        <f>"["&amp;CostBaseYr&amp;" $]"</f>
        <v>[2013 $]</v>
      </c>
      <c r="N390" s="52">
        <f ca="1">SUMIFS(OFFSET(Assumptions!$I$65,0,MATCH($A390,Configurations,0)-1,COUNT(Assumptions!$A$65:$A$84),1),Assumptions!$E$65:$E$84,$C390)</f>
        <v>0</v>
      </c>
      <c r="O390" s="52"/>
      <c r="P390" s="322"/>
      <c r="Q390" s="52"/>
      <c r="R390" s="52">
        <f t="shared" ref="R390:AU390" ca="1" si="277">R391*IF($P390=0,$N390,$P390)*(1+$D390)^(R$8-CostBaseYr)</f>
        <v>0</v>
      </c>
      <c r="S390" s="52">
        <f t="shared" ca="1" si="277"/>
        <v>0</v>
      </c>
      <c r="T390" s="52">
        <f t="shared" ca="1" si="277"/>
        <v>0</v>
      </c>
      <c r="U390" s="52">
        <f t="shared" ca="1" si="277"/>
        <v>0</v>
      </c>
      <c r="V390" s="52">
        <f t="shared" ca="1" si="277"/>
        <v>0</v>
      </c>
      <c r="W390" s="52">
        <f t="shared" ca="1" si="277"/>
        <v>0</v>
      </c>
      <c r="X390" s="52">
        <f t="shared" ca="1" si="277"/>
        <v>0</v>
      </c>
      <c r="Y390" s="52">
        <f t="shared" ca="1" si="277"/>
        <v>0</v>
      </c>
      <c r="Z390" s="52">
        <f t="shared" ca="1" si="277"/>
        <v>0</v>
      </c>
      <c r="AA390" s="52">
        <f t="shared" ca="1" si="277"/>
        <v>0</v>
      </c>
      <c r="AB390" s="52">
        <f t="shared" ca="1" si="277"/>
        <v>0</v>
      </c>
      <c r="AC390" s="52">
        <f t="shared" ca="1" si="277"/>
        <v>0</v>
      </c>
      <c r="AD390" s="52">
        <f t="shared" ca="1" si="277"/>
        <v>0</v>
      </c>
      <c r="AE390" s="52">
        <f t="shared" ca="1" si="277"/>
        <v>0</v>
      </c>
      <c r="AF390" s="52">
        <f t="shared" ca="1" si="277"/>
        <v>0</v>
      </c>
      <c r="AG390" s="52">
        <f t="shared" ca="1" si="277"/>
        <v>0</v>
      </c>
      <c r="AH390" s="52">
        <f t="shared" ca="1" si="277"/>
        <v>0</v>
      </c>
      <c r="AI390" s="52">
        <f t="shared" ca="1" si="277"/>
        <v>0</v>
      </c>
      <c r="AJ390" s="52">
        <f t="shared" ca="1" si="277"/>
        <v>0</v>
      </c>
      <c r="AK390" s="52">
        <f t="shared" ca="1" si="277"/>
        <v>0</v>
      </c>
      <c r="AL390" s="52">
        <f t="shared" ca="1" si="277"/>
        <v>0</v>
      </c>
      <c r="AM390" s="52">
        <f t="shared" ca="1" si="277"/>
        <v>0</v>
      </c>
      <c r="AN390" s="52">
        <f t="shared" ca="1" si="277"/>
        <v>0</v>
      </c>
      <c r="AO390" s="52">
        <f t="shared" ca="1" si="277"/>
        <v>0</v>
      </c>
      <c r="AP390" s="52">
        <f t="shared" ca="1" si="277"/>
        <v>0</v>
      </c>
      <c r="AQ390" s="52">
        <f t="shared" ca="1" si="277"/>
        <v>0</v>
      </c>
      <c r="AR390" s="52">
        <f t="shared" ca="1" si="277"/>
        <v>0</v>
      </c>
      <c r="AS390" s="52">
        <f t="shared" ca="1" si="277"/>
        <v>0</v>
      </c>
      <c r="AT390" s="52">
        <f t="shared" ca="1" si="277"/>
        <v>0</v>
      </c>
      <c r="AU390" s="52">
        <f t="shared" ca="1" si="277"/>
        <v>0</v>
      </c>
    </row>
    <row r="391" spans="1:47">
      <c r="E391" s="325"/>
      <c r="G391" s="36" t="s">
        <v>10</v>
      </c>
      <c r="H391" s="39"/>
      <c r="I391" s="39"/>
      <c r="J391" s="39"/>
      <c r="K391" s="39"/>
      <c r="L391" s="43"/>
      <c r="R391" s="54">
        <f>Assumptions!M$60</f>
        <v>1</v>
      </c>
      <c r="S391" s="54">
        <f>Assumptions!N$60</f>
        <v>0</v>
      </c>
      <c r="T391" s="54">
        <f>Assumptions!O$60</f>
        <v>0</v>
      </c>
      <c r="U391" s="54">
        <f>Assumptions!P$60</f>
        <v>0</v>
      </c>
      <c r="V391" s="54">
        <f>Assumptions!Q$60</f>
        <v>0</v>
      </c>
      <c r="W391" s="54">
        <f>Assumptions!R$60</f>
        <v>0</v>
      </c>
      <c r="X391" s="54">
        <f>Assumptions!S$60</f>
        <v>0</v>
      </c>
      <c r="Y391" s="54">
        <f>Assumptions!T$60</f>
        <v>0</v>
      </c>
      <c r="Z391" s="54">
        <f>Assumptions!U$60</f>
        <v>0</v>
      </c>
      <c r="AA391" s="54">
        <f>Assumptions!V$60</f>
        <v>0</v>
      </c>
      <c r="AB391" s="54">
        <f>Assumptions!W$60</f>
        <v>0</v>
      </c>
      <c r="AC391" s="54">
        <f>Assumptions!X$60</f>
        <v>0</v>
      </c>
      <c r="AD391" s="54">
        <f>Assumptions!Y$60</f>
        <v>0</v>
      </c>
      <c r="AE391" s="54">
        <f>Assumptions!Z$60</f>
        <v>0</v>
      </c>
      <c r="AF391" s="54">
        <f>Assumptions!AA$60</f>
        <v>0</v>
      </c>
      <c r="AG391" s="54">
        <f>Assumptions!AB$60</f>
        <v>0</v>
      </c>
      <c r="AH391" s="54">
        <f>Assumptions!AC$60</f>
        <v>0</v>
      </c>
      <c r="AI391" s="54">
        <f>Assumptions!AD$60</f>
        <v>0</v>
      </c>
      <c r="AJ391" s="54">
        <f>Assumptions!AE$60</f>
        <v>0</v>
      </c>
      <c r="AK391" s="54">
        <f>Assumptions!AF$60</f>
        <v>0</v>
      </c>
      <c r="AL391" s="54">
        <f>Assumptions!AG$60</f>
        <v>0</v>
      </c>
      <c r="AM391" s="54">
        <f>Assumptions!AH$60</f>
        <v>0</v>
      </c>
      <c r="AN391" s="54">
        <f>Assumptions!AI$60</f>
        <v>0</v>
      </c>
      <c r="AO391" s="54">
        <f>Assumptions!AJ$60</f>
        <v>0</v>
      </c>
      <c r="AP391" s="54">
        <f>Assumptions!AK$60</f>
        <v>0</v>
      </c>
      <c r="AQ391" s="54">
        <f>Assumptions!AL$60</f>
        <v>0</v>
      </c>
      <c r="AR391" s="54">
        <f>Assumptions!AM$60</f>
        <v>0</v>
      </c>
      <c r="AS391" s="54">
        <f>Assumptions!AN$60</f>
        <v>0</v>
      </c>
      <c r="AT391" s="54">
        <f>Assumptions!AO$60</f>
        <v>0</v>
      </c>
      <c r="AU391" s="54">
        <f>Assumptions!AP$60</f>
        <v>0</v>
      </c>
    </row>
    <row r="392" spans="1:47">
      <c r="E392" s="326"/>
      <c r="G392" s="39"/>
      <c r="H392" s="39"/>
      <c r="I392" s="39"/>
      <c r="J392" s="39"/>
      <c r="K392" s="39"/>
    </row>
    <row r="393" spans="1:47">
      <c r="E393" s="327"/>
      <c r="F393" s="28"/>
      <c r="G393" s="324" t="str">
        <f>C390&amp;" O&amp;M"</f>
        <v>Pre-Dewatering  O&amp;M</v>
      </c>
      <c r="H393" s="324"/>
      <c r="I393" s="324"/>
      <c r="J393" s="324"/>
      <c r="K393" s="324"/>
      <c r="L393" s="405" t="s">
        <v>79</v>
      </c>
      <c r="M393" s="256"/>
      <c r="N393" s="325" t="s">
        <v>490</v>
      </c>
      <c r="O393" s="311"/>
      <c r="P393" s="325" t="s">
        <v>491</v>
      </c>
      <c r="Q393" s="310"/>
      <c r="R393" s="325">
        <f>R$8</f>
        <v>2014</v>
      </c>
      <c r="S393" s="325">
        <f t="shared" ref="S393:AU393" si="278">S$8</f>
        <v>2015</v>
      </c>
      <c r="T393" s="325">
        <f t="shared" si="278"/>
        <v>2016</v>
      </c>
      <c r="U393" s="325">
        <f t="shared" si="278"/>
        <v>2017</v>
      </c>
      <c r="V393" s="325">
        <f t="shared" si="278"/>
        <v>2018</v>
      </c>
      <c r="W393" s="325">
        <f t="shared" si="278"/>
        <v>2019</v>
      </c>
      <c r="X393" s="325">
        <f t="shared" si="278"/>
        <v>2020</v>
      </c>
      <c r="Y393" s="325">
        <f t="shared" si="278"/>
        <v>2021</v>
      </c>
      <c r="Z393" s="325">
        <f t="shared" si="278"/>
        <v>2022</v>
      </c>
      <c r="AA393" s="325">
        <f t="shared" si="278"/>
        <v>2023</v>
      </c>
      <c r="AB393" s="325">
        <f t="shared" si="278"/>
        <v>2024</v>
      </c>
      <c r="AC393" s="325">
        <f t="shared" si="278"/>
        <v>2025</v>
      </c>
      <c r="AD393" s="325">
        <f t="shared" si="278"/>
        <v>2026</v>
      </c>
      <c r="AE393" s="325">
        <f t="shared" si="278"/>
        <v>2027</v>
      </c>
      <c r="AF393" s="325">
        <f t="shared" si="278"/>
        <v>2028</v>
      </c>
      <c r="AG393" s="325">
        <f t="shared" si="278"/>
        <v>2029</v>
      </c>
      <c r="AH393" s="325">
        <f t="shared" si="278"/>
        <v>2030</v>
      </c>
      <c r="AI393" s="325">
        <f t="shared" si="278"/>
        <v>2031</v>
      </c>
      <c r="AJ393" s="325">
        <f t="shared" si="278"/>
        <v>2032</v>
      </c>
      <c r="AK393" s="325">
        <f t="shared" si="278"/>
        <v>2033</v>
      </c>
      <c r="AL393" s="325">
        <f t="shared" si="278"/>
        <v>2034</v>
      </c>
      <c r="AM393" s="325">
        <f t="shared" si="278"/>
        <v>2035</v>
      </c>
      <c r="AN393" s="325">
        <f t="shared" si="278"/>
        <v>2036</v>
      </c>
      <c r="AO393" s="325">
        <f t="shared" si="278"/>
        <v>2037</v>
      </c>
      <c r="AP393" s="325">
        <f t="shared" si="278"/>
        <v>2038</v>
      </c>
      <c r="AQ393" s="325">
        <f t="shared" si="278"/>
        <v>2039</v>
      </c>
      <c r="AR393" s="325">
        <f t="shared" si="278"/>
        <v>2040</v>
      </c>
      <c r="AS393" s="325">
        <f t="shared" si="278"/>
        <v>2041</v>
      </c>
      <c r="AT393" s="325">
        <f t="shared" si="278"/>
        <v>2042</v>
      </c>
      <c r="AU393" s="325">
        <f t="shared" si="278"/>
        <v>2043</v>
      </c>
    </row>
    <row r="394" spans="1:47">
      <c r="E394" s="325"/>
      <c r="G394" s="39"/>
      <c r="H394" s="39"/>
      <c r="I394" s="39"/>
      <c r="J394" s="39"/>
      <c r="K394" s="39"/>
    </row>
    <row r="395" spans="1:47">
      <c r="E395" s="325"/>
      <c r="G395" s="39" t="s">
        <v>23</v>
      </c>
      <c r="H395" s="39"/>
      <c r="I395" s="39"/>
      <c r="J395" s="39"/>
      <c r="K395" s="39"/>
    </row>
    <row r="396" spans="1:47">
      <c r="A396" s="38" t="str">
        <f t="shared" ref="A396:A403" si="279">$J$4&amp;"-"</f>
        <v>2Y-</v>
      </c>
      <c r="B396" s="38" t="s">
        <v>262</v>
      </c>
      <c r="C396" s="38" t="str">
        <f>C390</f>
        <v xml:space="preserve">Pre-Dewatering </v>
      </c>
      <c r="D396" s="186">
        <f>LaborEsc</f>
        <v>0.02</v>
      </c>
      <c r="E396" s="325"/>
      <c r="G396" s="36" t="s">
        <v>125</v>
      </c>
      <c r="I396" s="39"/>
      <c r="K396" s="39"/>
      <c r="L396" s="43" t="s">
        <v>266</v>
      </c>
      <c r="N396" s="70">
        <f ca="1">SUMIFS(OFFSET(Assumptions!$I$90,0,MATCH($A396,Configurations,0)-1,COUNT(Assumptions!$A$90:$A$183),1),Assumptions!$D$90:$D$183,$B396&amp;$C396)</f>
        <v>0</v>
      </c>
      <c r="O396" s="313"/>
      <c r="P396" s="323"/>
      <c r="Q396" s="313"/>
      <c r="R396" s="50">
        <f t="shared" ref="R396:AU396" ca="1" si="280">IF(OR(R$99&lt;InServiceYr,R$99&gt;(InServiceYr+analysis_period-1)),0,IF($P396=0,$N396,$P396)*LaborCost*(1+$D396)^(R$99-CostBaseYr))</f>
        <v>0</v>
      </c>
      <c r="S396" s="50">
        <f t="shared" ca="1" si="280"/>
        <v>0</v>
      </c>
      <c r="T396" s="50">
        <f t="shared" ca="1" si="280"/>
        <v>0</v>
      </c>
      <c r="U396" s="50">
        <f t="shared" ca="1" si="280"/>
        <v>0</v>
      </c>
      <c r="V396" s="50">
        <f t="shared" ca="1" si="280"/>
        <v>0</v>
      </c>
      <c r="W396" s="50">
        <f t="shared" ca="1" si="280"/>
        <v>0</v>
      </c>
      <c r="X396" s="50">
        <f t="shared" ca="1" si="280"/>
        <v>0</v>
      </c>
      <c r="Y396" s="50">
        <f t="shared" ca="1" si="280"/>
        <v>0</v>
      </c>
      <c r="Z396" s="50">
        <f t="shared" ca="1" si="280"/>
        <v>0</v>
      </c>
      <c r="AA396" s="50">
        <f t="shared" ca="1" si="280"/>
        <v>0</v>
      </c>
      <c r="AB396" s="50">
        <f t="shared" ca="1" si="280"/>
        <v>0</v>
      </c>
      <c r="AC396" s="50">
        <f t="shared" ca="1" si="280"/>
        <v>0</v>
      </c>
      <c r="AD396" s="50">
        <f t="shared" ca="1" si="280"/>
        <v>0</v>
      </c>
      <c r="AE396" s="50">
        <f t="shared" ca="1" si="280"/>
        <v>0</v>
      </c>
      <c r="AF396" s="50">
        <f t="shared" ca="1" si="280"/>
        <v>0</v>
      </c>
      <c r="AG396" s="50">
        <f t="shared" ca="1" si="280"/>
        <v>0</v>
      </c>
      <c r="AH396" s="50">
        <f t="shared" ca="1" si="280"/>
        <v>0</v>
      </c>
      <c r="AI396" s="50">
        <f t="shared" ca="1" si="280"/>
        <v>0</v>
      </c>
      <c r="AJ396" s="50">
        <f t="shared" ca="1" si="280"/>
        <v>0</v>
      </c>
      <c r="AK396" s="50">
        <f t="shared" ca="1" si="280"/>
        <v>0</v>
      </c>
      <c r="AL396" s="50">
        <f t="shared" si="280"/>
        <v>0</v>
      </c>
      <c r="AM396" s="50">
        <f t="shared" si="280"/>
        <v>0</v>
      </c>
      <c r="AN396" s="50">
        <f t="shared" si="280"/>
        <v>0</v>
      </c>
      <c r="AO396" s="50">
        <f t="shared" si="280"/>
        <v>0</v>
      </c>
      <c r="AP396" s="50">
        <f t="shared" si="280"/>
        <v>0</v>
      </c>
      <c r="AQ396" s="50">
        <f t="shared" si="280"/>
        <v>0</v>
      </c>
      <c r="AR396" s="50">
        <f t="shared" si="280"/>
        <v>0</v>
      </c>
      <c r="AS396" s="50">
        <f t="shared" si="280"/>
        <v>0</v>
      </c>
      <c r="AT396" s="50">
        <f t="shared" si="280"/>
        <v>0</v>
      </c>
      <c r="AU396" s="50">
        <f t="shared" si="280"/>
        <v>0</v>
      </c>
    </row>
    <row r="397" spans="1:47">
      <c r="A397" s="38" t="str">
        <f t="shared" si="279"/>
        <v>2Y-</v>
      </c>
      <c r="B397" s="38" t="s">
        <v>270</v>
      </c>
      <c r="C397" s="38" t="str">
        <f>C396</f>
        <v xml:space="preserve">Pre-Dewatering </v>
      </c>
      <c r="D397" s="186">
        <f>OMEsc</f>
        <v>0.02</v>
      </c>
      <c r="E397" s="325"/>
      <c r="G397" s="36" t="s">
        <v>126</v>
      </c>
      <c r="I397" s="39"/>
      <c r="K397" s="39"/>
      <c r="L397" s="43" t="str">
        <f>"["&amp;CostBaseYr&amp;" $]"</f>
        <v>[2013 $]</v>
      </c>
      <c r="N397" s="70">
        <f ca="1">SUMIFS(OFFSET(Assumptions!$I$90,0,MATCH($A397,Configurations,0)-1,COUNT(Assumptions!$A$90:$A$183),1),Assumptions!$D$90:$D$183,$B397&amp;$C397)</f>
        <v>0</v>
      </c>
      <c r="O397" s="313"/>
      <c r="P397" s="323"/>
      <c r="Q397" s="313"/>
      <c r="R397" s="50">
        <f t="shared" ref="R397:AG399" ca="1" si="281">IF(OR(R$99&lt;InServiceYr,R$99&gt;(InServiceYr+analysis_period-1)),0,IF($P397=0,$N397,$P397)*(1+$D397)^(R$99-CostBaseYr))</f>
        <v>0</v>
      </c>
      <c r="S397" s="50">
        <f t="shared" ca="1" si="281"/>
        <v>0</v>
      </c>
      <c r="T397" s="50">
        <f t="shared" ca="1" si="281"/>
        <v>0</v>
      </c>
      <c r="U397" s="50">
        <f t="shared" ca="1" si="281"/>
        <v>0</v>
      </c>
      <c r="V397" s="50">
        <f t="shared" ca="1" si="281"/>
        <v>0</v>
      </c>
      <c r="W397" s="50">
        <f t="shared" ca="1" si="281"/>
        <v>0</v>
      </c>
      <c r="X397" s="50">
        <f t="shared" ca="1" si="281"/>
        <v>0</v>
      </c>
      <c r="Y397" s="50">
        <f t="shared" ca="1" si="281"/>
        <v>0</v>
      </c>
      <c r="Z397" s="50">
        <f t="shared" ca="1" si="281"/>
        <v>0</v>
      </c>
      <c r="AA397" s="50">
        <f t="shared" ca="1" si="281"/>
        <v>0</v>
      </c>
      <c r="AB397" s="50">
        <f t="shared" ca="1" si="281"/>
        <v>0</v>
      </c>
      <c r="AC397" s="50">
        <f t="shared" ca="1" si="281"/>
        <v>0</v>
      </c>
      <c r="AD397" s="50">
        <f t="shared" ca="1" si="281"/>
        <v>0</v>
      </c>
      <c r="AE397" s="50">
        <f t="shared" ca="1" si="281"/>
        <v>0</v>
      </c>
      <c r="AF397" s="50">
        <f t="shared" ca="1" si="281"/>
        <v>0</v>
      </c>
      <c r="AG397" s="50">
        <f t="shared" ca="1" si="281"/>
        <v>0</v>
      </c>
      <c r="AH397" s="50">
        <f t="shared" ref="S397:AU399" ca="1" si="282">IF(OR(AH$99&lt;InServiceYr,AH$99&gt;(InServiceYr+analysis_period-1)),0,IF($P397=0,$N397,$P397)*(1+$D397)^(AH$99-CostBaseYr))</f>
        <v>0</v>
      </c>
      <c r="AI397" s="50">
        <f t="shared" ca="1" si="282"/>
        <v>0</v>
      </c>
      <c r="AJ397" s="50">
        <f t="shared" ca="1" si="282"/>
        <v>0</v>
      </c>
      <c r="AK397" s="50">
        <f t="shared" ca="1" si="282"/>
        <v>0</v>
      </c>
      <c r="AL397" s="50">
        <f t="shared" si="282"/>
        <v>0</v>
      </c>
      <c r="AM397" s="50">
        <f t="shared" si="282"/>
        <v>0</v>
      </c>
      <c r="AN397" s="50">
        <f t="shared" si="282"/>
        <v>0</v>
      </c>
      <c r="AO397" s="50">
        <f t="shared" si="282"/>
        <v>0</v>
      </c>
      <c r="AP397" s="50">
        <f t="shared" si="282"/>
        <v>0</v>
      </c>
      <c r="AQ397" s="50">
        <f t="shared" si="282"/>
        <v>0</v>
      </c>
      <c r="AR397" s="50">
        <f t="shared" si="282"/>
        <v>0</v>
      </c>
      <c r="AS397" s="50">
        <f t="shared" si="282"/>
        <v>0</v>
      </c>
      <c r="AT397" s="50">
        <f t="shared" si="282"/>
        <v>0</v>
      </c>
      <c r="AU397" s="50">
        <f t="shared" si="282"/>
        <v>0</v>
      </c>
    </row>
    <row r="398" spans="1:47">
      <c r="A398" s="38" t="str">
        <f t="shared" si="279"/>
        <v>2Y-</v>
      </c>
      <c r="B398" s="38" t="s">
        <v>263</v>
      </c>
      <c r="C398" s="38" t="str">
        <f t="shared" ref="C398:C402" si="283">C397</f>
        <v xml:space="preserve">Pre-Dewatering </v>
      </c>
      <c r="D398" s="186">
        <f>OMEsc</f>
        <v>0.02</v>
      </c>
      <c r="E398" s="325"/>
      <c r="G398" s="36" t="s">
        <v>127</v>
      </c>
      <c r="I398" s="39"/>
      <c r="K398" s="39"/>
      <c r="L398" s="43" t="str">
        <f>"["&amp;CostBaseYr&amp;" $]"</f>
        <v>[2013 $]</v>
      </c>
      <c r="N398" s="70">
        <f ca="1">SUMIFS(OFFSET(Assumptions!$I$90,0,MATCH($A398,Configurations,0)-1,COUNT(Assumptions!$A$90:$A$183),1),Assumptions!$D$90:$D$183,$B398&amp;$C398)</f>
        <v>0</v>
      </c>
      <c r="O398" s="313"/>
      <c r="P398" s="323"/>
      <c r="Q398" s="313"/>
      <c r="R398" s="50">
        <f t="shared" ca="1" si="281"/>
        <v>0</v>
      </c>
      <c r="S398" s="50">
        <f t="shared" ca="1" si="282"/>
        <v>0</v>
      </c>
      <c r="T398" s="50">
        <f t="shared" ca="1" si="282"/>
        <v>0</v>
      </c>
      <c r="U398" s="50">
        <f t="shared" ca="1" si="282"/>
        <v>0</v>
      </c>
      <c r="V398" s="50">
        <f t="shared" ca="1" si="282"/>
        <v>0</v>
      </c>
      <c r="W398" s="50">
        <f t="shared" ca="1" si="282"/>
        <v>0</v>
      </c>
      <c r="X398" s="50">
        <f t="shared" ca="1" si="282"/>
        <v>0</v>
      </c>
      <c r="Y398" s="50">
        <f t="shared" ca="1" si="282"/>
        <v>0</v>
      </c>
      <c r="Z398" s="50">
        <f t="shared" ca="1" si="282"/>
        <v>0</v>
      </c>
      <c r="AA398" s="50">
        <f t="shared" ca="1" si="282"/>
        <v>0</v>
      </c>
      <c r="AB398" s="50">
        <f t="shared" ca="1" si="282"/>
        <v>0</v>
      </c>
      <c r="AC398" s="50">
        <f t="shared" ca="1" si="282"/>
        <v>0</v>
      </c>
      <c r="AD398" s="50">
        <f t="shared" ca="1" si="282"/>
        <v>0</v>
      </c>
      <c r="AE398" s="50">
        <f t="shared" ca="1" si="282"/>
        <v>0</v>
      </c>
      <c r="AF398" s="50">
        <f t="shared" ca="1" si="282"/>
        <v>0</v>
      </c>
      <c r="AG398" s="50">
        <f t="shared" ca="1" si="282"/>
        <v>0</v>
      </c>
      <c r="AH398" s="50">
        <f t="shared" ca="1" si="282"/>
        <v>0</v>
      </c>
      <c r="AI398" s="50">
        <f t="shared" ca="1" si="282"/>
        <v>0</v>
      </c>
      <c r="AJ398" s="50">
        <f t="shared" ca="1" si="282"/>
        <v>0</v>
      </c>
      <c r="AK398" s="50">
        <f t="shared" ca="1" si="282"/>
        <v>0</v>
      </c>
      <c r="AL398" s="50">
        <f t="shared" si="282"/>
        <v>0</v>
      </c>
      <c r="AM398" s="50">
        <f t="shared" si="282"/>
        <v>0</v>
      </c>
      <c r="AN398" s="50">
        <f t="shared" si="282"/>
        <v>0</v>
      </c>
      <c r="AO398" s="50">
        <f t="shared" si="282"/>
        <v>0</v>
      </c>
      <c r="AP398" s="50">
        <f t="shared" si="282"/>
        <v>0</v>
      </c>
      <c r="AQ398" s="50">
        <f t="shared" si="282"/>
        <v>0</v>
      </c>
      <c r="AR398" s="50">
        <f t="shared" si="282"/>
        <v>0</v>
      </c>
      <c r="AS398" s="50">
        <f t="shared" si="282"/>
        <v>0</v>
      </c>
      <c r="AT398" s="50">
        <f t="shared" si="282"/>
        <v>0</v>
      </c>
      <c r="AU398" s="50">
        <f t="shared" si="282"/>
        <v>0</v>
      </c>
    </row>
    <row r="399" spans="1:47">
      <c r="A399" s="38" t="str">
        <f t="shared" si="279"/>
        <v>2Y-</v>
      </c>
      <c r="B399" s="38" t="s">
        <v>277</v>
      </c>
      <c r="C399" s="38" t="str">
        <f t="shared" si="283"/>
        <v xml:space="preserve">Pre-Dewatering </v>
      </c>
      <c r="D399" s="186">
        <f>OMEsc</f>
        <v>0.02</v>
      </c>
      <c r="E399" s="325"/>
      <c r="G399" s="36" t="s">
        <v>276</v>
      </c>
      <c r="I399" s="39"/>
      <c r="K399" s="39"/>
      <c r="L399" s="43" t="str">
        <f>"["&amp;CostBaseYr&amp;" $]"</f>
        <v>[2013 $]</v>
      </c>
      <c r="N399" s="70">
        <f ca="1">SUMIFS(OFFSET(Assumptions!$I$90,0,MATCH($A399,Configurations,0)-1,COUNT(Assumptions!$A$90:$A$183),1),Assumptions!$D$90:$D$183,$B399&amp;$C399)</f>
        <v>0</v>
      </c>
      <c r="O399" s="313"/>
      <c r="P399" s="323"/>
      <c r="Q399" s="313"/>
      <c r="R399" s="50">
        <f t="shared" ca="1" si="281"/>
        <v>0</v>
      </c>
      <c r="S399" s="50">
        <f t="shared" ca="1" si="282"/>
        <v>0</v>
      </c>
      <c r="T399" s="50">
        <f t="shared" ca="1" si="282"/>
        <v>0</v>
      </c>
      <c r="U399" s="50">
        <f t="shared" ca="1" si="282"/>
        <v>0</v>
      </c>
      <c r="V399" s="50">
        <f t="shared" ca="1" si="282"/>
        <v>0</v>
      </c>
      <c r="W399" s="50">
        <f t="shared" ca="1" si="282"/>
        <v>0</v>
      </c>
      <c r="X399" s="50">
        <f t="shared" ca="1" si="282"/>
        <v>0</v>
      </c>
      <c r="Y399" s="50">
        <f t="shared" ca="1" si="282"/>
        <v>0</v>
      </c>
      <c r="Z399" s="50">
        <f t="shared" ca="1" si="282"/>
        <v>0</v>
      </c>
      <c r="AA399" s="50">
        <f t="shared" ca="1" si="282"/>
        <v>0</v>
      </c>
      <c r="AB399" s="50">
        <f t="shared" ca="1" si="282"/>
        <v>0</v>
      </c>
      <c r="AC399" s="50">
        <f t="shared" ca="1" si="282"/>
        <v>0</v>
      </c>
      <c r="AD399" s="50">
        <f t="shared" ca="1" si="282"/>
        <v>0</v>
      </c>
      <c r="AE399" s="50">
        <f t="shared" ca="1" si="282"/>
        <v>0</v>
      </c>
      <c r="AF399" s="50">
        <f t="shared" ca="1" si="282"/>
        <v>0</v>
      </c>
      <c r="AG399" s="50">
        <f t="shared" ca="1" si="282"/>
        <v>0</v>
      </c>
      <c r="AH399" s="50">
        <f t="shared" ca="1" si="282"/>
        <v>0</v>
      </c>
      <c r="AI399" s="50">
        <f t="shared" ca="1" si="282"/>
        <v>0</v>
      </c>
      <c r="AJ399" s="50">
        <f t="shared" ca="1" si="282"/>
        <v>0</v>
      </c>
      <c r="AK399" s="50">
        <f t="shared" ca="1" si="282"/>
        <v>0</v>
      </c>
      <c r="AL399" s="50">
        <f t="shared" si="282"/>
        <v>0</v>
      </c>
      <c r="AM399" s="50">
        <f t="shared" si="282"/>
        <v>0</v>
      </c>
      <c r="AN399" s="50">
        <f t="shared" si="282"/>
        <v>0</v>
      </c>
      <c r="AO399" s="50">
        <f t="shared" si="282"/>
        <v>0</v>
      </c>
      <c r="AP399" s="50">
        <f t="shared" si="282"/>
        <v>0</v>
      </c>
      <c r="AQ399" s="50">
        <f t="shared" si="282"/>
        <v>0</v>
      </c>
      <c r="AR399" s="50">
        <f t="shared" si="282"/>
        <v>0</v>
      </c>
      <c r="AS399" s="50">
        <f t="shared" si="282"/>
        <v>0</v>
      </c>
      <c r="AT399" s="50">
        <f t="shared" si="282"/>
        <v>0</v>
      </c>
      <c r="AU399" s="50">
        <f t="shared" si="282"/>
        <v>0</v>
      </c>
    </row>
    <row r="400" spans="1:47">
      <c r="A400" s="38" t="str">
        <f t="shared" si="279"/>
        <v>2Y-</v>
      </c>
      <c r="B400" s="38" t="s">
        <v>274</v>
      </c>
      <c r="C400" s="38" t="str">
        <f t="shared" si="283"/>
        <v xml:space="preserve">Pre-Dewatering </v>
      </c>
      <c r="D400" s="186"/>
      <c r="E400" s="325"/>
      <c r="G400" s="36" t="s">
        <v>16</v>
      </c>
      <c r="I400" s="39"/>
      <c r="K400" s="39"/>
      <c r="L400" s="43" t="s">
        <v>275</v>
      </c>
      <c r="N400" s="70">
        <f ca="1">SUMIFS(OFFSET(Assumptions!$I$90,0,MATCH($A400,Configurations,0)-1,COUNT(Assumptions!$A$90:$A$183),1),Assumptions!$D$90:$D$183,$B400&amp;$C400)</f>
        <v>0</v>
      </c>
      <c r="O400" s="313"/>
      <c r="P400" s="323"/>
      <c r="Q400" s="313"/>
      <c r="R400" s="50">
        <f t="shared" ref="R400:AU400" ca="1" si="284">IF(OR(R$99&lt;InServiceYr,R$99&gt;(InServiceYr+analysis_period-1)),0,IF($P400=0,$N400,$P400)*R$505)</f>
        <v>0</v>
      </c>
      <c r="S400" s="50">
        <f t="shared" ca="1" si="284"/>
        <v>0</v>
      </c>
      <c r="T400" s="50">
        <f t="shared" ca="1" si="284"/>
        <v>0</v>
      </c>
      <c r="U400" s="50">
        <f t="shared" ca="1" si="284"/>
        <v>0</v>
      </c>
      <c r="V400" s="50">
        <f t="shared" ca="1" si="284"/>
        <v>0</v>
      </c>
      <c r="W400" s="50">
        <f t="shared" ca="1" si="284"/>
        <v>0</v>
      </c>
      <c r="X400" s="50">
        <f t="shared" ca="1" si="284"/>
        <v>0</v>
      </c>
      <c r="Y400" s="50">
        <f t="shared" ca="1" si="284"/>
        <v>0</v>
      </c>
      <c r="Z400" s="50">
        <f t="shared" ca="1" si="284"/>
        <v>0</v>
      </c>
      <c r="AA400" s="50">
        <f t="shared" ca="1" si="284"/>
        <v>0</v>
      </c>
      <c r="AB400" s="50">
        <f t="shared" ca="1" si="284"/>
        <v>0</v>
      </c>
      <c r="AC400" s="50">
        <f t="shared" ca="1" si="284"/>
        <v>0</v>
      </c>
      <c r="AD400" s="50">
        <f t="shared" ca="1" si="284"/>
        <v>0</v>
      </c>
      <c r="AE400" s="50">
        <f t="shared" ca="1" si="284"/>
        <v>0</v>
      </c>
      <c r="AF400" s="50">
        <f t="shared" ca="1" si="284"/>
        <v>0</v>
      </c>
      <c r="AG400" s="50">
        <f t="shared" ca="1" si="284"/>
        <v>0</v>
      </c>
      <c r="AH400" s="50">
        <f t="shared" ca="1" si="284"/>
        <v>0</v>
      </c>
      <c r="AI400" s="50">
        <f t="shared" ca="1" si="284"/>
        <v>0</v>
      </c>
      <c r="AJ400" s="50">
        <f t="shared" ca="1" si="284"/>
        <v>0</v>
      </c>
      <c r="AK400" s="50">
        <f t="shared" ca="1" si="284"/>
        <v>0</v>
      </c>
      <c r="AL400" s="50">
        <f t="shared" si="284"/>
        <v>0</v>
      </c>
      <c r="AM400" s="50">
        <f t="shared" si="284"/>
        <v>0</v>
      </c>
      <c r="AN400" s="50">
        <f t="shared" si="284"/>
        <v>0</v>
      </c>
      <c r="AO400" s="50">
        <f t="shared" si="284"/>
        <v>0</v>
      </c>
      <c r="AP400" s="50">
        <f t="shared" si="284"/>
        <v>0</v>
      </c>
      <c r="AQ400" s="50">
        <f t="shared" si="284"/>
        <v>0</v>
      </c>
      <c r="AR400" s="50">
        <f t="shared" si="284"/>
        <v>0</v>
      </c>
      <c r="AS400" s="50">
        <f t="shared" si="284"/>
        <v>0</v>
      </c>
      <c r="AT400" s="50">
        <f t="shared" si="284"/>
        <v>0</v>
      </c>
      <c r="AU400" s="50">
        <f t="shared" si="284"/>
        <v>0</v>
      </c>
    </row>
    <row r="401" spans="1:47">
      <c r="A401" s="38" t="str">
        <f t="shared" si="279"/>
        <v>2Y-</v>
      </c>
      <c r="B401" s="38" t="s">
        <v>257</v>
      </c>
      <c r="C401" s="38" t="str">
        <f t="shared" si="283"/>
        <v xml:space="preserve">Pre-Dewatering </v>
      </c>
      <c r="D401" s="186"/>
      <c r="E401" s="325"/>
      <c r="G401" s="36" t="s">
        <v>284</v>
      </c>
      <c r="I401" s="39"/>
      <c r="K401" s="39"/>
      <c r="L401" s="43" t="s">
        <v>293</v>
      </c>
      <c r="N401" s="70">
        <f ca="1">SUMIFS(OFFSET(Assumptions!$I$90,0,MATCH($A401,Configurations,0)-1,COUNT(Assumptions!$A$90:$A$183),1),Assumptions!$D$90:$D$183,$B401&amp;$C401)</f>
        <v>0</v>
      </c>
      <c r="O401" s="313"/>
      <c r="P401" s="323"/>
      <c r="Q401" s="313"/>
      <c r="R401" s="50">
        <f t="shared" ref="R401:AU401" ca="1" si="285">IF(OR(R$99&lt;InServiceYr,R$99&gt;(InServiceYr+analysis_period-1)),0,IF($P401=0,$N401,$P401)*R$501)</f>
        <v>0</v>
      </c>
      <c r="S401" s="50">
        <f t="shared" ca="1" si="285"/>
        <v>0</v>
      </c>
      <c r="T401" s="50">
        <f t="shared" ca="1" si="285"/>
        <v>0</v>
      </c>
      <c r="U401" s="50">
        <f t="shared" ca="1" si="285"/>
        <v>0</v>
      </c>
      <c r="V401" s="50">
        <f t="shared" ca="1" si="285"/>
        <v>0</v>
      </c>
      <c r="W401" s="50">
        <f t="shared" ca="1" si="285"/>
        <v>0</v>
      </c>
      <c r="X401" s="50">
        <f t="shared" ca="1" si="285"/>
        <v>0</v>
      </c>
      <c r="Y401" s="50">
        <f t="shared" ca="1" si="285"/>
        <v>0</v>
      </c>
      <c r="Z401" s="50">
        <f t="shared" ca="1" si="285"/>
        <v>0</v>
      </c>
      <c r="AA401" s="50">
        <f t="shared" ca="1" si="285"/>
        <v>0</v>
      </c>
      <c r="AB401" s="50">
        <f t="shared" ca="1" si="285"/>
        <v>0</v>
      </c>
      <c r="AC401" s="50">
        <f t="shared" ca="1" si="285"/>
        <v>0</v>
      </c>
      <c r="AD401" s="50">
        <f t="shared" ca="1" si="285"/>
        <v>0</v>
      </c>
      <c r="AE401" s="50">
        <f t="shared" ca="1" si="285"/>
        <v>0</v>
      </c>
      <c r="AF401" s="50">
        <f t="shared" ca="1" si="285"/>
        <v>0</v>
      </c>
      <c r="AG401" s="50">
        <f t="shared" ca="1" si="285"/>
        <v>0</v>
      </c>
      <c r="AH401" s="50">
        <f t="shared" ca="1" si="285"/>
        <v>0</v>
      </c>
      <c r="AI401" s="50">
        <f t="shared" ca="1" si="285"/>
        <v>0</v>
      </c>
      <c r="AJ401" s="50">
        <f t="shared" ca="1" si="285"/>
        <v>0</v>
      </c>
      <c r="AK401" s="50">
        <f t="shared" ca="1" si="285"/>
        <v>0</v>
      </c>
      <c r="AL401" s="50">
        <f t="shared" si="285"/>
        <v>0</v>
      </c>
      <c r="AM401" s="50">
        <f t="shared" si="285"/>
        <v>0</v>
      </c>
      <c r="AN401" s="50">
        <f t="shared" si="285"/>
        <v>0</v>
      </c>
      <c r="AO401" s="50">
        <f t="shared" si="285"/>
        <v>0</v>
      </c>
      <c r="AP401" s="50">
        <f t="shared" si="285"/>
        <v>0</v>
      </c>
      <c r="AQ401" s="50">
        <f t="shared" si="285"/>
        <v>0</v>
      </c>
      <c r="AR401" s="50">
        <f t="shared" si="285"/>
        <v>0</v>
      </c>
      <c r="AS401" s="50">
        <f t="shared" si="285"/>
        <v>0</v>
      </c>
      <c r="AT401" s="50">
        <f t="shared" si="285"/>
        <v>0</v>
      </c>
      <c r="AU401" s="50">
        <f t="shared" si="285"/>
        <v>0</v>
      </c>
    </row>
    <row r="402" spans="1:47">
      <c r="A402" s="38" t="str">
        <f t="shared" si="279"/>
        <v>2Y-</v>
      </c>
      <c r="B402" s="38" t="s">
        <v>864</v>
      </c>
      <c r="C402" s="38" t="str">
        <f t="shared" si="283"/>
        <v xml:space="preserve">Pre-Dewatering </v>
      </c>
      <c r="D402" s="186">
        <f>GHGEsc</f>
        <v>0.02</v>
      </c>
      <c r="E402" s="325"/>
      <c r="G402" s="36" t="s">
        <v>865</v>
      </c>
      <c r="I402" s="39"/>
      <c r="K402" s="39"/>
      <c r="L402" s="43" t="s">
        <v>866</v>
      </c>
      <c r="N402" s="70">
        <f ca="1">SUMIFS(OFFSET(Assumptions!$I$90,0,MATCH($A402,Configurations,0)-1,COUNT(Assumptions!$A$90:$A$183),1),Assumptions!$D$90:$D$183,$B402&amp;$C402)</f>
        <v>0</v>
      </c>
      <c r="O402" s="313"/>
      <c r="P402" s="323"/>
      <c r="Q402" s="313"/>
      <c r="R402" s="50">
        <f t="shared" ref="R402:AU402" ca="1" si="286">IF(OR(R$99&lt;InServiceYr,R$99&gt;(InServiceYr+analysis_period-1)),0,IF($P402=0,$N402,$P402)*R$513)</f>
        <v>0</v>
      </c>
      <c r="S402" s="50">
        <f t="shared" ca="1" si="286"/>
        <v>0</v>
      </c>
      <c r="T402" s="50">
        <f t="shared" ca="1" si="286"/>
        <v>0</v>
      </c>
      <c r="U402" s="50">
        <f t="shared" ca="1" si="286"/>
        <v>0</v>
      </c>
      <c r="V402" s="50">
        <f t="shared" ca="1" si="286"/>
        <v>0</v>
      </c>
      <c r="W402" s="50">
        <f t="shared" ca="1" si="286"/>
        <v>0</v>
      </c>
      <c r="X402" s="50">
        <f t="shared" ca="1" si="286"/>
        <v>0</v>
      </c>
      <c r="Y402" s="50">
        <f t="shared" ca="1" si="286"/>
        <v>0</v>
      </c>
      <c r="Z402" s="50">
        <f t="shared" ca="1" si="286"/>
        <v>0</v>
      </c>
      <c r="AA402" s="50">
        <f t="shared" ca="1" si="286"/>
        <v>0</v>
      </c>
      <c r="AB402" s="50">
        <f t="shared" ca="1" si="286"/>
        <v>0</v>
      </c>
      <c r="AC402" s="50">
        <f t="shared" ca="1" si="286"/>
        <v>0</v>
      </c>
      <c r="AD402" s="50">
        <f t="shared" ca="1" si="286"/>
        <v>0</v>
      </c>
      <c r="AE402" s="50">
        <f t="shared" ca="1" si="286"/>
        <v>0</v>
      </c>
      <c r="AF402" s="50">
        <f t="shared" ca="1" si="286"/>
        <v>0</v>
      </c>
      <c r="AG402" s="50">
        <f t="shared" ca="1" si="286"/>
        <v>0</v>
      </c>
      <c r="AH402" s="50">
        <f t="shared" ca="1" si="286"/>
        <v>0</v>
      </c>
      <c r="AI402" s="50">
        <f t="shared" ca="1" si="286"/>
        <v>0</v>
      </c>
      <c r="AJ402" s="50">
        <f t="shared" ca="1" si="286"/>
        <v>0</v>
      </c>
      <c r="AK402" s="50">
        <f t="shared" ca="1" si="286"/>
        <v>0</v>
      </c>
      <c r="AL402" s="50">
        <f t="shared" si="286"/>
        <v>0</v>
      </c>
      <c r="AM402" s="50">
        <f t="shared" si="286"/>
        <v>0</v>
      </c>
      <c r="AN402" s="50">
        <f t="shared" si="286"/>
        <v>0</v>
      </c>
      <c r="AO402" s="50">
        <f t="shared" si="286"/>
        <v>0</v>
      </c>
      <c r="AP402" s="50">
        <f t="shared" si="286"/>
        <v>0</v>
      </c>
      <c r="AQ402" s="50">
        <f t="shared" si="286"/>
        <v>0</v>
      </c>
      <c r="AR402" s="50">
        <f t="shared" si="286"/>
        <v>0</v>
      </c>
      <c r="AS402" s="50">
        <f t="shared" si="286"/>
        <v>0</v>
      </c>
      <c r="AT402" s="50">
        <f t="shared" si="286"/>
        <v>0</v>
      </c>
      <c r="AU402" s="50">
        <f t="shared" si="286"/>
        <v>0</v>
      </c>
    </row>
    <row r="403" spans="1:47">
      <c r="A403" s="38" t="str">
        <f t="shared" si="279"/>
        <v>2Y-</v>
      </c>
      <c r="B403" s="38" t="s">
        <v>273</v>
      </c>
      <c r="C403" s="38" t="str">
        <f>C401</f>
        <v xml:space="preserve">Pre-Dewatering </v>
      </c>
      <c r="D403" s="186">
        <f>LaborEsc</f>
        <v>0.02</v>
      </c>
      <c r="E403" s="325"/>
      <c r="G403" s="36" t="s">
        <v>291</v>
      </c>
      <c r="I403" s="39"/>
      <c r="K403" s="39"/>
      <c r="L403" s="43" t="str">
        <f>"["&amp;CostBaseYr&amp;" $]"</f>
        <v>[2013 $]</v>
      </c>
      <c r="N403" s="70">
        <f ca="1">SUMIFS(OFFSET(Assumptions!$I$90,0,MATCH($A403,Configurations,0)-1,COUNT(Assumptions!$A$90:$A$183),1),Assumptions!$D$90:$D$183,$B403&amp;$C403)</f>
        <v>0</v>
      </c>
      <c r="O403" s="313"/>
      <c r="P403" s="323"/>
      <c r="Q403" s="313"/>
      <c r="R403" s="50">
        <f t="shared" ref="R403:AU403" ca="1" si="287">IF(OR(R$99&lt;InServiceYr,R$99&gt;(InServiceYr+analysis_period-1)),0,IF($P403=0,$N403,$P403)*(1+$D403)^(R$99-CostBaseYr))*R$509</f>
        <v>0</v>
      </c>
      <c r="S403" s="50">
        <f t="shared" ca="1" si="287"/>
        <v>0</v>
      </c>
      <c r="T403" s="50">
        <f t="shared" ca="1" si="287"/>
        <v>0</v>
      </c>
      <c r="U403" s="50">
        <f t="shared" ca="1" si="287"/>
        <v>0</v>
      </c>
      <c r="V403" s="50">
        <f t="shared" ca="1" si="287"/>
        <v>0</v>
      </c>
      <c r="W403" s="50">
        <f t="shared" ca="1" si="287"/>
        <v>0</v>
      </c>
      <c r="X403" s="50">
        <f t="shared" ca="1" si="287"/>
        <v>0</v>
      </c>
      <c r="Y403" s="50">
        <f t="shared" ca="1" si="287"/>
        <v>0</v>
      </c>
      <c r="Z403" s="50">
        <f t="shared" ca="1" si="287"/>
        <v>0</v>
      </c>
      <c r="AA403" s="50">
        <f t="shared" ca="1" si="287"/>
        <v>0</v>
      </c>
      <c r="AB403" s="50">
        <f t="shared" ca="1" si="287"/>
        <v>0</v>
      </c>
      <c r="AC403" s="50">
        <f t="shared" ca="1" si="287"/>
        <v>0</v>
      </c>
      <c r="AD403" s="50">
        <f t="shared" ca="1" si="287"/>
        <v>0</v>
      </c>
      <c r="AE403" s="50">
        <f t="shared" ca="1" si="287"/>
        <v>0</v>
      </c>
      <c r="AF403" s="50">
        <f t="shared" ca="1" si="287"/>
        <v>0</v>
      </c>
      <c r="AG403" s="50">
        <f t="shared" ca="1" si="287"/>
        <v>0</v>
      </c>
      <c r="AH403" s="50">
        <f t="shared" ca="1" si="287"/>
        <v>0</v>
      </c>
      <c r="AI403" s="50">
        <f t="shared" ca="1" si="287"/>
        <v>0</v>
      </c>
      <c r="AJ403" s="50">
        <f t="shared" ca="1" si="287"/>
        <v>0</v>
      </c>
      <c r="AK403" s="50">
        <f t="shared" ca="1" si="287"/>
        <v>0</v>
      </c>
      <c r="AL403" s="50">
        <f t="shared" si="287"/>
        <v>0</v>
      </c>
      <c r="AM403" s="50">
        <f t="shared" si="287"/>
        <v>0</v>
      </c>
      <c r="AN403" s="50">
        <f t="shared" si="287"/>
        <v>0</v>
      </c>
      <c r="AO403" s="50">
        <f t="shared" si="287"/>
        <v>0</v>
      </c>
      <c r="AP403" s="50">
        <f t="shared" si="287"/>
        <v>0</v>
      </c>
      <c r="AQ403" s="50">
        <f t="shared" si="287"/>
        <v>0</v>
      </c>
      <c r="AR403" s="50">
        <f t="shared" si="287"/>
        <v>0</v>
      </c>
      <c r="AS403" s="50">
        <f t="shared" si="287"/>
        <v>0</v>
      </c>
      <c r="AT403" s="50">
        <f t="shared" si="287"/>
        <v>0</v>
      </c>
      <c r="AU403" s="50">
        <f t="shared" si="287"/>
        <v>0</v>
      </c>
    </row>
    <row r="404" spans="1:47">
      <c r="D404" s="186"/>
      <c r="E404" s="325"/>
      <c r="G404" s="39" t="s">
        <v>304</v>
      </c>
      <c r="I404" s="39"/>
      <c r="K404" s="39"/>
      <c r="L404" s="43"/>
      <c r="N404" s="70"/>
      <c r="O404" s="313"/>
      <c r="P404" s="70"/>
      <c r="Q404" s="313"/>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row>
    <row r="405" spans="1:47">
      <c r="A405" s="38" t="str">
        <f>$J$4&amp;"-"</f>
        <v>2Y-</v>
      </c>
      <c r="B405" s="38" t="s">
        <v>265</v>
      </c>
      <c r="C405" s="38" t="str">
        <f>C396</f>
        <v xml:space="preserve">Pre-Dewatering </v>
      </c>
      <c r="D405" s="186"/>
      <c r="E405" s="325"/>
      <c r="G405" s="36" t="s">
        <v>108</v>
      </c>
      <c r="I405" s="39"/>
      <c r="K405" s="39"/>
      <c r="L405" s="43" t="s">
        <v>293</v>
      </c>
      <c r="N405" s="70">
        <f ca="1">SUMIFS(OFFSET(Assumptions!$I$90,0,MATCH($A405,Configurations,0)-1,COUNT(Assumptions!$A$90:$A$183),1),Assumptions!$D$90:$D$183,$B405&amp;$C405)</f>
        <v>0</v>
      </c>
      <c r="O405" s="313"/>
      <c r="P405" s="323"/>
      <c r="Q405" s="313"/>
      <c r="R405" s="50">
        <f t="shared" ref="R405:AU405" ca="1" si="288">IF(OR(R$99&lt;InServiceYr,R$99&gt;(InServiceYr+analysis_period-1)),0,IF($P405=0,$N405,$P405)*R$501)</f>
        <v>0</v>
      </c>
      <c r="S405" s="50">
        <f t="shared" ca="1" si="288"/>
        <v>0</v>
      </c>
      <c r="T405" s="50">
        <f t="shared" ca="1" si="288"/>
        <v>0</v>
      </c>
      <c r="U405" s="50">
        <f t="shared" ca="1" si="288"/>
        <v>0</v>
      </c>
      <c r="V405" s="50">
        <f t="shared" ca="1" si="288"/>
        <v>0</v>
      </c>
      <c r="W405" s="50">
        <f t="shared" ca="1" si="288"/>
        <v>0</v>
      </c>
      <c r="X405" s="50">
        <f t="shared" ca="1" si="288"/>
        <v>0</v>
      </c>
      <c r="Y405" s="50">
        <f t="shared" ca="1" si="288"/>
        <v>0</v>
      </c>
      <c r="Z405" s="50">
        <f t="shared" ca="1" si="288"/>
        <v>0</v>
      </c>
      <c r="AA405" s="50">
        <f t="shared" ca="1" si="288"/>
        <v>0</v>
      </c>
      <c r="AB405" s="50">
        <f t="shared" ca="1" si="288"/>
        <v>0</v>
      </c>
      <c r="AC405" s="50">
        <f t="shared" ca="1" si="288"/>
        <v>0</v>
      </c>
      <c r="AD405" s="50">
        <f t="shared" ca="1" si="288"/>
        <v>0</v>
      </c>
      <c r="AE405" s="50">
        <f t="shared" ca="1" si="288"/>
        <v>0</v>
      </c>
      <c r="AF405" s="50">
        <f t="shared" ca="1" si="288"/>
        <v>0</v>
      </c>
      <c r="AG405" s="50">
        <f t="shared" ca="1" si="288"/>
        <v>0</v>
      </c>
      <c r="AH405" s="50">
        <f t="shared" ca="1" si="288"/>
        <v>0</v>
      </c>
      <c r="AI405" s="50">
        <f t="shared" ca="1" si="288"/>
        <v>0</v>
      </c>
      <c r="AJ405" s="50">
        <f t="shared" ca="1" si="288"/>
        <v>0</v>
      </c>
      <c r="AK405" s="50">
        <f t="shared" ca="1" si="288"/>
        <v>0</v>
      </c>
      <c r="AL405" s="50">
        <f t="shared" si="288"/>
        <v>0</v>
      </c>
      <c r="AM405" s="50">
        <f t="shared" si="288"/>
        <v>0</v>
      </c>
      <c r="AN405" s="50">
        <f t="shared" si="288"/>
        <v>0</v>
      </c>
      <c r="AO405" s="50">
        <f t="shared" si="288"/>
        <v>0</v>
      </c>
      <c r="AP405" s="50">
        <f t="shared" si="288"/>
        <v>0</v>
      </c>
      <c r="AQ405" s="50">
        <f t="shared" si="288"/>
        <v>0</v>
      </c>
      <c r="AR405" s="50">
        <f t="shared" si="288"/>
        <v>0</v>
      </c>
      <c r="AS405" s="50">
        <f t="shared" si="288"/>
        <v>0</v>
      </c>
      <c r="AT405" s="50">
        <f t="shared" si="288"/>
        <v>0</v>
      </c>
      <c r="AU405" s="50">
        <f t="shared" si="288"/>
        <v>0</v>
      </c>
    </row>
    <row r="406" spans="1:47">
      <c r="A406" s="38" t="str">
        <f>$J$4&amp;"-"</f>
        <v>2Y-</v>
      </c>
      <c r="B406" s="38" t="s">
        <v>289</v>
      </c>
      <c r="C406" s="38" t="str">
        <f>C396</f>
        <v xml:space="preserve">Pre-Dewatering </v>
      </c>
      <c r="D406" s="186">
        <f>LaborEsc</f>
        <v>0.02</v>
      </c>
      <c r="E406" s="325"/>
      <c r="G406" s="36" t="s">
        <v>292</v>
      </c>
      <c r="I406" s="39"/>
      <c r="K406" s="39"/>
      <c r="L406" s="43" t="str">
        <f>"["&amp;CostBaseYr&amp;" $]"</f>
        <v>[2013 $]</v>
      </c>
      <c r="N406" s="70">
        <f ca="1">SUMIFS(OFFSET(Assumptions!$I$90,0,MATCH($A406,Configurations,0)-1,COUNT(Assumptions!$A$90:$A$183),1),Assumptions!$D$90:$D$183,$B406&amp;$C406)</f>
        <v>0</v>
      </c>
      <c r="O406" s="313"/>
      <c r="P406" s="323"/>
      <c r="Q406" s="313"/>
      <c r="R406" s="50">
        <f t="shared" ref="R406:AU406" ca="1" si="289">IF(OR(R$99&lt;InServiceYr,R$99&gt;(InServiceYr+analysis_period-1)),0,IF($P406=0,$N406,$P406)*(1+$D406)^(R$99-CostBaseYr))</f>
        <v>0</v>
      </c>
      <c r="S406" s="50">
        <f t="shared" ca="1" si="289"/>
        <v>0</v>
      </c>
      <c r="T406" s="50">
        <f t="shared" ca="1" si="289"/>
        <v>0</v>
      </c>
      <c r="U406" s="50">
        <f t="shared" ca="1" si="289"/>
        <v>0</v>
      </c>
      <c r="V406" s="50">
        <f t="shared" ca="1" si="289"/>
        <v>0</v>
      </c>
      <c r="W406" s="50">
        <f t="shared" ca="1" si="289"/>
        <v>0</v>
      </c>
      <c r="X406" s="50">
        <f t="shared" ca="1" si="289"/>
        <v>0</v>
      </c>
      <c r="Y406" s="50">
        <f t="shared" ca="1" si="289"/>
        <v>0</v>
      </c>
      <c r="Z406" s="50">
        <f t="shared" ca="1" si="289"/>
        <v>0</v>
      </c>
      <c r="AA406" s="50">
        <f t="shared" ca="1" si="289"/>
        <v>0</v>
      </c>
      <c r="AB406" s="50">
        <f t="shared" ca="1" si="289"/>
        <v>0</v>
      </c>
      <c r="AC406" s="50">
        <f t="shared" ca="1" si="289"/>
        <v>0</v>
      </c>
      <c r="AD406" s="50">
        <f t="shared" ca="1" si="289"/>
        <v>0</v>
      </c>
      <c r="AE406" s="50">
        <f t="shared" ca="1" si="289"/>
        <v>0</v>
      </c>
      <c r="AF406" s="50">
        <f t="shared" ca="1" si="289"/>
        <v>0</v>
      </c>
      <c r="AG406" s="50">
        <f t="shared" ca="1" si="289"/>
        <v>0</v>
      </c>
      <c r="AH406" s="50">
        <f t="shared" ca="1" si="289"/>
        <v>0</v>
      </c>
      <c r="AI406" s="50">
        <f t="shared" ca="1" si="289"/>
        <v>0</v>
      </c>
      <c r="AJ406" s="50">
        <f t="shared" ca="1" si="289"/>
        <v>0</v>
      </c>
      <c r="AK406" s="50">
        <f t="shared" ca="1" si="289"/>
        <v>0</v>
      </c>
      <c r="AL406" s="50">
        <f t="shared" si="289"/>
        <v>0</v>
      </c>
      <c r="AM406" s="50">
        <f t="shared" si="289"/>
        <v>0</v>
      </c>
      <c r="AN406" s="50">
        <f t="shared" si="289"/>
        <v>0</v>
      </c>
      <c r="AO406" s="50">
        <f t="shared" si="289"/>
        <v>0</v>
      </c>
      <c r="AP406" s="50">
        <f t="shared" si="289"/>
        <v>0</v>
      </c>
      <c r="AQ406" s="50">
        <f t="shared" si="289"/>
        <v>0</v>
      </c>
      <c r="AR406" s="50">
        <f t="shared" si="289"/>
        <v>0</v>
      </c>
      <c r="AS406" s="50">
        <f t="shared" si="289"/>
        <v>0</v>
      </c>
      <c r="AT406" s="50">
        <f t="shared" si="289"/>
        <v>0</v>
      </c>
      <c r="AU406" s="50">
        <f t="shared" si="289"/>
        <v>0</v>
      </c>
    </row>
    <row r="407" spans="1:47" s="60" customFormat="1">
      <c r="D407" s="187"/>
      <c r="E407" s="325"/>
      <c r="G407" s="39" t="s">
        <v>305</v>
      </c>
      <c r="I407" s="39"/>
      <c r="K407" s="39"/>
      <c r="L407" s="174"/>
      <c r="N407" s="188"/>
      <c r="O407" s="314"/>
      <c r="P407" s="185"/>
      <c r="Q407" s="314"/>
      <c r="R407" s="185">
        <f ca="1">SUM(R396:R403)-SUM(R405:R406)</f>
        <v>0</v>
      </c>
      <c r="S407" s="185">
        <f t="shared" ref="S407:AU407" ca="1" si="290">SUM(S396:S403)-SUM(S405:S406)</f>
        <v>0</v>
      </c>
      <c r="T407" s="185">
        <f t="shared" ca="1" si="290"/>
        <v>0</v>
      </c>
      <c r="U407" s="185">
        <f t="shared" ca="1" si="290"/>
        <v>0</v>
      </c>
      <c r="V407" s="185">
        <f t="shared" ca="1" si="290"/>
        <v>0</v>
      </c>
      <c r="W407" s="185">
        <f t="shared" ca="1" si="290"/>
        <v>0</v>
      </c>
      <c r="X407" s="185">
        <f t="shared" ca="1" si="290"/>
        <v>0</v>
      </c>
      <c r="Y407" s="185">
        <f t="shared" ca="1" si="290"/>
        <v>0</v>
      </c>
      <c r="Z407" s="185">
        <f t="shared" ca="1" si="290"/>
        <v>0</v>
      </c>
      <c r="AA407" s="185">
        <f t="shared" ca="1" si="290"/>
        <v>0</v>
      </c>
      <c r="AB407" s="185">
        <f t="shared" ca="1" si="290"/>
        <v>0</v>
      </c>
      <c r="AC407" s="185">
        <f t="shared" ca="1" si="290"/>
        <v>0</v>
      </c>
      <c r="AD407" s="185">
        <f t="shared" ca="1" si="290"/>
        <v>0</v>
      </c>
      <c r="AE407" s="185">
        <f t="shared" ca="1" si="290"/>
        <v>0</v>
      </c>
      <c r="AF407" s="185">
        <f t="shared" ca="1" si="290"/>
        <v>0</v>
      </c>
      <c r="AG407" s="185">
        <f t="shared" ca="1" si="290"/>
        <v>0</v>
      </c>
      <c r="AH407" s="185">
        <f t="shared" ca="1" si="290"/>
        <v>0</v>
      </c>
      <c r="AI407" s="185">
        <f t="shared" ca="1" si="290"/>
        <v>0</v>
      </c>
      <c r="AJ407" s="185">
        <f t="shared" ca="1" si="290"/>
        <v>0</v>
      </c>
      <c r="AK407" s="185">
        <f t="shared" ca="1" si="290"/>
        <v>0</v>
      </c>
      <c r="AL407" s="185">
        <f t="shared" si="290"/>
        <v>0</v>
      </c>
      <c r="AM407" s="185">
        <f t="shared" si="290"/>
        <v>0</v>
      </c>
      <c r="AN407" s="185">
        <f t="shared" si="290"/>
        <v>0</v>
      </c>
      <c r="AO407" s="185">
        <f t="shared" si="290"/>
        <v>0</v>
      </c>
      <c r="AP407" s="185">
        <f t="shared" si="290"/>
        <v>0</v>
      </c>
      <c r="AQ407" s="185">
        <f t="shared" si="290"/>
        <v>0</v>
      </c>
      <c r="AR407" s="185">
        <f t="shared" si="290"/>
        <v>0</v>
      </c>
      <c r="AS407" s="185">
        <f t="shared" si="290"/>
        <v>0</v>
      </c>
      <c r="AT407" s="185">
        <f t="shared" si="290"/>
        <v>0</v>
      </c>
      <c r="AU407" s="185">
        <f t="shared" si="290"/>
        <v>0</v>
      </c>
    </row>
    <row r="408" spans="1:47">
      <c r="E408" s="36"/>
      <c r="G408" s="39"/>
      <c r="H408" s="39"/>
      <c r="I408" s="39"/>
      <c r="J408" s="39"/>
      <c r="K408" s="39"/>
    </row>
    <row r="409" spans="1:47">
      <c r="E409" s="327"/>
      <c r="F409" s="28"/>
      <c r="G409" s="324" t="str">
        <f>C411&amp;" Capital Costs"</f>
        <v>Pre-Treatment (CAMBI) Capital Costs</v>
      </c>
      <c r="H409" s="324"/>
      <c r="I409" s="324"/>
      <c r="J409" s="324"/>
      <c r="K409" s="324"/>
      <c r="L409" s="405" t="s">
        <v>79</v>
      </c>
      <c r="M409" s="256"/>
      <c r="N409" s="325" t="s">
        <v>490</v>
      </c>
      <c r="O409" s="311"/>
      <c r="P409" s="325" t="s">
        <v>491</v>
      </c>
      <c r="Q409" s="310"/>
      <c r="R409" s="325">
        <f>R$8</f>
        <v>2014</v>
      </c>
      <c r="S409" s="325">
        <f t="shared" ref="S409:AU409" si="291">S$8</f>
        <v>2015</v>
      </c>
      <c r="T409" s="325">
        <f t="shared" si="291"/>
        <v>2016</v>
      </c>
      <c r="U409" s="325">
        <f t="shared" si="291"/>
        <v>2017</v>
      </c>
      <c r="V409" s="325">
        <f t="shared" si="291"/>
        <v>2018</v>
      </c>
      <c r="W409" s="325">
        <f t="shared" si="291"/>
        <v>2019</v>
      </c>
      <c r="X409" s="325">
        <f t="shared" si="291"/>
        <v>2020</v>
      </c>
      <c r="Y409" s="325">
        <f t="shared" si="291"/>
        <v>2021</v>
      </c>
      <c r="Z409" s="325">
        <f t="shared" si="291"/>
        <v>2022</v>
      </c>
      <c r="AA409" s="325">
        <f t="shared" si="291"/>
        <v>2023</v>
      </c>
      <c r="AB409" s="325">
        <f t="shared" si="291"/>
        <v>2024</v>
      </c>
      <c r="AC409" s="325">
        <f t="shared" si="291"/>
        <v>2025</v>
      </c>
      <c r="AD409" s="325">
        <f t="shared" si="291"/>
        <v>2026</v>
      </c>
      <c r="AE409" s="325">
        <f t="shared" si="291"/>
        <v>2027</v>
      </c>
      <c r="AF409" s="325">
        <f t="shared" si="291"/>
        <v>2028</v>
      </c>
      <c r="AG409" s="325">
        <f t="shared" si="291"/>
        <v>2029</v>
      </c>
      <c r="AH409" s="325">
        <f t="shared" si="291"/>
        <v>2030</v>
      </c>
      <c r="AI409" s="325">
        <f t="shared" si="291"/>
        <v>2031</v>
      </c>
      <c r="AJ409" s="325">
        <f t="shared" si="291"/>
        <v>2032</v>
      </c>
      <c r="AK409" s="325">
        <f t="shared" si="291"/>
        <v>2033</v>
      </c>
      <c r="AL409" s="325">
        <f t="shared" si="291"/>
        <v>2034</v>
      </c>
      <c r="AM409" s="325">
        <f t="shared" si="291"/>
        <v>2035</v>
      </c>
      <c r="AN409" s="325">
        <f t="shared" si="291"/>
        <v>2036</v>
      </c>
      <c r="AO409" s="325">
        <f t="shared" si="291"/>
        <v>2037</v>
      </c>
      <c r="AP409" s="325">
        <f t="shared" si="291"/>
        <v>2038</v>
      </c>
      <c r="AQ409" s="325">
        <f t="shared" si="291"/>
        <v>2039</v>
      </c>
      <c r="AR409" s="325">
        <f t="shared" si="291"/>
        <v>2040</v>
      </c>
      <c r="AS409" s="325">
        <f t="shared" si="291"/>
        <v>2041</v>
      </c>
      <c r="AT409" s="325">
        <f t="shared" si="291"/>
        <v>2042</v>
      </c>
      <c r="AU409" s="325">
        <f t="shared" si="291"/>
        <v>2043</v>
      </c>
    </row>
    <row r="410" spans="1:47">
      <c r="E410" s="325"/>
      <c r="G410" s="39"/>
      <c r="H410" s="39"/>
      <c r="I410" s="39"/>
      <c r="J410" s="39"/>
      <c r="K410" s="39"/>
    </row>
    <row r="411" spans="1:47">
      <c r="A411" s="38" t="str">
        <f>$J$4&amp;"-"</f>
        <v>2Y-</v>
      </c>
      <c r="B411" s="38" t="s">
        <v>306</v>
      </c>
      <c r="C411" s="38" t="s">
        <v>138</v>
      </c>
      <c r="D411" s="186">
        <f>CapExEsc</f>
        <v>0.03</v>
      </c>
      <c r="E411" s="325"/>
      <c r="G411" s="36" t="s">
        <v>8</v>
      </c>
      <c r="H411" s="39"/>
      <c r="I411" s="39"/>
      <c r="J411" s="70"/>
      <c r="K411" s="39"/>
      <c r="L411" s="43" t="str">
        <f>"["&amp;CostBaseYr&amp;" $]"</f>
        <v>[2013 $]</v>
      </c>
      <c r="N411" s="52">
        <f ca="1">SUMIFS(OFFSET(Assumptions!$I$65,0,MATCH($A411,Configurations,0)-1,COUNT(Assumptions!$A$65:$A$84),1),Assumptions!$E$65:$E$84,$C411)</f>
        <v>0</v>
      </c>
      <c r="O411" s="52"/>
      <c r="P411" s="322"/>
      <c r="Q411" s="52"/>
      <c r="R411" s="52">
        <f t="shared" ref="R411:AU411" ca="1" si="292">R412*IF($P411=0,$N411,$P411)*(1+$D411)^(R$8-CostBaseYr)</f>
        <v>0</v>
      </c>
      <c r="S411" s="52">
        <f t="shared" ca="1" si="292"/>
        <v>0</v>
      </c>
      <c r="T411" s="52">
        <f t="shared" ca="1" si="292"/>
        <v>0</v>
      </c>
      <c r="U411" s="52">
        <f t="shared" ca="1" si="292"/>
        <v>0</v>
      </c>
      <c r="V411" s="52">
        <f t="shared" ca="1" si="292"/>
        <v>0</v>
      </c>
      <c r="W411" s="52">
        <f t="shared" ca="1" si="292"/>
        <v>0</v>
      </c>
      <c r="X411" s="52">
        <f t="shared" ca="1" si="292"/>
        <v>0</v>
      </c>
      <c r="Y411" s="52">
        <f t="shared" ca="1" si="292"/>
        <v>0</v>
      </c>
      <c r="Z411" s="52">
        <f t="shared" ca="1" si="292"/>
        <v>0</v>
      </c>
      <c r="AA411" s="52">
        <f t="shared" ca="1" si="292"/>
        <v>0</v>
      </c>
      <c r="AB411" s="52">
        <f t="shared" ca="1" si="292"/>
        <v>0</v>
      </c>
      <c r="AC411" s="52">
        <f t="shared" ca="1" si="292"/>
        <v>0</v>
      </c>
      <c r="AD411" s="52">
        <f t="shared" ca="1" si="292"/>
        <v>0</v>
      </c>
      <c r="AE411" s="52">
        <f t="shared" ca="1" si="292"/>
        <v>0</v>
      </c>
      <c r="AF411" s="52">
        <f t="shared" ca="1" si="292"/>
        <v>0</v>
      </c>
      <c r="AG411" s="52">
        <f t="shared" ca="1" si="292"/>
        <v>0</v>
      </c>
      <c r="AH411" s="52">
        <f t="shared" ca="1" si="292"/>
        <v>0</v>
      </c>
      <c r="AI411" s="52">
        <f t="shared" ca="1" si="292"/>
        <v>0</v>
      </c>
      <c r="AJ411" s="52">
        <f t="shared" ca="1" si="292"/>
        <v>0</v>
      </c>
      <c r="AK411" s="52">
        <f t="shared" ca="1" si="292"/>
        <v>0</v>
      </c>
      <c r="AL411" s="52">
        <f t="shared" ca="1" si="292"/>
        <v>0</v>
      </c>
      <c r="AM411" s="52">
        <f t="shared" ca="1" si="292"/>
        <v>0</v>
      </c>
      <c r="AN411" s="52">
        <f t="shared" ca="1" si="292"/>
        <v>0</v>
      </c>
      <c r="AO411" s="52">
        <f t="shared" ca="1" si="292"/>
        <v>0</v>
      </c>
      <c r="AP411" s="52">
        <f t="shared" ca="1" si="292"/>
        <v>0</v>
      </c>
      <c r="AQ411" s="52">
        <f t="shared" ca="1" si="292"/>
        <v>0</v>
      </c>
      <c r="AR411" s="52">
        <f t="shared" ca="1" si="292"/>
        <v>0</v>
      </c>
      <c r="AS411" s="52">
        <f t="shared" ca="1" si="292"/>
        <v>0</v>
      </c>
      <c r="AT411" s="52">
        <f t="shared" ca="1" si="292"/>
        <v>0</v>
      </c>
      <c r="AU411" s="52">
        <f t="shared" ca="1" si="292"/>
        <v>0</v>
      </c>
    </row>
    <row r="412" spans="1:47">
      <c r="E412" s="325"/>
      <c r="G412" s="36" t="s">
        <v>10</v>
      </c>
      <c r="H412" s="39"/>
      <c r="I412" s="39"/>
      <c r="J412" s="39"/>
      <c r="K412" s="39"/>
      <c r="L412" s="43"/>
      <c r="R412" s="54">
        <f>Assumptions!M$60</f>
        <v>1</v>
      </c>
      <c r="S412" s="54">
        <f>Assumptions!N$60</f>
        <v>0</v>
      </c>
      <c r="T412" s="54">
        <f>Assumptions!O$60</f>
        <v>0</v>
      </c>
      <c r="U412" s="54">
        <f>Assumptions!P$60</f>
        <v>0</v>
      </c>
      <c r="V412" s="54">
        <f>Assumptions!Q$60</f>
        <v>0</v>
      </c>
      <c r="W412" s="54">
        <f>Assumptions!R$60</f>
        <v>0</v>
      </c>
      <c r="X412" s="54">
        <f>Assumptions!S$60</f>
        <v>0</v>
      </c>
      <c r="Y412" s="54">
        <f>Assumptions!T$60</f>
        <v>0</v>
      </c>
      <c r="Z412" s="54">
        <f>Assumptions!U$60</f>
        <v>0</v>
      </c>
      <c r="AA412" s="54">
        <f>Assumptions!V$60</f>
        <v>0</v>
      </c>
      <c r="AB412" s="54">
        <f>Assumptions!W$60</f>
        <v>0</v>
      </c>
      <c r="AC412" s="54">
        <f>Assumptions!X$60</f>
        <v>0</v>
      </c>
      <c r="AD412" s="54">
        <f>Assumptions!Y$60</f>
        <v>0</v>
      </c>
      <c r="AE412" s="54">
        <f>Assumptions!Z$60</f>
        <v>0</v>
      </c>
      <c r="AF412" s="54">
        <f>Assumptions!AA$60</f>
        <v>0</v>
      </c>
      <c r="AG412" s="54">
        <f>Assumptions!AB$60</f>
        <v>0</v>
      </c>
      <c r="AH412" s="54">
        <f>Assumptions!AC$60</f>
        <v>0</v>
      </c>
      <c r="AI412" s="54">
        <f>Assumptions!AD$60</f>
        <v>0</v>
      </c>
      <c r="AJ412" s="54">
        <f>Assumptions!AE$60</f>
        <v>0</v>
      </c>
      <c r="AK412" s="54">
        <f>Assumptions!AF$60</f>
        <v>0</v>
      </c>
      <c r="AL412" s="54">
        <f>Assumptions!AG$60</f>
        <v>0</v>
      </c>
      <c r="AM412" s="54">
        <f>Assumptions!AH$60</f>
        <v>0</v>
      </c>
      <c r="AN412" s="54">
        <f>Assumptions!AI$60</f>
        <v>0</v>
      </c>
      <c r="AO412" s="54">
        <f>Assumptions!AJ$60</f>
        <v>0</v>
      </c>
      <c r="AP412" s="54">
        <f>Assumptions!AK$60</f>
        <v>0</v>
      </c>
      <c r="AQ412" s="54">
        <f>Assumptions!AL$60</f>
        <v>0</v>
      </c>
      <c r="AR412" s="54">
        <f>Assumptions!AM$60</f>
        <v>0</v>
      </c>
      <c r="AS412" s="54">
        <f>Assumptions!AN$60</f>
        <v>0</v>
      </c>
      <c r="AT412" s="54">
        <f>Assumptions!AO$60</f>
        <v>0</v>
      </c>
      <c r="AU412" s="54">
        <f>Assumptions!AP$60</f>
        <v>0</v>
      </c>
    </row>
    <row r="413" spans="1:47">
      <c r="E413" s="326"/>
      <c r="G413" s="39"/>
      <c r="H413" s="39"/>
      <c r="I413" s="39"/>
      <c r="J413" s="39"/>
      <c r="K413" s="39"/>
    </row>
    <row r="414" spans="1:47">
      <c r="E414" s="327"/>
      <c r="F414" s="28"/>
      <c r="G414" s="324" t="str">
        <f>C411&amp;" O&amp;M"</f>
        <v>Pre-Treatment (CAMBI) O&amp;M</v>
      </c>
      <c r="H414" s="324"/>
      <c r="I414" s="324"/>
      <c r="J414" s="324"/>
      <c r="K414" s="324"/>
      <c r="L414" s="405" t="s">
        <v>79</v>
      </c>
      <c r="M414" s="256"/>
      <c r="N414" s="325" t="s">
        <v>490</v>
      </c>
      <c r="O414" s="311"/>
      <c r="P414" s="325" t="s">
        <v>491</v>
      </c>
      <c r="Q414" s="310"/>
      <c r="R414" s="325">
        <f>R$8</f>
        <v>2014</v>
      </c>
      <c r="S414" s="325">
        <f t="shared" ref="S414:AU414" si="293">S$8</f>
        <v>2015</v>
      </c>
      <c r="T414" s="325">
        <f t="shared" si="293"/>
        <v>2016</v>
      </c>
      <c r="U414" s="325">
        <f t="shared" si="293"/>
        <v>2017</v>
      </c>
      <c r="V414" s="325">
        <f t="shared" si="293"/>
        <v>2018</v>
      </c>
      <c r="W414" s="325">
        <f t="shared" si="293"/>
        <v>2019</v>
      </c>
      <c r="X414" s="325">
        <f t="shared" si="293"/>
        <v>2020</v>
      </c>
      <c r="Y414" s="325">
        <f t="shared" si="293"/>
        <v>2021</v>
      </c>
      <c r="Z414" s="325">
        <f t="shared" si="293"/>
        <v>2022</v>
      </c>
      <c r="AA414" s="325">
        <f t="shared" si="293"/>
        <v>2023</v>
      </c>
      <c r="AB414" s="325">
        <f t="shared" si="293"/>
        <v>2024</v>
      </c>
      <c r="AC414" s="325">
        <f t="shared" si="293"/>
        <v>2025</v>
      </c>
      <c r="AD414" s="325">
        <f t="shared" si="293"/>
        <v>2026</v>
      </c>
      <c r="AE414" s="325">
        <f t="shared" si="293"/>
        <v>2027</v>
      </c>
      <c r="AF414" s="325">
        <f t="shared" si="293"/>
        <v>2028</v>
      </c>
      <c r="AG414" s="325">
        <f t="shared" si="293"/>
        <v>2029</v>
      </c>
      <c r="AH414" s="325">
        <f t="shared" si="293"/>
        <v>2030</v>
      </c>
      <c r="AI414" s="325">
        <f t="shared" si="293"/>
        <v>2031</v>
      </c>
      <c r="AJ414" s="325">
        <f t="shared" si="293"/>
        <v>2032</v>
      </c>
      <c r="AK414" s="325">
        <f t="shared" si="293"/>
        <v>2033</v>
      </c>
      <c r="AL414" s="325">
        <f t="shared" si="293"/>
        <v>2034</v>
      </c>
      <c r="AM414" s="325">
        <f t="shared" si="293"/>
        <v>2035</v>
      </c>
      <c r="AN414" s="325">
        <f t="shared" si="293"/>
        <v>2036</v>
      </c>
      <c r="AO414" s="325">
        <f t="shared" si="293"/>
        <v>2037</v>
      </c>
      <c r="AP414" s="325">
        <f t="shared" si="293"/>
        <v>2038</v>
      </c>
      <c r="AQ414" s="325">
        <f t="shared" si="293"/>
        <v>2039</v>
      </c>
      <c r="AR414" s="325">
        <f t="shared" si="293"/>
        <v>2040</v>
      </c>
      <c r="AS414" s="325">
        <f t="shared" si="293"/>
        <v>2041</v>
      </c>
      <c r="AT414" s="325">
        <f t="shared" si="293"/>
        <v>2042</v>
      </c>
      <c r="AU414" s="325">
        <f t="shared" si="293"/>
        <v>2043</v>
      </c>
    </row>
    <row r="415" spans="1:47">
      <c r="E415" s="325"/>
      <c r="G415" s="39"/>
      <c r="H415" s="39"/>
      <c r="I415" s="39"/>
      <c r="J415" s="39"/>
      <c r="K415" s="39"/>
    </row>
    <row r="416" spans="1:47">
      <c r="E416" s="325"/>
      <c r="G416" s="39" t="s">
        <v>23</v>
      </c>
      <c r="H416" s="39"/>
      <c r="I416" s="39"/>
      <c r="J416" s="39"/>
      <c r="K416" s="39"/>
    </row>
    <row r="417" spans="1:47">
      <c r="A417" s="38" t="str">
        <f t="shared" ref="A417:A424" si="294">$J$4&amp;"-"</f>
        <v>2Y-</v>
      </c>
      <c r="B417" s="38" t="s">
        <v>262</v>
      </c>
      <c r="C417" s="38" t="str">
        <f>C411</f>
        <v>Pre-Treatment (CAMBI)</v>
      </c>
      <c r="D417" s="186">
        <f>LaborEsc</f>
        <v>0.02</v>
      </c>
      <c r="E417" s="325"/>
      <c r="G417" s="36" t="s">
        <v>125</v>
      </c>
      <c r="I417" s="39"/>
      <c r="K417" s="39"/>
      <c r="L417" s="43" t="s">
        <v>266</v>
      </c>
      <c r="N417" s="70">
        <f ca="1">SUMIFS(OFFSET(Assumptions!$I$90,0,MATCH($A417,Configurations,0)-1,COUNT(Assumptions!$A$90:$A$183),1),Assumptions!$D$90:$D$183,$B417&amp;$C417)</f>
        <v>0</v>
      </c>
      <c r="O417" s="313"/>
      <c r="P417" s="323"/>
      <c r="Q417" s="313"/>
      <c r="R417" s="50">
        <f t="shared" ref="R417:AU417" ca="1" si="295">IF(OR(R$99&lt;InServiceYr,R$99&gt;(InServiceYr+analysis_period-1)),0,IF($P417=0,$N417,$P417)*LaborCost*(1+$D417)^(R$99-CostBaseYr))</f>
        <v>0</v>
      </c>
      <c r="S417" s="50">
        <f t="shared" ca="1" si="295"/>
        <v>0</v>
      </c>
      <c r="T417" s="50">
        <f t="shared" ca="1" si="295"/>
        <v>0</v>
      </c>
      <c r="U417" s="50">
        <f t="shared" ca="1" si="295"/>
        <v>0</v>
      </c>
      <c r="V417" s="50">
        <f t="shared" ca="1" si="295"/>
        <v>0</v>
      </c>
      <c r="W417" s="50">
        <f t="shared" ca="1" si="295"/>
        <v>0</v>
      </c>
      <c r="X417" s="50">
        <f t="shared" ca="1" si="295"/>
        <v>0</v>
      </c>
      <c r="Y417" s="50">
        <f t="shared" ca="1" si="295"/>
        <v>0</v>
      </c>
      <c r="Z417" s="50">
        <f t="shared" ca="1" si="295"/>
        <v>0</v>
      </c>
      <c r="AA417" s="50">
        <f t="shared" ca="1" si="295"/>
        <v>0</v>
      </c>
      <c r="AB417" s="50">
        <f t="shared" ca="1" si="295"/>
        <v>0</v>
      </c>
      <c r="AC417" s="50">
        <f t="shared" ca="1" si="295"/>
        <v>0</v>
      </c>
      <c r="AD417" s="50">
        <f t="shared" ca="1" si="295"/>
        <v>0</v>
      </c>
      <c r="AE417" s="50">
        <f t="shared" ca="1" si="295"/>
        <v>0</v>
      </c>
      <c r="AF417" s="50">
        <f t="shared" ca="1" si="295"/>
        <v>0</v>
      </c>
      <c r="AG417" s="50">
        <f t="shared" ca="1" si="295"/>
        <v>0</v>
      </c>
      <c r="AH417" s="50">
        <f t="shared" ca="1" si="295"/>
        <v>0</v>
      </c>
      <c r="AI417" s="50">
        <f t="shared" ca="1" si="295"/>
        <v>0</v>
      </c>
      <c r="AJ417" s="50">
        <f t="shared" ca="1" si="295"/>
        <v>0</v>
      </c>
      <c r="AK417" s="50">
        <f t="shared" ca="1" si="295"/>
        <v>0</v>
      </c>
      <c r="AL417" s="50">
        <f t="shared" si="295"/>
        <v>0</v>
      </c>
      <c r="AM417" s="50">
        <f t="shared" si="295"/>
        <v>0</v>
      </c>
      <c r="AN417" s="50">
        <f t="shared" si="295"/>
        <v>0</v>
      </c>
      <c r="AO417" s="50">
        <f t="shared" si="295"/>
        <v>0</v>
      </c>
      <c r="AP417" s="50">
        <f t="shared" si="295"/>
        <v>0</v>
      </c>
      <c r="AQ417" s="50">
        <f t="shared" si="295"/>
        <v>0</v>
      </c>
      <c r="AR417" s="50">
        <f t="shared" si="295"/>
        <v>0</v>
      </c>
      <c r="AS417" s="50">
        <f t="shared" si="295"/>
        <v>0</v>
      </c>
      <c r="AT417" s="50">
        <f t="shared" si="295"/>
        <v>0</v>
      </c>
      <c r="AU417" s="50">
        <f t="shared" si="295"/>
        <v>0</v>
      </c>
    </row>
    <row r="418" spans="1:47">
      <c r="A418" s="38" t="str">
        <f t="shared" si="294"/>
        <v>2Y-</v>
      </c>
      <c r="B418" s="38" t="s">
        <v>270</v>
      </c>
      <c r="C418" s="38" t="str">
        <f>C417</f>
        <v>Pre-Treatment (CAMBI)</v>
      </c>
      <c r="D418" s="186">
        <f>OMEsc</f>
        <v>0.02</v>
      </c>
      <c r="E418" s="325"/>
      <c r="G418" s="36" t="s">
        <v>126</v>
      </c>
      <c r="I418" s="39"/>
      <c r="K418" s="39"/>
      <c r="L418" s="43" t="str">
        <f>"["&amp;CostBaseYr&amp;" $]"</f>
        <v>[2013 $]</v>
      </c>
      <c r="N418" s="70">
        <f ca="1">SUMIFS(OFFSET(Assumptions!$I$90,0,MATCH($A418,Configurations,0)-1,COUNT(Assumptions!$A$90:$A$183),1),Assumptions!$D$90:$D$183,$B418&amp;$C418)</f>
        <v>0</v>
      </c>
      <c r="O418" s="313"/>
      <c r="P418" s="323"/>
      <c r="Q418" s="313"/>
      <c r="R418" s="50">
        <f t="shared" ref="R418:AG420" ca="1" si="296">IF(OR(R$99&lt;InServiceYr,R$99&gt;(InServiceYr+analysis_period-1)),0,IF($P418=0,$N418,$P418)*(1+$D418)^(R$99-CostBaseYr))</f>
        <v>0</v>
      </c>
      <c r="S418" s="50">
        <f t="shared" ca="1" si="296"/>
        <v>0</v>
      </c>
      <c r="T418" s="50">
        <f t="shared" ca="1" si="296"/>
        <v>0</v>
      </c>
      <c r="U418" s="50">
        <f t="shared" ca="1" si="296"/>
        <v>0</v>
      </c>
      <c r="V418" s="50">
        <f t="shared" ca="1" si="296"/>
        <v>0</v>
      </c>
      <c r="W418" s="50">
        <f t="shared" ca="1" si="296"/>
        <v>0</v>
      </c>
      <c r="X418" s="50">
        <f t="shared" ca="1" si="296"/>
        <v>0</v>
      </c>
      <c r="Y418" s="50">
        <f t="shared" ca="1" si="296"/>
        <v>0</v>
      </c>
      <c r="Z418" s="50">
        <f t="shared" ca="1" si="296"/>
        <v>0</v>
      </c>
      <c r="AA418" s="50">
        <f t="shared" ca="1" si="296"/>
        <v>0</v>
      </c>
      <c r="AB418" s="50">
        <f t="shared" ca="1" si="296"/>
        <v>0</v>
      </c>
      <c r="AC418" s="50">
        <f t="shared" ca="1" si="296"/>
        <v>0</v>
      </c>
      <c r="AD418" s="50">
        <f t="shared" ca="1" si="296"/>
        <v>0</v>
      </c>
      <c r="AE418" s="50">
        <f t="shared" ca="1" si="296"/>
        <v>0</v>
      </c>
      <c r="AF418" s="50">
        <f t="shared" ca="1" si="296"/>
        <v>0</v>
      </c>
      <c r="AG418" s="50">
        <f t="shared" ca="1" si="296"/>
        <v>0</v>
      </c>
      <c r="AH418" s="50">
        <f t="shared" ref="S418:AU420" ca="1" si="297">IF(OR(AH$99&lt;InServiceYr,AH$99&gt;(InServiceYr+analysis_period-1)),0,IF($P418=0,$N418,$P418)*(1+$D418)^(AH$99-CostBaseYr))</f>
        <v>0</v>
      </c>
      <c r="AI418" s="50">
        <f t="shared" ca="1" si="297"/>
        <v>0</v>
      </c>
      <c r="AJ418" s="50">
        <f t="shared" ca="1" si="297"/>
        <v>0</v>
      </c>
      <c r="AK418" s="50">
        <f t="shared" ca="1" si="297"/>
        <v>0</v>
      </c>
      <c r="AL418" s="50">
        <f t="shared" si="297"/>
        <v>0</v>
      </c>
      <c r="AM418" s="50">
        <f t="shared" si="297"/>
        <v>0</v>
      </c>
      <c r="AN418" s="50">
        <f t="shared" si="297"/>
        <v>0</v>
      </c>
      <c r="AO418" s="50">
        <f t="shared" si="297"/>
        <v>0</v>
      </c>
      <c r="AP418" s="50">
        <f t="shared" si="297"/>
        <v>0</v>
      </c>
      <c r="AQ418" s="50">
        <f t="shared" si="297"/>
        <v>0</v>
      </c>
      <c r="AR418" s="50">
        <f t="shared" si="297"/>
        <v>0</v>
      </c>
      <c r="AS418" s="50">
        <f t="shared" si="297"/>
        <v>0</v>
      </c>
      <c r="AT418" s="50">
        <f t="shared" si="297"/>
        <v>0</v>
      </c>
      <c r="AU418" s="50">
        <f t="shared" si="297"/>
        <v>0</v>
      </c>
    </row>
    <row r="419" spans="1:47">
      <c r="A419" s="38" t="str">
        <f t="shared" si="294"/>
        <v>2Y-</v>
      </c>
      <c r="B419" s="38" t="s">
        <v>263</v>
      </c>
      <c r="C419" s="38" t="str">
        <f t="shared" ref="C419:C423" si="298">C418</f>
        <v>Pre-Treatment (CAMBI)</v>
      </c>
      <c r="D419" s="186">
        <f>OMEsc</f>
        <v>0.02</v>
      </c>
      <c r="E419" s="325"/>
      <c r="G419" s="36" t="s">
        <v>127</v>
      </c>
      <c r="I419" s="39"/>
      <c r="K419" s="39"/>
      <c r="L419" s="43" t="str">
        <f>"["&amp;CostBaseYr&amp;" $]"</f>
        <v>[2013 $]</v>
      </c>
      <c r="N419" s="70">
        <f ca="1">SUMIFS(OFFSET(Assumptions!$I$90,0,MATCH($A419,Configurations,0)-1,COUNT(Assumptions!$A$90:$A$183),1),Assumptions!$D$90:$D$183,$B419&amp;$C419)</f>
        <v>0</v>
      </c>
      <c r="O419" s="313"/>
      <c r="P419" s="323"/>
      <c r="Q419" s="313"/>
      <c r="R419" s="50">
        <f t="shared" ca="1" si="296"/>
        <v>0</v>
      </c>
      <c r="S419" s="50">
        <f t="shared" ca="1" si="297"/>
        <v>0</v>
      </c>
      <c r="T419" s="50">
        <f t="shared" ca="1" si="297"/>
        <v>0</v>
      </c>
      <c r="U419" s="50">
        <f t="shared" ca="1" si="297"/>
        <v>0</v>
      </c>
      <c r="V419" s="50">
        <f t="shared" ca="1" si="297"/>
        <v>0</v>
      </c>
      <c r="W419" s="50">
        <f t="shared" ca="1" si="297"/>
        <v>0</v>
      </c>
      <c r="X419" s="50">
        <f t="shared" ca="1" si="297"/>
        <v>0</v>
      </c>
      <c r="Y419" s="50">
        <f t="shared" ca="1" si="297"/>
        <v>0</v>
      </c>
      <c r="Z419" s="50">
        <f t="shared" ca="1" si="297"/>
        <v>0</v>
      </c>
      <c r="AA419" s="50">
        <f t="shared" ca="1" si="297"/>
        <v>0</v>
      </c>
      <c r="AB419" s="50">
        <f t="shared" ca="1" si="297"/>
        <v>0</v>
      </c>
      <c r="AC419" s="50">
        <f t="shared" ca="1" si="297"/>
        <v>0</v>
      </c>
      <c r="AD419" s="50">
        <f t="shared" ca="1" si="297"/>
        <v>0</v>
      </c>
      <c r="AE419" s="50">
        <f t="shared" ca="1" si="297"/>
        <v>0</v>
      </c>
      <c r="AF419" s="50">
        <f t="shared" ca="1" si="297"/>
        <v>0</v>
      </c>
      <c r="AG419" s="50">
        <f t="shared" ca="1" si="297"/>
        <v>0</v>
      </c>
      <c r="AH419" s="50">
        <f t="shared" ca="1" si="297"/>
        <v>0</v>
      </c>
      <c r="AI419" s="50">
        <f t="shared" ca="1" si="297"/>
        <v>0</v>
      </c>
      <c r="AJ419" s="50">
        <f t="shared" ca="1" si="297"/>
        <v>0</v>
      </c>
      <c r="AK419" s="50">
        <f t="shared" ca="1" si="297"/>
        <v>0</v>
      </c>
      <c r="AL419" s="50">
        <f t="shared" si="297"/>
        <v>0</v>
      </c>
      <c r="AM419" s="50">
        <f t="shared" si="297"/>
        <v>0</v>
      </c>
      <c r="AN419" s="50">
        <f t="shared" si="297"/>
        <v>0</v>
      </c>
      <c r="AO419" s="50">
        <f t="shared" si="297"/>
        <v>0</v>
      </c>
      <c r="AP419" s="50">
        <f t="shared" si="297"/>
        <v>0</v>
      </c>
      <c r="AQ419" s="50">
        <f t="shared" si="297"/>
        <v>0</v>
      </c>
      <c r="AR419" s="50">
        <f t="shared" si="297"/>
        <v>0</v>
      </c>
      <c r="AS419" s="50">
        <f t="shared" si="297"/>
        <v>0</v>
      </c>
      <c r="AT419" s="50">
        <f t="shared" si="297"/>
        <v>0</v>
      </c>
      <c r="AU419" s="50">
        <f t="shared" si="297"/>
        <v>0</v>
      </c>
    </row>
    <row r="420" spans="1:47">
      <c r="A420" s="38" t="str">
        <f t="shared" si="294"/>
        <v>2Y-</v>
      </c>
      <c r="B420" s="38" t="s">
        <v>277</v>
      </c>
      <c r="C420" s="38" t="str">
        <f t="shared" si="298"/>
        <v>Pre-Treatment (CAMBI)</v>
      </c>
      <c r="D420" s="186">
        <f>OMEsc</f>
        <v>0.02</v>
      </c>
      <c r="E420" s="325"/>
      <c r="G420" s="36" t="s">
        <v>276</v>
      </c>
      <c r="I420" s="39"/>
      <c r="K420" s="39"/>
      <c r="L420" s="43" t="str">
        <f>"["&amp;CostBaseYr&amp;" $]"</f>
        <v>[2013 $]</v>
      </c>
      <c r="N420" s="70">
        <f ca="1">SUMIFS(OFFSET(Assumptions!$I$90,0,MATCH($A420,Configurations,0)-1,COUNT(Assumptions!$A$90:$A$183),1),Assumptions!$D$90:$D$183,$B420&amp;$C420)</f>
        <v>0</v>
      </c>
      <c r="O420" s="313"/>
      <c r="P420" s="323"/>
      <c r="Q420" s="313"/>
      <c r="R420" s="50">
        <f t="shared" ca="1" si="296"/>
        <v>0</v>
      </c>
      <c r="S420" s="50">
        <f t="shared" ca="1" si="297"/>
        <v>0</v>
      </c>
      <c r="T420" s="50">
        <f t="shared" ca="1" si="297"/>
        <v>0</v>
      </c>
      <c r="U420" s="50">
        <f t="shared" ca="1" si="297"/>
        <v>0</v>
      </c>
      <c r="V420" s="50">
        <f t="shared" ca="1" si="297"/>
        <v>0</v>
      </c>
      <c r="W420" s="50">
        <f t="shared" ca="1" si="297"/>
        <v>0</v>
      </c>
      <c r="X420" s="50">
        <f t="shared" ca="1" si="297"/>
        <v>0</v>
      </c>
      <c r="Y420" s="50">
        <f t="shared" ca="1" si="297"/>
        <v>0</v>
      </c>
      <c r="Z420" s="50">
        <f t="shared" ca="1" si="297"/>
        <v>0</v>
      </c>
      <c r="AA420" s="50">
        <f t="shared" ca="1" si="297"/>
        <v>0</v>
      </c>
      <c r="AB420" s="50">
        <f t="shared" ca="1" si="297"/>
        <v>0</v>
      </c>
      <c r="AC420" s="50">
        <f t="shared" ca="1" si="297"/>
        <v>0</v>
      </c>
      <c r="AD420" s="50">
        <f t="shared" ca="1" si="297"/>
        <v>0</v>
      </c>
      <c r="AE420" s="50">
        <f t="shared" ca="1" si="297"/>
        <v>0</v>
      </c>
      <c r="AF420" s="50">
        <f t="shared" ca="1" si="297"/>
        <v>0</v>
      </c>
      <c r="AG420" s="50">
        <f t="shared" ca="1" si="297"/>
        <v>0</v>
      </c>
      <c r="AH420" s="50">
        <f t="shared" ca="1" si="297"/>
        <v>0</v>
      </c>
      <c r="AI420" s="50">
        <f t="shared" ca="1" si="297"/>
        <v>0</v>
      </c>
      <c r="AJ420" s="50">
        <f t="shared" ca="1" si="297"/>
        <v>0</v>
      </c>
      <c r="AK420" s="50">
        <f t="shared" ca="1" si="297"/>
        <v>0</v>
      </c>
      <c r="AL420" s="50">
        <f t="shared" si="297"/>
        <v>0</v>
      </c>
      <c r="AM420" s="50">
        <f t="shared" si="297"/>
        <v>0</v>
      </c>
      <c r="AN420" s="50">
        <f t="shared" si="297"/>
        <v>0</v>
      </c>
      <c r="AO420" s="50">
        <f t="shared" si="297"/>
        <v>0</v>
      </c>
      <c r="AP420" s="50">
        <f t="shared" si="297"/>
        <v>0</v>
      </c>
      <c r="AQ420" s="50">
        <f t="shared" si="297"/>
        <v>0</v>
      </c>
      <c r="AR420" s="50">
        <f t="shared" si="297"/>
        <v>0</v>
      </c>
      <c r="AS420" s="50">
        <f t="shared" si="297"/>
        <v>0</v>
      </c>
      <c r="AT420" s="50">
        <f t="shared" si="297"/>
        <v>0</v>
      </c>
      <c r="AU420" s="50">
        <f t="shared" si="297"/>
        <v>0</v>
      </c>
    </row>
    <row r="421" spans="1:47">
      <c r="A421" s="38" t="str">
        <f t="shared" si="294"/>
        <v>2Y-</v>
      </c>
      <c r="B421" s="38" t="s">
        <v>274</v>
      </c>
      <c r="C421" s="38" t="str">
        <f t="shared" si="298"/>
        <v>Pre-Treatment (CAMBI)</v>
      </c>
      <c r="D421" s="186"/>
      <c r="E421" s="325"/>
      <c r="G421" s="36" t="s">
        <v>16</v>
      </c>
      <c r="I421" s="39"/>
      <c r="K421" s="39"/>
      <c r="L421" s="43" t="s">
        <v>275</v>
      </c>
      <c r="N421" s="70">
        <f ca="1">SUMIFS(OFFSET(Assumptions!$I$90,0,MATCH($A421,Configurations,0)-1,COUNT(Assumptions!$A$90:$A$183),1),Assumptions!$D$90:$D$183,$B421&amp;$C421)</f>
        <v>0</v>
      </c>
      <c r="O421" s="313"/>
      <c r="P421" s="323"/>
      <c r="Q421" s="313"/>
      <c r="R421" s="50">
        <f t="shared" ref="R421:AU421" ca="1" si="299">IF(OR(R$99&lt;InServiceYr,R$99&gt;(InServiceYr+analysis_period-1)),0,IF($P421=0,$N421,$P421)*R$505)</f>
        <v>0</v>
      </c>
      <c r="S421" s="50">
        <f t="shared" ca="1" si="299"/>
        <v>0</v>
      </c>
      <c r="T421" s="50">
        <f t="shared" ca="1" si="299"/>
        <v>0</v>
      </c>
      <c r="U421" s="50">
        <f t="shared" ca="1" si="299"/>
        <v>0</v>
      </c>
      <c r="V421" s="50">
        <f t="shared" ca="1" si="299"/>
        <v>0</v>
      </c>
      <c r="W421" s="50">
        <f t="shared" ca="1" si="299"/>
        <v>0</v>
      </c>
      <c r="X421" s="50">
        <f t="shared" ca="1" si="299"/>
        <v>0</v>
      </c>
      <c r="Y421" s="50">
        <f t="shared" ca="1" si="299"/>
        <v>0</v>
      </c>
      <c r="Z421" s="50">
        <f t="shared" ca="1" si="299"/>
        <v>0</v>
      </c>
      <c r="AA421" s="50">
        <f t="shared" ca="1" si="299"/>
        <v>0</v>
      </c>
      <c r="AB421" s="50">
        <f t="shared" ca="1" si="299"/>
        <v>0</v>
      </c>
      <c r="AC421" s="50">
        <f t="shared" ca="1" si="299"/>
        <v>0</v>
      </c>
      <c r="AD421" s="50">
        <f t="shared" ca="1" si="299"/>
        <v>0</v>
      </c>
      <c r="AE421" s="50">
        <f t="shared" ca="1" si="299"/>
        <v>0</v>
      </c>
      <c r="AF421" s="50">
        <f t="shared" ca="1" si="299"/>
        <v>0</v>
      </c>
      <c r="AG421" s="50">
        <f t="shared" ca="1" si="299"/>
        <v>0</v>
      </c>
      <c r="AH421" s="50">
        <f t="shared" ca="1" si="299"/>
        <v>0</v>
      </c>
      <c r="AI421" s="50">
        <f t="shared" ca="1" si="299"/>
        <v>0</v>
      </c>
      <c r="AJ421" s="50">
        <f t="shared" ca="1" si="299"/>
        <v>0</v>
      </c>
      <c r="AK421" s="50">
        <f t="shared" ca="1" si="299"/>
        <v>0</v>
      </c>
      <c r="AL421" s="50">
        <f t="shared" si="299"/>
        <v>0</v>
      </c>
      <c r="AM421" s="50">
        <f t="shared" si="299"/>
        <v>0</v>
      </c>
      <c r="AN421" s="50">
        <f t="shared" si="299"/>
        <v>0</v>
      </c>
      <c r="AO421" s="50">
        <f t="shared" si="299"/>
        <v>0</v>
      </c>
      <c r="AP421" s="50">
        <f t="shared" si="299"/>
        <v>0</v>
      </c>
      <c r="AQ421" s="50">
        <f t="shared" si="299"/>
        <v>0</v>
      </c>
      <c r="AR421" s="50">
        <f t="shared" si="299"/>
        <v>0</v>
      </c>
      <c r="AS421" s="50">
        <f t="shared" si="299"/>
        <v>0</v>
      </c>
      <c r="AT421" s="50">
        <f t="shared" si="299"/>
        <v>0</v>
      </c>
      <c r="AU421" s="50">
        <f t="shared" si="299"/>
        <v>0</v>
      </c>
    </row>
    <row r="422" spans="1:47">
      <c r="A422" s="38" t="str">
        <f t="shared" si="294"/>
        <v>2Y-</v>
      </c>
      <c r="B422" s="38" t="s">
        <v>257</v>
      </c>
      <c r="C422" s="38" t="str">
        <f t="shared" si="298"/>
        <v>Pre-Treatment (CAMBI)</v>
      </c>
      <c r="D422" s="186"/>
      <c r="E422" s="325"/>
      <c r="G422" s="36" t="s">
        <v>284</v>
      </c>
      <c r="I422" s="39"/>
      <c r="K422" s="39"/>
      <c r="L422" s="43" t="s">
        <v>293</v>
      </c>
      <c r="N422" s="70">
        <f ca="1">SUMIFS(OFFSET(Assumptions!$I$90,0,MATCH($A422,Configurations,0)-1,COUNT(Assumptions!$A$90:$A$183),1),Assumptions!$D$90:$D$183,$B422&amp;$C422)</f>
        <v>0</v>
      </c>
      <c r="O422" s="313"/>
      <c r="P422" s="323"/>
      <c r="Q422" s="313"/>
      <c r="R422" s="50">
        <f t="shared" ref="R422:AU422" ca="1" si="300">IF(OR(R$99&lt;InServiceYr,R$99&gt;(InServiceYr+analysis_period-1)),0,IF($P422=0,$N422,$P422)*R$501)</f>
        <v>0</v>
      </c>
      <c r="S422" s="50">
        <f t="shared" ca="1" si="300"/>
        <v>0</v>
      </c>
      <c r="T422" s="50">
        <f t="shared" ca="1" si="300"/>
        <v>0</v>
      </c>
      <c r="U422" s="50">
        <f t="shared" ca="1" si="300"/>
        <v>0</v>
      </c>
      <c r="V422" s="50">
        <f t="shared" ca="1" si="300"/>
        <v>0</v>
      </c>
      <c r="W422" s="50">
        <f t="shared" ca="1" si="300"/>
        <v>0</v>
      </c>
      <c r="X422" s="50">
        <f t="shared" ca="1" si="300"/>
        <v>0</v>
      </c>
      <c r="Y422" s="50">
        <f t="shared" ca="1" si="300"/>
        <v>0</v>
      </c>
      <c r="Z422" s="50">
        <f t="shared" ca="1" si="300"/>
        <v>0</v>
      </c>
      <c r="AA422" s="50">
        <f t="shared" ca="1" si="300"/>
        <v>0</v>
      </c>
      <c r="AB422" s="50">
        <f t="shared" ca="1" si="300"/>
        <v>0</v>
      </c>
      <c r="AC422" s="50">
        <f t="shared" ca="1" si="300"/>
        <v>0</v>
      </c>
      <c r="AD422" s="50">
        <f t="shared" ca="1" si="300"/>
        <v>0</v>
      </c>
      <c r="AE422" s="50">
        <f t="shared" ca="1" si="300"/>
        <v>0</v>
      </c>
      <c r="AF422" s="50">
        <f t="shared" ca="1" si="300"/>
        <v>0</v>
      </c>
      <c r="AG422" s="50">
        <f t="shared" ca="1" si="300"/>
        <v>0</v>
      </c>
      <c r="AH422" s="50">
        <f t="shared" ca="1" si="300"/>
        <v>0</v>
      </c>
      <c r="AI422" s="50">
        <f t="shared" ca="1" si="300"/>
        <v>0</v>
      </c>
      <c r="AJ422" s="50">
        <f t="shared" ca="1" si="300"/>
        <v>0</v>
      </c>
      <c r="AK422" s="50">
        <f t="shared" ca="1" si="300"/>
        <v>0</v>
      </c>
      <c r="AL422" s="50">
        <f t="shared" si="300"/>
        <v>0</v>
      </c>
      <c r="AM422" s="50">
        <f t="shared" si="300"/>
        <v>0</v>
      </c>
      <c r="AN422" s="50">
        <f t="shared" si="300"/>
        <v>0</v>
      </c>
      <c r="AO422" s="50">
        <f t="shared" si="300"/>
        <v>0</v>
      </c>
      <c r="AP422" s="50">
        <f t="shared" si="300"/>
        <v>0</v>
      </c>
      <c r="AQ422" s="50">
        <f t="shared" si="300"/>
        <v>0</v>
      </c>
      <c r="AR422" s="50">
        <f t="shared" si="300"/>
        <v>0</v>
      </c>
      <c r="AS422" s="50">
        <f t="shared" si="300"/>
        <v>0</v>
      </c>
      <c r="AT422" s="50">
        <f t="shared" si="300"/>
        <v>0</v>
      </c>
      <c r="AU422" s="50">
        <f t="shared" si="300"/>
        <v>0</v>
      </c>
    </row>
    <row r="423" spans="1:47">
      <c r="A423" s="38" t="str">
        <f t="shared" si="294"/>
        <v>2Y-</v>
      </c>
      <c r="B423" s="38" t="s">
        <v>864</v>
      </c>
      <c r="C423" s="38" t="str">
        <f t="shared" si="298"/>
        <v>Pre-Treatment (CAMBI)</v>
      </c>
      <c r="D423" s="186">
        <f>GHGEsc</f>
        <v>0.02</v>
      </c>
      <c r="E423" s="325"/>
      <c r="G423" s="36" t="s">
        <v>865</v>
      </c>
      <c r="I423" s="39"/>
      <c r="K423" s="39"/>
      <c r="L423" s="43" t="s">
        <v>866</v>
      </c>
      <c r="N423" s="70">
        <f ca="1">SUMIFS(OFFSET(Assumptions!$I$90,0,MATCH($A423,Configurations,0)-1,COUNT(Assumptions!$A$90:$A$183),1),Assumptions!$D$90:$D$183,$B423&amp;$C423)</f>
        <v>0</v>
      </c>
      <c r="O423" s="313"/>
      <c r="P423" s="323"/>
      <c r="Q423" s="313"/>
      <c r="R423" s="50">
        <f t="shared" ref="R423:AU423" ca="1" si="301">IF(OR(R$99&lt;InServiceYr,R$99&gt;(InServiceYr+analysis_period-1)),0,IF($P423=0,$N423,$P423)*R$513)</f>
        <v>0</v>
      </c>
      <c r="S423" s="50">
        <f t="shared" ca="1" si="301"/>
        <v>0</v>
      </c>
      <c r="T423" s="50">
        <f t="shared" ca="1" si="301"/>
        <v>0</v>
      </c>
      <c r="U423" s="50">
        <f t="shared" ca="1" si="301"/>
        <v>0</v>
      </c>
      <c r="V423" s="50">
        <f t="shared" ca="1" si="301"/>
        <v>0</v>
      </c>
      <c r="W423" s="50">
        <f t="shared" ca="1" si="301"/>
        <v>0</v>
      </c>
      <c r="X423" s="50">
        <f t="shared" ca="1" si="301"/>
        <v>0</v>
      </c>
      <c r="Y423" s="50">
        <f t="shared" ca="1" si="301"/>
        <v>0</v>
      </c>
      <c r="Z423" s="50">
        <f t="shared" ca="1" si="301"/>
        <v>0</v>
      </c>
      <c r="AA423" s="50">
        <f t="shared" ca="1" si="301"/>
        <v>0</v>
      </c>
      <c r="AB423" s="50">
        <f t="shared" ca="1" si="301"/>
        <v>0</v>
      </c>
      <c r="AC423" s="50">
        <f t="shared" ca="1" si="301"/>
        <v>0</v>
      </c>
      <c r="AD423" s="50">
        <f t="shared" ca="1" si="301"/>
        <v>0</v>
      </c>
      <c r="AE423" s="50">
        <f t="shared" ca="1" si="301"/>
        <v>0</v>
      </c>
      <c r="AF423" s="50">
        <f t="shared" ca="1" si="301"/>
        <v>0</v>
      </c>
      <c r="AG423" s="50">
        <f t="shared" ca="1" si="301"/>
        <v>0</v>
      </c>
      <c r="AH423" s="50">
        <f t="shared" ca="1" si="301"/>
        <v>0</v>
      </c>
      <c r="AI423" s="50">
        <f t="shared" ca="1" si="301"/>
        <v>0</v>
      </c>
      <c r="AJ423" s="50">
        <f t="shared" ca="1" si="301"/>
        <v>0</v>
      </c>
      <c r="AK423" s="50">
        <f t="shared" ca="1" si="301"/>
        <v>0</v>
      </c>
      <c r="AL423" s="50">
        <f t="shared" si="301"/>
        <v>0</v>
      </c>
      <c r="AM423" s="50">
        <f t="shared" si="301"/>
        <v>0</v>
      </c>
      <c r="AN423" s="50">
        <f t="shared" si="301"/>
        <v>0</v>
      </c>
      <c r="AO423" s="50">
        <f t="shared" si="301"/>
        <v>0</v>
      </c>
      <c r="AP423" s="50">
        <f t="shared" si="301"/>
        <v>0</v>
      </c>
      <c r="AQ423" s="50">
        <f t="shared" si="301"/>
        <v>0</v>
      </c>
      <c r="AR423" s="50">
        <f t="shared" si="301"/>
        <v>0</v>
      </c>
      <c r="AS423" s="50">
        <f t="shared" si="301"/>
        <v>0</v>
      </c>
      <c r="AT423" s="50">
        <f t="shared" si="301"/>
        <v>0</v>
      </c>
      <c r="AU423" s="50">
        <f t="shared" si="301"/>
        <v>0</v>
      </c>
    </row>
    <row r="424" spans="1:47">
      <c r="A424" s="38" t="str">
        <f t="shared" si="294"/>
        <v>2Y-</v>
      </c>
      <c r="B424" s="38" t="s">
        <v>273</v>
      </c>
      <c r="C424" s="38" t="str">
        <f>C422</f>
        <v>Pre-Treatment (CAMBI)</v>
      </c>
      <c r="D424" s="186">
        <f>LaborEsc</f>
        <v>0.02</v>
      </c>
      <c r="E424" s="325"/>
      <c r="G424" s="36" t="s">
        <v>291</v>
      </c>
      <c r="I424" s="39"/>
      <c r="K424" s="39"/>
      <c r="L424" s="43" t="str">
        <f>"["&amp;CostBaseYr&amp;" $]"</f>
        <v>[2013 $]</v>
      </c>
      <c r="N424" s="70">
        <f ca="1">SUMIFS(OFFSET(Assumptions!$I$90,0,MATCH($A424,Configurations,0)-1,COUNT(Assumptions!$A$90:$A$183),1),Assumptions!$D$90:$D$183,$B424&amp;$C424)</f>
        <v>0</v>
      </c>
      <c r="O424" s="313"/>
      <c r="P424" s="323"/>
      <c r="Q424" s="313"/>
      <c r="R424" s="50">
        <f t="shared" ref="R424:AU424" ca="1" si="302">IF(OR(R$99&lt;InServiceYr,R$99&gt;(InServiceYr+analysis_period-1)),0,IF($P424=0,$N424,$P424)*(1+$D424)^(R$99-CostBaseYr))*R$509</f>
        <v>0</v>
      </c>
      <c r="S424" s="50">
        <f t="shared" ca="1" si="302"/>
        <v>0</v>
      </c>
      <c r="T424" s="50">
        <f t="shared" ca="1" si="302"/>
        <v>0</v>
      </c>
      <c r="U424" s="50">
        <f t="shared" ca="1" si="302"/>
        <v>0</v>
      </c>
      <c r="V424" s="50">
        <f t="shared" ca="1" si="302"/>
        <v>0</v>
      </c>
      <c r="W424" s="50">
        <f t="shared" ca="1" si="302"/>
        <v>0</v>
      </c>
      <c r="X424" s="50">
        <f t="shared" ca="1" si="302"/>
        <v>0</v>
      </c>
      <c r="Y424" s="50">
        <f t="shared" ca="1" si="302"/>
        <v>0</v>
      </c>
      <c r="Z424" s="50">
        <f t="shared" ca="1" si="302"/>
        <v>0</v>
      </c>
      <c r="AA424" s="50">
        <f t="shared" ca="1" si="302"/>
        <v>0</v>
      </c>
      <c r="AB424" s="50">
        <f t="shared" ca="1" si="302"/>
        <v>0</v>
      </c>
      <c r="AC424" s="50">
        <f t="shared" ca="1" si="302"/>
        <v>0</v>
      </c>
      <c r="AD424" s="50">
        <f t="shared" ca="1" si="302"/>
        <v>0</v>
      </c>
      <c r="AE424" s="50">
        <f t="shared" ca="1" si="302"/>
        <v>0</v>
      </c>
      <c r="AF424" s="50">
        <f t="shared" ca="1" si="302"/>
        <v>0</v>
      </c>
      <c r="AG424" s="50">
        <f t="shared" ca="1" si="302"/>
        <v>0</v>
      </c>
      <c r="AH424" s="50">
        <f t="shared" ca="1" si="302"/>
        <v>0</v>
      </c>
      <c r="AI424" s="50">
        <f t="shared" ca="1" si="302"/>
        <v>0</v>
      </c>
      <c r="AJ424" s="50">
        <f t="shared" ca="1" si="302"/>
        <v>0</v>
      </c>
      <c r="AK424" s="50">
        <f t="shared" ca="1" si="302"/>
        <v>0</v>
      </c>
      <c r="AL424" s="50">
        <f t="shared" si="302"/>
        <v>0</v>
      </c>
      <c r="AM424" s="50">
        <f t="shared" si="302"/>
        <v>0</v>
      </c>
      <c r="AN424" s="50">
        <f t="shared" si="302"/>
        <v>0</v>
      </c>
      <c r="AO424" s="50">
        <f t="shared" si="302"/>
        <v>0</v>
      </c>
      <c r="AP424" s="50">
        <f t="shared" si="302"/>
        <v>0</v>
      </c>
      <c r="AQ424" s="50">
        <f t="shared" si="302"/>
        <v>0</v>
      </c>
      <c r="AR424" s="50">
        <f t="shared" si="302"/>
        <v>0</v>
      </c>
      <c r="AS424" s="50">
        <f t="shared" si="302"/>
        <v>0</v>
      </c>
      <c r="AT424" s="50">
        <f t="shared" si="302"/>
        <v>0</v>
      </c>
      <c r="AU424" s="50">
        <f t="shared" si="302"/>
        <v>0</v>
      </c>
    </row>
    <row r="425" spans="1:47">
      <c r="D425" s="186"/>
      <c r="E425" s="325"/>
      <c r="G425" s="39" t="s">
        <v>304</v>
      </c>
      <c r="I425" s="39"/>
      <c r="K425" s="39"/>
      <c r="L425" s="43"/>
      <c r="N425" s="70"/>
      <c r="O425" s="313"/>
      <c r="P425" s="70"/>
      <c r="Q425" s="313"/>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row>
    <row r="426" spans="1:47">
      <c r="A426" s="38" t="str">
        <f>$J$4&amp;"-"</f>
        <v>2Y-</v>
      </c>
      <c r="B426" s="38" t="s">
        <v>265</v>
      </c>
      <c r="C426" s="38" t="str">
        <f>C417</f>
        <v>Pre-Treatment (CAMBI)</v>
      </c>
      <c r="D426" s="186"/>
      <c r="E426" s="325"/>
      <c r="G426" s="36" t="s">
        <v>108</v>
      </c>
      <c r="I426" s="39"/>
      <c r="K426" s="39"/>
      <c r="L426" s="43" t="s">
        <v>293</v>
      </c>
      <c r="N426" s="70">
        <f ca="1">SUMIFS(OFFSET(Assumptions!$I$90,0,MATCH($A426,Configurations,0)-1,COUNT(Assumptions!$A$90:$A$183),1),Assumptions!$D$90:$D$183,$B426&amp;$C426)</f>
        <v>0</v>
      </c>
      <c r="O426" s="313"/>
      <c r="P426" s="323"/>
      <c r="Q426" s="313"/>
      <c r="R426" s="50">
        <f t="shared" ref="R426:AU426" ca="1" si="303">IF(OR(R$99&lt;InServiceYr,R$99&gt;(InServiceYr+analysis_period-1)),0,IF($P426=0,$N426,$P426)*R$501)</f>
        <v>0</v>
      </c>
      <c r="S426" s="50">
        <f t="shared" ca="1" si="303"/>
        <v>0</v>
      </c>
      <c r="T426" s="50">
        <f t="shared" ca="1" si="303"/>
        <v>0</v>
      </c>
      <c r="U426" s="50">
        <f t="shared" ca="1" si="303"/>
        <v>0</v>
      </c>
      <c r="V426" s="50">
        <f t="shared" ca="1" si="303"/>
        <v>0</v>
      </c>
      <c r="W426" s="50">
        <f t="shared" ca="1" si="303"/>
        <v>0</v>
      </c>
      <c r="X426" s="50">
        <f t="shared" ca="1" si="303"/>
        <v>0</v>
      </c>
      <c r="Y426" s="50">
        <f t="shared" ca="1" si="303"/>
        <v>0</v>
      </c>
      <c r="Z426" s="50">
        <f t="shared" ca="1" si="303"/>
        <v>0</v>
      </c>
      <c r="AA426" s="50">
        <f t="shared" ca="1" si="303"/>
        <v>0</v>
      </c>
      <c r="AB426" s="50">
        <f t="shared" ca="1" si="303"/>
        <v>0</v>
      </c>
      <c r="AC426" s="50">
        <f t="shared" ca="1" si="303"/>
        <v>0</v>
      </c>
      <c r="AD426" s="50">
        <f t="shared" ca="1" si="303"/>
        <v>0</v>
      </c>
      <c r="AE426" s="50">
        <f t="shared" ca="1" si="303"/>
        <v>0</v>
      </c>
      <c r="AF426" s="50">
        <f t="shared" ca="1" si="303"/>
        <v>0</v>
      </c>
      <c r="AG426" s="50">
        <f t="shared" ca="1" si="303"/>
        <v>0</v>
      </c>
      <c r="AH426" s="50">
        <f t="shared" ca="1" si="303"/>
        <v>0</v>
      </c>
      <c r="AI426" s="50">
        <f t="shared" ca="1" si="303"/>
        <v>0</v>
      </c>
      <c r="AJ426" s="50">
        <f t="shared" ca="1" si="303"/>
        <v>0</v>
      </c>
      <c r="AK426" s="50">
        <f t="shared" ca="1" si="303"/>
        <v>0</v>
      </c>
      <c r="AL426" s="50">
        <f t="shared" si="303"/>
        <v>0</v>
      </c>
      <c r="AM426" s="50">
        <f t="shared" si="303"/>
        <v>0</v>
      </c>
      <c r="AN426" s="50">
        <f t="shared" si="303"/>
        <v>0</v>
      </c>
      <c r="AO426" s="50">
        <f t="shared" si="303"/>
        <v>0</v>
      </c>
      <c r="AP426" s="50">
        <f t="shared" si="303"/>
        <v>0</v>
      </c>
      <c r="AQ426" s="50">
        <f t="shared" si="303"/>
        <v>0</v>
      </c>
      <c r="AR426" s="50">
        <f t="shared" si="303"/>
        <v>0</v>
      </c>
      <c r="AS426" s="50">
        <f t="shared" si="303"/>
        <v>0</v>
      </c>
      <c r="AT426" s="50">
        <f t="shared" si="303"/>
        <v>0</v>
      </c>
      <c r="AU426" s="50">
        <f t="shared" si="303"/>
        <v>0</v>
      </c>
    </row>
    <row r="427" spans="1:47">
      <c r="A427" s="38" t="str">
        <f>$J$4&amp;"-"</f>
        <v>2Y-</v>
      </c>
      <c r="B427" s="38" t="s">
        <v>289</v>
      </c>
      <c r="C427" s="38" t="str">
        <f>C417</f>
        <v>Pre-Treatment (CAMBI)</v>
      </c>
      <c r="D427" s="186">
        <f>LaborEsc</f>
        <v>0.02</v>
      </c>
      <c r="E427" s="325"/>
      <c r="G427" s="36" t="s">
        <v>292</v>
      </c>
      <c r="I427" s="39"/>
      <c r="K427" s="39"/>
      <c r="L427" s="43" t="str">
        <f>"["&amp;CostBaseYr&amp;" $]"</f>
        <v>[2013 $]</v>
      </c>
      <c r="N427" s="70">
        <f ca="1">SUMIFS(OFFSET(Assumptions!$I$90,0,MATCH($A427,Configurations,0)-1,COUNT(Assumptions!$A$90:$A$183),1),Assumptions!$D$90:$D$183,$B427&amp;$C427)</f>
        <v>0</v>
      </c>
      <c r="O427" s="313"/>
      <c r="P427" s="323"/>
      <c r="Q427" s="313"/>
      <c r="R427" s="50">
        <f t="shared" ref="R427:AU427" ca="1" si="304">IF(OR(R$99&lt;InServiceYr,R$99&gt;(InServiceYr+analysis_period-1)),0,IF($P427=0,$N427,$P427)*(1+$D427)^(R$99-CostBaseYr))</f>
        <v>0</v>
      </c>
      <c r="S427" s="50">
        <f t="shared" ca="1" si="304"/>
        <v>0</v>
      </c>
      <c r="T427" s="50">
        <f t="shared" ca="1" si="304"/>
        <v>0</v>
      </c>
      <c r="U427" s="50">
        <f t="shared" ca="1" si="304"/>
        <v>0</v>
      </c>
      <c r="V427" s="50">
        <f t="shared" ca="1" si="304"/>
        <v>0</v>
      </c>
      <c r="W427" s="50">
        <f t="shared" ca="1" si="304"/>
        <v>0</v>
      </c>
      <c r="X427" s="50">
        <f t="shared" ca="1" si="304"/>
        <v>0</v>
      </c>
      <c r="Y427" s="50">
        <f t="shared" ca="1" si="304"/>
        <v>0</v>
      </c>
      <c r="Z427" s="50">
        <f t="shared" ca="1" si="304"/>
        <v>0</v>
      </c>
      <c r="AA427" s="50">
        <f t="shared" ca="1" si="304"/>
        <v>0</v>
      </c>
      <c r="AB427" s="50">
        <f t="shared" ca="1" si="304"/>
        <v>0</v>
      </c>
      <c r="AC427" s="50">
        <f t="shared" ca="1" si="304"/>
        <v>0</v>
      </c>
      <c r="AD427" s="50">
        <f t="shared" ca="1" si="304"/>
        <v>0</v>
      </c>
      <c r="AE427" s="50">
        <f t="shared" ca="1" si="304"/>
        <v>0</v>
      </c>
      <c r="AF427" s="50">
        <f t="shared" ca="1" si="304"/>
        <v>0</v>
      </c>
      <c r="AG427" s="50">
        <f t="shared" ca="1" si="304"/>
        <v>0</v>
      </c>
      <c r="AH427" s="50">
        <f t="shared" ca="1" si="304"/>
        <v>0</v>
      </c>
      <c r="AI427" s="50">
        <f t="shared" ca="1" si="304"/>
        <v>0</v>
      </c>
      <c r="AJ427" s="50">
        <f t="shared" ca="1" si="304"/>
        <v>0</v>
      </c>
      <c r="AK427" s="50">
        <f t="shared" ca="1" si="304"/>
        <v>0</v>
      </c>
      <c r="AL427" s="50">
        <f t="shared" si="304"/>
        <v>0</v>
      </c>
      <c r="AM427" s="50">
        <f t="shared" si="304"/>
        <v>0</v>
      </c>
      <c r="AN427" s="50">
        <f t="shared" si="304"/>
        <v>0</v>
      </c>
      <c r="AO427" s="50">
        <f t="shared" si="304"/>
        <v>0</v>
      </c>
      <c r="AP427" s="50">
        <f t="shared" si="304"/>
        <v>0</v>
      </c>
      <c r="AQ427" s="50">
        <f t="shared" si="304"/>
        <v>0</v>
      </c>
      <c r="AR427" s="50">
        <f t="shared" si="304"/>
        <v>0</v>
      </c>
      <c r="AS427" s="50">
        <f t="shared" si="304"/>
        <v>0</v>
      </c>
      <c r="AT427" s="50">
        <f t="shared" si="304"/>
        <v>0</v>
      </c>
      <c r="AU427" s="50">
        <f t="shared" si="304"/>
        <v>0</v>
      </c>
    </row>
    <row r="428" spans="1:47" s="60" customFormat="1">
      <c r="D428" s="187"/>
      <c r="E428" s="325"/>
      <c r="G428" s="39" t="s">
        <v>305</v>
      </c>
      <c r="I428" s="39"/>
      <c r="K428" s="39"/>
      <c r="L428" s="174"/>
      <c r="N428" s="188"/>
      <c r="O428" s="314"/>
      <c r="P428" s="185"/>
      <c r="Q428" s="314"/>
      <c r="R428" s="185">
        <f ca="1">SUM(R417:R424)-SUM(R426:R427)</f>
        <v>0</v>
      </c>
      <c r="S428" s="185">
        <f t="shared" ref="S428:AU428" ca="1" si="305">SUM(S417:S424)-SUM(S426:S427)</f>
        <v>0</v>
      </c>
      <c r="T428" s="185">
        <f t="shared" ca="1" si="305"/>
        <v>0</v>
      </c>
      <c r="U428" s="185">
        <f t="shared" ca="1" si="305"/>
        <v>0</v>
      </c>
      <c r="V428" s="185">
        <f t="shared" ca="1" si="305"/>
        <v>0</v>
      </c>
      <c r="W428" s="185">
        <f t="shared" ca="1" si="305"/>
        <v>0</v>
      </c>
      <c r="X428" s="185">
        <f t="shared" ca="1" si="305"/>
        <v>0</v>
      </c>
      <c r="Y428" s="185">
        <f t="shared" ca="1" si="305"/>
        <v>0</v>
      </c>
      <c r="Z428" s="185">
        <f t="shared" ca="1" si="305"/>
        <v>0</v>
      </c>
      <c r="AA428" s="185">
        <f t="shared" ca="1" si="305"/>
        <v>0</v>
      </c>
      <c r="AB428" s="185">
        <f t="shared" ca="1" si="305"/>
        <v>0</v>
      </c>
      <c r="AC428" s="185">
        <f t="shared" ca="1" si="305"/>
        <v>0</v>
      </c>
      <c r="AD428" s="185">
        <f t="shared" ca="1" si="305"/>
        <v>0</v>
      </c>
      <c r="AE428" s="185">
        <f t="shared" ca="1" si="305"/>
        <v>0</v>
      </c>
      <c r="AF428" s="185">
        <f t="shared" ca="1" si="305"/>
        <v>0</v>
      </c>
      <c r="AG428" s="185">
        <f t="shared" ca="1" si="305"/>
        <v>0</v>
      </c>
      <c r="AH428" s="185">
        <f t="shared" ca="1" si="305"/>
        <v>0</v>
      </c>
      <c r="AI428" s="185">
        <f t="shared" ca="1" si="305"/>
        <v>0</v>
      </c>
      <c r="AJ428" s="185">
        <f t="shared" ca="1" si="305"/>
        <v>0</v>
      </c>
      <c r="AK428" s="185">
        <f t="shared" ca="1" si="305"/>
        <v>0</v>
      </c>
      <c r="AL428" s="185">
        <f t="shared" si="305"/>
        <v>0</v>
      </c>
      <c r="AM428" s="185">
        <f t="shared" si="305"/>
        <v>0</v>
      </c>
      <c r="AN428" s="185">
        <f t="shared" si="305"/>
        <v>0</v>
      </c>
      <c r="AO428" s="185">
        <f t="shared" si="305"/>
        <v>0</v>
      </c>
      <c r="AP428" s="185">
        <f t="shared" si="305"/>
        <v>0</v>
      </c>
      <c r="AQ428" s="185">
        <f t="shared" si="305"/>
        <v>0</v>
      </c>
      <c r="AR428" s="185">
        <f t="shared" si="305"/>
        <v>0</v>
      </c>
      <c r="AS428" s="185">
        <f t="shared" si="305"/>
        <v>0</v>
      </c>
      <c r="AT428" s="185">
        <f t="shared" si="305"/>
        <v>0</v>
      </c>
      <c r="AU428" s="185">
        <f t="shared" si="305"/>
        <v>0</v>
      </c>
    </row>
    <row r="429" spans="1:47">
      <c r="E429" s="36"/>
      <c r="G429" s="39"/>
      <c r="H429" s="39"/>
      <c r="I429" s="39"/>
      <c r="J429" s="39"/>
      <c r="K429" s="39"/>
    </row>
    <row r="430" spans="1:47">
      <c r="E430" s="327"/>
      <c r="F430" s="28"/>
      <c r="G430" s="324" t="str">
        <f>C432&amp;" Capital Costs"</f>
        <v>Sitework Capital Costs</v>
      </c>
      <c r="H430" s="324"/>
      <c r="I430" s="324"/>
      <c r="J430" s="324"/>
      <c r="K430" s="324"/>
      <c r="L430" s="405" t="s">
        <v>79</v>
      </c>
      <c r="M430" s="256"/>
      <c r="N430" s="325" t="s">
        <v>490</v>
      </c>
      <c r="O430" s="311"/>
      <c r="P430" s="325" t="s">
        <v>491</v>
      </c>
      <c r="Q430" s="310"/>
      <c r="R430" s="325">
        <f>R$8</f>
        <v>2014</v>
      </c>
      <c r="S430" s="325">
        <f t="shared" ref="S430:AU430" si="306">S$8</f>
        <v>2015</v>
      </c>
      <c r="T430" s="325">
        <f t="shared" si="306"/>
        <v>2016</v>
      </c>
      <c r="U430" s="325">
        <f t="shared" si="306"/>
        <v>2017</v>
      </c>
      <c r="V430" s="325">
        <f t="shared" si="306"/>
        <v>2018</v>
      </c>
      <c r="W430" s="325">
        <f t="shared" si="306"/>
        <v>2019</v>
      </c>
      <c r="X430" s="325">
        <f t="shared" si="306"/>
        <v>2020</v>
      </c>
      <c r="Y430" s="325">
        <f t="shared" si="306"/>
        <v>2021</v>
      </c>
      <c r="Z430" s="325">
        <f t="shared" si="306"/>
        <v>2022</v>
      </c>
      <c r="AA430" s="325">
        <f t="shared" si="306"/>
        <v>2023</v>
      </c>
      <c r="AB430" s="325">
        <f t="shared" si="306"/>
        <v>2024</v>
      </c>
      <c r="AC430" s="325">
        <f t="shared" si="306"/>
        <v>2025</v>
      </c>
      <c r="AD430" s="325">
        <f t="shared" si="306"/>
        <v>2026</v>
      </c>
      <c r="AE430" s="325">
        <f t="shared" si="306"/>
        <v>2027</v>
      </c>
      <c r="AF430" s="325">
        <f t="shared" si="306"/>
        <v>2028</v>
      </c>
      <c r="AG430" s="325">
        <f t="shared" si="306"/>
        <v>2029</v>
      </c>
      <c r="AH430" s="325">
        <f t="shared" si="306"/>
        <v>2030</v>
      </c>
      <c r="AI430" s="325">
        <f t="shared" si="306"/>
        <v>2031</v>
      </c>
      <c r="AJ430" s="325">
        <f t="shared" si="306"/>
        <v>2032</v>
      </c>
      <c r="AK430" s="325">
        <f t="shared" si="306"/>
        <v>2033</v>
      </c>
      <c r="AL430" s="325">
        <f t="shared" si="306"/>
        <v>2034</v>
      </c>
      <c r="AM430" s="325">
        <f t="shared" si="306"/>
        <v>2035</v>
      </c>
      <c r="AN430" s="325">
        <f t="shared" si="306"/>
        <v>2036</v>
      </c>
      <c r="AO430" s="325">
        <f t="shared" si="306"/>
        <v>2037</v>
      </c>
      <c r="AP430" s="325">
        <f t="shared" si="306"/>
        <v>2038</v>
      </c>
      <c r="AQ430" s="325">
        <f t="shared" si="306"/>
        <v>2039</v>
      </c>
      <c r="AR430" s="325">
        <f t="shared" si="306"/>
        <v>2040</v>
      </c>
      <c r="AS430" s="325">
        <f t="shared" si="306"/>
        <v>2041</v>
      </c>
      <c r="AT430" s="325">
        <f t="shared" si="306"/>
        <v>2042</v>
      </c>
      <c r="AU430" s="325">
        <f t="shared" si="306"/>
        <v>2043</v>
      </c>
    </row>
    <row r="431" spans="1:47">
      <c r="E431" s="325"/>
      <c r="G431" s="39"/>
      <c r="H431" s="39"/>
      <c r="I431" s="39"/>
      <c r="J431" s="39"/>
      <c r="K431" s="39"/>
    </row>
    <row r="432" spans="1:47">
      <c r="A432" s="38" t="str">
        <f>$J$4&amp;"-"</f>
        <v>2Y-</v>
      </c>
      <c r="B432" s="38" t="s">
        <v>306</v>
      </c>
      <c r="C432" s="38" t="s">
        <v>113</v>
      </c>
      <c r="D432" s="186">
        <f>CapExEsc</f>
        <v>0.03</v>
      </c>
      <c r="E432" s="325"/>
      <c r="G432" s="36" t="s">
        <v>8</v>
      </c>
      <c r="H432" s="39"/>
      <c r="I432" s="39"/>
      <c r="J432" s="70"/>
      <c r="K432" s="39"/>
      <c r="L432" s="43" t="str">
        <f>"["&amp;CostBaseYr&amp;" $]"</f>
        <v>[2013 $]</v>
      </c>
      <c r="N432" s="52">
        <f ca="1">SUMIFS(OFFSET(Assumptions!$I$65,0,MATCH($A432,Configurations,0)-1,COUNT(Assumptions!$A$65:$A$84),1),Assumptions!$E$65:$E$84,$C432)</f>
        <v>978000</v>
      </c>
      <c r="O432" s="52"/>
      <c r="P432" s="322"/>
      <c r="Q432" s="52"/>
      <c r="R432" s="52">
        <f t="shared" ref="R432:AU432" ca="1" si="307">R433*IF($P432=0,$N432,$P432)*(1+$D432)^(R$8-CostBaseYr)</f>
        <v>1007340</v>
      </c>
      <c r="S432" s="52">
        <f t="shared" ca="1" si="307"/>
        <v>0</v>
      </c>
      <c r="T432" s="52">
        <f t="shared" ca="1" si="307"/>
        <v>0</v>
      </c>
      <c r="U432" s="52">
        <f t="shared" ca="1" si="307"/>
        <v>0</v>
      </c>
      <c r="V432" s="52">
        <f t="shared" ca="1" si="307"/>
        <v>0</v>
      </c>
      <c r="W432" s="52">
        <f t="shared" ca="1" si="307"/>
        <v>0</v>
      </c>
      <c r="X432" s="52">
        <f t="shared" ca="1" si="307"/>
        <v>0</v>
      </c>
      <c r="Y432" s="52">
        <f t="shared" ca="1" si="307"/>
        <v>0</v>
      </c>
      <c r="Z432" s="52">
        <f t="shared" ca="1" si="307"/>
        <v>0</v>
      </c>
      <c r="AA432" s="52">
        <f t="shared" ca="1" si="307"/>
        <v>0</v>
      </c>
      <c r="AB432" s="52">
        <f t="shared" ca="1" si="307"/>
        <v>0</v>
      </c>
      <c r="AC432" s="52">
        <f t="shared" ca="1" si="307"/>
        <v>0</v>
      </c>
      <c r="AD432" s="52">
        <f t="shared" ca="1" si="307"/>
        <v>0</v>
      </c>
      <c r="AE432" s="52">
        <f t="shared" ca="1" si="307"/>
        <v>0</v>
      </c>
      <c r="AF432" s="52">
        <f t="shared" ca="1" si="307"/>
        <v>0</v>
      </c>
      <c r="AG432" s="52">
        <f t="shared" ca="1" si="307"/>
        <v>0</v>
      </c>
      <c r="AH432" s="52">
        <f t="shared" ca="1" si="307"/>
        <v>0</v>
      </c>
      <c r="AI432" s="52">
        <f t="shared" ca="1" si="307"/>
        <v>0</v>
      </c>
      <c r="AJ432" s="52">
        <f t="shared" ca="1" si="307"/>
        <v>0</v>
      </c>
      <c r="AK432" s="52">
        <f t="shared" ca="1" si="307"/>
        <v>0</v>
      </c>
      <c r="AL432" s="52">
        <f t="shared" ca="1" si="307"/>
        <v>0</v>
      </c>
      <c r="AM432" s="52">
        <f t="shared" ca="1" si="307"/>
        <v>0</v>
      </c>
      <c r="AN432" s="52">
        <f t="shared" ca="1" si="307"/>
        <v>0</v>
      </c>
      <c r="AO432" s="52">
        <f t="shared" ca="1" si="307"/>
        <v>0</v>
      </c>
      <c r="AP432" s="52">
        <f t="shared" ca="1" si="307"/>
        <v>0</v>
      </c>
      <c r="AQ432" s="52">
        <f t="shared" ca="1" si="307"/>
        <v>0</v>
      </c>
      <c r="AR432" s="52">
        <f t="shared" ca="1" si="307"/>
        <v>0</v>
      </c>
      <c r="AS432" s="52">
        <f t="shared" ca="1" si="307"/>
        <v>0</v>
      </c>
      <c r="AT432" s="52">
        <f t="shared" ca="1" si="307"/>
        <v>0</v>
      </c>
      <c r="AU432" s="52">
        <f t="shared" ca="1" si="307"/>
        <v>0</v>
      </c>
    </row>
    <row r="433" spans="1:47">
      <c r="E433" s="325"/>
      <c r="G433" s="36" t="s">
        <v>10</v>
      </c>
      <c r="H433" s="39"/>
      <c r="I433" s="39"/>
      <c r="J433" s="39"/>
      <c r="K433" s="39"/>
      <c r="L433" s="43"/>
      <c r="R433" s="54">
        <f>Assumptions!M$60</f>
        <v>1</v>
      </c>
      <c r="S433" s="54">
        <f>Assumptions!N$60</f>
        <v>0</v>
      </c>
      <c r="T433" s="54">
        <f>Assumptions!O$60</f>
        <v>0</v>
      </c>
      <c r="U433" s="54">
        <f>Assumptions!P$60</f>
        <v>0</v>
      </c>
      <c r="V433" s="54">
        <f>Assumptions!Q$60</f>
        <v>0</v>
      </c>
      <c r="W433" s="54">
        <f>Assumptions!R$60</f>
        <v>0</v>
      </c>
      <c r="X433" s="54">
        <f>Assumptions!S$60</f>
        <v>0</v>
      </c>
      <c r="Y433" s="54">
        <f>Assumptions!T$60</f>
        <v>0</v>
      </c>
      <c r="Z433" s="54">
        <f>Assumptions!U$60</f>
        <v>0</v>
      </c>
      <c r="AA433" s="54">
        <f>Assumptions!V$60</f>
        <v>0</v>
      </c>
      <c r="AB433" s="54">
        <f>Assumptions!W$60</f>
        <v>0</v>
      </c>
      <c r="AC433" s="54">
        <f>Assumptions!X$60</f>
        <v>0</v>
      </c>
      <c r="AD433" s="54">
        <f>Assumptions!Y$60</f>
        <v>0</v>
      </c>
      <c r="AE433" s="54">
        <f>Assumptions!Z$60</f>
        <v>0</v>
      </c>
      <c r="AF433" s="54">
        <f>Assumptions!AA$60</f>
        <v>0</v>
      </c>
      <c r="AG433" s="54">
        <f>Assumptions!AB$60</f>
        <v>0</v>
      </c>
      <c r="AH433" s="54">
        <f>Assumptions!AC$60</f>
        <v>0</v>
      </c>
      <c r="AI433" s="54">
        <f>Assumptions!AD$60</f>
        <v>0</v>
      </c>
      <c r="AJ433" s="54">
        <f>Assumptions!AE$60</f>
        <v>0</v>
      </c>
      <c r="AK433" s="54">
        <f>Assumptions!AF$60</f>
        <v>0</v>
      </c>
      <c r="AL433" s="54">
        <f>Assumptions!AG$60</f>
        <v>0</v>
      </c>
      <c r="AM433" s="54">
        <f>Assumptions!AH$60</f>
        <v>0</v>
      </c>
      <c r="AN433" s="54">
        <f>Assumptions!AI$60</f>
        <v>0</v>
      </c>
      <c r="AO433" s="54">
        <f>Assumptions!AJ$60</f>
        <v>0</v>
      </c>
      <c r="AP433" s="54">
        <f>Assumptions!AK$60</f>
        <v>0</v>
      </c>
      <c r="AQ433" s="54">
        <f>Assumptions!AL$60</f>
        <v>0</v>
      </c>
      <c r="AR433" s="54">
        <f>Assumptions!AM$60</f>
        <v>0</v>
      </c>
      <c r="AS433" s="54">
        <f>Assumptions!AN$60</f>
        <v>0</v>
      </c>
      <c r="AT433" s="54">
        <f>Assumptions!AO$60</f>
        <v>0</v>
      </c>
      <c r="AU433" s="54">
        <f>Assumptions!AP$60</f>
        <v>0</v>
      </c>
    </row>
    <row r="434" spans="1:47">
      <c r="E434" s="36"/>
      <c r="G434" s="39"/>
      <c r="H434" s="39"/>
      <c r="I434" s="39"/>
      <c r="J434" s="39"/>
      <c r="K434" s="39"/>
    </row>
    <row r="435" spans="1:47">
      <c r="E435" s="327"/>
      <c r="F435" s="28"/>
      <c r="G435" s="324" t="str">
        <f>C437&amp;" Capital Costs"</f>
        <v>General Requirements Capital Costs</v>
      </c>
      <c r="H435" s="324"/>
      <c r="I435" s="324"/>
      <c r="J435" s="324"/>
      <c r="K435" s="324"/>
      <c r="L435" s="405" t="s">
        <v>79</v>
      </c>
      <c r="M435" s="256"/>
      <c r="N435" s="325" t="s">
        <v>490</v>
      </c>
      <c r="O435" s="311"/>
      <c r="P435" s="325" t="s">
        <v>491</v>
      </c>
      <c r="Q435" s="310"/>
      <c r="R435" s="325">
        <f>R$8</f>
        <v>2014</v>
      </c>
      <c r="S435" s="325">
        <f t="shared" ref="S435:AU435" si="308">S$8</f>
        <v>2015</v>
      </c>
      <c r="T435" s="325">
        <f t="shared" si="308"/>
        <v>2016</v>
      </c>
      <c r="U435" s="325">
        <f t="shared" si="308"/>
        <v>2017</v>
      </c>
      <c r="V435" s="325">
        <f t="shared" si="308"/>
        <v>2018</v>
      </c>
      <c r="W435" s="325">
        <f t="shared" si="308"/>
        <v>2019</v>
      </c>
      <c r="X435" s="325">
        <f t="shared" si="308"/>
        <v>2020</v>
      </c>
      <c r="Y435" s="325">
        <f t="shared" si="308"/>
        <v>2021</v>
      </c>
      <c r="Z435" s="325">
        <f t="shared" si="308"/>
        <v>2022</v>
      </c>
      <c r="AA435" s="325">
        <f t="shared" si="308"/>
        <v>2023</v>
      </c>
      <c r="AB435" s="325">
        <f t="shared" si="308"/>
        <v>2024</v>
      </c>
      <c r="AC435" s="325">
        <f t="shared" si="308"/>
        <v>2025</v>
      </c>
      <c r="AD435" s="325">
        <f t="shared" si="308"/>
        <v>2026</v>
      </c>
      <c r="AE435" s="325">
        <f t="shared" si="308"/>
        <v>2027</v>
      </c>
      <c r="AF435" s="325">
        <f t="shared" si="308"/>
        <v>2028</v>
      </c>
      <c r="AG435" s="325">
        <f t="shared" si="308"/>
        <v>2029</v>
      </c>
      <c r="AH435" s="325">
        <f t="shared" si="308"/>
        <v>2030</v>
      </c>
      <c r="AI435" s="325">
        <f t="shared" si="308"/>
        <v>2031</v>
      </c>
      <c r="AJ435" s="325">
        <f t="shared" si="308"/>
        <v>2032</v>
      </c>
      <c r="AK435" s="325">
        <f t="shared" si="308"/>
        <v>2033</v>
      </c>
      <c r="AL435" s="325">
        <f t="shared" si="308"/>
        <v>2034</v>
      </c>
      <c r="AM435" s="325">
        <f t="shared" si="308"/>
        <v>2035</v>
      </c>
      <c r="AN435" s="325">
        <f t="shared" si="308"/>
        <v>2036</v>
      </c>
      <c r="AO435" s="325">
        <f t="shared" si="308"/>
        <v>2037</v>
      </c>
      <c r="AP435" s="325">
        <f t="shared" si="308"/>
        <v>2038</v>
      </c>
      <c r="AQ435" s="325">
        <f t="shared" si="308"/>
        <v>2039</v>
      </c>
      <c r="AR435" s="325">
        <f t="shared" si="308"/>
        <v>2040</v>
      </c>
      <c r="AS435" s="325">
        <f t="shared" si="308"/>
        <v>2041</v>
      </c>
      <c r="AT435" s="325">
        <f t="shared" si="308"/>
        <v>2042</v>
      </c>
      <c r="AU435" s="325">
        <f t="shared" si="308"/>
        <v>2043</v>
      </c>
    </row>
    <row r="436" spans="1:47">
      <c r="E436" s="325"/>
      <c r="G436" s="39"/>
      <c r="H436" s="39"/>
      <c r="I436" s="39"/>
      <c r="J436" s="39"/>
      <c r="K436" s="39"/>
    </row>
    <row r="437" spans="1:47">
      <c r="A437" s="38" t="str">
        <f>$J$4&amp;"-"</f>
        <v>2Y-</v>
      </c>
      <c r="B437" s="38" t="s">
        <v>306</v>
      </c>
      <c r="C437" s="38" t="s">
        <v>115</v>
      </c>
      <c r="D437" s="186">
        <f>CapExEsc</f>
        <v>0.03</v>
      </c>
      <c r="E437" s="325"/>
      <c r="G437" s="36" t="s">
        <v>8</v>
      </c>
      <c r="H437" s="39"/>
      <c r="I437" s="39"/>
      <c r="J437" s="70"/>
      <c r="K437" s="39"/>
      <c r="L437" s="43" t="str">
        <f>"["&amp;CostBaseYr&amp;" $]"</f>
        <v>[2013 $]</v>
      </c>
      <c r="N437" s="52">
        <f ca="1">SUMIFS(OFFSET(Assumptions!$I$65,0,MATCH($A437,Configurations,0)-1,COUNT(Assumptions!$A$65:$A$84),1),Assumptions!$E$65:$E$84,$C437)</f>
        <v>1956000</v>
      </c>
      <c r="O437" s="52"/>
      <c r="P437" s="322"/>
      <c r="Q437" s="52"/>
      <c r="R437" s="52">
        <f t="shared" ref="R437:AU437" ca="1" si="309">R438*IF($P437=0,$N437,$P437)*(1+$D437)^(R$8-CostBaseYr)</f>
        <v>2014680</v>
      </c>
      <c r="S437" s="52">
        <f t="shared" ca="1" si="309"/>
        <v>0</v>
      </c>
      <c r="T437" s="52">
        <f t="shared" ca="1" si="309"/>
        <v>0</v>
      </c>
      <c r="U437" s="52">
        <f t="shared" ca="1" si="309"/>
        <v>0</v>
      </c>
      <c r="V437" s="52">
        <f t="shared" ca="1" si="309"/>
        <v>0</v>
      </c>
      <c r="W437" s="52">
        <f t="shared" ca="1" si="309"/>
        <v>0</v>
      </c>
      <c r="X437" s="52">
        <f t="shared" ca="1" si="309"/>
        <v>0</v>
      </c>
      <c r="Y437" s="52">
        <f t="shared" ca="1" si="309"/>
        <v>0</v>
      </c>
      <c r="Z437" s="52">
        <f t="shared" ca="1" si="309"/>
        <v>0</v>
      </c>
      <c r="AA437" s="52">
        <f t="shared" ca="1" si="309"/>
        <v>0</v>
      </c>
      <c r="AB437" s="52">
        <f t="shared" ca="1" si="309"/>
        <v>0</v>
      </c>
      <c r="AC437" s="52">
        <f t="shared" ca="1" si="309"/>
        <v>0</v>
      </c>
      <c r="AD437" s="52">
        <f t="shared" ca="1" si="309"/>
        <v>0</v>
      </c>
      <c r="AE437" s="52">
        <f t="shared" ca="1" si="309"/>
        <v>0</v>
      </c>
      <c r="AF437" s="52">
        <f t="shared" ca="1" si="309"/>
        <v>0</v>
      </c>
      <c r="AG437" s="52">
        <f t="shared" ca="1" si="309"/>
        <v>0</v>
      </c>
      <c r="AH437" s="52">
        <f t="shared" ca="1" si="309"/>
        <v>0</v>
      </c>
      <c r="AI437" s="52">
        <f t="shared" ca="1" si="309"/>
        <v>0</v>
      </c>
      <c r="AJ437" s="52">
        <f t="shared" ca="1" si="309"/>
        <v>0</v>
      </c>
      <c r="AK437" s="52">
        <f t="shared" ca="1" si="309"/>
        <v>0</v>
      </c>
      <c r="AL437" s="52">
        <f t="shared" ca="1" si="309"/>
        <v>0</v>
      </c>
      <c r="AM437" s="52">
        <f t="shared" ca="1" si="309"/>
        <v>0</v>
      </c>
      <c r="AN437" s="52">
        <f t="shared" ca="1" si="309"/>
        <v>0</v>
      </c>
      <c r="AO437" s="52">
        <f t="shared" ca="1" si="309"/>
        <v>0</v>
      </c>
      <c r="AP437" s="52">
        <f t="shared" ca="1" si="309"/>
        <v>0</v>
      </c>
      <c r="AQ437" s="52">
        <f t="shared" ca="1" si="309"/>
        <v>0</v>
      </c>
      <c r="AR437" s="52">
        <f t="shared" ca="1" si="309"/>
        <v>0</v>
      </c>
      <c r="AS437" s="52">
        <f t="shared" ca="1" si="309"/>
        <v>0</v>
      </c>
      <c r="AT437" s="52">
        <f t="shared" ca="1" si="309"/>
        <v>0</v>
      </c>
      <c r="AU437" s="52">
        <f t="shared" ca="1" si="309"/>
        <v>0</v>
      </c>
    </row>
    <row r="438" spans="1:47">
      <c r="E438" s="325"/>
      <c r="G438" s="36" t="s">
        <v>10</v>
      </c>
      <c r="H438" s="39"/>
      <c r="I438" s="39"/>
      <c r="J438" s="39"/>
      <c r="K438" s="39"/>
      <c r="L438" s="43"/>
      <c r="R438" s="54">
        <f>Assumptions!M$60</f>
        <v>1</v>
      </c>
      <c r="S438" s="54">
        <f>Assumptions!N$60</f>
        <v>0</v>
      </c>
      <c r="T438" s="54">
        <f>Assumptions!O$60</f>
        <v>0</v>
      </c>
      <c r="U438" s="54">
        <f>Assumptions!P$60</f>
        <v>0</v>
      </c>
      <c r="V438" s="54">
        <f>Assumptions!Q$60</f>
        <v>0</v>
      </c>
      <c r="W438" s="54">
        <f>Assumptions!R$60</f>
        <v>0</v>
      </c>
      <c r="X438" s="54">
        <f>Assumptions!S$60</f>
        <v>0</v>
      </c>
      <c r="Y438" s="54">
        <f>Assumptions!T$60</f>
        <v>0</v>
      </c>
      <c r="Z438" s="54">
        <f>Assumptions!U$60</f>
        <v>0</v>
      </c>
      <c r="AA438" s="54">
        <f>Assumptions!V$60</f>
        <v>0</v>
      </c>
      <c r="AB438" s="54">
        <f>Assumptions!W$60</f>
        <v>0</v>
      </c>
      <c r="AC438" s="54">
        <f>Assumptions!X$60</f>
        <v>0</v>
      </c>
      <c r="AD438" s="54">
        <f>Assumptions!Y$60</f>
        <v>0</v>
      </c>
      <c r="AE438" s="54">
        <f>Assumptions!Z$60</f>
        <v>0</v>
      </c>
      <c r="AF438" s="54">
        <f>Assumptions!AA$60</f>
        <v>0</v>
      </c>
      <c r="AG438" s="54">
        <f>Assumptions!AB$60</f>
        <v>0</v>
      </c>
      <c r="AH438" s="54">
        <f>Assumptions!AC$60</f>
        <v>0</v>
      </c>
      <c r="AI438" s="54">
        <f>Assumptions!AD$60</f>
        <v>0</v>
      </c>
      <c r="AJ438" s="54">
        <f>Assumptions!AE$60</f>
        <v>0</v>
      </c>
      <c r="AK438" s="54">
        <f>Assumptions!AF$60</f>
        <v>0</v>
      </c>
      <c r="AL438" s="54">
        <f>Assumptions!AG$60</f>
        <v>0</v>
      </c>
      <c r="AM438" s="54">
        <f>Assumptions!AH$60</f>
        <v>0</v>
      </c>
      <c r="AN438" s="54">
        <f>Assumptions!AI$60</f>
        <v>0</v>
      </c>
      <c r="AO438" s="54">
        <f>Assumptions!AJ$60</f>
        <v>0</v>
      </c>
      <c r="AP438" s="54">
        <f>Assumptions!AK$60</f>
        <v>0</v>
      </c>
      <c r="AQ438" s="54">
        <f>Assumptions!AL$60</f>
        <v>0</v>
      </c>
      <c r="AR438" s="54">
        <f>Assumptions!AM$60</f>
        <v>0</v>
      </c>
      <c r="AS438" s="54">
        <f>Assumptions!AN$60</f>
        <v>0</v>
      </c>
      <c r="AT438" s="54">
        <f>Assumptions!AO$60</f>
        <v>0</v>
      </c>
      <c r="AU438" s="54">
        <f>Assumptions!AP$60</f>
        <v>0</v>
      </c>
    </row>
    <row r="439" spans="1:47">
      <c r="E439" s="36"/>
      <c r="G439" s="39"/>
      <c r="H439" s="39"/>
      <c r="I439" s="39"/>
      <c r="J439" s="39"/>
      <c r="K439" s="39"/>
    </row>
    <row r="440" spans="1:47">
      <c r="E440" s="327"/>
      <c r="F440" s="28"/>
      <c r="G440" s="324" t="str">
        <f>C442&amp;" Capital Costs"</f>
        <v>Contingencies Capital Costs</v>
      </c>
      <c r="H440" s="324"/>
      <c r="I440" s="324"/>
      <c r="J440" s="324"/>
      <c r="K440" s="324"/>
      <c r="L440" s="405" t="s">
        <v>79</v>
      </c>
      <c r="M440" s="256"/>
      <c r="N440" s="325" t="s">
        <v>490</v>
      </c>
      <c r="O440" s="311"/>
      <c r="P440" s="325" t="s">
        <v>491</v>
      </c>
      <c r="Q440" s="310"/>
      <c r="R440" s="325">
        <f>R$8</f>
        <v>2014</v>
      </c>
      <c r="S440" s="325">
        <f t="shared" ref="S440:AU440" si="310">S$8</f>
        <v>2015</v>
      </c>
      <c r="T440" s="325">
        <f t="shared" si="310"/>
        <v>2016</v>
      </c>
      <c r="U440" s="325">
        <f t="shared" si="310"/>
        <v>2017</v>
      </c>
      <c r="V440" s="325">
        <f t="shared" si="310"/>
        <v>2018</v>
      </c>
      <c r="W440" s="325">
        <f t="shared" si="310"/>
        <v>2019</v>
      </c>
      <c r="X440" s="325">
        <f t="shared" si="310"/>
        <v>2020</v>
      </c>
      <c r="Y440" s="325">
        <f t="shared" si="310"/>
        <v>2021</v>
      </c>
      <c r="Z440" s="325">
        <f t="shared" si="310"/>
        <v>2022</v>
      </c>
      <c r="AA440" s="325">
        <f t="shared" si="310"/>
        <v>2023</v>
      </c>
      <c r="AB440" s="325">
        <f t="shared" si="310"/>
        <v>2024</v>
      </c>
      <c r="AC440" s="325">
        <f t="shared" si="310"/>
        <v>2025</v>
      </c>
      <c r="AD440" s="325">
        <f t="shared" si="310"/>
        <v>2026</v>
      </c>
      <c r="AE440" s="325">
        <f t="shared" si="310"/>
        <v>2027</v>
      </c>
      <c r="AF440" s="325">
        <f t="shared" si="310"/>
        <v>2028</v>
      </c>
      <c r="AG440" s="325">
        <f t="shared" si="310"/>
        <v>2029</v>
      </c>
      <c r="AH440" s="325">
        <f t="shared" si="310"/>
        <v>2030</v>
      </c>
      <c r="AI440" s="325">
        <f t="shared" si="310"/>
        <v>2031</v>
      </c>
      <c r="AJ440" s="325">
        <f t="shared" si="310"/>
        <v>2032</v>
      </c>
      <c r="AK440" s="325">
        <f t="shared" si="310"/>
        <v>2033</v>
      </c>
      <c r="AL440" s="325">
        <f t="shared" si="310"/>
        <v>2034</v>
      </c>
      <c r="AM440" s="325">
        <f t="shared" si="310"/>
        <v>2035</v>
      </c>
      <c r="AN440" s="325">
        <f t="shared" si="310"/>
        <v>2036</v>
      </c>
      <c r="AO440" s="325">
        <f t="shared" si="310"/>
        <v>2037</v>
      </c>
      <c r="AP440" s="325">
        <f t="shared" si="310"/>
        <v>2038</v>
      </c>
      <c r="AQ440" s="325">
        <f t="shared" si="310"/>
        <v>2039</v>
      </c>
      <c r="AR440" s="325">
        <f t="shared" si="310"/>
        <v>2040</v>
      </c>
      <c r="AS440" s="325">
        <f t="shared" si="310"/>
        <v>2041</v>
      </c>
      <c r="AT440" s="325">
        <f t="shared" si="310"/>
        <v>2042</v>
      </c>
      <c r="AU440" s="325">
        <f t="shared" si="310"/>
        <v>2043</v>
      </c>
    </row>
    <row r="441" spans="1:47">
      <c r="E441" s="325"/>
      <c r="G441" s="39"/>
      <c r="H441" s="39"/>
      <c r="I441" s="39"/>
      <c r="J441" s="39"/>
      <c r="K441" s="39"/>
    </row>
    <row r="442" spans="1:47">
      <c r="A442" s="38" t="str">
        <f>$J$4&amp;"-"</f>
        <v>2Y-</v>
      </c>
      <c r="B442" s="38" t="s">
        <v>306</v>
      </c>
      <c r="C442" s="38" t="s">
        <v>146</v>
      </c>
      <c r="D442" s="186">
        <f>CapExEsc</f>
        <v>0.03</v>
      </c>
      <c r="E442" s="325"/>
      <c r="G442" s="36" t="s">
        <v>8</v>
      </c>
      <c r="H442" s="39"/>
      <c r="I442" s="39"/>
      <c r="J442" s="70"/>
      <c r="K442" s="39"/>
      <c r="L442" s="43" t="str">
        <f>"["&amp;CostBaseYr&amp;" $]"</f>
        <v>[2013 $]</v>
      </c>
      <c r="N442" s="52">
        <f ca="1">SUMIFS(OFFSET(Assumptions!$I$65,0,MATCH($A442,Configurations,0)-1,COUNT(Assumptions!$A$65:$A$84),1),Assumptions!$E$65:$E$84,$C442)</f>
        <v>6749000</v>
      </c>
      <c r="O442" s="52"/>
      <c r="P442" s="322"/>
      <c r="Q442" s="52"/>
      <c r="R442" s="52">
        <f t="shared" ref="R442:AU442" ca="1" si="311">R443*IF($P442=0,$N442,$P442)*(1+$D442)^(R$8-CostBaseYr)</f>
        <v>6951470</v>
      </c>
      <c r="S442" s="52">
        <f t="shared" ca="1" si="311"/>
        <v>0</v>
      </c>
      <c r="T442" s="52">
        <f t="shared" ca="1" si="311"/>
        <v>0</v>
      </c>
      <c r="U442" s="52">
        <f t="shared" ca="1" si="311"/>
        <v>0</v>
      </c>
      <c r="V442" s="52">
        <f t="shared" ca="1" si="311"/>
        <v>0</v>
      </c>
      <c r="W442" s="52">
        <f t="shared" ca="1" si="311"/>
        <v>0</v>
      </c>
      <c r="X442" s="52">
        <f t="shared" ca="1" si="311"/>
        <v>0</v>
      </c>
      <c r="Y442" s="52">
        <f t="shared" ca="1" si="311"/>
        <v>0</v>
      </c>
      <c r="Z442" s="52">
        <f t="shared" ca="1" si="311"/>
        <v>0</v>
      </c>
      <c r="AA442" s="52">
        <f t="shared" ca="1" si="311"/>
        <v>0</v>
      </c>
      <c r="AB442" s="52">
        <f t="shared" ca="1" si="311"/>
        <v>0</v>
      </c>
      <c r="AC442" s="52">
        <f t="shared" ca="1" si="311"/>
        <v>0</v>
      </c>
      <c r="AD442" s="52">
        <f t="shared" ca="1" si="311"/>
        <v>0</v>
      </c>
      <c r="AE442" s="52">
        <f t="shared" ca="1" si="311"/>
        <v>0</v>
      </c>
      <c r="AF442" s="52">
        <f t="shared" ca="1" si="311"/>
        <v>0</v>
      </c>
      <c r="AG442" s="52">
        <f t="shared" ca="1" si="311"/>
        <v>0</v>
      </c>
      <c r="AH442" s="52">
        <f t="shared" ca="1" si="311"/>
        <v>0</v>
      </c>
      <c r="AI442" s="52">
        <f t="shared" ca="1" si="311"/>
        <v>0</v>
      </c>
      <c r="AJ442" s="52">
        <f t="shared" ca="1" si="311"/>
        <v>0</v>
      </c>
      <c r="AK442" s="52">
        <f t="shared" ca="1" si="311"/>
        <v>0</v>
      </c>
      <c r="AL442" s="52">
        <f t="shared" ca="1" si="311"/>
        <v>0</v>
      </c>
      <c r="AM442" s="52">
        <f t="shared" ca="1" si="311"/>
        <v>0</v>
      </c>
      <c r="AN442" s="52">
        <f t="shared" ca="1" si="311"/>
        <v>0</v>
      </c>
      <c r="AO442" s="52">
        <f t="shared" ca="1" si="311"/>
        <v>0</v>
      </c>
      <c r="AP442" s="52">
        <f t="shared" ca="1" si="311"/>
        <v>0</v>
      </c>
      <c r="AQ442" s="52">
        <f t="shared" ca="1" si="311"/>
        <v>0</v>
      </c>
      <c r="AR442" s="52">
        <f t="shared" ca="1" si="311"/>
        <v>0</v>
      </c>
      <c r="AS442" s="52">
        <f t="shared" ca="1" si="311"/>
        <v>0</v>
      </c>
      <c r="AT442" s="52">
        <f t="shared" ca="1" si="311"/>
        <v>0</v>
      </c>
      <c r="AU442" s="52">
        <f t="shared" ca="1" si="311"/>
        <v>0</v>
      </c>
    </row>
    <row r="443" spans="1:47">
      <c r="E443" s="325"/>
      <c r="G443" s="36" t="s">
        <v>10</v>
      </c>
      <c r="H443" s="39"/>
      <c r="I443" s="39"/>
      <c r="J443" s="39"/>
      <c r="K443" s="39"/>
      <c r="L443" s="43"/>
      <c r="R443" s="54">
        <f>Assumptions!M$60</f>
        <v>1</v>
      </c>
      <c r="S443" s="54">
        <f>Assumptions!N$60</f>
        <v>0</v>
      </c>
      <c r="T443" s="54">
        <f>Assumptions!O$60</f>
        <v>0</v>
      </c>
      <c r="U443" s="54">
        <f>Assumptions!P$60</f>
        <v>0</v>
      </c>
      <c r="V443" s="54">
        <f>Assumptions!Q$60</f>
        <v>0</v>
      </c>
      <c r="W443" s="54">
        <f>Assumptions!R$60</f>
        <v>0</v>
      </c>
      <c r="X443" s="54">
        <f>Assumptions!S$60</f>
        <v>0</v>
      </c>
      <c r="Y443" s="54">
        <f>Assumptions!T$60</f>
        <v>0</v>
      </c>
      <c r="Z443" s="54">
        <f>Assumptions!U$60</f>
        <v>0</v>
      </c>
      <c r="AA443" s="54">
        <f>Assumptions!V$60</f>
        <v>0</v>
      </c>
      <c r="AB443" s="54">
        <f>Assumptions!W$60</f>
        <v>0</v>
      </c>
      <c r="AC443" s="54">
        <f>Assumptions!X$60</f>
        <v>0</v>
      </c>
      <c r="AD443" s="54">
        <f>Assumptions!Y$60</f>
        <v>0</v>
      </c>
      <c r="AE443" s="54">
        <f>Assumptions!Z$60</f>
        <v>0</v>
      </c>
      <c r="AF443" s="54">
        <f>Assumptions!AA$60</f>
        <v>0</v>
      </c>
      <c r="AG443" s="54">
        <f>Assumptions!AB$60</f>
        <v>0</v>
      </c>
      <c r="AH443" s="54">
        <f>Assumptions!AC$60</f>
        <v>0</v>
      </c>
      <c r="AI443" s="54">
        <f>Assumptions!AD$60</f>
        <v>0</v>
      </c>
      <c r="AJ443" s="54">
        <f>Assumptions!AE$60</f>
        <v>0</v>
      </c>
      <c r="AK443" s="54">
        <f>Assumptions!AF$60</f>
        <v>0</v>
      </c>
      <c r="AL443" s="54">
        <f>Assumptions!AG$60</f>
        <v>0</v>
      </c>
      <c r="AM443" s="54">
        <f>Assumptions!AH$60</f>
        <v>0</v>
      </c>
      <c r="AN443" s="54">
        <f>Assumptions!AI$60</f>
        <v>0</v>
      </c>
      <c r="AO443" s="54">
        <f>Assumptions!AJ$60</f>
        <v>0</v>
      </c>
      <c r="AP443" s="54">
        <f>Assumptions!AK$60</f>
        <v>0</v>
      </c>
      <c r="AQ443" s="54">
        <f>Assumptions!AL$60</f>
        <v>0</v>
      </c>
      <c r="AR443" s="54">
        <f>Assumptions!AM$60</f>
        <v>0</v>
      </c>
      <c r="AS443" s="54">
        <f>Assumptions!AN$60</f>
        <v>0</v>
      </c>
      <c r="AT443" s="54">
        <f>Assumptions!AO$60</f>
        <v>0</v>
      </c>
      <c r="AU443" s="54">
        <f>Assumptions!AP$60</f>
        <v>0</v>
      </c>
    </row>
    <row r="444" spans="1:47">
      <c r="E444" s="36"/>
      <c r="G444" s="39"/>
      <c r="H444" s="39"/>
      <c r="I444" s="39"/>
      <c r="J444" s="39"/>
      <c r="K444" s="39"/>
    </row>
    <row r="445" spans="1:47">
      <c r="E445" s="327"/>
      <c r="F445" s="28"/>
      <c r="G445" s="324" t="str">
        <f>C447&amp;" Capital Costs"</f>
        <v>Engineering, Legal &amp; Admin Capital Costs</v>
      </c>
      <c r="H445" s="324"/>
      <c r="I445" s="324"/>
      <c r="J445" s="324"/>
      <c r="K445" s="324"/>
      <c r="L445" s="405" t="s">
        <v>79</v>
      </c>
      <c r="M445" s="256"/>
      <c r="N445" s="325" t="s">
        <v>490</v>
      </c>
      <c r="O445" s="311"/>
      <c r="P445" s="325" t="s">
        <v>491</v>
      </c>
      <c r="Q445" s="310"/>
      <c r="R445" s="325">
        <f>R$8</f>
        <v>2014</v>
      </c>
      <c r="S445" s="325">
        <f t="shared" ref="S445:AU445" si="312">S$8</f>
        <v>2015</v>
      </c>
      <c r="T445" s="325">
        <f t="shared" si="312"/>
        <v>2016</v>
      </c>
      <c r="U445" s="325">
        <f t="shared" si="312"/>
        <v>2017</v>
      </c>
      <c r="V445" s="325">
        <f t="shared" si="312"/>
        <v>2018</v>
      </c>
      <c r="W445" s="325">
        <f t="shared" si="312"/>
        <v>2019</v>
      </c>
      <c r="X445" s="325">
        <f t="shared" si="312"/>
        <v>2020</v>
      </c>
      <c r="Y445" s="325">
        <f t="shared" si="312"/>
        <v>2021</v>
      </c>
      <c r="Z445" s="325">
        <f t="shared" si="312"/>
        <v>2022</v>
      </c>
      <c r="AA445" s="325">
        <f t="shared" si="312"/>
        <v>2023</v>
      </c>
      <c r="AB445" s="325">
        <f t="shared" si="312"/>
        <v>2024</v>
      </c>
      <c r="AC445" s="325">
        <f t="shared" si="312"/>
        <v>2025</v>
      </c>
      <c r="AD445" s="325">
        <f t="shared" si="312"/>
        <v>2026</v>
      </c>
      <c r="AE445" s="325">
        <f t="shared" si="312"/>
        <v>2027</v>
      </c>
      <c r="AF445" s="325">
        <f t="shared" si="312"/>
        <v>2028</v>
      </c>
      <c r="AG445" s="325">
        <f t="shared" si="312"/>
        <v>2029</v>
      </c>
      <c r="AH445" s="325">
        <f t="shared" si="312"/>
        <v>2030</v>
      </c>
      <c r="AI445" s="325">
        <f t="shared" si="312"/>
        <v>2031</v>
      </c>
      <c r="AJ445" s="325">
        <f t="shared" si="312"/>
        <v>2032</v>
      </c>
      <c r="AK445" s="325">
        <f t="shared" si="312"/>
        <v>2033</v>
      </c>
      <c r="AL445" s="325">
        <f t="shared" si="312"/>
        <v>2034</v>
      </c>
      <c r="AM445" s="325">
        <f t="shared" si="312"/>
        <v>2035</v>
      </c>
      <c r="AN445" s="325">
        <f t="shared" si="312"/>
        <v>2036</v>
      </c>
      <c r="AO445" s="325">
        <f t="shared" si="312"/>
        <v>2037</v>
      </c>
      <c r="AP445" s="325">
        <f t="shared" si="312"/>
        <v>2038</v>
      </c>
      <c r="AQ445" s="325">
        <f t="shared" si="312"/>
        <v>2039</v>
      </c>
      <c r="AR445" s="325">
        <f t="shared" si="312"/>
        <v>2040</v>
      </c>
      <c r="AS445" s="325">
        <f t="shared" si="312"/>
        <v>2041</v>
      </c>
      <c r="AT445" s="325">
        <f t="shared" si="312"/>
        <v>2042</v>
      </c>
      <c r="AU445" s="325">
        <f t="shared" si="312"/>
        <v>2043</v>
      </c>
    </row>
    <row r="446" spans="1:47">
      <c r="E446" s="325"/>
      <c r="G446" s="39"/>
      <c r="H446" s="39"/>
      <c r="I446" s="39"/>
      <c r="J446" s="39"/>
      <c r="K446" s="39"/>
    </row>
    <row r="447" spans="1:47">
      <c r="A447" s="38" t="str">
        <f>$J$4&amp;"-"</f>
        <v>2Y-</v>
      </c>
      <c r="B447" s="38" t="s">
        <v>306</v>
      </c>
      <c r="C447" s="38" t="s">
        <v>147</v>
      </c>
      <c r="D447" s="186">
        <f>CapExEsc</f>
        <v>0.03</v>
      </c>
      <c r="E447" s="325"/>
      <c r="G447" s="36" t="s">
        <v>8</v>
      </c>
      <c r="H447" s="39"/>
      <c r="I447" s="39"/>
      <c r="J447" s="70"/>
      <c r="K447" s="39"/>
      <c r="L447" s="43" t="str">
        <f>"["&amp;CostBaseYr&amp;" $]"</f>
        <v>[2013 $]</v>
      </c>
      <c r="N447" s="52">
        <f ca="1">SUMIFS(OFFSET(Assumptions!$I$65,0,MATCH($A447,Configurations,0)-1,COUNT(Assumptions!$A$65:$A$84),1),Assumptions!$E$65:$E$84,$C447)</f>
        <v>4387000</v>
      </c>
      <c r="O447" s="52"/>
      <c r="P447" s="322"/>
      <c r="Q447" s="52"/>
      <c r="R447" s="52">
        <f t="shared" ref="R447:AU447" ca="1" si="313">R448*IF($P447=0,$N447,$P447)*(1+$D447)^(R$8-CostBaseYr)</f>
        <v>4518610</v>
      </c>
      <c r="S447" s="52">
        <f t="shared" ca="1" si="313"/>
        <v>0</v>
      </c>
      <c r="T447" s="52">
        <f t="shared" ca="1" si="313"/>
        <v>0</v>
      </c>
      <c r="U447" s="52">
        <f t="shared" ca="1" si="313"/>
        <v>0</v>
      </c>
      <c r="V447" s="52">
        <f t="shared" ca="1" si="313"/>
        <v>0</v>
      </c>
      <c r="W447" s="52">
        <f t="shared" ca="1" si="313"/>
        <v>0</v>
      </c>
      <c r="X447" s="52">
        <f t="shared" ca="1" si="313"/>
        <v>0</v>
      </c>
      <c r="Y447" s="52">
        <f t="shared" ca="1" si="313"/>
        <v>0</v>
      </c>
      <c r="Z447" s="52">
        <f t="shared" ca="1" si="313"/>
        <v>0</v>
      </c>
      <c r="AA447" s="52">
        <f t="shared" ca="1" si="313"/>
        <v>0</v>
      </c>
      <c r="AB447" s="52">
        <f t="shared" ca="1" si="313"/>
        <v>0</v>
      </c>
      <c r="AC447" s="52">
        <f t="shared" ca="1" si="313"/>
        <v>0</v>
      </c>
      <c r="AD447" s="52">
        <f t="shared" ca="1" si="313"/>
        <v>0</v>
      </c>
      <c r="AE447" s="52">
        <f t="shared" ca="1" si="313"/>
        <v>0</v>
      </c>
      <c r="AF447" s="52">
        <f t="shared" ca="1" si="313"/>
        <v>0</v>
      </c>
      <c r="AG447" s="52">
        <f t="shared" ca="1" si="313"/>
        <v>0</v>
      </c>
      <c r="AH447" s="52">
        <f t="shared" ca="1" si="313"/>
        <v>0</v>
      </c>
      <c r="AI447" s="52">
        <f t="shared" ca="1" si="313"/>
        <v>0</v>
      </c>
      <c r="AJ447" s="52">
        <f t="shared" ca="1" si="313"/>
        <v>0</v>
      </c>
      <c r="AK447" s="52">
        <f t="shared" ca="1" si="313"/>
        <v>0</v>
      </c>
      <c r="AL447" s="52">
        <f t="shared" ca="1" si="313"/>
        <v>0</v>
      </c>
      <c r="AM447" s="52">
        <f t="shared" ca="1" si="313"/>
        <v>0</v>
      </c>
      <c r="AN447" s="52">
        <f t="shared" ca="1" si="313"/>
        <v>0</v>
      </c>
      <c r="AO447" s="52">
        <f t="shared" ca="1" si="313"/>
        <v>0</v>
      </c>
      <c r="AP447" s="52">
        <f t="shared" ca="1" si="313"/>
        <v>0</v>
      </c>
      <c r="AQ447" s="52">
        <f t="shared" ca="1" si="313"/>
        <v>0</v>
      </c>
      <c r="AR447" s="52">
        <f t="shared" ca="1" si="313"/>
        <v>0</v>
      </c>
      <c r="AS447" s="52">
        <f t="shared" ca="1" si="313"/>
        <v>0</v>
      </c>
      <c r="AT447" s="52">
        <f t="shared" ca="1" si="313"/>
        <v>0</v>
      </c>
      <c r="AU447" s="52">
        <f t="shared" ca="1" si="313"/>
        <v>0</v>
      </c>
    </row>
    <row r="448" spans="1:47">
      <c r="E448" s="325"/>
      <c r="G448" s="36" t="s">
        <v>10</v>
      </c>
      <c r="H448" s="39"/>
      <c r="I448" s="39"/>
      <c r="J448" s="39"/>
      <c r="K448" s="39"/>
      <c r="L448" s="43"/>
      <c r="R448" s="54">
        <f>Assumptions!M$60</f>
        <v>1</v>
      </c>
      <c r="S448" s="54">
        <f>Assumptions!N$60</f>
        <v>0</v>
      </c>
      <c r="T448" s="54">
        <f>Assumptions!O$60</f>
        <v>0</v>
      </c>
      <c r="U448" s="54">
        <f>Assumptions!P$60</f>
        <v>0</v>
      </c>
      <c r="V448" s="54">
        <f>Assumptions!Q$60</f>
        <v>0</v>
      </c>
      <c r="W448" s="54">
        <f>Assumptions!R$60</f>
        <v>0</v>
      </c>
      <c r="X448" s="54">
        <f>Assumptions!S$60</f>
        <v>0</v>
      </c>
      <c r="Y448" s="54">
        <f>Assumptions!T$60</f>
        <v>0</v>
      </c>
      <c r="Z448" s="54">
        <f>Assumptions!U$60</f>
        <v>0</v>
      </c>
      <c r="AA448" s="54">
        <f>Assumptions!V$60</f>
        <v>0</v>
      </c>
      <c r="AB448" s="54">
        <f>Assumptions!W$60</f>
        <v>0</v>
      </c>
      <c r="AC448" s="54">
        <f>Assumptions!X$60</f>
        <v>0</v>
      </c>
      <c r="AD448" s="54">
        <f>Assumptions!Y$60</f>
        <v>0</v>
      </c>
      <c r="AE448" s="54">
        <f>Assumptions!Z$60</f>
        <v>0</v>
      </c>
      <c r="AF448" s="54">
        <f>Assumptions!AA$60</f>
        <v>0</v>
      </c>
      <c r="AG448" s="54">
        <f>Assumptions!AB$60</f>
        <v>0</v>
      </c>
      <c r="AH448" s="54">
        <f>Assumptions!AC$60</f>
        <v>0</v>
      </c>
      <c r="AI448" s="54">
        <f>Assumptions!AD$60</f>
        <v>0</v>
      </c>
      <c r="AJ448" s="54">
        <f>Assumptions!AE$60</f>
        <v>0</v>
      </c>
      <c r="AK448" s="54">
        <f>Assumptions!AF$60</f>
        <v>0</v>
      </c>
      <c r="AL448" s="54">
        <f>Assumptions!AG$60</f>
        <v>0</v>
      </c>
      <c r="AM448" s="54">
        <f>Assumptions!AH$60</f>
        <v>0</v>
      </c>
      <c r="AN448" s="54">
        <f>Assumptions!AI$60</f>
        <v>0</v>
      </c>
      <c r="AO448" s="54">
        <f>Assumptions!AJ$60</f>
        <v>0</v>
      </c>
      <c r="AP448" s="54">
        <f>Assumptions!AK$60</f>
        <v>0</v>
      </c>
      <c r="AQ448" s="54">
        <f>Assumptions!AL$60</f>
        <v>0</v>
      </c>
      <c r="AR448" s="54">
        <f>Assumptions!AM$60</f>
        <v>0</v>
      </c>
      <c r="AS448" s="54">
        <f>Assumptions!AN$60</f>
        <v>0</v>
      </c>
      <c r="AT448" s="54">
        <f>Assumptions!AO$60</f>
        <v>0</v>
      </c>
      <c r="AU448" s="54">
        <f>Assumptions!AP$60</f>
        <v>0</v>
      </c>
    </row>
    <row r="449" spans="1:47">
      <c r="E449" s="36"/>
      <c r="G449" s="39"/>
      <c r="H449" s="39"/>
      <c r="I449" s="39"/>
      <c r="J449" s="39"/>
      <c r="K449" s="39"/>
    </row>
    <row r="450" spans="1:47">
      <c r="E450" s="327"/>
      <c r="F450" s="28"/>
      <c r="G450" s="324" t="str">
        <f>C453&amp;" O&amp;M"</f>
        <v>Land Application O&amp;M</v>
      </c>
      <c r="H450" s="324"/>
      <c r="I450" s="324"/>
      <c r="J450" s="324"/>
      <c r="K450" s="324"/>
      <c r="L450" s="405" t="s">
        <v>79</v>
      </c>
      <c r="M450" s="256"/>
      <c r="N450" s="325" t="s">
        <v>490</v>
      </c>
      <c r="O450" s="311"/>
      <c r="P450" s="325" t="s">
        <v>491</v>
      </c>
      <c r="Q450" s="310"/>
      <c r="R450" s="325">
        <f>R$8</f>
        <v>2014</v>
      </c>
      <c r="S450" s="325">
        <f t="shared" ref="S450:AU450" si="314">S$8</f>
        <v>2015</v>
      </c>
      <c r="T450" s="325">
        <f t="shared" si="314"/>
        <v>2016</v>
      </c>
      <c r="U450" s="325">
        <f t="shared" si="314"/>
        <v>2017</v>
      </c>
      <c r="V450" s="325">
        <f t="shared" si="314"/>
        <v>2018</v>
      </c>
      <c r="W450" s="325">
        <f t="shared" si="314"/>
        <v>2019</v>
      </c>
      <c r="X450" s="325">
        <f t="shared" si="314"/>
        <v>2020</v>
      </c>
      <c r="Y450" s="325">
        <f t="shared" si="314"/>
        <v>2021</v>
      </c>
      <c r="Z450" s="325">
        <f t="shared" si="314"/>
        <v>2022</v>
      </c>
      <c r="AA450" s="325">
        <f t="shared" si="314"/>
        <v>2023</v>
      </c>
      <c r="AB450" s="325">
        <f t="shared" si="314"/>
        <v>2024</v>
      </c>
      <c r="AC450" s="325">
        <f t="shared" si="314"/>
        <v>2025</v>
      </c>
      <c r="AD450" s="325">
        <f t="shared" si="314"/>
        <v>2026</v>
      </c>
      <c r="AE450" s="325">
        <f t="shared" si="314"/>
        <v>2027</v>
      </c>
      <c r="AF450" s="325">
        <f t="shared" si="314"/>
        <v>2028</v>
      </c>
      <c r="AG450" s="325">
        <f t="shared" si="314"/>
        <v>2029</v>
      </c>
      <c r="AH450" s="325">
        <f t="shared" si="314"/>
        <v>2030</v>
      </c>
      <c r="AI450" s="325">
        <f t="shared" si="314"/>
        <v>2031</v>
      </c>
      <c r="AJ450" s="325">
        <f t="shared" si="314"/>
        <v>2032</v>
      </c>
      <c r="AK450" s="325">
        <f t="shared" si="314"/>
        <v>2033</v>
      </c>
      <c r="AL450" s="325">
        <f t="shared" si="314"/>
        <v>2034</v>
      </c>
      <c r="AM450" s="325">
        <f t="shared" si="314"/>
        <v>2035</v>
      </c>
      <c r="AN450" s="325">
        <f t="shared" si="314"/>
        <v>2036</v>
      </c>
      <c r="AO450" s="325">
        <f t="shared" si="314"/>
        <v>2037</v>
      </c>
      <c r="AP450" s="325">
        <f t="shared" si="314"/>
        <v>2038</v>
      </c>
      <c r="AQ450" s="325">
        <f t="shared" si="314"/>
        <v>2039</v>
      </c>
      <c r="AR450" s="325">
        <f t="shared" si="314"/>
        <v>2040</v>
      </c>
      <c r="AS450" s="325">
        <f t="shared" si="314"/>
        <v>2041</v>
      </c>
      <c r="AT450" s="325">
        <f t="shared" si="314"/>
        <v>2042</v>
      </c>
      <c r="AU450" s="325">
        <f t="shared" si="314"/>
        <v>2043</v>
      </c>
    </row>
    <row r="451" spans="1:47">
      <c r="E451" s="325"/>
      <c r="G451" s="39"/>
      <c r="H451" s="39"/>
      <c r="I451" s="39"/>
      <c r="J451" s="39"/>
      <c r="K451" s="39"/>
    </row>
    <row r="452" spans="1:47">
      <c r="E452" s="325"/>
      <c r="G452" s="39" t="s">
        <v>23</v>
      </c>
      <c r="H452" s="39"/>
      <c r="I452" s="39"/>
      <c r="J452" s="39"/>
      <c r="K452" s="39"/>
    </row>
    <row r="453" spans="1:47">
      <c r="A453" s="38" t="str">
        <f t="shared" ref="A453:A460" si="315">$J$4&amp;"-"</f>
        <v>2Y-</v>
      </c>
      <c r="B453" s="38" t="s">
        <v>262</v>
      </c>
      <c r="C453" s="38" t="s">
        <v>309</v>
      </c>
      <c r="D453" s="186">
        <f>LaborEsc</f>
        <v>0.02</v>
      </c>
      <c r="E453" s="325"/>
      <c r="G453" s="36" t="s">
        <v>125</v>
      </c>
      <c r="I453" s="39"/>
      <c r="K453" s="39"/>
      <c r="L453" s="43" t="s">
        <v>266</v>
      </c>
      <c r="N453" s="70">
        <f ca="1">SUMIFS(OFFSET(Assumptions!$I$90,0,MATCH($A453,Configurations,0)-1,COUNT(Assumptions!$A$90:$A$183),1),Assumptions!$D$90:$D$183,$B453&amp;$C453)</f>
        <v>0</v>
      </c>
      <c r="O453" s="313"/>
      <c r="P453" s="323"/>
      <c r="Q453" s="313"/>
      <c r="R453" s="50">
        <f t="shared" ref="R453:AU453" ca="1" si="316">IF(OR(R$99&lt;InServiceYr,R$99&gt;(InServiceYr+analysis_period-1)),0,IF($P453=0,$N453,$P453)*LaborCost*(1+$D453)^(R$99-CostBaseYr))</f>
        <v>0</v>
      </c>
      <c r="S453" s="50">
        <f t="shared" ca="1" si="316"/>
        <v>0</v>
      </c>
      <c r="T453" s="50">
        <f t="shared" ca="1" si="316"/>
        <v>0</v>
      </c>
      <c r="U453" s="50">
        <f t="shared" ca="1" si="316"/>
        <v>0</v>
      </c>
      <c r="V453" s="50">
        <f t="shared" ca="1" si="316"/>
        <v>0</v>
      </c>
      <c r="W453" s="50">
        <f t="shared" ca="1" si="316"/>
        <v>0</v>
      </c>
      <c r="X453" s="50">
        <f t="shared" ca="1" si="316"/>
        <v>0</v>
      </c>
      <c r="Y453" s="50">
        <f t="shared" ca="1" si="316"/>
        <v>0</v>
      </c>
      <c r="Z453" s="50">
        <f t="shared" ca="1" si="316"/>
        <v>0</v>
      </c>
      <c r="AA453" s="50">
        <f t="shared" ca="1" si="316"/>
        <v>0</v>
      </c>
      <c r="AB453" s="50">
        <f t="shared" ca="1" si="316"/>
        <v>0</v>
      </c>
      <c r="AC453" s="50">
        <f t="shared" ca="1" si="316"/>
        <v>0</v>
      </c>
      <c r="AD453" s="50">
        <f t="shared" ca="1" si="316"/>
        <v>0</v>
      </c>
      <c r="AE453" s="50">
        <f t="shared" ca="1" si="316"/>
        <v>0</v>
      </c>
      <c r="AF453" s="50">
        <f t="shared" ca="1" si="316"/>
        <v>0</v>
      </c>
      <c r="AG453" s="50">
        <f t="shared" ca="1" si="316"/>
        <v>0</v>
      </c>
      <c r="AH453" s="50">
        <f t="shared" ca="1" si="316"/>
        <v>0</v>
      </c>
      <c r="AI453" s="50">
        <f t="shared" ca="1" si="316"/>
        <v>0</v>
      </c>
      <c r="AJ453" s="50">
        <f t="shared" ca="1" si="316"/>
        <v>0</v>
      </c>
      <c r="AK453" s="50">
        <f t="shared" ca="1" si="316"/>
        <v>0</v>
      </c>
      <c r="AL453" s="50">
        <f t="shared" si="316"/>
        <v>0</v>
      </c>
      <c r="AM453" s="50">
        <f t="shared" si="316"/>
        <v>0</v>
      </c>
      <c r="AN453" s="50">
        <f t="shared" si="316"/>
        <v>0</v>
      </c>
      <c r="AO453" s="50">
        <f t="shared" si="316"/>
        <v>0</v>
      </c>
      <c r="AP453" s="50">
        <f t="shared" si="316"/>
        <v>0</v>
      </c>
      <c r="AQ453" s="50">
        <f t="shared" si="316"/>
        <v>0</v>
      </c>
      <c r="AR453" s="50">
        <f t="shared" si="316"/>
        <v>0</v>
      </c>
      <c r="AS453" s="50">
        <f t="shared" si="316"/>
        <v>0</v>
      </c>
      <c r="AT453" s="50">
        <f t="shared" si="316"/>
        <v>0</v>
      </c>
      <c r="AU453" s="50">
        <f t="shared" si="316"/>
        <v>0</v>
      </c>
    </row>
    <row r="454" spans="1:47">
      <c r="A454" s="38" t="str">
        <f t="shared" si="315"/>
        <v>2Y-</v>
      </c>
      <c r="B454" s="38" t="s">
        <v>270</v>
      </c>
      <c r="C454" s="38" t="str">
        <f>C453</f>
        <v>Land Application</v>
      </c>
      <c r="D454" s="186">
        <f>OMEsc</f>
        <v>0.02</v>
      </c>
      <c r="E454" s="325"/>
      <c r="G454" s="36" t="s">
        <v>126</v>
      </c>
      <c r="I454" s="39"/>
      <c r="K454" s="39"/>
      <c r="L454" s="43" t="str">
        <f>"["&amp;CostBaseYr&amp;" $]"</f>
        <v>[2013 $]</v>
      </c>
      <c r="N454" s="70">
        <f ca="1">SUMIFS(OFFSET(Assumptions!$I$90,0,MATCH($A454,Configurations,0)-1,COUNT(Assumptions!$A$90:$A$183),1),Assumptions!$D$90:$D$183,$B454&amp;$C454)</f>
        <v>0</v>
      </c>
      <c r="O454" s="313"/>
      <c r="P454" s="323"/>
      <c r="Q454" s="313"/>
      <c r="R454" s="50">
        <f t="shared" ref="R454:AG456" ca="1" si="317">IF(OR(R$99&lt;InServiceYr,R$99&gt;(InServiceYr+analysis_period-1)),0,IF($P454=0,$N454,$P454)*(1+$D454)^(R$99-CostBaseYr))</f>
        <v>0</v>
      </c>
      <c r="S454" s="50">
        <f t="shared" ca="1" si="317"/>
        <v>0</v>
      </c>
      <c r="T454" s="50">
        <f t="shared" ca="1" si="317"/>
        <v>0</v>
      </c>
      <c r="U454" s="50">
        <f t="shared" ca="1" si="317"/>
        <v>0</v>
      </c>
      <c r="V454" s="50">
        <f t="shared" ca="1" si="317"/>
        <v>0</v>
      </c>
      <c r="W454" s="50">
        <f t="shared" ca="1" si="317"/>
        <v>0</v>
      </c>
      <c r="X454" s="50">
        <f t="shared" ca="1" si="317"/>
        <v>0</v>
      </c>
      <c r="Y454" s="50">
        <f t="shared" ca="1" si="317"/>
        <v>0</v>
      </c>
      <c r="Z454" s="50">
        <f t="shared" ca="1" si="317"/>
        <v>0</v>
      </c>
      <c r="AA454" s="50">
        <f t="shared" ca="1" si="317"/>
        <v>0</v>
      </c>
      <c r="AB454" s="50">
        <f t="shared" ca="1" si="317"/>
        <v>0</v>
      </c>
      <c r="AC454" s="50">
        <f t="shared" ca="1" si="317"/>
        <v>0</v>
      </c>
      <c r="AD454" s="50">
        <f t="shared" ca="1" si="317"/>
        <v>0</v>
      </c>
      <c r="AE454" s="50">
        <f t="shared" ca="1" si="317"/>
        <v>0</v>
      </c>
      <c r="AF454" s="50">
        <f t="shared" ca="1" si="317"/>
        <v>0</v>
      </c>
      <c r="AG454" s="50">
        <f t="shared" ca="1" si="317"/>
        <v>0</v>
      </c>
      <c r="AH454" s="50">
        <f t="shared" ref="S454:AU456" ca="1" si="318">IF(OR(AH$99&lt;InServiceYr,AH$99&gt;(InServiceYr+analysis_period-1)),0,IF($P454=0,$N454,$P454)*(1+$D454)^(AH$99-CostBaseYr))</f>
        <v>0</v>
      </c>
      <c r="AI454" s="50">
        <f t="shared" ca="1" si="318"/>
        <v>0</v>
      </c>
      <c r="AJ454" s="50">
        <f t="shared" ca="1" si="318"/>
        <v>0</v>
      </c>
      <c r="AK454" s="50">
        <f t="shared" ca="1" si="318"/>
        <v>0</v>
      </c>
      <c r="AL454" s="50">
        <f t="shared" si="318"/>
        <v>0</v>
      </c>
      <c r="AM454" s="50">
        <f t="shared" si="318"/>
        <v>0</v>
      </c>
      <c r="AN454" s="50">
        <f t="shared" si="318"/>
        <v>0</v>
      </c>
      <c r="AO454" s="50">
        <f t="shared" si="318"/>
        <v>0</v>
      </c>
      <c r="AP454" s="50">
        <f t="shared" si="318"/>
        <v>0</v>
      </c>
      <c r="AQ454" s="50">
        <f t="shared" si="318"/>
        <v>0</v>
      </c>
      <c r="AR454" s="50">
        <f t="shared" si="318"/>
        <v>0</v>
      </c>
      <c r="AS454" s="50">
        <f t="shared" si="318"/>
        <v>0</v>
      </c>
      <c r="AT454" s="50">
        <f t="shared" si="318"/>
        <v>0</v>
      </c>
      <c r="AU454" s="50">
        <f t="shared" si="318"/>
        <v>0</v>
      </c>
    </row>
    <row r="455" spans="1:47">
      <c r="A455" s="38" t="str">
        <f t="shared" si="315"/>
        <v>2Y-</v>
      </c>
      <c r="B455" s="38" t="s">
        <v>263</v>
      </c>
      <c r="C455" s="38" t="str">
        <f t="shared" ref="C455:C459" si="319">C454</f>
        <v>Land Application</v>
      </c>
      <c r="D455" s="186">
        <f>OMEsc</f>
        <v>0.02</v>
      </c>
      <c r="E455" s="325"/>
      <c r="G455" s="36" t="s">
        <v>127</v>
      </c>
      <c r="I455" s="39"/>
      <c r="K455" s="39"/>
      <c r="L455" s="43" t="str">
        <f>"["&amp;CostBaseYr&amp;" $]"</f>
        <v>[2013 $]</v>
      </c>
      <c r="N455" s="70">
        <f ca="1">SUMIFS(OFFSET(Assumptions!$I$90,0,MATCH($A455,Configurations,0)-1,COUNT(Assumptions!$A$90:$A$183),1),Assumptions!$D$90:$D$183,$B455&amp;$C455)</f>
        <v>0</v>
      </c>
      <c r="O455" s="313"/>
      <c r="P455" s="323"/>
      <c r="Q455" s="313"/>
      <c r="R455" s="50">
        <f t="shared" ca="1" si="317"/>
        <v>0</v>
      </c>
      <c r="S455" s="50">
        <f t="shared" ca="1" si="318"/>
        <v>0</v>
      </c>
      <c r="T455" s="50">
        <f t="shared" ca="1" si="318"/>
        <v>0</v>
      </c>
      <c r="U455" s="50">
        <f t="shared" ca="1" si="318"/>
        <v>0</v>
      </c>
      <c r="V455" s="50">
        <f t="shared" ca="1" si="318"/>
        <v>0</v>
      </c>
      <c r="W455" s="50">
        <f t="shared" ca="1" si="318"/>
        <v>0</v>
      </c>
      <c r="X455" s="50">
        <f t="shared" ca="1" si="318"/>
        <v>0</v>
      </c>
      <c r="Y455" s="50">
        <f t="shared" ca="1" si="318"/>
        <v>0</v>
      </c>
      <c r="Z455" s="50">
        <f t="shared" ca="1" si="318"/>
        <v>0</v>
      </c>
      <c r="AA455" s="50">
        <f t="shared" ca="1" si="318"/>
        <v>0</v>
      </c>
      <c r="AB455" s="50">
        <f t="shared" ca="1" si="318"/>
        <v>0</v>
      </c>
      <c r="AC455" s="50">
        <f t="shared" ca="1" si="318"/>
        <v>0</v>
      </c>
      <c r="AD455" s="50">
        <f t="shared" ca="1" si="318"/>
        <v>0</v>
      </c>
      <c r="AE455" s="50">
        <f t="shared" ca="1" si="318"/>
        <v>0</v>
      </c>
      <c r="AF455" s="50">
        <f t="shared" ca="1" si="318"/>
        <v>0</v>
      </c>
      <c r="AG455" s="50">
        <f t="shared" ca="1" si="318"/>
        <v>0</v>
      </c>
      <c r="AH455" s="50">
        <f t="shared" ca="1" si="318"/>
        <v>0</v>
      </c>
      <c r="AI455" s="50">
        <f t="shared" ca="1" si="318"/>
        <v>0</v>
      </c>
      <c r="AJ455" s="50">
        <f t="shared" ca="1" si="318"/>
        <v>0</v>
      </c>
      <c r="AK455" s="50">
        <f t="shared" ca="1" si="318"/>
        <v>0</v>
      </c>
      <c r="AL455" s="50">
        <f t="shared" si="318"/>
        <v>0</v>
      </c>
      <c r="AM455" s="50">
        <f t="shared" si="318"/>
        <v>0</v>
      </c>
      <c r="AN455" s="50">
        <f t="shared" si="318"/>
        <v>0</v>
      </c>
      <c r="AO455" s="50">
        <f t="shared" si="318"/>
        <v>0</v>
      </c>
      <c r="AP455" s="50">
        <f t="shared" si="318"/>
        <v>0</v>
      </c>
      <c r="AQ455" s="50">
        <f t="shared" si="318"/>
        <v>0</v>
      </c>
      <c r="AR455" s="50">
        <f t="shared" si="318"/>
        <v>0</v>
      </c>
      <c r="AS455" s="50">
        <f t="shared" si="318"/>
        <v>0</v>
      </c>
      <c r="AT455" s="50">
        <f t="shared" si="318"/>
        <v>0</v>
      </c>
      <c r="AU455" s="50">
        <f t="shared" si="318"/>
        <v>0</v>
      </c>
    </row>
    <row r="456" spans="1:47">
      <c r="A456" s="38" t="str">
        <f t="shared" si="315"/>
        <v>2Y-</v>
      </c>
      <c r="B456" s="38" t="s">
        <v>277</v>
      </c>
      <c r="C456" s="38" t="str">
        <f t="shared" si="319"/>
        <v>Land Application</v>
      </c>
      <c r="D456" s="186">
        <f>OMEsc</f>
        <v>0.02</v>
      </c>
      <c r="E456" s="325"/>
      <c r="G456" s="36" t="s">
        <v>276</v>
      </c>
      <c r="I456" s="39"/>
      <c r="K456" s="39"/>
      <c r="L456" s="43" t="str">
        <f>"["&amp;CostBaseYr&amp;" $]"</f>
        <v>[2013 $]</v>
      </c>
      <c r="N456" s="70">
        <f ca="1">SUMIFS(OFFSET(Assumptions!$I$90,0,MATCH($A456,Configurations,0)-1,COUNT(Assumptions!$A$90:$A$183),1),Assumptions!$D$90:$D$183,$B456&amp;$C456)</f>
        <v>0</v>
      </c>
      <c r="O456" s="313"/>
      <c r="P456" s="323"/>
      <c r="Q456" s="313"/>
      <c r="R456" s="50">
        <f t="shared" ca="1" si="317"/>
        <v>0</v>
      </c>
      <c r="S456" s="50">
        <f t="shared" ca="1" si="318"/>
        <v>0</v>
      </c>
      <c r="T456" s="50">
        <f t="shared" ca="1" si="318"/>
        <v>0</v>
      </c>
      <c r="U456" s="50">
        <f t="shared" ca="1" si="318"/>
        <v>0</v>
      </c>
      <c r="V456" s="50">
        <f t="shared" ca="1" si="318"/>
        <v>0</v>
      </c>
      <c r="W456" s="50">
        <f t="shared" ca="1" si="318"/>
        <v>0</v>
      </c>
      <c r="X456" s="50">
        <f t="shared" ca="1" si="318"/>
        <v>0</v>
      </c>
      <c r="Y456" s="50">
        <f t="shared" ca="1" si="318"/>
        <v>0</v>
      </c>
      <c r="Z456" s="50">
        <f t="shared" ca="1" si="318"/>
        <v>0</v>
      </c>
      <c r="AA456" s="50">
        <f t="shared" ca="1" si="318"/>
        <v>0</v>
      </c>
      <c r="AB456" s="50">
        <f t="shared" ca="1" si="318"/>
        <v>0</v>
      </c>
      <c r="AC456" s="50">
        <f t="shared" ca="1" si="318"/>
        <v>0</v>
      </c>
      <c r="AD456" s="50">
        <f t="shared" ca="1" si="318"/>
        <v>0</v>
      </c>
      <c r="AE456" s="50">
        <f t="shared" ca="1" si="318"/>
        <v>0</v>
      </c>
      <c r="AF456" s="50">
        <f t="shared" ca="1" si="318"/>
        <v>0</v>
      </c>
      <c r="AG456" s="50">
        <f t="shared" ca="1" si="318"/>
        <v>0</v>
      </c>
      <c r="AH456" s="50">
        <f t="shared" ca="1" si="318"/>
        <v>0</v>
      </c>
      <c r="AI456" s="50">
        <f t="shared" ca="1" si="318"/>
        <v>0</v>
      </c>
      <c r="AJ456" s="50">
        <f t="shared" ca="1" si="318"/>
        <v>0</v>
      </c>
      <c r="AK456" s="50">
        <f t="shared" ca="1" si="318"/>
        <v>0</v>
      </c>
      <c r="AL456" s="50">
        <f t="shared" si="318"/>
        <v>0</v>
      </c>
      <c r="AM456" s="50">
        <f t="shared" si="318"/>
        <v>0</v>
      </c>
      <c r="AN456" s="50">
        <f t="shared" si="318"/>
        <v>0</v>
      </c>
      <c r="AO456" s="50">
        <f t="shared" si="318"/>
        <v>0</v>
      </c>
      <c r="AP456" s="50">
        <f t="shared" si="318"/>
        <v>0</v>
      </c>
      <c r="AQ456" s="50">
        <f t="shared" si="318"/>
        <v>0</v>
      </c>
      <c r="AR456" s="50">
        <f t="shared" si="318"/>
        <v>0</v>
      </c>
      <c r="AS456" s="50">
        <f t="shared" si="318"/>
        <v>0</v>
      </c>
      <c r="AT456" s="50">
        <f t="shared" si="318"/>
        <v>0</v>
      </c>
      <c r="AU456" s="50">
        <f t="shared" si="318"/>
        <v>0</v>
      </c>
    </row>
    <row r="457" spans="1:47">
      <c r="A457" s="38" t="str">
        <f t="shared" si="315"/>
        <v>2Y-</v>
      </c>
      <c r="B457" s="38" t="s">
        <v>274</v>
      </c>
      <c r="C457" s="38" t="str">
        <f t="shared" si="319"/>
        <v>Land Application</v>
      </c>
      <c r="D457" s="186"/>
      <c r="E457" s="325"/>
      <c r="G457" s="36" t="s">
        <v>16</v>
      </c>
      <c r="I457" s="39"/>
      <c r="K457" s="39"/>
      <c r="L457" s="43" t="s">
        <v>275</v>
      </c>
      <c r="N457" s="70">
        <f ca="1">SUMIFS(OFFSET(Assumptions!$I$90,0,MATCH($A457,Configurations,0)-1,COUNT(Assumptions!$A$90:$A$183),1),Assumptions!$D$90:$D$183,$B457&amp;$C457)</f>
        <v>0</v>
      </c>
      <c r="O457" s="313"/>
      <c r="P457" s="323"/>
      <c r="Q457" s="313"/>
      <c r="R457" s="50">
        <f t="shared" ref="R457:AU457" ca="1" si="320">IF(OR(R$99&lt;InServiceYr,R$99&gt;(InServiceYr+analysis_period-1)),0,IF($P457=0,$N457,$P457)*R$505)</f>
        <v>0</v>
      </c>
      <c r="S457" s="50">
        <f t="shared" ca="1" si="320"/>
        <v>0</v>
      </c>
      <c r="T457" s="50">
        <f t="shared" ca="1" si="320"/>
        <v>0</v>
      </c>
      <c r="U457" s="50">
        <f t="shared" ca="1" si="320"/>
        <v>0</v>
      </c>
      <c r="V457" s="50">
        <f t="shared" ca="1" si="320"/>
        <v>0</v>
      </c>
      <c r="W457" s="50">
        <f t="shared" ca="1" si="320"/>
        <v>0</v>
      </c>
      <c r="X457" s="50">
        <f t="shared" ca="1" si="320"/>
        <v>0</v>
      </c>
      <c r="Y457" s="50">
        <f t="shared" ca="1" si="320"/>
        <v>0</v>
      </c>
      <c r="Z457" s="50">
        <f t="shared" ca="1" si="320"/>
        <v>0</v>
      </c>
      <c r="AA457" s="50">
        <f t="shared" ca="1" si="320"/>
        <v>0</v>
      </c>
      <c r="AB457" s="50">
        <f t="shared" ca="1" si="320"/>
        <v>0</v>
      </c>
      <c r="AC457" s="50">
        <f t="shared" ca="1" si="320"/>
        <v>0</v>
      </c>
      <c r="AD457" s="50">
        <f t="shared" ca="1" si="320"/>
        <v>0</v>
      </c>
      <c r="AE457" s="50">
        <f t="shared" ca="1" si="320"/>
        <v>0</v>
      </c>
      <c r="AF457" s="50">
        <f t="shared" ca="1" si="320"/>
        <v>0</v>
      </c>
      <c r="AG457" s="50">
        <f t="shared" ca="1" si="320"/>
        <v>0</v>
      </c>
      <c r="AH457" s="50">
        <f t="shared" ca="1" si="320"/>
        <v>0</v>
      </c>
      <c r="AI457" s="50">
        <f t="shared" ca="1" si="320"/>
        <v>0</v>
      </c>
      <c r="AJ457" s="50">
        <f t="shared" ca="1" si="320"/>
        <v>0</v>
      </c>
      <c r="AK457" s="50">
        <f t="shared" ca="1" si="320"/>
        <v>0</v>
      </c>
      <c r="AL457" s="50">
        <f t="shared" si="320"/>
        <v>0</v>
      </c>
      <c r="AM457" s="50">
        <f t="shared" si="320"/>
        <v>0</v>
      </c>
      <c r="AN457" s="50">
        <f t="shared" si="320"/>
        <v>0</v>
      </c>
      <c r="AO457" s="50">
        <f t="shared" si="320"/>
        <v>0</v>
      </c>
      <c r="AP457" s="50">
        <f t="shared" si="320"/>
        <v>0</v>
      </c>
      <c r="AQ457" s="50">
        <f t="shared" si="320"/>
        <v>0</v>
      </c>
      <c r="AR457" s="50">
        <f t="shared" si="320"/>
        <v>0</v>
      </c>
      <c r="AS457" s="50">
        <f t="shared" si="320"/>
        <v>0</v>
      </c>
      <c r="AT457" s="50">
        <f t="shared" si="320"/>
        <v>0</v>
      </c>
      <c r="AU457" s="50">
        <f t="shared" si="320"/>
        <v>0</v>
      </c>
    </row>
    <row r="458" spans="1:47">
      <c r="A458" s="38" t="str">
        <f t="shared" si="315"/>
        <v>2Y-</v>
      </c>
      <c r="B458" s="38" t="s">
        <v>257</v>
      </c>
      <c r="C458" s="38" t="str">
        <f t="shared" si="319"/>
        <v>Land Application</v>
      </c>
      <c r="D458" s="186"/>
      <c r="E458" s="325"/>
      <c r="G458" s="36" t="s">
        <v>284</v>
      </c>
      <c r="I458" s="39"/>
      <c r="K458" s="39"/>
      <c r="L458" s="43" t="s">
        <v>293</v>
      </c>
      <c r="N458" s="70">
        <f ca="1">SUMIFS(OFFSET(Assumptions!$I$90,0,MATCH($A458,Configurations,0)-1,COUNT(Assumptions!$A$90:$A$183),1),Assumptions!$D$90:$D$183,$B458&amp;$C458)</f>
        <v>0</v>
      </c>
      <c r="O458" s="313"/>
      <c r="P458" s="323"/>
      <c r="Q458" s="313"/>
      <c r="R458" s="50">
        <f t="shared" ref="R458:AU458" ca="1" si="321">IF(OR(R$99&lt;InServiceYr,R$99&gt;(InServiceYr+analysis_period-1)),0,IF($P458=0,$N458,$P458)*R$501)</f>
        <v>0</v>
      </c>
      <c r="S458" s="50">
        <f t="shared" ca="1" si="321"/>
        <v>0</v>
      </c>
      <c r="T458" s="50">
        <f t="shared" ca="1" si="321"/>
        <v>0</v>
      </c>
      <c r="U458" s="50">
        <f t="shared" ca="1" si="321"/>
        <v>0</v>
      </c>
      <c r="V458" s="50">
        <f t="shared" ca="1" si="321"/>
        <v>0</v>
      </c>
      <c r="W458" s="50">
        <f t="shared" ca="1" si="321"/>
        <v>0</v>
      </c>
      <c r="X458" s="50">
        <f t="shared" ca="1" si="321"/>
        <v>0</v>
      </c>
      <c r="Y458" s="50">
        <f t="shared" ca="1" si="321"/>
        <v>0</v>
      </c>
      <c r="Z458" s="50">
        <f t="shared" ca="1" si="321"/>
        <v>0</v>
      </c>
      <c r="AA458" s="50">
        <f t="shared" ca="1" si="321"/>
        <v>0</v>
      </c>
      <c r="AB458" s="50">
        <f t="shared" ca="1" si="321"/>
        <v>0</v>
      </c>
      <c r="AC458" s="50">
        <f t="shared" ca="1" si="321"/>
        <v>0</v>
      </c>
      <c r="AD458" s="50">
        <f t="shared" ca="1" si="321"/>
        <v>0</v>
      </c>
      <c r="AE458" s="50">
        <f t="shared" ca="1" si="321"/>
        <v>0</v>
      </c>
      <c r="AF458" s="50">
        <f t="shared" ca="1" si="321"/>
        <v>0</v>
      </c>
      <c r="AG458" s="50">
        <f t="shared" ca="1" si="321"/>
        <v>0</v>
      </c>
      <c r="AH458" s="50">
        <f t="shared" ca="1" si="321"/>
        <v>0</v>
      </c>
      <c r="AI458" s="50">
        <f t="shared" ca="1" si="321"/>
        <v>0</v>
      </c>
      <c r="AJ458" s="50">
        <f t="shared" ca="1" si="321"/>
        <v>0</v>
      </c>
      <c r="AK458" s="50">
        <f t="shared" ca="1" si="321"/>
        <v>0</v>
      </c>
      <c r="AL458" s="50">
        <f t="shared" si="321"/>
        <v>0</v>
      </c>
      <c r="AM458" s="50">
        <f t="shared" si="321"/>
        <v>0</v>
      </c>
      <c r="AN458" s="50">
        <f t="shared" si="321"/>
        <v>0</v>
      </c>
      <c r="AO458" s="50">
        <f t="shared" si="321"/>
        <v>0</v>
      </c>
      <c r="AP458" s="50">
        <f t="shared" si="321"/>
        <v>0</v>
      </c>
      <c r="AQ458" s="50">
        <f t="shared" si="321"/>
        <v>0</v>
      </c>
      <c r="AR458" s="50">
        <f t="shared" si="321"/>
        <v>0</v>
      </c>
      <c r="AS458" s="50">
        <f t="shared" si="321"/>
        <v>0</v>
      </c>
      <c r="AT458" s="50">
        <f t="shared" si="321"/>
        <v>0</v>
      </c>
      <c r="AU458" s="50">
        <f t="shared" si="321"/>
        <v>0</v>
      </c>
    </row>
    <row r="459" spans="1:47">
      <c r="A459" s="38" t="str">
        <f t="shared" si="315"/>
        <v>2Y-</v>
      </c>
      <c r="B459" s="38" t="s">
        <v>864</v>
      </c>
      <c r="C459" s="38" t="str">
        <f t="shared" si="319"/>
        <v>Land Application</v>
      </c>
      <c r="D459" s="186">
        <f>GHGEsc</f>
        <v>0.02</v>
      </c>
      <c r="E459" s="325"/>
      <c r="G459" s="36" t="s">
        <v>865</v>
      </c>
      <c r="I459" s="39"/>
      <c r="K459" s="39"/>
      <c r="L459" s="43" t="s">
        <v>866</v>
      </c>
      <c r="N459" s="70">
        <f ca="1">SUMIFS(OFFSET(Assumptions!$I$90,0,MATCH($A459,Configurations,0)-1,COUNT(Assumptions!$A$90:$A$183),1),Assumptions!$D$90:$D$183,$B459&amp;$C459)</f>
        <v>0</v>
      </c>
      <c r="O459" s="313"/>
      <c r="P459" s="323"/>
      <c r="Q459" s="313"/>
      <c r="R459" s="50">
        <f t="shared" ref="R459:AU459" ca="1" si="322">IF(OR(R$99&lt;InServiceYr,R$99&gt;(InServiceYr+analysis_period-1)),0,IF($P459=0,$N459,$P459)*R$513)</f>
        <v>0</v>
      </c>
      <c r="S459" s="50">
        <f t="shared" ca="1" si="322"/>
        <v>0</v>
      </c>
      <c r="T459" s="50">
        <f t="shared" ca="1" si="322"/>
        <v>0</v>
      </c>
      <c r="U459" s="50">
        <f t="shared" ca="1" si="322"/>
        <v>0</v>
      </c>
      <c r="V459" s="50">
        <f t="shared" ca="1" si="322"/>
        <v>0</v>
      </c>
      <c r="W459" s="50">
        <f t="shared" ca="1" si="322"/>
        <v>0</v>
      </c>
      <c r="X459" s="50">
        <f t="shared" ca="1" si="322"/>
        <v>0</v>
      </c>
      <c r="Y459" s="50">
        <f t="shared" ca="1" si="322"/>
        <v>0</v>
      </c>
      <c r="Z459" s="50">
        <f t="shared" ca="1" si="322"/>
        <v>0</v>
      </c>
      <c r="AA459" s="50">
        <f t="shared" ca="1" si="322"/>
        <v>0</v>
      </c>
      <c r="AB459" s="50">
        <f t="shared" ca="1" si="322"/>
        <v>0</v>
      </c>
      <c r="AC459" s="50">
        <f t="shared" ca="1" si="322"/>
        <v>0</v>
      </c>
      <c r="AD459" s="50">
        <f t="shared" ca="1" si="322"/>
        <v>0</v>
      </c>
      <c r="AE459" s="50">
        <f t="shared" ca="1" si="322"/>
        <v>0</v>
      </c>
      <c r="AF459" s="50">
        <f t="shared" ca="1" si="322"/>
        <v>0</v>
      </c>
      <c r="AG459" s="50">
        <f t="shared" ca="1" si="322"/>
        <v>0</v>
      </c>
      <c r="AH459" s="50">
        <f t="shared" ca="1" si="322"/>
        <v>0</v>
      </c>
      <c r="AI459" s="50">
        <f t="shared" ca="1" si="322"/>
        <v>0</v>
      </c>
      <c r="AJ459" s="50">
        <f t="shared" ca="1" si="322"/>
        <v>0</v>
      </c>
      <c r="AK459" s="50">
        <f t="shared" ca="1" si="322"/>
        <v>0</v>
      </c>
      <c r="AL459" s="50">
        <f t="shared" si="322"/>
        <v>0</v>
      </c>
      <c r="AM459" s="50">
        <f t="shared" si="322"/>
        <v>0</v>
      </c>
      <c r="AN459" s="50">
        <f t="shared" si="322"/>
        <v>0</v>
      </c>
      <c r="AO459" s="50">
        <f t="shared" si="322"/>
        <v>0</v>
      </c>
      <c r="AP459" s="50">
        <f t="shared" si="322"/>
        <v>0</v>
      </c>
      <c r="AQ459" s="50">
        <f t="shared" si="322"/>
        <v>0</v>
      </c>
      <c r="AR459" s="50">
        <f t="shared" si="322"/>
        <v>0</v>
      </c>
      <c r="AS459" s="50">
        <f t="shared" si="322"/>
        <v>0</v>
      </c>
      <c r="AT459" s="50">
        <f t="shared" si="322"/>
        <v>0</v>
      </c>
      <c r="AU459" s="50">
        <f t="shared" si="322"/>
        <v>0</v>
      </c>
    </row>
    <row r="460" spans="1:47">
      <c r="A460" s="38" t="str">
        <f t="shared" si="315"/>
        <v>2Y-</v>
      </c>
      <c r="B460" s="38" t="s">
        <v>273</v>
      </c>
      <c r="C460" s="38" t="str">
        <f>C458</f>
        <v>Land Application</v>
      </c>
      <c r="D460" s="186">
        <f>LaborEsc</f>
        <v>0.02</v>
      </c>
      <c r="E460" s="325"/>
      <c r="G460" s="36" t="s">
        <v>291</v>
      </c>
      <c r="I460" s="39"/>
      <c r="K460" s="39"/>
      <c r="L460" s="43" t="str">
        <f>"["&amp;CostBaseYr&amp;" $]"</f>
        <v>[2013 $]</v>
      </c>
      <c r="N460" s="70">
        <f ca="1">SUMIFS(OFFSET(Assumptions!$I$90,0,MATCH($A460,Configurations,0)-1,COUNT(Assumptions!$A$90:$A$183),1),Assumptions!$D$90:$D$183,$B460&amp;$C460)</f>
        <v>0</v>
      </c>
      <c r="O460" s="313"/>
      <c r="P460" s="323"/>
      <c r="Q460" s="313"/>
      <c r="R460" s="50">
        <f t="shared" ref="R460:AU460" ca="1" si="323">IF(OR(R$99&lt;InServiceYr,R$99&gt;(InServiceYr+analysis_period-1)),0,IF($P460=0,$N460,$P460)*(1+$D460)^(R$99-CostBaseYr))*R$509</f>
        <v>0</v>
      </c>
      <c r="S460" s="50">
        <f t="shared" ca="1" si="323"/>
        <v>0</v>
      </c>
      <c r="T460" s="50">
        <f t="shared" ca="1" si="323"/>
        <v>0</v>
      </c>
      <c r="U460" s="50">
        <f t="shared" ca="1" si="323"/>
        <v>0</v>
      </c>
      <c r="V460" s="50">
        <f t="shared" ca="1" si="323"/>
        <v>0</v>
      </c>
      <c r="W460" s="50">
        <f t="shared" ca="1" si="323"/>
        <v>0</v>
      </c>
      <c r="X460" s="50">
        <f t="shared" ca="1" si="323"/>
        <v>0</v>
      </c>
      <c r="Y460" s="50">
        <f t="shared" ca="1" si="323"/>
        <v>0</v>
      </c>
      <c r="Z460" s="50">
        <f t="shared" ca="1" si="323"/>
        <v>0</v>
      </c>
      <c r="AA460" s="50">
        <f t="shared" ca="1" si="323"/>
        <v>0</v>
      </c>
      <c r="AB460" s="50">
        <f t="shared" ca="1" si="323"/>
        <v>0</v>
      </c>
      <c r="AC460" s="50">
        <f t="shared" ca="1" si="323"/>
        <v>0</v>
      </c>
      <c r="AD460" s="50">
        <f t="shared" ca="1" si="323"/>
        <v>0</v>
      </c>
      <c r="AE460" s="50">
        <f t="shared" ca="1" si="323"/>
        <v>0</v>
      </c>
      <c r="AF460" s="50">
        <f t="shared" ca="1" si="323"/>
        <v>0</v>
      </c>
      <c r="AG460" s="50">
        <f t="shared" ca="1" si="323"/>
        <v>0</v>
      </c>
      <c r="AH460" s="50">
        <f t="shared" ca="1" si="323"/>
        <v>0</v>
      </c>
      <c r="AI460" s="50">
        <f t="shared" ca="1" si="323"/>
        <v>0</v>
      </c>
      <c r="AJ460" s="50">
        <f t="shared" ca="1" si="323"/>
        <v>0</v>
      </c>
      <c r="AK460" s="50">
        <f t="shared" ca="1" si="323"/>
        <v>0</v>
      </c>
      <c r="AL460" s="50">
        <f t="shared" si="323"/>
        <v>0</v>
      </c>
      <c r="AM460" s="50">
        <f t="shared" si="323"/>
        <v>0</v>
      </c>
      <c r="AN460" s="50">
        <f t="shared" si="323"/>
        <v>0</v>
      </c>
      <c r="AO460" s="50">
        <f t="shared" si="323"/>
        <v>0</v>
      </c>
      <c r="AP460" s="50">
        <f t="shared" si="323"/>
        <v>0</v>
      </c>
      <c r="AQ460" s="50">
        <f t="shared" si="323"/>
        <v>0</v>
      </c>
      <c r="AR460" s="50">
        <f t="shared" si="323"/>
        <v>0</v>
      </c>
      <c r="AS460" s="50">
        <f t="shared" si="323"/>
        <v>0</v>
      </c>
      <c r="AT460" s="50">
        <f t="shared" si="323"/>
        <v>0</v>
      </c>
      <c r="AU460" s="50">
        <f t="shared" si="323"/>
        <v>0</v>
      </c>
    </row>
    <row r="461" spans="1:47">
      <c r="D461" s="186"/>
      <c r="E461" s="325"/>
      <c r="G461" s="39" t="s">
        <v>304</v>
      </c>
      <c r="I461" s="39"/>
      <c r="K461" s="39"/>
      <c r="L461" s="43"/>
      <c r="N461" s="70"/>
      <c r="O461" s="313"/>
      <c r="P461" s="70"/>
      <c r="Q461" s="313"/>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row>
    <row r="462" spans="1:47">
      <c r="A462" s="38" t="str">
        <f>$J$4&amp;"-"</f>
        <v>2Y-</v>
      </c>
      <c r="B462" s="38" t="s">
        <v>265</v>
      </c>
      <c r="C462" s="38" t="str">
        <f>C453</f>
        <v>Land Application</v>
      </c>
      <c r="D462" s="186"/>
      <c r="E462" s="325"/>
      <c r="G462" s="36" t="s">
        <v>108</v>
      </c>
      <c r="I462" s="39"/>
      <c r="K462" s="39"/>
      <c r="L462" s="43" t="s">
        <v>293</v>
      </c>
      <c r="N462" s="70">
        <f ca="1">SUMIFS(OFFSET(Assumptions!$I$90,0,MATCH($A462,Configurations,0)-1,COUNT(Assumptions!$A$90:$A$183),1),Assumptions!$D$90:$D$183,$B462&amp;$C462)</f>
        <v>0</v>
      </c>
      <c r="O462" s="313"/>
      <c r="P462" s="323"/>
      <c r="Q462" s="313"/>
      <c r="R462" s="50">
        <f t="shared" ref="R462:AU462" ca="1" si="324">IF(OR(R$99&lt;InServiceYr,R$99&gt;(InServiceYr+analysis_period-1)),0,IF($P462=0,$N462,$P462)*R$501)</f>
        <v>0</v>
      </c>
      <c r="S462" s="50">
        <f t="shared" ca="1" si="324"/>
        <v>0</v>
      </c>
      <c r="T462" s="50">
        <f t="shared" ca="1" si="324"/>
        <v>0</v>
      </c>
      <c r="U462" s="50">
        <f t="shared" ca="1" si="324"/>
        <v>0</v>
      </c>
      <c r="V462" s="50">
        <f t="shared" ca="1" si="324"/>
        <v>0</v>
      </c>
      <c r="W462" s="50">
        <f t="shared" ca="1" si="324"/>
        <v>0</v>
      </c>
      <c r="X462" s="50">
        <f t="shared" ca="1" si="324"/>
        <v>0</v>
      </c>
      <c r="Y462" s="50">
        <f t="shared" ca="1" si="324"/>
        <v>0</v>
      </c>
      <c r="Z462" s="50">
        <f t="shared" ca="1" si="324"/>
        <v>0</v>
      </c>
      <c r="AA462" s="50">
        <f t="shared" ca="1" si="324"/>
        <v>0</v>
      </c>
      <c r="AB462" s="50">
        <f t="shared" ca="1" si="324"/>
        <v>0</v>
      </c>
      <c r="AC462" s="50">
        <f t="shared" ca="1" si="324"/>
        <v>0</v>
      </c>
      <c r="AD462" s="50">
        <f t="shared" ca="1" si="324"/>
        <v>0</v>
      </c>
      <c r="AE462" s="50">
        <f t="shared" ca="1" si="324"/>
        <v>0</v>
      </c>
      <c r="AF462" s="50">
        <f t="shared" ca="1" si="324"/>
        <v>0</v>
      </c>
      <c r="AG462" s="50">
        <f t="shared" ca="1" si="324"/>
        <v>0</v>
      </c>
      <c r="AH462" s="50">
        <f t="shared" ca="1" si="324"/>
        <v>0</v>
      </c>
      <c r="AI462" s="50">
        <f t="shared" ca="1" si="324"/>
        <v>0</v>
      </c>
      <c r="AJ462" s="50">
        <f t="shared" ca="1" si="324"/>
        <v>0</v>
      </c>
      <c r="AK462" s="50">
        <f t="shared" ca="1" si="324"/>
        <v>0</v>
      </c>
      <c r="AL462" s="50">
        <f t="shared" si="324"/>
        <v>0</v>
      </c>
      <c r="AM462" s="50">
        <f t="shared" si="324"/>
        <v>0</v>
      </c>
      <c r="AN462" s="50">
        <f t="shared" si="324"/>
        <v>0</v>
      </c>
      <c r="AO462" s="50">
        <f t="shared" si="324"/>
        <v>0</v>
      </c>
      <c r="AP462" s="50">
        <f t="shared" si="324"/>
        <v>0</v>
      </c>
      <c r="AQ462" s="50">
        <f t="shared" si="324"/>
        <v>0</v>
      </c>
      <c r="AR462" s="50">
        <f t="shared" si="324"/>
        <v>0</v>
      </c>
      <c r="AS462" s="50">
        <f t="shared" si="324"/>
        <v>0</v>
      </c>
      <c r="AT462" s="50">
        <f t="shared" si="324"/>
        <v>0</v>
      </c>
      <c r="AU462" s="50">
        <f t="shared" si="324"/>
        <v>0</v>
      </c>
    </row>
    <row r="463" spans="1:47">
      <c r="A463" s="38" t="str">
        <f>$J$4&amp;"-"</f>
        <v>2Y-</v>
      </c>
      <c r="B463" s="38" t="s">
        <v>289</v>
      </c>
      <c r="C463" s="38" t="str">
        <f>C453</f>
        <v>Land Application</v>
      </c>
      <c r="D463" s="186">
        <f>LaborEsc</f>
        <v>0.02</v>
      </c>
      <c r="E463" s="325"/>
      <c r="G463" s="36" t="s">
        <v>292</v>
      </c>
      <c r="I463" s="39"/>
      <c r="K463" s="39"/>
      <c r="L463" s="43" t="str">
        <f>"["&amp;CostBaseYr&amp;" $]"</f>
        <v>[2013 $]</v>
      </c>
      <c r="N463" s="70">
        <f ca="1">SUMIFS(OFFSET(Assumptions!$I$90,0,MATCH($A463,Configurations,0)-1,COUNT(Assumptions!$A$90:$A$183),1),Assumptions!$D$90:$D$183,$B463&amp;$C463)</f>
        <v>0</v>
      </c>
      <c r="O463" s="313"/>
      <c r="P463" s="323"/>
      <c r="Q463" s="313"/>
      <c r="R463" s="50">
        <f t="shared" ref="R463:AU463" ca="1" si="325">IF(OR(R$99&lt;InServiceYr,R$99&gt;(InServiceYr+analysis_period-1)),0,IF($P463=0,$N463,$P463)*(1+$D463)^(R$99-CostBaseYr))</f>
        <v>0</v>
      </c>
      <c r="S463" s="50">
        <f t="shared" ca="1" si="325"/>
        <v>0</v>
      </c>
      <c r="T463" s="50">
        <f t="shared" ca="1" si="325"/>
        <v>0</v>
      </c>
      <c r="U463" s="50">
        <f t="shared" ca="1" si="325"/>
        <v>0</v>
      </c>
      <c r="V463" s="50">
        <f t="shared" ca="1" si="325"/>
        <v>0</v>
      </c>
      <c r="W463" s="50">
        <f t="shared" ca="1" si="325"/>
        <v>0</v>
      </c>
      <c r="X463" s="50">
        <f t="shared" ca="1" si="325"/>
        <v>0</v>
      </c>
      <c r="Y463" s="50">
        <f t="shared" ca="1" si="325"/>
        <v>0</v>
      </c>
      <c r="Z463" s="50">
        <f t="shared" ca="1" si="325"/>
        <v>0</v>
      </c>
      <c r="AA463" s="50">
        <f t="shared" ca="1" si="325"/>
        <v>0</v>
      </c>
      <c r="AB463" s="50">
        <f t="shared" ca="1" si="325"/>
        <v>0</v>
      </c>
      <c r="AC463" s="50">
        <f t="shared" ca="1" si="325"/>
        <v>0</v>
      </c>
      <c r="AD463" s="50">
        <f t="shared" ca="1" si="325"/>
        <v>0</v>
      </c>
      <c r="AE463" s="50">
        <f t="shared" ca="1" si="325"/>
        <v>0</v>
      </c>
      <c r="AF463" s="50">
        <f t="shared" ca="1" si="325"/>
        <v>0</v>
      </c>
      <c r="AG463" s="50">
        <f t="shared" ca="1" si="325"/>
        <v>0</v>
      </c>
      <c r="AH463" s="50">
        <f t="shared" ca="1" si="325"/>
        <v>0</v>
      </c>
      <c r="AI463" s="50">
        <f t="shared" ca="1" si="325"/>
        <v>0</v>
      </c>
      <c r="AJ463" s="50">
        <f t="shared" ca="1" si="325"/>
        <v>0</v>
      </c>
      <c r="AK463" s="50">
        <f t="shared" ca="1" si="325"/>
        <v>0</v>
      </c>
      <c r="AL463" s="50">
        <f t="shared" si="325"/>
        <v>0</v>
      </c>
      <c r="AM463" s="50">
        <f t="shared" si="325"/>
        <v>0</v>
      </c>
      <c r="AN463" s="50">
        <f t="shared" si="325"/>
        <v>0</v>
      </c>
      <c r="AO463" s="50">
        <f t="shared" si="325"/>
        <v>0</v>
      </c>
      <c r="AP463" s="50">
        <f t="shared" si="325"/>
        <v>0</v>
      </c>
      <c r="AQ463" s="50">
        <f t="shared" si="325"/>
        <v>0</v>
      </c>
      <c r="AR463" s="50">
        <f t="shared" si="325"/>
        <v>0</v>
      </c>
      <c r="AS463" s="50">
        <f t="shared" si="325"/>
        <v>0</v>
      </c>
      <c r="AT463" s="50">
        <f t="shared" si="325"/>
        <v>0</v>
      </c>
      <c r="AU463" s="50">
        <f t="shared" si="325"/>
        <v>0</v>
      </c>
    </row>
    <row r="464" spans="1:47" s="60" customFormat="1">
      <c r="D464" s="187"/>
      <c r="E464" s="325"/>
      <c r="G464" s="39" t="s">
        <v>305</v>
      </c>
      <c r="I464" s="39"/>
      <c r="K464" s="39"/>
      <c r="L464" s="174"/>
      <c r="N464" s="188"/>
      <c r="O464" s="314"/>
      <c r="P464" s="185"/>
      <c r="Q464" s="314"/>
      <c r="R464" s="185">
        <f ca="1">SUM(R453:R460)-SUM(R462:R463)</f>
        <v>0</v>
      </c>
      <c r="S464" s="185">
        <f t="shared" ref="S464:AU464" ca="1" si="326">SUM(S453:S460)-SUM(S462:S463)</f>
        <v>0</v>
      </c>
      <c r="T464" s="185">
        <f t="shared" ca="1" si="326"/>
        <v>0</v>
      </c>
      <c r="U464" s="185">
        <f t="shared" ca="1" si="326"/>
        <v>0</v>
      </c>
      <c r="V464" s="185">
        <f t="shared" ca="1" si="326"/>
        <v>0</v>
      </c>
      <c r="W464" s="185">
        <f t="shared" ca="1" si="326"/>
        <v>0</v>
      </c>
      <c r="X464" s="185">
        <f t="shared" ca="1" si="326"/>
        <v>0</v>
      </c>
      <c r="Y464" s="185">
        <f t="shared" ca="1" si="326"/>
        <v>0</v>
      </c>
      <c r="Z464" s="185">
        <f t="shared" ca="1" si="326"/>
        <v>0</v>
      </c>
      <c r="AA464" s="185">
        <f t="shared" ca="1" si="326"/>
        <v>0</v>
      </c>
      <c r="AB464" s="185">
        <f t="shared" ca="1" si="326"/>
        <v>0</v>
      </c>
      <c r="AC464" s="185">
        <f t="shared" ca="1" si="326"/>
        <v>0</v>
      </c>
      <c r="AD464" s="185">
        <f t="shared" ca="1" si="326"/>
        <v>0</v>
      </c>
      <c r="AE464" s="185">
        <f t="shared" ca="1" si="326"/>
        <v>0</v>
      </c>
      <c r="AF464" s="185">
        <f t="shared" ca="1" si="326"/>
        <v>0</v>
      </c>
      <c r="AG464" s="185">
        <f t="shared" ca="1" si="326"/>
        <v>0</v>
      </c>
      <c r="AH464" s="185">
        <f t="shared" ca="1" si="326"/>
        <v>0</v>
      </c>
      <c r="AI464" s="185">
        <f t="shared" ca="1" si="326"/>
        <v>0</v>
      </c>
      <c r="AJ464" s="185">
        <f t="shared" ca="1" si="326"/>
        <v>0</v>
      </c>
      <c r="AK464" s="185">
        <f t="shared" ca="1" si="326"/>
        <v>0</v>
      </c>
      <c r="AL464" s="185">
        <f t="shared" si="326"/>
        <v>0</v>
      </c>
      <c r="AM464" s="185">
        <f t="shared" si="326"/>
        <v>0</v>
      </c>
      <c r="AN464" s="185">
        <f t="shared" si="326"/>
        <v>0</v>
      </c>
      <c r="AO464" s="185">
        <f t="shared" si="326"/>
        <v>0</v>
      </c>
      <c r="AP464" s="185">
        <f t="shared" si="326"/>
        <v>0</v>
      </c>
      <c r="AQ464" s="185">
        <f t="shared" si="326"/>
        <v>0</v>
      </c>
      <c r="AR464" s="185">
        <f t="shared" si="326"/>
        <v>0</v>
      </c>
      <c r="AS464" s="185">
        <f t="shared" si="326"/>
        <v>0</v>
      </c>
      <c r="AT464" s="185">
        <f t="shared" si="326"/>
        <v>0</v>
      </c>
      <c r="AU464" s="185">
        <f t="shared" si="326"/>
        <v>0</v>
      </c>
    </row>
    <row r="465" spans="1:47">
      <c r="E465" s="36"/>
      <c r="G465" s="39"/>
      <c r="H465" s="39"/>
      <c r="I465" s="39"/>
      <c r="J465" s="39"/>
      <c r="K465" s="39"/>
    </row>
    <row r="466" spans="1:47">
      <c r="E466" s="327"/>
      <c r="F466" s="28"/>
      <c r="G466" s="324" t="str">
        <f>C469&amp;" O&amp;M"</f>
        <v>Land Disposal O&amp;M</v>
      </c>
      <c r="H466" s="324"/>
      <c r="I466" s="324"/>
      <c r="J466" s="324"/>
      <c r="K466" s="324"/>
      <c r="L466" s="405" t="s">
        <v>79</v>
      </c>
      <c r="M466" s="256"/>
      <c r="N466" s="325" t="s">
        <v>490</v>
      </c>
      <c r="O466" s="311"/>
      <c r="P466" s="325" t="s">
        <v>491</v>
      </c>
      <c r="Q466" s="310"/>
      <c r="R466" s="325">
        <f>R$8</f>
        <v>2014</v>
      </c>
      <c r="S466" s="325">
        <f t="shared" ref="S466:AU466" si="327">S$8</f>
        <v>2015</v>
      </c>
      <c r="T466" s="325">
        <f t="shared" si="327"/>
        <v>2016</v>
      </c>
      <c r="U466" s="325">
        <f t="shared" si="327"/>
        <v>2017</v>
      </c>
      <c r="V466" s="325">
        <f t="shared" si="327"/>
        <v>2018</v>
      </c>
      <c r="W466" s="325">
        <f t="shared" si="327"/>
        <v>2019</v>
      </c>
      <c r="X466" s="325">
        <f t="shared" si="327"/>
        <v>2020</v>
      </c>
      <c r="Y466" s="325">
        <f t="shared" si="327"/>
        <v>2021</v>
      </c>
      <c r="Z466" s="325">
        <f t="shared" si="327"/>
        <v>2022</v>
      </c>
      <c r="AA466" s="325">
        <f t="shared" si="327"/>
        <v>2023</v>
      </c>
      <c r="AB466" s="325">
        <f t="shared" si="327"/>
        <v>2024</v>
      </c>
      <c r="AC466" s="325">
        <f t="shared" si="327"/>
        <v>2025</v>
      </c>
      <c r="AD466" s="325">
        <f t="shared" si="327"/>
        <v>2026</v>
      </c>
      <c r="AE466" s="325">
        <f t="shared" si="327"/>
        <v>2027</v>
      </c>
      <c r="AF466" s="325">
        <f t="shared" si="327"/>
        <v>2028</v>
      </c>
      <c r="AG466" s="325">
        <f t="shared" si="327"/>
        <v>2029</v>
      </c>
      <c r="AH466" s="325">
        <f t="shared" si="327"/>
        <v>2030</v>
      </c>
      <c r="AI466" s="325">
        <f t="shared" si="327"/>
        <v>2031</v>
      </c>
      <c r="AJ466" s="325">
        <f t="shared" si="327"/>
        <v>2032</v>
      </c>
      <c r="AK466" s="325">
        <f t="shared" si="327"/>
        <v>2033</v>
      </c>
      <c r="AL466" s="325">
        <f t="shared" si="327"/>
        <v>2034</v>
      </c>
      <c r="AM466" s="325">
        <f t="shared" si="327"/>
        <v>2035</v>
      </c>
      <c r="AN466" s="325">
        <f t="shared" si="327"/>
        <v>2036</v>
      </c>
      <c r="AO466" s="325">
        <f t="shared" si="327"/>
        <v>2037</v>
      </c>
      <c r="AP466" s="325">
        <f t="shared" si="327"/>
        <v>2038</v>
      </c>
      <c r="AQ466" s="325">
        <f t="shared" si="327"/>
        <v>2039</v>
      </c>
      <c r="AR466" s="325">
        <f t="shared" si="327"/>
        <v>2040</v>
      </c>
      <c r="AS466" s="325">
        <f t="shared" si="327"/>
        <v>2041</v>
      </c>
      <c r="AT466" s="325">
        <f t="shared" si="327"/>
        <v>2042</v>
      </c>
      <c r="AU466" s="325">
        <f t="shared" si="327"/>
        <v>2043</v>
      </c>
    </row>
    <row r="467" spans="1:47">
      <c r="E467" s="325"/>
      <c r="G467" s="39"/>
      <c r="H467" s="39"/>
      <c r="I467" s="39"/>
      <c r="J467" s="39"/>
      <c r="K467" s="39"/>
    </row>
    <row r="468" spans="1:47">
      <c r="E468" s="325"/>
      <c r="G468" s="39" t="s">
        <v>23</v>
      </c>
      <c r="H468" s="39"/>
      <c r="I468" s="39"/>
      <c r="J468" s="39"/>
      <c r="K468" s="39"/>
    </row>
    <row r="469" spans="1:47">
      <c r="A469" s="38" t="str">
        <f t="shared" ref="A469:A476" si="328">$J$4&amp;"-"</f>
        <v>2Y-</v>
      </c>
      <c r="B469" s="38" t="s">
        <v>262</v>
      </c>
      <c r="C469" s="38" t="s">
        <v>311</v>
      </c>
      <c r="D469" s="186">
        <f>LaborEsc</f>
        <v>0.02</v>
      </c>
      <c r="E469" s="325"/>
      <c r="G469" s="36" t="s">
        <v>125</v>
      </c>
      <c r="I469" s="39"/>
      <c r="K469" s="39"/>
      <c r="L469" s="43" t="s">
        <v>266</v>
      </c>
      <c r="N469" s="70">
        <f ca="1">SUMIFS(OFFSET(Assumptions!$I$90,0,MATCH($A469,Configurations,0)-1,COUNT(Assumptions!$A$90:$A$183),1),Assumptions!$D$90:$D$183,$B469&amp;$C469)</f>
        <v>0</v>
      </c>
      <c r="O469" s="313"/>
      <c r="P469" s="323"/>
      <c r="Q469" s="313"/>
      <c r="R469" s="50">
        <f t="shared" ref="R469:AU469" ca="1" si="329">IF(OR(R$99&lt;InServiceYr,R$99&gt;(InServiceYr+analysis_period-1)),0,IF($P469=0,$N469,$P469)*LaborCost*(1+$D469)^(R$99-CostBaseYr))</f>
        <v>0</v>
      </c>
      <c r="S469" s="50">
        <f t="shared" ca="1" si="329"/>
        <v>0</v>
      </c>
      <c r="T469" s="50">
        <f t="shared" ca="1" si="329"/>
        <v>0</v>
      </c>
      <c r="U469" s="50">
        <f t="shared" ca="1" si="329"/>
        <v>0</v>
      </c>
      <c r="V469" s="50">
        <f t="shared" ca="1" si="329"/>
        <v>0</v>
      </c>
      <c r="W469" s="50">
        <f t="shared" ca="1" si="329"/>
        <v>0</v>
      </c>
      <c r="X469" s="50">
        <f t="shared" ca="1" si="329"/>
        <v>0</v>
      </c>
      <c r="Y469" s="50">
        <f t="shared" ca="1" si="329"/>
        <v>0</v>
      </c>
      <c r="Z469" s="50">
        <f t="shared" ca="1" si="329"/>
        <v>0</v>
      </c>
      <c r="AA469" s="50">
        <f t="shared" ca="1" si="329"/>
        <v>0</v>
      </c>
      <c r="AB469" s="50">
        <f t="shared" ca="1" si="329"/>
        <v>0</v>
      </c>
      <c r="AC469" s="50">
        <f t="shared" ca="1" si="329"/>
        <v>0</v>
      </c>
      <c r="AD469" s="50">
        <f t="shared" ca="1" si="329"/>
        <v>0</v>
      </c>
      <c r="AE469" s="50">
        <f t="shared" ca="1" si="329"/>
        <v>0</v>
      </c>
      <c r="AF469" s="50">
        <f t="shared" ca="1" si="329"/>
        <v>0</v>
      </c>
      <c r="AG469" s="50">
        <f t="shared" ca="1" si="329"/>
        <v>0</v>
      </c>
      <c r="AH469" s="50">
        <f t="shared" ca="1" si="329"/>
        <v>0</v>
      </c>
      <c r="AI469" s="50">
        <f t="shared" ca="1" si="329"/>
        <v>0</v>
      </c>
      <c r="AJ469" s="50">
        <f t="shared" ca="1" si="329"/>
        <v>0</v>
      </c>
      <c r="AK469" s="50">
        <f t="shared" ca="1" si="329"/>
        <v>0</v>
      </c>
      <c r="AL469" s="50">
        <f t="shared" si="329"/>
        <v>0</v>
      </c>
      <c r="AM469" s="50">
        <f t="shared" si="329"/>
        <v>0</v>
      </c>
      <c r="AN469" s="50">
        <f t="shared" si="329"/>
        <v>0</v>
      </c>
      <c r="AO469" s="50">
        <f t="shared" si="329"/>
        <v>0</v>
      </c>
      <c r="AP469" s="50">
        <f t="shared" si="329"/>
        <v>0</v>
      </c>
      <c r="AQ469" s="50">
        <f t="shared" si="329"/>
        <v>0</v>
      </c>
      <c r="AR469" s="50">
        <f t="shared" si="329"/>
        <v>0</v>
      </c>
      <c r="AS469" s="50">
        <f t="shared" si="329"/>
        <v>0</v>
      </c>
      <c r="AT469" s="50">
        <f t="shared" si="329"/>
        <v>0</v>
      </c>
      <c r="AU469" s="50">
        <f t="shared" si="329"/>
        <v>0</v>
      </c>
    </row>
    <row r="470" spans="1:47">
      <c r="A470" s="38" t="str">
        <f t="shared" si="328"/>
        <v>2Y-</v>
      </c>
      <c r="B470" s="38" t="s">
        <v>270</v>
      </c>
      <c r="C470" s="38" t="str">
        <f>C469</f>
        <v>Land Disposal</v>
      </c>
      <c r="D470" s="186">
        <f>OMEsc</f>
        <v>0.02</v>
      </c>
      <c r="E470" s="325"/>
      <c r="G470" s="36" t="s">
        <v>126</v>
      </c>
      <c r="I470" s="39"/>
      <c r="K470" s="39"/>
      <c r="L470" s="43" t="str">
        <f>"["&amp;CostBaseYr&amp;" $]"</f>
        <v>[2013 $]</v>
      </c>
      <c r="N470" s="70">
        <f ca="1">SUMIFS(OFFSET(Assumptions!$I$90,0,MATCH($A470,Configurations,0)-1,COUNT(Assumptions!$A$90:$A$183),1),Assumptions!$D$90:$D$183,$B470&amp;$C470)</f>
        <v>0</v>
      </c>
      <c r="O470" s="313"/>
      <c r="P470" s="323"/>
      <c r="Q470" s="313"/>
      <c r="R470" s="50">
        <f t="shared" ref="R470:AG472" ca="1" si="330">IF(OR(R$99&lt;InServiceYr,R$99&gt;(InServiceYr+analysis_period-1)),0,IF($P470=0,$N470,$P470)*(1+$D470)^(R$99-CostBaseYr))</f>
        <v>0</v>
      </c>
      <c r="S470" s="50">
        <f t="shared" ca="1" si="330"/>
        <v>0</v>
      </c>
      <c r="T470" s="50">
        <f t="shared" ca="1" si="330"/>
        <v>0</v>
      </c>
      <c r="U470" s="50">
        <f t="shared" ca="1" si="330"/>
        <v>0</v>
      </c>
      <c r="V470" s="50">
        <f t="shared" ca="1" si="330"/>
        <v>0</v>
      </c>
      <c r="W470" s="50">
        <f t="shared" ca="1" si="330"/>
        <v>0</v>
      </c>
      <c r="X470" s="50">
        <f t="shared" ca="1" si="330"/>
        <v>0</v>
      </c>
      <c r="Y470" s="50">
        <f t="shared" ca="1" si="330"/>
        <v>0</v>
      </c>
      <c r="Z470" s="50">
        <f t="shared" ca="1" si="330"/>
        <v>0</v>
      </c>
      <c r="AA470" s="50">
        <f t="shared" ca="1" si="330"/>
        <v>0</v>
      </c>
      <c r="AB470" s="50">
        <f t="shared" ca="1" si="330"/>
        <v>0</v>
      </c>
      <c r="AC470" s="50">
        <f t="shared" ca="1" si="330"/>
        <v>0</v>
      </c>
      <c r="AD470" s="50">
        <f t="shared" ca="1" si="330"/>
        <v>0</v>
      </c>
      <c r="AE470" s="50">
        <f t="shared" ca="1" si="330"/>
        <v>0</v>
      </c>
      <c r="AF470" s="50">
        <f t="shared" ca="1" si="330"/>
        <v>0</v>
      </c>
      <c r="AG470" s="50">
        <f t="shared" ca="1" si="330"/>
        <v>0</v>
      </c>
      <c r="AH470" s="50">
        <f t="shared" ref="S470:AU472" ca="1" si="331">IF(OR(AH$99&lt;InServiceYr,AH$99&gt;(InServiceYr+analysis_period-1)),0,IF($P470=0,$N470,$P470)*(1+$D470)^(AH$99-CostBaseYr))</f>
        <v>0</v>
      </c>
      <c r="AI470" s="50">
        <f t="shared" ca="1" si="331"/>
        <v>0</v>
      </c>
      <c r="AJ470" s="50">
        <f t="shared" ca="1" si="331"/>
        <v>0</v>
      </c>
      <c r="AK470" s="50">
        <f t="shared" ca="1" si="331"/>
        <v>0</v>
      </c>
      <c r="AL470" s="50">
        <f t="shared" si="331"/>
        <v>0</v>
      </c>
      <c r="AM470" s="50">
        <f t="shared" si="331"/>
        <v>0</v>
      </c>
      <c r="AN470" s="50">
        <f t="shared" si="331"/>
        <v>0</v>
      </c>
      <c r="AO470" s="50">
        <f t="shared" si="331"/>
        <v>0</v>
      </c>
      <c r="AP470" s="50">
        <f t="shared" si="331"/>
        <v>0</v>
      </c>
      <c r="AQ470" s="50">
        <f t="shared" si="331"/>
        <v>0</v>
      </c>
      <c r="AR470" s="50">
        <f t="shared" si="331"/>
        <v>0</v>
      </c>
      <c r="AS470" s="50">
        <f t="shared" si="331"/>
        <v>0</v>
      </c>
      <c r="AT470" s="50">
        <f t="shared" si="331"/>
        <v>0</v>
      </c>
      <c r="AU470" s="50">
        <f t="shared" si="331"/>
        <v>0</v>
      </c>
    </row>
    <row r="471" spans="1:47">
      <c r="A471" s="38" t="str">
        <f t="shared" si="328"/>
        <v>2Y-</v>
      </c>
      <c r="B471" s="38" t="s">
        <v>263</v>
      </c>
      <c r="C471" s="38" t="str">
        <f t="shared" ref="C471:C475" si="332">C470</f>
        <v>Land Disposal</v>
      </c>
      <c r="D471" s="186">
        <f>OMEsc</f>
        <v>0.02</v>
      </c>
      <c r="E471" s="325"/>
      <c r="G471" s="36" t="s">
        <v>127</v>
      </c>
      <c r="I471" s="39"/>
      <c r="K471" s="39"/>
      <c r="L471" s="43" t="str">
        <f>"["&amp;CostBaseYr&amp;" $]"</f>
        <v>[2013 $]</v>
      </c>
      <c r="N471" s="70">
        <f ca="1">SUMIFS(OFFSET(Assumptions!$I$90,0,MATCH($A471,Configurations,0)-1,COUNT(Assumptions!$A$90:$A$183),1),Assumptions!$D$90:$D$183,$B471&amp;$C471)</f>
        <v>0</v>
      </c>
      <c r="O471" s="313"/>
      <c r="P471" s="323"/>
      <c r="Q471" s="313"/>
      <c r="R471" s="50">
        <f t="shared" ca="1" si="330"/>
        <v>0</v>
      </c>
      <c r="S471" s="50">
        <f t="shared" ca="1" si="331"/>
        <v>0</v>
      </c>
      <c r="T471" s="50">
        <f t="shared" ca="1" si="331"/>
        <v>0</v>
      </c>
      <c r="U471" s="50">
        <f t="shared" ca="1" si="331"/>
        <v>0</v>
      </c>
      <c r="V471" s="50">
        <f t="shared" ca="1" si="331"/>
        <v>0</v>
      </c>
      <c r="W471" s="50">
        <f t="shared" ca="1" si="331"/>
        <v>0</v>
      </c>
      <c r="X471" s="50">
        <f t="shared" ca="1" si="331"/>
        <v>0</v>
      </c>
      <c r="Y471" s="50">
        <f t="shared" ca="1" si="331"/>
        <v>0</v>
      </c>
      <c r="Z471" s="50">
        <f t="shared" ca="1" si="331"/>
        <v>0</v>
      </c>
      <c r="AA471" s="50">
        <f t="shared" ca="1" si="331"/>
        <v>0</v>
      </c>
      <c r="AB471" s="50">
        <f t="shared" ca="1" si="331"/>
        <v>0</v>
      </c>
      <c r="AC471" s="50">
        <f t="shared" ca="1" si="331"/>
        <v>0</v>
      </c>
      <c r="AD471" s="50">
        <f t="shared" ca="1" si="331"/>
        <v>0</v>
      </c>
      <c r="AE471" s="50">
        <f t="shared" ca="1" si="331"/>
        <v>0</v>
      </c>
      <c r="AF471" s="50">
        <f t="shared" ca="1" si="331"/>
        <v>0</v>
      </c>
      <c r="AG471" s="50">
        <f t="shared" ca="1" si="331"/>
        <v>0</v>
      </c>
      <c r="AH471" s="50">
        <f t="shared" ca="1" si="331"/>
        <v>0</v>
      </c>
      <c r="AI471" s="50">
        <f t="shared" ca="1" si="331"/>
        <v>0</v>
      </c>
      <c r="AJ471" s="50">
        <f t="shared" ca="1" si="331"/>
        <v>0</v>
      </c>
      <c r="AK471" s="50">
        <f t="shared" ca="1" si="331"/>
        <v>0</v>
      </c>
      <c r="AL471" s="50">
        <f t="shared" si="331"/>
        <v>0</v>
      </c>
      <c r="AM471" s="50">
        <f t="shared" si="331"/>
        <v>0</v>
      </c>
      <c r="AN471" s="50">
        <f t="shared" si="331"/>
        <v>0</v>
      </c>
      <c r="AO471" s="50">
        <f t="shared" si="331"/>
        <v>0</v>
      </c>
      <c r="AP471" s="50">
        <f t="shared" si="331"/>
        <v>0</v>
      </c>
      <c r="AQ471" s="50">
        <f t="shared" si="331"/>
        <v>0</v>
      </c>
      <c r="AR471" s="50">
        <f t="shared" si="331"/>
        <v>0</v>
      </c>
      <c r="AS471" s="50">
        <f t="shared" si="331"/>
        <v>0</v>
      </c>
      <c r="AT471" s="50">
        <f t="shared" si="331"/>
        <v>0</v>
      </c>
      <c r="AU471" s="50">
        <f t="shared" si="331"/>
        <v>0</v>
      </c>
    </row>
    <row r="472" spans="1:47">
      <c r="A472" s="38" t="str">
        <f t="shared" si="328"/>
        <v>2Y-</v>
      </c>
      <c r="B472" s="38" t="s">
        <v>277</v>
      </c>
      <c r="C472" s="38" t="str">
        <f t="shared" si="332"/>
        <v>Land Disposal</v>
      </c>
      <c r="D472" s="186">
        <f>OMEsc</f>
        <v>0.02</v>
      </c>
      <c r="E472" s="325"/>
      <c r="G472" s="36" t="s">
        <v>276</v>
      </c>
      <c r="I472" s="39"/>
      <c r="K472" s="39"/>
      <c r="L472" s="43" t="str">
        <f>"["&amp;CostBaseYr&amp;" $]"</f>
        <v>[2013 $]</v>
      </c>
      <c r="N472" s="70">
        <f ca="1">SUMIFS(OFFSET(Assumptions!$I$90,0,MATCH($A472,Configurations,0)-1,COUNT(Assumptions!$A$90:$A$183),1),Assumptions!$D$90:$D$183,$B472&amp;$C472)</f>
        <v>575000</v>
      </c>
      <c r="O472" s="313"/>
      <c r="P472" s="323"/>
      <c r="Q472" s="313"/>
      <c r="R472" s="50">
        <f t="shared" ca="1" si="330"/>
        <v>586500</v>
      </c>
      <c r="S472" s="50">
        <f t="shared" ca="1" si="331"/>
        <v>598230</v>
      </c>
      <c r="T472" s="50">
        <f t="shared" ca="1" si="331"/>
        <v>610194.6</v>
      </c>
      <c r="U472" s="50">
        <f t="shared" ca="1" si="331"/>
        <v>622398.49199999997</v>
      </c>
      <c r="V472" s="50">
        <f t="shared" ca="1" si="331"/>
        <v>634846.46184</v>
      </c>
      <c r="W472" s="50">
        <f t="shared" ca="1" si="331"/>
        <v>647543.39107680006</v>
      </c>
      <c r="X472" s="50">
        <f t="shared" ca="1" si="331"/>
        <v>660494.25889833586</v>
      </c>
      <c r="Y472" s="50">
        <f t="shared" ca="1" si="331"/>
        <v>673704.14407630265</v>
      </c>
      <c r="Z472" s="50">
        <f t="shared" ca="1" si="331"/>
        <v>687178.22695782874</v>
      </c>
      <c r="AA472" s="50">
        <f t="shared" ca="1" si="331"/>
        <v>700921.79149698536</v>
      </c>
      <c r="AB472" s="50">
        <f t="shared" ca="1" si="331"/>
        <v>714940.22732692491</v>
      </c>
      <c r="AC472" s="50">
        <f t="shared" ca="1" si="331"/>
        <v>729239.03187346354</v>
      </c>
      <c r="AD472" s="50">
        <f t="shared" ca="1" si="331"/>
        <v>743823.8125109328</v>
      </c>
      <c r="AE472" s="50">
        <f t="shared" ca="1" si="331"/>
        <v>758700.28876115149</v>
      </c>
      <c r="AF472" s="50">
        <f t="shared" ca="1" si="331"/>
        <v>773874.29453637428</v>
      </c>
      <c r="AG472" s="50">
        <f t="shared" ca="1" si="331"/>
        <v>789351.78042710188</v>
      </c>
      <c r="AH472" s="50">
        <f t="shared" ca="1" si="331"/>
        <v>805138.81603564403</v>
      </c>
      <c r="AI472" s="50">
        <f t="shared" ca="1" si="331"/>
        <v>821241.59235635679</v>
      </c>
      <c r="AJ472" s="50">
        <f t="shared" ca="1" si="331"/>
        <v>837666.42420348397</v>
      </c>
      <c r="AK472" s="50">
        <f t="shared" ca="1" si="331"/>
        <v>854419.75268755364</v>
      </c>
      <c r="AL472" s="50">
        <f t="shared" si="331"/>
        <v>0</v>
      </c>
      <c r="AM472" s="50">
        <f t="shared" si="331"/>
        <v>0</v>
      </c>
      <c r="AN472" s="50">
        <f t="shared" si="331"/>
        <v>0</v>
      </c>
      <c r="AO472" s="50">
        <f t="shared" si="331"/>
        <v>0</v>
      </c>
      <c r="AP472" s="50">
        <f t="shared" si="331"/>
        <v>0</v>
      </c>
      <c r="AQ472" s="50">
        <f t="shared" si="331"/>
        <v>0</v>
      </c>
      <c r="AR472" s="50">
        <f t="shared" si="331"/>
        <v>0</v>
      </c>
      <c r="AS472" s="50">
        <f t="shared" si="331"/>
        <v>0</v>
      </c>
      <c r="AT472" s="50">
        <f t="shared" si="331"/>
        <v>0</v>
      </c>
      <c r="AU472" s="50">
        <f t="shared" si="331"/>
        <v>0</v>
      </c>
    </row>
    <row r="473" spans="1:47">
      <c r="A473" s="38" t="str">
        <f t="shared" si="328"/>
        <v>2Y-</v>
      </c>
      <c r="B473" s="38" t="s">
        <v>274</v>
      </c>
      <c r="C473" s="38" t="str">
        <f t="shared" si="332"/>
        <v>Land Disposal</v>
      </c>
      <c r="D473" s="186"/>
      <c r="E473" s="325"/>
      <c r="G473" s="36" t="s">
        <v>16</v>
      </c>
      <c r="I473" s="39"/>
      <c r="K473" s="39"/>
      <c r="L473" s="43" t="s">
        <v>275</v>
      </c>
      <c r="N473" s="70">
        <f ca="1">SUMIFS(OFFSET(Assumptions!$I$90,0,MATCH($A473,Configurations,0)-1,COUNT(Assumptions!$A$90:$A$183),1),Assumptions!$D$90:$D$183,$B473&amp;$C473)</f>
        <v>0</v>
      </c>
      <c r="O473" s="313"/>
      <c r="P473" s="323"/>
      <c r="Q473" s="313"/>
      <c r="R473" s="50">
        <f t="shared" ref="R473:AU473" ca="1" si="333">IF(OR(R$99&lt;InServiceYr,R$99&gt;(InServiceYr+analysis_period-1)),0,IF($P473=0,$N473,$P473)*R$505)</f>
        <v>0</v>
      </c>
      <c r="S473" s="50">
        <f t="shared" ca="1" si="333"/>
        <v>0</v>
      </c>
      <c r="T473" s="50">
        <f t="shared" ca="1" si="333"/>
        <v>0</v>
      </c>
      <c r="U473" s="50">
        <f t="shared" ca="1" si="333"/>
        <v>0</v>
      </c>
      <c r="V473" s="50">
        <f t="shared" ca="1" si="333"/>
        <v>0</v>
      </c>
      <c r="W473" s="50">
        <f t="shared" ca="1" si="333"/>
        <v>0</v>
      </c>
      <c r="X473" s="50">
        <f t="shared" ca="1" si="333"/>
        <v>0</v>
      </c>
      <c r="Y473" s="50">
        <f t="shared" ca="1" si="333"/>
        <v>0</v>
      </c>
      <c r="Z473" s="50">
        <f t="shared" ca="1" si="333"/>
        <v>0</v>
      </c>
      <c r="AA473" s="50">
        <f t="shared" ca="1" si="333"/>
        <v>0</v>
      </c>
      <c r="AB473" s="50">
        <f t="shared" ca="1" si="333"/>
        <v>0</v>
      </c>
      <c r="AC473" s="50">
        <f t="shared" ca="1" si="333"/>
        <v>0</v>
      </c>
      <c r="AD473" s="50">
        <f t="shared" ca="1" si="333"/>
        <v>0</v>
      </c>
      <c r="AE473" s="50">
        <f t="shared" ca="1" si="333"/>
        <v>0</v>
      </c>
      <c r="AF473" s="50">
        <f t="shared" ca="1" si="333"/>
        <v>0</v>
      </c>
      <c r="AG473" s="50">
        <f t="shared" ca="1" si="333"/>
        <v>0</v>
      </c>
      <c r="AH473" s="50">
        <f t="shared" ca="1" si="333"/>
        <v>0</v>
      </c>
      <c r="AI473" s="50">
        <f t="shared" ca="1" si="333"/>
        <v>0</v>
      </c>
      <c r="AJ473" s="50">
        <f t="shared" ca="1" si="333"/>
        <v>0</v>
      </c>
      <c r="AK473" s="50">
        <f t="shared" ca="1" si="333"/>
        <v>0</v>
      </c>
      <c r="AL473" s="50">
        <f t="shared" si="333"/>
        <v>0</v>
      </c>
      <c r="AM473" s="50">
        <f t="shared" si="333"/>
        <v>0</v>
      </c>
      <c r="AN473" s="50">
        <f t="shared" si="333"/>
        <v>0</v>
      </c>
      <c r="AO473" s="50">
        <f t="shared" si="333"/>
        <v>0</v>
      </c>
      <c r="AP473" s="50">
        <f t="shared" si="333"/>
        <v>0</v>
      </c>
      <c r="AQ473" s="50">
        <f t="shared" si="333"/>
        <v>0</v>
      </c>
      <c r="AR473" s="50">
        <f t="shared" si="333"/>
        <v>0</v>
      </c>
      <c r="AS473" s="50">
        <f t="shared" si="333"/>
        <v>0</v>
      </c>
      <c r="AT473" s="50">
        <f t="shared" si="333"/>
        <v>0</v>
      </c>
      <c r="AU473" s="50">
        <f t="shared" si="333"/>
        <v>0</v>
      </c>
    </row>
    <row r="474" spans="1:47">
      <c r="A474" s="38" t="str">
        <f t="shared" si="328"/>
        <v>2Y-</v>
      </c>
      <c r="B474" s="38" t="s">
        <v>257</v>
      </c>
      <c r="C474" s="38" t="str">
        <f t="shared" si="332"/>
        <v>Land Disposal</v>
      </c>
      <c r="D474" s="186"/>
      <c r="E474" s="325"/>
      <c r="G474" s="36" t="s">
        <v>284</v>
      </c>
      <c r="I474" s="39"/>
      <c r="K474" s="39"/>
      <c r="L474" s="43" t="s">
        <v>293</v>
      </c>
      <c r="N474" s="70">
        <f ca="1">SUMIFS(OFFSET(Assumptions!$I$90,0,MATCH($A474,Configurations,0)-1,COUNT(Assumptions!$A$90:$A$183),1),Assumptions!$D$90:$D$183,$B474&amp;$C474)</f>
        <v>0</v>
      </c>
      <c r="O474" s="313"/>
      <c r="P474" s="323"/>
      <c r="Q474" s="313"/>
      <c r="R474" s="50">
        <f t="shared" ref="R474:AU474" ca="1" si="334">IF(OR(R$99&lt;InServiceYr,R$99&gt;(InServiceYr+analysis_period-1)),0,IF($P474=0,$N474,$P474)*R$501)</f>
        <v>0</v>
      </c>
      <c r="S474" s="50">
        <f t="shared" ca="1" si="334"/>
        <v>0</v>
      </c>
      <c r="T474" s="50">
        <f t="shared" ca="1" si="334"/>
        <v>0</v>
      </c>
      <c r="U474" s="50">
        <f t="shared" ca="1" si="334"/>
        <v>0</v>
      </c>
      <c r="V474" s="50">
        <f t="shared" ca="1" si="334"/>
        <v>0</v>
      </c>
      <c r="W474" s="50">
        <f t="shared" ca="1" si="334"/>
        <v>0</v>
      </c>
      <c r="X474" s="50">
        <f t="shared" ca="1" si="334"/>
        <v>0</v>
      </c>
      <c r="Y474" s="50">
        <f t="shared" ca="1" si="334"/>
        <v>0</v>
      </c>
      <c r="Z474" s="50">
        <f t="shared" ca="1" si="334"/>
        <v>0</v>
      </c>
      <c r="AA474" s="50">
        <f t="shared" ca="1" si="334"/>
        <v>0</v>
      </c>
      <c r="AB474" s="50">
        <f t="shared" ca="1" si="334"/>
        <v>0</v>
      </c>
      <c r="AC474" s="50">
        <f t="shared" ca="1" si="334"/>
        <v>0</v>
      </c>
      <c r="AD474" s="50">
        <f t="shared" ca="1" si="334"/>
        <v>0</v>
      </c>
      <c r="AE474" s="50">
        <f t="shared" ca="1" si="334"/>
        <v>0</v>
      </c>
      <c r="AF474" s="50">
        <f t="shared" ca="1" si="334"/>
        <v>0</v>
      </c>
      <c r="AG474" s="50">
        <f t="shared" ca="1" si="334"/>
        <v>0</v>
      </c>
      <c r="AH474" s="50">
        <f t="shared" ca="1" si="334"/>
        <v>0</v>
      </c>
      <c r="AI474" s="50">
        <f t="shared" ca="1" si="334"/>
        <v>0</v>
      </c>
      <c r="AJ474" s="50">
        <f t="shared" ca="1" si="334"/>
        <v>0</v>
      </c>
      <c r="AK474" s="50">
        <f t="shared" ca="1" si="334"/>
        <v>0</v>
      </c>
      <c r="AL474" s="50">
        <f t="shared" si="334"/>
        <v>0</v>
      </c>
      <c r="AM474" s="50">
        <f t="shared" si="334"/>
        <v>0</v>
      </c>
      <c r="AN474" s="50">
        <f t="shared" si="334"/>
        <v>0</v>
      </c>
      <c r="AO474" s="50">
        <f t="shared" si="334"/>
        <v>0</v>
      </c>
      <c r="AP474" s="50">
        <f t="shared" si="334"/>
        <v>0</v>
      </c>
      <c r="AQ474" s="50">
        <f t="shared" si="334"/>
        <v>0</v>
      </c>
      <c r="AR474" s="50">
        <f t="shared" si="334"/>
        <v>0</v>
      </c>
      <c r="AS474" s="50">
        <f t="shared" si="334"/>
        <v>0</v>
      </c>
      <c r="AT474" s="50">
        <f t="shared" si="334"/>
        <v>0</v>
      </c>
      <c r="AU474" s="50">
        <f t="shared" si="334"/>
        <v>0</v>
      </c>
    </row>
    <row r="475" spans="1:47">
      <c r="A475" s="38" t="str">
        <f t="shared" si="328"/>
        <v>2Y-</v>
      </c>
      <c r="B475" s="38" t="s">
        <v>864</v>
      </c>
      <c r="C475" s="38" t="str">
        <f t="shared" si="332"/>
        <v>Land Disposal</v>
      </c>
      <c r="D475" s="186">
        <f>GHGEsc</f>
        <v>0.02</v>
      </c>
      <c r="E475" s="325"/>
      <c r="G475" s="36" t="s">
        <v>865</v>
      </c>
      <c r="I475" s="39"/>
      <c r="K475" s="39"/>
      <c r="L475" s="43" t="s">
        <v>866</v>
      </c>
      <c r="N475" s="70">
        <f ca="1">SUMIFS(OFFSET(Assumptions!$I$90,0,MATCH($A475,Configurations,0)-1,COUNT(Assumptions!$A$90:$A$183),1),Assumptions!$D$90:$D$183,$B475&amp;$C475)</f>
        <v>0</v>
      </c>
      <c r="O475" s="313"/>
      <c r="P475" s="323"/>
      <c r="Q475" s="313"/>
      <c r="R475" s="50">
        <f t="shared" ref="R475:AU475" ca="1" si="335">IF(OR(R$99&lt;InServiceYr,R$99&gt;(InServiceYr+analysis_period-1)),0,IF($P475=0,$N475,$P475)*R$513)</f>
        <v>0</v>
      </c>
      <c r="S475" s="50">
        <f t="shared" ca="1" si="335"/>
        <v>0</v>
      </c>
      <c r="T475" s="50">
        <f t="shared" ca="1" si="335"/>
        <v>0</v>
      </c>
      <c r="U475" s="50">
        <f t="shared" ca="1" si="335"/>
        <v>0</v>
      </c>
      <c r="V475" s="50">
        <f t="shared" ca="1" si="335"/>
        <v>0</v>
      </c>
      <c r="W475" s="50">
        <f t="shared" ca="1" si="335"/>
        <v>0</v>
      </c>
      <c r="X475" s="50">
        <f t="shared" ca="1" si="335"/>
        <v>0</v>
      </c>
      <c r="Y475" s="50">
        <f t="shared" ca="1" si="335"/>
        <v>0</v>
      </c>
      <c r="Z475" s="50">
        <f t="shared" ca="1" si="335"/>
        <v>0</v>
      </c>
      <c r="AA475" s="50">
        <f t="shared" ca="1" si="335"/>
        <v>0</v>
      </c>
      <c r="AB475" s="50">
        <f t="shared" ca="1" si="335"/>
        <v>0</v>
      </c>
      <c r="AC475" s="50">
        <f t="shared" ca="1" si="335"/>
        <v>0</v>
      </c>
      <c r="AD475" s="50">
        <f t="shared" ca="1" si="335"/>
        <v>0</v>
      </c>
      <c r="AE475" s="50">
        <f t="shared" ca="1" si="335"/>
        <v>0</v>
      </c>
      <c r="AF475" s="50">
        <f t="shared" ca="1" si="335"/>
        <v>0</v>
      </c>
      <c r="AG475" s="50">
        <f t="shared" ca="1" si="335"/>
        <v>0</v>
      </c>
      <c r="AH475" s="50">
        <f t="shared" ca="1" si="335"/>
        <v>0</v>
      </c>
      <c r="AI475" s="50">
        <f t="shared" ca="1" si="335"/>
        <v>0</v>
      </c>
      <c r="AJ475" s="50">
        <f t="shared" ca="1" si="335"/>
        <v>0</v>
      </c>
      <c r="AK475" s="50">
        <f t="shared" ca="1" si="335"/>
        <v>0</v>
      </c>
      <c r="AL475" s="50">
        <f t="shared" si="335"/>
        <v>0</v>
      </c>
      <c r="AM475" s="50">
        <f t="shared" si="335"/>
        <v>0</v>
      </c>
      <c r="AN475" s="50">
        <f t="shared" si="335"/>
        <v>0</v>
      </c>
      <c r="AO475" s="50">
        <f t="shared" si="335"/>
        <v>0</v>
      </c>
      <c r="AP475" s="50">
        <f t="shared" si="335"/>
        <v>0</v>
      </c>
      <c r="AQ475" s="50">
        <f t="shared" si="335"/>
        <v>0</v>
      </c>
      <c r="AR475" s="50">
        <f t="shared" si="335"/>
        <v>0</v>
      </c>
      <c r="AS475" s="50">
        <f t="shared" si="335"/>
        <v>0</v>
      </c>
      <c r="AT475" s="50">
        <f t="shared" si="335"/>
        <v>0</v>
      </c>
      <c r="AU475" s="50">
        <f t="shared" si="335"/>
        <v>0</v>
      </c>
    </row>
    <row r="476" spans="1:47">
      <c r="A476" s="38" t="str">
        <f t="shared" si="328"/>
        <v>2Y-</v>
      </c>
      <c r="B476" s="38" t="s">
        <v>273</v>
      </c>
      <c r="C476" s="38" t="str">
        <f>C474</f>
        <v>Land Disposal</v>
      </c>
      <c r="D476" s="186">
        <f>LaborEsc</f>
        <v>0.02</v>
      </c>
      <c r="E476" s="325"/>
      <c r="G476" s="36" t="s">
        <v>291</v>
      </c>
      <c r="I476" s="39"/>
      <c r="K476" s="39"/>
      <c r="L476" s="43" t="str">
        <f>"["&amp;CostBaseYr&amp;" $]"</f>
        <v>[2013 $]</v>
      </c>
      <c r="N476" s="70">
        <f ca="1">SUMIFS(OFFSET(Assumptions!$I$90,0,MATCH($A476,Configurations,0)-1,COUNT(Assumptions!$A$90:$A$183),1),Assumptions!$D$90:$D$183,$B476&amp;$C476)</f>
        <v>0</v>
      </c>
      <c r="O476" s="313"/>
      <c r="P476" s="323"/>
      <c r="Q476" s="313"/>
      <c r="R476" s="50">
        <f t="shared" ref="R476:AU476" ca="1" si="336">IF(OR(R$99&lt;InServiceYr,R$99&gt;(InServiceYr+analysis_period-1)),0,IF($P476=0,$N476,$P476)*(1+$D476)^(R$99-CostBaseYr))*R$509</f>
        <v>0</v>
      </c>
      <c r="S476" s="50">
        <f t="shared" ca="1" si="336"/>
        <v>0</v>
      </c>
      <c r="T476" s="50">
        <f t="shared" ca="1" si="336"/>
        <v>0</v>
      </c>
      <c r="U476" s="50">
        <f t="shared" ca="1" si="336"/>
        <v>0</v>
      </c>
      <c r="V476" s="50">
        <f t="shared" ca="1" si="336"/>
        <v>0</v>
      </c>
      <c r="W476" s="50">
        <f t="shared" ca="1" si="336"/>
        <v>0</v>
      </c>
      <c r="X476" s="50">
        <f t="shared" ca="1" si="336"/>
        <v>0</v>
      </c>
      <c r="Y476" s="50">
        <f t="shared" ca="1" si="336"/>
        <v>0</v>
      </c>
      <c r="Z476" s="50">
        <f t="shared" ca="1" si="336"/>
        <v>0</v>
      </c>
      <c r="AA476" s="50">
        <f t="shared" ca="1" si="336"/>
        <v>0</v>
      </c>
      <c r="AB476" s="50">
        <f t="shared" ca="1" si="336"/>
        <v>0</v>
      </c>
      <c r="AC476" s="50">
        <f t="shared" ca="1" si="336"/>
        <v>0</v>
      </c>
      <c r="AD476" s="50">
        <f t="shared" ca="1" si="336"/>
        <v>0</v>
      </c>
      <c r="AE476" s="50">
        <f t="shared" ca="1" si="336"/>
        <v>0</v>
      </c>
      <c r="AF476" s="50">
        <f t="shared" ca="1" si="336"/>
        <v>0</v>
      </c>
      <c r="AG476" s="50">
        <f t="shared" ca="1" si="336"/>
        <v>0</v>
      </c>
      <c r="AH476" s="50">
        <f t="shared" ca="1" si="336"/>
        <v>0</v>
      </c>
      <c r="AI476" s="50">
        <f t="shared" ca="1" si="336"/>
        <v>0</v>
      </c>
      <c r="AJ476" s="50">
        <f t="shared" ca="1" si="336"/>
        <v>0</v>
      </c>
      <c r="AK476" s="50">
        <f t="shared" ca="1" si="336"/>
        <v>0</v>
      </c>
      <c r="AL476" s="50">
        <f t="shared" si="336"/>
        <v>0</v>
      </c>
      <c r="AM476" s="50">
        <f t="shared" si="336"/>
        <v>0</v>
      </c>
      <c r="AN476" s="50">
        <f t="shared" si="336"/>
        <v>0</v>
      </c>
      <c r="AO476" s="50">
        <f t="shared" si="336"/>
        <v>0</v>
      </c>
      <c r="AP476" s="50">
        <f t="shared" si="336"/>
        <v>0</v>
      </c>
      <c r="AQ476" s="50">
        <f t="shared" si="336"/>
        <v>0</v>
      </c>
      <c r="AR476" s="50">
        <f t="shared" si="336"/>
        <v>0</v>
      </c>
      <c r="AS476" s="50">
        <f t="shared" si="336"/>
        <v>0</v>
      </c>
      <c r="AT476" s="50">
        <f t="shared" si="336"/>
        <v>0</v>
      </c>
      <c r="AU476" s="50">
        <f t="shared" si="336"/>
        <v>0</v>
      </c>
    </row>
    <row r="477" spans="1:47">
      <c r="D477" s="186"/>
      <c r="E477" s="325"/>
      <c r="G477" s="39" t="s">
        <v>304</v>
      </c>
      <c r="I477" s="39"/>
      <c r="K477" s="39"/>
      <c r="L477" s="43"/>
      <c r="N477" s="70"/>
      <c r="O477" s="313"/>
      <c r="P477" s="70"/>
      <c r="Q477" s="313"/>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row>
    <row r="478" spans="1:47">
      <c r="A478" s="38" t="str">
        <f>$J$4&amp;"-"</f>
        <v>2Y-</v>
      </c>
      <c r="B478" s="38" t="s">
        <v>265</v>
      </c>
      <c r="C478" s="38" t="str">
        <f>C469</f>
        <v>Land Disposal</v>
      </c>
      <c r="D478" s="186"/>
      <c r="E478" s="325"/>
      <c r="G478" s="36" t="s">
        <v>108</v>
      </c>
      <c r="I478" s="39"/>
      <c r="K478" s="39"/>
      <c r="L478" s="43" t="s">
        <v>293</v>
      </c>
      <c r="N478" s="70">
        <f ca="1">SUMIFS(OFFSET(Assumptions!$I$90,0,MATCH($A478,Configurations,0)-1,COUNT(Assumptions!$A$90:$A$183),1),Assumptions!$D$90:$D$183,$B478&amp;$C478)</f>
        <v>0</v>
      </c>
      <c r="O478" s="313"/>
      <c r="P478" s="323"/>
      <c r="Q478" s="313"/>
      <c r="R478" s="50">
        <f t="shared" ref="R478:AU478" ca="1" si="337">IF(OR(R$99&lt;InServiceYr,R$99&gt;(InServiceYr+analysis_period-1)),0,IF($P478=0,$N478,$P478)*R$501)</f>
        <v>0</v>
      </c>
      <c r="S478" s="50">
        <f t="shared" ca="1" si="337"/>
        <v>0</v>
      </c>
      <c r="T478" s="50">
        <f t="shared" ca="1" si="337"/>
        <v>0</v>
      </c>
      <c r="U478" s="50">
        <f t="shared" ca="1" si="337"/>
        <v>0</v>
      </c>
      <c r="V478" s="50">
        <f t="shared" ca="1" si="337"/>
        <v>0</v>
      </c>
      <c r="W478" s="50">
        <f t="shared" ca="1" si="337"/>
        <v>0</v>
      </c>
      <c r="X478" s="50">
        <f t="shared" ca="1" si="337"/>
        <v>0</v>
      </c>
      <c r="Y478" s="50">
        <f t="shared" ca="1" si="337"/>
        <v>0</v>
      </c>
      <c r="Z478" s="50">
        <f t="shared" ca="1" si="337"/>
        <v>0</v>
      </c>
      <c r="AA478" s="50">
        <f t="shared" ca="1" si="337"/>
        <v>0</v>
      </c>
      <c r="AB478" s="50">
        <f t="shared" ca="1" si="337"/>
        <v>0</v>
      </c>
      <c r="AC478" s="50">
        <f t="shared" ca="1" si="337"/>
        <v>0</v>
      </c>
      <c r="AD478" s="50">
        <f t="shared" ca="1" si="337"/>
        <v>0</v>
      </c>
      <c r="AE478" s="50">
        <f t="shared" ca="1" si="337"/>
        <v>0</v>
      </c>
      <c r="AF478" s="50">
        <f t="shared" ca="1" si="337"/>
        <v>0</v>
      </c>
      <c r="AG478" s="50">
        <f t="shared" ca="1" si="337"/>
        <v>0</v>
      </c>
      <c r="AH478" s="50">
        <f t="shared" ca="1" si="337"/>
        <v>0</v>
      </c>
      <c r="AI478" s="50">
        <f t="shared" ca="1" si="337"/>
        <v>0</v>
      </c>
      <c r="AJ478" s="50">
        <f t="shared" ca="1" si="337"/>
        <v>0</v>
      </c>
      <c r="AK478" s="50">
        <f t="shared" ca="1" si="337"/>
        <v>0</v>
      </c>
      <c r="AL478" s="50">
        <f t="shared" si="337"/>
        <v>0</v>
      </c>
      <c r="AM478" s="50">
        <f t="shared" si="337"/>
        <v>0</v>
      </c>
      <c r="AN478" s="50">
        <f t="shared" si="337"/>
        <v>0</v>
      </c>
      <c r="AO478" s="50">
        <f t="shared" si="337"/>
        <v>0</v>
      </c>
      <c r="AP478" s="50">
        <f t="shared" si="337"/>
        <v>0</v>
      </c>
      <c r="AQ478" s="50">
        <f t="shared" si="337"/>
        <v>0</v>
      </c>
      <c r="AR478" s="50">
        <f t="shared" si="337"/>
        <v>0</v>
      </c>
      <c r="AS478" s="50">
        <f t="shared" si="337"/>
        <v>0</v>
      </c>
      <c r="AT478" s="50">
        <f t="shared" si="337"/>
        <v>0</v>
      </c>
      <c r="AU478" s="50">
        <f t="shared" si="337"/>
        <v>0</v>
      </c>
    </row>
    <row r="479" spans="1:47">
      <c r="A479" s="38" t="str">
        <f>$J$4&amp;"-"</f>
        <v>2Y-</v>
      </c>
      <c r="B479" s="38" t="s">
        <v>289</v>
      </c>
      <c r="C479" s="38" t="str">
        <f>C469</f>
        <v>Land Disposal</v>
      </c>
      <c r="D479" s="186">
        <f>LaborEsc</f>
        <v>0.02</v>
      </c>
      <c r="E479" s="325"/>
      <c r="G479" s="36" t="s">
        <v>292</v>
      </c>
      <c r="I479" s="39"/>
      <c r="K479" s="39"/>
      <c r="L479" s="43" t="str">
        <f>"["&amp;CostBaseYr&amp;" $]"</f>
        <v>[2013 $]</v>
      </c>
      <c r="N479" s="70">
        <f ca="1">SUMIFS(OFFSET(Assumptions!$I$90,0,MATCH($A479,Configurations,0)-1,COUNT(Assumptions!$A$90:$A$183),1),Assumptions!$D$90:$D$183,$B479&amp;$C479)</f>
        <v>0</v>
      </c>
      <c r="O479" s="313"/>
      <c r="P479" s="323"/>
      <c r="Q479" s="313"/>
      <c r="R479" s="50">
        <f t="shared" ref="R479:AU479" ca="1" si="338">IF(OR(R$99&lt;InServiceYr,R$99&gt;(InServiceYr+analysis_period-1)),0,IF($P479=0,$N479,$P479)*(1+$D479)^(R$99-CostBaseYr))</f>
        <v>0</v>
      </c>
      <c r="S479" s="50">
        <f t="shared" ca="1" si="338"/>
        <v>0</v>
      </c>
      <c r="T479" s="50">
        <f t="shared" ca="1" si="338"/>
        <v>0</v>
      </c>
      <c r="U479" s="50">
        <f t="shared" ca="1" si="338"/>
        <v>0</v>
      </c>
      <c r="V479" s="50">
        <f t="shared" ca="1" si="338"/>
        <v>0</v>
      </c>
      <c r="W479" s="50">
        <f t="shared" ca="1" si="338"/>
        <v>0</v>
      </c>
      <c r="X479" s="50">
        <f t="shared" ca="1" si="338"/>
        <v>0</v>
      </c>
      <c r="Y479" s="50">
        <f t="shared" ca="1" si="338"/>
        <v>0</v>
      </c>
      <c r="Z479" s="50">
        <f t="shared" ca="1" si="338"/>
        <v>0</v>
      </c>
      <c r="AA479" s="50">
        <f t="shared" ca="1" si="338"/>
        <v>0</v>
      </c>
      <c r="AB479" s="50">
        <f t="shared" ca="1" si="338"/>
        <v>0</v>
      </c>
      <c r="AC479" s="50">
        <f t="shared" ca="1" si="338"/>
        <v>0</v>
      </c>
      <c r="AD479" s="50">
        <f t="shared" ca="1" si="338"/>
        <v>0</v>
      </c>
      <c r="AE479" s="50">
        <f t="shared" ca="1" si="338"/>
        <v>0</v>
      </c>
      <c r="AF479" s="50">
        <f t="shared" ca="1" si="338"/>
        <v>0</v>
      </c>
      <c r="AG479" s="50">
        <f t="shared" ca="1" si="338"/>
        <v>0</v>
      </c>
      <c r="AH479" s="50">
        <f t="shared" ca="1" si="338"/>
        <v>0</v>
      </c>
      <c r="AI479" s="50">
        <f t="shared" ca="1" si="338"/>
        <v>0</v>
      </c>
      <c r="AJ479" s="50">
        <f t="shared" ca="1" si="338"/>
        <v>0</v>
      </c>
      <c r="AK479" s="50">
        <f t="shared" ca="1" si="338"/>
        <v>0</v>
      </c>
      <c r="AL479" s="50">
        <f t="shared" si="338"/>
        <v>0</v>
      </c>
      <c r="AM479" s="50">
        <f t="shared" si="338"/>
        <v>0</v>
      </c>
      <c r="AN479" s="50">
        <f t="shared" si="338"/>
        <v>0</v>
      </c>
      <c r="AO479" s="50">
        <f t="shared" si="338"/>
        <v>0</v>
      </c>
      <c r="AP479" s="50">
        <f t="shared" si="338"/>
        <v>0</v>
      </c>
      <c r="AQ479" s="50">
        <f t="shared" si="338"/>
        <v>0</v>
      </c>
      <c r="AR479" s="50">
        <f t="shared" si="338"/>
        <v>0</v>
      </c>
      <c r="AS479" s="50">
        <f t="shared" si="338"/>
        <v>0</v>
      </c>
      <c r="AT479" s="50">
        <f t="shared" si="338"/>
        <v>0</v>
      </c>
      <c r="AU479" s="50">
        <f t="shared" si="338"/>
        <v>0</v>
      </c>
    </row>
    <row r="480" spans="1:47" s="60" customFormat="1">
      <c r="D480" s="187"/>
      <c r="E480" s="325"/>
      <c r="G480" s="39" t="s">
        <v>305</v>
      </c>
      <c r="I480" s="39"/>
      <c r="K480" s="39"/>
      <c r="L480" s="174"/>
      <c r="N480" s="188"/>
      <c r="O480" s="314"/>
      <c r="P480" s="185"/>
      <c r="Q480" s="314"/>
      <c r="R480" s="185">
        <f ca="1">SUM(R469:R476)-SUM(R478:R479)</f>
        <v>586500</v>
      </c>
      <c r="S480" s="185">
        <f t="shared" ref="S480:AU480" ca="1" si="339">SUM(S469:S476)-SUM(S478:S479)</f>
        <v>598230</v>
      </c>
      <c r="T480" s="185">
        <f t="shared" ca="1" si="339"/>
        <v>610194.6</v>
      </c>
      <c r="U480" s="185">
        <f t="shared" ca="1" si="339"/>
        <v>622398.49199999997</v>
      </c>
      <c r="V480" s="185">
        <f t="shared" ca="1" si="339"/>
        <v>634846.46184</v>
      </c>
      <c r="W480" s="185">
        <f t="shared" ca="1" si="339"/>
        <v>647543.39107680006</v>
      </c>
      <c r="X480" s="185">
        <f t="shared" ca="1" si="339"/>
        <v>660494.25889833586</v>
      </c>
      <c r="Y480" s="185">
        <f t="shared" ca="1" si="339"/>
        <v>673704.14407630265</v>
      </c>
      <c r="Z480" s="185">
        <f t="shared" ca="1" si="339"/>
        <v>687178.22695782874</v>
      </c>
      <c r="AA480" s="185">
        <f t="shared" ca="1" si="339"/>
        <v>700921.79149698536</v>
      </c>
      <c r="AB480" s="185">
        <f t="shared" ca="1" si="339"/>
        <v>714940.22732692491</v>
      </c>
      <c r="AC480" s="185">
        <f t="shared" ca="1" si="339"/>
        <v>729239.03187346354</v>
      </c>
      <c r="AD480" s="185">
        <f t="shared" ca="1" si="339"/>
        <v>743823.8125109328</v>
      </c>
      <c r="AE480" s="185">
        <f t="shared" ca="1" si="339"/>
        <v>758700.28876115149</v>
      </c>
      <c r="AF480" s="185">
        <f t="shared" ca="1" si="339"/>
        <v>773874.29453637428</v>
      </c>
      <c r="AG480" s="185">
        <f t="shared" ca="1" si="339"/>
        <v>789351.78042710188</v>
      </c>
      <c r="AH480" s="185">
        <f t="shared" ca="1" si="339"/>
        <v>805138.81603564403</v>
      </c>
      <c r="AI480" s="185">
        <f t="shared" ca="1" si="339"/>
        <v>821241.59235635679</v>
      </c>
      <c r="AJ480" s="185">
        <f t="shared" ca="1" si="339"/>
        <v>837666.42420348397</v>
      </c>
      <c r="AK480" s="185">
        <f t="shared" ca="1" si="339"/>
        <v>854419.75268755364</v>
      </c>
      <c r="AL480" s="185">
        <f t="shared" si="339"/>
        <v>0</v>
      </c>
      <c r="AM480" s="185">
        <f t="shared" si="339"/>
        <v>0</v>
      </c>
      <c r="AN480" s="185">
        <f t="shared" si="339"/>
        <v>0</v>
      </c>
      <c r="AO480" s="185">
        <f t="shared" si="339"/>
        <v>0</v>
      </c>
      <c r="AP480" s="185">
        <f t="shared" si="339"/>
        <v>0</v>
      </c>
      <c r="AQ480" s="185">
        <f t="shared" si="339"/>
        <v>0</v>
      </c>
      <c r="AR480" s="185">
        <f t="shared" si="339"/>
        <v>0</v>
      </c>
      <c r="AS480" s="185">
        <f t="shared" si="339"/>
        <v>0</v>
      </c>
      <c r="AT480" s="185">
        <f t="shared" si="339"/>
        <v>0</v>
      </c>
      <c r="AU480" s="185">
        <f t="shared" si="339"/>
        <v>0</v>
      </c>
    </row>
    <row r="481" spans="1:47">
      <c r="E481" s="36"/>
      <c r="G481" s="39"/>
      <c r="H481" s="39"/>
      <c r="I481" s="39"/>
      <c r="J481" s="39"/>
      <c r="K481" s="39"/>
    </row>
    <row r="482" spans="1:47">
      <c r="E482" s="327"/>
      <c r="F482" s="28"/>
      <c r="G482" s="324" t="str">
        <f>C485&amp;" O&amp;M"</f>
        <v>General O&amp;M O&amp;M</v>
      </c>
      <c r="H482" s="324"/>
      <c r="I482" s="324"/>
      <c r="J482" s="324"/>
      <c r="K482" s="324"/>
      <c r="L482" s="405" t="s">
        <v>79</v>
      </c>
      <c r="M482" s="256"/>
      <c r="N482" s="325" t="s">
        <v>490</v>
      </c>
      <c r="O482" s="311"/>
      <c r="P482" s="325" t="s">
        <v>491</v>
      </c>
      <c r="Q482" s="310"/>
      <c r="R482" s="325">
        <f>R$8</f>
        <v>2014</v>
      </c>
      <c r="S482" s="325">
        <f t="shared" ref="S482:AU482" si="340">S$8</f>
        <v>2015</v>
      </c>
      <c r="T482" s="325">
        <f t="shared" si="340"/>
        <v>2016</v>
      </c>
      <c r="U482" s="325">
        <f t="shared" si="340"/>
        <v>2017</v>
      </c>
      <c r="V482" s="325">
        <f t="shared" si="340"/>
        <v>2018</v>
      </c>
      <c r="W482" s="325">
        <f t="shared" si="340"/>
        <v>2019</v>
      </c>
      <c r="X482" s="325">
        <f t="shared" si="340"/>
        <v>2020</v>
      </c>
      <c r="Y482" s="325">
        <f t="shared" si="340"/>
        <v>2021</v>
      </c>
      <c r="Z482" s="325">
        <f t="shared" si="340"/>
        <v>2022</v>
      </c>
      <c r="AA482" s="325">
        <f t="shared" si="340"/>
        <v>2023</v>
      </c>
      <c r="AB482" s="325">
        <f t="shared" si="340"/>
        <v>2024</v>
      </c>
      <c r="AC482" s="325">
        <f t="shared" si="340"/>
        <v>2025</v>
      </c>
      <c r="AD482" s="325">
        <f t="shared" si="340"/>
        <v>2026</v>
      </c>
      <c r="AE482" s="325">
        <f t="shared" si="340"/>
        <v>2027</v>
      </c>
      <c r="AF482" s="325">
        <f t="shared" si="340"/>
        <v>2028</v>
      </c>
      <c r="AG482" s="325">
        <f t="shared" si="340"/>
        <v>2029</v>
      </c>
      <c r="AH482" s="325">
        <f t="shared" si="340"/>
        <v>2030</v>
      </c>
      <c r="AI482" s="325">
        <f t="shared" si="340"/>
        <v>2031</v>
      </c>
      <c r="AJ482" s="325">
        <f t="shared" si="340"/>
        <v>2032</v>
      </c>
      <c r="AK482" s="325">
        <f t="shared" si="340"/>
        <v>2033</v>
      </c>
      <c r="AL482" s="325">
        <f t="shared" si="340"/>
        <v>2034</v>
      </c>
      <c r="AM482" s="325">
        <f t="shared" si="340"/>
        <v>2035</v>
      </c>
      <c r="AN482" s="325">
        <f t="shared" si="340"/>
        <v>2036</v>
      </c>
      <c r="AO482" s="325">
        <f t="shared" si="340"/>
        <v>2037</v>
      </c>
      <c r="AP482" s="325">
        <f t="shared" si="340"/>
        <v>2038</v>
      </c>
      <c r="AQ482" s="325">
        <f t="shared" si="340"/>
        <v>2039</v>
      </c>
      <c r="AR482" s="325">
        <f t="shared" si="340"/>
        <v>2040</v>
      </c>
      <c r="AS482" s="325">
        <f t="shared" si="340"/>
        <v>2041</v>
      </c>
      <c r="AT482" s="325">
        <f t="shared" si="340"/>
        <v>2042</v>
      </c>
      <c r="AU482" s="325">
        <f t="shared" si="340"/>
        <v>2043</v>
      </c>
    </row>
    <row r="483" spans="1:47">
      <c r="E483" s="325"/>
      <c r="G483" s="39"/>
      <c r="H483" s="39"/>
      <c r="I483" s="39"/>
      <c r="J483" s="39"/>
      <c r="K483" s="39"/>
    </row>
    <row r="484" spans="1:47">
      <c r="E484" s="325"/>
      <c r="G484" s="39" t="s">
        <v>23</v>
      </c>
      <c r="H484" s="39"/>
      <c r="I484" s="39"/>
      <c r="J484" s="39"/>
      <c r="K484" s="39"/>
    </row>
    <row r="485" spans="1:47">
      <c r="A485" s="38" t="str">
        <f t="shared" ref="A485:A492" si="341">$J$4&amp;"-"</f>
        <v>2Y-</v>
      </c>
      <c r="B485" s="38" t="s">
        <v>262</v>
      </c>
      <c r="C485" s="38" t="s">
        <v>308</v>
      </c>
      <c r="D485" s="186">
        <f>LaborEsc</f>
        <v>0.02</v>
      </c>
      <c r="E485" s="325"/>
      <c r="G485" s="36" t="s">
        <v>125</v>
      </c>
      <c r="I485" s="39"/>
      <c r="K485" s="39"/>
      <c r="L485" s="43" t="s">
        <v>266</v>
      </c>
      <c r="N485" s="70">
        <f ca="1">SUMIFS(OFFSET(Assumptions!$I$90,0,MATCH($A485,Configurations,0)-1,COUNT(Assumptions!$A$90:$A$183),1),Assumptions!$D$90:$D$183,$B485&amp;$C485)</f>
        <v>0</v>
      </c>
      <c r="O485" s="313"/>
      <c r="P485" s="323"/>
      <c r="Q485" s="313"/>
      <c r="R485" s="50">
        <f t="shared" ref="R485:AU485" ca="1" si="342">IF(OR(R$99&lt;InServiceYr,R$99&gt;(InServiceYr+analysis_period-1)),0,IF($P485=0,$N485,$P485)*LaborCost*(1+$D485)^(R$99-CostBaseYr))</f>
        <v>0</v>
      </c>
      <c r="S485" s="50">
        <f t="shared" ca="1" si="342"/>
        <v>0</v>
      </c>
      <c r="T485" s="50">
        <f t="shared" ca="1" si="342"/>
        <v>0</v>
      </c>
      <c r="U485" s="50">
        <f t="shared" ca="1" si="342"/>
        <v>0</v>
      </c>
      <c r="V485" s="50">
        <f t="shared" ca="1" si="342"/>
        <v>0</v>
      </c>
      <c r="W485" s="50">
        <f t="shared" ca="1" si="342"/>
        <v>0</v>
      </c>
      <c r="X485" s="50">
        <f t="shared" ca="1" si="342"/>
        <v>0</v>
      </c>
      <c r="Y485" s="50">
        <f t="shared" ca="1" si="342"/>
        <v>0</v>
      </c>
      <c r="Z485" s="50">
        <f t="shared" ca="1" si="342"/>
        <v>0</v>
      </c>
      <c r="AA485" s="50">
        <f t="shared" ca="1" si="342"/>
        <v>0</v>
      </c>
      <c r="AB485" s="50">
        <f t="shared" ca="1" si="342"/>
        <v>0</v>
      </c>
      <c r="AC485" s="50">
        <f t="shared" ca="1" si="342"/>
        <v>0</v>
      </c>
      <c r="AD485" s="50">
        <f t="shared" ca="1" si="342"/>
        <v>0</v>
      </c>
      <c r="AE485" s="50">
        <f t="shared" ca="1" si="342"/>
        <v>0</v>
      </c>
      <c r="AF485" s="50">
        <f t="shared" ca="1" si="342"/>
        <v>0</v>
      </c>
      <c r="AG485" s="50">
        <f t="shared" ca="1" si="342"/>
        <v>0</v>
      </c>
      <c r="AH485" s="50">
        <f t="shared" ca="1" si="342"/>
        <v>0</v>
      </c>
      <c r="AI485" s="50">
        <f t="shared" ca="1" si="342"/>
        <v>0</v>
      </c>
      <c r="AJ485" s="50">
        <f t="shared" ca="1" si="342"/>
        <v>0</v>
      </c>
      <c r="AK485" s="50">
        <f t="shared" ca="1" si="342"/>
        <v>0</v>
      </c>
      <c r="AL485" s="50">
        <f t="shared" si="342"/>
        <v>0</v>
      </c>
      <c r="AM485" s="50">
        <f t="shared" si="342"/>
        <v>0</v>
      </c>
      <c r="AN485" s="50">
        <f t="shared" si="342"/>
        <v>0</v>
      </c>
      <c r="AO485" s="50">
        <f t="shared" si="342"/>
        <v>0</v>
      </c>
      <c r="AP485" s="50">
        <f t="shared" si="342"/>
        <v>0</v>
      </c>
      <c r="AQ485" s="50">
        <f t="shared" si="342"/>
        <v>0</v>
      </c>
      <c r="AR485" s="50">
        <f t="shared" si="342"/>
        <v>0</v>
      </c>
      <c r="AS485" s="50">
        <f t="shared" si="342"/>
        <v>0</v>
      </c>
      <c r="AT485" s="50">
        <f t="shared" si="342"/>
        <v>0</v>
      </c>
      <c r="AU485" s="50">
        <f t="shared" si="342"/>
        <v>0</v>
      </c>
    </row>
    <row r="486" spans="1:47">
      <c r="A486" s="38" t="str">
        <f t="shared" si="341"/>
        <v>2Y-</v>
      </c>
      <c r="B486" s="38" t="s">
        <v>270</v>
      </c>
      <c r="C486" s="38" t="str">
        <f>C485</f>
        <v>General O&amp;M</v>
      </c>
      <c r="D486" s="186">
        <f>OMEsc</f>
        <v>0.02</v>
      </c>
      <c r="E486" s="325"/>
      <c r="G486" s="36" t="s">
        <v>126</v>
      </c>
      <c r="I486" s="39"/>
      <c r="K486" s="39"/>
      <c r="L486" s="43" t="str">
        <f>"["&amp;CostBaseYr&amp;" $]"</f>
        <v>[2013 $]</v>
      </c>
      <c r="N486" s="70">
        <f ca="1">SUMIFS(OFFSET(Assumptions!$I$90,0,MATCH($A486,Configurations,0)-1,COUNT(Assumptions!$A$90:$A$183),1),Assumptions!$D$90:$D$183,$B486&amp;$C486)</f>
        <v>0</v>
      </c>
      <c r="O486" s="313"/>
      <c r="P486" s="323"/>
      <c r="Q486" s="313"/>
      <c r="R486" s="50">
        <f t="shared" ref="R486:AG488" ca="1" si="343">IF(OR(R$99&lt;InServiceYr,R$99&gt;(InServiceYr+analysis_period-1)),0,IF($P486=0,$N486,$P486)*(1+$D486)^(R$99-CostBaseYr))</f>
        <v>0</v>
      </c>
      <c r="S486" s="50">
        <f t="shared" ca="1" si="343"/>
        <v>0</v>
      </c>
      <c r="T486" s="50">
        <f t="shared" ca="1" si="343"/>
        <v>0</v>
      </c>
      <c r="U486" s="50">
        <f t="shared" ca="1" si="343"/>
        <v>0</v>
      </c>
      <c r="V486" s="50">
        <f t="shared" ca="1" si="343"/>
        <v>0</v>
      </c>
      <c r="W486" s="50">
        <f t="shared" ca="1" si="343"/>
        <v>0</v>
      </c>
      <c r="X486" s="50">
        <f t="shared" ca="1" si="343"/>
        <v>0</v>
      </c>
      <c r="Y486" s="50">
        <f t="shared" ca="1" si="343"/>
        <v>0</v>
      </c>
      <c r="Z486" s="50">
        <f t="shared" ca="1" si="343"/>
        <v>0</v>
      </c>
      <c r="AA486" s="50">
        <f t="shared" ca="1" si="343"/>
        <v>0</v>
      </c>
      <c r="AB486" s="50">
        <f t="shared" ca="1" si="343"/>
        <v>0</v>
      </c>
      <c r="AC486" s="50">
        <f t="shared" ca="1" si="343"/>
        <v>0</v>
      </c>
      <c r="AD486" s="50">
        <f t="shared" ca="1" si="343"/>
        <v>0</v>
      </c>
      <c r="AE486" s="50">
        <f t="shared" ca="1" si="343"/>
        <v>0</v>
      </c>
      <c r="AF486" s="50">
        <f t="shared" ca="1" si="343"/>
        <v>0</v>
      </c>
      <c r="AG486" s="50">
        <f t="shared" ca="1" si="343"/>
        <v>0</v>
      </c>
      <c r="AH486" s="50">
        <f t="shared" ref="S486:AU488" ca="1" si="344">IF(OR(AH$99&lt;InServiceYr,AH$99&gt;(InServiceYr+analysis_period-1)),0,IF($P486=0,$N486,$P486)*(1+$D486)^(AH$99-CostBaseYr))</f>
        <v>0</v>
      </c>
      <c r="AI486" s="50">
        <f t="shared" ca="1" si="344"/>
        <v>0</v>
      </c>
      <c r="AJ486" s="50">
        <f t="shared" ca="1" si="344"/>
        <v>0</v>
      </c>
      <c r="AK486" s="50">
        <f t="shared" ca="1" si="344"/>
        <v>0</v>
      </c>
      <c r="AL486" s="50">
        <f t="shared" si="344"/>
        <v>0</v>
      </c>
      <c r="AM486" s="50">
        <f t="shared" si="344"/>
        <v>0</v>
      </c>
      <c r="AN486" s="50">
        <f t="shared" si="344"/>
        <v>0</v>
      </c>
      <c r="AO486" s="50">
        <f t="shared" si="344"/>
        <v>0</v>
      </c>
      <c r="AP486" s="50">
        <f t="shared" si="344"/>
        <v>0</v>
      </c>
      <c r="AQ486" s="50">
        <f t="shared" si="344"/>
        <v>0</v>
      </c>
      <c r="AR486" s="50">
        <f t="shared" si="344"/>
        <v>0</v>
      </c>
      <c r="AS486" s="50">
        <f t="shared" si="344"/>
        <v>0</v>
      </c>
      <c r="AT486" s="50">
        <f t="shared" si="344"/>
        <v>0</v>
      </c>
      <c r="AU486" s="50">
        <f t="shared" si="344"/>
        <v>0</v>
      </c>
    </row>
    <row r="487" spans="1:47">
      <c r="A487" s="38" t="str">
        <f t="shared" si="341"/>
        <v>2Y-</v>
      </c>
      <c r="B487" s="38" t="s">
        <v>263</v>
      </c>
      <c r="C487" s="38" t="str">
        <f t="shared" ref="C487:C491" si="345">C486</f>
        <v>General O&amp;M</v>
      </c>
      <c r="D487" s="186">
        <f>OMEsc</f>
        <v>0.02</v>
      </c>
      <c r="E487" s="325"/>
      <c r="G487" s="36" t="s">
        <v>127</v>
      </c>
      <c r="I487" s="39"/>
      <c r="K487" s="39"/>
      <c r="L487" s="43" t="str">
        <f>"["&amp;CostBaseYr&amp;" $]"</f>
        <v>[2013 $]</v>
      </c>
      <c r="N487" s="70">
        <f ca="1">SUMIFS(OFFSET(Assumptions!$I$90,0,MATCH($A487,Configurations,0)-1,COUNT(Assumptions!$A$90:$A$183),1),Assumptions!$D$90:$D$183,$B487&amp;$C487)</f>
        <v>132000</v>
      </c>
      <c r="O487" s="313"/>
      <c r="P487" s="323"/>
      <c r="Q487" s="313"/>
      <c r="R487" s="50">
        <f t="shared" ca="1" si="343"/>
        <v>134640</v>
      </c>
      <c r="S487" s="50">
        <f t="shared" ca="1" si="344"/>
        <v>137332.79999999999</v>
      </c>
      <c r="T487" s="50">
        <f t="shared" ca="1" si="344"/>
        <v>140079.45599999998</v>
      </c>
      <c r="U487" s="50">
        <f t="shared" ca="1" si="344"/>
        <v>142881.04512</v>
      </c>
      <c r="V487" s="50">
        <f t="shared" ca="1" si="344"/>
        <v>145738.66602239999</v>
      </c>
      <c r="W487" s="50">
        <f t="shared" ca="1" si="344"/>
        <v>148653.439342848</v>
      </c>
      <c r="X487" s="50">
        <f t="shared" ca="1" si="344"/>
        <v>151626.50812970495</v>
      </c>
      <c r="Y487" s="50">
        <f t="shared" ca="1" si="344"/>
        <v>154659.03829229905</v>
      </c>
      <c r="Z487" s="50">
        <f t="shared" ca="1" si="344"/>
        <v>157752.21905814504</v>
      </c>
      <c r="AA487" s="50">
        <f t="shared" ca="1" si="344"/>
        <v>160907.26343930795</v>
      </c>
      <c r="AB487" s="50">
        <f t="shared" ca="1" si="344"/>
        <v>164125.40870809407</v>
      </c>
      <c r="AC487" s="50">
        <f t="shared" ca="1" si="344"/>
        <v>167407.91688225599</v>
      </c>
      <c r="AD487" s="50">
        <f t="shared" ca="1" si="344"/>
        <v>170756.07521990107</v>
      </c>
      <c r="AE487" s="50">
        <f t="shared" ca="1" si="344"/>
        <v>174171.19672429914</v>
      </c>
      <c r="AF487" s="50">
        <f t="shared" ca="1" si="344"/>
        <v>177654.62065878505</v>
      </c>
      <c r="AG487" s="50">
        <f t="shared" ca="1" si="344"/>
        <v>181207.71307196078</v>
      </c>
      <c r="AH487" s="50">
        <f t="shared" ca="1" si="344"/>
        <v>184831.86733340003</v>
      </c>
      <c r="AI487" s="50">
        <f t="shared" ca="1" si="344"/>
        <v>188528.504680068</v>
      </c>
      <c r="AJ487" s="50">
        <f t="shared" ca="1" si="344"/>
        <v>192299.07477366936</v>
      </c>
      <c r="AK487" s="50">
        <f t="shared" ca="1" si="344"/>
        <v>196145.05626914275</v>
      </c>
      <c r="AL487" s="50">
        <f t="shared" si="344"/>
        <v>0</v>
      </c>
      <c r="AM487" s="50">
        <f t="shared" si="344"/>
        <v>0</v>
      </c>
      <c r="AN487" s="50">
        <f t="shared" si="344"/>
        <v>0</v>
      </c>
      <c r="AO487" s="50">
        <f t="shared" si="344"/>
        <v>0</v>
      </c>
      <c r="AP487" s="50">
        <f t="shared" si="344"/>
        <v>0</v>
      </c>
      <c r="AQ487" s="50">
        <f t="shared" si="344"/>
        <v>0</v>
      </c>
      <c r="AR487" s="50">
        <f t="shared" si="344"/>
        <v>0</v>
      </c>
      <c r="AS487" s="50">
        <f t="shared" si="344"/>
        <v>0</v>
      </c>
      <c r="AT487" s="50">
        <f t="shared" si="344"/>
        <v>0</v>
      </c>
      <c r="AU487" s="50">
        <f t="shared" si="344"/>
        <v>0</v>
      </c>
    </row>
    <row r="488" spans="1:47">
      <c r="A488" s="38" t="str">
        <f t="shared" si="341"/>
        <v>2Y-</v>
      </c>
      <c r="B488" s="38" t="s">
        <v>277</v>
      </c>
      <c r="C488" s="38" t="str">
        <f t="shared" si="345"/>
        <v>General O&amp;M</v>
      </c>
      <c r="D488" s="186">
        <f>OMEsc</f>
        <v>0.02</v>
      </c>
      <c r="E488" s="325"/>
      <c r="G488" s="36" t="s">
        <v>276</v>
      </c>
      <c r="I488" s="39"/>
      <c r="K488" s="39"/>
      <c r="L488" s="43" t="str">
        <f>"["&amp;CostBaseYr&amp;" $]"</f>
        <v>[2013 $]</v>
      </c>
      <c r="N488" s="70">
        <f ca="1">SUMIFS(OFFSET(Assumptions!$I$90,0,MATCH($A488,Configurations,0)-1,COUNT(Assumptions!$A$90:$A$183),1),Assumptions!$D$90:$D$183,$B488&amp;$C488)</f>
        <v>0</v>
      </c>
      <c r="O488" s="313"/>
      <c r="P488" s="323"/>
      <c r="Q488" s="313"/>
      <c r="R488" s="50">
        <f t="shared" ca="1" si="343"/>
        <v>0</v>
      </c>
      <c r="S488" s="50">
        <f t="shared" ca="1" si="344"/>
        <v>0</v>
      </c>
      <c r="T488" s="50">
        <f t="shared" ca="1" si="344"/>
        <v>0</v>
      </c>
      <c r="U488" s="50">
        <f t="shared" ca="1" si="344"/>
        <v>0</v>
      </c>
      <c r="V488" s="50">
        <f t="shared" ca="1" si="344"/>
        <v>0</v>
      </c>
      <c r="W488" s="50">
        <f t="shared" ca="1" si="344"/>
        <v>0</v>
      </c>
      <c r="X488" s="50">
        <f t="shared" ca="1" si="344"/>
        <v>0</v>
      </c>
      <c r="Y488" s="50">
        <f t="shared" ca="1" si="344"/>
        <v>0</v>
      </c>
      <c r="Z488" s="50">
        <f t="shared" ca="1" si="344"/>
        <v>0</v>
      </c>
      <c r="AA488" s="50">
        <f t="shared" ca="1" si="344"/>
        <v>0</v>
      </c>
      <c r="AB488" s="50">
        <f t="shared" ca="1" si="344"/>
        <v>0</v>
      </c>
      <c r="AC488" s="50">
        <f t="shared" ca="1" si="344"/>
        <v>0</v>
      </c>
      <c r="AD488" s="50">
        <f t="shared" ca="1" si="344"/>
        <v>0</v>
      </c>
      <c r="AE488" s="50">
        <f t="shared" ca="1" si="344"/>
        <v>0</v>
      </c>
      <c r="AF488" s="50">
        <f t="shared" ca="1" si="344"/>
        <v>0</v>
      </c>
      <c r="AG488" s="50">
        <f t="shared" ca="1" si="344"/>
        <v>0</v>
      </c>
      <c r="AH488" s="50">
        <f t="shared" ca="1" si="344"/>
        <v>0</v>
      </c>
      <c r="AI488" s="50">
        <f t="shared" ca="1" si="344"/>
        <v>0</v>
      </c>
      <c r="AJ488" s="50">
        <f t="shared" ca="1" si="344"/>
        <v>0</v>
      </c>
      <c r="AK488" s="50">
        <f t="shared" ca="1" si="344"/>
        <v>0</v>
      </c>
      <c r="AL488" s="50">
        <f t="shared" si="344"/>
        <v>0</v>
      </c>
      <c r="AM488" s="50">
        <f t="shared" si="344"/>
        <v>0</v>
      </c>
      <c r="AN488" s="50">
        <f t="shared" si="344"/>
        <v>0</v>
      </c>
      <c r="AO488" s="50">
        <f t="shared" si="344"/>
        <v>0</v>
      </c>
      <c r="AP488" s="50">
        <f t="shared" si="344"/>
        <v>0</v>
      </c>
      <c r="AQ488" s="50">
        <f t="shared" si="344"/>
        <v>0</v>
      </c>
      <c r="AR488" s="50">
        <f t="shared" si="344"/>
        <v>0</v>
      </c>
      <c r="AS488" s="50">
        <f t="shared" si="344"/>
        <v>0</v>
      </c>
      <c r="AT488" s="50">
        <f t="shared" si="344"/>
        <v>0</v>
      </c>
      <c r="AU488" s="50">
        <f t="shared" si="344"/>
        <v>0</v>
      </c>
    </row>
    <row r="489" spans="1:47">
      <c r="A489" s="38" t="str">
        <f t="shared" si="341"/>
        <v>2Y-</v>
      </c>
      <c r="B489" s="38" t="s">
        <v>274</v>
      </c>
      <c r="C489" s="38" t="str">
        <f t="shared" si="345"/>
        <v>General O&amp;M</v>
      </c>
      <c r="D489" s="186"/>
      <c r="E489" s="325"/>
      <c r="G489" s="36" t="s">
        <v>16</v>
      </c>
      <c r="I489" s="39"/>
      <c r="K489" s="39"/>
      <c r="L489" s="43" t="s">
        <v>275</v>
      </c>
      <c r="N489" s="70">
        <f ca="1">SUMIFS(OFFSET(Assumptions!$I$90,0,MATCH($A489,Configurations,0)-1,COUNT(Assumptions!$A$90:$A$183),1),Assumptions!$D$90:$D$183,$B489&amp;$C489)</f>
        <v>0</v>
      </c>
      <c r="O489" s="313"/>
      <c r="P489" s="323"/>
      <c r="Q489" s="313"/>
      <c r="R489" s="50">
        <f t="shared" ref="R489:AU489" ca="1" si="346">IF(OR(R$99&lt;InServiceYr,R$99&gt;(InServiceYr+analysis_period-1)),0,IF($P489=0,$N489,$P489)*R$505)</f>
        <v>0</v>
      </c>
      <c r="S489" s="50">
        <f t="shared" ca="1" si="346"/>
        <v>0</v>
      </c>
      <c r="T489" s="50">
        <f t="shared" ca="1" si="346"/>
        <v>0</v>
      </c>
      <c r="U489" s="50">
        <f t="shared" ca="1" si="346"/>
        <v>0</v>
      </c>
      <c r="V489" s="50">
        <f t="shared" ca="1" si="346"/>
        <v>0</v>
      </c>
      <c r="W489" s="50">
        <f t="shared" ca="1" si="346"/>
        <v>0</v>
      </c>
      <c r="X489" s="50">
        <f t="shared" ca="1" si="346"/>
        <v>0</v>
      </c>
      <c r="Y489" s="50">
        <f t="shared" ca="1" si="346"/>
        <v>0</v>
      </c>
      <c r="Z489" s="50">
        <f t="shared" ca="1" si="346"/>
        <v>0</v>
      </c>
      <c r="AA489" s="50">
        <f t="shared" ca="1" si="346"/>
        <v>0</v>
      </c>
      <c r="AB489" s="50">
        <f t="shared" ca="1" si="346"/>
        <v>0</v>
      </c>
      <c r="AC489" s="50">
        <f t="shared" ca="1" si="346"/>
        <v>0</v>
      </c>
      <c r="AD489" s="50">
        <f t="shared" ca="1" si="346"/>
        <v>0</v>
      </c>
      <c r="AE489" s="50">
        <f t="shared" ca="1" si="346"/>
        <v>0</v>
      </c>
      <c r="AF489" s="50">
        <f t="shared" ca="1" si="346"/>
        <v>0</v>
      </c>
      <c r="AG489" s="50">
        <f t="shared" ca="1" si="346"/>
        <v>0</v>
      </c>
      <c r="AH489" s="50">
        <f t="shared" ca="1" si="346"/>
        <v>0</v>
      </c>
      <c r="AI489" s="50">
        <f t="shared" ca="1" si="346"/>
        <v>0</v>
      </c>
      <c r="AJ489" s="50">
        <f t="shared" ca="1" si="346"/>
        <v>0</v>
      </c>
      <c r="AK489" s="50">
        <f t="shared" ca="1" si="346"/>
        <v>0</v>
      </c>
      <c r="AL489" s="50">
        <f t="shared" si="346"/>
        <v>0</v>
      </c>
      <c r="AM489" s="50">
        <f t="shared" si="346"/>
        <v>0</v>
      </c>
      <c r="AN489" s="50">
        <f t="shared" si="346"/>
        <v>0</v>
      </c>
      <c r="AO489" s="50">
        <f t="shared" si="346"/>
        <v>0</v>
      </c>
      <c r="AP489" s="50">
        <f t="shared" si="346"/>
        <v>0</v>
      </c>
      <c r="AQ489" s="50">
        <f t="shared" si="346"/>
        <v>0</v>
      </c>
      <c r="AR489" s="50">
        <f t="shared" si="346"/>
        <v>0</v>
      </c>
      <c r="AS489" s="50">
        <f t="shared" si="346"/>
        <v>0</v>
      </c>
      <c r="AT489" s="50">
        <f t="shared" si="346"/>
        <v>0</v>
      </c>
      <c r="AU489" s="50">
        <f t="shared" si="346"/>
        <v>0</v>
      </c>
    </row>
    <row r="490" spans="1:47">
      <c r="A490" s="38" t="str">
        <f t="shared" si="341"/>
        <v>2Y-</v>
      </c>
      <c r="B490" s="38" t="s">
        <v>257</v>
      </c>
      <c r="C490" s="38" t="str">
        <f t="shared" si="345"/>
        <v>General O&amp;M</v>
      </c>
      <c r="D490" s="186"/>
      <c r="E490" s="325"/>
      <c r="G490" s="36" t="s">
        <v>284</v>
      </c>
      <c r="I490" s="39"/>
      <c r="K490" s="39"/>
      <c r="L490" s="43" t="s">
        <v>293</v>
      </c>
      <c r="N490" s="70">
        <f ca="1">SUMIFS(OFFSET(Assumptions!$I$90,0,MATCH($A490,Configurations,0)-1,COUNT(Assumptions!$A$90:$A$183),1),Assumptions!$D$90:$D$183,$B490&amp;$C490)</f>
        <v>0</v>
      </c>
      <c r="O490" s="313"/>
      <c r="P490" s="323"/>
      <c r="Q490" s="313"/>
      <c r="R490" s="50">
        <f t="shared" ref="R490:AU490" ca="1" si="347">IF(OR(R$99&lt;InServiceYr,R$99&gt;(InServiceYr+analysis_period-1)),0,IF($P490=0,$N490,$P490)*R$501)</f>
        <v>0</v>
      </c>
      <c r="S490" s="50">
        <f t="shared" ca="1" si="347"/>
        <v>0</v>
      </c>
      <c r="T490" s="50">
        <f t="shared" ca="1" si="347"/>
        <v>0</v>
      </c>
      <c r="U490" s="50">
        <f t="shared" ca="1" si="347"/>
        <v>0</v>
      </c>
      <c r="V490" s="50">
        <f t="shared" ca="1" si="347"/>
        <v>0</v>
      </c>
      <c r="W490" s="50">
        <f t="shared" ca="1" si="347"/>
        <v>0</v>
      </c>
      <c r="X490" s="50">
        <f t="shared" ca="1" si="347"/>
        <v>0</v>
      </c>
      <c r="Y490" s="50">
        <f t="shared" ca="1" si="347"/>
        <v>0</v>
      </c>
      <c r="Z490" s="50">
        <f t="shared" ca="1" si="347"/>
        <v>0</v>
      </c>
      <c r="AA490" s="50">
        <f t="shared" ca="1" si="347"/>
        <v>0</v>
      </c>
      <c r="AB490" s="50">
        <f t="shared" ca="1" si="347"/>
        <v>0</v>
      </c>
      <c r="AC490" s="50">
        <f t="shared" ca="1" si="347"/>
        <v>0</v>
      </c>
      <c r="AD490" s="50">
        <f t="shared" ca="1" si="347"/>
        <v>0</v>
      </c>
      <c r="AE490" s="50">
        <f t="shared" ca="1" si="347"/>
        <v>0</v>
      </c>
      <c r="AF490" s="50">
        <f t="shared" ca="1" si="347"/>
        <v>0</v>
      </c>
      <c r="AG490" s="50">
        <f t="shared" ca="1" si="347"/>
        <v>0</v>
      </c>
      <c r="AH490" s="50">
        <f t="shared" ca="1" si="347"/>
        <v>0</v>
      </c>
      <c r="AI490" s="50">
        <f t="shared" ca="1" si="347"/>
        <v>0</v>
      </c>
      <c r="AJ490" s="50">
        <f t="shared" ca="1" si="347"/>
        <v>0</v>
      </c>
      <c r="AK490" s="50">
        <f t="shared" ca="1" si="347"/>
        <v>0</v>
      </c>
      <c r="AL490" s="50">
        <f t="shared" si="347"/>
        <v>0</v>
      </c>
      <c r="AM490" s="50">
        <f t="shared" si="347"/>
        <v>0</v>
      </c>
      <c r="AN490" s="50">
        <f t="shared" si="347"/>
        <v>0</v>
      </c>
      <c r="AO490" s="50">
        <f t="shared" si="347"/>
        <v>0</v>
      </c>
      <c r="AP490" s="50">
        <f t="shared" si="347"/>
        <v>0</v>
      </c>
      <c r="AQ490" s="50">
        <f t="shared" si="347"/>
        <v>0</v>
      </c>
      <c r="AR490" s="50">
        <f t="shared" si="347"/>
        <v>0</v>
      </c>
      <c r="AS490" s="50">
        <f t="shared" si="347"/>
        <v>0</v>
      </c>
      <c r="AT490" s="50">
        <f t="shared" si="347"/>
        <v>0</v>
      </c>
      <c r="AU490" s="50">
        <f t="shared" si="347"/>
        <v>0</v>
      </c>
    </row>
    <row r="491" spans="1:47">
      <c r="A491" s="38" t="str">
        <f t="shared" si="341"/>
        <v>2Y-</v>
      </c>
      <c r="B491" s="38" t="s">
        <v>864</v>
      </c>
      <c r="C491" s="38" t="str">
        <f t="shared" si="345"/>
        <v>General O&amp;M</v>
      </c>
      <c r="D491" s="186">
        <f>GHGEsc</f>
        <v>0.02</v>
      </c>
      <c r="E491" s="325"/>
      <c r="G491" s="36" t="s">
        <v>865</v>
      </c>
      <c r="I491" s="39"/>
      <c r="K491" s="39"/>
      <c r="L491" s="43" t="s">
        <v>866</v>
      </c>
      <c r="N491" s="70">
        <f ca="1">SUMIFS(OFFSET(Assumptions!$I$90,0,MATCH($A491,Configurations,0)-1,COUNT(Assumptions!$A$90:$A$183),1),Assumptions!$D$90:$D$183,$B491&amp;$C491)</f>
        <v>0</v>
      </c>
      <c r="O491" s="313"/>
      <c r="P491" s="323"/>
      <c r="Q491" s="313"/>
      <c r="R491" s="50">
        <f t="shared" ref="R491:AU491" ca="1" si="348">IF(OR(R$99&lt;InServiceYr,R$99&gt;(InServiceYr+analysis_period-1)),0,IF($P491=0,$N491,$P491)*R$513)</f>
        <v>0</v>
      </c>
      <c r="S491" s="50">
        <f t="shared" ca="1" si="348"/>
        <v>0</v>
      </c>
      <c r="T491" s="50">
        <f t="shared" ca="1" si="348"/>
        <v>0</v>
      </c>
      <c r="U491" s="50">
        <f t="shared" ca="1" si="348"/>
        <v>0</v>
      </c>
      <c r="V491" s="50">
        <f t="shared" ca="1" si="348"/>
        <v>0</v>
      </c>
      <c r="W491" s="50">
        <f t="shared" ca="1" si="348"/>
        <v>0</v>
      </c>
      <c r="X491" s="50">
        <f t="shared" ca="1" si="348"/>
        <v>0</v>
      </c>
      <c r="Y491" s="50">
        <f t="shared" ca="1" si="348"/>
        <v>0</v>
      </c>
      <c r="Z491" s="50">
        <f t="shared" ca="1" si="348"/>
        <v>0</v>
      </c>
      <c r="AA491" s="50">
        <f t="shared" ca="1" si="348"/>
        <v>0</v>
      </c>
      <c r="AB491" s="50">
        <f t="shared" ca="1" si="348"/>
        <v>0</v>
      </c>
      <c r="AC491" s="50">
        <f t="shared" ca="1" si="348"/>
        <v>0</v>
      </c>
      <c r="AD491" s="50">
        <f t="shared" ca="1" si="348"/>
        <v>0</v>
      </c>
      <c r="AE491" s="50">
        <f t="shared" ca="1" si="348"/>
        <v>0</v>
      </c>
      <c r="AF491" s="50">
        <f t="shared" ca="1" si="348"/>
        <v>0</v>
      </c>
      <c r="AG491" s="50">
        <f t="shared" ca="1" si="348"/>
        <v>0</v>
      </c>
      <c r="AH491" s="50">
        <f t="shared" ca="1" si="348"/>
        <v>0</v>
      </c>
      <c r="AI491" s="50">
        <f t="shared" ca="1" si="348"/>
        <v>0</v>
      </c>
      <c r="AJ491" s="50">
        <f t="shared" ca="1" si="348"/>
        <v>0</v>
      </c>
      <c r="AK491" s="50">
        <f t="shared" ca="1" si="348"/>
        <v>0</v>
      </c>
      <c r="AL491" s="50">
        <f t="shared" si="348"/>
        <v>0</v>
      </c>
      <c r="AM491" s="50">
        <f t="shared" si="348"/>
        <v>0</v>
      </c>
      <c r="AN491" s="50">
        <f t="shared" si="348"/>
        <v>0</v>
      </c>
      <c r="AO491" s="50">
        <f t="shared" si="348"/>
        <v>0</v>
      </c>
      <c r="AP491" s="50">
        <f t="shared" si="348"/>
        <v>0</v>
      </c>
      <c r="AQ491" s="50">
        <f t="shared" si="348"/>
        <v>0</v>
      </c>
      <c r="AR491" s="50">
        <f t="shared" si="348"/>
        <v>0</v>
      </c>
      <c r="AS491" s="50">
        <f t="shared" si="348"/>
        <v>0</v>
      </c>
      <c r="AT491" s="50">
        <f t="shared" si="348"/>
        <v>0</v>
      </c>
      <c r="AU491" s="50">
        <f t="shared" si="348"/>
        <v>0</v>
      </c>
    </row>
    <row r="492" spans="1:47">
      <c r="A492" s="38" t="str">
        <f t="shared" si="341"/>
        <v>2Y-</v>
      </c>
      <c r="B492" s="38" t="s">
        <v>273</v>
      </c>
      <c r="C492" s="38" t="str">
        <f>C490</f>
        <v>General O&amp;M</v>
      </c>
      <c r="D492" s="186">
        <f>LaborEsc</f>
        <v>0.02</v>
      </c>
      <c r="E492" s="325"/>
      <c r="G492" s="36" t="s">
        <v>291</v>
      </c>
      <c r="I492" s="39"/>
      <c r="K492" s="39"/>
      <c r="L492" s="43" t="str">
        <f>"["&amp;CostBaseYr&amp;" $]"</f>
        <v>[2013 $]</v>
      </c>
      <c r="N492" s="70">
        <f ca="1">SUMIFS(OFFSET(Assumptions!$I$90,0,MATCH($A492,Configurations,0)-1,COUNT(Assumptions!$A$90:$A$183),1),Assumptions!$D$90:$D$183,$B492&amp;$C492)</f>
        <v>0</v>
      </c>
      <c r="O492" s="313"/>
      <c r="P492" s="323"/>
      <c r="Q492" s="313"/>
      <c r="R492" s="50">
        <f t="shared" ref="R492:AU492" ca="1" si="349">IF(OR(R$99&lt;InServiceYr,R$99&gt;(InServiceYr+analysis_period-1)),0,IF($P492=0,$N492,$P492)*(1+$D492)^(R$99-CostBaseYr))*R$509</f>
        <v>0</v>
      </c>
      <c r="S492" s="50">
        <f t="shared" ca="1" si="349"/>
        <v>0</v>
      </c>
      <c r="T492" s="50">
        <f t="shared" ca="1" si="349"/>
        <v>0</v>
      </c>
      <c r="U492" s="50">
        <f t="shared" ca="1" si="349"/>
        <v>0</v>
      </c>
      <c r="V492" s="50">
        <f t="shared" ca="1" si="349"/>
        <v>0</v>
      </c>
      <c r="W492" s="50">
        <f t="shared" ca="1" si="349"/>
        <v>0</v>
      </c>
      <c r="X492" s="50">
        <f t="shared" ca="1" si="349"/>
        <v>0</v>
      </c>
      <c r="Y492" s="50">
        <f t="shared" ca="1" si="349"/>
        <v>0</v>
      </c>
      <c r="Z492" s="50">
        <f t="shared" ca="1" si="349"/>
        <v>0</v>
      </c>
      <c r="AA492" s="50">
        <f t="shared" ca="1" si="349"/>
        <v>0</v>
      </c>
      <c r="AB492" s="50">
        <f t="shared" ca="1" si="349"/>
        <v>0</v>
      </c>
      <c r="AC492" s="50">
        <f t="shared" ca="1" si="349"/>
        <v>0</v>
      </c>
      <c r="AD492" s="50">
        <f t="shared" ca="1" si="349"/>
        <v>0</v>
      </c>
      <c r="AE492" s="50">
        <f t="shared" ca="1" si="349"/>
        <v>0</v>
      </c>
      <c r="AF492" s="50">
        <f t="shared" ca="1" si="349"/>
        <v>0</v>
      </c>
      <c r="AG492" s="50">
        <f t="shared" ca="1" si="349"/>
        <v>0</v>
      </c>
      <c r="AH492" s="50">
        <f t="shared" ca="1" si="349"/>
        <v>0</v>
      </c>
      <c r="AI492" s="50">
        <f t="shared" ca="1" si="349"/>
        <v>0</v>
      </c>
      <c r="AJ492" s="50">
        <f t="shared" ca="1" si="349"/>
        <v>0</v>
      </c>
      <c r="AK492" s="50">
        <f t="shared" ca="1" si="349"/>
        <v>0</v>
      </c>
      <c r="AL492" s="50">
        <f t="shared" si="349"/>
        <v>0</v>
      </c>
      <c r="AM492" s="50">
        <f t="shared" si="349"/>
        <v>0</v>
      </c>
      <c r="AN492" s="50">
        <f t="shared" si="349"/>
        <v>0</v>
      </c>
      <c r="AO492" s="50">
        <f t="shared" si="349"/>
        <v>0</v>
      </c>
      <c r="AP492" s="50">
        <f t="shared" si="349"/>
        <v>0</v>
      </c>
      <c r="AQ492" s="50">
        <f t="shared" si="349"/>
        <v>0</v>
      </c>
      <c r="AR492" s="50">
        <f t="shared" si="349"/>
        <v>0</v>
      </c>
      <c r="AS492" s="50">
        <f t="shared" si="349"/>
        <v>0</v>
      </c>
      <c r="AT492" s="50">
        <f t="shared" si="349"/>
        <v>0</v>
      </c>
      <c r="AU492" s="50">
        <f t="shared" si="349"/>
        <v>0</v>
      </c>
    </row>
    <row r="493" spans="1:47">
      <c r="D493" s="186"/>
      <c r="E493" s="325"/>
      <c r="G493" s="39" t="s">
        <v>304</v>
      </c>
      <c r="I493" s="39"/>
      <c r="K493" s="39"/>
      <c r="L493" s="43"/>
      <c r="N493" s="70"/>
      <c r="O493" s="313"/>
      <c r="P493" s="70"/>
      <c r="Q493" s="313"/>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row>
    <row r="494" spans="1:47">
      <c r="A494" s="38" t="str">
        <f>$J$4&amp;"-"</f>
        <v>2Y-</v>
      </c>
      <c r="B494" s="38" t="s">
        <v>265</v>
      </c>
      <c r="C494" s="38" t="str">
        <f>C485</f>
        <v>General O&amp;M</v>
      </c>
      <c r="D494" s="186"/>
      <c r="E494" s="325"/>
      <c r="G494" s="36" t="s">
        <v>108</v>
      </c>
      <c r="I494" s="39"/>
      <c r="K494" s="39"/>
      <c r="L494" s="43" t="s">
        <v>293</v>
      </c>
      <c r="N494" s="70">
        <f ca="1">SUMIFS(OFFSET(Assumptions!$I$90,0,MATCH($A494,Configurations,0)-1,COUNT(Assumptions!$A$90:$A$183),1),Assumptions!$D$90:$D$183,$B494&amp;$C494)</f>
        <v>0</v>
      </c>
      <c r="O494" s="313"/>
      <c r="P494" s="323"/>
      <c r="Q494" s="313"/>
      <c r="R494" s="50">
        <f t="shared" ref="R494:AU494" ca="1" si="350">IF(OR(R$99&lt;InServiceYr,R$99&gt;(InServiceYr+analysis_period-1)),0,IF($P494=0,$N494,$P494)*R$501)</f>
        <v>0</v>
      </c>
      <c r="S494" s="50">
        <f t="shared" ca="1" si="350"/>
        <v>0</v>
      </c>
      <c r="T494" s="50">
        <f t="shared" ca="1" si="350"/>
        <v>0</v>
      </c>
      <c r="U494" s="50">
        <f t="shared" ca="1" si="350"/>
        <v>0</v>
      </c>
      <c r="V494" s="50">
        <f t="shared" ca="1" si="350"/>
        <v>0</v>
      </c>
      <c r="W494" s="50">
        <f t="shared" ca="1" si="350"/>
        <v>0</v>
      </c>
      <c r="X494" s="50">
        <f t="shared" ca="1" si="350"/>
        <v>0</v>
      </c>
      <c r="Y494" s="50">
        <f t="shared" ca="1" si="350"/>
        <v>0</v>
      </c>
      <c r="Z494" s="50">
        <f t="shared" ca="1" si="350"/>
        <v>0</v>
      </c>
      <c r="AA494" s="50">
        <f t="shared" ca="1" si="350"/>
        <v>0</v>
      </c>
      <c r="AB494" s="50">
        <f t="shared" ca="1" si="350"/>
        <v>0</v>
      </c>
      <c r="AC494" s="50">
        <f t="shared" ca="1" si="350"/>
        <v>0</v>
      </c>
      <c r="AD494" s="50">
        <f t="shared" ca="1" si="350"/>
        <v>0</v>
      </c>
      <c r="AE494" s="50">
        <f t="shared" ca="1" si="350"/>
        <v>0</v>
      </c>
      <c r="AF494" s="50">
        <f t="shared" ca="1" si="350"/>
        <v>0</v>
      </c>
      <c r="AG494" s="50">
        <f t="shared" ca="1" si="350"/>
        <v>0</v>
      </c>
      <c r="AH494" s="50">
        <f t="shared" ca="1" si="350"/>
        <v>0</v>
      </c>
      <c r="AI494" s="50">
        <f t="shared" ca="1" si="350"/>
        <v>0</v>
      </c>
      <c r="AJ494" s="50">
        <f t="shared" ca="1" si="350"/>
        <v>0</v>
      </c>
      <c r="AK494" s="50">
        <f t="shared" ca="1" si="350"/>
        <v>0</v>
      </c>
      <c r="AL494" s="50">
        <f t="shared" si="350"/>
        <v>0</v>
      </c>
      <c r="AM494" s="50">
        <f t="shared" si="350"/>
        <v>0</v>
      </c>
      <c r="AN494" s="50">
        <f t="shared" si="350"/>
        <v>0</v>
      </c>
      <c r="AO494" s="50">
        <f t="shared" si="350"/>
        <v>0</v>
      </c>
      <c r="AP494" s="50">
        <f t="shared" si="350"/>
        <v>0</v>
      </c>
      <c r="AQ494" s="50">
        <f t="shared" si="350"/>
        <v>0</v>
      </c>
      <c r="AR494" s="50">
        <f t="shared" si="350"/>
        <v>0</v>
      </c>
      <c r="AS494" s="50">
        <f t="shared" si="350"/>
        <v>0</v>
      </c>
      <c r="AT494" s="50">
        <f t="shared" si="350"/>
        <v>0</v>
      </c>
      <c r="AU494" s="50">
        <f t="shared" si="350"/>
        <v>0</v>
      </c>
    </row>
    <row r="495" spans="1:47">
      <c r="A495" s="38" t="str">
        <f>$J$4&amp;"-"</f>
        <v>2Y-</v>
      </c>
      <c r="B495" s="38" t="s">
        <v>289</v>
      </c>
      <c r="C495" s="38" t="str">
        <f>C485</f>
        <v>General O&amp;M</v>
      </c>
      <c r="D495" s="186">
        <f>LaborEsc</f>
        <v>0.02</v>
      </c>
      <c r="E495" s="325"/>
      <c r="G495" s="36" t="s">
        <v>292</v>
      </c>
      <c r="I495" s="39"/>
      <c r="K495" s="39"/>
      <c r="L495" s="43" t="str">
        <f>"["&amp;CostBaseYr&amp;" $]"</f>
        <v>[2013 $]</v>
      </c>
      <c r="N495" s="70">
        <f ca="1">SUMIFS(OFFSET(Assumptions!$I$90,0,MATCH($A495,Configurations,0)-1,COUNT(Assumptions!$A$90:$A$183),1),Assumptions!$D$90:$D$183,$B495&amp;$C495)</f>
        <v>0</v>
      </c>
      <c r="O495" s="313"/>
      <c r="P495" s="323"/>
      <c r="Q495" s="313"/>
      <c r="R495" s="50">
        <f t="shared" ref="R495:AU495" ca="1" si="351">IF(OR(R$99&lt;InServiceYr,R$99&gt;(InServiceYr+analysis_period-1)),0,IF($P495=0,$N495,$P495)*(1+$D495)^(R$99-CostBaseYr))</f>
        <v>0</v>
      </c>
      <c r="S495" s="50">
        <f t="shared" ca="1" si="351"/>
        <v>0</v>
      </c>
      <c r="T495" s="50">
        <f t="shared" ca="1" si="351"/>
        <v>0</v>
      </c>
      <c r="U495" s="50">
        <f t="shared" ca="1" si="351"/>
        <v>0</v>
      </c>
      <c r="V495" s="50">
        <f t="shared" ca="1" si="351"/>
        <v>0</v>
      </c>
      <c r="W495" s="50">
        <f t="shared" ca="1" si="351"/>
        <v>0</v>
      </c>
      <c r="X495" s="50">
        <f t="shared" ca="1" si="351"/>
        <v>0</v>
      </c>
      <c r="Y495" s="50">
        <f t="shared" ca="1" si="351"/>
        <v>0</v>
      </c>
      <c r="Z495" s="50">
        <f t="shared" ca="1" si="351"/>
        <v>0</v>
      </c>
      <c r="AA495" s="50">
        <f t="shared" ca="1" si="351"/>
        <v>0</v>
      </c>
      <c r="AB495" s="50">
        <f t="shared" ca="1" si="351"/>
        <v>0</v>
      </c>
      <c r="AC495" s="50">
        <f t="shared" ca="1" si="351"/>
        <v>0</v>
      </c>
      <c r="AD495" s="50">
        <f t="shared" ca="1" si="351"/>
        <v>0</v>
      </c>
      <c r="AE495" s="50">
        <f t="shared" ca="1" si="351"/>
        <v>0</v>
      </c>
      <c r="AF495" s="50">
        <f t="shared" ca="1" si="351"/>
        <v>0</v>
      </c>
      <c r="AG495" s="50">
        <f t="shared" ca="1" si="351"/>
        <v>0</v>
      </c>
      <c r="AH495" s="50">
        <f t="shared" ca="1" si="351"/>
        <v>0</v>
      </c>
      <c r="AI495" s="50">
        <f t="shared" ca="1" si="351"/>
        <v>0</v>
      </c>
      <c r="AJ495" s="50">
        <f t="shared" ca="1" si="351"/>
        <v>0</v>
      </c>
      <c r="AK495" s="50">
        <f t="shared" ca="1" si="351"/>
        <v>0</v>
      </c>
      <c r="AL495" s="50">
        <f t="shared" si="351"/>
        <v>0</v>
      </c>
      <c r="AM495" s="50">
        <f t="shared" si="351"/>
        <v>0</v>
      </c>
      <c r="AN495" s="50">
        <f t="shared" si="351"/>
        <v>0</v>
      </c>
      <c r="AO495" s="50">
        <f t="shared" si="351"/>
        <v>0</v>
      </c>
      <c r="AP495" s="50">
        <f t="shared" si="351"/>
        <v>0</v>
      </c>
      <c r="AQ495" s="50">
        <f t="shared" si="351"/>
        <v>0</v>
      </c>
      <c r="AR495" s="50">
        <f t="shared" si="351"/>
        <v>0</v>
      </c>
      <c r="AS495" s="50">
        <f t="shared" si="351"/>
        <v>0</v>
      </c>
      <c r="AT495" s="50">
        <f t="shared" si="351"/>
        <v>0</v>
      </c>
      <c r="AU495" s="50">
        <f t="shared" si="351"/>
        <v>0</v>
      </c>
    </row>
    <row r="496" spans="1:47" s="60" customFormat="1">
      <c r="D496" s="187"/>
      <c r="E496" s="325"/>
      <c r="G496" s="39" t="s">
        <v>305</v>
      </c>
      <c r="I496" s="39"/>
      <c r="K496" s="39"/>
      <c r="L496" s="174"/>
      <c r="N496" s="188"/>
      <c r="O496" s="314"/>
      <c r="P496" s="185"/>
      <c r="Q496" s="314"/>
      <c r="R496" s="185">
        <f ca="1">SUM(R485:R492)-SUM(R494:R495)</f>
        <v>134640</v>
      </c>
      <c r="S496" s="185">
        <f t="shared" ref="S496:AU496" ca="1" si="352">SUM(S485:S492)-SUM(S494:S495)</f>
        <v>137332.79999999999</v>
      </c>
      <c r="T496" s="185">
        <f t="shared" ca="1" si="352"/>
        <v>140079.45599999998</v>
      </c>
      <c r="U496" s="185">
        <f t="shared" ca="1" si="352"/>
        <v>142881.04512</v>
      </c>
      <c r="V496" s="185">
        <f t="shared" ca="1" si="352"/>
        <v>145738.66602239999</v>
      </c>
      <c r="W496" s="185">
        <f t="shared" ca="1" si="352"/>
        <v>148653.439342848</v>
      </c>
      <c r="X496" s="185">
        <f t="shared" ca="1" si="352"/>
        <v>151626.50812970495</v>
      </c>
      <c r="Y496" s="185">
        <f t="shared" ca="1" si="352"/>
        <v>154659.03829229905</v>
      </c>
      <c r="Z496" s="185">
        <f t="shared" ca="1" si="352"/>
        <v>157752.21905814504</v>
      </c>
      <c r="AA496" s="185">
        <f t="shared" ca="1" si="352"/>
        <v>160907.26343930795</v>
      </c>
      <c r="AB496" s="185">
        <f t="shared" ca="1" si="352"/>
        <v>164125.40870809407</v>
      </c>
      <c r="AC496" s="185">
        <f t="shared" ca="1" si="352"/>
        <v>167407.91688225599</v>
      </c>
      <c r="AD496" s="185">
        <f t="shared" ca="1" si="352"/>
        <v>170756.07521990107</v>
      </c>
      <c r="AE496" s="185">
        <f t="shared" ca="1" si="352"/>
        <v>174171.19672429914</v>
      </c>
      <c r="AF496" s="185">
        <f t="shared" ca="1" si="352"/>
        <v>177654.62065878505</v>
      </c>
      <c r="AG496" s="185">
        <f t="shared" ca="1" si="352"/>
        <v>181207.71307196078</v>
      </c>
      <c r="AH496" s="185">
        <f t="shared" ca="1" si="352"/>
        <v>184831.86733340003</v>
      </c>
      <c r="AI496" s="185">
        <f t="shared" ca="1" si="352"/>
        <v>188528.504680068</v>
      </c>
      <c r="AJ496" s="185">
        <f t="shared" ca="1" si="352"/>
        <v>192299.07477366936</v>
      </c>
      <c r="AK496" s="185">
        <f t="shared" ca="1" si="352"/>
        <v>196145.05626914275</v>
      </c>
      <c r="AL496" s="185">
        <f t="shared" si="352"/>
        <v>0</v>
      </c>
      <c r="AM496" s="185">
        <f t="shared" si="352"/>
        <v>0</v>
      </c>
      <c r="AN496" s="185">
        <f t="shared" si="352"/>
        <v>0</v>
      </c>
      <c r="AO496" s="185">
        <f t="shared" si="352"/>
        <v>0</v>
      </c>
      <c r="AP496" s="185">
        <f t="shared" si="352"/>
        <v>0</v>
      </c>
      <c r="AQ496" s="185">
        <f t="shared" si="352"/>
        <v>0</v>
      </c>
      <c r="AR496" s="185">
        <f t="shared" si="352"/>
        <v>0</v>
      </c>
      <c r="AS496" s="185">
        <f t="shared" si="352"/>
        <v>0</v>
      </c>
      <c r="AT496" s="185">
        <f t="shared" si="352"/>
        <v>0</v>
      </c>
      <c r="AU496" s="185">
        <f t="shared" si="352"/>
        <v>0</v>
      </c>
    </row>
    <row r="497" spans="1:16384">
      <c r="E497" s="36"/>
      <c r="G497" s="39"/>
      <c r="H497" s="39"/>
      <c r="I497" s="39"/>
      <c r="J497" s="39"/>
      <c r="K497" s="39"/>
    </row>
    <row r="498" spans="1:16384">
      <c r="E498" s="36"/>
      <c r="G498" s="39"/>
      <c r="H498" s="39"/>
      <c r="I498" s="39"/>
      <c r="J498" s="39"/>
      <c r="K498" s="39"/>
    </row>
    <row r="499" spans="1:16384">
      <c r="E499" s="327"/>
      <c r="F499" s="28"/>
      <c r="G499" s="324" t="s">
        <v>6</v>
      </c>
      <c r="H499" s="324"/>
      <c r="I499" s="324"/>
      <c r="J499" s="324"/>
      <c r="K499" s="324"/>
      <c r="L499" s="405" t="s">
        <v>79</v>
      </c>
      <c r="M499" s="256"/>
      <c r="N499" s="325"/>
      <c r="O499" s="311"/>
      <c r="P499" s="325"/>
      <c r="Q499" s="310"/>
      <c r="R499" s="325">
        <f>R$8</f>
        <v>2014</v>
      </c>
      <c r="S499" s="325">
        <f t="shared" ref="S499:AU499" si="353">S$8</f>
        <v>2015</v>
      </c>
      <c r="T499" s="325">
        <f t="shared" si="353"/>
        <v>2016</v>
      </c>
      <c r="U499" s="325">
        <f t="shared" si="353"/>
        <v>2017</v>
      </c>
      <c r="V499" s="325">
        <f t="shared" si="353"/>
        <v>2018</v>
      </c>
      <c r="W499" s="325">
        <f t="shared" si="353"/>
        <v>2019</v>
      </c>
      <c r="X499" s="325">
        <f t="shared" si="353"/>
        <v>2020</v>
      </c>
      <c r="Y499" s="325">
        <f t="shared" si="353"/>
        <v>2021</v>
      </c>
      <c r="Z499" s="325">
        <f t="shared" si="353"/>
        <v>2022</v>
      </c>
      <c r="AA499" s="325">
        <f t="shared" si="353"/>
        <v>2023</v>
      </c>
      <c r="AB499" s="325">
        <f t="shared" si="353"/>
        <v>2024</v>
      </c>
      <c r="AC499" s="325">
        <f t="shared" si="353"/>
        <v>2025</v>
      </c>
      <c r="AD499" s="325">
        <f t="shared" si="353"/>
        <v>2026</v>
      </c>
      <c r="AE499" s="325">
        <f t="shared" si="353"/>
        <v>2027</v>
      </c>
      <c r="AF499" s="325">
        <f t="shared" si="353"/>
        <v>2028</v>
      </c>
      <c r="AG499" s="325">
        <f t="shared" si="353"/>
        <v>2029</v>
      </c>
      <c r="AH499" s="325">
        <f t="shared" si="353"/>
        <v>2030</v>
      </c>
      <c r="AI499" s="325">
        <f t="shared" si="353"/>
        <v>2031</v>
      </c>
      <c r="AJ499" s="325">
        <f t="shared" si="353"/>
        <v>2032</v>
      </c>
      <c r="AK499" s="325">
        <f t="shared" si="353"/>
        <v>2033</v>
      </c>
      <c r="AL499" s="325">
        <f t="shared" si="353"/>
        <v>2034</v>
      </c>
      <c r="AM499" s="325">
        <f t="shared" si="353"/>
        <v>2035</v>
      </c>
      <c r="AN499" s="325">
        <f t="shared" si="353"/>
        <v>2036</v>
      </c>
      <c r="AO499" s="325">
        <f t="shared" si="353"/>
        <v>2037</v>
      </c>
      <c r="AP499" s="325">
        <f t="shared" si="353"/>
        <v>2038</v>
      </c>
      <c r="AQ499" s="325">
        <f t="shared" si="353"/>
        <v>2039</v>
      </c>
      <c r="AR499" s="325">
        <f t="shared" si="353"/>
        <v>2040</v>
      </c>
      <c r="AS499" s="325">
        <f t="shared" si="353"/>
        <v>2041</v>
      </c>
      <c r="AT499" s="325">
        <f t="shared" si="353"/>
        <v>2042</v>
      </c>
      <c r="AU499" s="325">
        <f t="shared" si="353"/>
        <v>2043</v>
      </c>
    </row>
    <row r="500" spans="1:16384">
      <c r="E500" s="325"/>
      <c r="G500" s="39"/>
      <c r="H500" s="39"/>
      <c r="I500" s="39"/>
      <c r="J500" s="39"/>
      <c r="K500" s="39"/>
    </row>
    <row r="501" spans="1:16384">
      <c r="E501" s="325"/>
      <c r="G501" s="36" t="s">
        <v>90</v>
      </c>
      <c r="H501" s="39"/>
      <c r="I501" s="39"/>
      <c r="J501" s="70"/>
      <c r="K501" s="39"/>
      <c r="L501" s="43" t="str">
        <f>Assumptions!G29</f>
        <v>[Nominal $/kWh]</v>
      </c>
      <c r="N501" s="320"/>
      <c r="P501" s="320"/>
      <c r="Q501" s="52"/>
      <c r="R501" s="52">
        <f>Assumptions!M29</f>
        <v>6.4581556062773368E-2</v>
      </c>
      <c r="S501" s="52">
        <f>Assumptions!N29</f>
        <v>6.4984127212630846E-2</v>
      </c>
      <c r="T501" s="52">
        <f>Assumptions!O29</f>
        <v>6.7785589135026608E-2</v>
      </c>
      <c r="U501" s="52">
        <f>Assumptions!P29</f>
        <v>6.981898718592304E-2</v>
      </c>
      <c r="V501" s="52">
        <f>Assumptions!Q29</f>
        <v>7.1503796868933267E-2</v>
      </c>
      <c r="W501" s="52">
        <f>Assumptions!R29</f>
        <v>7.2418565164272669E-2</v>
      </c>
      <c r="X501" s="52">
        <f>Assumptions!S29</f>
        <v>7.3596994326953685E-2</v>
      </c>
      <c r="Y501" s="52">
        <f>Assumptions!T29</f>
        <v>7.5410274370898506E-2</v>
      </c>
      <c r="Z501" s="52">
        <f>Assumptions!U29</f>
        <v>7.7215647759667966E-2</v>
      </c>
      <c r="AA501" s="52">
        <f>Assumptions!V29</f>
        <v>7.9146228607689051E-2</v>
      </c>
      <c r="AB501" s="52">
        <f>Assumptions!W29</f>
        <v>8.0860520329207805E-2</v>
      </c>
      <c r="AC501" s="52">
        <f>Assumptions!X29</f>
        <v>8.2417599515092449E-2</v>
      </c>
      <c r="AD501" s="52">
        <f>Assumptions!Y29</f>
        <v>8.4321429342628054E-2</v>
      </c>
      <c r="AE501" s="52">
        <f>Assumptions!Z29</f>
        <v>8.6243254567324276E-2</v>
      </c>
      <c r="AF501" s="52">
        <f>Assumptions!AA29</f>
        <v>8.829382632331699E-2</v>
      </c>
      <c r="AG501" s="52">
        <f>Assumptions!AB29</f>
        <v>9.0590950022257213E-2</v>
      </c>
      <c r="AH501" s="52">
        <f>Assumptions!AC29</f>
        <v>9.2811104018487828E-2</v>
      </c>
      <c r="AI501" s="52">
        <f>Assumptions!AD29</f>
        <v>9.521877087141481E-2</v>
      </c>
      <c r="AJ501" s="52">
        <f>Assumptions!AE29</f>
        <v>9.776763578849744E-2</v>
      </c>
      <c r="AK501" s="52">
        <f>Assumptions!AF29</f>
        <v>0.10042723479216267</v>
      </c>
      <c r="AL501" s="52">
        <f>Assumptions!AG29</f>
        <v>0.10338391809597851</v>
      </c>
      <c r="AM501" s="52">
        <f>Assumptions!AH29</f>
        <v>0.10713549812003452</v>
      </c>
      <c r="AN501" s="52">
        <f>Assumptions!AI29</f>
        <v>0.11152585678161221</v>
      </c>
      <c r="AO501" s="52">
        <f>Assumptions!AJ29</f>
        <v>0.11570324377054081</v>
      </c>
      <c r="AP501" s="52">
        <f>Assumptions!AK29</f>
        <v>0.11992306893841188</v>
      </c>
      <c r="AQ501" s="52">
        <f>Assumptions!AL29</f>
        <v>0.12437235076287895</v>
      </c>
      <c r="AR501" s="52">
        <f>Assumptions!AM29</f>
        <v>0.12798765946565488</v>
      </c>
      <c r="AS501" s="52">
        <f>Assumptions!AN29</f>
        <v>0.13080338797389929</v>
      </c>
      <c r="AT501" s="52">
        <f>Assumptions!AO29</f>
        <v>0.13368106250932507</v>
      </c>
      <c r="AU501" s="52">
        <f>Assumptions!AP29</f>
        <v>0.13662204588453022</v>
      </c>
    </row>
    <row r="502" spans="1:16384">
      <c r="E502" s="36"/>
      <c r="G502" s="37"/>
      <c r="H502" s="37"/>
      <c r="I502" s="37"/>
      <c r="J502" s="37"/>
      <c r="K502" s="37"/>
      <c r="L502" s="43"/>
      <c r="M502" s="43"/>
      <c r="N502" s="48"/>
      <c r="O502" s="43"/>
      <c r="P502" s="48"/>
      <c r="Q502" s="43"/>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row>
    <row r="503" spans="1:16384">
      <c r="E503" s="327"/>
      <c r="F503" s="28"/>
      <c r="G503" s="324" t="s">
        <v>16</v>
      </c>
      <c r="H503" s="324"/>
      <c r="I503" s="324"/>
      <c r="J503" s="324"/>
      <c r="K503" s="324"/>
      <c r="L503" s="405" t="s">
        <v>79</v>
      </c>
      <c r="M503" s="256"/>
      <c r="N503" s="325"/>
      <c r="O503" s="311"/>
      <c r="P503" s="325"/>
      <c r="Q503" s="310"/>
      <c r="R503" s="325">
        <f>R$8</f>
        <v>2014</v>
      </c>
      <c r="S503" s="325">
        <f t="shared" ref="S503:AU503" si="354">S$8</f>
        <v>2015</v>
      </c>
      <c r="T503" s="325">
        <f t="shared" si="354"/>
        <v>2016</v>
      </c>
      <c r="U503" s="325">
        <f t="shared" si="354"/>
        <v>2017</v>
      </c>
      <c r="V503" s="325">
        <f t="shared" si="354"/>
        <v>2018</v>
      </c>
      <c r="W503" s="325">
        <f t="shared" si="354"/>
        <v>2019</v>
      </c>
      <c r="X503" s="325">
        <f t="shared" si="354"/>
        <v>2020</v>
      </c>
      <c r="Y503" s="325">
        <f t="shared" si="354"/>
        <v>2021</v>
      </c>
      <c r="Z503" s="325">
        <f t="shared" si="354"/>
        <v>2022</v>
      </c>
      <c r="AA503" s="325">
        <f t="shared" si="354"/>
        <v>2023</v>
      </c>
      <c r="AB503" s="325">
        <f t="shared" si="354"/>
        <v>2024</v>
      </c>
      <c r="AC503" s="325">
        <f t="shared" si="354"/>
        <v>2025</v>
      </c>
      <c r="AD503" s="325">
        <f t="shared" si="354"/>
        <v>2026</v>
      </c>
      <c r="AE503" s="325">
        <f t="shared" si="354"/>
        <v>2027</v>
      </c>
      <c r="AF503" s="325">
        <f t="shared" si="354"/>
        <v>2028</v>
      </c>
      <c r="AG503" s="325">
        <f t="shared" si="354"/>
        <v>2029</v>
      </c>
      <c r="AH503" s="325">
        <f t="shared" si="354"/>
        <v>2030</v>
      </c>
      <c r="AI503" s="325">
        <f t="shared" si="354"/>
        <v>2031</v>
      </c>
      <c r="AJ503" s="325">
        <f t="shared" si="354"/>
        <v>2032</v>
      </c>
      <c r="AK503" s="325">
        <f t="shared" si="354"/>
        <v>2033</v>
      </c>
      <c r="AL503" s="325">
        <f t="shared" si="354"/>
        <v>2034</v>
      </c>
      <c r="AM503" s="325">
        <f t="shared" si="354"/>
        <v>2035</v>
      </c>
      <c r="AN503" s="325">
        <f t="shared" si="354"/>
        <v>2036</v>
      </c>
      <c r="AO503" s="325">
        <f t="shared" si="354"/>
        <v>2037</v>
      </c>
      <c r="AP503" s="325">
        <f t="shared" si="354"/>
        <v>2038</v>
      </c>
      <c r="AQ503" s="325">
        <f t="shared" si="354"/>
        <v>2039</v>
      </c>
      <c r="AR503" s="325">
        <f t="shared" si="354"/>
        <v>2040</v>
      </c>
      <c r="AS503" s="325">
        <f t="shared" si="354"/>
        <v>2041</v>
      </c>
      <c r="AT503" s="325">
        <f t="shared" si="354"/>
        <v>2042</v>
      </c>
      <c r="AU503" s="325">
        <f t="shared" si="354"/>
        <v>2043</v>
      </c>
    </row>
    <row r="504" spans="1:16384">
      <c r="E504" s="325"/>
      <c r="G504" s="39"/>
      <c r="H504" s="39"/>
      <c r="I504" s="39"/>
      <c r="J504" s="39"/>
      <c r="K504" s="39"/>
    </row>
    <row r="505" spans="1:16384">
      <c r="E505" s="325"/>
      <c r="G505" s="36" t="s">
        <v>4</v>
      </c>
      <c r="H505" s="39"/>
      <c r="I505" s="39"/>
      <c r="J505" s="70"/>
      <c r="K505" s="39"/>
      <c r="L505" s="43" t="str">
        <f>Assumptions!G30</f>
        <v>[Nominal $/GJ]</v>
      </c>
      <c r="N505" s="320"/>
      <c r="P505" s="320"/>
      <c r="Q505" s="52"/>
      <c r="R505" s="52">
        <f>Assumptions!M30/1000</f>
        <v>4.349162302177351E-3</v>
      </c>
      <c r="S505" s="52">
        <f>Assumptions!N30/1000</f>
        <v>4.4637464839421513E-3</v>
      </c>
      <c r="T505" s="52">
        <f>Assumptions!O30/1000</f>
        <v>4.9882201407370225E-3</v>
      </c>
      <c r="U505" s="52">
        <f>Assumptions!P30/1000</f>
        <v>5.274039417731349E-3</v>
      </c>
      <c r="V505" s="52">
        <f>Assumptions!Q30/1000</f>
        <v>5.6269550228721333E-3</v>
      </c>
      <c r="W505" s="52">
        <f>Assumptions!R30/1000</f>
        <v>5.8540511616013337E-3</v>
      </c>
      <c r="X505" s="52">
        <f>Assumptions!S30/1000</f>
        <v>6.038428026177464E-3</v>
      </c>
      <c r="Y505" s="52">
        <f>Assumptions!T30/1000</f>
        <v>6.2668036784831469E-3</v>
      </c>
      <c r="Z505" s="52">
        <f>Assumptions!U30/1000</f>
        <v>6.5922054798412668E-3</v>
      </c>
      <c r="AA505" s="52">
        <f>Assumptions!V30/1000</f>
        <v>6.9223010408478308E-3</v>
      </c>
      <c r="AB505" s="52">
        <f>Assumptions!W30/1000</f>
        <v>7.1632208510517392E-3</v>
      </c>
      <c r="AC505" s="52">
        <f>Assumptions!X30/1000</f>
        <v>7.3414909032361933E-3</v>
      </c>
      <c r="AD505" s="52">
        <f>Assumptions!Y30/1000</f>
        <v>7.6021404150132107E-3</v>
      </c>
      <c r="AE505" s="52">
        <f>Assumptions!Z30/1000</f>
        <v>7.7884635419133022E-3</v>
      </c>
      <c r="AF505" s="52">
        <f>Assumptions!AA30/1000</f>
        <v>8.0591711100798397E-3</v>
      </c>
      <c r="AG505" s="52">
        <f>Assumptions!AB30/1000</f>
        <v>8.3231988786498338E-3</v>
      </c>
      <c r="AH505" s="52">
        <f>Assumptions!AC30/1000</f>
        <v>8.5753643914497045E-3</v>
      </c>
      <c r="AI505" s="52">
        <f>Assumptions!AD30/1000</f>
        <v>8.8888916249159466E-3</v>
      </c>
      <c r="AJ505" s="52">
        <f>Assumptions!AE30/1000</f>
        <v>9.1809181054485871E-3</v>
      </c>
      <c r="AK505" s="52">
        <f>Assumptions!AF30/1000</f>
        <v>9.5487976739560727E-3</v>
      </c>
      <c r="AL505" s="52">
        <f>Assumptions!AG30/1000</f>
        <v>1.0077524695274986E-2</v>
      </c>
      <c r="AM505" s="52">
        <f>Assumptions!AH30/1000</f>
        <v>1.0655171564681258E-2</v>
      </c>
      <c r="AN505" s="52">
        <f>Assumptions!AI30/1000</f>
        <v>1.1383030107873128E-2</v>
      </c>
      <c r="AO505" s="52">
        <f>Assumptions!AJ30/1000</f>
        <v>1.2092621250722151E-2</v>
      </c>
      <c r="AP505" s="52">
        <f>Assumptions!AK30/1000</f>
        <v>1.2829558563080681E-2</v>
      </c>
      <c r="AQ505" s="52">
        <f>Assumptions!AL30/1000</f>
        <v>1.3272130091772659E-2</v>
      </c>
      <c r="AR505" s="52">
        <f>Assumptions!AM30/1000</f>
        <v>1.3882156894314641E-2</v>
      </c>
      <c r="AS505" s="52">
        <f>Assumptions!AN30/1000</f>
        <v>1.442356101319291E-2</v>
      </c>
      <c r="AT505" s="52">
        <f>Assumptions!AO30/1000</f>
        <v>1.4986079892707432E-2</v>
      </c>
      <c r="AU505" s="52">
        <f>Assumptions!AP30/1000</f>
        <v>1.5570537008523021E-2</v>
      </c>
    </row>
    <row r="506" spans="1:16384">
      <c r="G506" s="37"/>
      <c r="H506" s="37"/>
      <c r="I506" s="37"/>
      <c r="J506" s="37"/>
      <c r="K506" s="37"/>
      <c r="L506" s="43"/>
      <c r="M506" s="43"/>
      <c r="N506" s="51"/>
      <c r="O506" s="43"/>
      <c r="P506" s="51"/>
      <c r="Q506" s="43"/>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0"/>
      <c r="AW506" s="50"/>
      <c r="AX506" s="50"/>
      <c r="AY506" s="50"/>
      <c r="AZ506" s="50"/>
      <c r="BA506" s="50"/>
      <c r="BB506" s="50"/>
      <c r="BC506" s="50"/>
      <c r="BD506" s="50"/>
      <c r="BE506" s="50"/>
      <c r="BF506" s="50"/>
      <c r="BG506" s="50"/>
      <c r="BH506" s="50"/>
      <c r="BI506" s="50"/>
      <c r="BJ506" s="50"/>
      <c r="BK506" s="50"/>
      <c r="BL506" s="50"/>
      <c r="BM506" s="50"/>
      <c r="BN506" s="50"/>
      <c r="BO506" s="50"/>
      <c r="BP506" s="50"/>
      <c r="BQ506" s="50"/>
      <c r="BR506" s="50"/>
      <c r="BS506" s="50"/>
      <c r="BT506" s="50"/>
      <c r="BU506" s="50"/>
    </row>
    <row r="507" spans="1:16384">
      <c r="A507" s="327"/>
      <c r="B507" s="28"/>
      <c r="C507" s="324"/>
      <c r="D507" s="324"/>
      <c r="E507" s="324"/>
      <c r="F507" s="324"/>
      <c r="G507" s="324" t="s">
        <v>303</v>
      </c>
      <c r="H507" s="324"/>
      <c r="I507" s="256"/>
      <c r="J507" s="325"/>
      <c r="K507" s="311"/>
      <c r="L507" s="325"/>
      <c r="M507" s="310"/>
      <c r="N507" s="325"/>
      <c r="O507" s="325"/>
      <c r="P507" s="325"/>
      <c r="Q507" s="325"/>
      <c r="R507" s="325">
        <f>R$8</f>
        <v>2014</v>
      </c>
      <c r="S507" s="325">
        <f t="shared" ref="S507:AU507" si="355">S$8</f>
        <v>2015</v>
      </c>
      <c r="T507" s="325">
        <f t="shared" si="355"/>
        <v>2016</v>
      </c>
      <c r="U507" s="325">
        <f t="shared" si="355"/>
        <v>2017</v>
      </c>
      <c r="V507" s="325">
        <f t="shared" si="355"/>
        <v>2018</v>
      </c>
      <c r="W507" s="325">
        <f t="shared" si="355"/>
        <v>2019</v>
      </c>
      <c r="X507" s="325">
        <f t="shared" si="355"/>
        <v>2020</v>
      </c>
      <c r="Y507" s="325">
        <f t="shared" si="355"/>
        <v>2021</v>
      </c>
      <c r="Z507" s="325">
        <f t="shared" si="355"/>
        <v>2022</v>
      </c>
      <c r="AA507" s="325">
        <f t="shared" si="355"/>
        <v>2023</v>
      </c>
      <c r="AB507" s="325">
        <f t="shared" si="355"/>
        <v>2024</v>
      </c>
      <c r="AC507" s="325">
        <f t="shared" si="355"/>
        <v>2025</v>
      </c>
      <c r="AD507" s="325">
        <f t="shared" si="355"/>
        <v>2026</v>
      </c>
      <c r="AE507" s="325">
        <f t="shared" si="355"/>
        <v>2027</v>
      </c>
      <c r="AF507" s="325">
        <f t="shared" si="355"/>
        <v>2028</v>
      </c>
      <c r="AG507" s="325">
        <f t="shared" si="355"/>
        <v>2029</v>
      </c>
      <c r="AH507" s="325">
        <f t="shared" si="355"/>
        <v>2030</v>
      </c>
      <c r="AI507" s="325">
        <f t="shared" si="355"/>
        <v>2031</v>
      </c>
      <c r="AJ507" s="325">
        <f t="shared" si="355"/>
        <v>2032</v>
      </c>
      <c r="AK507" s="325">
        <f t="shared" si="355"/>
        <v>2033</v>
      </c>
      <c r="AL507" s="325">
        <f t="shared" si="355"/>
        <v>2034</v>
      </c>
      <c r="AM507" s="325">
        <f t="shared" si="355"/>
        <v>2035</v>
      </c>
      <c r="AN507" s="325">
        <f t="shared" si="355"/>
        <v>2036</v>
      </c>
      <c r="AO507" s="325">
        <f t="shared" si="355"/>
        <v>2037</v>
      </c>
      <c r="AP507" s="325">
        <f t="shared" si="355"/>
        <v>2038</v>
      </c>
      <c r="AQ507" s="325">
        <f t="shared" si="355"/>
        <v>2039</v>
      </c>
      <c r="AR507" s="325">
        <f t="shared" si="355"/>
        <v>2040</v>
      </c>
      <c r="AS507" s="325">
        <f t="shared" si="355"/>
        <v>2041</v>
      </c>
      <c r="AT507" s="325">
        <f t="shared" si="355"/>
        <v>2042</v>
      </c>
      <c r="AU507" s="325">
        <f t="shared" si="355"/>
        <v>2043</v>
      </c>
      <c r="BB507" s="311"/>
      <c r="BC507" s="325"/>
      <c r="BD507" s="310"/>
      <c r="BE507" s="325"/>
      <c r="BF507" s="325"/>
      <c r="BG507" s="325"/>
      <c r="BH507" s="325"/>
      <c r="BI507" s="325"/>
      <c r="BJ507" s="325"/>
      <c r="BK507" s="325"/>
      <c r="BL507" s="325"/>
      <c r="BM507" s="325"/>
      <c r="BN507" s="325"/>
      <c r="BO507" s="325"/>
      <c r="BP507" s="325"/>
      <c r="BQ507" s="325"/>
      <c r="BR507" s="325"/>
      <c r="BS507" s="325"/>
      <c r="BT507" s="325"/>
      <c r="BU507" s="325"/>
      <c r="BV507" s="325"/>
      <c r="BW507" s="325"/>
      <c r="BX507" s="325"/>
      <c r="BY507" s="325"/>
      <c r="BZ507" s="325"/>
      <c r="CA507" s="325"/>
      <c r="CB507" s="325"/>
      <c r="CC507" s="325"/>
      <c r="CD507" s="325"/>
      <c r="CE507" s="325"/>
      <c r="CF507" s="325"/>
      <c r="CG507" s="325"/>
      <c r="CH507" s="325"/>
      <c r="CI507" s="327"/>
      <c r="CJ507" s="28"/>
      <c r="CK507" s="324"/>
      <c r="CL507" s="324"/>
      <c r="CM507" s="324"/>
      <c r="CN507" s="324"/>
      <c r="CO507" s="324"/>
      <c r="CP507" s="324"/>
      <c r="CQ507" s="256"/>
      <c r="CR507" s="325"/>
      <c r="CS507" s="311"/>
      <c r="CT507" s="325"/>
      <c r="CU507" s="310"/>
      <c r="CV507" s="325"/>
      <c r="CW507" s="325"/>
      <c r="CX507" s="325"/>
      <c r="CY507" s="325"/>
      <c r="CZ507" s="325"/>
      <c r="DA507" s="325"/>
      <c r="DB507" s="325"/>
      <c r="DC507" s="325"/>
      <c r="DD507" s="325"/>
      <c r="DE507" s="325"/>
      <c r="DF507" s="325"/>
      <c r="DG507" s="325"/>
      <c r="DH507" s="325"/>
      <c r="DI507" s="325"/>
      <c r="DJ507" s="325"/>
      <c r="DK507" s="325"/>
      <c r="DL507" s="325"/>
      <c r="DM507" s="325"/>
      <c r="DN507" s="325"/>
      <c r="DO507" s="325"/>
      <c r="DP507" s="325"/>
      <c r="DQ507" s="325"/>
      <c r="DR507" s="325"/>
      <c r="DS507" s="325"/>
      <c r="DT507" s="325"/>
      <c r="DU507" s="325"/>
      <c r="DV507" s="325"/>
      <c r="DW507" s="325"/>
      <c r="DX507" s="325"/>
      <c r="DY507" s="325"/>
      <c r="DZ507" s="327"/>
      <c r="EA507" s="28"/>
      <c r="EB507" s="324"/>
      <c r="EC507" s="324"/>
      <c r="ED507" s="324"/>
      <c r="EE507" s="324"/>
      <c r="EF507" s="324"/>
      <c r="EG507" s="324"/>
      <c r="EH507" s="256"/>
      <c r="EI507" s="325"/>
      <c r="EJ507" s="311"/>
      <c r="EK507" s="325"/>
      <c r="EL507" s="310"/>
      <c r="EM507" s="325"/>
      <c r="EN507" s="325"/>
      <c r="EO507" s="325"/>
      <c r="EP507" s="325"/>
      <c r="EQ507" s="325"/>
      <c r="ER507" s="325"/>
      <c r="ES507" s="325"/>
      <c r="ET507" s="325"/>
      <c r="EU507" s="325"/>
      <c r="EV507" s="325"/>
      <c r="EW507" s="325"/>
      <c r="EX507" s="325"/>
      <c r="EY507" s="325"/>
      <c r="EZ507" s="325"/>
      <c r="FA507" s="325"/>
      <c r="FB507" s="325"/>
      <c r="FC507" s="325"/>
      <c r="FD507" s="325"/>
      <c r="FE507" s="325"/>
      <c r="FF507" s="325"/>
      <c r="FG507" s="325"/>
      <c r="FH507" s="325"/>
      <c r="FI507" s="325"/>
      <c r="FJ507" s="325"/>
      <c r="FK507" s="325"/>
      <c r="FL507" s="325"/>
      <c r="FM507" s="325"/>
      <c r="FN507" s="325"/>
      <c r="FO507" s="325"/>
      <c r="FP507" s="325"/>
      <c r="FQ507" s="327"/>
      <c r="FR507" s="28"/>
      <c r="FS507" s="324"/>
      <c r="FT507" s="324"/>
      <c r="FU507" s="324"/>
      <c r="FV507" s="324"/>
      <c r="FW507" s="324"/>
      <c r="FX507" s="324"/>
      <c r="FY507" s="256"/>
      <c r="FZ507" s="325"/>
      <c r="GA507" s="311"/>
      <c r="GB507" s="325"/>
      <c r="GC507" s="310"/>
      <c r="GD507" s="325"/>
      <c r="GE507" s="325"/>
      <c r="GF507" s="325"/>
      <c r="GG507" s="325"/>
      <c r="GH507" s="325"/>
      <c r="GI507" s="325"/>
      <c r="GJ507" s="325"/>
      <c r="GK507" s="325"/>
      <c r="GL507" s="325"/>
      <c r="GM507" s="325"/>
      <c r="GN507" s="325"/>
      <c r="GO507" s="325"/>
      <c r="GP507" s="325"/>
      <c r="GQ507" s="325"/>
      <c r="GR507" s="325"/>
      <c r="GS507" s="325"/>
      <c r="GT507" s="325"/>
      <c r="GU507" s="325"/>
      <c r="GV507" s="325"/>
      <c r="GW507" s="325"/>
      <c r="GX507" s="325"/>
      <c r="GY507" s="325"/>
      <c r="GZ507" s="325"/>
      <c r="HA507" s="325"/>
      <c r="HB507" s="325"/>
      <c r="HC507" s="325"/>
      <c r="HD507" s="325"/>
      <c r="HE507" s="325"/>
      <c r="HF507" s="325"/>
      <c r="HG507" s="325"/>
      <c r="HH507" s="327"/>
      <c r="HI507" s="28"/>
      <c r="HJ507" s="324"/>
      <c r="HK507" s="324"/>
      <c r="HL507" s="324"/>
      <c r="HM507" s="324"/>
      <c r="HN507" s="324"/>
      <c r="HO507" s="324"/>
      <c r="HP507" s="256"/>
      <c r="HQ507" s="325"/>
      <c r="HR507" s="311"/>
      <c r="HS507" s="325"/>
      <c r="HT507" s="310"/>
      <c r="HU507" s="325"/>
      <c r="HV507" s="325"/>
      <c r="HW507" s="325"/>
      <c r="HX507" s="325"/>
      <c r="HY507" s="325"/>
      <c r="HZ507" s="325"/>
      <c r="IA507" s="325"/>
      <c r="IB507" s="325"/>
      <c r="IC507" s="325"/>
      <c r="ID507" s="325"/>
      <c r="IE507" s="325"/>
      <c r="IF507" s="325"/>
      <c r="IG507" s="325"/>
      <c r="IH507" s="325"/>
      <c r="II507" s="325"/>
      <c r="IJ507" s="325"/>
      <c r="IK507" s="325"/>
      <c r="IL507" s="325"/>
      <c r="IM507" s="325"/>
      <c r="IN507" s="325"/>
      <c r="IO507" s="325"/>
      <c r="IP507" s="325"/>
      <c r="IQ507" s="325"/>
      <c r="IR507" s="325"/>
      <c r="IS507" s="325"/>
      <c r="IT507" s="325"/>
      <c r="IU507" s="325"/>
      <c r="IV507" s="325"/>
      <c r="IW507" s="325"/>
      <c r="IX507" s="325"/>
      <c r="IY507" s="327"/>
      <c r="IZ507" s="28"/>
      <c r="JA507" s="324"/>
      <c r="JB507" s="324"/>
      <c r="JC507" s="324"/>
      <c r="JD507" s="324"/>
      <c r="JE507" s="324"/>
      <c r="JF507" s="324"/>
      <c r="JG507" s="256"/>
      <c r="JH507" s="325"/>
      <c r="JI507" s="311"/>
      <c r="JJ507" s="325"/>
      <c r="JK507" s="310"/>
      <c r="JL507" s="325"/>
      <c r="JM507" s="325"/>
      <c r="JN507" s="325"/>
      <c r="JO507" s="325"/>
      <c r="JP507" s="325"/>
      <c r="JQ507" s="325"/>
      <c r="JR507" s="325"/>
      <c r="JS507" s="325"/>
      <c r="JT507" s="325"/>
      <c r="JU507" s="325"/>
      <c r="JV507" s="325"/>
      <c r="JW507" s="325"/>
      <c r="JX507" s="325"/>
      <c r="JY507" s="325"/>
      <c r="JZ507" s="325"/>
      <c r="KA507" s="325"/>
      <c r="KB507" s="325"/>
      <c r="KC507" s="325"/>
      <c r="KD507" s="325"/>
      <c r="KE507" s="325"/>
      <c r="KF507" s="325"/>
      <c r="KG507" s="325"/>
      <c r="KH507" s="325"/>
      <c r="KI507" s="325"/>
      <c r="KJ507" s="325"/>
      <c r="KK507" s="325"/>
      <c r="KL507" s="325"/>
      <c r="KM507" s="325"/>
      <c r="KN507" s="325"/>
      <c r="KO507" s="325"/>
      <c r="KP507" s="327"/>
      <c r="KQ507" s="28"/>
      <c r="KR507" s="324"/>
      <c r="KS507" s="324"/>
      <c r="KT507" s="324"/>
      <c r="KU507" s="324"/>
      <c r="KV507" s="324"/>
      <c r="KW507" s="324"/>
      <c r="KX507" s="256"/>
      <c r="KY507" s="325"/>
      <c r="KZ507" s="311"/>
      <c r="LA507" s="325"/>
      <c r="LB507" s="310"/>
      <c r="LC507" s="325"/>
      <c r="LD507" s="325"/>
      <c r="LE507" s="325"/>
      <c r="LF507" s="325"/>
      <c r="LG507" s="325"/>
      <c r="LH507" s="325"/>
      <c r="LI507" s="325"/>
      <c r="LJ507" s="325"/>
      <c r="LK507" s="325"/>
      <c r="LL507" s="325"/>
      <c r="LM507" s="325"/>
      <c r="LN507" s="325"/>
      <c r="LO507" s="325"/>
      <c r="LP507" s="325"/>
      <c r="LQ507" s="325"/>
      <c r="LR507" s="325"/>
      <c r="LS507" s="325"/>
      <c r="LT507" s="325"/>
      <c r="LU507" s="325"/>
      <c r="LV507" s="325"/>
      <c r="LW507" s="325"/>
      <c r="LX507" s="325"/>
      <c r="LY507" s="325"/>
      <c r="LZ507" s="325"/>
      <c r="MA507" s="325"/>
      <c r="MB507" s="325"/>
      <c r="MC507" s="325"/>
      <c r="MD507" s="325"/>
      <c r="ME507" s="325"/>
      <c r="MF507" s="325"/>
      <c r="MG507" s="327"/>
      <c r="MH507" s="28"/>
      <c r="MI507" s="324"/>
      <c r="MJ507" s="324"/>
      <c r="MK507" s="324"/>
      <c r="ML507" s="324"/>
      <c r="MM507" s="324"/>
      <c r="MN507" s="324"/>
      <c r="MO507" s="256"/>
      <c r="MP507" s="325"/>
      <c r="MQ507" s="311"/>
      <c r="MR507" s="325"/>
      <c r="MS507" s="310"/>
      <c r="MT507" s="325"/>
      <c r="MU507" s="325"/>
      <c r="MV507" s="325"/>
      <c r="MW507" s="325"/>
      <c r="MX507" s="325"/>
      <c r="MY507" s="325"/>
      <c r="MZ507" s="325"/>
      <c r="NA507" s="325"/>
      <c r="NB507" s="325"/>
      <c r="NC507" s="325"/>
      <c r="ND507" s="325"/>
      <c r="NE507" s="325"/>
      <c r="NF507" s="325"/>
      <c r="NG507" s="325"/>
      <c r="NH507" s="325"/>
      <c r="NI507" s="325"/>
      <c r="NJ507" s="325"/>
      <c r="NK507" s="325"/>
      <c r="NL507" s="325"/>
      <c r="NM507" s="325"/>
      <c r="NN507" s="325"/>
      <c r="NO507" s="325"/>
      <c r="NP507" s="325"/>
      <c r="NQ507" s="325"/>
      <c r="NR507" s="325"/>
      <c r="NS507" s="325"/>
      <c r="NT507" s="325"/>
      <c r="NU507" s="325"/>
      <c r="NV507" s="325"/>
      <c r="NW507" s="325"/>
      <c r="NX507" s="327"/>
      <c r="NY507" s="28"/>
      <c r="NZ507" s="324"/>
      <c r="OA507" s="324"/>
      <c r="OB507" s="324"/>
      <c r="OC507" s="324"/>
      <c r="OD507" s="324"/>
      <c r="OE507" s="324"/>
      <c r="OF507" s="256"/>
      <c r="OG507" s="325"/>
      <c r="OH507" s="311"/>
      <c r="OI507" s="325"/>
      <c r="OJ507" s="310"/>
      <c r="OK507" s="325"/>
      <c r="OL507" s="325"/>
      <c r="OM507" s="325"/>
      <c r="ON507" s="325"/>
      <c r="OO507" s="325"/>
      <c r="OP507" s="325"/>
      <c r="OQ507" s="325"/>
      <c r="OR507" s="325"/>
      <c r="OS507" s="325"/>
      <c r="OT507" s="325"/>
      <c r="OU507" s="325"/>
      <c r="OV507" s="325"/>
      <c r="OW507" s="325"/>
      <c r="OX507" s="325"/>
      <c r="OY507" s="325"/>
      <c r="OZ507" s="325"/>
      <c r="PA507" s="325"/>
      <c r="PB507" s="325"/>
      <c r="PC507" s="325"/>
      <c r="PD507" s="325"/>
      <c r="PE507" s="325"/>
      <c r="PF507" s="325"/>
      <c r="PG507" s="325"/>
      <c r="PH507" s="325"/>
      <c r="PI507" s="325"/>
      <c r="PJ507" s="325"/>
      <c r="PK507" s="325"/>
      <c r="PL507" s="325"/>
      <c r="PM507" s="325"/>
      <c r="PN507" s="325"/>
      <c r="PO507" s="327"/>
      <c r="PP507" s="28"/>
      <c r="PQ507" s="324"/>
      <c r="PR507" s="324"/>
      <c r="PS507" s="324"/>
      <c r="PT507" s="324"/>
      <c r="PU507" s="324"/>
      <c r="PV507" s="324"/>
      <c r="PW507" s="256"/>
      <c r="PX507" s="325"/>
      <c r="PY507" s="311"/>
      <c r="PZ507" s="325"/>
      <c r="QA507" s="310"/>
      <c r="QB507" s="325"/>
      <c r="QC507" s="325"/>
      <c r="QD507" s="325"/>
      <c r="QE507" s="325"/>
      <c r="QF507" s="325"/>
      <c r="QG507" s="325"/>
      <c r="QH507" s="325"/>
      <c r="QI507" s="325"/>
      <c r="QJ507" s="325"/>
      <c r="QK507" s="325"/>
      <c r="QL507" s="325"/>
      <c r="QM507" s="325"/>
      <c r="QN507" s="325"/>
      <c r="QO507" s="325"/>
      <c r="QP507" s="325"/>
      <c r="QQ507" s="325"/>
      <c r="QR507" s="325"/>
      <c r="QS507" s="325"/>
      <c r="QT507" s="325"/>
      <c r="QU507" s="325"/>
      <c r="QV507" s="325"/>
      <c r="QW507" s="325"/>
      <c r="QX507" s="325"/>
      <c r="QY507" s="325"/>
      <c r="QZ507" s="325"/>
      <c r="RA507" s="325"/>
      <c r="RB507" s="325"/>
      <c r="RC507" s="325"/>
      <c r="RD507" s="325"/>
      <c r="RE507" s="325"/>
      <c r="RF507" s="327"/>
      <c r="RG507" s="28"/>
      <c r="RH507" s="324"/>
      <c r="RI507" s="324"/>
      <c r="RJ507" s="324"/>
      <c r="RK507" s="324"/>
      <c r="RL507" s="324"/>
      <c r="RM507" s="324"/>
      <c r="RN507" s="256"/>
      <c r="RO507" s="325"/>
      <c r="RP507" s="311"/>
      <c r="RQ507" s="325"/>
      <c r="RR507" s="310"/>
      <c r="RS507" s="325"/>
      <c r="RT507" s="325"/>
      <c r="RU507" s="325"/>
      <c r="RV507" s="325"/>
      <c r="RW507" s="325"/>
      <c r="RX507" s="325"/>
      <c r="RY507" s="325"/>
      <c r="RZ507" s="325"/>
      <c r="SA507" s="325"/>
      <c r="SB507" s="325"/>
      <c r="SC507" s="325"/>
      <c r="SD507" s="325"/>
      <c r="SE507" s="325"/>
      <c r="SF507" s="325"/>
      <c r="SG507" s="325"/>
      <c r="SH507" s="325"/>
      <c r="SI507" s="325"/>
      <c r="SJ507" s="325"/>
      <c r="SK507" s="325"/>
      <c r="SL507" s="325"/>
      <c r="SM507" s="325"/>
      <c r="SN507" s="325"/>
      <c r="SO507" s="325"/>
      <c r="SP507" s="325"/>
      <c r="SQ507" s="325"/>
      <c r="SR507" s="325"/>
      <c r="SS507" s="325"/>
      <c r="ST507" s="325"/>
      <c r="SU507" s="325"/>
      <c r="SV507" s="325"/>
      <c r="SW507" s="327"/>
      <c r="SX507" s="28"/>
      <c r="SY507" s="324"/>
      <c r="SZ507" s="324"/>
      <c r="TA507" s="324"/>
      <c r="TB507" s="324"/>
      <c r="TC507" s="324"/>
      <c r="TD507" s="324"/>
      <c r="TE507" s="256"/>
      <c r="TF507" s="325"/>
      <c r="TG507" s="311"/>
      <c r="TH507" s="325"/>
      <c r="TI507" s="310"/>
      <c r="TJ507" s="325"/>
      <c r="TK507" s="325"/>
      <c r="TL507" s="325"/>
      <c r="TM507" s="325"/>
      <c r="TN507" s="325"/>
      <c r="TO507" s="325"/>
      <c r="TP507" s="325"/>
      <c r="TQ507" s="325"/>
      <c r="TR507" s="325"/>
      <c r="TS507" s="325"/>
      <c r="TT507" s="325"/>
      <c r="TU507" s="325"/>
      <c r="TV507" s="325"/>
      <c r="TW507" s="325"/>
      <c r="TX507" s="325"/>
      <c r="TY507" s="325"/>
      <c r="TZ507" s="325"/>
      <c r="UA507" s="325"/>
      <c r="UB507" s="325"/>
      <c r="UC507" s="325"/>
      <c r="UD507" s="325"/>
      <c r="UE507" s="325"/>
      <c r="UF507" s="325"/>
      <c r="UG507" s="325"/>
      <c r="UH507" s="325"/>
      <c r="UI507" s="325"/>
      <c r="UJ507" s="325"/>
      <c r="UK507" s="325"/>
      <c r="UL507" s="325"/>
      <c r="UM507" s="325"/>
      <c r="UN507" s="327"/>
      <c r="UO507" s="28"/>
      <c r="UP507" s="324"/>
      <c r="UQ507" s="324"/>
      <c r="UR507" s="324"/>
      <c r="US507" s="324"/>
      <c r="UT507" s="324"/>
      <c r="UU507" s="324"/>
      <c r="UV507" s="256"/>
      <c r="UW507" s="325"/>
      <c r="UX507" s="311"/>
      <c r="UY507" s="325"/>
      <c r="UZ507" s="310"/>
      <c r="VA507" s="325"/>
      <c r="VB507" s="325"/>
      <c r="VC507" s="325"/>
      <c r="VD507" s="325"/>
      <c r="VE507" s="325"/>
      <c r="VF507" s="325"/>
      <c r="VG507" s="325"/>
      <c r="VH507" s="325"/>
      <c r="VI507" s="325"/>
      <c r="VJ507" s="325"/>
      <c r="VK507" s="325"/>
      <c r="VL507" s="325"/>
      <c r="VM507" s="325"/>
      <c r="VN507" s="325"/>
      <c r="VO507" s="325"/>
      <c r="VP507" s="325"/>
      <c r="VQ507" s="325"/>
      <c r="VR507" s="325"/>
      <c r="VS507" s="325"/>
      <c r="VT507" s="325"/>
      <c r="VU507" s="325"/>
      <c r="VV507" s="325"/>
      <c r="VW507" s="325"/>
      <c r="VX507" s="325"/>
      <c r="VY507" s="325"/>
      <c r="VZ507" s="325"/>
      <c r="WA507" s="325"/>
      <c r="WB507" s="325"/>
      <c r="WC507" s="325"/>
      <c r="WD507" s="325"/>
      <c r="WE507" s="327"/>
      <c r="WF507" s="28"/>
      <c r="WG507" s="324"/>
      <c r="WH507" s="324"/>
      <c r="WI507" s="324"/>
      <c r="WJ507" s="324"/>
      <c r="WK507" s="324"/>
      <c r="WL507" s="324"/>
      <c r="WM507" s="256"/>
      <c r="WN507" s="325"/>
      <c r="WO507" s="311"/>
      <c r="WP507" s="325"/>
      <c r="WQ507" s="310"/>
      <c r="WR507" s="325"/>
      <c r="WS507" s="325"/>
      <c r="WT507" s="325"/>
      <c r="WU507" s="325"/>
      <c r="WV507" s="325"/>
      <c r="WW507" s="325"/>
      <c r="WX507" s="325"/>
      <c r="WY507" s="325"/>
      <c r="WZ507" s="325"/>
      <c r="XA507" s="325"/>
      <c r="XB507" s="325"/>
      <c r="XC507" s="325"/>
      <c r="XD507" s="325"/>
      <c r="XE507" s="325"/>
      <c r="XF507" s="325"/>
      <c r="XG507" s="325"/>
      <c r="XH507" s="325"/>
      <c r="XI507" s="325"/>
      <c r="XJ507" s="325"/>
      <c r="XK507" s="325"/>
      <c r="XL507" s="325"/>
      <c r="XM507" s="325"/>
      <c r="XN507" s="325"/>
      <c r="XO507" s="325"/>
      <c r="XP507" s="325"/>
      <c r="XQ507" s="325"/>
      <c r="XR507" s="325"/>
      <c r="XS507" s="325"/>
      <c r="XT507" s="325"/>
      <c r="XU507" s="325"/>
      <c r="XV507" s="327"/>
      <c r="XW507" s="28"/>
      <c r="XX507" s="324"/>
      <c r="XY507" s="324"/>
      <c r="XZ507" s="324"/>
      <c r="YA507" s="324"/>
      <c r="YB507" s="324"/>
      <c r="YC507" s="324"/>
      <c r="YD507" s="256"/>
      <c r="YE507" s="325"/>
      <c r="YF507" s="311"/>
      <c r="YG507" s="325"/>
      <c r="YH507" s="310"/>
      <c r="YI507" s="325"/>
      <c r="YJ507" s="325"/>
      <c r="YK507" s="325"/>
      <c r="YL507" s="325"/>
      <c r="YM507" s="325"/>
      <c r="YN507" s="325"/>
      <c r="YO507" s="325"/>
      <c r="YP507" s="325"/>
      <c r="YQ507" s="325"/>
      <c r="YR507" s="325"/>
      <c r="YS507" s="325"/>
      <c r="YT507" s="325"/>
      <c r="YU507" s="325"/>
      <c r="YV507" s="325"/>
      <c r="YW507" s="325"/>
      <c r="YX507" s="325"/>
      <c r="YY507" s="325"/>
      <c r="YZ507" s="325"/>
      <c r="ZA507" s="325"/>
      <c r="ZB507" s="325"/>
      <c r="ZC507" s="325"/>
      <c r="ZD507" s="325"/>
      <c r="ZE507" s="325"/>
      <c r="ZF507" s="325"/>
      <c r="ZG507" s="325"/>
      <c r="ZH507" s="325"/>
      <c r="ZI507" s="325"/>
      <c r="ZJ507" s="325"/>
      <c r="ZK507" s="325"/>
      <c r="ZL507" s="325"/>
      <c r="ZM507" s="327"/>
      <c r="ZN507" s="28"/>
      <c r="ZO507" s="324"/>
      <c r="ZP507" s="324"/>
      <c r="ZQ507" s="324"/>
      <c r="ZR507" s="324"/>
      <c r="ZS507" s="324"/>
      <c r="ZT507" s="324"/>
      <c r="ZU507" s="256"/>
      <c r="ZV507" s="325"/>
      <c r="ZW507" s="311"/>
      <c r="ZX507" s="325"/>
      <c r="ZY507" s="310"/>
      <c r="ZZ507" s="325"/>
      <c r="AAA507" s="325"/>
      <c r="AAB507" s="325"/>
      <c r="AAC507" s="325"/>
      <c r="AAD507" s="325"/>
      <c r="AAE507" s="325"/>
      <c r="AAF507" s="325"/>
      <c r="AAG507" s="325"/>
      <c r="AAH507" s="325"/>
      <c r="AAI507" s="325"/>
      <c r="AAJ507" s="325"/>
      <c r="AAK507" s="325"/>
      <c r="AAL507" s="325"/>
      <c r="AAM507" s="325"/>
      <c r="AAN507" s="325"/>
      <c r="AAO507" s="325"/>
      <c r="AAP507" s="325"/>
      <c r="AAQ507" s="325"/>
      <c r="AAR507" s="325"/>
      <c r="AAS507" s="325"/>
      <c r="AAT507" s="325"/>
      <c r="AAU507" s="325"/>
      <c r="AAV507" s="325"/>
      <c r="AAW507" s="325"/>
      <c r="AAX507" s="325"/>
      <c r="AAY507" s="325"/>
      <c r="AAZ507" s="325"/>
      <c r="ABA507" s="325"/>
      <c r="ABB507" s="325"/>
      <c r="ABC507" s="325"/>
      <c r="ABD507" s="327"/>
      <c r="ABE507" s="28"/>
      <c r="ABF507" s="324"/>
      <c r="ABG507" s="324"/>
      <c r="ABH507" s="324"/>
      <c r="ABI507" s="324"/>
      <c r="ABJ507" s="324"/>
      <c r="ABK507" s="324"/>
      <c r="ABL507" s="256"/>
      <c r="ABM507" s="325"/>
      <c r="ABN507" s="311"/>
      <c r="ABO507" s="325"/>
      <c r="ABP507" s="310"/>
      <c r="ABQ507" s="325"/>
      <c r="ABR507" s="325"/>
      <c r="ABS507" s="325"/>
      <c r="ABT507" s="325"/>
      <c r="ABU507" s="325"/>
      <c r="ABV507" s="325"/>
      <c r="ABW507" s="325"/>
      <c r="ABX507" s="325"/>
      <c r="ABY507" s="325"/>
      <c r="ABZ507" s="325"/>
      <c r="ACA507" s="325"/>
      <c r="ACB507" s="325"/>
      <c r="ACC507" s="325"/>
      <c r="ACD507" s="325"/>
      <c r="ACE507" s="325"/>
      <c r="ACF507" s="325"/>
      <c r="ACG507" s="325"/>
      <c r="ACH507" s="325"/>
      <c r="ACI507" s="325"/>
      <c r="ACJ507" s="325"/>
      <c r="ACK507" s="325"/>
      <c r="ACL507" s="325"/>
      <c r="ACM507" s="325"/>
      <c r="ACN507" s="325"/>
      <c r="ACO507" s="325"/>
      <c r="ACP507" s="325"/>
      <c r="ACQ507" s="325"/>
      <c r="ACR507" s="325"/>
      <c r="ACS507" s="325"/>
      <c r="ACT507" s="325"/>
      <c r="ACU507" s="327"/>
      <c r="ACV507" s="28"/>
      <c r="ACW507" s="324"/>
      <c r="ACX507" s="324"/>
      <c r="ACY507" s="324"/>
      <c r="ACZ507" s="324"/>
      <c r="ADA507" s="324"/>
      <c r="ADB507" s="324"/>
      <c r="ADC507" s="256"/>
      <c r="ADD507" s="325"/>
      <c r="ADE507" s="311"/>
      <c r="ADF507" s="325"/>
      <c r="ADG507" s="310"/>
      <c r="ADH507" s="325"/>
      <c r="ADI507" s="325"/>
      <c r="ADJ507" s="325"/>
      <c r="ADK507" s="325"/>
      <c r="ADL507" s="325"/>
      <c r="ADM507" s="325"/>
      <c r="ADN507" s="325"/>
      <c r="ADO507" s="325"/>
      <c r="ADP507" s="325"/>
      <c r="ADQ507" s="325"/>
      <c r="ADR507" s="325"/>
      <c r="ADS507" s="325"/>
      <c r="ADT507" s="325"/>
      <c r="ADU507" s="325"/>
      <c r="ADV507" s="325"/>
      <c r="ADW507" s="325"/>
      <c r="ADX507" s="325"/>
      <c r="ADY507" s="325"/>
      <c r="ADZ507" s="325"/>
      <c r="AEA507" s="325"/>
      <c r="AEB507" s="325"/>
      <c r="AEC507" s="325"/>
      <c r="AED507" s="325"/>
      <c r="AEE507" s="325"/>
      <c r="AEF507" s="325"/>
      <c r="AEG507" s="325"/>
      <c r="AEH507" s="325"/>
      <c r="AEI507" s="325"/>
      <c r="AEJ507" s="325"/>
      <c r="AEK507" s="325"/>
      <c r="AEL507" s="327"/>
      <c r="AEM507" s="28"/>
      <c r="AEN507" s="324"/>
      <c r="AEO507" s="324"/>
      <c r="AEP507" s="324"/>
      <c r="AEQ507" s="324"/>
      <c r="AER507" s="324"/>
      <c r="AES507" s="324"/>
      <c r="AET507" s="256"/>
      <c r="AEU507" s="325"/>
      <c r="AEV507" s="311"/>
      <c r="AEW507" s="325"/>
      <c r="AEX507" s="310"/>
      <c r="AEY507" s="325"/>
      <c r="AEZ507" s="325"/>
      <c r="AFA507" s="325"/>
      <c r="AFB507" s="325"/>
      <c r="AFC507" s="325"/>
      <c r="AFD507" s="325"/>
      <c r="AFE507" s="325"/>
      <c r="AFF507" s="325"/>
      <c r="AFG507" s="325"/>
      <c r="AFH507" s="325"/>
      <c r="AFI507" s="325"/>
      <c r="AFJ507" s="325"/>
      <c r="AFK507" s="325"/>
      <c r="AFL507" s="325"/>
      <c r="AFM507" s="325"/>
      <c r="AFN507" s="325"/>
      <c r="AFO507" s="325"/>
      <c r="AFP507" s="325"/>
      <c r="AFQ507" s="325"/>
      <c r="AFR507" s="325"/>
      <c r="AFS507" s="325"/>
      <c r="AFT507" s="325"/>
      <c r="AFU507" s="325"/>
      <c r="AFV507" s="325"/>
      <c r="AFW507" s="325"/>
      <c r="AFX507" s="325"/>
      <c r="AFY507" s="325"/>
      <c r="AFZ507" s="325"/>
      <c r="AGA507" s="325"/>
      <c r="AGB507" s="325"/>
      <c r="AGC507" s="327"/>
      <c r="AGD507" s="28"/>
      <c r="AGE507" s="324"/>
      <c r="AGF507" s="324"/>
      <c r="AGG507" s="324"/>
      <c r="AGH507" s="324"/>
      <c r="AGI507" s="324"/>
      <c r="AGJ507" s="324"/>
      <c r="AGK507" s="256"/>
      <c r="AGL507" s="325"/>
      <c r="AGM507" s="311"/>
      <c r="AGN507" s="325"/>
      <c r="AGO507" s="310"/>
      <c r="AGP507" s="325"/>
      <c r="AGQ507" s="325"/>
      <c r="AGR507" s="325"/>
      <c r="AGS507" s="325"/>
      <c r="AGT507" s="325"/>
      <c r="AGU507" s="325"/>
      <c r="AGV507" s="325"/>
      <c r="AGW507" s="325"/>
      <c r="AGX507" s="325"/>
      <c r="AGY507" s="325"/>
      <c r="AGZ507" s="325"/>
      <c r="AHA507" s="325"/>
      <c r="AHB507" s="325"/>
      <c r="AHC507" s="325"/>
      <c r="AHD507" s="325"/>
      <c r="AHE507" s="325"/>
      <c r="AHF507" s="325"/>
      <c r="AHG507" s="325"/>
      <c r="AHH507" s="325"/>
      <c r="AHI507" s="325"/>
      <c r="AHJ507" s="325"/>
      <c r="AHK507" s="325"/>
      <c r="AHL507" s="325"/>
      <c r="AHM507" s="325"/>
      <c r="AHN507" s="325"/>
      <c r="AHO507" s="325"/>
      <c r="AHP507" s="325"/>
      <c r="AHQ507" s="325"/>
      <c r="AHR507" s="325"/>
      <c r="AHS507" s="325"/>
      <c r="AHT507" s="327"/>
      <c r="AHU507" s="28"/>
      <c r="AHV507" s="324"/>
      <c r="AHW507" s="324"/>
      <c r="AHX507" s="324"/>
      <c r="AHY507" s="324"/>
      <c r="AHZ507" s="324"/>
      <c r="AIA507" s="324"/>
      <c r="AIB507" s="256"/>
      <c r="AIC507" s="325"/>
      <c r="AID507" s="311"/>
      <c r="AIE507" s="325"/>
      <c r="AIF507" s="310"/>
      <c r="AIG507" s="325"/>
      <c r="AIH507" s="325"/>
      <c r="AII507" s="325"/>
      <c r="AIJ507" s="325"/>
      <c r="AIK507" s="325"/>
      <c r="AIL507" s="325"/>
      <c r="AIM507" s="325"/>
      <c r="AIN507" s="325"/>
      <c r="AIO507" s="325"/>
      <c r="AIP507" s="325"/>
      <c r="AIQ507" s="325"/>
      <c r="AIR507" s="325"/>
      <c r="AIS507" s="325"/>
      <c r="AIT507" s="325"/>
      <c r="AIU507" s="325"/>
      <c r="AIV507" s="325"/>
      <c r="AIW507" s="325"/>
      <c r="AIX507" s="325"/>
      <c r="AIY507" s="325"/>
      <c r="AIZ507" s="325"/>
      <c r="AJA507" s="325"/>
      <c r="AJB507" s="325"/>
      <c r="AJC507" s="325"/>
      <c r="AJD507" s="325"/>
      <c r="AJE507" s="325"/>
      <c r="AJF507" s="325"/>
      <c r="AJG507" s="325"/>
      <c r="AJH507" s="325"/>
      <c r="AJI507" s="325"/>
      <c r="AJJ507" s="325"/>
      <c r="AJK507" s="327"/>
      <c r="AJL507" s="28"/>
      <c r="AJM507" s="324"/>
      <c r="AJN507" s="324"/>
      <c r="AJO507" s="324"/>
      <c r="AJP507" s="324"/>
      <c r="AJQ507" s="324"/>
      <c r="AJR507" s="324"/>
      <c r="AJS507" s="256"/>
      <c r="AJT507" s="325"/>
      <c r="AJU507" s="311"/>
      <c r="AJV507" s="325"/>
      <c r="AJW507" s="310"/>
      <c r="AJX507" s="325"/>
      <c r="AJY507" s="325"/>
      <c r="AJZ507" s="325"/>
      <c r="AKA507" s="325"/>
      <c r="AKB507" s="325"/>
      <c r="AKC507" s="325"/>
      <c r="AKD507" s="325"/>
      <c r="AKE507" s="325"/>
      <c r="AKF507" s="325"/>
      <c r="AKG507" s="325"/>
      <c r="AKH507" s="325"/>
      <c r="AKI507" s="325"/>
      <c r="AKJ507" s="325"/>
      <c r="AKK507" s="325"/>
      <c r="AKL507" s="325"/>
      <c r="AKM507" s="325"/>
      <c r="AKN507" s="325"/>
      <c r="AKO507" s="325"/>
      <c r="AKP507" s="325"/>
      <c r="AKQ507" s="325"/>
      <c r="AKR507" s="325"/>
      <c r="AKS507" s="325"/>
      <c r="AKT507" s="325"/>
      <c r="AKU507" s="325"/>
      <c r="AKV507" s="325"/>
      <c r="AKW507" s="325"/>
      <c r="AKX507" s="325"/>
      <c r="AKY507" s="325"/>
      <c r="AKZ507" s="325"/>
      <c r="ALA507" s="325"/>
      <c r="ALB507" s="327"/>
      <c r="ALC507" s="28"/>
      <c r="ALD507" s="324"/>
      <c r="ALE507" s="324"/>
      <c r="ALF507" s="324"/>
      <c r="ALG507" s="324"/>
      <c r="ALH507" s="324"/>
      <c r="ALI507" s="324"/>
      <c r="ALJ507" s="256"/>
      <c r="ALK507" s="325"/>
      <c r="ALL507" s="311"/>
      <c r="ALM507" s="325"/>
      <c r="ALN507" s="310"/>
      <c r="ALO507" s="325"/>
      <c r="ALP507" s="325"/>
      <c r="ALQ507" s="325"/>
      <c r="ALR507" s="325"/>
      <c r="ALS507" s="325"/>
      <c r="ALT507" s="325"/>
      <c r="ALU507" s="325"/>
      <c r="ALV507" s="325"/>
      <c r="ALW507" s="325"/>
      <c r="ALX507" s="325"/>
      <c r="ALY507" s="325"/>
      <c r="ALZ507" s="325"/>
      <c r="AMA507" s="325"/>
      <c r="AMB507" s="325"/>
      <c r="AMC507" s="325"/>
      <c r="AMD507" s="325"/>
      <c r="AME507" s="325"/>
      <c r="AMF507" s="325"/>
      <c r="AMG507" s="325"/>
      <c r="AMH507" s="325"/>
      <c r="AMI507" s="325"/>
      <c r="AMJ507" s="325"/>
      <c r="AMK507" s="325"/>
      <c r="AML507" s="325"/>
      <c r="AMM507" s="325"/>
      <c r="AMN507" s="325"/>
      <c r="AMO507" s="325"/>
      <c r="AMP507" s="325"/>
      <c r="AMQ507" s="325"/>
      <c r="AMR507" s="325"/>
      <c r="AMS507" s="327"/>
      <c r="AMT507" s="28"/>
      <c r="AMU507" s="324"/>
      <c r="AMV507" s="324"/>
      <c r="AMW507" s="324"/>
      <c r="AMX507" s="324"/>
      <c r="AMY507" s="324"/>
      <c r="AMZ507" s="324"/>
      <c r="ANA507" s="256"/>
      <c r="ANB507" s="325"/>
      <c r="ANC507" s="311"/>
      <c r="AND507" s="325"/>
      <c r="ANE507" s="310"/>
      <c r="ANF507" s="325"/>
      <c r="ANG507" s="325"/>
      <c r="ANH507" s="325"/>
      <c r="ANI507" s="325"/>
      <c r="ANJ507" s="325"/>
      <c r="ANK507" s="325"/>
      <c r="ANL507" s="325"/>
      <c r="ANM507" s="325"/>
      <c r="ANN507" s="325"/>
      <c r="ANO507" s="325"/>
      <c r="ANP507" s="325"/>
      <c r="ANQ507" s="325"/>
      <c r="ANR507" s="325"/>
      <c r="ANS507" s="325"/>
      <c r="ANT507" s="325"/>
      <c r="ANU507" s="325"/>
      <c r="ANV507" s="325"/>
      <c r="ANW507" s="325"/>
      <c r="ANX507" s="325"/>
      <c r="ANY507" s="325"/>
      <c r="ANZ507" s="325"/>
      <c r="AOA507" s="325"/>
      <c r="AOB507" s="325"/>
      <c r="AOC507" s="325"/>
      <c r="AOD507" s="325"/>
      <c r="AOE507" s="325"/>
      <c r="AOF507" s="325"/>
      <c r="AOG507" s="325"/>
      <c r="AOH507" s="325"/>
      <c r="AOI507" s="325"/>
      <c r="AOJ507" s="327"/>
      <c r="AOK507" s="28"/>
      <c r="AOL507" s="324"/>
      <c r="AOM507" s="324"/>
      <c r="AON507" s="324"/>
      <c r="AOO507" s="324"/>
      <c r="AOP507" s="324"/>
      <c r="AOQ507" s="324"/>
      <c r="AOR507" s="256"/>
      <c r="AOS507" s="325"/>
      <c r="AOT507" s="311"/>
      <c r="AOU507" s="325"/>
      <c r="AOV507" s="310"/>
      <c r="AOW507" s="325"/>
      <c r="AOX507" s="325"/>
      <c r="AOY507" s="325"/>
      <c r="AOZ507" s="325"/>
      <c r="APA507" s="325"/>
      <c r="APB507" s="325"/>
      <c r="APC507" s="325"/>
      <c r="APD507" s="325"/>
      <c r="APE507" s="325"/>
      <c r="APF507" s="325"/>
      <c r="APG507" s="325"/>
      <c r="APH507" s="325"/>
      <c r="API507" s="325"/>
      <c r="APJ507" s="325"/>
      <c r="APK507" s="325"/>
      <c r="APL507" s="325"/>
      <c r="APM507" s="325"/>
      <c r="APN507" s="325"/>
      <c r="APO507" s="325"/>
      <c r="APP507" s="325"/>
      <c r="APQ507" s="325"/>
      <c r="APR507" s="325"/>
      <c r="APS507" s="325"/>
      <c r="APT507" s="325"/>
      <c r="APU507" s="325"/>
      <c r="APV507" s="325"/>
      <c r="APW507" s="325"/>
      <c r="APX507" s="325"/>
      <c r="APY507" s="325"/>
      <c r="APZ507" s="325"/>
      <c r="AQA507" s="327"/>
      <c r="AQB507" s="28"/>
      <c r="AQC507" s="324"/>
      <c r="AQD507" s="324"/>
      <c r="AQE507" s="324"/>
      <c r="AQF507" s="324"/>
      <c r="AQG507" s="324"/>
      <c r="AQH507" s="324"/>
      <c r="AQI507" s="256"/>
      <c r="AQJ507" s="325"/>
      <c r="AQK507" s="311"/>
      <c r="AQL507" s="325"/>
      <c r="AQM507" s="310"/>
      <c r="AQN507" s="325"/>
      <c r="AQO507" s="325"/>
      <c r="AQP507" s="325"/>
      <c r="AQQ507" s="325"/>
      <c r="AQR507" s="325"/>
      <c r="AQS507" s="325"/>
      <c r="AQT507" s="325"/>
      <c r="AQU507" s="325"/>
      <c r="AQV507" s="325"/>
      <c r="AQW507" s="325"/>
      <c r="AQX507" s="325"/>
      <c r="AQY507" s="325"/>
      <c r="AQZ507" s="325"/>
      <c r="ARA507" s="325"/>
      <c r="ARB507" s="325"/>
      <c r="ARC507" s="325"/>
      <c r="ARD507" s="325"/>
      <c r="ARE507" s="325"/>
      <c r="ARF507" s="325"/>
      <c r="ARG507" s="325"/>
      <c r="ARH507" s="325"/>
      <c r="ARI507" s="325"/>
      <c r="ARJ507" s="325"/>
      <c r="ARK507" s="325"/>
      <c r="ARL507" s="325"/>
      <c r="ARM507" s="325"/>
      <c r="ARN507" s="325"/>
      <c r="ARO507" s="325"/>
      <c r="ARP507" s="325"/>
      <c r="ARQ507" s="325"/>
      <c r="ARR507" s="327"/>
      <c r="ARS507" s="28"/>
      <c r="ART507" s="324"/>
      <c r="ARU507" s="324"/>
      <c r="ARV507" s="324"/>
      <c r="ARW507" s="324"/>
      <c r="ARX507" s="324"/>
      <c r="ARY507" s="324"/>
      <c r="ARZ507" s="256"/>
      <c r="ASA507" s="325"/>
      <c r="ASB507" s="311"/>
      <c r="ASC507" s="325"/>
      <c r="ASD507" s="310"/>
      <c r="ASE507" s="325"/>
      <c r="ASF507" s="325"/>
      <c r="ASG507" s="325"/>
      <c r="ASH507" s="325"/>
      <c r="ASI507" s="325"/>
      <c r="ASJ507" s="325"/>
      <c r="ASK507" s="325"/>
      <c r="ASL507" s="325"/>
      <c r="ASM507" s="325"/>
      <c r="ASN507" s="325"/>
      <c r="ASO507" s="325"/>
      <c r="ASP507" s="325"/>
      <c r="ASQ507" s="325"/>
      <c r="ASR507" s="325"/>
      <c r="ASS507" s="325"/>
      <c r="AST507" s="325"/>
      <c r="ASU507" s="325"/>
      <c r="ASV507" s="325"/>
      <c r="ASW507" s="325"/>
      <c r="ASX507" s="325"/>
      <c r="ASY507" s="325"/>
      <c r="ASZ507" s="325"/>
      <c r="ATA507" s="325"/>
      <c r="ATB507" s="325"/>
      <c r="ATC507" s="325"/>
      <c r="ATD507" s="325"/>
      <c r="ATE507" s="325"/>
      <c r="ATF507" s="325"/>
      <c r="ATG507" s="325"/>
      <c r="ATH507" s="325"/>
      <c r="ATI507" s="327"/>
      <c r="ATJ507" s="28"/>
      <c r="ATK507" s="324"/>
      <c r="ATL507" s="324"/>
      <c r="ATM507" s="324"/>
      <c r="ATN507" s="324"/>
      <c r="ATO507" s="324"/>
      <c r="ATP507" s="324"/>
      <c r="ATQ507" s="256"/>
      <c r="ATR507" s="325"/>
      <c r="ATS507" s="311"/>
      <c r="ATT507" s="325"/>
      <c r="ATU507" s="310"/>
      <c r="ATV507" s="325"/>
      <c r="ATW507" s="325"/>
      <c r="ATX507" s="325"/>
      <c r="ATY507" s="325"/>
      <c r="ATZ507" s="325"/>
      <c r="AUA507" s="325"/>
      <c r="AUB507" s="325"/>
      <c r="AUC507" s="325"/>
      <c r="AUD507" s="325"/>
      <c r="AUE507" s="325"/>
      <c r="AUF507" s="325"/>
      <c r="AUG507" s="325"/>
      <c r="AUH507" s="325"/>
      <c r="AUI507" s="325"/>
      <c r="AUJ507" s="325"/>
      <c r="AUK507" s="325"/>
      <c r="AUL507" s="325"/>
      <c r="AUM507" s="325"/>
      <c r="AUN507" s="325"/>
      <c r="AUO507" s="325"/>
      <c r="AUP507" s="325"/>
      <c r="AUQ507" s="325"/>
      <c r="AUR507" s="325"/>
      <c r="AUS507" s="325"/>
      <c r="AUT507" s="325"/>
      <c r="AUU507" s="325"/>
      <c r="AUV507" s="325"/>
      <c r="AUW507" s="325"/>
      <c r="AUX507" s="325"/>
      <c r="AUY507" s="325"/>
      <c r="AUZ507" s="327"/>
      <c r="AVA507" s="28"/>
      <c r="AVB507" s="324"/>
      <c r="AVC507" s="324"/>
      <c r="AVD507" s="324"/>
      <c r="AVE507" s="324"/>
      <c r="AVF507" s="324"/>
      <c r="AVG507" s="324"/>
      <c r="AVH507" s="256"/>
      <c r="AVI507" s="325"/>
      <c r="AVJ507" s="311"/>
      <c r="AVK507" s="325"/>
      <c r="AVL507" s="310"/>
      <c r="AVM507" s="325"/>
      <c r="AVN507" s="325"/>
      <c r="AVO507" s="325"/>
      <c r="AVP507" s="325"/>
      <c r="AVQ507" s="325"/>
      <c r="AVR507" s="325"/>
      <c r="AVS507" s="325"/>
      <c r="AVT507" s="325"/>
      <c r="AVU507" s="325"/>
      <c r="AVV507" s="325"/>
      <c r="AVW507" s="325"/>
      <c r="AVX507" s="325"/>
      <c r="AVY507" s="325"/>
      <c r="AVZ507" s="325"/>
      <c r="AWA507" s="325"/>
      <c r="AWB507" s="325"/>
      <c r="AWC507" s="325"/>
      <c r="AWD507" s="325"/>
      <c r="AWE507" s="325"/>
      <c r="AWF507" s="325"/>
      <c r="AWG507" s="325"/>
      <c r="AWH507" s="325"/>
      <c r="AWI507" s="325"/>
      <c r="AWJ507" s="325"/>
      <c r="AWK507" s="325"/>
      <c r="AWL507" s="325"/>
      <c r="AWM507" s="325"/>
      <c r="AWN507" s="325"/>
      <c r="AWO507" s="325"/>
      <c r="AWP507" s="325"/>
      <c r="AWQ507" s="327"/>
      <c r="AWR507" s="28"/>
      <c r="AWS507" s="324"/>
      <c r="AWT507" s="324"/>
      <c r="AWU507" s="324"/>
      <c r="AWV507" s="324"/>
      <c r="AWW507" s="324"/>
      <c r="AWX507" s="324"/>
      <c r="AWY507" s="256"/>
      <c r="AWZ507" s="325"/>
      <c r="AXA507" s="311"/>
      <c r="AXB507" s="325"/>
      <c r="AXC507" s="310"/>
      <c r="AXD507" s="325"/>
      <c r="AXE507" s="325"/>
      <c r="AXF507" s="325"/>
      <c r="AXG507" s="325"/>
      <c r="AXH507" s="325"/>
      <c r="AXI507" s="325"/>
      <c r="AXJ507" s="325"/>
      <c r="AXK507" s="325"/>
      <c r="AXL507" s="325"/>
      <c r="AXM507" s="325"/>
      <c r="AXN507" s="325"/>
      <c r="AXO507" s="325"/>
      <c r="AXP507" s="325"/>
      <c r="AXQ507" s="325"/>
      <c r="AXR507" s="325"/>
      <c r="AXS507" s="325"/>
      <c r="AXT507" s="325"/>
      <c r="AXU507" s="325"/>
      <c r="AXV507" s="325"/>
      <c r="AXW507" s="325"/>
      <c r="AXX507" s="325"/>
      <c r="AXY507" s="325"/>
      <c r="AXZ507" s="325"/>
      <c r="AYA507" s="325"/>
      <c r="AYB507" s="325"/>
      <c r="AYC507" s="325"/>
      <c r="AYD507" s="325"/>
      <c r="AYE507" s="325"/>
      <c r="AYF507" s="325"/>
      <c r="AYG507" s="325"/>
      <c r="AYH507" s="327"/>
      <c r="AYI507" s="28"/>
      <c r="AYJ507" s="324"/>
      <c r="AYK507" s="324"/>
      <c r="AYL507" s="324"/>
      <c r="AYM507" s="324"/>
      <c r="AYN507" s="324"/>
      <c r="AYO507" s="324"/>
      <c r="AYP507" s="256"/>
      <c r="AYQ507" s="325"/>
      <c r="AYR507" s="311"/>
      <c r="AYS507" s="325"/>
      <c r="AYT507" s="310"/>
      <c r="AYU507" s="325"/>
      <c r="AYV507" s="325"/>
      <c r="AYW507" s="325"/>
      <c r="AYX507" s="325"/>
      <c r="AYY507" s="325"/>
      <c r="AYZ507" s="325"/>
      <c r="AZA507" s="325"/>
      <c r="AZB507" s="325"/>
      <c r="AZC507" s="325"/>
      <c r="AZD507" s="325"/>
      <c r="AZE507" s="325"/>
      <c r="AZF507" s="325"/>
      <c r="AZG507" s="325"/>
      <c r="AZH507" s="325"/>
      <c r="AZI507" s="325"/>
      <c r="AZJ507" s="325"/>
      <c r="AZK507" s="325"/>
      <c r="AZL507" s="325"/>
      <c r="AZM507" s="325"/>
      <c r="AZN507" s="325"/>
      <c r="AZO507" s="325"/>
      <c r="AZP507" s="325"/>
      <c r="AZQ507" s="325"/>
      <c r="AZR507" s="325"/>
      <c r="AZS507" s="325"/>
      <c r="AZT507" s="325"/>
      <c r="AZU507" s="325"/>
      <c r="AZV507" s="325"/>
      <c r="AZW507" s="325"/>
      <c r="AZX507" s="325"/>
      <c r="AZY507" s="327"/>
      <c r="AZZ507" s="28"/>
      <c r="BAA507" s="324"/>
      <c r="BAB507" s="324"/>
      <c r="BAC507" s="324"/>
      <c r="BAD507" s="324"/>
      <c r="BAE507" s="324"/>
      <c r="BAF507" s="324"/>
      <c r="BAG507" s="256"/>
      <c r="BAH507" s="325"/>
      <c r="BAI507" s="311"/>
      <c r="BAJ507" s="325"/>
      <c r="BAK507" s="310"/>
      <c r="BAL507" s="325"/>
      <c r="BAM507" s="325"/>
      <c r="BAN507" s="325"/>
      <c r="BAO507" s="325"/>
      <c r="BAP507" s="325"/>
      <c r="BAQ507" s="325"/>
      <c r="BAR507" s="325"/>
      <c r="BAS507" s="325"/>
      <c r="BAT507" s="325"/>
      <c r="BAU507" s="325"/>
      <c r="BAV507" s="325"/>
      <c r="BAW507" s="325"/>
      <c r="BAX507" s="325"/>
      <c r="BAY507" s="325"/>
      <c r="BAZ507" s="325"/>
      <c r="BBA507" s="325"/>
      <c r="BBB507" s="325"/>
      <c r="BBC507" s="325"/>
      <c r="BBD507" s="325"/>
      <c r="BBE507" s="325"/>
      <c r="BBF507" s="325"/>
      <c r="BBG507" s="325"/>
      <c r="BBH507" s="325"/>
      <c r="BBI507" s="325"/>
      <c r="BBJ507" s="325"/>
      <c r="BBK507" s="325"/>
      <c r="BBL507" s="325"/>
      <c r="BBM507" s="325"/>
      <c r="BBN507" s="325"/>
      <c r="BBO507" s="325"/>
      <c r="BBP507" s="327"/>
      <c r="BBQ507" s="28"/>
      <c r="BBR507" s="324"/>
      <c r="BBS507" s="324"/>
      <c r="BBT507" s="324"/>
      <c r="BBU507" s="324"/>
      <c r="BBV507" s="324"/>
      <c r="BBW507" s="324"/>
      <c r="BBX507" s="256"/>
      <c r="BBY507" s="325"/>
      <c r="BBZ507" s="311"/>
      <c r="BCA507" s="325"/>
      <c r="BCB507" s="310"/>
      <c r="BCC507" s="325"/>
      <c r="BCD507" s="325"/>
      <c r="BCE507" s="325"/>
      <c r="BCF507" s="325"/>
      <c r="BCG507" s="325"/>
      <c r="BCH507" s="325"/>
      <c r="BCI507" s="325"/>
      <c r="BCJ507" s="325"/>
      <c r="BCK507" s="325"/>
      <c r="BCL507" s="325"/>
      <c r="BCM507" s="325"/>
      <c r="BCN507" s="325"/>
      <c r="BCO507" s="325"/>
      <c r="BCP507" s="325"/>
      <c r="BCQ507" s="325"/>
      <c r="BCR507" s="325"/>
      <c r="BCS507" s="325"/>
      <c r="BCT507" s="325"/>
      <c r="BCU507" s="325"/>
      <c r="BCV507" s="325"/>
      <c r="BCW507" s="325"/>
      <c r="BCX507" s="325"/>
      <c r="BCY507" s="325"/>
      <c r="BCZ507" s="325"/>
      <c r="BDA507" s="325"/>
      <c r="BDB507" s="325"/>
      <c r="BDC507" s="325"/>
      <c r="BDD507" s="325"/>
      <c r="BDE507" s="325"/>
      <c r="BDF507" s="325"/>
      <c r="BDG507" s="327"/>
      <c r="BDH507" s="28"/>
      <c r="BDI507" s="324"/>
      <c r="BDJ507" s="324"/>
      <c r="BDK507" s="324"/>
      <c r="BDL507" s="324"/>
      <c r="BDM507" s="324"/>
      <c r="BDN507" s="324"/>
      <c r="BDO507" s="256"/>
      <c r="BDP507" s="325"/>
      <c r="BDQ507" s="311"/>
      <c r="BDR507" s="325"/>
      <c r="BDS507" s="310"/>
      <c r="BDT507" s="325"/>
      <c r="BDU507" s="325"/>
      <c r="BDV507" s="325"/>
      <c r="BDW507" s="325"/>
      <c r="BDX507" s="325"/>
      <c r="BDY507" s="325"/>
      <c r="BDZ507" s="325"/>
      <c r="BEA507" s="325"/>
      <c r="BEB507" s="325"/>
      <c r="BEC507" s="325"/>
      <c r="BED507" s="325"/>
      <c r="BEE507" s="325"/>
      <c r="BEF507" s="325"/>
      <c r="BEG507" s="325"/>
      <c r="BEH507" s="325"/>
      <c r="BEI507" s="325"/>
      <c r="BEJ507" s="325"/>
      <c r="BEK507" s="325"/>
      <c r="BEL507" s="325"/>
      <c r="BEM507" s="325"/>
      <c r="BEN507" s="325"/>
      <c r="BEO507" s="325"/>
      <c r="BEP507" s="325"/>
      <c r="BEQ507" s="325"/>
      <c r="BER507" s="325"/>
      <c r="BES507" s="325"/>
      <c r="BET507" s="325"/>
      <c r="BEU507" s="325"/>
      <c r="BEV507" s="325"/>
      <c r="BEW507" s="325"/>
      <c r="BEX507" s="327"/>
      <c r="BEY507" s="28"/>
      <c r="BEZ507" s="324"/>
      <c r="BFA507" s="324"/>
      <c r="BFB507" s="324"/>
      <c r="BFC507" s="324"/>
      <c r="BFD507" s="324"/>
      <c r="BFE507" s="324"/>
      <c r="BFF507" s="256"/>
      <c r="BFG507" s="325"/>
      <c r="BFH507" s="311"/>
      <c r="BFI507" s="325"/>
      <c r="BFJ507" s="310"/>
      <c r="BFK507" s="325"/>
      <c r="BFL507" s="325"/>
      <c r="BFM507" s="325"/>
      <c r="BFN507" s="325"/>
      <c r="BFO507" s="325"/>
      <c r="BFP507" s="325"/>
      <c r="BFQ507" s="325"/>
      <c r="BFR507" s="325"/>
      <c r="BFS507" s="325"/>
      <c r="BFT507" s="325"/>
      <c r="BFU507" s="325"/>
      <c r="BFV507" s="325"/>
      <c r="BFW507" s="325"/>
      <c r="BFX507" s="325"/>
      <c r="BFY507" s="325"/>
      <c r="BFZ507" s="325"/>
      <c r="BGA507" s="325"/>
      <c r="BGB507" s="325"/>
      <c r="BGC507" s="325"/>
      <c r="BGD507" s="325"/>
      <c r="BGE507" s="325"/>
      <c r="BGF507" s="325"/>
      <c r="BGG507" s="325"/>
      <c r="BGH507" s="325"/>
      <c r="BGI507" s="325"/>
      <c r="BGJ507" s="325"/>
      <c r="BGK507" s="325"/>
      <c r="BGL507" s="325"/>
      <c r="BGM507" s="325"/>
      <c r="BGN507" s="325"/>
      <c r="BGO507" s="327"/>
      <c r="BGP507" s="28"/>
      <c r="BGQ507" s="324"/>
      <c r="BGR507" s="324"/>
      <c r="BGS507" s="324"/>
      <c r="BGT507" s="324"/>
      <c r="BGU507" s="324"/>
      <c r="BGV507" s="324"/>
      <c r="BGW507" s="256"/>
      <c r="BGX507" s="325"/>
      <c r="BGY507" s="311"/>
      <c r="BGZ507" s="325"/>
      <c r="BHA507" s="310"/>
      <c r="BHB507" s="325"/>
      <c r="BHC507" s="325"/>
      <c r="BHD507" s="325"/>
      <c r="BHE507" s="325"/>
      <c r="BHF507" s="325"/>
      <c r="BHG507" s="325"/>
      <c r="BHH507" s="325"/>
      <c r="BHI507" s="325"/>
      <c r="BHJ507" s="325"/>
      <c r="BHK507" s="325"/>
      <c r="BHL507" s="325"/>
      <c r="BHM507" s="325"/>
      <c r="BHN507" s="325"/>
      <c r="BHO507" s="325"/>
      <c r="BHP507" s="325"/>
      <c r="BHQ507" s="325"/>
      <c r="BHR507" s="325"/>
      <c r="BHS507" s="325"/>
      <c r="BHT507" s="325"/>
      <c r="BHU507" s="325"/>
      <c r="BHV507" s="325"/>
      <c r="BHW507" s="325"/>
      <c r="BHX507" s="325"/>
      <c r="BHY507" s="325"/>
      <c r="BHZ507" s="325"/>
      <c r="BIA507" s="325"/>
      <c r="BIB507" s="325"/>
      <c r="BIC507" s="325"/>
      <c r="BID507" s="325"/>
      <c r="BIE507" s="325"/>
      <c r="BIF507" s="327"/>
      <c r="BIG507" s="28"/>
      <c r="BIH507" s="324"/>
      <c r="BII507" s="324"/>
      <c r="BIJ507" s="324"/>
      <c r="BIK507" s="324"/>
      <c r="BIL507" s="324"/>
      <c r="BIM507" s="324"/>
      <c r="BIN507" s="256"/>
      <c r="BIO507" s="325"/>
      <c r="BIP507" s="311"/>
      <c r="BIQ507" s="325"/>
      <c r="BIR507" s="310"/>
      <c r="BIS507" s="325"/>
      <c r="BIT507" s="325"/>
      <c r="BIU507" s="325"/>
      <c r="BIV507" s="325"/>
      <c r="BIW507" s="325"/>
      <c r="BIX507" s="325"/>
      <c r="BIY507" s="325"/>
      <c r="BIZ507" s="325"/>
      <c r="BJA507" s="325"/>
      <c r="BJB507" s="325"/>
      <c r="BJC507" s="325"/>
      <c r="BJD507" s="325"/>
      <c r="BJE507" s="325"/>
      <c r="BJF507" s="325"/>
      <c r="BJG507" s="325"/>
      <c r="BJH507" s="325"/>
      <c r="BJI507" s="325"/>
      <c r="BJJ507" s="325"/>
      <c r="BJK507" s="325"/>
      <c r="BJL507" s="325"/>
      <c r="BJM507" s="325"/>
      <c r="BJN507" s="325"/>
      <c r="BJO507" s="325"/>
      <c r="BJP507" s="325"/>
      <c r="BJQ507" s="325"/>
      <c r="BJR507" s="325"/>
      <c r="BJS507" s="325"/>
      <c r="BJT507" s="325"/>
      <c r="BJU507" s="325"/>
      <c r="BJV507" s="325"/>
      <c r="BJW507" s="327"/>
      <c r="BJX507" s="28"/>
      <c r="BJY507" s="324"/>
      <c r="BJZ507" s="324"/>
      <c r="BKA507" s="324"/>
      <c r="BKB507" s="324"/>
      <c r="BKC507" s="324"/>
      <c r="BKD507" s="324"/>
      <c r="BKE507" s="256"/>
      <c r="BKF507" s="325"/>
      <c r="BKG507" s="311"/>
      <c r="BKH507" s="325"/>
      <c r="BKI507" s="310"/>
      <c r="BKJ507" s="325"/>
      <c r="BKK507" s="325"/>
      <c r="BKL507" s="325"/>
      <c r="BKM507" s="325"/>
      <c r="BKN507" s="325"/>
      <c r="BKO507" s="325"/>
      <c r="BKP507" s="325"/>
      <c r="BKQ507" s="325"/>
      <c r="BKR507" s="325"/>
      <c r="BKS507" s="325"/>
      <c r="BKT507" s="325"/>
      <c r="BKU507" s="325"/>
      <c r="BKV507" s="325"/>
      <c r="BKW507" s="325"/>
      <c r="BKX507" s="325"/>
      <c r="BKY507" s="325"/>
      <c r="BKZ507" s="325"/>
      <c r="BLA507" s="325"/>
      <c r="BLB507" s="325"/>
      <c r="BLC507" s="325"/>
      <c r="BLD507" s="325"/>
      <c r="BLE507" s="325"/>
      <c r="BLF507" s="325"/>
      <c r="BLG507" s="325"/>
      <c r="BLH507" s="325"/>
      <c r="BLI507" s="325"/>
      <c r="BLJ507" s="325"/>
      <c r="BLK507" s="325"/>
      <c r="BLL507" s="325"/>
      <c r="BLM507" s="325"/>
      <c r="BLN507" s="327"/>
      <c r="BLO507" s="28"/>
      <c r="BLP507" s="324"/>
      <c r="BLQ507" s="324"/>
      <c r="BLR507" s="324"/>
      <c r="BLS507" s="324"/>
      <c r="BLT507" s="324"/>
      <c r="BLU507" s="324"/>
      <c r="BLV507" s="256"/>
      <c r="BLW507" s="325"/>
      <c r="BLX507" s="311"/>
      <c r="BLY507" s="325"/>
      <c r="BLZ507" s="310"/>
      <c r="BMA507" s="325"/>
      <c r="BMB507" s="325"/>
      <c r="BMC507" s="325"/>
      <c r="BMD507" s="325"/>
      <c r="BME507" s="325"/>
      <c r="BMF507" s="325"/>
      <c r="BMG507" s="325"/>
      <c r="BMH507" s="325"/>
      <c r="BMI507" s="325"/>
      <c r="BMJ507" s="325"/>
      <c r="BMK507" s="325"/>
      <c r="BML507" s="325"/>
      <c r="BMM507" s="325"/>
      <c r="BMN507" s="325"/>
      <c r="BMO507" s="325"/>
      <c r="BMP507" s="325"/>
      <c r="BMQ507" s="325"/>
      <c r="BMR507" s="325"/>
      <c r="BMS507" s="325"/>
      <c r="BMT507" s="325"/>
      <c r="BMU507" s="325"/>
      <c r="BMV507" s="325"/>
      <c r="BMW507" s="325"/>
      <c r="BMX507" s="325"/>
      <c r="BMY507" s="325"/>
      <c r="BMZ507" s="325"/>
      <c r="BNA507" s="325"/>
      <c r="BNB507" s="325"/>
      <c r="BNC507" s="325"/>
      <c r="BND507" s="325"/>
      <c r="BNE507" s="327"/>
      <c r="BNF507" s="28"/>
      <c r="BNG507" s="324"/>
      <c r="BNH507" s="324"/>
      <c r="BNI507" s="324"/>
      <c r="BNJ507" s="324"/>
      <c r="BNK507" s="324"/>
      <c r="BNL507" s="324"/>
      <c r="BNM507" s="256"/>
      <c r="BNN507" s="325"/>
      <c r="BNO507" s="311"/>
      <c r="BNP507" s="325"/>
      <c r="BNQ507" s="310"/>
      <c r="BNR507" s="325"/>
      <c r="BNS507" s="325"/>
      <c r="BNT507" s="325"/>
      <c r="BNU507" s="325"/>
      <c r="BNV507" s="325"/>
      <c r="BNW507" s="325"/>
      <c r="BNX507" s="325"/>
      <c r="BNY507" s="325"/>
      <c r="BNZ507" s="325"/>
      <c r="BOA507" s="325"/>
      <c r="BOB507" s="325"/>
      <c r="BOC507" s="325"/>
      <c r="BOD507" s="325"/>
      <c r="BOE507" s="325"/>
      <c r="BOF507" s="325"/>
      <c r="BOG507" s="325"/>
      <c r="BOH507" s="325"/>
      <c r="BOI507" s="325"/>
      <c r="BOJ507" s="325"/>
      <c r="BOK507" s="325"/>
      <c r="BOL507" s="325"/>
      <c r="BOM507" s="325"/>
      <c r="BON507" s="325"/>
      <c r="BOO507" s="325"/>
      <c r="BOP507" s="325"/>
      <c r="BOQ507" s="325"/>
      <c r="BOR507" s="325"/>
      <c r="BOS507" s="325"/>
      <c r="BOT507" s="325"/>
      <c r="BOU507" s="325"/>
      <c r="BOV507" s="327"/>
      <c r="BOW507" s="28"/>
      <c r="BOX507" s="324"/>
      <c r="BOY507" s="324"/>
      <c r="BOZ507" s="324"/>
      <c r="BPA507" s="324"/>
      <c r="BPB507" s="324"/>
      <c r="BPC507" s="324"/>
      <c r="BPD507" s="256"/>
      <c r="BPE507" s="325"/>
      <c r="BPF507" s="311"/>
      <c r="BPG507" s="325"/>
      <c r="BPH507" s="310"/>
      <c r="BPI507" s="325"/>
      <c r="BPJ507" s="325"/>
      <c r="BPK507" s="325"/>
      <c r="BPL507" s="325"/>
      <c r="BPM507" s="325"/>
      <c r="BPN507" s="325"/>
      <c r="BPO507" s="325"/>
      <c r="BPP507" s="325"/>
      <c r="BPQ507" s="325"/>
      <c r="BPR507" s="325"/>
      <c r="BPS507" s="325"/>
      <c r="BPT507" s="325"/>
      <c r="BPU507" s="325"/>
      <c r="BPV507" s="325"/>
      <c r="BPW507" s="325"/>
      <c r="BPX507" s="325"/>
      <c r="BPY507" s="325"/>
      <c r="BPZ507" s="325"/>
      <c r="BQA507" s="325"/>
      <c r="BQB507" s="325"/>
      <c r="BQC507" s="325"/>
      <c r="BQD507" s="325"/>
      <c r="BQE507" s="325"/>
      <c r="BQF507" s="325"/>
      <c r="BQG507" s="325"/>
      <c r="BQH507" s="325"/>
      <c r="BQI507" s="325"/>
      <c r="BQJ507" s="325"/>
      <c r="BQK507" s="325"/>
      <c r="BQL507" s="325"/>
      <c r="BQM507" s="327"/>
      <c r="BQN507" s="28"/>
      <c r="BQO507" s="324"/>
      <c r="BQP507" s="324"/>
      <c r="BQQ507" s="324"/>
      <c r="BQR507" s="324"/>
      <c r="BQS507" s="324"/>
      <c r="BQT507" s="324"/>
      <c r="BQU507" s="256"/>
      <c r="BQV507" s="325"/>
      <c r="BQW507" s="311"/>
      <c r="BQX507" s="325"/>
      <c r="BQY507" s="310"/>
      <c r="BQZ507" s="325"/>
      <c r="BRA507" s="325"/>
      <c r="BRB507" s="325"/>
      <c r="BRC507" s="325"/>
      <c r="BRD507" s="325"/>
      <c r="BRE507" s="325"/>
      <c r="BRF507" s="325"/>
      <c r="BRG507" s="325"/>
      <c r="BRH507" s="325"/>
      <c r="BRI507" s="325"/>
      <c r="BRJ507" s="325"/>
      <c r="BRK507" s="325"/>
      <c r="BRL507" s="325"/>
      <c r="BRM507" s="325"/>
      <c r="BRN507" s="325"/>
      <c r="BRO507" s="325"/>
      <c r="BRP507" s="325"/>
      <c r="BRQ507" s="325"/>
      <c r="BRR507" s="325"/>
      <c r="BRS507" s="325"/>
      <c r="BRT507" s="325"/>
      <c r="BRU507" s="325"/>
      <c r="BRV507" s="325"/>
      <c r="BRW507" s="325"/>
      <c r="BRX507" s="325"/>
      <c r="BRY507" s="325"/>
      <c r="BRZ507" s="325"/>
      <c r="BSA507" s="325"/>
      <c r="BSB507" s="325"/>
      <c r="BSC507" s="325"/>
      <c r="BSD507" s="327"/>
      <c r="BSE507" s="28"/>
      <c r="BSF507" s="324"/>
      <c r="BSG507" s="324"/>
      <c r="BSH507" s="324"/>
      <c r="BSI507" s="324"/>
      <c r="BSJ507" s="324"/>
      <c r="BSK507" s="324"/>
      <c r="BSL507" s="256"/>
      <c r="BSM507" s="325"/>
      <c r="BSN507" s="311"/>
      <c r="BSO507" s="325"/>
      <c r="BSP507" s="310"/>
      <c r="BSQ507" s="325"/>
      <c r="BSR507" s="325"/>
      <c r="BSS507" s="325"/>
      <c r="BST507" s="325"/>
      <c r="BSU507" s="325"/>
      <c r="BSV507" s="325"/>
      <c r="BSW507" s="325"/>
      <c r="BSX507" s="325"/>
      <c r="BSY507" s="325"/>
      <c r="BSZ507" s="325"/>
      <c r="BTA507" s="325"/>
      <c r="BTB507" s="325"/>
      <c r="BTC507" s="325"/>
      <c r="BTD507" s="325"/>
      <c r="BTE507" s="325"/>
      <c r="BTF507" s="325"/>
      <c r="BTG507" s="325"/>
      <c r="BTH507" s="325"/>
      <c r="BTI507" s="325"/>
      <c r="BTJ507" s="325"/>
      <c r="BTK507" s="325"/>
      <c r="BTL507" s="325"/>
      <c r="BTM507" s="325"/>
      <c r="BTN507" s="325"/>
      <c r="BTO507" s="325"/>
      <c r="BTP507" s="325"/>
      <c r="BTQ507" s="325"/>
      <c r="BTR507" s="325"/>
      <c r="BTS507" s="325"/>
      <c r="BTT507" s="325"/>
      <c r="BTU507" s="327"/>
      <c r="BTV507" s="28"/>
      <c r="BTW507" s="324"/>
      <c r="BTX507" s="324"/>
      <c r="BTY507" s="324"/>
      <c r="BTZ507" s="324"/>
      <c r="BUA507" s="324"/>
      <c r="BUB507" s="324"/>
      <c r="BUC507" s="256"/>
      <c r="BUD507" s="325"/>
      <c r="BUE507" s="311"/>
      <c r="BUF507" s="325"/>
      <c r="BUG507" s="310"/>
      <c r="BUH507" s="325"/>
      <c r="BUI507" s="325"/>
      <c r="BUJ507" s="325"/>
      <c r="BUK507" s="325"/>
      <c r="BUL507" s="325"/>
      <c r="BUM507" s="325"/>
      <c r="BUN507" s="325"/>
      <c r="BUO507" s="325"/>
      <c r="BUP507" s="325"/>
      <c r="BUQ507" s="325"/>
      <c r="BUR507" s="325"/>
      <c r="BUS507" s="325"/>
      <c r="BUT507" s="325"/>
      <c r="BUU507" s="325"/>
      <c r="BUV507" s="325"/>
      <c r="BUW507" s="325"/>
      <c r="BUX507" s="325"/>
      <c r="BUY507" s="325"/>
      <c r="BUZ507" s="325"/>
      <c r="BVA507" s="325"/>
      <c r="BVB507" s="325"/>
      <c r="BVC507" s="325"/>
      <c r="BVD507" s="325"/>
      <c r="BVE507" s="325"/>
      <c r="BVF507" s="325"/>
      <c r="BVG507" s="325"/>
      <c r="BVH507" s="325"/>
      <c r="BVI507" s="325"/>
      <c r="BVJ507" s="325"/>
      <c r="BVK507" s="325"/>
      <c r="BVL507" s="327"/>
      <c r="BVM507" s="28"/>
      <c r="BVN507" s="324"/>
      <c r="BVO507" s="324"/>
      <c r="BVP507" s="324"/>
      <c r="BVQ507" s="324"/>
      <c r="BVR507" s="324"/>
      <c r="BVS507" s="324"/>
      <c r="BVT507" s="256"/>
      <c r="BVU507" s="325"/>
      <c r="BVV507" s="311"/>
      <c r="BVW507" s="325"/>
      <c r="BVX507" s="310"/>
      <c r="BVY507" s="325"/>
      <c r="BVZ507" s="325"/>
      <c r="BWA507" s="325"/>
      <c r="BWB507" s="325"/>
      <c r="BWC507" s="325"/>
      <c r="BWD507" s="325"/>
      <c r="BWE507" s="325"/>
      <c r="BWF507" s="325"/>
      <c r="BWG507" s="325"/>
      <c r="BWH507" s="325"/>
      <c r="BWI507" s="325"/>
      <c r="BWJ507" s="325"/>
      <c r="BWK507" s="325"/>
      <c r="BWL507" s="325"/>
      <c r="BWM507" s="325"/>
      <c r="BWN507" s="325"/>
      <c r="BWO507" s="325"/>
      <c r="BWP507" s="325"/>
      <c r="BWQ507" s="325"/>
      <c r="BWR507" s="325"/>
      <c r="BWS507" s="325"/>
      <c r="BWT507" s="325"/>
      <c r="BWU507" s="325"/>
      <c r="BWV507" s="325"/>
      <c r="BWW507" s="325"/>
      <c r="BWX507" s="325"/>
      <c r="BWY507" s="325"/>
      <c r="BWZ507" s="325"/>
      <c r="BXA507" s="325"/>
      <c r="BXB507" s="325"/>
      <c r="BXC507" s="327"/>
      <c r="BXD507" s="28"/>
      <c r="BXE507" s="324"/>
      <c r="BXF507" s="324"/>
      <c r="BXG507" s="324"/>
      <c r="BXH507" s="324"/>
      <c r="BXI507" s="324"/>
      <c r="BXJ507" s="324"/>
      <c r="BXK507" s="256"/>
      <c r="BXL507" s="325"/>
      <c r="BXM507" s="311"/>
      <c r="BXN507" s="325"/>
      <c r="BXO507" s="310"/>
      <c r="BXP507" s="325"/>
      <c r="BXQ507" s="325"/>
      <c r="BXR507" s="325"/>
      <c r="BXS507" s="325"/>
      <c r="BXT507" s="325"/>
      <c r="BXU507" s="325"/>
      <c r="BXV507" s="325"/>
      <c r="BXW507" s="325"/>
      <c r="BXX507" s="325"/>
      <c r="BXY507" s="325"/>
      <c r="BXZ507" s="325"/>
      <c r="BYA507" s="325"/>
      <c r="BYB507" s="325"/>
      <c r="BYC507" s="325"/>
      <c r="BYD507" s="325"/>
      <c r="BYE507" s="325"/>
      <c r="BYF507" s="325"/>
      <c r="BYG507" s="325"/>
      <c r="BYH507" s="325"/>
      <c r="BYI507" s="325"/>
      <c r="BYJ507" s="325"/>
      <c r="BYK507" s="325"/>
      <c r="BYL507" s="325"/>
      <c r="BYM507" s="325"/>
      <c r="BYN507" s="325"/>
      <c r="BYO507" s="325"/>
      <c r="BYP507" s="325"/>
      <c r="BYQ507" s="325"/>
      <c r="BYR507" s="325"/>
      <c r="BYS507" s="325"/>
      <c r="BYT507" s="327"/>
      <c r="BYU507" s="28"/>
      <c r="BYV507" s="324"/>
      <c r="BYW507" s="324"/>
      <c r="BYX507" s="324"/>
      <c r="BYY507" s="324"/>
      <c r="BYZ507" s="324"/>
      <c r="BZA507" s="324"/>
      <c r="BZB507" s="256"/>
      <c r="BZC507" s="325"/>
      <c r="BZD507" s="311"/>
      <c r="BZE507" s="325"/>
      <c r="BZF507" s="310"/>
      <c r="BZG507" s="325"/>
      <c r="BZH507" s="325"/>
      <c r="BZI507" s="325"/>
      <c r="BZJ507" s="325"/>
      <c r="BZK507" s="325"/>
      <c r="BZL507" s="325"/>
      <c r="BZM507" s="325"/>
      <c r="BZN507" s="325"/>
      <c r="BZO507" s="325"/>
      <c r="BZP507" s="325"/>
      <c r="BZQ507" s="325"/>
      <c r="BZR507" s="325"/>
      <c r="BZS507" s="325"/>
      <c r="BZT507" s="325"/>
      <c r="BZU507" s="325"/>
      <c r="BZV507" s="325"/>
      <c r="BZW507" s="325"/>
      <c r="BZX507" s="325"/>
      <c r="BZY507" s="325"/>
      <c r="BZZ507" s="325"/>
      <c r="CAA507" s="325"/>
      <c r="CAB507" s="325"/>
      <c r="CAC507" s="325"/>
      <c r="CAD507" s="325"/>
      <c r="CAE507" s="325"/>
      <c r="CAF507" s="325"/>
      <c r="CAG507" s="325"/>
      <c r="CAH507" s="325"/>
      <c r="CAI507" s="325"/>
      <c r="CAJ507" s="325"/>
      <c r="CAK507" s="327"/>
      <c r="CAL507" s="28"/>
      <c r="CAM507" s="324"/>
      <c r="CAN507" s="324"/>
      <c r="CAO507" s="324"/>
      <c r="CAP507" s="324"/>
      <c r="CAQ507" s="324"/>
      <c r="CAR507" s="324"/>
      <c r="CAS507" s="256"/>
      <c r="CAT507" s="325"/>
      <c r="CAU507" s="311"/>
      <c r="CAV507" s="325"/>
      <c r="CAW507" s="310"/>
      <c r="CAX507" s="325"/>
      <c r="CAY507" s="325"/>
      <c r="CAZ507" s="325"/>
      <c r="CBA507" s="325"/>
      <c r="CBB507" s="325"/>
      <c r="CBC507" s="325"/>
      <c r="CBD507" s="325"/>
      <c r="CBE507" s="325"/>
      <c r="CBF507" s="325"/>
      <c r="CBG507" s="325"/>
      <c r="CBH507" s="325"/>
      <c r="CBI507" s="325"/>
      <c r="CBJ507" s="325"/>
      <c r="CBK507" s="325"/>
      <c r="CBL507" s="325"/>
      <c r="CBM507" s="325"/>
      <c r="CBN507" s="325"/>
      <c r="CBO507" s="325"/>
      <c r="CBP507" s="325"/>
      <c r="CBQ507" s="325"/>
      <c r="CBR507" s="325"/>
      <c r="CBS507" s="325"/>
      <c r="CBT507" s="325"/>
      <c r="CBU507" s="325"/>
      <c r="CBV507" s="325"/>
      <c r="CBW507" s="325"/>
      <c r="CBX507" s="325"/>
      <c r="CBY507" s="325"/>
      <c r="CBZ507" s="325"/>
      <c r="CCA507" s="325"/>
      <c r="CCB507" s="327"/>
      <c r="CCC507" s="28"/>
      <c r="CCD507" s="324"/>
      <c r="CCE507" s="324"/>
      <c r="CCF507" s="324"/>
      <c r="CCG507" s="324"/>
      <c r="CCH507" s="324"/>
      <c r="CCI507" s="324"/>
      <c r="CCJ507" s="256"/>
      <c r="CCK507" s="325"/>
      <c r="CCL507" s="311"/>
      <c r="CCM507" s="325"/>
      <c r="CCN507" s="310"/>
      <c r="CCO507" s="325"/>
      <c r="CCP507" s="325"/>
      <c r="CCQ507" s="325"/>
      <c r="CCR507" s="325"/>
      <c r="CCS507" s="325"/>
      <c r="CCT507" s="325"/>
      <c r="CCU507" s="325"/>
      <c r="CCV507" s="325"/>
      <c r="CCW507" s="325"/>
      <c r="CCX507" s="325"/>
      <c r="CCY507" s="325"/>
      <c r="CCZ507" s="325"/>
      <c r="CDA507" s="325"/>
      <c r="CDB507" s="325"/>
      <c r="CDC507" s="325"/>
      <c r="CDD507" s="325"/>
      <c r="CDE507" s="325"/>
      <c r="CDF507" s="325"/>
      <c r="CDG507" s="325"/>
      <c r="CDH507" s="325"/>
      <c r="CDI507" s="325"/>
      <c r="CDJ507" s="325"/>
      <c r="CDK507" s="325"/>
      <c r="CDL507" s="325"/>
      <c r="CDM507" s="325"/>
      <c r="CDN507" s="325"/>
      <c r="CDO507" s="325"/>
      <c r="CDP507" s="325"/>
      <c r="CDQ507" s="325"/>
      <c r="CDR507" s="325"/>
      <c r="CDS507" s="327"/>
      <c r="CDT507" s="28"/>
      <c r="CDU507" s="324"/>
      <c r="CDV507" s="324"/>
      <c r="CDW507" s="324"/>
      <c r="CDX507" s="324"/>
      <c r="CDY507" s="324"/>
      <c r="CDZ507" s="324"/>
      <c r="CEA507" s="256"/>
      <c r="CEB507" s="325"/>
      <c r="CEC507" s="311"/>
      <c r="CED507" s="325"/>
      <c r="CEE507" s="310"/>
      <c r="CEF507" s="325"/>
      <c r="CEG507" s="325"/>
      <c r="CEH507" s="325"/>
      <c r="CEI507" s="325"/>
      <c r="CEJ507" s="325"/>
      <c r="CEK507" s="325"/>
      <c r="CEL507" s="325"/>
      <c r="CEM507" s="325"/>
      <c r="CEN507" s="325"/>
      <c r="CEO507" s="325"/>
      <c r="CEP507" s="325"/>
      <c r="CEQ507" s="325"/>
      <c r="CER507" s="325"/>
      <c r="CES507" s="325"/>
      <c r="CET507" s="325"/>
      <c r="CEU507" s="325"/>
      <c r="CEV507" s="325"/>
      <c r="CEW507" s="325"/>
      <c r="CEX507" s="325"/>
      <c r="CEY507" s="325"/>
      <c r="CEZ507" s="325"/>
      <c r="CFA507" s="325"/>
      <c r="CFB507" s="325"/>
      <c r="CFC507" s="325"/>
      <c r="CFD507" s="325"/>
      <c r="CFE507" s="325"/>
      <c r="CFF507" s="325"/>
      <c r="CFG507" s="325"/>
      <c r="CFH507" s="325"/>
      <c r="CFI507" s="325"/>
      <c r="CFJ507" s="327"/>
      <c r="CFK507" s="28"/>
      <c r="CFL507" s="324"/>
      <c r="CFM507" s="324"/>
      <c r="CFN507" s="324"/>
      <c r="CFO507" s="324"/>
      <c r="CFP507" s="324"/>
      <c r="CFQ507" s="324"/>
      <c r="CFR507" s="256"/>
      <c r="CFS507" s="325"/>
      <c r="CFT507" s="311"/>
      <c r="CFU507" s="325"/>
      <c r="CFV507" s="310"/>
      <c r="CFW507" s="325"/>
      <c r="CFX507" s="325"/>
      <c r="CFY507" s="325"/>
      <c r="CFZ507" s="325"/>
      <c r="CGA507" s="325"/>
      <c r="CGB507" s="325"/>
      <c r="CGC507" s="325"/>
      <c r="CGD507" s="325"/>
      <c r="CGE507" s="325"/>
      <c r="CGF507" s="325"/>
      <c r="CGG507" s="325"/>
      <c r="CGH507" s="325"/>
      <c r="CGI507" s="325"/>
      <c r="CGJ507" s="325"/>
      <c r="CGK507" s="325"/>
      <c r="CGL507" s="325"/>
      <c r="CGM507" s="325"/>
      <c r="CGN507" s="325"/>
      <c r="CGO507" s="325"/>
      <c r="CGP507" s="325"/>
      <c r="CGQ507" s="325"/>
      <c r="CGR507" s="325"/>
      <c r="CGS507" s="325"/>
      <c r="CGT507" s="325"/>
      <c r="CGU507" s="325"/>
      <c r="CGV507" s="325"/>
      <c r="CGW507" s="325"/>
      <c r="CGX507" s="325"/>
      <c r="CGY507" s="325"/>
      <c r="CGZ507" s="325"/>
      <c r="CHA507" s="327"/>
      <c r="CHB507" s="28"/>
      <c r="CHC507" s="324"/>
      <c r="CHD507" s="324"/>
      <c r="CHE507" s="324"/>
      <c r="CHF507" s="324"/>
      <c r="CHG507" s="324"/>
      <c r="CHH507" s="324"/>
      <c r="CHI507" s="256"/>
      <c r="CHJ507" s="325"/>
      <c r="CHK507" s="311"/>
      <c r="CHL507" s="325"/>
      <c r="CHM507" s="310"/>
      <c r="CHN507" s="325"/>
      <c r="CHO507" s="325"/>
      <c r="CHP507" s="325"/>
      <c r="CHQ507" s="325"/>
      <c r="CHR507" s="325"/>
      <c r="CHS507" s="325"/>
      <c r="CHT507" s="325"/>
      <c r="CHU507" s="325"/>
      <c r="CHV507" s="325"/>
      <c r="CHW507" s="325"/>
      <c r="CHX507" s="325"/>
      <c r="CHY507" s="325"/>
      <c r="CHZ507" s="325"/>
      <c r="CIA507" s="325"/>
      <c r="CIB507" s="325"/>
      <c r="CIC507" s="325"/>
      <c r="CID507" s="325"/>
      <c r="CIE507" s="325"/>
      <c r="CIF507" s="325"/>
      <c r="CIG507" s="325"/>
      <c r="CIH507" s="325"/>
      <c r="CII507" s="325"/>
      <c r="CIJ507" s="325"/>
      <c r="CIK507" s="325"/>
      <c r="CIL507" s="325"/>
      <c r="CIM507" s="325"/>
      <c r="CIN507" s="325"/>
      <c r="CIO507" s="325"/>
      <c r="CIP507" s="325"/>
      <c r="CIQ507" s="325"/>
      <c r="CIR507" s="327"/>
      <c r="CIS507" s="28"/>
      <c r="CIT507" s="324"/>
      <c r="CIU507" s="324"/>
      <c r="CIV507" s="324"/>
      <c r="CIW507" s="324"/>
      <c r="CIX507" s="324"/>
      <c r="CIY507" s="324"/>
      <c r="CIZ507" s="256"/>
      <c r="CJA507" s="325"/>
      <c r="CJB507" s="311"/>
      <c r="CJC507" s="325"/>
      <c r="CJD507" s="310"/>
      <c r="CJE507" s="325"/>
      <c r="CJF507" s="325"/>
      <c r="CJG507" s="325"/>
      <c r="CJH507" s="325"/>
      <c r="CJI507" s="325"/>
      <c r="CJJ507" s="325"/>
      <c r="CJK507" s="325"/>
      <c r="CJL507" s="325"/>
      <c r="CJM507" s="325"/>
      <c r="CJN507" s="325"/>
      <c r="CJO507" s="325"/>
      <c r="CJP507" s="325"/>
      <c r="CJQ507" s="325"/>
      <c r="CJR507" s="325"/>
      <c r="CJS507" s="325"/>
      <c r="CJT507" s="325"/>
      <c r="CJU507" s="325"/>
      <c r="CJV507" s="325"/>
      <c r="CJW507" s="325"/>
      <c r="CJX507" s="325"/>
      <c r="CJY507" s="325"/>
      <c r="CJZ507" s="325"/>
      <c r="CKA507" s="325"/>
      <c r="CKB507" s="325"/>
      <c r="CKC507" s="325"/>
      <c r="CKD507" s="325"/>
      <c r="CKE507" s="325"/>
      <c r="CKF507" s="325"/>
      <c r="CKG507" s="325"/>
      <c r="CKH507" s="325"/>
      <c r="CKI507" s="327"/>
      <c r="CKJ507" s="28"/>
      <c r="CKK507" s="324"/>
      <c r="CKL507" s="324"/>
      <c r="CKM507" s="324"/>
      <c r="CKN507" s="324"/>
      <c r="CKO507" s="324"/>
      <c r="CKP507" s="324"/>
      <c r="CKQ507" s="256"/>
      <c r="CKR507" s="325"/>
      <c r="CKS507" s="311"/>
      <c r="CKT507" s="325"/>
      <c r="CKU507" s="310"/>
      <c r="CKV507" s="325"/>
      <c r="CKW507" s="325"/>
      <c r="CKX507" s="325"/>
      <c r="CKY507" s="325"/>
      <c r="CKZ507" s="325"/>
      <c r="CLA507" s="325"/>
      <c r="CLB507" s="325"/>
      <c r="CLC507" s="325"/>
      <c r="CLD507" s="325"/>
      <c r="CLE507" s="325"/>
      <c r="CLF507" s="325"/>
      <c r="CLG507" s="325"/>
      <c r="CLH507" s="325"/>
      <c r="CLI507" s="325"/>
      <c r="CLJ507" s="325"/>
      <c r="CLK507" s="325"/>
      <c r="CLL507" s="325"/>
      <c r="CLM507" s="325"/>
      <c r="CLN507" s="325"/>
      <c r="CLO507" s="325"/>
      <c r="CLP507" s="325"/>
      <c r="CLQ507" s="325"/>
      <c r="CLR507" s="325"/>
      <c r="CLS507" s="325"/>
      <c r="CLT507" s="325"/>
      <c r="CLU507" s="325"/>
      <c r="CLV507" s="325"/>
      <c r="CLW507" s="325"/>
      <c r="CLX507" s="325"/>
      <c r="CLY507" s="325"/>
      <c r="CLZ507" s="327"/>
      <c r="CMA507" s="28"/>
      <c r="CMB507" s="324"/>
      <c r="CMC507" s="324"/>
      <c r="CMD507" s="324"/>
      <c r="CME507" s="324"/>
      <c r="CMF507" s="324"/>
      <c r="CMG507" s="324"/>
      <c r="CMH507" s="256"/>
      <c r="CMI507" s="325"/>
      <c r="CMJ507" s="311"/>
      <c r="CMK507" s="325"/>
      <c r="CML507" s="310"/>
      <c r="CMM507" s="325"/>
      <c r="CMN507" s="325"/>
      <c r="CMO507" s="325"/>
      <c r="CMP507" s="325"/>
      <c r="CMQ507" s="325"/>
      <c r="CMR507" s="325"/>
      <c r="CMS507" s="325"/>
      <c r="CMT507" s="325"/>
      <c r="CMU507" s="325"/>
      <c r="CMV507" s="325"/>
      <c r="CMW507" s="325"/>
      <c r="CMX507" s="325"/>
      <c r="CMY507" s="325"/>
      <c r="CMZ507" s="325"/>
      <c r="CNA507" s="325"/>
      <c r="CNB507" s="325"/>
      <c r="CNC507" s="325"/>
      <c r="CND507" s="325"/>
      <c r="CNE507" s="325"/>
      <c r="CNF507" s="325"/>
      <c r="CNG507" s="325"/>
      <c r="CNH507" s="325"/>
      <c r="CNI507" s="325"/>
      <c r="CNJ507" s="325"/>
      <c r="CNK507" s="325"/>
      <c r="CNL507" s="325"/>
      <c r="CNM507" s="325"/>
      <c r="CNN507" s="325"/>
      <c r="CNO507" s="325"/>
      <c r="CNP507" s="325"/>
      <c r="CNQ507" s="327"/>
      <c r="CNR507" s="28"/>
      <c r="CNS507" s="324"/>
      <c r="CNT507" s="324"/>
      <c r="CNU507" s="324"/>
      <c r="CNV507" s="324"/>
      <c r="CNW507" s="324"/>
      <c r="CNX507" s="324"/>
      <c r="CNY507" s="256"/>
      <c r="CNZ507" s="325"/>
      <c r="COA507" s="311"/>
      <c r="COB507" s="325"/>
      <c r="COC507" s="310"/>
      <c r="COD507" s="325"/>
      <c r="COE507" s="325"/>
      <c r="COF507" s="325"/>
      <c r="COG507" s="325"/>
      <c r="COH507" s="325"/>
      <c r="COI507" s="325"/>
      <c r="COJ507" s="325"/>
      <c r="COK507" s="325"/>
      <c r="COL507" s="325"/>
      <c r="COM507" s="325"/>
      <c r="CON507" s="325"/>
      <c r="COO507" s="325"/>
      <c r="COP507" s="325"/>
      <c r="COQ507" s="325"/>
      <c r="COR507" s="325"/>
      <c r="COS507" s="325"/>
      <c r="COT507" s="325"/>
      <c r="COU507" s="325"/>
      <c r="COV507" s="325"/>
      <c r="COW507" s="325"/>
      <c r="COX507" s="325"/>
      <c r="COY507" s="325"/>
      <c r="COZ507" s="325"/>
      <c r="CPA507" s="325"/>
      <c r="CPB507" s="325"/>
      <c r="CPC507" s="325"/>
      <c r="CPD507" s="325"/>
      <c r="CPE507" s="325"/>
      <c r="CPF507" s="325"/>
      <c r="CPG507" s="325"/>
      <c r="CPH507" s="327"/>
      <c r="CPI507" s="28"/>
      <c r="CPJ507" s="324"/>
      <c r="CPK507" s="324"/>
      <c r="CPL507" s="324"/>
      <c r="CPM507" s="324"/>
      <c r="CPN507" s="324"/>
      <c r="CPO507" s="324"/>
      <c r="CPP507" s="256"/>
      <c r="CPQ507" s="325"/>
      <c r="CPR507" s="311"/>
      <c r="CPS507" s="325"/>
      <c r="CPT507" s="310"/>
      <c r="CPU507" s="325"/>
      <c r="CPV507" s="325"/>
      <c r="CPW507" s="325"/>
      <c r="CPX507" s="325"/>
      <c r="CPY507" s="325"/>
      <c r="CPZ507" s="325"/>
      <c r="CQA507" s="325"/>
      <c r="CQB507" s="325"/>
      <c r="CQC507" s="325"/>
      <c r="CQD507" s="325"/>
      <c r="CQE507" s="325"/>
      <c r="CQF507" s="325"/>
      <c r="CQG507" s="325"/>
      <c r="CQH507" s="325"/>
      <c r="CQI507" s="325"/>
      <c r="CQJ507" s="325"/>
      <c r="CQK507" s="325"/>
      <c r="CQL507" s="325"/>
      <c r="CQM507" s="325"/>
      <c r="CQN507" s="325"/>
      <c r="CQO507" s="325"/>
      <c r="CQP507" s="325"/>
      <c r="CQQ507" s="325"/>
      <c r="CQR507" s="325"/>
      <c r="CQS507" s="325"/>
      <c r="CQT507" s="325"/>
      <c r="CQU507" s="325"/>
      <c r="CQV507" s="325"/>
      <c r="CQW507" s="325"/>
      <c r="CQX507" s="325"/>
      <c r="CQY507" s="327"/>
      <c r="CQZ507" s="28"/>
      <c r="CRA507" s="324"/>
      <c r="CRB507" s="324"/>
      <c r="CRC507" s="324"/>
      <c r="CRD507" s="324"/>
      <c r="CRE507" s="324"/>
      <c r="CRF507" s="324"/>
      <c r="CRG507" s="256"/>
      <c r="CRH507" s="325"/>
      <c r="CRI507" s="311"/>
      <c r="CRJ507" s="325"/>
      <c r="CRK507" s="310"/>
      <c r="CRL507" s="325"/>
      <c r="CRM507" s="325"/>
      <c r="CRN507" s="325"/>
      <c r="CRO507" s="325"/>
      <c r="CRP507" s="325"/>
      <c r="CRQ507" s="325"/>
      <c r="CRR507" s="325"/>
      <c r="CRS507" s="325"/>
      <c r="CRT507" s="325"/>
      <c r="CRU507" s="325"/>
      <c r="CRV507" s="325"/>
      <c r="CRW507" s="325"/>
      <c r="CRX507" s="325"/>
      <c r="CRY507" s="325"/>
      <c r="CRZ507" s="325"/>
      <c r="CSA507" s="325"/>
      <c r="CSB507" s="325"/>
      <c r="CSC507" s="325"/>
      <c r="CSD507" s="325"/>
      <c r="CSE507" s="325"/>
      <c r="CSF507" s="325"/>
      <c r="CSG507" s="325"/>
      <c r="CSH507" s="325"/>
      <c r="CSI507" s="325"/>
      <c r="CSJ507" s="325"/>
      <c r="CSK507" s="325"/>
      <c r="CSL507" s="325"/>
      <c r="CSM507" s="325"/>
      <c r="CSN507" s="325"/>
      <c r="CSO507" s="325"/>
      <c r="CSP507" s="327"/>
      <c r="CSQ507" s="28"/>
      <c r="CSR507" s="324"/>
      <c r="CSS507" s="324"/>
      <c r="CST507" s="324"/>
      <c r="CSU507" s="324"/>
      <c r="CSV507" s="324"/>
      <c r="CSW507" s="324"/>
      <c r="CSX507" s="256"/>
      <c r="CSY507" s="325"/>
      <c r="CSZ507" s="311"/>
      <c r="CTA507" s="325"/>
      <c r="CTB507" s="310"/>
      <c r="CTC507" s="325"/>
      <c r="CTD507" s="325"/>
      <c r="CTE507" s="325"/>
      <c r="CTF507" s="325"/>
      <c r="CTG507" s="325"/>
      <c r="CTH507" s="325"/>
      <c r="CTI507" s="325"/>
      <c r="CTJ507" s="325"/>
      <c r="CTK507" s="325"/>
      <c r="CTL507" s="325"/>
      <c r="CTM507" s="325"/>
      <c r="CTN507" s="325"/>
      <c r="CTO507" s="325"/>
      <c r="CTP507" s="325"/>
      <c r="CTQ507" s="325"/>
      <c r="CTR507" s="325"/>
      <c r="CTS507" s="325"/>
      <c r="CTT507" s="325"/>
      <c r="CTU507" s="325"/>
      <c r="CTV507" s="325"/>
      <c r="CTW507" s="325"/>
      <c r="CTX507" s="325"/>
      <c r="CTY507" s="325"/>
      <c r="CTZ507" s="325"/>
      <c r="CUA507" s="325"/>
      <c r="CUB507" s="325"/>
      <c r="CUC507" s="325"/>
      <c r="CUD507" s="325"/>
      <c r="CUE507" s="325"/>
      <c r="CUF507" s="325"/>
      <c r="CUG507" s="327"/>
      <c r="CUH507" s="28"/>
      <c r="CUI507" s="324"/>
      <c r="CUJ507" s="324"/>
      <c r="CUK507" s="324"/>
      <c r="CUL507" s="324"/>
      <c r="CUM507" s="324"/>
      <c r="CUN507" s="324"/>
      <c r="CUO507" s="256"/>
      <c r="CUP507" s="325"/>
      <c r="CUQ507" s="311"/>
      <c r="CUR507" s="325"/>
      <c r="CUS507" s="310"/>
      <c r="CUT507" s="325"/>
      <c r="CUU507" s="325"/>
      <c r="CUV507" s="325"/>
      <c r="CUW507" s="325"/>
      <c r="CUX507" s="325"/>
      <c r="CUY507" s="325"/>
      <c r="CUZ507" s="325"/>
      <c r="CVA507" s="325"/>
      <c r="CVB507" s="325"/>
      <c r="CVC507" s="325"/>
      <c r="CVD507" s="325"/>
      <c r="CVE507" s="325"/>
      <c r="CVF507" s="325"/>
      <c r="CVG507" s="325"/>
      <c r="CVH507" s="325"/>
      <c r="CVI507" s="325"/>
      <c r="CVJ507" s="325"/>
      <c r="CVK507" s="325"/>
      <c r="CVL507" s="325"/>
      <c r="CVM507" s="325"/>
      <c r="CVN507" s="325"/>
      <c r="CVO507" s="325"/>
      <c r="CVP507" s="325"/>
      <c r="CVQ507" s="325"/>
      <c r="CVR507" s="325"/>
      <c r="CVS507" s="325"/>
      <c r="CVT507" s="325"/>
      <c r="CVU507" s="325"/>
      <c r="CVV507" s="325"/>
      <c r="CVW507" s="325"/>
      <c r="CVX507" s="327"/>
      <c r="CVY507" s="28"/>
      <c r="CVZ507" s="324"/>
      <c r="CWA507" s="324"/>
      <c r="CWB507" s="324"/>
      <c r="CWC507" s="324"/>
      <c r="CWD507" s="324"/>
      <c r="CWE507" s="324"/>
      <c r="CWF507" s="256"/>
      <c r="CWG507" s="325"/>
      <c r="CWH507" s="311"/>
      <c r="CWI507" s="325"/>
      <c r="CWJ507" s="310"/>
      <c r="CWK507" s="325"/>
      <c r="CWL507" s="325"/>
      <c r="CWM507" s="325"/>
      <c r="CWN507" s="325"/>
      <c r="CWO507" s="325"/>
      <c r="CWP507" s="325"/>
      <c r="CWQ507" s="325"/>
      <c r="CWR507" s="325"/>
      <c r="CWS507" s="325"/>
      <c r="CWT507" s="325"/>
      <c r="CWU507" s="325"/>
      <c r="CWV507" s="325"/>
      <c r="CWW507" s="325"/>
      <c r="CWX507" s="325"/>
      <c r="CWY507" s="325"/>
      <c r="CWZ507" s="325"/>
      <c r="CXA507" s="325"/>
      <c r="CXB507" s="325"/>
      <c r="CXC507" s="325"/>
      <c r="CXD507" s="325"/>
      <c r="CXE507" s="325"/>
      <c r="CXF507" s="325"/>
      <c r="CXG507" s="325"/>
      <c r="CXH507" s="325"/>
      <c r="CXI507" s="325"/>
      <c r="CXJ507" s="325"/>
      <c r="CXK507" s="325"/>
      <c r="CXL507" s="325"/>
      <c r="CXM507" s="325"/>
      <c r="CXN507" s="325"/>
      <c r="CXO507" s="327"/>
      <c r="CXP507" s="28"/>
      <c r="CXQ507" s="324"/>
      <c r="CXR507" s="324"/>
      <c r="CXS507" s="324"/>
      <c r="CXT507" s="324"/>
      <c r="CXU507" s="324"/>
      <c r="CXV507" s="324"/>
      <c r="CXW507" s="256"/>
      <c r="CXX507" s="325"/>
      <c r="CXY507" s="311"/>
      <c r="CXZ507" s="325"/>
      <c r="CYA507" s="310"/>
      <c r="CYB507" s="325"/>
      <c r="CYC507" s="325"/>
      <c r="CYD507" s="325"/>
      <c r="CYE507" s="325"/>
      <c r="CYF507" s="325"/>
      <c r="CYG507" s="325"/>
      <c r="CYH507" s="325"/>
      <c r="CYI507" s="325"/>
      <c r="CYJ507" s="325"/>
      <c r="CYK507" s="325"/>
      <c r="CYL507" s="325"/>
      <c r="CYM507" s="325"/>
      <c r="CYN507" s="325"/>
      <c r="CYO507" s="325"/>
      <c r="CYP507" s="325"/>
      <c r="CYQ507" s="325"/>
      <c r="CYR507" s="325"/>
      <c r="CYS507" s="325"/>
      <c r="CYT507" s="325"/>
      <c r="CYU507" s="325"/>
      <c r="CYV507" s="325"/>
      <c r="CYW507" s="325"/>
      <c r="CYX507" s="325"/>
      <c r="CYY507" s="325"/>
      <c r="CYZ507" s="325"/>
      <c r="CZA507" s="325"/>
      <c r="CZB507" s="325"/>
      <c r="CZC507" s="325"/>
      <c r="CZD507" s="325"/>
      <c r="CZE507" s="325"/>
      <c r="CZF507" s="327"/>
      <c r="CZG507" s="28"/>
      <c r="CZH507" s="324"/>
      <c r="CZI507" s="324"/>
      <c r="CZJ507" s="324"/>
      <c r="CZK507" s="324"/>
      <c r="CZL507" s="324"/>
      <c r="CZM507" s="324"/>
      <c r="CZN507" s="256"/>
      <c r="CZO507" s="325"/>
      <c r="CZP507" s="311"/>
      <c r="CZQ507" s="325"/>
      <c r="CZR507" s="310"/>
      <c r="CZS507" s="325"/>
      <c r="CZT507" s="325"/>
      <c r="CZU507" s="325"/>
      <c r="CZV507" s="325"/>
      <c r="CZW507" s="325"/>
      <c r="CZX507" s="325"/>
      <c r="CZY507" s="325"/>
      <c r="CZZ507" s="325"/>
      <c r="DAA507" s="325"/>
      <c r="DAB507" s="325"/>
      <c r="DAC507" s="325"/>
      <c r="DAD507" s="325"/>
      <c r="DAE507" s="325"/>
      <c r="DAF507" s="325"/>
      <c r="DAG507" s="325"/>
      <c r="DAH507" s="325"/>
      <c r="DAI507" s="325"/>
      <c r="DAJ507" s="325"/>
      <c r="DAK507" s="325"/>
      <c r="DAL507" s="325"/>
      <c r="DAM507" s="325"/>
      <c r="DAN507" s="325"/>
      <c r="DAO507" s="325"/>
      <c r="DAP507" s="325"/>
      <c r="DAQ507" s="325"/>
      <c r="DAR507" s="325"/>
      <c r="DAS507" s="325"/>
      <c r="DAT507" s="325"/>
      <c r="DAU507" s="325"/>
      <c r="DAV507" s="325"/>
      <c r="DAW507" s="327"/>
      <c r="DAX507" s="28"/>
      <c r="DAY507" s="324"/>
      <c r="DAZ507" s="324"/>
      <c r="DBA507" s="324"/>
      <c r="DBB507" s="324"/>
      <c r="DBC507" s="324"/>
      <c r="DBD507" s="324"/>
      <c r="DBE507" s="256"/>
      <c r="DBF507" s="325"/>
      <c r="DBG507" s="311"/>
      <c r="DBH507" s="325"/>
      <c r="DBI507" s="310"/>
      <c r="DBJ507" s="325"/>
      <c r="DBK507" s="325"/>
      <c r="DBL507" s="325"/>
      <c r="DBM507" s="325"/>
      <c r="DBN507" s="325"/>
      <c r="DBO507" s="325"/>
      <c r="DBP507" s="325"/>
      <c r="DBQ507" s="325"/>
      <c r="DBR507" s="325"/>
      <c r="DBS507" s="325"/>
      <c r="DBT507" s="325"/>
      <c r="DBU507" s="325"/>
      <c r="DBV507" s="325"/>
      <c r="DBW507" s="325"/>
      <c r="DBX507" s="325"/>
      <c r="DBY507" s="325"/>
      <c r="DBZ507" s="325"/>
      <c r="DCA507" s="325"/>
      <c r="DCB507" s="325"/>
      <c r="DCC507" s="325"/>
      <c r="DCD507" s="325"/>
      <c r="DCE507" s="325"/>
      <c r="DCF507" s="325"/>
      <c r="DCG507" s="325"/>
      <c r="DCH507" s="325"/>
      <c r="DCI507" s="325"/>
      <c r="DCJ507" s="325"/>
      <c r="DCK507" s="325"/>
      <c r="DCL507" s="325"/>
      <c r="DCM507" s="325"/>
      <c r="DCN507" s="327"/>
      <c r="DCO507" s="28"/>
      <c r="DCP507" s="324"/>
      <c r="DCQ507" s="324"/>
      <c r="DCR507" s="324"/>
      <c r="DCS507" s="324"/>
      <c r="DCT507" s="324"/>
      <c r="DCU507" s="324"/>
      <c r="DCV507" s="256"/>
      <c r="DCW507" s="325"/>
      <c r="DCX507" s="311"/>
      <c r="DCY507" s="325"/>
      <c r="DCZ507" s="310"/>
      <c r="DDA507" s="325"/>
      <c r="DDB507" s="325"/>
      <c r="DDC507" s="325"/>
      <c r="DDD507" s="325"/>
      <c r="DDE507" s="325"/>
      <c r="DDF507" s="325"/>
      <c r="DDG507" s="325"/>
      <c r="DDH507" s="325"/>
      <c r="DDI507" s="325"/>
      <c r="DDJ507" s="325"/>
      <c r="DDK507" s="325"/>
      <c r="DDL507" s="325"/>
      <c r="DDM507" s="325"/>
      <c r="DDN507" s="325"/>
      <c r="DDO507" s="325"/>
      <c r="DDP507" s="325"/>
      <c r="DDQ507" s="325"/>
      <c r="DDR507" s="325"/>
      <c r="DDS507" s="325"/>
      <c r="DDT507" s="325"/>
      <c r="DDU507" s="325"/>
      <c r="DDV507" s="325"/>
      <c r="DDW507" s="325"/>
      <c r="DDX507" s="325"/>
      <c r="DDY507" s="325"/>
      <c r="DDZ507" s="325"/>
      <c r="DEA507" s="325"/>
      <c r="DEB507" s="325"/>
      <c r="DEC507" s="325"/>
      <c r="DED507" s="325"/>
      <c r="DEE507" s="327"/>
      <c r="DEF507" s="28"/>
      <c r="DEG507" s="324"/>
      <c r="DEH507" s="324"/>
      <c r="DEI507" s="324"/>
      <c r="DEJ507" s="324"/>
      <c r="DEK507" s="324"/>
      <c r="DEL507" s="324"/>
      <c r="DEM507" s="256"/>
      <c r="DEN507" s="325"/>
      <c r="DEO507" s="311"/>
      <c r="DEP507" s="325"/>
      <c r="DEQ507" s="310"/>
      <c r="DER507" s="325"/>
      <c r="DES507" s="325"/>
      <c r="DET507" s="325"/>
      <c r="DEU507" s="325"/>
      <c r="DEV507" s="325"/>
      <c r="DEW507" s="325"/>
      <c r="DEX507" s="325"/>
      <c r="DEY507" s="325"/>
      <c r="DEZ507" s="325"/>
      <c r="DFA507" s="325"/>
      <c r="DFB507" s="325"/>
      <c r="DFC507" s="325"/>
      <c r="DFD507" s="325"/>
      <c r="DFE507" s="325"/>
      <c r="DFF507" s="325"/>
      <c r="DFG507" s="325"/>
      <c r="DFH507" s="325"/>
      <c r="DFI507" s="325"/>
      <c r="DFJ507" s="325"/>
      <c r="DFK507" s="325"/>
      <c r="DFL507" s="325"/>
      <c r="DFM507" s="325"/>
      <c r="DFN507" s="325"/>
      <c r="DFO507" s="325"/>
      <c r="DFP507" s="325"/>
      <c r="DFQ507" s="325"/>
      <c r="DFR507" s="325"/>
      <c r="DFS507" s="325"/>
      <c r="DFT507" s="325"/>
      <c r="DFU507" s="325"/>
      <c r="DFV507" s="327"/>
      <c r="DFW507" s="28"/>
      <c r="DFX507" s="324"/>
      <c r="DFY507" s="324"/>
      <c r="DFZ507" s="324"/>
      <c r="DGA507" s="324"/>
      <c r="DGB507" s="324"/>
      <c r="DGC507" s="324"/>
      <c r="DGD507" s="256"/>
      <c r="DGE507" s="325"/>
      <c r="DGF507" s="311"/>
      <c r="DGG507" s="325"/>
      <c r="DGH507" s="310"/>
      <c r="DGI507" s="325"/>
      <c r="DGJ507" s="325"/>
      <c r="DGK507" s="325"/>
      <c r="DGL507" s="325"/>
      <c r="DGM507" s="325"/>
      <c r="DGN507" s="325"/>
      <c r="DGO507" s="325"/>
      <c r="DGP507" s="325"/>
      <c r="DGQ507" s="325"/>
      <c r="DGR507" s="325"/>
      <c r="DGS507" s="325"/>
      <c r="DGT507" s="325"/>
      <c r="DGU507" s="325"/>
      <c r="DGV507" s="325"/>
      <c r="DGW507" s="325"/>
      <c r="DGX507" s="325"/>
      <c r="DGY507" s="325"/>
      <c r="DGZ507" s="325"/>
      <c r="DHA507" s="325"/>
      <c r="DHB507" s="325"/>
      <c r="DHC507" s="325"/>
      <c r="DHD507" s="325"/>
      <c r="DHE507" s="325"/>
      <c r="DHF507" s="325"/>
      <c r="DHG507" s="325"/>
      <c r="DHH507" s="325"/>
      <c r="DHI507" s="325"/>
      <c r="DHJ507" s="325"/>
      <c r="DHK507" s="325"/>
      <c r="DHL507" s="325"/>
      <c r="DHM507" s="327"/>
      <c r="DHN507" s="28"/>
      <c r="DHO507" s="324"/>
      <c r="DHP507" s="324"/>
      <c r="DHQ507" s="324"/>
      <c r="DHR507" s="324"/>
      <c r="DHS507" s="324"/>
      <c r="DHT507" s="324"/>
      <c r="DHU507" s="256"/>
      <c r="DHV507" s="325"/>
      <c r="DHW507" s="311"/>
      <c r="DHX507" s="325"/>
      <c r="DHY507" s="310"/>
      <c r="DHZ507" s="325"/>
      <c r="DIA507" s="325"/>
      <c r="DIB507" s="325"/>
      <c r="DIC507" s="325"/>
      <c r="DID507" s="325"/>
      <c r="DIE507" s="325"/>
      <c r="DIF507" s="325"/>
      <c r="DIG507" s="325"/>
      <c r="DIH507" s="325"/>
      <c r="DII507" s="325"/>
      <c r="DIJ507" s="325"/>
      <c r="DIK507" s="325"/>
      <c r="DIL507" s="325"/>
      <c r="DIM507" s="325"/>
      <c r="DIN507" s="325"/>
      <c r="DIO507" s="325"/>
      <c r="DIP507" s="325"/>
      <c r="DIQ507" s="325"/>
      <c r="DIR507" s="325"/>
      <c r="DIS507" s="325"/>
      <c r="DIT507" s="325"/>
      <c r="DIU507" s="325"/>
      <c r="DIV507" s="325"/>
      <c r="DIW507" s="325"/>
      <c r="DIX507" s="325"/>
      <c r="DIY507" s="325"/>
      <c r="DIZ507" s="325"/>
      <c r="DJA507" s="325"/>
      <c r="DJB507" s="325"/>
      <c r="DJC507" s="325"/>
      <c r="DJD507" s="327"/>
      <c r="DJE507" s="28"/>
      <c r="DJF507" s="324"/>
      <c r="DJG507" s="324"/>
      <c r="DJH507" s="324"/>
      <c r="DJI507" s="324"/>
      <c r="DJJ507" s="324"/>
      <c r="DJK507" s="324"/>
      <c r="DJL507" s="256"/>
      <c r="DJM507" s="325"/>
      <c r="DJN507" s="311"/>
      <c r="DJO507" s="325"/>
      <c r="DJP507" s="310"/>
      <c r="DJQ507" s="325"/>
      <c r="DJR507" s="325"/>
      <c r="DJS507" s="325"/>
      <c r="DJT507" s="325"/>
      <c r="DJU507" s="325"/>
      <c r="DJV507" s="325"/>
      <c r="DJW507" s="325"/>
      <c r="DJX507" s="325"/>
      <c r="DJY507" s="325"/>
      <c r="DJZ507" s="325"/>
      <c r="DKA507" s="325"/>
      <c r="DKB507" s="325"/>
      <c r="DKC507" s="325"/>
      <c r="DKD507" s="325"/>
      <c r="DKE507" s="325"/>
      <c r="DKF507" s="325"/>
      <c r="DKG507" s="325"/>
      <c r="DKH507" s="325"/>
      <c r="DKI507" s="325"/>
      <c r="DKJ507" s="325"/>
      <c r="DKK507" s="325"/>
      <c r="DKL507" s="325"/>
      <c r="DKM507" s="325"/>
      <c r="DKN507" s="325"/>
      <c r="DKO507" s="325"/>
      <c r="DKP507" s="325"/>
      <c r="DKQ507" s="325"/>
      <c r="DKR507" s="325"/>
      <c r="DKS507" s="325"/>
      <c r="DKT507" s="325"/>
      <c r="DKU507" s="327"/>
      <c r="DKV507" s="28"/>
      <c r="DKW507" s="324"/>
      <c r="DKX507" s="324"/>
      <c r="DKY507" s="324"/>
      <c r="DKZ507" s="324"/>
      <c r="DLA507" s="324"/>
      <c r="DLB507" s="324"/>
      <c r="DLC507" s="256"/>
      <c r="DLD507" s="325"/>
      <c r="DLE507" s="311"/>
      <c r="DLF507" s="325"/>
      <c r="DLG507" s="310"/>
      <c r="DLH507" s="325"/>
      <c r="DLI507" s="325"/>
      <c r="DLJ507" s="325"/>
      <c r="DLK507" s="325"/>
      <c r="DLL507" s="325"/>
      <c r="DLM507" s="325"/>
      <c r="DLN507" s="325"/>
      <c r="DLO507" s="325"/>
      <c r="DLP507" s="325"/>
      <c r="DLQ507" s="325"/>
      <c r="DLR507" s="325"/>
      <c r="DLS507" s="325"/>
      <c r="DLT507" s="325"/>
      <c r="DLU507" s="325"/>
      <c r="DLV507" s="325"/>
      <c r="DLW507" s="325"/>
      <c r="DLX507" s="325"/>
      <c r="DLY507" s="325"/>
      <c r="DLZ507" s="325"/>
      <c r="DMA507" s="325"/>
      <c r="DMB507" s="325"/>
      <c r="DMC507" s="325"/>
      <c r="DMD507" s="325"/>
      <c r="DME507" s="325"/>
      <c r="DMF507" s="325"/>
      <c r="DMG507" s="325"/>
      <c r="DMH507" s="325"/>
      <c r="DMI507" s="325"/>
      <c r="DMJ507" s="325"/>
      <c r="DMK507" s="325"/>
      <c r="DML507" s="327"/>
      <c r="DMM507" s="28"/>
      <c r="DMN507" s="324"/>
      <c r="DMO507" s="324"/>
      <c r="DMP507" s="324"/>
      <c r="DMQ507" s="324"/>
      <c r="DMR507" s="324"/>
      <c r="DMS507" s="324"/>
      <c r="DMT507" s="256"/>
      <c r="DMU507" s="325"/>
      <c r="DMV507" s="311"/>
      <c r="DMW507" s="325"/>
      <c r="DMX507" s="310"/>
      <c r="DMY507" s="325"/>
      <c r="DMZ507" s="325"/>
      <c r="DNA507" s="325"/>
      <c r="DNB507" s="325"/>
      <c r="DNC507" s="325"/>
      <c r="DND507" s="325"/>
      <c r="DNE507" s="325"/>
      <c r="DNF507" s="325"/>
      <c r="DNG507" s="325"/>
      <c r="DNH507" s="325"/>
      <c r="DNI507" s="325"/>
      <c r="DNJ507" s="325"/>
      <c r="DNK507" s="325"/>
      <c r="DNL507" s="325"/>
      <c r="DNM507" s="325"/>
      <c r="DNN507" s="325"/>
      <c r="DNO507" s="325"/>
      <c r="DNP507" s="325"/>
      <c r="DNQ507" s="325"/>
      <c r="DNR507" s="325"/>
      <c r="DNS507" s="325"/>
      <c r="DNT507" s="325"/>
      <c r="DNU507" s="325"/>
      <c r="DNV507" s="325"/>
      <c r="DNW507" s="325"/>
      <c r="DNX507" s="325"/>
      <c r="DNY507" s="325"/>
      <c r="DNZ507" s="325"/>
      <c r="DOA507" s="325"/>
      <c r="DOB507" s="325"/>
      <c r="DOC507" s="327"/>
      <c r="DOD507" s="28"/>
      <c r="DOE507" s="324"/>
      <c r="DOF507" s="324"/>
      <c r="DOG507" s="324"/>
      <c r="DOH507" s="324"/>
      <c r="DOI507" s="324"/>
      <c r="DOJ507" s="324"/>
      <c r="DOK507" s="256"/>
      <c r="DOL507" s="325"/>
      <c r="DOM507" s="311"/>
      <c r="DON507" s="325"/>
      <c r="DOO507" s="310"/>
      <c r="DOP507" s="325"/>
      <c r="DOQ507" s="325"/>
      <c r="DOR507" s="325"/>
      <c r="DOS507" s="325"/>
      <c r="DOT507" s="325"/>
      <c r="DOU507" s="325"/>
      <c r="DOV507" s="325"/>
      <c r="DOW507" s="325"/>
      <c r="DOX507" s="325"/>
      <c r="DOY507" s="325"/>
      <c r="DOZ507" s="325"/>
      <c r="DPA507" s="325"/>
      <c r="DPB507" s="325"/>
      <c r="DPC507" s="325"/>
      <c r="DPD507" s="325"/>
      <c r="DPE507" s="325"/>
      <c r="DPF507" s="325"/>
      <c r="DPG507" s="325"/>
      <c r="DPH507" s="325"/>
      <c r="DPI507" s="325"/>
      <c r="DPJ507" s="325"/>
      <c r="DPK507" s="325"/>
      <c r="DPL507" s="325"/>
      <c r="DPM507" s="325"/>
      <c r="DPN507" s="325"/>
      <c r="DPO507" s="325"/>
      <c r="DPP507" s="325"/>
      <c r="DPQ507" s="325"/>
      <c r="DPR507" s="325"/>
      <c r="DPS507" s="325"/>
      <c r="DPT507" s="327"/>
      <c r="DPU507" s="28"/>
      <c r="DPV507" s="324"/>
      <c r="DPW507" s="324"/>
      <c r="DPX507" s="324"/>
      <c r="DPY507" s="324"/>
      <c r="DPZ507" s="324"/>
      <c r="DQA507" s="324"/>
      <c r="DQB507" s="256"/>
      <c r="DQC507" s="325"/>
      <c r="DQD507" s="311"/>
      <c r="DQE507" s="325"/>
      <c r="DQF507" s="310"/>
      <c r="DQG507" s="325"/>
      <c r="DQH507" s="325"/>
      <c r="DQI507" s="325"/>
      <c r="DQJ507" s="325"/>
      <c r="DQK507" s="325"/>
      <c r="DQL507" s="325"/>
      <c r="DQM507" s="325"/>
      <c r="DQN507" s="325"/>
      <c r="DQO507" s="325"/>
      <c r="DQP507" s="325"/>
      <c r="DQQ507" s="325"/>
      <c r="DQR507" s="325"/>
      <c r="DQS507" s="325"/>
      <c r="DQT507" s="325"/>
      <c r="DQU507" s="325"/>
      <c r="DQV507" s="325"/>
      <c r="DQW507" s="325"/>
      <c r="DQX507" s="325"/>
      <c r="DQY507" s="325"/>
      <c r="DQZ507" s="325"/>
      <c r="DRA507" s="325"/>
      <c r="DRB507" s="325"/>
      <c r="DRC507" s="325"/>
      <c r="DRD507" s="325"/>
      <c r="DRE507" s="325"/>
      <c r="DRF507" s="325"/>
      <c r="DRG507" s="325"/>
      <c r="DRH507" s="325"/>
      <c r="DRI507" s="325"/>
      <c r="DRJ507" s="325"/>
      <c r="DRK507" s="327"/>
      <c r="DRL507" s="28"/>
      <c r="DRM507" s="324"/>
      <c r="DRN507" s="324"/>
      <c r="DRO507" s="324"/>
      <c r="DRP507" s="324"/>
      <c r="DRQ507" s="324"/>
      <c r="DRR507" s="324"/>
      <c r="DRS507" s="256"/>
      <c r="DRT507" s="325"/>
      <c r="DRU507" s="311"/>
      <c r="DRV507" s="325"/>
      <c r="DRW507" s="310"/>
      <c r="DRX507" s="325"/>
      <c r="DRY507" s="325"/>
      <c r="DRZ507" s="325"/>
      <c r="DSA507" s="325"/>
      <c r="DSB507" s="325"/>
      <c r="DSC507" s="325"/>
      <c r="DSD507" s="325"/>
      <c r="DSE507" s="325"/>
      <c r="DSF507" s="325"/>
      <c r="DSG507" s="325"/>
      <c r="DSH507" s="325"/>
      <c r="DSI507" s="325"/>
      <c r="DSJ507" s="325"/>
      <c r="DSK507" s="325"/>
      <c r="DSL507" s="325"/>
      <c r="DSM507" s="325"/>
      <c r="DSN507" s="325"/>
      <c r="DSO507" s="325"/>
      <c r="DSP507" s="325"/>
      <c r="DSQ507" s="325"/>
      <c r="DSR507" s="325"/>
      <c r="DSS507" s="325"/>
      <c r="DST507" s="325"/>
      <c r="DSU507" s="325"/>
      <c r="DSV507" s="325"/>
      <c r="DSW507" s="325"/>
      <c r="DSX507" s="325"/>
      <c r="DSY507" s="325"/>
      <c r="DSZ507" s="325"/>
      <c r="DTA507" s="325"/>
      <c r="DTB507" s="327"/>
      <c r="DTC507" s="28"/>
      <c r="DTD507" s="324"/>
      <c r="DTE507" s="324"/>
      <c r="DTF507" s="324"/>
      <c r="DTG507" s="324"/>
      <c r="DTH507" s="324"/>
      <c r="DTI507" s="324"/>
      <c r="DTJ507" s="256"/>
      <c r="DTK507" s="325"/>
      <c r="DTL507" s="311"/>
      <c r="DTM507" s="325"/>
      <c r="DTN507" s="310"/>
      <c r="DTO507" s="325"/>
      <c r="DTP507" s="325"/>
      <c r="DTQ507" s="325"/>
      <c r="DTR507" s="325"/>
      <c r="DTS507" s="325"/>
      <c r="DTT507" s="325"/>
      <c r="DTU507" s="325"/>
      <c r="DTV507" s="325"/>
      <c r="DTW507" s="325"/>
      <c r="DTX507" s="325"/>
      <c r="DTY507" s="325"/>
      <c r="DTZ507" s="325"/>
      <c r="DUA507" s="325"/>
      <c r="DUB507" s="325"/>
      <c r="DUC507" s="325"/>
      <c r="DUD507" s="325"/>
      <c r="DUE507" s="325"/>
      <c r="DUF507" s="325"/>
      <c r="DUG507" s="325"/>
      <c r="DUH507" s="325"/>
      <c r="DUI507" s="325"/>
      <c r="DUJ507" s="325"/>
      <c r="DUK507" s="325"/>
      <c r="DUL507" s="325"/>
      <c r="DUM507" s="325"/>
      <c r="DUN507" s="325"/>
      <c r="DUO507" s="325"/>
      <c r="DUP507" s="325"/>
      <c r="DUQ507" s="325"/>
      <c r="DUR507" s="325"/>
      <c r="DUS507" s="327"/>
      <c r="DUT507" s="28"/>
      <c r="DUU507" s="324"/>
      <c r="DUV507" s="324"/>
      <c r="DUW507" s="324"/>
      <c r="DUX507" s="324"/>
      <c r="DUY507" s="324"/>
      <c r="DUZ507" s="324"/>
      <c r="DVA507" s="256"/>
      <c r="DVB507" s="325"/>
      <c r="DVC507" s="311"/>
      <c r="DVD507" s="325"/>
      <c r="DVE507" s="310"/>
      <c r="DVF507" s="325"/>
      <c r="DVG507" s="325"/>
      <c r="DVH507" s="325"/>
      <c r="DVI507" s="325"/>
      <c r="DVJ507" s="325"/>
      <c r="DVK507" s="325"/>
      <c r="DVL507" s="325"/>
      <c r="DVM507" s="325"/>
      <c r="DVN507" s="325"/>
      <c r="DVO507" s="325"/>
      <c r="DVP507" s="325"/>
      <c r="DVQ507" s="325"/>
      <c r="DVR507" s="325"/>
      <c r="DVS507" s="325"/>
      <c r="DVT507" s="325"/>
      <c r="DVU507" s="325"/>
      <c r="DVV507" s="325"/>
      <c r="DVW507" s="325"/>
      <c r="DVX507" s="325"/>
      <c r="DVY507" s="325"/>
      <c r="DVZ507" s="325"/>
      <c r="DWA507" s="325"/>
      <c r="DWB507" s="325"/>
      <c r="DWC507" s="325"/>
      <c r="DWD507" s="325"/>
      <c r="DWE507" s="325"/>
      <c r="DWF507" s="325"/>
      <c r="DWG507" s="325"/>
      <c r="DWH507" s="325"/>
      <c r="DWI507" s="325"/>
      <c r="DWJ507" s="327"/>
      <c r="DWK507" s="28"/>
      <c r="DWL507" s="324"/>
      <c r="DWM507" s="324"/>
      <c r="DWN507" s="324"/>
      <c r="DWO507" s="324"/>
      <c r="DWP507" s="324"/>
      <c r="DWQ507" s="324"/>
      <c r="DWR507" s="256"/>
      <c r="DWS507" s="325"/>
      <c r="DWT507" s="311"/>
      <c r="DWU507" s="325"/>
      <c r="DWV507" s="310"/>
      <c r="DWW507" s="325"/>
      <c r="DWX507" s="325"/>
      <c r="DWY507" s="325"/>
      <c r="DWZ507" s="325"/>
      <c r="DXA507" s="325"/>
      <c r="DXB507" s="325"/>
      <c r="DXC507" s="325"/>
      <c r="DXD507" s="325"/>
      <c r="DXE507" s="325"/>
      <c r="DXF507" s="325"/>
      <c r="DXG507" s="325"/>
      <c r="DXH507" s="325"/>
      <c r="DXI507" s="325"/>
      <c r="DXJ507" s="325"/>
      <c r="DXK507" s="325"/>
      <c r="DXL507" s="325"/>
      <c r="DXM507" s="325"/>
      <c r="DXN507" s="325"/>
      <c r="DXO507" s="325"/>
      <c r="DXP507" s="325"/>
      <c r="DXQ507" s="325"/>
      <c r="DXR507" s="325"/>
      <c r="DXS507" s="325"/>
      <c r="DXT507" s="325"/>
      <c r="DXU507" s="325"/>
      <c r="DXV507" s="325"/>
      <c r="DXW507" s="325"/>
      <c r="DXX507" s="325"/>
      <c r="DXY507" s="325"/>
      <c r="DXZ507" s="325"/>
      <c r="DYA507" s="327"/>
      <c r="DYB507" s="28"/>
      <c r="DYC507" s="324"/>
      <c r="DYD507" s="324"/>
      <c r="DYE507" s="324"/>
      <c r="DYF507" s="324"/>
      <c r="DYG507" s="324"/>
      <c r="DYH507" s="324"/>
      <c r="DYI507" s="256"/>
      <c r="DYJ507" s="325"/>
      <c r="DYK507" s="311"/>
      <c r="DYL507" s="325"/>
      <c r="DYM507" s="310"/>
      <c r="DYN507" s="325"/>
      <c r="DYO507" s="325"/>
      <c r="DYP507" s="325"/>
      <c r="DYQ507" s="325"/>
      <c r="DYR507" s="325"/>
      <c r="DYS507" s="325"/>
      <c r="DYT507" s="325"/>
      <c r="DYU507" s="325"/>
      <c r="DYV507" s="325"/>
      <c r="DYW507" s="325"/>
      <c r="DYX507" s="325"/>
      <c r="DYY507" s="325"/>
      <c r="DYZ507" s="325"/>
      <c r="DZA507" s="325"/>
      <c r="DZB507" s="325"/>
      <c r="DZC507" s="325"/>
      <c r="DZD507" s="325"/>
      <c r="DZE507" s="325"/>
      <c r="DZF507" s="325"/>
      <c r="DZG507" s="325"/>
      <c r="DZH507" s="325"/>
      <c r="DZI507" s="325"/>
      <c r="DZJ507" s="325"/>
      <c r="DZK507" s="325"/>
      <c r="DZL507" s="325"/>
      <c r="DZM507" s="325"/>
      <c r="DZN507" s="325"/>
      <c r="DZO507" s="325"/>
      <c r="DZP507" s="325"/>
      <c r="DZQ507" s="325"/>
      <c r="DZR507" s="327"/>
      <c r="DZS507" s="28"/>
      <c r="DZT507" s="324"/>
      <c r="DZU507" s="324"/>
      <c r="DZV507" s="324"/>
      <c r="DZW507" s="324"/>
      <c r="DZX507" s="324"/>
      <c r="DZY507" s="324"/>
      <c r="DZZ507" s="256"/>
      <c r="EAA507" s="325"/>
      <c r="EAB507" s="311"/>
      <c r="EAC507" s="325"/>
      <c r="EAD507" s="310"/>
      <c r="EAE507" s="325"/>
      <c r="EAF507" s="325"/>
      <c r="EAG507" s="325"/>
      <c r="EAH507" s="325"/>
      <c r="EAI507" s="325"/>
      <c r="EAJ507" s="325"/>
      <c r="EAK507" s="325"/>
      <c r="EAL507" s="325"/>
      <c r="EAM507" s="325"/>
      <c r="EAN507" s="325"/>
      <c r="EAO507" s="325"/>
      <c r="EAP507" s="325"/>
      <c r="EAQ507" s="325"/>
      <c r="EAR507" s="325"/>
      <c r="EAS507" s="325"/>
      <c r="EAT507" s="325"/>
      <c r="EAU507" s="325"/>
      <c r="EAV507" s="325"/>
      <c r="EAW507" s="325"/>
      <c r="EAX507" s="325"/>
      <c r="EAY507" s="325"/>
      <c r="EAZ507" s="325"/>
      <c r="EBA507" s="325"/>
      <c r="EBB507" s="325"/>
      <c r="EBC507" s="325"/>
      <c r="EBD507" s="325"/>
      <c r="EBE507" s="325"/>
      <c r="EBF507" s="325"/>
      <c r="EBG507" s="325"/>
      <c r="EBH507" s="325"/>
      <c r="EBI507" s="327"/>
      <c r="EBJ507" s="28"/>
      <c r="EBK507" s="324"/>
      <c r="EBL507" s="324"/>
      <c r="EBM507" s="324"/>
      <c r="EBN507" s="324"/>
      <c r="EBO507" s="324"/>
      <c r="EBP507" s="324"/>
      <c r="EBQ507" s="256"/>
      <c r="EBR507" s="325"/>
      <c r="EBS507" s="311"/>
      <c r="EBT507" s="325"/>
      <c r="EBU507" s="310"/>
      <c r="EBV507" s="325"/>
      <c r="EBW507" s="325"/>
      <c r="EBX507" s="325"/>
      <c r="EBY507" s="325"/>
      <c r="EBZ507" s="325"/>
      <c r="ECA507" s="325"/>
      <c r="ECB507" s="325"/>
      <c r="ECC507" s="325"/>
      <c r="ECD507" s="325"/>
      <c r="ECE507" s="325"/>
      <c r="ECF507" s="325"/>
      <c r="ECG507" s="325"/>
      <c r="ECH507" s="325"/>
      <c r="ECI507" s="325"/>
      <c r="ECJ507" s="325"/>
      <c r="ECK507" s="325"/>
      <c r="ECL507" s="325"/>
      <c r="ECM507" s="325"/>
      <c r="ECN507" s="325"/>
      <c r="ECO507" s="325"/>
      <c r="ECP507" s="325"/>
      <c r="ECQ507" s="325"/>
      <c r="ECR507" s="325"/>
      <c r="ECS507" s="325"/>
      <c r="ECT507" s="325"/>
      <c r="ECU507" s="325"/>
      <c r="ECV507" s="325"/>
      <c r="ECW507" s="325"/>
      <c r="ECX507" s="325"/>
      <c r="ECY507" s="325"/>
      <c r="ECZ507" s="327"/>
      <c r="EDA507" s="28"/>
      <c r="EDB507" s="324"/>
      <c r="EDC507" s="324"/>
      <c r="EDD507" s="324"/>
      <c r="EDE507" s="324"/>
      <c r="EDF507" s="324"/>
      <c r="EDG507" s="324"/>
      <c r="EDH507" s="256"/>
      <c r="EDI507" s="325"/>
      <c r="EDJ507" s="311"/>
      <c r="EDK507" s="325"/>
      <c r="EDL507" s="310"/>
      <c r="EDM507" s="325"/>
      <c r="EDN507" s="325"/>
      <c r="EDO507" s="325"/>
      <c r="EDP507" s="325"/>
      <c r="EDQ507" s="325"/>
      <c r="EDR507" s="325"/>
      <c r="EDS507" s="325"/>
      <c r="EDT507" s="325"/>
      <c r="EDU507" s="325"/>
      <c r="EDV507" s="325"/>
      <c r="EDW507" s="325"/>
      <c r="EDX507" s="325"/>
      <c r="EDY507" s="325"/>
      <c r="EDZ507" s="325"/>
      <c r="EEA507" s="325"/>
      <c r="EEB507" s="325"/>
      <c r="EEC507" s="325"/>
      <c r="EED507" s="325"/>
      <c r="EEE507" s="325"/>
      <c r="EEF507" s="325"/>
      <c r="EEG507" s="325"/>
      <c r="EEH507" s="325"/>
      <c r="EEI507" s="325"/>
      <c r="EEJ507" s="325"/>
      <c r="EEK507" s="325"/>
      <c r="EEL507" s="325"/>
      <c r="EEM507" s="325"/>
      <c r="EEN507" s="325"/>
      <c r="EEO507" s="325"/>
      <c r="EEP507" s="325"/>
      <c r="EEQ507" s="327"/>
      <c r="EER507" s="28"/>
      <c r="EES507" s="324"/>
      <c r="EET507" s="324"/>
      <c r="EEU507" s="324"/>
      <c r="EEV507" s="324"/>
      <c r="EEW507" s="324"/>
      <c r="EEX507" s="324"/>
      <c r="EEY507" s="256"/>
      <c r="EEZ507" s="325"/>
      <c r="EFA507" s="311"/>
      <c r="EFB507" s="325"/>
      <c r="EFC507" s="310"/>
      <c r="EFD507" s="325"/>
      <c r="EFE507" s="325"/>
      <c r="EFF507" s="325"/>
      <c r="EFG507" s="325"/>
      <c r="EFH507" s="325"/>
      <c r="EFI507" s="325"/>
      <c r="EFJ507" s="325"/>
      <c r="EFK507" s="325"/>
      <c r="EFL507" s="325"/>
      <c r="EFM507" s="325"/>
      <c r="EFN507" s="325"/>
      <c r="EFO507" s="325"/>
      <c r="EFP507" s="325"/>
      <c r="EFQ507" s="325"/>
      <c r="EFR507" s="325"/>
      <c r="EFS507" s="325"/>
      <c r="EFT507" s="325"/>
      <c r="EFU507" s="325"/>
      <c r="EFV507" s="325"/>
      <c r="EFW507" s="325"/>
      <c r="EFX507" s="325"/>
      <c r="EFY507" s="325"/>
      <c r="EFZ507" s="325"/>
      <c r="EGA507" s="325"/>
      <c r="EGB507" s="325"/>
      <c r="EGC507" s="325"/>
      <c r="EGD507" s="325"/>
      <c r="EGE507" s="325"/>
      <c r="EGF507" s="325"/>
      <c r="EGG507" s="325"/>
      <c r="EGH507" s="327"/>
      <c r="EGI507" s="28"/>
      <c r="EGJ507" s="324"/>
      <c r="EGK507" s="324"/>
      <c r="EGL507" s="324"/>
      <c r="EGM507" s="324"/>
      <c r="EGN507" s="324"/>
      <c r="EGO507" s="324"/>
      <c r="EGP507" s="256"/>
      <c r="EGQ507" s="325"/>
      <c r="EGR507" s="311"/>
      <c r="EGS507" s="325"/>
      <c r="EGT507" s="310"/>
      <c r="EGU507" s="325"/>
      <c r="EGV507" s="325"/>
      <c r="EGW507" s="325"/>
      <c r="EGX507" s="325"/>
      <c r="EGY507" s="325"/>
      <c r="EGZ507" s="325"/>
      <c r="EHA507" s="325"/>
      <c r="EHB507" s="325"/>
      <c r="EHC507" s="325"/>
      <c r="EHD507" s="325"/>
      <c r="EHE507" s="325"/>
      <c r="EHF507" s="325"/>
      <c r="EHG507" s="325"/>
      <c r="EHH507" s="325"/>
      <c r="EHI507" s="325"/>
      <c r="EHJ507" s="325"/>
      <c r="EHK507" s="325"/>
      <c r="EHL507" s="325"/>
      <c r="EHM507" s="325"/>
      <c r="EHN507" s="325"/>
      <c r="EHO507" s="325"/>
      <c r="EHP507" s="325"/>
      <c r="EHQ507" s="325"/>
      <c r="EHR507" s="325"/>
      <c r="EHS507" s="325"/>
      <c r="EHT507" s="325"/>
      <c r="EHU507" s="325"/>
      <c r="EHV507" s="325"/>
      <c r="EHW507" s="325"/>
      <c r="EHX507" s="325"/>
      <c r="EHY507" s="327"/>
      <c r="EHZ507" s="28"/>
      <c r="EIA507" s="324"/>
      <c r="EIB507" s="324"/>
      <c r="EIC507" s="324"/>
      <c r="EID507" s="324"/>
      <c r="EIE507" s="324"/>
      <c r="EIF507" s="324"/>
      <c r="EIG507" s="256"/>
      <c r="EIH507" s="325"/>
      <c r="EII507" s="311"/>
      <c r="EIJ507" s="325"/>
      <c r="EIK507" s="310"/>
      <c r="EIL507" s="325"/>
      <c r="EIM507" s="325"/>
      <c r="EIN507" s="325"/>
      <c r="EIO507" s="325"/>
      <c r="EIP507" s="325"/>
      <c r="EIQ507" s="325"/>
      <c r="EIR507" s="325"/>
      <c r="EIS507" s="325"/>
      <c r="EIT507" s="325"/>
      <c r="EIU507" s="325"/>
      <c r="EIV507" s="325"/>
      <c r="EIW507" s="325"/>
      <c r="EIX507" s="325"/>
      <c r="EIY507" s="325"/>
      <c r="EIZ507" s="325"/>
      <c r="EJA507" s="325"/>
      <c r="EJB507" s="325"/>
      <c r="EJC507" s="325"/>
      <c r="EJD507" s="325"/>
      <c r="EJE507" s="325"/>
      <c r="EJF507" s="325"/>
      <c r="EJG507" s="325"/>
      <c r="EJH507" s="325"/>
      <c r="EJI507" s="325"/>
      <c r="EJJ507" s="325"/>
      <c r="EJK507" s="325"/>
      <c r="EJL507" s="325"/>
      <c r="EJM507" s="325"/>
      <c r="EJN507" s="325"/>
      <c r="EJO507" s="325"/>
      <c r="EJP507" s="327"/>
      <c r="EJQ507" s="28"/>
      <c r="EJR507" s="324"/>
      <c r="EJS507" s="324"/>
      <c r="EJT507" s="324"/>
      <c r="EJU507" s="324"/>
      <c r="EJV507" s="324"/>
      <c r="EJW507" s="324"/>
      <c r="EJX507" s="256"/>
      <c r="EJY507" s="325"/>
      <c r="EJZ507" s="311"/>
      <c r="EKA507" s="325"/>
      <c r="EKB507" s="310"/>
      <c r="EKC507" s="325"/>
      <c r="EKD507" s="325"/>
      <c r="EKE507" s="325"/>
      <c r="EKF507" s="325"/>
      <c r="EKG507" s="325"/>
      <c r="EKH507" s="325"/>
      <c r="EKI507" s="325"/>
      <c r="EKJ507" s="325"/>
      <c r="EKK507" s="325"/>
      <c r="EKL507" s="325"/>
      <c r="EKM507" s="325"/>
      <c r="EKN507" s="325"/>
      <c r="EKO507" s="325"/>
      <c r="EKP507" s="325"/>
      <c r="EKQ507" s="325"/>
      <c r="EKR507" s="325"/>
      <c r="EKS507" s="325"/>
      <c r="EKT507" s="325"/>
      <c r="EKU507" s="325"/>
      <c r="EKV507" s="325"/>
      <c r="EKW507" s="325"/>
      <c r="EKX507" s="325"/>
      <c r="EKY507" s="325"/>
      <c r="EKZ507" s="325"/>
      <c r="ELA507" s="325"/>
      <c r="ELB507" s="325"/>
      <c r="ELC507" s="325"/>
      <c r="ELD507" s="325"/>
      <c r="ELE507" s="325"/>
      <c r="ELF507" s="325"/>
      <c r="ELG507" s="327"/>
      <c r="ELH507" s="28"/>
      <c r="ELI507" s="324"/>
      <c r="ELJ507" s="324"/>
      <c r="ELK507" s="324"/>
      <c r="ELL507" s="324"/>
      <c r="ELM507" s="324"/>
      <c r="ELN507" s="324"/>
      <c r="ELO507" s="256"/>
      <c r="ELP507" s="325"/>
      <c r="ELQ507" s="311"/>
      <c r="ELR507" s="325"/>
      <c r="ELS507" s="310"/>
      <c r="ELT507" s="325"/>
      <c r="ELU507" s="325"/>
      <c r="ELV507" s="325"/>
      <c r="ELW507" s="325"/>
      <c r="ELX507" s="325"/>
      <c r="ELY507" s="325"/>
      <c r="ELZ507" s="325"/>
      <c r="EMA507" s="325"/>
      <c r="EMB507" s="325"/>
      <c r="EMC507" s="325"/>
      <c r="EMD507" s="325"/>
      <c r="EME507" s="325"/>
      <c r="EMF507" s="325"/>
      <c r="EMG507" s="325"/>
      <c r="EMH507" s="325"/>
      <c r="EMI507" s="325"/>
      <c r="EMJ507" s="325"/>
      <c r="EMK507" s="325"/>
      <c r="EML507" s="325"/>
      <c r="EMM507" s="325"/>
      <c r="EMN507" s="325"/>
      <c r="EMO507" s="325"/>
      <c r="EMP507" s="325"/>
      <c r="EMQ507" s="325"/>
      <c r="EMR507" s="325"/>
      <c r="EMS507" s="325"/>
      <c r="EMT507" s="325"/>
      <c r="EMU507" s="325"/>
      <c r="EMV507" s="325"/>
      <c r="EMW507" s="325"/>
      <c r="EMX507" s="327"/>
      <c r="EMY507" s="28"/>
      <c r="EMZ507" s="324"/>
      <c r="ENA507" s="324"/>
      <c r="ENB507" s="324"/>
      <c r="ENC507" s="324"/>
      <c r="END507" s="324"/>
      <c r="ENE507" s="324"/>
      <c r="ENF507" s="256"/>
      <c r="ENG507" s="325"/>
      <c r="ENH507" s="311"/>
      <c r="ENI507" s="325"/>
      <c r="ENJ507" s="310"/>
      <c r="ENK507" s="325"/>
      <c r="ENL507" s="325"/>
      <c r="ENM507" s="325"/>
      <c r="ENN507" s="325"/>
      <c r="ENO507" s="325"/>
      <c r="ENP507" s="325"/>
      <c r="ENQ507" s="325"/>
      <c r="ENR507" s="325"/>
      <c r="ENS507" s="325"/>
      <c r="ENT507" s="325"/>
      <c r="ENU507" s="325"/>
      <c r="ENV507" s="325"/>
      <c r="ENW507" s="325"/>
      <c r="ENX507" s="325"/>
      <c r="ENY507" s="325"/>
      <c r="ENZ507" s="325"/>
      <c r="EOA507" s="325"/>
      <c r="EOB507" s="325"/>
      <c r="EOC507" s="325"/>
      <c r="EOD507" s="325"/>
      <c r="EOE507" s="325"/>
      <c r="EOF507" s="325"/>
      <c r="EOG507" s="325"/>
      <c r="EOH507" s="325"/>
      <c r="EOI507" s="325"/>
      <c r="EOJ507" s="325"/>
      <c r="EOK507" s="325"/>
      <c r="EOL507" s="325"/>
      <c r="EOM507" s="325"/>
      <c r="EON507" s="325"/>
      <c r="EOO507" s="327"/>
      <c r="EOP507" s="28"/>
      <c r="EOQ507" s="324"/>
      <c r="EOR507" s="324"/>
      <c r="EOS507" s="324"/>
      <c r="EOT507" s="324"/>
      <c r="EOU507" s="324"/>
      <c r="EOV507" s="324"/>
      <c r="EOW507" s="256"/>
      <c r="EOX507" s="325"/>
      <c r="EOY507" s="311"/>
      <c r="EOZ507" s="325"/>
      <c r="EPA507" s="310"/>
      <c r="EPB507" s="325"/>
      <c r="EPC507" s="325"/>
      <c r="EPD507" s="325"/>
      <c r="EPE507" s="325"/>
      <c r="EPF507" s="325"/>
      <c r="EPG507" s="325"/>
      <c r="EPH507" s="325"/>
      <c r="EPI507" s="325"/>
      <c r="EPJ507" s="325"/>
      <c r="EPK507" s="325"/>
      <c r="EPL507" s="325"/>
      <c r="EPM507" s="325"/>
      <c r="EPN507" s="325"/>
      <c r="EPO507" s="325"/>
      <c r="EPP507" s="325"/>
      <c r="EPQ507" s="325"/>
      <c r="EPR507" s="325"/>
      <c r="EPS507" s="325"/>
      <c r="EPT507" s="325"/>
      <c r="EPU507" s="325"/>
      <c r="EPV507" s="325"/>
      <c r="EPW507" s="325"/>
      <c r="EPX507" s="325"/>
      <c r="EPY507" s="325"/>
      <c r="EPZ507" s="325"/>
      <c r="EQA507" s="325"/>
      <c r="EQB507" s="325"/>
      <c r="EQC507" s="325"/>
      <c r="EQD507" s="325"/>
      <c r="EQE507" s="325"/>
      <c r="EQF507" s="327"/>
      <c r="EQG507" s="28"/>
      <c r="EQH507" s="324"/>
      <c r="EQI507" s="324"/>
      <c r="EQJ507" s="324"/>
      <c r="EQK507" s="324"/>
      <c r="EQL507" s="324"/>
      <c r="EQM507" s="324"/>
      <c r="EQN507" s="256"/>
      <c r="EQO507" s="325"/>
      <c r="EQP507" s="311"/>
      <c r="EQQ507" s="325"/>
      <c r="EQR507" s="310"/>
      <c r="EQS507" s="325"/>
      <c r="EQT507" s="325"/>
      <c r="EQU507" s="325"/>
      <c r="EQV507" s="325"/>
      <c r="EQW507" s="325"/>
      <c r="EQX507" s="325"/>
      <c r="EQY507" s="325"/>
      <c r="EQZ507" s="325"/>
      <c r="ERA507" s="325"/>
      <c r="ERB507" s="325"/>
      <c r="ERC507" s="325"/>
      <c r="ERD507" s="325"/>
      <c r="ERE507" s="325"/>
      <c r="ERF507" s="325"/>
      <c r="ERG507" s="325"/>
      <c r="ERH507" s="325"/>
      <c r="ERI507" s="325"/>
      <c r="ERJ507" s="325"/>
      <c r="ERK507" s="325"/>
      <c r="ERL507" s="325"/>
      <c r="ERM507" s="325"/>
      <c r="ERN507" s="325"/>
      <c r="ERO507" s="325"/>
      <c r="ERP507" s="325"/>
      <c r="ERQ507" s="325"/>
      <c r="ERR507" s="325"/>
      <c r="ERS507" s="325"/>
      <c r="ERT507" s="325"/>
      <c r="ERU507" s="325"/>
      <c r="ERV507" s="325"/>
      <c r="ERW507" s="327"/>
      <c r="ERX507" s="28"/>
      <c r="ERY507" s="324"/>
      <c r="ERZ507" s="324"/>
      <c r="ESA507" s="324"/>
      <c r="ESB507" s="324"/>
      <c r="ESC507" s="324"/>
      <c r="ESD507" s="324"/>
      <c r="ESE507" s="256"/>
      <c r="ESF507" s="325"/>
      <c r="ESG507" s="311"/>
      <c r="ESH507" s="325"/>
      <c r="ESI507" s="310"/>
      <c r="ESJ507" s="325"/>
      <c r="ESK507" s="325"/>
      <c r="ESL507" s="325"/>
      <c r="ESM507" s="325"/>
      <c r="ESN507" s="325"/>
      <c r="ESO507" s="325"/>
      <c r="ESP507" s="325"/>
      <c r="ESQ507" s="325"/>
      <c r="ESR507" s="325"/>
      <c r="ESS507" s="325"/>
      <c r="EST507" s="325"/>
      <c r="ESU507" s="325"/>
      <c r="ESV507" s="325"/>
      <c r="ESW507" s="325"/>
      <c r="ESX507" s="325"/>
      <c r="ESY507" s="325"/>
      <c r="ESZ507" s="325"/>
      <c r="ETA507" s="325"/>
      <c r="ETB507" s="325"/>
      <c r="ETC507" s="325"/>
      <c r="ETD507" s="325"/>
      <c r="ETE507" s="325"/>
      <c r="ETF507" s="325"/>
      <c r="ETG507" s="325"/>
      <c r="ETH507" s="325"/>
      <c r="ETI507" s="325"/>
      <c r="ETJ507" s="325"/>
      <c r="ETK507" s="325"/>
      <c r="ETL507" s="325"/>
      <c r="ETM507" s="325"/>
      <c r="ETN507" s="327"/>
      <c r="ETO507" s="28"/>
      <c r="ETP507" s="324"/>
      <c r="ETQ507" s="324"/>
      <c r="ETR507" s="324"/>
      <c r="ETS507" s="324"/>
      <c r="ETT507" s="324"/>
      <c r="ETU507" s="324"/>
      <c r="ETV507" s="256"/>
      <c r="ETW507" s="325"/>
      <c r="ETX507" s="311"/>
      <c r="ETY507" s="325"/>
      <c r="ETZ507" s="310"/>
      <c r="EUA507" s="325"/>
      <c r="EUB507" s="325"/>
      <c r="EUC507" s="325"/>
      <c r="EUD507" s="325"/>
      <c r="EUE507" s="325"/>
      <c r="EUF507" s="325"/>
      <c r="EUG507" s="325"/>
      <c r="EUH507" s="325"/>
      <c r="EUI507" s="325"/>
      <c r="EUJ507" s="325"/>
      <c r="EUK507" s="325"/>
      <c r="EUL507" s="325"/>
      <c r="EUM507" s="325"/>
      <c r="EUN507" s="325"/>
      <c r="EUO507" s="325"/>
      <c r="EUP507" s="325"/>
      <c r="EUQ507" s="325"/>
      <c r="EUR507" s="325"/>
      <c r="EUS507" s="325"/>
      <c r="EUT507" s="325"/>
      <c r="EUU507" s="325"/>
      <c r="EUV507" s="325"/>
      <c r="EUW507" s="325"/>
      <c r="EUX507" s="325"/>
      <c r="EUY507" s="325"/>
      <c r="EUZ507" s="325"/>
      <c r="EVA507" s="325"/>
      <c r="EVB507" s="325"/>
      <c r="EVC507" s="325"/>
      <c r="EVD507" s="325"/>
      <c r="EVE507" s="327"/>
      <c r="EVF507" s="28"/>
      <c r="EVG507" s="324"/>
      <c r="EVH507" s="324"/>
      <c r="EVI507" s="324"/>
      <c r="EVJ507" s="324"/>
      <c r="EVK507" s="324"/>
      <c r="EVL507" s="324"/>
      <c r="EVM507" s="256"/>
      <c r="EVN507" s="325"/>
      <c r="EVO507" s="311"/>
      <c r="EVP507" s="325"/>
      <c r="EVQ507" s="310"/>
      <c r="EVR507" s="325"/>
      <c r="EVS507" s="325"/>
      <c r="EVT507" s="325"/>
      <c r="EVU507" s="325"/>
      <c r="EVV507" s="325"/>
      <c r="EVW507" s="325"/>
      <c r="EVX507" s="325"/>
      <c r="EVY507" s="325"/>
      <c r="EVZ507" s="325"/>
      <c r="EWA507" s="325"/>
      <c r="EWB507" s="325"/>
      <c r="EWC507" s="325"/>
      <c r="EWD507" s="325"/>
      <c r="EWE507" s="325"/>
      <c r="EWF507" s="325"/>
      <c r="EWG507" s="325"/>
      <c r="EWH507" s="325"/>
      <c r="EWI507" s="325"/>
      <c r="EWJ507" s="325"/>
      <c r="EWK507" s="325"/>
      <c r="EWL507" s="325"/>
      <c r="EWM507" s="325"/>
      <c r="EWN507" s="325"/>
      <c r="EWO507" s="325"/>
      <c r="EWP507" s="325"/>
      <c r="EWQ507" s="325"/>
      <c r="EWR507" s="325"/>
      <c r="EWS507" s="325"/>
      <c r="EWT507" s="325"/>
      <c r="EWU507" s="325"/>
      <c r="EWV507" s="327"/>
      <c r="EWW507" s="28"/>
      <c r="EWX507" s="324"/>
      <c r="EWY507" s="324"/>
      <c r="EWZ507" s="324"/>
      <c r="EXA507" s="324"/>
      <c r="EXB507" s="324"/>
      <c r="EXC507" s="324"/>
      <c r="EXD507" s="256"/>
      <c r="EXE507" s="325"/>
      <c r="EXF507" s="311"/>
      <c r="EXG507" s="325"/>
      <c r="EXH507" s="310"/>
      <c r="EXI507" s="325"/>
      <c r="EXJ507" s="325"/>
      <c r="EXK507" s="325"/>
      <c r="EXL507" s="325"/>
      <c r="EXM507" s="325"/>
      <c r="EXN507" s="325"/>
      <c r="EXO507" s="325"/>
      <c r="EXP507" s="325"/>
      <c r="EXQ507" s="325"/>
      <c r="EXR507" s="325"/>
      <c r="EXS507" s="325"/>
      <c r="EXT507" s="325"/>
      <c r="EXU507" s="325"/>
      <c r="EXV507" s="325"/>
      <c r="EXW507" s="325"/>
      <c r="EXX507" s="325"/>
      <c r="EXY507" s="325"/>
      <c r="EXZ507" s="325"/>
      <c r="EYA507" s="325"/>
      <c r="EYB507" s="325"/>
      <c r="EYC507" s="325"/>
      <c r="EYD507" s="325"/>
      <c r="EYE507" s="325"/>
      <c r="EYF507" s="325"/>
      <c r="EYG507" s="325"/>
      <c r="EYH507" s="325"/>
      <c r="EYI507" s="325"/>
      <c r="EYJ507" s="325"/>
      <c r="EYK507" s="325"/>
      <c r="EYL507" s="325"/>
      <c r="EYM507" s="327"/>
      <c r="EYN507" s="28"/>
      <c r="EYO507" s="324"/>
      <c r="EYP507" s="324"/>
      <c r="EYQ507" s="324"/>
      <c r="EYR507" s="324"/>
      <c r="EYS507" s="324"/>
      <c r="EYT507" s="324"/>
      <c r="EYU507" s="256"/>
      <c r="EYV507" s="325"/>
      <c r="EYW507" s="311"/>
      <c r="EYX507" s="325"/>
      <c r="EYY507" s="310"/>
      <c r="EYZ507" s="325"/>
      <c r="EZA507" s="325"/>
      <c r="EZB507" s="325"/>
      <c r="EZC507" s="325"/>
      <c r="EZD507" s="325"/>
      <c r="EZE507" s="325"/>
      <c r="EZF507" s="325"/>
      <c r="EZG507" s="325"/>
      <c r="EZH507" s="325"/>
      <c r="EZI507" s="325"/>
      <c r="EZJ507" s="325"/>
      <c r="EZK507" s="325"/>
      <c r="EZL507" s="325"/>
      <c r="EZM507" s="325"/>
      <c r="EZN507" s="325"/>
      <c r="EZO507" s="325"/>
      <c r="EZP507" s="325"/>
      <c r="EZQ507" s="325"/>
      <c r="EZR507" s="325"/>
      <c r="EZS507" s="325"/>
      <c r="EZT507" s="325"/>
      <c r="EZU507" s="325"/>
      <c r="EZV507" s="325"/>
      <c r="EZW507" s="325"/>
      <c r="EZX507" s="325"/>
      <c r="EZY507" s="325"/>
      <c r="EZZ507" s="325"/>
      <c r="FAA507" s="325"/>
      <c r="FAB507" s="325"/>
      <c r="FAC507" s="325"/>
      <c r="FAD507" s="327"/>
      <c r="FAE507" s="28"/>
      <c r="FAF507" s="324"/>
      <c r="FAG507" s="324"/>
      <c r="FAH507" s="324"/>
      <c r="FAI507" s="324"/>
      <c r="FAJ507" s="324"/>
      <c r="FAK507" s="324"/>
      <c r="FAL507" s="256"/>
      <c r="FAM507" s="325"/>
      <c r="FAN507" s="311"/>
      <c r="FAO507" s="325"/>
      <c r="FAP507" s="310"/>
      <c r="FAQ507" s="325"/>
      <c r="FAR507" s="325"/>
      <c r="FAS507" s="325"/>
      <c r="FAT507" s="325"/>
      <c r="FAU507" s="325"/>
      <c r="FAV507" s="325"/>
      <c r="FAW507" s="325"/>
      <c r="FAX507" s="325"/>
      <c r="FAY507" s="325"/>
      <c r="FAZ507" s="325"/>
      <c r="FBA507" s="325"/>
      <c r="FBB507" s="325"/>
      <c r="FBC507" s="325"/>
      <c r="FBD507" s="325"/>
      <c r="FBE507" s="325"/>
      <c r="FBF507" s="325"/>
      <c r="FBG507" s="325"/>
      <c r="FBH507" s="325"/>
      <c r="FBI507" s="325"/>
      <c r="FBJ507" s="325"/>
      <c r="FBK507" s="325"/>
      <c r="FBL507" s="325"/>
      <c r="FBM507" s="325"/>
      <c r="FBN507" s="325"/>
      <c r="FBO507" s="325"/>
      <c r="FBP507" s="325"/>
      <c r="FBQ507" s="325"/>
      <c r="FBR507" s="325"/>
      <c r="FBS507" s="325"/>
      <c r="FBT507" s="325"/>
      <c r="FBU507" s="327"/>
      <c r="FBV507" s="28"/>
      <c r="FBW507" s="324"/>
      <c r="FBX507" s="324"/>
      <c r="FBY507" s="324"/>
      <c r="FBZ507" s="324"/>
      <c r="FCA507" s="324"/>
      <c r="FCB507" s="324"/>
      <c r="FCC507" s="256"/>
      <c r="FCD507" s="325"/>
      <c r="FCE507" s="311"/>
      <c r="FCF507" s="325"/>
      <c r="FCG507" s="310"/>
      <c r="FCH507" s="325"/>
      <c r="FCI507" s="325"/>
      <c r="FCJ507" s="325"/>
      <c r="FCK507" s="325"/>
      <c r="FCL507" s="325"/>
      <c r="FCM507" s="325"/>
      <c r="FCN507" s="325"/>
      <c r="FCO507" s="325"/>
      <c r="FCP507" s="325"/>
      <c r="FCQ507" s="325"/>
      <c r="FCR507" s="325"/>
      <c r="FCS507" s="325"/>
      <c r="FCT507" s="325"/>
      <c r="FCU507" s="325"/>
      <c r="FCV507" s="325"/>
      <c r="FCW507" s="325"/>
      <c r="FCX507" s="325"/>
      <c r="FCY507" s="325"/>
      <c r="FCZ507" s="325"/>
      <c r="FDA507" s="325"/>
      <c r="FDB507" s="325"/>
      <c r="FDC507" s="325"/>
      <c r="FDD507" s="325"/>
      <c r="FDE507" s="325"/>
      <c r="FDF507" s="325"/>
      <c r="FDG507" s="325"/>
      <c r="FDH507" s="325"/>
      <c r="FDI507" s="325"/>
      <c r="FDJ507" s="325"/>
      <c r="FDK507" s="325"/>
      <c r="FDL507" s="327"/>
      <c r="FDM507" s="28"/>
      <c r="FDN507" s="324"/>
      <c r="FDO507" s="324"/>
      <c r="FDP507" s="324"/>
      <c r="FDQ507" s="324"/>
      <c r="FDR507" s="324"/>
      <c r="FDS507" s="324"/>
      <c r="FDT507" s="256"/>
      <c r="FDU507" s="325"/>
      <c r="FDV507" s="311"/>
      <c r="FDW507" s="325"/>
      <c r="FDX507" s="310"/>
      <c r="FDY507" s="325"/>
      <c r="FDZ507" s="325"/>
      <c r="FEA507" s="325"/>
      <c r="FEB507" s="325"/>
      <c r="FEC507" s="325"/>
      <c r="FED507" s="325"/>
      <c r="FEE507" s="325"/>
      <c r="FEF507" s="325"/>
      <c r="FEG507" s="325"/>
      <c r="FEH507" s="325"/>
      <c r="FEI507" s="325"/>
      <c r="FEJ507" s="325"/>
      <c r="FEK507" s="325"/>
      <c r="FEL507" s="325"/>
      <c r="FEM507" s="325"/>
      <c r="FEN507" s="325"/>
      <c r="FEO507" s="325"/>
      <c r="FEP507" s="325"/>
      <c r="FEQ507" s="325"/>
      <c r="FER507" s="325"/>
      <c r="FES507" s="325"/>
      <c r="FET507" s="325"/>
      <c r="FEU507" s="325"/>
      <c r="FEV507" s="325"/>
      <c r="FEW507" s="325"/>
      <c r="FEX507" s="325"/>
      <c r="FEY507" s="325"/>
      <c r="FEZ507" s="325"/>
      <c r="FFA507" s="325"/>
      <c r="FFB507" s="325"/>
      <c r="FFC507" s="327"/>
      <c r="FFD507" s="28"/>
      <c r="FFE507" s="324"/>
      <c r="FFF507" s="324"/>
      <c r="FFG507" s="324"/>
      <c r="FFH507" s="324"/>
      <c r="FFI507" s="324"/>
      <c r="FFJ507" s="324"/>
      <c r="FFK507" s="256"/>
      <c r="FFL507" s="325"/>
      <c r="FFM507" s="311"/>
      <c r="FFN507" s="325"/>
      <c r="FFO507" s="310"/>
      <c r="FFP507" s="325"/>
      <c r="FFQ507" s="325"/>
      <c r="FFR507" s="325"/>
      <c r="FFS507" s="325"/>
      <c r="FFT507" s="325"/>
      <c r="FFU507" s="325"/>
      <c r="FFV507" s="325"/>
      <c r="FFW507" s="325"/>
      <c r="FFX507" s="325"/>
      <c r="FFY507" s="325"/>
      <c r="FFZ507" s="325"/>
      <c r="FGA507" s="325"/>
      <c r="FGB507" s="325"/>
      <c r="FGC507" s="325"/>
      <c r="FGD507" s="325"/>
      <c r="FGE507" s="325"/>
      <c r="FGF507" s="325"/>
      <c r="FGG507" s="325"/>
      <c r="FGH507" s="325"/>
      <c r="FGI507" s="325"/>
      <c r="FGJ507" s="325"/>
      <c r="FGK507" s="325"/>
      <c r="FGL507" s="325"/>
      <c r="FGM507" s="325"/>
      <c r="FGN507" s="325"/>
      <c r="FGO507" s="325"/>
      <c r="FGP507" s="325"/>
      <c r="FGQ507" s="325"/>
      <c r="FGR507" s="325"/>
      <c r="FGS507" s="325"/>
      <c r="FGT507" s="327"/>
      <c r="FGU507" s="28"/>
      <c r="FGV507" s="324"/>
      <c r="FGW507" s="324"/>
      <c r="FGX507" s="324"/>
      <c r="FGY507" s="324"/>
      <c r="FGZ507" s="324"/>
      <c r="FHA507" s="324"/>
      <c r="FHB507" s="256"/>
      <c r="FHC507" s="325"/>
      <c r="FHD507" s="311"/>
      <c r="FHE507" s="325"/>
      <c r="FHF507" s="310"/>
      <c r="FHG507" s="325"/>
      <c r="FHH507" s="325"/>
      <c r="FHI507" s="325"/>
      <c r="FHJ507" s="325"/>
      <c r="FHK507" s="325"/>
      <c r="FHL507" s="325"/>
      <c r="FHM507" s="325"/>
      <c r="FHN507" s="325"/>
      <c r="FHO507" s="325"/>
      <c r="FHP507" s="325"/>
      <c r="FHQ507" s="325"/>
      <c r="FHR507" s="325"/>
      <c r="FHS507" s="325"/>
      <c r="FHT507" s="325"/>
      <c r="FHU507" s="325"/>
      <c r="FHV507" s="325"/>
      <c r="FHW507" s="325"/>
      <c r="FHX507" s="325"/>
      <c r="FHY507" s="325"/>
      <c r="FHZ507" s="325"/>
      <c r="FIA507" s="325"/>
      <c r="FIB507" s="325"/>
      <c r="FIC507" s="325"/>
      <c r="FID507" s="325"/>
      <c r="FIE507" s="325"/>
      <c r="FIF507" s="325"/>
      <c r="FIG507" s="325"/>
      <c r="FIH507" s="325"/>
      <c r="FII507" s="325"/>
      <c r="FIJ507" s="325"/>
      <c r="FIK507" s="327"/>
      <c r="FIL507" s="28"/>
      <c r="FIM507" s="324"/>
      <c r="FIN507" s="324"/>
      <c r="FIO507" s="324"/>
      <c r="FIP507" s="324"/>
      <c r="FIQ507" s="324"/>
      <c r="FIR507" s="324"/>
      <c r="FIS507" s="256"/>
      <c r="FIT507" s="325"/>
      <c r="FIU507" s="311"/>
      <c r="FIV507" s="325"/>
      <c r="FIW507" s="310"/>
      <c r="FIX507" s="325"/>
      <c r="FIY507" s="325"/>
      <c r="FIZ507" s="325"/>
      <c r="FJA507" s="325"/>
      <c r="FJB507" s="325"/>
      <c r="FJC507" s="325"/>
      <c r="FJD507" s="325"/>
      <c r="FJE507" s="325"/>
      <c r="FJF507" s="325"/>
      <c r="FJG507" s="325"/>
      <c r="FJH507" s="325"/>
      <c r="FJI507" s="325"/>
      <c r="FJJ507" s="325"/>
      <c r="FJK507" s="325"/>
      <c r="FJL507" s="325"/>
      <c r="FJM507" s="325"/>
      <c r="FJN507" s="325"/>
      <c r="FJO507" s="325"/>
      <c r="FJP507" s="325"/>
      <c r="FJQ507" s="325"/>
      <c r="FJR507" s="325"/>
      <c r="FJS507" s="325"/>
      <c r="FJT507" s="325"/>
      <c r="FJU507" s="325"/>
      <c r="FJV507" s="325"/>
      <c r="FJW507" s="325"/>
      <c r="FJX507" s="325"/>
      <c r="FJY507" s="325"/>
      <c r="FJZ507" s="325"/>
      <c r="FKA507" s="325"/>
      <c r="FKB507" s="327"/>
      <c r="FKC507" s="28"/>
      <c r="FKD507" s="324"/>
      <c r="FKE507" s="324"/>
      <c r="FKF507" s="324"/>
      <c r="FKG507" s="324"/>
      <c r="FKH507" s="324"/>
      <c r="FKI507" s="324"/>
      <c r="FKJ507" s="256"/>
      <c r="FKK507" s="325"/>
      <c r="FKL507" s="311"/>
      <c r="FKM507" s="325"/>
      <c r="FKN507" s="310"/>
      <c r="FKO507" s="325"/>
      <c r="FKP507" s="325"/>
      <c r="FKQ507" s="325"/>
      <c r="FKR507" s="325"/>
      <c r="FKS507" s="325"/>
      <c r="FKT507" s="325"/>
      <c r="FKU507" s="325"/>
      <c r="FKV507" s="325"/>
      <c r="FKW507" s="325"/>
      <c r="FKX507" s="325"/>
      <c r="FKY507" s="325"/>
      <c r="FKZ507" s="325"/>
      <c r="FLA507" s="325"/>
      <c r="FLB507" s="325"/>
      <c r="FLC507" s="325"/>
      <c r="FLD507" s="325"/>
      <c r="FLE507" s="325"/>
      <c r="FLF507" s="325"/>
      <c r="FLG507" s="325"/>
      <c r="FLH507" s="325"/>
      <c r="FLI507" s="325"/>
      <c r="FLJ507" s="325"/>
      <c r="FLK507" s="325"/>
      <c r="FLL507" s="325"/>
      <c r="FLM507" s="325"/>
      <c r="FLN507" s="325"/>
      <c r="FLO507" s="325"/>
      <c r="FLP507" s="325"/>
      <c r="FLQ507" s="325"/>
      <c r="FLR507" s="325"/>
      <c r="FLS507" s="327"/>
      <c r="FLT507" s="28"/>
      <c r="FLU507" s="324"/>
      <c r="FLV507" s="324"/>
      <c r="FLW507" s="324"/>
      <c r="FLX507" s="324"/>
      <c r="FLY507" s="324"/>
      <c r="FLZ507" s="324"/>
      <c r="FMA507" s="256"/>
      <c r="FMB507" s="325"/>
      <c r="FMC507" s="311"/>
      <c r="FMD507" s="325"/>
      <c r="FME507" s="310"/>
      <c r="FMF507" s="325"/>
      <c r="FMG507" s="325"/>
      <c r="FMH507" s="325"/>
      <c r="FMI507" s="325"/>
      <c r="FMJ507" s="325"/>
      <c r="FMK507" s="325"/>
      <c r="FML507" s="325"/>
      <c r="FMM507" s="325"/>
      <c r="FMN507" s="325"/>
      <c r="FMO507" s="325"/>
      <c r="FMP507" s="325"/>
      <c r="FMQ507" s="325"/>
      <c r="FMR507" s="325"/>
      <c r="FMS507" s="325"/>
      <c r="FMT507" s="325"/>
      <c r="FMU507" s="325"/>
      <c r="FMV507" s="325"/>
      <c r="FMW507" s="325"/>
      <c r="FMX507" s="325"/>
      <c r="FMY507" s="325"/>
      <c r="FMZ507" s="325"/>
      <c r="FNA507" s="325"/>
      <c r="FNB507" s="325"/>
      <c r="FNC507" s="325"/>
      <c r="FND507" s="325"/>
      <c r="FNE507" s="325"/>
      <c r="FNF507" s="325"/>
      <c r="FNG507" s="325"/>
      <c r="FNH507" s="325"/>
      <c r="FNI507" s="325"/>
      <c r="FNJ507" s="327"/>
      <c r="FNK507" s="28"/>
      <c r="FNL507" s="324"/>
      <c r="FNM507" s="324"/>
      <c r="FNN507" s="324"/>
      <c r="FNO507" s="324"/>
      <c r="FNP507" s="324"/>
      <c r="FNQ507" s="324"/>
      <c r="FNR507" s="256"/>
      <c r="FNS507" s="325"/>
      <c r="FNT507" s="311"/>
      <c r="FNU507" s="325"/>
      <c r="FNV507" s="310"/>
      <c r="FNW507" s="325"/>
      <c r="FNX507" s="325"/>
      <c r="FNY507" s="325"/>
      <c r="FNZ507" s="325"/>
      <c r="FOA507" s="325"/>
      <c r="FOB507" s="325"/>
      <c r="FOC507" s="325"/>
      <c r="FOD507" s="325"/>
      <c r="FOE507" s="325"/>
      <c r="FOF507" s="325"/>
      <c r="FOG507" s="325"/>
      <c r="FOH507" s="325"/>
      <c r="FOI507" s="325"/>
      <c r="FOJ507" s="325"/>
      <c r="FOK507" s="325"/>
      <c r="FOL507" s="325"/>
      <c r="FOM507" s="325"/>
      <c r="FON507" s="325"/>
      <c r="FOO507" s="325"/>
      <c r="FOP507" s="325"/>
      <c r="FOQ507" s="325"/>
      <c r="FOR507" s="325"/>
      <c r="FOS507" s="325"/>
      <c r="FOT507" s="325"/>
      <c r="FOU507" s="325"/>
      <c r="FOV507" s="325"/>
      <c r="FOW507" s="325"/>
      <c r="FOX507" s="325"/>
      <c r="FOY507" s="325"/>
      <c r="FOZ507" s="325"/>
      <c r="FPA507" s="327"/>
      <c r="FPB507" s="28"/>
      <c r="FPC507" s="324"/>
      <c r="FPD507" s="324"/>
      <c r="FPE507" s="324"/>
      <c r="FPF507" s="324"/>
      <c r="FPG507" s="324"/>
      <c r="FPH507" s="324"/>
      <c r="FPI507" s="256"/>
      <c r="FPJ507" s="325"/>
      <c r="FPK507" s="311"/>
      <c r="FPL507" s="325"/>
      <c r="FPM507" s="310"/>
      <c r="FPN507" s="325"/>
      <c r="FPO507" s="325"/>
      <c r="FPP507" s="325"/>
      <c r="FPQ507" s="325"/>
      <c r="FPR507" s="325"/>
      <c r="FPS507" s="325"/>
      <c r="FPT507" s="325"/>
      <c r="FPU507" s="325"/>
      <c r="FPV507" s="325"/>
      <c r="FPW507" s="325"/>
      <c r="FPX507" s="325"/>
      <c r="FPY507" s="325"/>
      <c r="FPZ507" s="325"/>
      <c r="FQA507" s="325"/>
      <c r="FQB507" s="325"/>
      <c r="FQC507" s="325"/>
      <c r="FQD507" s="325"/>
      <c r="FQE507" s="325"/>
      <c r="FQF507" s="325"/>
      <c r="FQG507" s="325"/>
      <c r="FQH507" s="325"/>
      <c r="FQI507" s="325"/>
      <c r="FQJ507" s="325"/>
      <c r="FQK507" s="325"/>
      <c r="FQL507" s="325"/>
      <c r="FQM507" s="325"/>
      <c r="FQN507" s="325"/>
      <c r="FQO507" s="325"/>
      <c r="FQP507" s="325"/>
      <c r="FQQ507" s="325"/>
      <c r="FQR507" s="327"/>
      <c r="FQS507" s="28"/>
      <c r="FQT507" s="324"/>
      <c r="FQU507" s="324"/>
      <c r="FQV507" s="324"/>
      <c r="FQW507" s="324"/>
      <c r="FQX507" s="324"/>
      <c r="FQY507" s="324"/>
      <c r="FQZ507" s="256"/>
      <c r="FRA507" s="325"/>
      <c r="FRB507" s="311"/>
      <c r="FRC507" s="325"/>
      <c r="FRD507" s="310"/>
      <c r="FRE507" s="325"/>
      <c r="FRF507" s="325"/>
      <c r="FRG507" s="325"/>
      <c r="FRH507" s="325"/>
      <c r="FRI507" s="325"/>
      <c r="FRJ507" s="325"/>
      <c r="FRK507" s="325"/>
      <c r="FRL507" s="325"/>
      <c r="FRM507" s="325"/>
      <c r="FRN507" s="325"/>
      <c r="FRO507" s="325"/>
      <c r="FRP507" s="325"/>
      <c r="FRQ507" s="325"/>
      <c r="FRR507" s="325"/>
      <c r="FRS507" s="325"/>
      <c r="FRT507" s="325"/>
      <c r="FRU507" s="325"/>
      <c r="FRV507" s="325"/>
      <c r="FRW507" s="325"/>
      <c r="FRX507" s="325"/>
      <c r="FRY507" s="325"/>
      <c r="FRZ507" s="325"/>
      <c r="FSA507" s="325"/>
      <c r="FSB507" s="325"/>
      <c r="FSC507" s="325"/>
      <c r="FSD507" s="325"/>
      <c r="FSE507" s="325"/>
      <c r="FSF507" s="325"/>
      <c r="FSG507" s="325"/>
      <c r="FSH507" s="325"/>
      <c r="FSI507" s="327"/>
      <c r="FSJ507" s="28"/>
      <c r="FSK507" s="324"/>
      <c r="FSL507" s="324"/>
      <c r="FSM507" s="324"/>
      <c r="FSN507" s="324"/>
      <c r="FSO507" s="324"/>
      <c r="FSP507" s="324"/>
      <c r="FSQ507" s="256"/>
      <c r="FSR507" s="325"/>
      <c r="FSS507" s="311"/>
      <c r="FST507" s="325"/>
      <c r="FSU507" s="310"/>
      <c r="FSV507" s="325"/>
      <c r="FSW507" s="325"/>
      <c r="FSX507" s="325"/>
      <c r="FSY507" s="325"/>
      <c r="FSZ507" s="325"/>
      <c r="FTA507" s="325"/>
      <c r="FTB507" s="325"/>
      <c r="FTC507" s="325"/>
      <c r="FTD507" s="325"/>
      <c r="FTE507" s="325"/>
      <c r="FTF507" s="325"/>
      <c r="FTG507" s="325"/>
      <c r="FTH507" s="325"/>
      <c r="FTI507" s="325"/>
      <c r="FTJ507" s="325"/>
      <c r="FTK507" s="325"/>
      <c r="FTL507" s="325"/>
      <c r="FTM507" s="325"/>
      <c r="FTN507" s="325"/>
      <c r="FTO507" s="325"/>
      <c r="FTP507" s="325"/>
      <c r="FTQ507" s="325"/>
      <c r="FTR507" s="325"/>
      <c r="FTS507" s="325"/>
      <c r="FTT507" s="325"/>
      <c r="FTU507" s="325"/>
      <c r="FTV507" s="325"/>
      <c r="FTW507" s="325"/>
      <c r="FTX507" s="325"/>
      <c r="FTY507" s="325"/>
      <c r="FTZ507" s="327"/>
      <c r="FUA507" s="28"/>
      <c r="FUB507" s="324"/>
      <c r="FUC507" s="324"/>
      <c r="FUD507" s="324"/>
      <c r="FUE507" s="324"/>
      <c r="FUF507" s="324"/>
      <c r="FUG507" s="324"/>
      <c r="FUH507" s="256"/>
      <c r="FUI507" s="325"/>
      <c r="FUJ507" s="311"/>
      <c r="FUK507" s="325"/>
      <c r="FUL507" s="310"/>
      <c r="FUM507" s="325"/>
      <c r="FUN507" s="325"/>
      <c r="FUO507" s="325"/>
      <c r="FUP507" s="325"/>
      <c r="FUQ507" s="325"/>
      <c r="FUR507" s="325"/>
      <c r="FUS507" s="325"/>
      <c r="FUT507" s="325"/>
      <c r="FUU507" s="325"/>
      <c r="FUV507" s="325"/>
      <c r="FUW507" s="325"/>
      <c r="FUX507" s="325"/>
      <c r="FUY507" s="325"/>
      <c r="FUZ507" s="325"/>
      <c r="FVA507" s="325"/>
      <c r="FVB507" s="325"/>
      <c r="FVC507" s="325"/>
      <c r="FVD507" s="325"/>
      <c r="FVE507" s="325"/>
      <c r="FVF507" s="325"/>
      <c r="FVG507" s="325"/>
      <c r="FVH507" s="325"/>
      <c r="FVI507" s="325"/>
      <c r="FVJ507" s="325"/>
      <c r="FVK507" s="325"/>
      <c r="FVL507" s="325"/>
      <c r="FVM507" s="325"/>
      <c r="FVN507" s="325"/>
      <c r="FVO507" s="325"/>
      <c r="FVP507" s="325"/>
      <c r="FVQ507" s="327"/>
      <c r="FVR507" s="28"/>
      <c r="FVS507" s="324"/>
      <c r="FVT507" s="324"/>
      <c r="FVU507" s="324"/>
      <c r="FVV507" s="324"/>
      <c r="FVW507" s="324"/>
      <c r="FVX507" s="324"/>
      <c r="FVY507" s="256"/>
      <c r="FVZ507" s="325"/>
      <c r="FWA507" s="311"/>
      <c r="FWB507" s="325"/>
      <c r="FWC507" s="310"/>
      <c r="FWD507" s="325"/>
      <c r="FWE507" s="325"/>
      <c r="FWF507" s="325"/>
      <c r="FWG507" s="325"/>
      <c r="FWH507" s="325"/>
      <c r="FWI507" s="325"/>
      <c r="FWJ507" s="325"/>
      <c r="FWK507" s="325"/>
      <c r="FWL507" s="325"/>
      <c r="FWM507" s="325"/>
      <c r="FWN507" s="325"/>
      <c r="FWO507" s="325"/>
      <c r="FWP507" s="325"/>
      <c r="FWQ507" s="325"/>
      <c r="FWR507" s="325"/>
      <c r="FWS507" s="325"/>
      <c r="FWT507" s="325"/>
      <c r="FWU507" s="325"/>
      <c r="FWV507" s="325"/>
      <c r="FWW507" s="325"/>
      <c r="FWX507" s="325"/>
      <c r="FWY507" s="325"/>
      <c r="FWZ507" s="325"/>
      <c r="FXA507" s="325"/>
      <c r="FXB507" s="325"/>
      <c r="FXC507" s="325"/>
      <c r="FXD507" s="325"/>
      <c r="FXE507" s="325"/>
      <c r="FXF507" s="325"/>
      <c r="FXG507" s="325"/>
      <c r="FXH507" s="327"/>
      <c r="FXI507" s="28"/>
      <c r="FXJ507" s="324"/>
      <c r="FXK507" s="324"/>
      <c r="FXL507" s="324"/>
      <c r="FXM507" s="324"/>
      <c r="FXN507" s="324"/>
      <c r="FXO507" s="324"/>
      <c r="FXP507" s="256"/>
      <c r="FXQ507" s="325"/>
      <c r="FXR507" s="311"/>
      <c r="FXS507" s="325"/>
      <c r="FXT507" s="310"/>
      <c r="FXU507" s="325"/>
      <c r="FXV507" s="325"/>
      <c r="FXW507" s="325"/>
      <c r="FXX507" s="325"/>
      <c r="FXY507" s="325"/>
      <c r="FXZ507" s="325"/>
      <c r="FYA507" s="325"/>
      <c r="FYB507" s="325"/>
      <c r="FYC507" s="325"/>
      <c r="FYD507" s="325"/>
      <c r="FYE507" s="325"/>
      <c r="FYF507" s="325"/>
      <c r="FYG507" s="325"/>
      <c r="FYH507" s="325"/>
      <c r="FYI507" s="325"/>
      <c r="FYJ507" s="325"/>
      <c r="FYK507" s="325"/>
      <c r="FYL507" s="325"/>
      <c r="FYM507" s="325"/>
      <c r="FYN507" s="325"/>
      <c r="FYO507" s="325"/>
      <c r="FYP507" s="325"/>
      <c r="FYQ507" s="325"/>
      <c r="FYR507" s="325"/>
      <c r="FYS507" s="325"/>
      <c r="FYT507" s="325"/>
      <c r="FYU507" s="325"/>
      <c r="FYV507" s="325"/>
      <c r="FYW507" s="325"/>
      <c r="FYX507" s="325"/>
      <c r="FYY507" s="327"/>
      <c r="FYZ507" s="28"/>
      <c r="FZA507" s="324"/>
      <c r="FZB507" s="324"/>
      <c r="FZC507" s="324"/>
      <c r="FZD507" s="324"/>
      <c r="FZE507" s="324"/>
      <c r="FZF507" s="324"/>
      <c r="FZG507" s="256"/>
      <c r="FZH507" s="325"/>
      <c r="FZI507" s="311"/>
      <c r="FZJ507" s="325"/>
      <c r="FZK507" s="310"/>
      <c r="FZL507" s="325"/>
      <c r="FZM507" s="325"/>
      <c r="FZN507" s="325"/>
      <c r="FZO507" s="325"/>
      <c r="FZP507" s="325"/>
      <c r="FZQ507" s="325"/>
      <c r="FZR507" s="325"/>
      <c r="FZS507" s="325"/>
      <c r="FZT507" s="325"/>
      <c r="FZU507" s="325"/>
      <c r="FZV507" s="325"/>
      <c r="FZW507" s="325"/>
      <c r="FZX507" s="325"/>
      <c r="FZY507" s="325"/>
      <c r="FZZ507" s="325"/>
      <c r="GAA507" s="325"/>
      <c r="GAB507" s="325"/>
      <c r="GAC507" s="325"/>
      <c r="GAD507" s="325"/>
      <c r="GAE507" s="325"/>
      <c r="GAF507" s="325"/>
      <c r="GAG507" s="325"/>
      <c r="GAH507" s="325"/>
      <c r="GAI507" s="325"/>
      <c r="GAJ507" s="325"/>
      <c r="GAK507" s="325"/>
      <c r="GAL507" s="325"/>
      <c r="GAM507" s="325"/>
      <c r="GAN507" s="325"/>
      <c r="GAO507" s="325"/>
      <c r="GAP507" s="327"/>
      <c r="GAQ507" s="28"/>
      <c r="GAR507" s="324"/>
      <c r="GAS507" s="324"/>
      <c r="GAT507" s="324"/>
      <c r="GAU507" s="324"/>
      <c r="GAV507" s="324"/>
      <c r="GAW507" s="324"/>
      <c r="GAX507" s="256"/>
      <c r="GAY507" s="325"/>
      <c r="GAZ507" s="311"/>
      <c r="GBA507" s="325"/>
      <c r="GBB507" s="310"/>
      <c r="GBC507" s="325"/>
      <c r="GBD507" s="325"/>
      <c r="GBE507" s="325"/>
      <c r="GBF507" s="325"/>
      <c r="GBG507" s="325"/>
      <c r="GBH507" s="325"/>
      <c r="GBI507" s="325"/>
      <c r="GBJ507" s="325"/>
      <c r="GBK507" s="325"/>
      <c r="GBL507" s="325"/>
      <c r="GBM507" s="325"/>
      <c r="GBN507" s="325"/>
      <c r="GBO507" s="325"/>
      <c r="GBP507" s="325"/>
      <c r="GBQ507" s="325"/>
      <c r="GBR507" s="325"/>
      <c r="GBS507" s="325"/>
      <c r="GBT507" s="325"/>
      <c r="GBU507" s="325"/>
      <c r="GBV507" s="325"/>
      <c r="GBW507" s="325"/>
      <c r="GBX507" s="325"/>
      <c r="GBY507" s="325"/>
      <c r="GBZ507" s="325"/>
      <c r="GCA507" s="325"/>
      <c r="GCB507" s="325"/>
      <c r="GCC507" s="325"/>
      <c r="GCD507" s="325"/>
      <c r="GCE507" s="325"/>
      <c r="GCF507" s="325"/>
      <c r="GCG507" s="327"/>
      <c r="GCH507" s="28"/>
      <c r="GCI507" s="324"/>
      <c r="GCJ507" s="324"/>
      <c r="GCK507" s="324"/>
      <c r="GCL507" s="324"/>
      <c r="GCM507" s="324"/>
      <c r="GCN507" s="324"/>
      <c r="GCO507" s="256"/>
      <c r="GCP507" s="325"/>
      <c r="GCQ507" s="311"/>
      <c r="GCR507" s="325"/>
      <c r="GCS507" s="310"/>
      <c r="GCT507" s="325"/>
      <c r="GCU507" s="325"/>
      <c r="GCV507" s="325"/>
      <c r="GCW507" s="325"/>
      <c r="GCX507" s="325"/>
      <c r="GCY507" s="325"/>
      <c r="GCZ507" s="325"/>
      <c r="GDA507" s="325"/>
      <c r="GDB507" s="325"/>
      <c r="GDC507" s="325"/>
      <c r="GDD507" s="325"/>
      <c r="GDE507" s="325"/>
      <c r="GDF507" s="325"/>
      <c r="GDG507" s="325"/>
      <c r="GDH507" s="325"/>
      <c r="GDI507" s="325"/>
      <c r="GDJ507" s="325"/>
      <c r="GDK507" s="325"/>
      <c r="GDL507" s="325"/>
      <c r="GDM507" s="325"/>
      <c r="GDN507" s="325"/>
      <c r="GDO507" s="325"/>
      <c r="GDP507" s="325"/>
      <c r="GDQ507" s="325"/>
      <c r="GDR507" s="325"/>
      <c r="GDS507" s="325"/>
      <c r="GDT507" s="325"/>
      <c r="GDU507" s="325"/>
      <c r="GDV507" s="325"/>
      <c r="GDW507" s="325"/>
      <c r="GDX507" s="327"/>
      <c r="GDY507" s="28"/>
      <c r="GDZ507" s="324"/>
      <c r="GEA507" s="324"/>
      <c r="GEB507" s="324"/>
      <c r="GEC507" s="324"/>
      <c r="GED507" s="324"/>
      <c r="GEE507" s="324"/>
      <c r="GEF507" s="256"/>
      <c r="GEG507" s="325"/>
      <c r="GEH507" s="311"/>
      <c r="GEI507" s="325"/>
      <c r="GEJ507" s="310"/>
      <c r="GEK507" s="325"/>
      <c r="GEL507" s="325"/>
      <c r="GEM507" s="325"/>
      <c r="GEN507" s="325"/>
      <c r="GEO507" s="325"/>
      <c r="GEP507" s="325"/>
      <c r="GEQ507" s="325"/>
      <c r="GER507" s="325"/>
      <c r="GES507" s="325"/>
      <c r="GET507" s="325"/>
      <c r="GEU507" s="325"/>
      <c r="GEV507" s="325"/>
      <c r="GEW507" s="325"/>
      <c r="GEX507" s="325"/>
      <c r="GEY507" s="325"/>
      <c r="GEZ507" s="325"/>
      <c r="GFA507" s="325"/>
      <c r="GFB507" s="325"/>
      <c r="GFC507" s="325"/>
      <c r="GFD507" s="325"/>
      <c r="GFE507" s="325"/>
      <c r="GFF507" s="325"/>
      <c r="GFG507" s="325"/>
      <c r="GFH507" s="325"/>
      <c r="GFI507" s="325"/>
      <c r="GFJ507" s="325"/>
      <c r="GFK507" s="325"/>
      <c r="GFL507" s="325"/>
      <c r="GFM507" s="325"/>
      <c r="GFN507" s="325"/>
      <c r="GFO507" s="327"/>
      <c r="GFP507" s="28"/>
      <c r="GFQ507" s="324"/>
      <c r="GFR507" s="324"/>
      <c r="GFS507" s="324"/>
      <c r="GFT507" s="324"/>
      <c r="GFU507" s="324"/>
      <c r="GFV507" s="324"/>
      <c r="GFW507" s="256"/>
      <c r="GFX507" s="325"/>
      <c r="GFY507" s="311"/>
      <c r="GFZ507" s="325"/>
      <c r="GGA507" s="310"/>
      <c r="GGB507" s="325"/>
      <c r="GGC507" s="325"/>
      <c r="GGD507" s="325"/>
      <c r="GGE507" s="325"/>
      <c r="GGF507" s="325"/>
      <c r="GGG507" s="325"/>
      <c r="GGH507" s="325"/>
      <c r="GGI507" s="325"/>
      <c r="GGJ507" s="325"/>
      <c r="GGK507" s="325"/>
      <c r="GGL507" s="325"/>
      <c r="GGM507" s="325"/>
      <c r="GGN507" s="325"/>
      <c r="GGO507" s="325"/>
      <c r="GGP507" s="325"/>
      <c r="GGQ507" s="325"/>
      <c r="GGR507" s="325"/>
      <c r="GGS507" s="325"/>
      <c r="GGT507" s="325"/>
      <c r="GGU507" s="325"/>
      <c r="GGV507" s="325"/>
      <c r="GGW507" s="325"/>
      <c r="GGX507" s="325"/>
      <c r="GGY507" s="325"/>
      <c r="GGZ507" s="325"/>
      <c r="GHA507" s="325"/>
      <c r="GHB507" s="325"/>
      <c r="GHC507" s="325"/>
      <c r="GHD507" s="325"/>
      <c r="GHE507" s="325"/>
      <c r="GHF507" s="327"/>
      <c r="GHG507" s="28"/>
      <c r="GHH507" s="324"/>
      <c r="GHI507" s="324"/>
      <c r="GHJ507" s="324"/>
      <c r="GHK507" s="324"/>
      <c r="GHL507" s="324"/>
      <c r="GHM507" s="324"/>
      <c r="GHN507" s="256"/>
      <c r="GHO507" s="325"/>
      <c r="GHP507" s="311"/>
      <c r="GHQ507" s="325"/>
      <c r="GHR507" s="310"/>
      <c r="GHS507" s="325"/>
      <c r="GHT507" s="325"/>
      <c r="GHU507" s="325"/>
      <c r="GHV507" s="325"/>
      <c r="GHW507" s="325"/>
      <c r="GHX507" s="325"/>
      <c r="GHY507" s="325"/>
      <c r="GHZ507" s="325"/>
      <c r="GIA507" s="325"/>
      <c r="GIB507" s="325"/>
      <c r="GIC507" s="325"/>
      <c r="GID507" s="325"/>
      <c r="GIE507" s="325"/>
      <c r="GIF507" s="325"/>
      <c r="GIG507" s="325"/>
      <c r="GIH507" s="325"/>
      <c r="GII507" s="325"/>
      <c r="GIJ507" s="325"/>
      <c r="GIK507" s="325"/>
      <c r="GIL507" s="325"/>
      <c r="GIM507" s="325"/>
      <c r="GIN507" s="325"/>
      <c r="GIO507" s="325"/>
      <c r="GIP507" s="325"/>
      <c r="GIQ507" s="325"/>
      <c r="GIR507" s="325"/>
      <c r="GIS507" s="325"/>
      <c r="GIT507" s="325"/>
      <c r="GIU507" s="325"/>
      <c r="GIV507" s="325"/>
      <c r="GIW507" s="327"/>
      <c r="GIX507" s="28"/>
      <c r="GIY507" s="324"/>
      <c r="GIZ507" s="324"/>
      <c r="GJA507" s="324"/>
      <c r="GJB507" s="324"/>
      <c r="GJC507" s="324"/>
      <c r="GJD507" s="324"/>
      <c r="GJE507" s="256"/>
      <c r="GJF507" s="325"/>
      <c r="GJG507" s="311"/>
      <c r="GJH507" s="325"/>
      <c r="GJI507" s="310"/>
      <c r="GJJ507" s="325"/>
      <c r="GJK507" s="325"/>
      <c r="GJL507" s="325"/>
      <c r="GJM507" s="325"/>
      <c r="GJN507" s="325"/>
      <c r="GJO507" s="325"/>
      <c r="GJP507" s="325"/>
      <c r="GJQ507" s="325"/>
      <c r="GJR507" s="325"/>
      <c r="GJS507" s="325"/>
      <c r="GJT507" s="325"/>
      <c r="GJU507" s="325"/>
      <c r="GJV507" s="325"/>
      <c r="GJW507" s="325"/>
      <c r="GJX507" s="325"/>
      <c r="GJY507" s="325"/>
      <c r="GJZ507" s="325"/>
      <c r="GKA507" s="325"/>
      <c r="GKB507" s="325"/>
      <c r="GKC507" s="325"/>
      <c r="GKD507" s="325"/>
      <c r="GKE507" s="325"/>
      <c r="GKF507" s="325"/>
      <c r="GKG507" s="325"/>
      <c r="GKH507" s="325"/>
      <c r="GKI507" s="325"/>
      <c r="GKJ507" s="325"/>
      <c r="GKK507" s="325"/>
      <c r="GKL507" s="325"/>
      <c r="GKM507" s="325"/>
      <c r="GKN507" s="327"/>
      <c r="GKO507" s="28"/>
      <c r="GKP507" s="324"/>
      <c r="GKQ507" s="324"/>
      <c r="GKR507" s="324"/>
      <c r="GKS507" s="324"/>
      <c r="GKT507" s="324"/>
      <c r="GKU507" s="324"/>
      <c r="GKV507" s="256"/>
      <c r="GKW507" s="325"/>
      <c r="GKX507" s="311"/>
      <c r="GKY507" s="325"/>
      <c r="GKZ507" s="310"/>
      <c r="GLA507" s="325"/>
      <c r="GLB507" s="325"/>
      <c r="GLC507" s="325"/>
      <c r="GLD507" s="325"/>
      <c r="GLE507" s="325"/>
      <c r="GLF507" s="325"/>
      <c r="GLG507" s="325"/>
      <c r="GLH507" s="325"/>
      <c r="GLI507" s="325"/>
      <c r="GLJ507" s="325"/>
      <c r="GLK507" s="325"/>
      <c r="GLL507" s="325"/>
      <c r="GLM507" s="325"/>
      <c r="GLN507" s="325"/>
      <c r="GLO507" s="325"/>
      <c r="GLP507" s="325"/>
      <c r="GLQ507" s="325"/>
      <c r="GLR507" s="325"/>
      <c r="GLS507" s="325"/>
      <c r="GLT507" s="325"/>
      <c r="GLU507" s="325"/>
      <c r="GLV507" s="325"/>
      <c r="GLW507" s="325"/>
      <c r="GLX507" s="325"/>
      <c r="GLY507" s="325"/>
      <c r="GLZ507" s="325"/>
      <c r="GMA507" s="325"/>
      <c r="GMB507" s="325"/>
      <c r="GMC507" s="325"/>
      <c r="GMD507" s="325"/>
      <c r="GME507" s="327"/>
      <c r="GMF507" s="28"/>
      <c r="GMG507" s="324"/>
      <c r="GMH507" s="324"/>
      <c r="GMI507" s="324"/>
      <c r="GMJ507" s="324"/>
      <c r="GMK507" s="324"/>
      <c r="GML507" s="324"/>
      <c r="GMM507" s="256"/>
      <c r="GMN507" s="325"/>
      <c r="GMO507" s="311"/>
      <c r="GMP507" s="325"/>
      <c r="GMQ507" s="310"/>
      <c r="GMR507" s="325"/>
      <c r="GMS507" s="325"/>
      <c r="GMT507" s="325"/>
      <c r="GMU507" s="325"/>
      <c r="GMV507" s="325"/>
      <c r="GMW507" s="325"/>
      <c r="GMX507" s="325"/>
      <c r="GMY507" s="325"/>
      <c r="GMZ507" s="325"/>
      <c r="GNA507" s="325"/>
      <c r="GNB507" s="325"/>
      <c r="GNC507" s="325"/>
      <c r="GND507" s="325"/>
      <c r="GNE507" s="325"/>
      <c r="GNF507" s="325"/>
      <c r="GNG507" s="325"/>
      <c r="GNH507" s="325"/>
      <c r="GNI507" s="325"/>
      <c r="GNJ507" s="325"/>
      <c r="GNK507" s="325"/>
      <c r="GNL507" s="325"/>
      <c r="GNM507" s="325"/>
      <c r="GNN507" s="325"/>
      <c r="GNO507" s="325"/>
      <c r="GNP507" s="325"/>
      <c r="GNQ507" s="325"/>
      <c r="GNR507" s="325"/>
      <c r="GNS507" s="325"/>
      <c r="GNT507" s="325"/>
      <c r="GNU507" s="325"/>
      <c r="GNV507" s="327"/>
      <c r="GNW507" s="28"/>
      <c r="GNX507" s="324"/>
      <c r="GNY507" s="324"/>
      <c r="GNZ507" s="324"/>
      <c r="GOA507" s="324"/>
      <c r="GOB507" s="324"/>
      <c r="GOC507" s="324"/>
      <c r="GOD507" s="256"/>
      <c r="GOE507" s="325"/>
      <c r="GOF507" s="311"/>
      <c r="GOG507" s="325"/>
      <c r="GOH507" s="310"/>
      <c r="GOI507" s="325"/>
      <c r="GOJ507" s="325"/>
      <c r="GOK507" s="325"/>
      <c r="GOL507" s="325"/>
      <c r="GOM507" s="325"/>
      <c r="GON507" s="325"/>
      <c r="GOO507" s="325"/>
      <c r="GOP507" s="325"/>
      <c r="GOQ507" s="325"/>
      <c r="GOR507" s="325"/>
      <c r="GOS507" s="325"/>
      <c r="GOT507" s="325"/>
      <c r="GOU507" s="325"/>
      <c r="GOV507" s="325"/>
      <c r="GOW507" s="325"/>
      <c r="GOX507" s="325"/>
      <c r="GOY507" s="325"/>
      <c r="GOZ507" s="325"/>
      <c r="GPA507" s="325"/>
      <c r="GPB507" s="325"/>
      <c r="GPC507" s="325"/>
      <c r="GPD507" s="325"/>
      <c r="GPE507" s="325"/>
      <c r="GPF507" s="325"/>
      <c r="GPG507" s="325"/>
      <c r="GPH507" s="325"/>
      <c r="GPI507" s="325"/>
      <c r="GPJ507" s="325"/>
      <c r="GPK507" s="325"/>
      <c r="GPL507" s="325"/>
      <c r="GPM507" s="327"/>
      <c r="GPN507" s="28"/>
      <c r="GPO507" s="324"/>
      <c r="GPP507" s="324"/>
      <c r="GPQ507" s="324"/>
      <c r="GPR507" s="324"/>
      <c r="GPS507" s="324"/>
      <c r="GPT507" s="324"/>
      <c r="GPU507" s="256"/>
      <c r="GPV507" s="325"/>
      <c r="GPW507" s="311"/>
      <c r="GPX507" s="325"/>
      <c r="GPY507" s="310"/>
      <c r="GPZ507" s="325"/>
      <c r="GQA507" s="325"/>
      <c r="GQB507" s="325"/>
      <c r="GQC507" s="325"/>
      <c r="GQD507" s="325"/>
      <c r="GQE507" s="325"/>
      <c r="GQF507" s="325"/>
      <c r="GQG507" s="325"/>
      <c r="GQH507" s="325"/>
      <c r="GQI507" s="325"/>
      <c r="GQJ507" s="325"/>
      <c r="GQK507" s="325"/>
      <c r="GQL507" s="325"/>
      <c r="GQM507" s="325"/>
      <c r="GQN507" s="325"/>
      <c r="GQO507" s="325"/>
      <c r="GQP507" s="325"/>
      <c r="GQQ507" s="325"/>
      <c r="GQR507" s="325"/>
      <c r="GQS507" s="325"/>
      <c r="GQT507" s="325"/>
      <c r="GQU507" s="325"/>
      <c r="GQV507" s="325"/>
      <c r="GQW507" s="325"/>
      <c r="GQX507" s="325"/>
      <c r="GQY507" s="325"/>
      <c r="GQZ507" s="325"/>
      <c r="GRA507" s="325"/>
      <c r="GRB507" s="325"/>
      <c r="GRC507" s="325"/>
      <c r="GRD507" s="327"/>
      <c r="GRE507" s="28"/>
      <c r="GRF507" s="324"/>
      <c r="GRG507" s="324"/>
      <c r="GRH507" s="324"/>
      <c r="GRI507" s="324"/>
      <c r="GRJ507" s="324"/>
      <c r="GRK507" s="324"/>
      <c r="GRL507" s="256"/>
      <c r="GRM507" s="325"/>
      <c r="GRN507" s="311"/>
      <c r="GRO507" s="325"/>
      <c r="GRP507" s="310"/>
      <c r="GRQ507" s="325"/>
      <c r="GRR507" s="325"/>
      <c r="GRS507" s="325"/>
      <c r="GRT507" s="325"/>
      <c r="GRU507" s="325"/>
      <c r="GRV507" s="325"/>
      <c r="GRW507" s="325"/>
      <c r="GRX507" s="325"/>
      <c r="GRY507" s="325"/>
      <c r="GRZ507" s="325"/>
      <c r="GSA507" s="325"/>
      <c r="GSB507" s="325"/>
      <c r="GSC507" s="325"/>
      <c r="GSD507" s="325"/>
      <c r="GSE507" s="325"/>
      <c r="GSF507" s="325"/>
      <c r="GSG507" s="325"/>
      <c r="GSH507" s="325"/>
      <c r="GSI507" s="325"/>
      <c r="GSJ507" s="325"/>
      <c r="GSK507" s="325"/>
      <c r="GSL507" s="325"/>
      <c r="GSM507" s="325"/>
      <c r="GSN507" s="325"/>
      <c r="GSO507" s="325"/>
      <c r="GSP507" s="325"/>
      <c r="GSQ507" s="325"/>
      <c r="GSR507" s="325"/>
      <c r="GSS507" s="325"/>
      <c r="GST507" s="325"/>
      <c r="GSU507" s="327"/>
      <c r="GSV507" s="28"/>
      <c r="GSW507" s="324"/>
      <c r="GSX507" s="324"/>
      <c r="GSY507" s="324"/>
      <c r="GSZ507" s="324"/>
      <c r="GTA507" s="324"/>
      <c r="GTB507" s="324"/>
      <c r="GTC507" s="256"/>
      <c r="GTD507" s="325"/>
      <c r="GTE507" s="311"/>
      <c r="GTF507" s="325"/>
      <c r="GTG507" s="310"/>
      <c r="GTH507" s="325"/>
      <c r="GTI507" s="325"/>
      <c r="GTJ507" s="325"/>
      <c r="GTK507" s="325"/>
      <c r="GTL507" s="325"/>
      <c r="GTM507" s="325"/>
      <c r="GTN507" s="325"/>
      <c r="GTO507" s="325"/>
      <c r="GTP507" s="325"/>
      <c r="GTQ507" s="325"/>
      <c r="GTR507" s="325"/>
      <c r="GTS507" s="325"/>
      <c r="GTT507" s="325"/>
      <c r="GTU507" s="325"/>
      <c r="GTV507" s="325"/>
      <c r="GTW507" s="325"/>
      <c r="GTX507" s="325"/>
      <c r="GTY507" s="325"/>
      <c r="GTZ507" s="325"/>
      <c r="GUA507" s="325"/>
      <c r="GUB507" s="325"/>
      <c r="GUC507" s="325"/>
      <c r="GUD507" s="325"/>
      <c r="GUE507" s="325"/>
      <c r="GUF507" s="325"/>
      <c r="GUG507" s="325"/>
      <c r="GUH507" s="325"/>
      <c r="GUI507" s="325"/>
      <c r="GUJ507" s="325"/>
      <c r="GUK507" s="325"/>
      <c r="GUL507" s="327"/>
      <c r="GUM507" s="28"/>
      <c r="GUN507" s="324"/>
      <c r="GUO507" s="324"/>
      <c r="GUP507" s="324"/>
      <c r="GUQ507" s="324"/>
      <c r="GUR507" s="324"/>
      <c r="GUS507" s="324"/>
      <c r="GUT507" s="256"/>
      <c r="GUU507" s="325"/>
      <c r="GUV507" s="311"/>
      <c r="GUW507" s="325"/>
      <c r="GUX507" s="310"/>
      <c r="GUY507" s="325"/>
      <c r="GUZ507" s="325"/>
      <c r="GVA507" s="325"/>
      <c r="GVB507" s="325"/>
      <c r="GVC507" s="325"/>
      <c r="GVD507" s="325"/>
      <c r="GVE507" s="325"/>
      <c r="GVF507" s="325"/>
      <c r="GVG507" s="325"/>
      <c r="GVH507" s="325"/>
      <c r="GVI507" s="325"/>
      <c r="GVJ507" s="325"/>
      <c r="GVK507" s="325"/>
      <c r="GVL507" s="325"/>
      <c r="GVM507" s="325"/>
      <c r="GVN507" s="325"/>
      <c r="GVO507" s="325"/>
      <c r="GVP507" s="325"/>
      <c r="GVQ507" s="325"/>
      <c r="GVR507" s="325"/>
      <c r="GVS507" s="325"/>
      <c r="GVT507" s="325"/>
      <c r="GVU507" s="325"/>
      <c r="GVV507" s="325"/>
      <c r="GVW507" s="325"/>
      <c r="GVX507" s="325"/>
      <c r="GVY507" s="325"/>
      <c r="GVZ507" s="325"/>
      <c r="GWA507" s="325"/>
      <c r="GWB507" s="325"/>
      <c r="GWC507" s="327"/>
      <c r="GWD507" s="28"/>
      <c r="GWE507" s="324"/>
      <c r="GWF507" s="324"/>
      <c r="GWG507" s="324"/>
      <c r="GWH507" s="324"/>
      <c r="GWI507" s="324"/>
      <c r="GWJ507" s="324"/>
      <c r="GWK507" s="256"/>
      <c r="GWL507" s="325"/>
      <c r="GWM507" s="311"/>
      <c r="GWN507" s="325"/>
      <c r="GWO507" s="310"/>
      <c r="GWP507" s="325"/>
      <c r="GWQ507" s="325"/>
      <c r="GWR507" s="325"/>
      <c r="GWS507" s="325"/>
      <c r="GWT507" s="325"/>
      <c r="GWU507" s="325"/>
      <c r="GWV507" s="325"/>
      <c r="GWW507" s="325"/>
      <c r="GWX507" s="325"/>
      <c r="GWY507" s="325"/>
      <c r="GWZ507" s="325"/>
      <c r="GXA507" s="325"/>
      <c r="GXB507" s="325"/>
      <c r="GXC507" s="325"/>
      <c r="GXD507" s="325"/>
      <c r="GXE507" s="325"/>
      <c r="GXF507" s="325"/>
      <c r="GXG507" s="325"/>
      <c r="GXH507" s="325"/>
      <c r="GXI507" s="325"/>
      <c r="GXJ507" s="325"/>
      <c r="GXK507" s="325"/>
      <c r="GXL507" s="325"/>
      <c r="GXM507" s="325"/>
      <c r="GXN507" s="325"/>
      <c r="GXO507" s="325"/>
      <c r="GXP507" s="325"/>
      <c r="GXQ507" s="325"/>
      <c r="GXR507" s="325"/>
      <c r="GXS507" s="325"/>
      <c r="GXT507" s="327"/>
      <c r="GXU507" s="28"/>
      <c r="GXV507" s="324"/>
      <c r="GXW507" s="324"/>
      <c r="GXX507" s="324"/>
      <c r="GXY507" s="324"/>
      <c r="GXZ507" s="324"/>
      <c r="GYA507" s="324"/>
      <c r="GYB507" s="256"/>
      <c r="GYC507" s="325"/>
      <c r="GYD507" s="311"/>
      <c r="GYE507" s="325"/>
      <c r="GYF507" s="310"/>
      <c r="GYG507" s="325"/>
      <c r="GYH507" s="325"/>
      <c r="GYI507" s="325"/>
      <c r="GYJ507" s="325"/>
      <c r="GYK507" s="325"/>
      <c r="GYL507" s="325"/>
      <c r="GYM507" s="325"/>
      <c r="GYN507" s="325"/>
      <c r="GYO507" s="325"/>
      <c r="GYP507" s="325"/>
      <c r="GYQ507" s="325"/>
      <c r="GYR507" s="325"/>
      <c r="GYS507" s="325"/>
      <c r="GYT507" s="325"/>
      <c r="GYU507" s="325"/>
      <c r="GYV507" s="325"/>
      <c r="GYW507" s="325"/>
      <c r="GYX507" s="325"/>
      <c r="GYY507" s="325"/>
      <c r="GYZ507" s="325"/>
      <c r="GZA507" s="325"/>
      <c r="GZB507" s="325"/>
      <c r="GZC507" s="325"/>
      <c r="GZD507" s="325"/>
      <c r="GZE507" s="325"/>
      <c r="GZF507" s="325"/>
      <c r="GZG507" s="325"/>
      <c r="GZH507" s="325"/>
      <c r="GZI507" s="325"/>
      <c r="GZJ507" s="325"/>
      <c r="GZK507" s="327"/>
      <c r="GZL507" s="28"/>
      <c r="GZM507" s="324"/>
      <c r="GZN507" s="324"/>
      <c r="GZO507" s="324"/>
      <c r="GZP507" s="324"/>
      <c r="GZQ507" s="324"/>
      <c r="GZR507" s="324"/>
      <c r="GZS507" s="256"/>
      <c r="GZT507" s="325"/>
      <c r="GZU507" s="311"/>
      <c r="GZV507" s="325"/>
      <c r="GZW507" s="310"/>
      <c r="GZX507" s="325"/>
      <c r="GZY507" s="325"/>
      <c r="GZZ507" s="325"/>
      <c r="HAA507" s="325"/>
      <c r="HAB507" s="325"/>
      <c r="HAC507" s="325"/>
      <c r="HAD507" s="325"/>
      <c r="HAE507" s="325"/>
      <c r="HAF507" s="325"/>
      <c r="HAG507" s="325"/>
      <c r="HAH507" s="325"/>
      <c r="HAI507" s="325"/>
      <c r="HAJ507" s="325"/>
      <c r="HAK507" s="325"/>
      <c r="HAL507" s="325"/>
      <c r="HAM507" s="325"/>
      <c r="HAN507" s="325"/>
      <c r="HAO507" s="325"/>
      <c r="HAP507" s="325"/>
      <c r="HAQ507" s="325"/>
      <c r="HAR507" s="325"/>
      <c r="HAS507" s="325"/>
      <c r="HAT507" s="325"/>
      <c r="HAU507" s="325"/>
      <c r="HAV507" s="325"/>
      <c r="HAW507" s="325"/>
      <c r="HAX507" s="325"/>
      <c r="HAY507" s="325"/>
      <c r="HAZ507" s="325"/>
      <c r="HBA507" s="325"/>
      <c r="HBB507" s="327"/>
      <c r="HBC507" s="28"/>
      <c r="HBD507" s="324"/>
      <c r="HBE507" s="324"/>
      <c r="HBF507" s="324"/>
      <c r="HBG507" s="324"/>
      <c r="HBH507" s="324"/>
      <c r="HBI507" s="324"/>
      <c r="HBJ507" s="256"/>
      <c r="HBK507" s="325"/>
      <c r="HBL507" s="311"/>
      <c r="HBM507" s="325"/>
      <c r="HBN507" s="310"/>
      <c r="HBO507" s="325"/>
      <c r="HBP507" s="325"/>
      <c r="HBQ507" s="325"/>
      <c r="HBR507" s="325"/>
      <c r="HBS507" s="325"/>
      <c r="HBT507" s="325"/>
      <c r="HBU507" s="325"/>
      <c r="HBV507" s="325"/>
      <c r="HBW507" s="325"/>
      <c r="HBX507" s="325"/>
      <c r="HBY507" s="325"/>
      <c r="HBZ507" s="325"/>
      <c r="HCA507" s="325"/>
      <c r="HCB507" s="325"/>
      <c r="HCC507" s="325"/>
      <c r="HCD507" s="325"/>
      <c r="HCE507" s="325"/>
      <c r="HCF507" s="325"/>
      <c r="HCG507" s="325"/>
      <c r="HCH507" s="325"/>
      <c r="HCI507" s="325"/>
      <c r="HCJ507" s="325"/>
      <c r="HCK507" s="325"/>
      <c r="HCL507" s="325"/>
      <c r="HCM507" s="325"/>
      <c r="HCN507" s="325"/>
      <c r="HCO507" s="325"/>
      <c r="HCP507" s="325"/>
      <c r="HCQ507" s="325"/>
      <c r="HCR507" s="325"/>
      <c r="HCS507" s="327"/>
      <c r="HCT507" s="28"/>
      <c r="HCU507" s="324"/>
      <c r="HCV507" s="324"/>
      <c r="HCW507" s="324"/>
      <c r="HCX507" s="324"/>
      <c r="HCY507" s="324"/>
      <c r="HCZ507" s="324"/>
      <c r="HDA507" s="256"/>
      <c r="HDB507" s="325"/>
      <c r="HDC507" s="311"/>
      <c r="HDD507" s="325"/>
      <c r="HDE507" s="310"/>
      <c r="HDF507" s="325"/>
      <c r="HDG507" s="325"/>
      <c r="HDH507" s="325"/>
      <c r="HDI507" s="325"/>
      <c r="HDJ507" s="325"/>
      <c r="HDK507" s="325"/>
      <c r="HDL507" s="325"/>
      <c r="HDM507" s="325"/>
      <c r="HDN507" s="325"/>
      <c r="HDO507" s="325"/>
      <c r="HDP507" s="325"/>
      <c r="HDQ507" s="325"/>
      <c r="HDR507" s="325"/>
      <c r="HDS507" s="325"/>
      <c r="HDT507" s="325"/>
      <c r="HDU507" s="325"/>
      <c r="HDV507" s="325"/>
      <c r="HDW507" s="325"/>
      <c r="HDX507" s="325"/>
      <c r="HDY507" s="325"/>
      <c r="HDZ507" s="325"/>
      <c r="HEA507" s="325"/>
      <c r="HEB507" s="325"/>
      <c r="HEC507" s="325"/>
      <c r="HED507" s="325"/>
      <c r="HEE507" s="325"/>
      <c r="HEF507" s="325"/>
      <c r="HEG507" s="325"/>
      <c r="HEH507" s="325"/>
      <c r="HEI507" s="325"/>
      <c r="HEJ507" s="327"/>
      <c r="HEK507" s="28"/>
      <c r="HEL507" s="324"/>
      <c r="HEM507" s="324"/>
      <c r="HEN507" s="324"/>
      <c r="HEO507" s="324"/>
      <c r="HEP507" s="324"/>
      <c r="HEQ507" s="324"/>
      <c r="HER507" s="256"/>
      <c r="HES507" s="325"/>
      <c r="HET507" s="311"/>
      <c r="HEU507" s="325"/>
      <c r="HEV507" s="310"/>
      <c r="HEW507" s="325"/>
      <c r="HEX507" s="325"/>
      <c r="HEY507" s="325"/>
      <c r="HEZ507" s="325"/>
      <c r="HFA507" s="325"/>
      <c r="HFB507" s="325"/>
      <c r="HFC507" s="325"/>
      <c r="HFD507" s="325"/>
      <c r="HFE507" s="325"/>
      <c r="HFF507" s="325"/>
      <c r="HFG507" s="325"/>
      <c r="HFH507" s="325"/>
      <c r="HFI507" s="325"/>
      <c r="HFJ507" s="325"/>
      <c r="HFK507" s="325"/>
      <c r="HFL507" s="325"/>
      <c r="HFM507" s="325"/>
      <c r="HFN507" s="325"/>
      <c r="HFO507" s="325"/>
      <c r="HFP507" s="325"/>
      <c r="HFQ507" s="325"/>
      <c r="HFR507" s="325"/>
      <c r="HFS507" s="325"/>
      <c r="HFT507" s="325"/>
      <c r="HFU507" s="325"/>
      <c r="HFV507" s="325"/>
      <c r="HFW507" s="325"/>
      <c r="HFX507" s="325"/>
      <c r="HFY507" s="325"/>
      <c r="HFZ507" s="325"/>
      <c r="HGA507" s="327"/>
      <c r="HGB507" s="28"/>
      <c r="HGC507" s="324"/>
      <c r="HGD507" s="324"/>
      <c r="HGE507" s="324"/>
      <c r="HGF507" s="324"/>
      <c r="HGG507" s="324"/>
      <c r="HGH507" s="324"/>
      <c r="HGI507" s="256"/>
      <c r="HGJ507" s="325"/>
      <c r="HGK507" s="311"/>
      <c r="HGL507" s="325"/>
      <c r="HGM507" s="310"/>
      <c r="HGN507" s="325"/>
      <c r="HGO507" s="325"/>
      <c r="HGP507" s="325"/>
      <c r="HGQ507" s="325"/>
      <c r="HGR507" s="325"/>
      <c r="HGS507" s="325"/>
      <c r="HGT507" s="325"/>
      <c r="HGU507" s="325"/>
      <c r="HGV507" s="325"/>
      <c r="HGW507" s="325"/>
      <c r="HGX507" s="325"/>
      <c r="HGY507" s="325"/>
      <c r="HGZ507" s="325"/>
      <c r="HHA507" s="325"/>
      <c r="HHB507" s="325"/>
      <c r="HHC507" s="325"/>
      <c r="HHD507" s="325"/>
      <c r="HHE507" s="325"/>
      <c r="HHF507" s="325"/>
      <c r="HHG507" s="325"/>
      <c r="HHH507" s="325"/>
      <c r="HHI507" s="325"/>
      <c r="HHJ507" s="325"/>
      <c r="HHK507" s="325"/>
      <c r="HHL507" s="325"/>
      <c r="HHM507" s="325"/>
      <c r="HHN507" s="325"/>
      <c r="HHO507" s="325"/>
      <c r="HHP507" s="325"/>
      <c r="HHQ507" s="325"/>
      <c r="HHR507" s="327"/>
      <c r="HHS507" s="28"/>
      <c r="HHT507" s="324"/>
      <c r="HHU507" s="324"/>
      <c r="HHV507" s="324"/>
      <c r="HHW507" s="324"/>
      <c r="HHX507" s="324"/>
      <c r="HHY507" s="324"/>
      <c r="HHZ507" s="256"/>
      <c r="HIA507" s="325"/>
      <c r="HIB507" s="311"/>
      <c r="HIC507" s="325"/>
      <c r="HID507" s="310"/>
      <c r="HIE507" s="325"/>
      <c r="HIF507" s="325"/>
      <c r="HIG507" s="325"/>
      <c r="HIH507" s="325"/>
      <c r="HII507" s="325"/>
      <c r="HIJ507" s="325"/>
      <c r="HIK507" s="325"/>
      <c r="HIL507" s="325"/>
      <c r="HIM507" s="325"/>
      <c r="HIN507" s="325"/>
      <c r="HIO507" s="325"/>
      <c r="HIP507" s="325"/>
      <c r="HIQ507" s="325"/>
      <c r="HIR507" s="325"/>
      <c r="HIS507" s="325"/>
      <c r="HIT507" s="325"/>
      <c r="HIU507" s="325"/>
      <c r="HIV507" s="325"/>
      <c r="HIW507" s="325"/>
      <c r="HIX507" s="325"/>
      <c r="HIY507" s="325"/>
      <c r="HIZ507" s="325"/>
      <c r="HJA507" s="325"/>
      <c r="HJB507" s="325"/>
      <c r="HJC507" s="325"/>
      <c r="HJD507" s="325"/>
      <c r="HJE507" s="325"/>
      <c r="HJF507" s="325"/>
      <c r="HJG507" s="325"/>
      <c r="HJH507" s="325"/>
      <c r="HJI507" s="327"/>
      <c r="HJJ507" s="28"/>
      <c r="HJK507" s="324"/>
      <c r="HJL507" s="324"/>
      <c r="HJM507" s="324"/>
      <c r="HJN507" s="324"/>
      <c r="HJO507" s="324"/>
      <c r="HJP507" s="324"/>
      <c r="HJQ507" s="256"/>
      <c r="HJR507" s="325"/>
      <c r="HJS507" s="311"/>
      <c r="HJT507" s="325"/>
      <c r="HJU507" s="310"/>
      <c r="HJV507" s="325"/>
      <c r="HJW507" s="325"/>
      <c r="HJX507" s="325"/>
      <c r="HJY507" s="325"/>
      <c r="HJZ507" s="325"/>
      <c r="HKA507" s="325"/>
      <c r="HKB507" s="325"/>
      <c r="HKC507" s="325"/>
      <c r="HKD507" s="325"/>
      <c r="HKE507" s="325"/>
      <c r="HKF507" s="325"/>
      <c r="HKG507" s="325"/>
      <c r="HKH507" s="325"/>
      <c r="HKI507" s="325"/>
      <c r="HKJ507" s="325"/>
      <c r="HKK507" s="325"/>
      <c r="HKL507" s="325"/>
      <c r="HKM507" s="325"/>
      <c r="HKN507" s="325"/>
      <c r="HKO507" s="325"/>
      <c r="HKP507" s="325"/>
      <c r="HKQ507" s="325"/>
      <c r="HKR507" s="325"/>
      <c r="HKS507" s="325"/>
      <c r="HKT507" s="325"/>
      <c r="HKU507" s="325"/>
      <c r="HKV507" s="325"/>
      <c r="HKW507" s="325"/>
      <c r="HKX507" s="325"/>
      <c r="HKY507" s="325"/>
      <c r="HKZ507" s="327"/>
      <c r="HLA507" s="28"/>
      <c r="HLB507" s="324"/>
      <c r="HLC507" s="324"/>
      <c r="HLD507" s="324"/>
      <c r="HLE507" s="324"/>
      <c r="HLF507" s="324"/>
      <c r="HLG507" s="324"/>
      <c r="HLH507" s="256"/>
      <c r="HLI507" s="325"/>
      <c r="HLJ507" s="311"/>
      <c r="HLK507" s="325"/>
      <c r="HLL507" s="310"/>
      <c r="HLM507" s="325"/>
      <c r="HLN507" s="325"/>
      <c r="HLO507" s="325"/>
      <c r="HLP507" s="325"/>
      <c r="HLQ507" s="325"/>
      <c r="HLR507" s="325"/>
      <c r="HLS507" s="325"/>
      <c r="HLT507" s="325"/>
      <c r="HLU507" s="325"/>
      <c r="HLV507" s="325"/>
      <c r="HLW507" s="325"/>
      <c r="HLX507" s="325"/>
      <c r="HLY507" s="325"/>
      <c r="HLZ507" s="325"/>
      <c r="HMA507" s="325"/>
      <c r="HMB507" s="325"/>
      <c r="HMC507" s="325"/>
      <c r="HMD507" s="325"/>
      <c r="HME507" s="325"/>
      <c r="HMF507" s="325"/>
      <c r="HMG507" s="325"/>
      <c r="HMH507" s="325"/>
      <c r="HMI507" s="325"/>
      <c r="HMJ507" s="325"/>
      <c r="HMK507" s="325"/>
      <c r="HML507" s="325"/>
      <c r="HMM507" s="325"/>
      <c r="HMN507" s="325"/>
      <c r="HMO507" s="325"/>
      <c r="HMP507" s="325"/>
      <c r="HMQ507" s="327"/>
      <c r="HMR507" s="28"/>
      <c r="HMS507" s="324"/>
      <c r="HMT507" s="324"/>
      <c r="HMU507" s="324"/>
      <c r="HMV507" s="324"/>
      <c r="HMW507" s="324"/>
      <c r="HMX507" s="324"/>
      <c r="HMY507" s="256"/>
      <c r="HMZ507" s="325"/>
      <c r="HNA507" s="311"/>
      <c r="HNB507" s="325"/>
      <c r="HNC507" s="310"/>
      <c r="HND507" s="325"/>
      <c r="HNE507" s="325"/>
      <c r="HNF507" s="325"/>
      <c r="HNG507" s="325"/>
      <c r="HNH507" s="325"/>
      <c r="HNI507" s="325"/>
      <c r="HNJ507" s="325"/>
      <c r="HNK507" s="325"/>
      <c r="HNL507" s="325"/>
      <c r="HNM507" s="325"/>
      <c r="HNN507" s="325"/>
      <c r="HNO507" s="325"/>
      <c r="HNP507" s="325"/>
      <c r="HNQ507" s="325"/>
      <c r="HNR507" s="325"/>
      <c r="HNS507" s="325"/>
      <c r="HNT507" s="325"/>
      <c r="HNU507" s="325"/>
      <c r="HNV507" s="325"/>
      <c r="HNW507" s="325"/>
      <c r="HNX507" s="325"/>
      <c r="HNY507" s="325"/>
      <c r="HNZ507" s="325"/>
      <c r="HOA507" s="325"/>
      <c r="HOB507" s="325"/>
      <c r="HOC507" s="325"/>
      <c r="HOD507" s="325"/>
      <c r="HOE507" s="325"/>
      <c r="HOF507" s="325"/>
      <c r="HOG507" s="325"/>
      <c r="HOH507" s="327"/>
      <c r="HOI507" s="28"/>
      <c r="HOJ507" s="324"/>
      <c r="HOK507" s="324"/>
      <c r="HOL507" s="324"/>
      <c r="HOM507" s="324"/>
      <c r="HON507" s="324"/>
      <c r="HOO507" s="324"/>
      <c r="HOP507" s="256"/>
      <c r="HOQ507" s="325"/>
      <c r="HOR507" s="311"/>
      <c r="HOS507" s="325"/>
      <c r="HOT507" s="310"/>
      <c r="HOU507" s="325"/>
      <c r="HOV507" s="325"/>
      <c r="HOW507" s="325"/>
      <c r="HOX507" s="325"/>
      <c r="HOY507" s="325"/>
      <c r="HOZ507" s="325"/>
      <c r="HPA507" s="325"/>
      <c r="HPB507" s="325"/>
      <c r="HPC507" s="325"/>
      <c r="HPD507" s="325"/>
      <c r="HPE507" s="325"/>
      <c r="HPF507" s="325"/>
      <c r="HPG507" s="325"/>
      <c r="HPH507" s="325"/>
      <c r="HPI507" s="325"/>
      <c r="HPJ507" s="325"/>
      <c r="HPK507" s="325"/>
      <c r="HPL507" s="325"/>
      <c r="HPM507" s="325"/>
      <c r="HPN507" s="325"/>
      <c r="HPO507" s="325"/>
      <c r="HPP507" s="325"/>
      <c r="HPQ507" s="325"/>
      <c r="HPR507" s="325"/>
      <c r="HPS507" s="325"/>
      <c r="HPT507" s="325"/>
      <c r="HPU507" s="325"/>
      <c r="HPV507" s="325"/>
      <c r="HPW507" s="325"/>
      <c r="HPX507" s="325"/>
      <c r="HPY507" s="327"/>
      <c r="HPZ507" s="28"/>
      <c r="HQA507" s="324"/>
      <c r="HQB507" s="324"/>
      <c r="HQC507" s="324"/>
      <c r="HQD507" s="324"/>
      <c r="HQE507" s="324"/>
      <c r="HQF507" s="324"/>
      <c r="HQG507" s="256"/>
      <c r="HQH507" s="325"/>
      <c r="HQI507" s="311"/>
      <c r="HQJ507" s="325"/>
      <c r="HQK507" s="310"/>
      <c r="HQL507" s="325"/>
      <c r="HQM507" s="325"/>
      <c r="HQN507" s="325"/>
      <c r="HQO507" s="325"/>
      <c r="HQP507" s="325"/>
      <c r="HQQ507" s="325"/>
      <c r="HQR507" s="325"/>
      <c r="HQS507" s="325"/>
      <c r="HQT507" s="325"/>
      <c r="HQU507" s="325"/>
      <c r="HQV507" s="325"/>
      <c r="HQW507" s="325"/>
      <c r="HQX507" s="325"/>
      <c r="HQY507" s="325"/>
      <c r="HQZ507" s="325"/>
      <c r="HRA507" s="325"/>
      <c r="HRB507" s="325"/>
      <c r="HRC507" s="325"/>
      <c r="HRD507" s="325"/>
      <c r="HRE507" s="325"/>
      <c r="HRF507" s="325"/>
      <c r="HRG507" s="325"/>
      <c r="HRH507" s="325"/>
      <c r="HRI507" s="325"/>
      <c r="HRJ507" s="325"/>
      <c r="HRK507" s="325"/>
      <c r="HRL507" s="325"/>
      <c r="HRM507" s="325"/>
      <c r="HRN507" s="325"/>
      <c r="HRO507" s="325"/>
      <c r="HRP507" s="327"/>
      <c r="HRQ507" s="28"/>
      <c r="HRR507" s="324"/>
      <c r="HRS507" s="324"/>
      <c r="HRT507" s="324"/>
      <c r="HRU507" s="324"/>
      <c r="HRV507" s="324"/>
      <c r="HRW507" s="324"/>
      <c r="HRX507" s="256"/>
      <c r="HRY507" s="325"/>
      <c r="HRZ507" s="311"/>
      <c r="HSA507" s="325"/>
      <c r="HSB507" s="310"/>
      <c r="HSC507" s="325"/>
      <c r="HSD507" s="325"/>
      <c r="HSE507" s="325"/>
      <c r="HSF507" s="325"/>
      <c r="HSG507" s="325"/>
      <c r="HSH507" s="325"/>
      <c r="HSI507" s="325"/>
      <c r="HSJ507" s="325"/>
      <c r="HSK507" s="325"/>
      <c r="HSL507" s="325"/>
      <c r="HSM507" s="325"/>
      <c r="HSN507" s="325"/>
      <c r="HSO507" s="325"/>
      <c r="HSP507" s="325"/>
      <c r="HSQ507" s="325"/>
      <c r="HSR507" s="325"/>
      <c r="HSS507" s="325"/>
      <c r="HST507" s="325"/>
      <c r="HSU507" s="325"/>
      <c r="HSV507" s="325"/>
      <c r="HSW507" s="325"/>
      <c r="HSX507" s="325"/>
      <c r="HSY507" s="325"/>
      <c r="HSZ507" s="325"/>
      <c r="HTA507" s="325"/>
      <c r="HTB507" s="325"/>
      <c r="HTC507" s="325"/>
      <c r="HTD507" s="325"/>
      <c r="HTE507" s="325"/>
      <c r="HTF507" s="325"/>
      <c r="HTG507" s="327"/>
      <c r="HTH507" s="28"/>
      <c r="HTI507" s="324"/>
      <c r="HTJ507" s="324"/>
      <c r="HTK507" s="324"/>
      <c r="HTL507" s="324"/>
      <c r="HTM507" s="324"/>
      <c r="HTN507" s="324"/>
      <c r="HTO507" s="256"/>
      <c r="HTP507" s="325"/>
      <c r="HTQ507" s="311"/>
      <c r="HTR507" s="325"/>
      <c r="HTS507" s="310"/>
      <c r="HTT507" s="325"/>
      <c r="HTU507" s="325"/>
      <c r="HTV507" s="325"/>
      <c r="HTW507" s="325"/>
      <c r="HTX507" s="325"/>
      <c r="HTY507" s="325"/>
      <c r="HTZ507" s="325"/>
      <c r="HUA507" s="325"/>
      <c r="HUB507" s="325"/>
      <c r="HUC507" s="325"/>
      <c r="HUD507" s="325"/>
      <c r="HUE507" s="325"/>
      <c r="HUF507" s="325"/>
      <c r="HUG507" s="325"/>
      <c r="HUH507" s="325"/>
      <c r="HUI507" s="325"/>
      <c r="HUJ507" s="325"/>
      <c r="HUK507" s="325"/>
      <c r="HUL507" s="325"/>
      <c r="HUM507" s="325"/>
      <c r="HUN507" s="325"/>
      <c r="HUO507" s="325"/>
      <c r="HUP507" s="325"/>
      <c r="HUQ507" s="325"/>
      <c r="HUR507" s="325"/>
      <c r="HUS507" s="325"/>
      <c r="HUT507" s="325"/>
      <c r="HUU507" s="325"/>
      <c r="HUV507" s="325"/>
      <c r="HUW507" s="325"/>
      <c r="HUX507" s="327"/>
      <c r="HUY507" s="28"/>
      <c r="HUZ507" s="324"/>
      <c r="HVA507" s="324"/>
      <c r="HVB507" s="324"/>
      <c r="HVC507" s="324"/>
      <c r="HVD507" s="324"/>
      <c r="HVE507" s="324"/>
      <c r="HVF507" s="256"/>
      <c r="HVG507" s="325"/>
      <c r="HVH507" s="311"/>
      <c r="HVI507" s="325"/>
      <c r="HVJ507" s="310"/>
      <c r="HVK507" s="325"/>
      <c r="HVL507" s="325"/>
      <c r="HVM507" s="325"/>
      <c r="HVN507" s="325"/>
      <c r="HVO507" s="325"/>
      <c r="HVP507" s="325"/>
      <c r="HVQ507" s="325"/>
      <c r="HVR507" s="325"/>
      <c r="HVS507" s="325"/>
      <c r="HVT507" s="325"/>
      <c r="HVU507" s="325"/>
      <c r="HVV507" s="325"/>
      <c r="HVW507" s="325"/>
      <c r="HVX507" s="325"/>
      <c r="HVY507" s="325"/>
      <c r="HVZ507" s="325"/>
      <c r="HWA507" s="325"/>
      <c r="HWB507" s="325"/>
      <c r="HWC507" s="325"/>
      <c r="HWD507" s="325"/>
      <c r="HWE507" s="325"/>
      <c r="HWF507" s="325"/>
      <c r="HWG507" s="325"/>
      <c r="HWH507" s="325"/>
      <c r="HWI507" s="325"/>
      <c r="HWJ507" s="325"/>
      <c r="HWK507" s="325"/>
      <c r="HWL507" s="325"/>
      <c r="HWM507" s="325"/>
      <c r="HWN507" s="325"/>
      <c r="HWO507" s="327"/>
      <c r="HWP507" s="28"/>
      <c r="HWQ507" s="324"/>
      <c r="HWR507" s="324"/>
      <c r="HWS507" s="324"/>
      <c r="HWT507" s="324"/>
      <c r="HWU507" s="324"/>
      <c r="HWV507" s="324"/>
      <c r="HWW507" s="256"/>
      <c r="HWX507" s="325"/>
      <c r="HWY507" s="311"/>
      <c r="HWZ507" s="325"/>
      <c r="HXA507" s="310"/>
      <c r="HXB507" s="325"/>
      <c r="HXC507" s="325"/>
      <c r="HXD507" s="325"/>
      <c r="HXE507" s="325"/>
      <c r="HXF507" s="325"/>
      <c r="HXG507" s="325"/>
      <c r="HXH507" s="325"/>
      <c r="HXI507" s="325"/>
      <c r="HXJ507" s="325"/>
      <c r="HXK507" s="325"/>
      <c r="HXL507" s="325"/>
      <c r="HXM507" s="325"/>
      <c r="HXN507" s="325"/>
      <c r="HXO507" s="325"/>
      <c r="HXP507" s="325"/>
      <c r="HXQ507" s="325"/>
      <c r="HXR507" s="325"/>
      <c r="HXS507" s="325"/>
      <c r="HXT507" s="325"/>
      <c r="HXU507" s="325"/>
      <c r="HXV507" s="325"/>
      <c r="HXW507" s="325"/>
      <c r="HXX507" s="325"/>
      <c r="HXY507" s="325"/>
      <c r="HXZ507" s="325"/>
      <c r="HYA507" s="325"/>
      <c r="HYB507" s="325"/>
      <c r="HYC507" s="325"/>
      <c r="HYD507" s="325"/>
      <c r="HYE507" s="325"/>
      <c r="HYF507" s="327"/>
      <c r="HYG507" s="28"/>
      <c r="HYH507" s="324"/>
      <c r="HYI507" s="324"/>
      <c r="HYJ507" s="324"/>
      <c r="HYK507" s="324"/>
      <c r="HYL507" s="324"/>
      <c r="HYM507" s="324"/>
      <c r="HYN507" s="256"/>
      <c r="HYO507" s="325"/>
      <c r="HYP507" s="311"/>
      <c r="HYQ507" s="325"/>
      <c r="HYR507" s="310"/>
      <c r="HYS507" s="325"/>
      <c r="HYT507" s="325"/>
      <c r="HYU507" s="325"/>
      <c r="HYV507" s="325"/>
      <c r="HYW507" s="325"/>
      <c r="HYX507" s="325"/>
      <c r="HYY507" s="325"/>
      <c r="HYZ507" s="325"/>
      <c r="HZA507" s="325"/>
      <c r="HZB507" s="325"/>
      <c r="HZC507" s="325"/>
      <c r="HZD507" s="325"/>
      <c r="HZE507" s="325"/>
      <c r="HZF507" s="325"/>
      <c r="HZG507" s="325"/>
      <c r="HZH507" s="325"/>
      <c r="HZI507" s="325"/>
      <c r="HZJ507" s="325"/>
      <c r="HZK507" s="325"/>
      <c r="HZL507" s="325"/>
      <c r="HZM507" s="325"/>
      <c r="HZN507" s="325"/>
      <c r="HZO507" s="325"/>
      <c r="HZP507" s="325"/>
      <c r="HZQ507" s="325"/>
      <c r="HZR507" s="325"/>
      <c r="HZS507" s="325"/>
      <c r="HZT507" s="325"/>
      <c r="HZU507" s="325"/>
      <c r="HZV507" s="325"/>
      <c r="HZW507" s="327"/>
      <c r="HZX507" s="28"/>
      <c r="HZY507" s="324"/>
      <c r="HZZ507" s="324"/>
      <c r="IAA507" s="324"/>
      <c r="IAB507" s="324"/>
      <c r="IAC507" s="324"/>
      <c r="IAD507" s="324"/>
      <c r="IAE507" s="256"/>
      <c r="IAF507" s="325"/>
      <c r="IAG507" s="311"/>
      <c r="IAH507" s="325"/>
      <c r="IAI507" s="310"/>
      <c r="IAJ507" s="325"/>
      <c r="IAK507" s="325"/>
      <c r="IAL507" s="325"/>
      <c r="IAM507" s="325"/>
      <c r="IAN507" s="325"/>
      <c r="IAO507" s="325"/>
      <c r="IAP507" s="325"/>
      <c r="IAQ507" s="325"/>
      <c r="IAR507" s="325"/>
      <c r="IAS507" s="325"/>
      <c r="IAT507" s="325"/>
      <c r="IAU507" s="325"/>
      <c r="IAV507" s="325"/>
      <c r="IAW507" s="325"/>
      <c r="IAX507" s="325"/>
      <c r="IAY507" s="325"/>
      <c r="IAZ507" s="325"/>
      <c r="IBA507" s="325"/>
      <c r="IBB507" s="325"/>
      <c r="IBC507" s="325"/>
      <c r="IBD507" s="325"/>
      <c r="IBE507" s="325"/>
      <c r="IBF507" s="325"/>
      <c r="IBG507" s="325"/>
      <c r="IBH507" s="325"/>
      <c r="IBI507" s="325"/>
      <c r="IBJ507" s="325"/>
      <c r="IBK507" s="325"/>
      <c r="IBL507" s="325"/>
      <c r="IBM507" s="325"/>
      <c r="IBN507" s="327"/>
      <c r="IBO507" s="28"/>
      <c r="IBP507" s="324"/>
      <c r="IBQ507" s="324"/>
      <c r="IBR507" s="324"/>
      <c r="IBS507" s="324"/>
      <c r="IBT507" s="324"/>
      <c r="IBU507" s="324"/>
      <c r="IBV507" s="256"/>
      <c r="IBW507" s="325"/>
      <c r="IBX507" s="311"/>
      <c r="IBY507" s="325"/>
      <c r="IBZ507" s="310"/>
      <c r="ICA507" s="325"/>
      <c r="ICB507" s="325"/>
      <c r="ICC507" s="325"/>
      <c r="ICD507" s="325"/>
      <c r="ICE507" s="325"/>
      <c r="ICF507" s="325"/>
      <c r="ICG507" s="325"/>
      <c r="ICH507" s="325"/>
      <c r="ICI507" s="325"/>
      <c r="ICJ507" s="325"/>
      <c r="ICK507" s="325"/>
      <c r="ICL507" s="325"/>
      <c r="ICM507" s="325"/>
      <c r="ICN507" s="325"/>
      <c r="ICO507" s="325"/>
      <c r="ICP507" s="325"/>
      <c r="ICQ507" s="325"/>
      <c r="ICR507" s="325"/>
      <c r="ICS507" s="325"/>
      <c r="ICT507" s="325"/>
      <c r="ICU507" s="325"/>
      <c r="ICV507" s="325"/>
      <c r="ICW507" s="325"/>
      <c r="ICX507" s="325"/>
      <c r="ICY507" s="325"/>
      <c r="ICZ507" s="325"/>
      <c r="IDA507" s="325"/>
      <c r="IDB507" s="325"/>
      <c r="IDC507" s="325"/>
      <c r="IDD507" s="325"/>
      <c r="IDE507" s="327"/>
      <c r="IDF507" s="28"/>
      <c r="IDG507" s="324"/>
      <c r="IDH507" s="324"/>
      <c r="IDI507" s="324"/>
      <c r="IDJ507" s="324"/>
      <c r="IDK507" s="324"/>
      <c r="IDL507" s="324"/>
      <c r="IDM507" s="256"/>
      <c r="IDN507" s="325"/>
      <c r="IDO507" s="311"/>
      <c r="IDP507" s="325"/>
      <c r="IDQ507" s="310"/>
      <c r="IDR507" s="325"/>
      <c r="IDS507" s="325"/>
      <c r="IDT507" s="325"/>
      <c r="IDU507" s="325"/>
      <c r="IDV507" s="325"/>
      <c r="IDW507" s="325"/>
      <c r="IDX507" s="325"/>
      <c r="IDY507" s="325"/>
      <c r="IDZ507" s="325"/>
      <c r="IEA507" s="325"/>
      <c r="IEB507" s="325"/>
      <c r="IEC507" s="325"/>
      <c r="IED507" s="325"/>
      <c r="IEE507" s="325"/>
      <c r="IEF507" s="325"/>
      <c r="IEG507" s="325"/>
      <c r="IEH507" s="325"/>
      <c r="IEI507" s="325"/>
      <c r="IEJ507" s="325"/>
      <c r="IEK507" s="325"/>
      <c r="IEL507" s="325"/>
      <c r="IEM507" s="325"/>
      <c r="IEN507" s="325"/>
      <c r="IEO507" s="325"/>
      <c r="IEP507" s="325"/>
      <c r="IEQ507" s="325"/>
      <c r="IER507" s="325"/>
      <c r="IES507" s="325"/>
      <c r="IET507" s="325"/>
      <c r="IEU507" s="325"/>
      <c r="IEV507" s="327"/>
      <c r="IEW507" s="28"/>
      <c r="IEX507" s="324"/>
      <c r="IEY507" s="324"/>
      <c r="IEZ507" s="324"/>
      <c r="IFA507" s="324"/>
      <c r="IFB507" s="324"/>
      <c r="IFC507" s="324"/>
      <c r="IFD507" s="256"/>
      <c r="IFE507" s="325"/>
      <c r="IFF507" s="311"/>
      <c r="IFG507" s="325"/>
      <c r="IFH507" s="310"/>
      <c r="IFI507" s="325"/>
      <c r="IFJ507" s="325"/>
      <c r="IFK507" s="325"/>
      <c r="IFL507" s="325"/>
      <c r="IFM507" s="325"/>
      <c r="IFN507" s="325"/>
      <c r="IFO507" s="325"/>
      <c r="IFP507" s="325"/>
      <c r="IFQ507" s="325"/>
      <c r="IFR507" s="325"/>
      <c r="IFS507" s="325"/>
      <c r="IFT507" s="325"/>
      <c r="IFU507" s="325"/>
      <c r="IFV507" s="325"/>
      <c r="IFW507" s="325"/>
      <c r="IFX507" s="325"/>
      <c r="IFY507" s="325"/>
      <c r="IFZ507" s="325"/>
      <c r="IGA507" s="325"/>
      <c r="IGB507" s="325"/>
      <c r="IGC507" s="325"/>
      <c r="IGD507" s="325"/>
      <c r="IGE507" s="325"/>
      <c r="IGF507" s="325"/>
      <c r="IGG507" s="325"/>
      <c r="IGH507" s="325"/>
      <c r="IGI507" s="325"/>
      <c r="IGJ507" s="325"/>
      <c r="IGK507" s="325"/>
      <c r="IGL507" s="325"/>
      <c r="IGM507" s="327"/>
      <c r="IGN507" s="28"/>
      <c r="IGO507" s="324"/>
      <c r="IGP507" s="324"/>
      <c r="IGQ507" s="324"/>
      <c r="IGR507" s="324"/>
      <c r="IGS507" s="324"/>
      <c r="IGT507" s="324"/>
      <c r="IGU507" s="256"/>
      <c r="IGV507" s="325"/>
      <c r="IGW507" s="311"/>
      <c r="IGX507" s="325"/>
      <c r="IGY507" s="310"/>
      <c r="IGZ507" s="325"/>
      <c r="IHA507" s="325"/>
      <c r="IHB507" s="325"/>
      <c r="IHC507" s="325"/>
      <c r="IHD507" s="325"/>
      <c r="IHE507" s="325"/>
      <c r="IHF507" s="325"/>
      <c r="IHG507" s="325"/>
      <c r="IHH507" s="325"/>
      <c r="IHI507" s="325"/>
      <c r="IHJ507" s="325"/>
      <c r="IHK507" s="325"/>
      <c r="IHL507" s="325"/>
      <c r="IHM507" s="325"/>
      <c r="IHN507" s="325"/>
      <c r="IHO507" s="325"/>
      <c r="IHP507" s="325"/>
      <c r="IHQ507" s="325"/>
      <c r="IHR507" s="325"/>
      <c r="IHS507" s="325"/>
      <c r="IHT507" s="325"/>
      <c r="IHU507" s="325"/>
      <c r="IHV507" s="325"/>
      <c r="IHW507" s="325"/>
      <c r="IHX507" s="325"/>
      <c r="IHY507" s="325"/>
      <c r="IHZ507" s="325"/>
      <c r="IIA507" s="325"/>
      <c r="IIB507" s="325"/>
      <c r="IIC507" s="325"/>
      <c r="IID507" s="327"/>
      <c r="IIE507" s="28"/>
      <c r="IIF507" s="324"/>
      <c r="IIG507" s="324"/>
      <c r="IIH507" s="324"/>
      <c r="III507" s="324"/>
      <c r="IIJ507" s="324"/>
      <c r="IIK507" s="324"/>
      <c r="IIL507" s="256"/>
      <c r="IIM507" s="325"/>
      <c r="IIN507" s="311"/>
      <c r="IIO507" s="325"/>
      <c r="IIP507" s="310"/>
      <c r="IIQ507" s="325"/>
      <c r="IIR507" s="325"/>
      <c r="IIS507" s="325"/>
      <c r="IIT507" s="325"/>
      <c r="IIU507" s="325"/>
      <c r="IIV507" s="325"/>
      <c r="IIW507" s="325"/>
      <c r="IIX507" s="325"/>
      <c r="IIY507" s="325"/>
      <c r="IIZ507" s="325"/>
      <c r="IJA507" s="325"/>
      <c r="IJB507" s="325"/>
      <c r="IJC507" s="325"/>
      <c r="IJD507" s="325"/>
      <c r="IJE507" s="325"/>
      <c r="IJF507" s="325"/>
      <c r="IJG507" s="325"/>
      <c r="IJH507" s="325"/>
      <c r="IJI507" s="325"/>
      <c r="IJJ507" s="325"/>
      <c r="IJK507" s="325"/>
      <c r="IJL507" s="325"/>
      <c r="IJM507" s="325"/>
      <c r="IJN507" s="325"/>
      <c r="IJO507" s="325"/>
      <c r="IJP507" s="325"/>
      <c r="IJQ507" s="325"/>
      <c r="IJR507" s="325"/>
      <c r="IJS507" s="325"/>
      <c r="IJT507" s="325"/>
      <c r="IJU507" s="327"/>
      <c r="IJV507" s="28"/>
      <c r="IJW507" s="324"/>
      <c r="IJX507" s="324"/>
      <c r="IJY507" s="324"/>
      <c r="IJZ507" s="324"/>
      <c r="IKA507" s="324"/>
      <c r="IKB507" s="324"/>
      <c r="IKC507" s="256"/>
      <c r="IKD507" s="325"/>
      <c r="IKE507" s="311"/>
      <c r="IKF507" s="325"/>
      <c r="IKG507" s="310"/>
      <c r="IKH507" s="325"/>
      <c r="IKI507" s="325"/>
      <c r="IKJ507" s="325"/>
      <c r="IKK507" s="325"/>
      <c r="IKL507" s="325"/>
      <c r="IKM507" s="325"/>
      <c r="IKN507" s="325"/>
      <c r="IKO507" s="325"/>
      <c r="IKP507" s="325"/>
      <c r="IKQ507" s="325"/>
      <c r="IKR507" s="325"/>
      <c r="IKS507" s="325"/>
      <c r="IKT507" s="325"/>
      <c r="IKU507" s="325"/>
      <c r="IKV507" s="325"/>
      <c r="IKW507" s="325"/>
      <c r="IKX507" s="325"/>
      <c r="IKY507" s="325"/>
      <c r="IKZ507" s="325"/>
      <c r="ILA507" s="325"/>
      <c r="ILB507" s="325"/>
      <c r="ILC507" s="325"/>
      <c r="ILD507" s="325"/>
      <c r="ILE507" s="325"/>
      <c r="ILF507" s="325"/>
      <c r="ILG507" s="325"/>
      <c r="ILH507" s="325"/>
      <c r="ILI507" s="325"/>
      <c r="ILJ507" s="325"/>
      <c r="ILK507" s="325"/>
      <c r="ILL507" s="327"/>
      <c r="ILM507" s="28"/>
      <c r="ILN507" s="324"/>
      <c r="ILO507" s="324"/>
      <c r="ILP507" s="324"/>
      <c r="ILQ507" s="324"/>
      <c r="ILR507" s="324"/>
      <c r="ILS507" s="324"/>
      <c r="ILT507" s="256"/>
      <c r="ILU507" s="325"/>
      <c r="ILV507" s="311"/>
      <c r="ILW507" s="325"/>
      <c r="ILX507" s="310"/>
      <c r="ILY507" s="325"/>
      <c r="ILZ507" s="325"/>
      <c r="IMA507" s="325"/>
      <c r="IMB507" s="325"/>
      <c r="IMC507" s="325"/>
      <c r="IMD507" s="325"/>
      <c r="IME507" s="325"/>
      <c r="IMF507" s="325"/>
      <c r="IMG507" s="325"/>
      <c r="IMH507" s="325"/>
      <c r="IMI507" s="325"/>
      <c r="IMJ507" s="325"/>
      <c r="IMK507" s="325"/>
      <c r="IML507" s="325"/>
      <c r="IMM507" s="325"/>
      <c r="IMN507" s="325"/>
      <c r="IMO507" s="325"/>
      <c r="IMP507" s="325"/>
      <c r="IMQ507" s="325"/>
      <c r="IMR507" s="325"/>
      <c r="IMS507" s="325"/>
      <c r="IMT507" s="325"/>
      <c r="IMU507" s="325"/>
      <c r="IMV507" s="325"/>
      <c r="IMW507" s="325"/>
      <c r="IMX507" s="325"/>
      <c r="IMY507" s="325"/>
      <c r="IMZ507" s="325"/>
      <c r="INA507" s="325"/>
      <c r="INB507" s="325"/>
      <c r="INC507" s="327"/>
      <c r="IND507" s="28"/>
      <c r="INE507" s="324"/>
      <c r="INF507" s="324"/>
      <c r="ING507" s="324"/>
      <c r="INH507" s="324"/>
      <c r="INI507" s="324"/>
      <c r="INJ507" s="324"/>
      <c r="INK507" s="256"/>
      <c r="INL507" s="325"/>
      <c r="INM507" s="311"/>
      <c r="INN507" s="325"/>
      <c r="INO507" s="310"/>
      <c r="INP507" s="325"/>
      <c r="INQ507" s="325"/>
      <c r="INR507" s="325"/>
      <c r="INS507" s="325"/>
      <c r="INT507" s="325"/>
      <c r="INU507" s="325"/>
      <c r="INV507" s="325"/>
      <c r="INW507" s="325"/>
      <c r="INX507" s="325"/>
      <c r="INY507" s="325"/>
      <c r="INZ507" s="325"/>
      <c r="IOA507" s="325"/>
      <c r="IOB507" s="325"/>
      <c r="IOC507" s="325"/>
      <c r="IOD507" s="325"/>
      <c r="IOE507" s="325"/>
      <c r="IOF507" s="325"/>
      <c r="IOG507" s="325"/>
      <c r="IOH507" s="325"/>
      <c r="IOI507" s="325"/>
      <c r="IOJ507" s="325"/>
      <c r="IOK507" s="325"/>
      <c r="IOL507" s="325"/>
      <c r="IOM507" s="325"/>
      <c r="ION507" s="325"/>
      <c r="IOO507" s="325"/>
      <c r="IOP507" s="325"/>
      <c r="IOQ507" s="325"/>
      <c r="IOR507" s="325"/>
      <c r="IOS507" s="325"/>
      <c r="IOT507" s="327"/>
      <c r="IOU507" s="28"/>
      <c r="IOV507" s="324"/>
      <c r="IOW507" s="324"/>
      <c r="IOX507" s="324"/>
      <c r="IOY507" s="324"/>
      <c r="IOZ507" s="324"/>
      <c r="IPA507" s="324"/>
      <c r="IPB507" s="256"/>
      <c r="IPC507" s="325"/>
      <c r="IPD507" s="311"/>
      <c r="IPE507" s="325"/>
      <c r="IPF507" s="310"/>
      <c r="IPG507" s="325"/>
      <c r="IPH507" s="325"/>
      <c r="IPI507" s="325"/>
      <c r="IPJ507" s="325"/>
      <c r="IPK507" s="325"/>
      <c r="IPL507" s="325"/>
      <c r="IPM507" s="325"/>
      <c r="IPN507" s="325"/>
      <c r="IPO507" s="325"/>
      <c r="IPP507" s="325"/>
      <c r="IPQ507" s="325"/>
      <c r="IPR507" s="325"/>
      <c r="IPS507" s="325"/>
      <c r="IPT507" s="325"/>
      <c r="IPU507" s="325"/>
      <c r="IPV507" s="325"/>
      <c r="IPW507" s="325"/>
      <c r="IPX507" s="325"/>
      <c r="IPY507" s="325"/>
      <c r="IPZ507" s="325"/>
      <c r="IQA507" s="325"/>
      <c r="IQB507" s="325"/>
      <c r="IQC507" s="325"/>
      <c r="IQD507" s="325"/>
      <c r="IQE507" s="325"/>
      <c r="IQF507" s="325"/>
      <c r="IQG507" s="325"/>
      <c r="IQH507" s="325"/>
      <c r="IQI507" s="325"/>
      <c r="IQJ507" s="325"/>
      <c r="IQK507" s="327"/>
      <c r="IQL507" s="28"/>
      <c r="IQM507" s="324"/>
      <c r="IQN507" s="324"/>
      <c r="IQO507" s="324"/>
      <c r="IQP507" s="324"/>
      <c r="IQQ507" s="324"/>
      <c r="IQR507" s="324"/>
      <c r="IQS507" s="256"/>
      <c r="IQT507" s="325"/>
      <c r="IQU507" s="311"/>
      <c r="IQV507" s="325"/>
      <c r="IQW507" s="310"/>
      <c r="IQX507" s="325"/>
      <c r="IQY507" s="325"/>
      <c r="IQZ507" s="325"/>
      <c r="IRA507" s="325"/>
      <c r="IRB507" s="325"/>
      <c r="IRC507" s="325"/>
      <c r="IRD507" s="325"/>
      <c r="IRE507" s="325"/>
      <c r="IRF507" s="325"/>
      <c r="IRG507" s="325"/>
      <c r="IRH507" s="325"/>
      <c r="IRI507" s="325"/>
      <c r="IRJ507" s="325"/>
      <c r="IRK507" s="325"/>
      <c r="IRL507" s="325"/>
      <c r="IRM507" s="325"/>
      <c r="IRN507" s="325"/>
      <c r="IRO507" s="325"/>
      <c r="IRP507" s="325"/>
      <c r="IRQ507" s="325"/>
      <c r="IRR507" s="325"/>
      <c r="IRS507" s="325"/>
      <c r="IRT507" s="325"/>
      <c r="IRU507" s="325"/>
      <c r="IRV507" s="325"/>
      <c r="IRW507" s="325"/>
      <c r="IRX507" s="325"/>
      <c r="IRY507" s="325"/>
      <c r="IRZ507" s="325"/>
      <c r="ISA507" s="325"/>
      <c r="ISB507" s="327"/>
      <c r="ISC507" s="28"/>
      <c r="ISD507" s="324"/>
      <c r="ISE507" s="324"/>
      <c r="ISF507" s="324"/>
      <c r="ISG507" s="324"/>
      <c r="ISH507" s="324"/>
      <c r="ISI507" s="324"/>
      <c r="ISJ507" s="256"/>
      <c r="ISK507" s="325"/>
      <c r="ISL507" s="311"/>
      <c r="ISM507" s="325"/>
      <c r="ISN507" s="310"/>
      <c r="ISO507" s="325"/>
      <c r="ISP507" s="325"/>
      <c r="ISQ507" s="325"/>
      <c r="ISR507" s="325"/>
      <c r="ISS507" s="325"/>
      <c r="IST507" s="325"/>
      <c r="ISU507" s="325"/>
      <c r="ISV507" s="325"/>
      <c r="ISW507" s="325"/>
      <c r="ISX507" s="325"/>
      <c r="ISY507" s="325"/>
      <c r="ISZ507" s="325"/>
      <c r="ITA507" s="325"/>
      <c r="ITB507" s="325"/>
      <c r="ITC507" s="325"/>
      <c r="ITD507" s="325"/>
      <c r="ITE507" s="325"/>
      <c r="ITF507" s="325"/>
      <c r="ITG507" s="325"/>
      <c r="ITH507" s="325"/>
      <c r="ITI507" s="325"/>
      <c r="ITJ507" s="325"/>
      <c r="ITK507" s="325"/>
      <c r="ITL507" s="325"/>
      <c r="ITM507" s="325"/>
      <c r="ITN507" s="325"/>
      <c r="ITO507" s="325"/>
      <c r="ITP507" s="325"/>
      <c r="ITQ507" s="325"/>
      <c r="ITR507" s="325"/>
      <c r="ITS507" s="327"/>
      <c r="ITT507" s="28"/>
      <c r="ITU507" s="324"/>
      <c r="ITV507" s="324"/>
      <c r="ITW507" s="324"/>
      <c r="ITX507" s="324"/>
      <c r="ITY507" s="324"/>
      <c r="ITZ507" s="324"/>
      <c r="IUA507" s="256"/>
      <c r="IUB507" s="325"/>
      <c r="IUC507" s="311"/>
      <c r="IUD507" s="325"/>
      <c r="IUE507" s="310"/>
      <c r="IUF507" s="325"/>
      <c r="IUG507" s="325"/>
      <c r="IUH507" s="325"/>
      <c r="IUI507" s="325"/>
      <c r="IUJ507" s="325"/>
      <c r="IUK507" s="325"/>
      <c r="IUL507" s="325"/>
      <c r="IUM507" s="325"/>
      <c r="IUN507" s="325"/>
      <c r="IUO507" s="325"/>
      <c r="IUP507" s="325"/>
      <c r="IUQ507" s="325"/>
      <c r="IUR507" s="325"/>
      <c r="IUS507" s="325"/>
      <c r="IUT507" s="325"/>
      <c r="IUU507" s="325"/>
      <c r="IUV507" s="325"/>
      <c r="IUW507" s="325"/>
      <c r="IUX507" s="325"/>
      <c r="IUY507" s="325"/>
      <c r="IUZ507" s="325"/>
      <c r="IVA507" s="325"/>
      <c r="IVB507" s="325"/>
      <c r="IVC507" s="325"/>
      <c r="IVD507" s="325"/>
      <c r="IVE507" s="325"/>
      <c r="IVF507" s="325"/>
      <c r="IVG507" s="325"/>
      <c r="IVH507" s="325"/>
      <c r="IVI507" s="325"/>
      <c r="IVJ507" s="327"/>
      <c r="IVK507" s="28"/>
      <c r="IVL507" s="324"/>
      <c r="IVM507" s="324"/>
      <c r="IVN507" s="324"/>
      <c r="IVO507" s="324"/>
      <c r="IVP507" s="324"/>
      <c r="IVQ507" s="324"/>
      <c r="IVR507" s="256"/>
      <c r="IVS507" s="325"/>
      <c r="IVT507" s="311"/>
      <c r="IVU507" s="325"/>
      <c r="IVV507" s="310"/>
      <c r="IVW507" s="325"/>
      <c r="IVX507" s="325"/>
      <c r="IVY507" s="325"/>
      <c r="IVZ507" s="325"/>
      <c r="IWA507" s="325"/>
      <c r="IWB507" s="325"/>
      <c r="IWC507" s="325"/>
      <c r="IWD507" s="325"/>
      <c r="IWE507" s="325"/>
      <c r="IWF507" s="325"/>
      <c r="IWG507" s="325"/>
      <c r="IWH507" s="325"/>
      <c r="IWI507" s="325"/>
      <c r="IWJ507" s="325"/>
      <c r="IWK507" s="325"/>
      <c r="IWL507" s="325"/>
      <c r="IWM507" s="325"/>
      <c r="IWN507" s="325"/>
      <c r="IWO507" s="325"/>
      <c r="IWP507" s="325"/>
      <c r="IWQ507" s="325"/>
      <c r="IWR507" s="325"/>
      <c r="IWS507" s="325"/>
      <c r="IWT507" s="325"/>
      <c r="IWU507" s="325"/>
      <c r="IWV507" s="325"/>
      <c r="IWW507" s="325"/>
      <c r="IWX507" s="325"/>
      <c r="IWY507" s="325"/>
      <c r="IWZ507" s="325"/>
      <c r="IXA507" s="327"/>
      <c r="IXB507" s="28"/>
      <c r="IXC507" s="324"/>
      <c r="IXD507" s="324"/>
      <c r="IXE507" s="324"/>
      <c r="IXF507" s="324"/>
      <c r="IXG507" s="324"/>
      <c r="IXH507" s="324"/>
      <c r="IXI507" s="256"/>
      <c r="IXJ507" s="325"/>
      <c r="IXK507" s="311"/>
      <c r="IXL507" s="325"/>
      <c r="IXM507" s="310"/>
      <c r="IXN507" s="325"/>
      <c r="IXO507" s="325"/>
      <c r="IXP507" s="325"/>
      <c r="IXQ507" s="325"/>
      <c r="IXR507" s="325"/>
      <c r="IXS507" s="325"/>
      <c r="IXT507" s="325"/>
      <c r="IXU507" s="325"/>
      <c r="IXV507" s="325"/>
      <c r="IXW507" s="325"/>
      <c r="IXX507" s="325"/>
      <c r="IXY507" s="325"/>
      <c r="IXZ507" s="325"/>
      <c r="IYA507" s="325"/>
      <c r="IYB507" s="325"/>
      <c r="IYC507" s="325"/>
      <c r="IYD507" s="325"/>
      <c r="IYE507" s="325"/>
      <c r="IYF507" s="325"/>
      <c r="IYG507" s="325"/>
      <c r="IYH507" s="325"/>
      <c r="IYI507" s="325"/>
      <c r="IYJ507" s="325"/>
      <c r="IYK507" s="325"/>
      <c r="IYL507" s="325"/>
      <c r="IYM507" s="325"/>
      <c r="IYN507" s="325"/>
      <c r="IYO507" s="325"/>
      <c r="IYP507" s="325"/>
      <c r="IYQ507" s="325"/>
      <c r="IYR507" s="327"/>
      <c r="IYS507" s="28"/>
      <c r="IYT507" s="324"/>
      <c r="IYU507" s="324"/>
      <c r="IYV507" s="324"/>
      <c r="IYW507" s="324"/>
      <c r="IYX507" s="324"/>
      <c r="IYY507" s="324"/>
      <c r="IYZ507" s="256"/>
      <c r="IZA507" s="325"/>
      <c r="IZB507" s="311"/>
      <c r="IZC507" s="325"/>
      <c r="IZD507" s="310"/>
      <c r="IZE507" s="325"/>
      <c r="IZF507" s="325"/>
      <c r="IZG507" s="325"/>
      <c r="IZH507" s="325"/>
      <c r="IZI507" s="325"/>
      <c r="IZJ507" s="325"/>
      <c r="IZK507" s="325"/>
      <c r="IZL507" s="325"/>
      <c r="IZM507" s="325"/>
      <c r="IZN507" s="325"/>
      <c r="IZO507" s="325"/>
      <c r="IZP507" s="325"/>
      <c r="IZQ507" s="325"/>
      <c r="IZR507" s="325"/>
      <c r="IZS507" s="325"/>
      <c r="IZT507" s="325"/>
      <c r="IZU507" s="325"/>
      <c r="IZV507" s="325"/>
      <c r="IZW507" s="325"/>
      <c r="IZX507" s="325"/>
      <c r="IZY507" s="325"/>
      <c r="IZZ507" s="325"/>
      <c r="JAA507" s="325"/>
      <c r="JAB507" s="325"/>
      <c r="JAC507" s="325"/>
      <c r="JAD507" s="325"/>
      <c r="JAE507" s="325"/>
      <c r="JAF507" s="325"/>
      <c r="JAG507" s="325"/>
      <c r="JAH507" s="325"/>
      <c r="JAI507" s="327"/>
      <c r="JAJ507" s="28"/>
      <c r="JAK507" s="324"/>
      <c r="JAL507" s="324"/>
      <c r="JAM507" s="324"/>
      <c r="JAN507" s="324"/>
      <c r="JAO507" s="324"/>
      <c r="JAP507" s="324"/>
      <c r="JAQ507" s="256"/>
      <c r="JAR507" s="325"/>
      <c r="JAS507" s="311"/>
      <c r="JAT507" s="325"/>
      <c r="JAU507" s="310"/>
      <c r="JAV507" s="325"/>
      <c r="JAW507" s="325"/>
      <c r="JAX507" s="325"/>
      <c r="JAY507" s="325"/>
      <c r="JAZ507" s="325"/>
      <c r="JBA507" s="325"/>
      <c r="JBB507" s="325"/>
      <c r="JBC507" s="325"/>
      <c r="JBD507" s="325"/>
      <c r="JBE507" s="325"/>
      <c r="JBF507" s="325"/>
      <c r="JBG507" s="325"/>
      <c r="JBH507" s="325"/>
      <c r="JBI507" s="325"/>
      <c r="JBJ507" s="325"/>
      <c r="JBK507" s="325"/>
      <c r="JBL507" s="325"/>
      <c r="JBM507" s="325"/>
      <c r="JBN507" s="325"/>
      <c r="JBO507" s="325"/>
      <c r="JBP507" s="325"/>
      <c r="JBQ507" s="325"/>
      <c r="JBR507" s="325"/>
      <c r="JBS507" s="325"/>
      <c r="JBT507" s="325"/>
      <c r="JBU507" s="325"/>
      <c r="JBV507" s="325"/>
      <c r="JBW507" s="325"/>
      <c r="JBX507" s="325"/>
      <c r="JBY507" s="325"/>
      <c r="JBZ507" s="327"/>
      <c r="JCA507" s="28"/>
      <c r="JCB507" s="324"/>
      <c r="JCC507" s="324"/>
      <c r="JCD507" s="324"/>
      <c r="JCE507" s="324"/>
      <c r="JCF507" s="324"/>
      <c r="JCG507" s="324"/>
      <c r="JCH507" s="256"/>
      <c r="JCI507" s="325"/>
      <c r="JCJ507" s="311"/>
      <c r="JCK507" s="325"/>
      <c r="JCL507" s="310"/>
      <c r="JCM507" s="325"/>
      <c r="JCN507" s="325"/>
      <c r="JCO507" s="325"/>
      <c r="JCP507" s="325"/>
      <c r="JCQ507" s="325"/>
      <c r="JCR507" s="325"/>
      <c r="JCS507" s="325"/>
      <c r="JCT507" s="325"/>
      <c r="JCU507" s="325"/>
      <c r="JCV507" s="325"/>
      <c r="JCW507" s="325"/>
      <c r="JCX507" s="325"/>
      <c r="JCY507" s="325"/>
      <c r="JCZ507" s="325"/>
      <c r="JDA507" s="325"/>
      <c r="JDB507" s="325"/>
      <c r="JDC507" s="325"/>
      <c r="JDD507" s="325"/>
      <c r="JDE507" s="325"/>
      <c r="JDF507" s="325"/>
      <c r="JDG507" s="325"/>
      <c r="JDH507" s="325"/>
      <c r="JDI507" s="325"/>
      <c r="JDJ507" s="325"/>
      <c r="JDK507" s="325"/>
      <c r="JDL507" s="325"/>
      <c r="JDM507" s="325"/>
      <c r="JDN507" s="325"/>
      <c r="JDO507" s="325"/>
      <c r="JDP507" s="325"/>
      <c r="JDQ507" s="327"/>
      <c r="JDR507" s="28"/>
      <c r="JDS507" s="324"/>
      <c r="JDT507" s="324"/>
      <c r="JDU507" s="324"/>
      <c r="JDV507" s="324"/>
      <c r="JDW507" s="324"/>
      <c r="JDX507" s="324"/>
      <c r="JDY507" s="256"/>
      <c r="JDZ507" s="325"/>
      <c r="JEA507" s="311"/>
      <c r="JEB507" s="325"/>
      <c r="JEC507" s="310"/>
      <c r="JED507" s="325"/>
      <c r="JEE507" s="325"/>
      <c r="JEF507" s="325"/>
      <c r="JEG507" s="325"/>
      <c r="JEH507" s="325"/>
      <c r="JEI507" s="325"/>
      <c r="JEJ507" s="325"/>
      <c r="JEK507" s="325"/>
      <c r="JEL507" s="325"/>
      <c r="JEM507" s="325"/>
      <c r="JEN507" s="325"/>
      <c r="JEO507" s="325"/>
      <c r="JEP507" s="325"/>
      <c r="JEQ507" s="325"/>
      <c r="JER507" s="325"/>
      <c r="JES507" s="325"/>
      <c r="JET507" s="325"/>
      <c r="JEU507" s="325"/>
      <c r="JEV507" s="325"/>
      <c r="JEW507" s="325"/>
      <c r="JEX507" s="325"/>
      <c r="JEY507" s="325"/>
      <c r="JEZ507" s="325"/>
      <c r="JFA507" s="325"/>
      <c r="JFB507" s="325"/>
      <c r="JFC507" s="325"/>
      <c r="JFD507" s="325"/>
      <c r="JFE507" s="325"/>
      <c r="JFF507" s="325"/>
      <c r="JFG507" s="325"/>
      <c r="JFH507" s="327"/>
      <c r="JFI507" s="28"/>
      <c r="JFJ507" s="324"/>
      <c r="JFK507" s="324"/>
      <c r="JFL507" s="324"/>
      <c r="JFM507" s="324"/>
      <c r="JFN507" s="324"/>
      <c r="JFO507" s="324"/>
      <c r="JFP507" s="256"/>
      <c r="JFQ507" s="325"/>
      <c r="JFR507" s="311"/>
      <c r="JFS507" s="325"/>
      <c r="JFT507" s="310"/>
      <c r="JFU507" s="325"/>
      <c r="JFV507" s="325"/>
      <c r="JFW507" s="325"/>
      <c r="JFX507" s="325"/>
      <c r="JFY507" s="325"/>
      <c r="JFZ507" s="325"/>
      <c r="JGA507" s="325"/>
      <c r="JGB507" s="325"/>
      <c r="JGC507" s="325"/>
      <c r="JGD507" s="325"/>
      <c r="JGE507" s="325"/>
      <c r="JGF507" s="325"/>
      <c r="JGG507" s="325"/>
      <c r="JGH507" s="325"/>
      <c r="JGI507" s="325"/>
      <c r="JGJ507" s="325"/>
      <c r="JGK507" s="325"/>
      <c r="JGL507" s="325"/>
      <c r="JGM507" s="325"/>
      <c r="JGN507" s="325"/>
      <c r="JGO507" s="325"/>
      <c r="JGP507" s="325"/>
      <c r="JGQ507" s="325"/>
      <c r="JGR507" s="325"/>
      <c r="JGS507" s="325"/>
      <c r="JGT507" s="325"/>
      <c r="JGU507" s="325"/>
      <c r="JGV507" s="325"/>
      <c r="JGW507" s="325"/>
      <c r="JGX507" s="325"/>
      <c r="JGY507" s="327"/>
      <c r="JGZ507" s="28"/>
      <c r="JHA507" s="324"/>
      <c r="JHB507" s="324"/>
      <c r="JHC507" s="324"/>
      <c r="JHD507" s="324"/>
      <c r="JHE507" s="324"/>
      <c r="JHF507" s="324"/>
      <c r="JHG507" s="256"/>
      <c r="JHH507" s="325"/>
      <c r="JHI507" s="311"/>
      <c r="JHJ507" s="325"/>
      <c r="JHK507" s="310"/>
      <c r="JHL507" s="325"/>
      <c r="JHM507" s="325"/>
      <c r="JHN507" s="325"/>
      <c r="JHO507" s="325"/>
      <c r="JHP507" s="325"/>
      <c r="JHQ507" s="325"/>
      <c r="JHR507" s="325"/>
      <c r="JHS507" s="325"/>
      <c r="JHT507" s="325"/>
      <c r="JHU507" s="325"/>
      <c r="JHV507" s="325"/>
      <c r="JHW507" s="325"/>
      <c r="JHX507" s="325"/>
      <c r="JHY507" s="325"/>
      <c r="JHZ507" s="325"/>
      <c r="JIA507" s="325"/>
      <c r="JIB507" s="325"/>
      <c r="JIC507" s="325"/>
      <c r="JID507" s="325"/>
      <c r="JIE507" s="325"/>
      <c r="JIF507" s="325"/>
      <c r="JIG507" s="325"/>
      <c r="JIH507" s="325"/>
      <c r="JII507" s="325"/>
      <c r="JIJ507" s="325"/>
      <c r="JIK507" s="325"/>
      <c r="JIL507" s="325"/>
      <c r="JIM507" s="325"/>
      <c r="JIN507" s="325"/>
      <c r="JIO507" s="325"/>
      <c r="JIP507" s="327"/>
      <c r="JIQ507" s="28"/>
      <c r="JIR507" s="324"/>
      <c r="JIS507" s="324"/>
      <c r="JIT507" s="324"/>
      <c r="JIU507" s="324"/>
      <c r="JIV507" s="324"/>
      <c r="JIW507" s="324"/>
      <c r="JIX507" s="256"/>
      <c r="JIY507" s="325"/>
      <c r="JIZ507" s="311"/>
      <c r="JJA507" s="325"/>
      <c r="JJB507" s="310"/>
      <c r="JJC507" s="325"/>
      <c r="JJD507" s="325"/>
      <c r="JJE507" s="325"/>
      <c r="JJF507" s="325"/>
      <c r="JJG507" s="325"/>
      <c r="JJH507" s="325"/>
      <c r="JJI507" s="325"/>
      <c r="JJJ507" s="325"/>
      <c r="JJK507" s="325"/>
      <c r="JJL507" s="325"/>
      <c r="JJM507" s="325"/>
      <c r="JJN507" s="325"/>
      <c r="JJO507" s="325"/>
      <c r="JJP507" s="325"/>
      <c r="JJQ507" s="325"/>
      <c r="JJR507" s="325"/>
      <c r="JJS507" s="325"/>
      <c r="JJT507" s="325"/>
      <c r="JJU507" s="325"/>
      <c r="JJV507" s="325"/>
      <c r="JJW507" s="325"/>
      <c r="JJX507" s="325"/>
      <c r="JJY507" s="325"/>
      <c r="JJZ507" s="325"/>
      <c r="JKA507" s="325"/>
      <c r="JKB507" s="325"/>
      <c r="JKC507" s="325"/>
      <c r="JKD507" s="325"/>
      <c r="JKE507" s="325"/>
      <c r="JKF507" s="325"/>
      <c r="JKG507" s="327"/>
      <c r="JKH507" s="28"/>
      <c r="JKI507" s="324"/>
      <c r="JKJ507" s="324"/>
      <c r="JKK507" s="324"/>
      <c r="JKL507" s="324"/>
      <c r="JKM507" s="324"/>
      <c r="JKN507" s="324"/>
      <c r="JKO507" s="256"/>
      <c r="JKP507" s="325"/>
      <c r="JKQ507" s="311"/>
      <c r="JKR507" s="325"/>
      <c r="JKS507" s="310"/>
      <c r="JKT507" s="325"/>
      <c r="JKU507" s="325"/>
      <c r="JKV507" s="325"/>
      <c r="JKW507" s="325"/>
      <c r="JKX507" s="325"/>
      <c r="JKY507" s="325"/>
      <c r="JKZ507" s="325"/>
      <c r="JLA507" s="325"/>
      <c r="JLB507" s="325"/>
      <c r="JLC507" s="325"/>
      <c r="JLD507" s="325"/>
      <c r="JLE507" s="325"/>
      <c r="JLF507" s="325"/>
      <c r="JLG507" s="325"/>
      <c r="JLH507" s="325"/>
      <c r="JLI507" s="325"/>
      <c r="JLJ507" s="325"/>
      <c r="JLK507" s="325"/>
      <c r="JLL507" s="325"/>
      <c r="JLM507" s="325"/>
      <c r="JLN507" s="325"/>
      <c r="JLO507" s="325"/>
      <c r="JLP507" s="325"/>
      <c r="JLQ507" s="325"/>
      <c r="JLR507" s="325"/>
      <c r="JLS507" s="325"/>
      <c r="JLT507" s="325"/>
      <c r="JLU507" s="325"/>
      <c r="JLV507" s="325"/>
      <c r="JLW507" s="325"/>
      <c r="JLX507" s="327"/>
      <c r="JLY507" s="28"/>
      <c r="JLZ507" s="324"/>
      <c r="JMA507" s="324"/>
      <c r="JMB507" s="324"/>
      <c r="JMC507" s="324"/>
      <c r="JMD507" s="324"/>
      <c r="JME507" s="324"/>
      <c r="JMF507" s="256"/>
      <c r="JMG507" s="325"/>
      <c r="JMH507" s="311"/>
      <c r="JMI507" s="325"/>
      <c r="JMJ507" s="310"/>
      <c r="JMK507" s="325"/>
      <c r="JML507" s="325"/>
      <c r="JMM507" s="325"/>
      <c r="JMN507" s="325"/>
      <c r="JMO507" s="325"/>
      <c r="JMP507" s="325"/>
      <c r="JMQ507" s="325"/>
      <c r="JMR507" s="325"/>
      <c r="JMS507" s="325"/>
      <c r="JMT507" s="325"/>
      <c r="JMU507" s="325"/>
      <c r="JMV507" s="325"/>
      <c r="JMW507" s="325"/>
      <c r="JMX507" s="325"/>
      <c r="JMY507" s="325"/>
      <c r="JMZ507" s="325"/>
      <c r="JNA507" s="325"/>
      <c r="JNB507" s="325"/>
      <c r="JNC507" s="325"/>
      <c r="JND507" s="325"/>
      <c r="JNE507" s="325"/>
      <c r="JNF507" s="325"/>
      <c r="JNG507" s="325"/>
      <c r="JNH507" s="325"/>
      <c r="JNI507" s="325"/>
      <c r="JNJ507" s="325"/>
      <c r="JNK507" s="325"/>
      <c r="JNL507" s="325"/>
      <c r="JNM507" s="325"/>
      <c r="JNN507" s="325"/>
      <c r="JNO507" s="327"/>
      <c r="JNP507" s="28"/>
      <c r="JNQ507" s="324"/>
      <c r="JNR507" s="324"/>
      <c r="JNS507" s="324"/>
      <c r="JNT507" s="324"/>
      <c r="JNU507" s="324"/>
      <c r="JNV507" s="324"/>
      <c r="JNW507" s="256"/>
      <c r="JNX507" s="325"/>
      <c r="JNY507" s="311"/>
      <c r="JNZ507" s="325"/>
      <c r="JOA507" s="310"/>
      <c r="JOB507" s="325"/>
      <c r="JOC507" s="325"/>
      <c r="JOD507" s="325"/>
      <c r="JOE507" s="325"/>
      <c r="JOF507" s="325"/>
      <c r="JOG507" s="325"/>
      <c r="JOH507" s="325"/>
      <c r="JOI507" s="325"/>
      <c r="JOJ507" s="325"/>
      <c r="JOK507" s="325"/>
      <c r="JOL507" s="325"/>
      <c r="JOM507" s="325"/>
      <c r="JON507" s="325"/>
      <c r="JOO507" s="325"/>
      <c r="JOP507" s="325"/>
      <c r="JOQ507" s="325"/>
      <c r="JOR507" s="325"/>
      <c r="JOS507" s="325"/>
      <c r="JOT507" s="325"/>
      <c r="JOU507" s="325"/>
      <c r="JOV507" s="325"/>
      <c r="JOW507" s="325"/>
      <c r="JOX507" s="325"/>
      <c r="JOY507" s="325"/>
      <c r="JOZ507" s="325"/>
      <c r="JPA507" s="325"/>
      <c r="JPB507" s="325"/>
      <c r="JPC507" s="325"/>
      <c r="JPD507" s="325"/>
      <c r="JPE507" s="325"/>
      <c r="JPF507" s="327"/>
      <c r="JPG507" s="28"/>
      <c r="JPH507" s="324"/>
      <c r="JPI507" s="324"/>
      <c r="JPJ507" s="324"/>
      <c r="JPK507" s="324"/>
      <c r="JPL507" s="324"/>
      <c r="JPM507" s="324"/>
      <c r="JPN507" s="256"/>
      <c r="JPO507" s="325"/>
      <c r="JPP507" s="311"/>
      <c r="JPQ507" s="325"/>
      <c r="JPR507" s="310"/>
      <c r="JPS507" s="325"/>
      <c r="JPT507" s="325"/>
      <c r="JPU507" s="325"/>
      <c r="JPV507" s="325"/>
      <c r="JPW507" s="325"/>
      <c r="JPX507" s="325"/>
      <c r="JPY507" s="325"/>
      <c r="JPZ507" s="325"/>
      <c r="JQA507" s="325"/>
      <c r="JQB507" s="325"/>
      <c r="JQC507" s="325"/>
      <c r="JQD507" s="325"/>
      <c r="JQE507" s="325"/>
      <c r="JQF507" s="325"/>
      <c r="JQG507" s="325"/>
      <c r="JQH507" s="325"/>
      <c r="JQI507" s="325"/>
      <c r="JQJ507" s="325"/>
      <c r="JQK507" s="325"/>
      <c r="JQL507" s="325"/>
      <c r="JQM507" s="325"/>
      <c r="JQN507" s="325"/>
      <c r="JQO507" s="325"/>
      <c r="JQP507" s="325"/>
      <c r="JQQ507" s="325"/>
      <c r="JQR507" s="325"/>
      <c r="JQS507" s="325"/>
      <c r="JQT507" s="325"/>
      <c r="JQU507" s="325"/>
      <c r="JQV507" s="325"/>
      <c r="JQW507" s="327"/>
      <c r="JQX507" s="28"/>
      <c r="JQY507" s="324"/>
      <c r="JQZ507" s="324"/>
      <c r="JRA507" s="324"/>
      <c r="JRB507" s="324"/>
      <c r="JRC507" s="324"/>
      <c r="JRD507" s="324"/>
      <c r="JRE507" s="256"/>
      <c r="JRF507" s="325"/>
      <c r="JRG507" s="311"/>
      <c r="JRH507" s="325"/>
      <c r="JRI507" s="310"/>
      <c r="JRJ507" s="325"/>
      <c r="JRK507" s="325"/>
      <c r="JRL507" s="325"/>
      <c r="JRM507" s="325"/>
      <c r="JRN507" s="325"/>
      <c r="JRO507" s="325"/>
      <c r="JRP507" s="325"/>
      <c r="JRQ507" s="325"/>
      <c r="JRR507" s="325"/>
      <c r="JRS507" s="325"/>
      <c r="JRT507" s="325"/>
      <c r="JRU507" s="325"/>
      <c r="JRV507" s="325"/>
      <c r="JRW507" s="325"/>
      <c r="JRX507" s="325"/>
      <c r="JRY507" s="325"/>
      <c r="JRZ507" s="325"/>
      <c r="JSA507" s="325"/>
      <c r="JSB507" s="325"/>
      <c r="JSC507" s="325"/>
      <c r="JSD507" s="325"/>
      <c r="JSE507" s="325"/>
      <c r="JSF507" s="325"/>
      <c r="JSG507" s="325"/>
      <c r="JSH507" s="325"/>
      <c r="JSI507" s="325"/>
      <c r="JSJ507" s="325"/>
      <c r="JSK507" s="325"/>
      <c r="JSL507" s="325"/>
      <c r="JSM507" s="325"/>
      <c r="JSN507" s="327"/>
      <c r="JSO507" s="28"/>
      <c r="JSP507" s="324"/>
      <c r="JSQ507" s="324"/>
      <c r="JSR507" s="324"/>
      <c r="JSS507" s="324"/>
      <c r="JST507" s="324"/>
      <c r="JSU507" s="324"/>
      <c r="JSV507" s="256"/>
      <c r="JSW507" s="325"/>
      <c r="JSX507" s="311"/>
      <c r="JSY507" s="325"/>
      <c r="JSZ507" s="310"/>
      <c r="JTA507" s="325"/>
      <c r="JTB507" s="325"/>
      <c r="JTC507" s="325"/>
      <c r="JTD507" s="325"/>
      <c r="JTE507" s="325"/>
      <c r="JTF507" s="325"/>
      <c r="JTG507" s="325"/>
      <c r="JTH507" s="325"/>
      <c r="JTI507" s="325"/>
      <c r="JTJ507" s="325"/>
      <c r="JTK507" s="325"/>
      <c r="JTL507" s="325"/>
      <c r="JTM507" s="325"/>
      <c r="JTN507" s="325"/>
      <c r="JTO507" s="325"/>
      <c r="JTP507" s="325"/>
      <c r="JTQ507" s="325"/>
      <c r="JTR507" s="325"/>
      <c r="JTS507" s="325"/>
      <c r="JTT507" s="325"/>
      <c r="JTU507" s="325"/>
      <c r="JTV507" s="325"/>
      <c r="JTW507" s="325"/>
      <c r="JTX507" s="325"/>
      <c r="JTY507" s="325"/>
      <c r="JTZ507" s="325"/>
      <c r="JUA507" s="325"/>
      <c r="JUB507" s="325"/>
      <c r="JUC507" s="325"/>
      <c r="JUD507" s="325"/>
      <c r="JUE507" s="327"/>
      <c r="JUF507" s="28"/>
      <c r="JUG507" s="324"/>
      <c r="JUH507" s="324"/>
      <c r="JUI507" s="324"/>
      <c r="JUJ507" s="324"/>
      <c r="JUK507" s="324"/>
      <c r="JUL507" s="324"/>
      <c r="JUM507" s="256"/>
      <c r="JUN507" s="325"/>
      <c r="JUO507" s="311"/>
      <c r="JUP507" s="325"/>
      <c r="JUQ507" s="310"/>
      <c r="JUR507" s="325"/>
      <c r="JUS507" s="325"/>
      <c r="JUT507" s="325"/>
      <c r="JUU507" s="325"/>
      <c r="JUV507" s="325"/>
      <c r="JUW507" s="325"/>
      <c r="JUX507" s="325"/>
      <c r="JUY507" s="325"/>
      <c r="JUZ507" s="325"/>
      <c r="JVA507" s="325"/>
      <c r="JVB507" s="325"/>
      <c r="JVC507" s="325"/>
      <c r="JVD507" s="325"/>
      <c r="JVE507" s="325"/>
      <c r="JVF507" s="325"/>
      <c r="JVG507" s="325"/>
      <c r="JVH507" s="325"/>
      <c r="JVI507" s="325"/>
      <c r="JVJ507" s="325"/>
      <c r="JVK507" s="325"/>
      <c r="JVL507" s="325"/>
      <c r="JVM507" s="325"/>
      <c r="JVN507" s="325"/>
      <c r="JVO507" s="325"/>
      <c r="JVP507" s="325"/>
      <c r="JVQ507" s="325"/>
      <c r="JVR507" s="325"/>
      <c r="JVS507" s="325"/>
      <c r="JVT507" s="325"/>
      <c r="JVU507" s="325"/>
      <c r="JVV507" s="327"/>
      <c r="JVW507" s="28"/>
      <c r="JVX507" s="324"/>
      <c r="JVY507" s="324"/>
      <c r="JVZ507" s="324"/>
      <c r="JWA507" s="324"/>
      <c r="JWB507" s="324"/>
      <c r="JWC507" s="324"/>
      <c r="JWD507" s="256"/>
      <c r="JWE507" s="325"/>
      <c r="JWF507" s="311"/>
      <c r="JWG507" s="325"/>
      <c r="JWH507" s="310"/>
      <c r="JWI507" s="325"/>
      <c r="JWJ507" s="325"/>
      <c r="JWK507" s="325"/>
      <c r="JWL507" s="325"/>
      <c r="JWM507" s="325"/>
      <c r="JWN507" s="325"/>
      <c r="JWO507" s="325"/>
      <c r="JWP507" s="325"/>
      <c r="JWQ507" s="325"/>
      <c r="JWR507" s="325"/>
      <c r="JWS507" s="325"/>
      <c r="JWT507" s="325"/>
      <c r="JWU507" s="325"/>
      <c r="JWV507" s="325"/>
      <c r="JWW507" s="325"/>
      <c r="JWX507" s="325"/>
      <c r="JWY507" s="325"/>
      <c r="JWZ507" s="325"/>
      <c r="JXA507" s="325"/>
      <c r="JXB507" s="325"/>
      <c r="JXC507" s="325"/>
      <c r="JXD507" s="325"/>
      <c r="JXE507" s="325"/>
      <c r="JXF507" s="325"/>
      <c r="JXG507" s="325"/>
      <c r="JXH507" s="325"/>
      <c r="JXI507" s="325"/>
      <c r="JXJ507" s="325"/>
      <c r="JXK507" s="325"/>
      <c r="JXL507" s="325"/>
      <c r="JXM507" s="327"/>
      <c r="JXN507" s="28"/>
      <c r="JXO507" s="324"/>
      <c r="JXP507" s="324"/>
      <c r="JXQ507" s="324"/>
      <c r="JXR507" s="324"/>
      <c r="JXS507" s="324"/>
      <c r="JXT507" s="324"/>
      <c r="JXU507" s="256"/>
      <c r="JXV507" s="325"/>
      <c r="JXW507" s="311"/>
      <c r="JXX507" s="325"/>
      <c r="JXY507" s="310"/>
      <c r="JXZ507" s="325"/>
      <c r="JYA507" s="325"/>
      <c r="JYB507" s="325"/>
      <c r="JYC507" s="325"/>
      <c r="JYD507" s="325"/>
      <c r="JYE507" s="325"/>
      <c r="JYF507" s="325"/>
      <c r="JYG507" s="325"/>
      <c r="JYH507" s="325"/>
      <c r="JYI507" s="325"/>
      <c r="JYJ507" s="325"/>
      <c r="JYK507" s="325"/>
      <c r="JYL507" s="325"/>
      <c r="JYM507" s="325"/>
      <c r="JYN507" s="325"/>
      <c r="JYO507" s="325"/>
      <c r="JYP507" s="325"/>
      <c r="JYQ507" s="325"/>
      <c r="JYR507" s="325"/>
      <c r="JYS507" s="325"/>
      <c r="JYT507" s="325"/>
      <c r="JYU507" s="325"/>
      <c r="JYV507" s="325"/>
      <c r="JYW507" s="325"/>
      <c r="JYX507" s="325"/>
      <c r="JYY507" s="325"/>
      <c r="JYZ507" s="325"/>
      <c r="JZA507" s="325"/>
      <c r="JZB507" s="325"/>
      <c r="JZC507" s="325"/>
      <c r="JZD507" s="327"/>
      <c r="JZE507" s="28"/>
      <c r="JZF507" s="324"/>
      <c r="JZG507" s="324"/>
      <c r="JZH507" s="324"/>
      <c r="JZI507" s="324"/>
      <c r="JZJ507" s="324"/>
      <c r="JZK507" s="324"/>
      <c r="JZL507" s="256"/>
      <c r="JZM507" s="325"/>
      <c r="JZN507" s="311"/>
      <c r="JZO507" s="325"/>
      <c r="JZP507" s="310"/>
      <c r="JZQ507" s="325"/>
      <c r="JZR507" s="325"/>
      <c r="JZS507" s="325"/>
      <c r="JZT507" s="325"/>
      <c r="JZU507" s="325"/>
      <c r="JZV507" s="325"/>
      <c r="JZW507" s="325"/>
      <c r="JZX507" s="325"/>
      <c r="JZY507" s="325"/>
      <c r="JZZ507" s="325"/>
      <c r="KAA507" s="325"/>
      <c r="KAB507" s="325"/>
      <c r="KAC507" s="325"/>
      <c r="KAD507" s="325"/>
      <c r="KAE507" s="325"/>
      <c r="KAF507" s="325"/>
      <c r="KAG507" s="325"/>
      <c r="KAH507" s="325"/>
      <c r="KAI507" s="325"/>
      <c r="KAJ507" s="325"/>
      <c r="KAK507" s="325"/>
      <c r="KAL507" s="325"/>
      <c r="KAM507" s="325"/>
      <c r="KAN507" s="325"/>
      <c r="KAO507" s="325"/>
      <c r="KAP507" s="325"/>
      <c r="KAQ507" s="325"/>
      <c r="KAR507" s="325"/>
      <c r="KAS507" s="325"/>
      <c r="KAT507" s="325"/>
      <c r="KAU507" s="327"/>
      <c r="KAV507" s="28"/>
      <c r="KAW507" s="324"/>
      <c r="KAX507" s="324"/>
      <c r="KAY507" s="324"/>
      <c r="KAZ507" s="324"/>
      <c r="KBA507" s="324"/>
      <c r="KBB507" s="324"/>
      <c r="KBC507" s="256"/>
      <c r="KBD507" s="325"/>
      <c r="KBE507" s="311"/>
      <c r="KBF507" s="325"/>
      <c r="KBG507" s="310"/>
      <c r="KBH507" s="325"/>
      <c r="KBI507" s="325"/>
      <c r="KBJ507" s="325"/>
      <c r="KBK507" s="325"/>
      <c r="KBL507" s="325"/>
      <c r="KBM507" s="325"/>
      <c r="KBN507" s="325"/>
      <c r="KBO507" s="325"/>
      <c r="KBP507" s="325"/>
      <c r="KBQ507" s="325"/>
      <c r="KBR507" s="325"/>
      <c r="KBS507" s="325"/>
      <c r="KBT507" s="325"/>
      <c r="KBU507" s="325"/>
      <c r="KBV507" s="325"/>
      <c r="KBW507" s="325"/>
      <c r="KBX507" s="325"/>
      <c r="KBY507" s="325"/>
      <c r="KBZ507" s="325"/>
      <c r="KCA507" s="325"/>
      <c r="KCB507" s="325"/>
      <c r="KCC507" s="325"/>
      <c r="KCD507" s="325"/>
      <c r="KCE507" s="325"/>
      <c r="KCF507" s="325"/>
      <c r="KCG507" s="325"/>
      <c r="KCH507" s="325"/>
      <c r="KCI507" s="325"/>
      <c r="KCJ507" s="325"/>
      <c r="KCK507" s="325"/>
      <c r="KCL507" s="327"/>
      <c r="KCM507" s="28"/>
      <c r="KCN507" s="324"/>
      <c r="KCO507" s="324"/>
      <c r="KCP507" s="324"/>
      <c r="KCQ507" s="324"/>
      <c r="KCR507" s="324"/>
      <c r="KCS507" s="324"/>
      <c r="KCT507" s="256"/>
      <c r="KCU507" s="325"/>
      <c r="KCV507" s="311"/>
      <c r="KCW507" s="325"/>
      <c r="KCX507" s="310"/>
      <c r="KCY507" s="325"/>
      <c r="KCZ507" s="325"/>
      <c r="KDA507" s="325"/>
      <c r="KDB507" s="325"/>
      <c r="KDC507" s="325"/>
      <c r="KDD507" s="325"/>
      <c r="KDE507" s="325"/>
      <c r="KDF507" s="325"/>
      <c r="KDG507" s="325"/>
      <c r="KDH507" s="325"/>
      <c r="KDI507" s="325"/>
      <c r="KDJ507" s="325"/>
      <c r="KDK507" s="325"/>
      <c r="KDL507" s="325"/>
      <c r="KDM507" s="325"/>
      <c r="KDN507" s="325"/>
      <c r="KDO507" s="325"/>
      <c r="KDP507" s="325"/>
      <c r="KDQ507" s="325"/>
      <c r="KDR507" s="325"/>
      <c r="KDS507" s="325"/>
      <c r="KDT507" s="325"/>
      <c r="KDU507" s="325"/>
      <c r="KDV507" s="325"/>
      <c r="KDW507" s="325"/>
      <c r="KDX507" s="325"/>
      <c r="KDY507" s="325"/>
      <c r="KDZ507" s="325"/>
      <c r="KEA507" s="325"/>
      <c r="KEB507" s="325"/>
      <c r="KEC507" s="327"/>
      <c r="KED507" s="28"/>
      <c r="KEE507" s="324"/>
      <c r="KEF507" s="324"/>
      <c r="KEG507" s="324"/>
      <c r="KEH507" s="324"/>
      <c r="KEI507" s="324"/>
      <c r="KEJ507" s="324"/>
      <c r="KEK507" s="256"/>
      <c r="KEL507" s="325"/>
      <c r="KEM507" s="311"/>
      <c r="KEN507" s="325"/>
      <c r="KEO507" s="310"/>
      <c r="KEP507" s="325"/>
      <c r="KEQ507" s="325"/>
      <c r="KER507" s="325"/>
      <c r="KES507" s="325"/>
      <c r="KET507" s="325"/>
      <c r="KEU507" s="325"/>
      <c r="KEV507" s="325"/>
      <c r="KEW507" s="325"/>
      <c r="KEX507" s="325"/>
      <c r="KEY507" s="325"/>
      <c r="KEZ507" s="325"/>
      <c r="KFA507" s="325"/>
      <c r="KFB507" s="325"/>
      <c r="KFC507" s="325"/>
      <c r="KFD507" s="325"/>
      <c r="KFE507" s="325"/>
      <c r="KFF507" s="325"/>
      <c r="KFG507" s="325"/>
      <c r="KFH507" s="325"/>
      <c r="KFI507" s="325"/>
      <c r="KFJ507" s="325"/>
      <c r="KFK507" s="325"/>
      <c r="KFL507" s="325"/>
      <c r="KFM507" s="325"/>
      <c r="KFN507" s="325"/>
      <c r="KFO507" s="325"/>
      <c r="KFP507" s="325"/>
      <c r="KFQ507" s="325"/>
      <c r="KFR507" s="325"/>
      <c r="KFS507" s="325"/>
      <c r="KFT507" s="327"/>
      <c r="KFU507" s="28"/>
      <c r="KFV507" s="324"/>
      <c r="KFW507" s="324"/>
      <c r="KFX507" s="324"/>
      <c r="KFY507" s="324"/>
      <c r="KFZ507" s="324"/>
      <c r="KGA507" s="324"/>
      <c r="KGB507" s="256"/>
      <c r="KGC507" s="325"/>
      <c r="KGD507" s="311"/>
      <c r="KGE507" s="325"/>
      <c r="KGF507" s="310"/>
      <c r="KGG507" s="325"/>
      <c r="KGH507" s="325"/>
      <c r="KGI507" s="325"/>
      <c r="KGJ507" s="325"/>
      <c r="KGK507" s="325"/>
      <c r="KGL507" s="325"/>
      <c r="KGM507" s="325"/>
      <c r="KGN507" s="325"/>
      <c r="KGO507" s="325"/>
      <c r="KGP507" s="325"/>
      <c r="KGQ507" s="325"/>
      <c r="KGR507" s="325"/>
      <c r="KGS507" s="325"/>
      <c r="KGT507" s="325"/>
      <c r="KGU507" s="325"/>
      <c r="KGV507" s="325"/>
      <c r="KGW507" s="325"/>
      <c r="KGX507" s="325"/>
      <c r="KGY507" s="325"/>
      <c r="KGZ507" s="325"/>
      <c r="KHA507" s="325"/>
      <c r="KHB507" s="325"/>
      <c r="KHC507" s="325"/>
      <c r="KHD507" s="325"/>
      <c r="KHE507" s="325"/>
      <c r="KHF507" s="325"/>
      <c r="KHG507" s="325"/>
      <c r="KHH507" s="325"/>
      <c r="KHI507" s="325"/>
      <c r="KHJ507" s="325"/>
      <c r="KHK507" s="327"/>
      <c r="KHL507" s="28"/>
      <c r="KHM507" s="324"/>
      <c r="KHN507" s="324"/>
      <c r="KHO507" s="324"/>
      <c r="KHP507" s="324"/>
      <c r="KHQ507" s="324"/>
      <c r="KHR507" s="324"/>
      <c r="KHS507" s="256"/>
      <c r="KHT507" s="325"/>
      <c r="KHU507" s="311"/>
      <c r="KHV507" s="325"/>
      <c r="KHW507" s="310"/>
      <c r="KHX507" s="325"/>
      <c r="KHY507" s="325"/>
      <c r="KHZ507" s="325"/>
      <c r="KIA507" s="325"/>
      <c r="KIB507" s="325"/>
      <c r="KIC507" s="325"/>
      <c r="KID507" s="325"/>
      <c r="KIE507" s="325"/>
      <c r="KIF507" s="325"/>
      <c r="KIG507" s="325"/>
      <c r="KIH507" s="325"/>
      <c r="KII507" s="325"/>
      <c r="KIJ507" s="325"/>
      <c r="KIK507" s="325"/>
      <c r="KIL507" s="325"/>
      <c r="KIM507" s="325"/>
      <c r="KIN507" s="325"/>
      <c r="KIO507" s="325"/>
      <c r="KIP507" s="325"/>
      <c r="KIQ507" s="325"/>
      <c r="KIR507" s="325"/>
      <c r="KIS507" s="325"/>
      <c r="KIT507" s="325"/>
      <c r="KIU507" s="325"/>
      <c r="KIV507" s="325"/>
      <c r="KIW507" s="325"/>
      <c r="KIX507" s="325"/>
      <c r="KIY507" s="325"/>
      <c r="KIZ507" s="325"/>
      <c r="KJA507" s="325"/>
      <c r="KJB507" s="327"/>
      <c r="KJC507" s="28"/>
      <c r="KJD507" s="324"/>
      <c r="KJE507" s="324"/>
      <c r="KJF507" s="324"/>
      <c r="KJG507" s="324"/>
      <c r="KJH507" s="324"/>
      <c r="KJI507" s="324"/>
      <c r="KJJ507" s="256"/>
      <c r="KJK507" s="325"/>
      <c r="KJL507" s="311"/>
      <c r="KJM507" s="325"/>
      <c r="KJN507" s="310"/>
      <c r="KJO507" s="325"/>
      <c r="KJP507" s="325"/>
      <c r="KJQ507" s="325"/>
      <c r="KJR507" s="325"/>
      <c r="KJS507" s="325"/>
      <c r="KJT507" s="325"/>
      <c r="KJU507" s="325"/>
      <c r="KJV507" s="325"/>
      <c r="KJW507" s="325"/>
      <c r="KJX507" s="325"/>
      <c r="KJY507" s="325"/>
      <c r="KJZ507" s="325"/>
      <c r="KKA507" s="325"/>
      <c r="KKB507" s="325"/>
      <c r="KKC507" s="325"/>
      <c r="KKD507" s="325"/>
      <c r="KKE507" s="325"/>
      <c r="KKF507" s="325"/>
      <c r="KKG507" s="325"/>
      <c r="KKH507" s="325"/>
      <c r="KKI507" s="325"/>
      <c r="KKJ507" s="325"/>
      <c r="KKK507" s="325"/>
      <c r="KKL507" s="325"/>
      <c r="KKM507" s="325"/>
      <c r="KKN507" s="325"/>
      <c r="KKO507" s="325"/>
      <c r="KKP507" s="325"/>
      <c r="KKQ507" s="325"/>
      <c r="KKR507" s="325"/>
      <c r="KKS507" s="327"/>
      <c r="KKT507" s="28"/>
      <c r="KKU507" s="324"/>
      <c r="KKV507" s="324"/>
      <c r="KKW507" s="324"/>
      <c r="KKX507" s="324"/>
      <c r="KKY507" s="324"/>
      <c r="KKZ507" s="324"/>
      <c r="KLA507" s="256"/>
      <c r="KLB507" s="325"/>
      <c r="KLC507" s="311"/>
      <c r="KLD507" s="325"/>
      <c r="KLE507" s="310"/>
      <c r="KLF507" s="325"/>
      <c r="KLG507" s="325"/>
      <c r="KLH507" s="325"/>
      <c r="KLI507" s="325"/>
      <c r="KLJ507" s="325"/>
      <c r="KLK507" s="325"/>
      <c r="KLL507" s="325"/>
      <c r="KLM507" s="325"/>
      <c r="KLN507" s="325"/>
      <c r="KLO507" s="325"/>
      <c r="KLP507" s="325"/>
      <c r="KLQ507" s="325"/>
      <c r="KLR507" s="325"/>
      <c r="KLS507" s="325"/>
      <c r="KLT507" s="325"/>
      <c r="KLU507" s="325"/>
      <c r="KLV507" s="325"/>
      <c r="KLW507" s="325"/>
      <c r="KLX507" s="325"/>
      <c r="KLY507" s="325"/>
      <c r="KLZ507" s="325"/>
      <c r="KMA507" s="325"/>
      <c r="KMB507" s="325"/>
      <c r="KMC507" s="325"/>
      <c r="KMD507" s="325"/>
      <c r="KME507" s="325"/>
      <c r="KMF507" s="325"/>
      <c r="KMG507" s="325"/>
      <c r="KMH507" s="325"/>
      <c r="KMI507" s="325"/>
      <c r="KMJ507" s="327"/>
      <c r="KMK507" s="28"/>
      <c r="KML507" s="324"/>
      <c r="KMM507" s="324"/>
      <c r="KMN507" s="324"/>
      <c r="KMO507" s="324"/>
      <c r="KMP507" s="324"/>
      <c r="KMQ507" s="324"/>
      <c r="KMR507" s="256"/>
      <c r="KMS507" s="325"/>
      <c r="KMT507" s="311"/>
      <c r="KMU507" s="325"/>
      <c r="KMV507" s="310"/>
      <c r="KMW507" s="325"/>
      <c r="KMX507" s="325"/>
      <c r="KMY507" s="325"/>
      <c r="KMZ507" s="325"/>
      <c r="KNA507" s="325"/>
      <c r="KNB507" s="325"/>
      <c r="KNC507" s="325"/>
      <c r="KND507" s="325"/>
      <c r="KNE507" s="325"/>
      <c r="KNF507" s="325"/>
      <c r="KNG507" s="325"/>
      <c r="KNH507" s="325"/>
      <c r="KNI507" s="325"/>
      <c r="KNJ507" s="325"/>
      <c r="KNK507" s="325"/>
      <c r="KNL507" s="325"/>
      <c r="KNM507" s="325"/>
      <c r="KNN507" s="325"/>
      <c r="KNO507" s="325"/>
      <c r="KNP507" s="325"/>
      <c r="KNQ507" s="325"/>
      <c r="KNR507" s="325"/>
      <c r="KNS507" s="325"/>
      <c r="KNT507" s="325"/>
      <c r="KNU507" s="325"/>
      <c r="KNV507" s="325"/>
      <c r="KNW507" s="325"/>
      <c r="KNX507" s="325"/>
      <c r="KNY507" s="325"/>
      <c r="KNZ507" s="325"/>
      <c r="KOA507" s="327"/>
      <c r="KOB507" s="28"/>
      <c r="KOC507" s="324"/>
      <c r="KOD507" s="324"/>
      <c r="KOE507" s="324"/>
      <c r="KOF507" s="324"/>
      <c r="KOG507" s="324"/>
      <c r="KOH507" s="324"/>
      <c r="KOI507" s="256"/>
      <c r="KOJ507" s="325"/>
      <c r="KOK507" s="311"/>
      <c r="KOL507" s="325"/>
      <c r="KOM507" s="310"/>
      <c r="KON507" s="325"/>
      <c r="KOO507" s="325"/>
      <c r="KOP507" s="325"/>
      <c r="KOQ507" s="325"/>
      <c r="KOR507" s="325"/>
      <c r="KOS507" s="325"/>
      <c r="KOT507" s="325"/>
      <c r="KOU507" s="325"/>
      <c r="KOV507" s="325"/>
      <c r="KOW507" s="325"/>
      <c r="KOX507" s="325"/>
      <c r="KOY507" s="325"/>
      <c r="KOZ507" s="325"/>
      <c r="KPA507" s="325"/>
      <c r="KPB507" s="325"/>
      <c r="KPC507" s="325"/>
      <c r="KPD507" s="325"/>
      <c r="KPE507" s="325"/>
      <c r="KPF507" s="325"/>
      <c r="KPG507" s="325"/>
      <c r="KPH507" s="325"/>
      <c r="KPI507" s="325"/>
      <c r="KPJ507" s="325"/>
      <c r="KPK507" s="325"/>
      <c r="KPL507" s="325"/>
      <c r="KPM507" s="325"/>
      <c r="KPN507" s="325"/>
      <c r="KPO507" s="325"/>
      <c r="KPP507" s="325"/>
      <c r="KPQ507" s="325"/>
      <c r="KPR507" s="327"/>
      <c r="KPS507" s="28"/>
      <c r="KPT507" s="324"/>
      <c r="KPU507" s="324"/>
      <c r="KPV507" s="324"/>
      <c r="KPW507" s="324"/>
      <c r="KPX507" s="324"/>
      <c r="KPY507" s="324"/>
      <c r="KPZ507" s="256"/>
      <c r="KQA507" s="325"/>
      <c r="KQB507" s="311"/>
      <c r="KQC507" s="325"/>
      <c r="KQD507" s="310"/>
      <c r="KQE507" s="325"/>
      <c r="KQF507" s="325"/>
      <c r="KQG507" s="325"/>
      <c r="KQH507" s="325"/>
      <c r="KQI507" s="325"/>
      <c r="KQJ507" s="325"/>
      <c r="KQK507" s="325"/>
      <c r="KQL507" s="325"/>
      <c r="KQM507" s="325"/>
      <c r="KQN507" s="325"/>
      <c r="KQO507" s="325"/>
      <c r="KQP507" s="325"/>
      <c r="KQQ507" s="325"/>
      <c r="KQR507" s="325"/>
      <c r="KQS507" s="325"/>
      <c r="KQT507" s="325"/>
      <c r="KQU507" s="325"/>
      <c r="KQV507" s="325"/>
      <c r="KQW507" s="325"/>
      <c r="KQX507" s="325"/>
      <c r="KQY507" s="325"/>
      <c r="KQZ507" s="325"/>
      <c r="KRA507" s="325"/>
      <c r="KRB507" s="325"/>
      <c r="KRC507" s="325"/>
      <c r="KRD507" s="325"/>
      <c r="KRE507" s="325"/>
      <c r="KRF507" s="325"/>
      <c r="KRG507" s="325"/>
      <c r="KRH507" s="325"/>
      <c r="KRI507" s="327"/>
      <c r="KRJ507" s="28"/>
      <c r="KRK507" s="324"/>
      <c r="KRL507" s="324"/>
      <c r="KRM507" s="324"/>
      <c r="KRN507" s="324"/>
      <c r="KRO507" s="324"/>
      <c r="KRP507" s="324"/>
      <c r="KRQ507" s="256"/>
      <c r="KRR507" s="325"/>
      <c r="KRS507" s="311"/>
      <c r="KRT507" s="325"/>
      <c r="KRU507" s="310"/>
      <c r="KRV507" s="325"/>
      <c r="KRW507" s="325"/>
      <c r="KRX507" s="325"/>
      <c r="KRY507" s="325"/>
      <c r="KRZ507" s="325"/>
      <c r="KSA507" s="325"/>
      <c r="KSB507" s="325"/>
      <c r="KSC507" s="325"/>
      <c r="KSD507" s="325"/>
      <c r="KSE507" s="325"/>
      <c r="KSF507" s="325"/>
      <c r="KSG507" s="325"/>
      <c r="KSH507" s="325"/>
      <c r="KSI507" s="325"/>
      <c r="KSJ507" s="325"/>
      <c r="KSK507" s="325"/>
      <c r="KSL507" s="325"/>
      <c r="KSM507" s="325"/>
      <c r="KSN507" s="325"/>
      <c r="KSO507" s="325"/>
      <c r="KSP507" s="325"/>
      <c r="KSQ507" s="325"/>
      <c r="KSR507" s="325"/>
      <c r="KSS507" s="325"/>
      <c r="KST507" s="325"/>
      <c r="KSU507" s="325"/>
      <c r="KSV507" s="325"/>
      <c r="KSW507" s="325"/>
      <c r="KSX507" s="325"/>
      <c r="KSY507" s="325"/>
      <c r="KSZ507" s="327"/>
      <c r="KTA507" s="28"/>
      <c r="KTB507" s="324"/>
      <c r="KTC507" s="324"/>
      <c r="KTD507" s="324"/>
      <c r="KTE507" s="324"/>
      <c r="KTF507" s="324"/>
      <c r="KTG507" s="324"/>
      <c r="KTH507" s="256"/>
      <c r="KTI507" s="325"/>
      <c r="KTJ507" s="311"/>
      <c r="KTK507" s="325"/>
      <c r="KTL507" s="310"/>
      <c r="KTM507" s="325"/>
      <c r="KTN507" s="325"/>
      <c r="KTO507" s="325"/>
      <c r="KTP507" s="325"/>
      <c r="KTQ507" s="325"/>
      <c r="KTR507" s="325"/>
      <c r="KTS507" s="325"/>
      <c r="KTT507" s="325"/>
      <c r="KTU507" s="325"/>
      <c r="KTV507" s="325"/>
      <c r="KTW507" s="325"/>
      <c r="KTX507" s="325"/>
      <c r="KTY507" s="325"/>
      <c r="KTZ507" s="325"/>
      <c r="KUA507" s="325"/>
      <c r="KUB507" s="325"/>
      <c r="KUC507" s="325"/>
      <c r="KUD507" s="325"/>
      <c r="KUE507" s="325"/>
      <c r="KUF507" s="325"/>
      <c r="KUG507" s="325"/>
      <c r="KUH507" s="325"/>
      <c r="KUI507" s="325"/>
      <c r="KUJ507" s="325"/>
      <c r="KUK507" s="325"/>
      <c r="KUL507" s="325"/>
      <c r="KUM507" s="325"/>
      <c r="KUN507" s="325"/>
      <c r="KUO507" s="325"/>
      <c r="KUP507" s="325"/>
      <c r="KUQ507" s="327"/>
      <c r="KUR507" s="28"/>
      <c r="KUS507" s="324"/>
      <c r="KUT507" s="324"/>
      <c r="KUU507" s="324"/>
      <c r="KUV507" s="324"/>
      <c r="KUW507" s="324"/>
      <c r="KUX507" s="324"/>
      <c r="KUY507" s="256"/>
      <c r="KUZ507" s="325"/>
      <c r="KVA507" s="311"/>
      <c r="KVB507" s="325"/>
      <c r="KVC507" s="310"/>
      <c r="KVD507" s="325"/>
      <c r="KVE507" s="325"/>
      <c r="KVF507" s="325"/>
      <c r="KVG507" s="325"/>
      <c r="KVH507" s="325"/>
      <c r="KVI507" s="325"/>
      <c r="KVJ507" s="325"/>
      <c r="KVK507" s="325"/>
      <c r="KVL507" s="325"/>
      <c r="KVM507" s="325"/>
      <c r="KVN507" s="325"/>
      <c r="KVO507" s="325"/>
      <c r="KVP507" s="325"/>
      <c r="KVQ507" s="325"/>
      <c r="KVR507" s="325"/>
      <c r="KVS507" s="325"/>
      <c r="KVT507" s="325"/>
      <c r="KVU507" s="325"/>
      <c r="KVV507" s="325"/>
      <c r="KVW507" s="325"/>
      <c r="KVX507" s="325"/>
      <c r="KVY507" s="325"/>
      <c r="KVZ507" s="325"/>
      <c r="KWA507" s="325"/>
      <c r="KWB507" s="325"/>
      <c r="KWC507" s="325"/>
      <c r="KWD507" s="325"/>
      <c r="KWE507" s="325"/>
      <c r="KWF507" s="325"/>
      <c r="KWG507" s="325"/>
      <c r="KWH507" s="327"/>
      <c r="KWI507" s="28"/>
      <c r="KWJ507" s="324"/>
      <c r="KWK507" s="324"/>
      <c r="KWL507" s="324"/>
      <c r="KWM507" s="324"/>
      <c r="KWN507" s="324"/>
      <c r="KWO507" s="324"/>
      <c r="KWP507" s="256"/>
      <c r="KWQ507" s="325"/>
      <c r="KWR507" s="311"/>
      <c r="KWS507" s="325"/>
      <c r="KWT507" s="310"/>
      <c r="KWU507" s="325"/>
      <c r="KWV507" s="325"/>
      <c r="KWW507" s="325"/>
      <c r="KWX507" s="325"/>
      <c r="KWY507" s="325"/>
      <c r="KWZ507" s="325"/>
      <c r="KXA507" s="325"/>
      <c r="KXB507" s="325"/>
      <c r="KXC507" s="325"/>
      <c r="KXD507" s="325"/>
      <c r="KXE507" s="325"/>
      <c r="KXF507" s="325"/>
      <c r="KXG507" s="325"/>
      <c r="KXH507" s="325"/>
      <c r="KXI507" s="325"/>
      <c r="KXJ507" s="325"/>
      <c r="KXK507" s="325"/>
      <c r="KXL507" s="325"/>
      <c r="KXM507" s="325"/>
      <c r="KXN507" s="325"/>
      <c r="KXO507" s="325"/>
      <c r="KXP507" s="325"/>
      <c r="KXQ507" s="325"/>
      <c r="KXR507" s="325"/>
      <c r="KXS507" s="325"/>
      <c r="KXT507" s="325"/>
      <c r="KXU507" s="325"/>
      <c r="KXV507" s="325"/>
      <c r="KXW507" s="325"/>
      <c r="KXX507" s="325"/>
      <c r="KXY507" s="327"/>
      <c r="KXZ507" s="28"/>
      <c r="KYA507" s="324"/>
      <c r="KYB507" s="324"/>
      <c r="KYC507" s="324"/>
      <c r="KYD507" s="324"/>
      <c r="KYE507" s="324"/>
      <c r="KYF507" s="324"/>
      <c r="KYG507" s="256"/>
      <c r="KYH507" s="325"/>
      <c r="KYI507" s="311"/>
      <c r="KYJ507" s="325"/>
      <c r="KYK507" s="310"/>
      <c r="KYL507" s="325"/>
      <c r="KYM507" s="325"/>
      <c r="KYN507" s="325"/>
      <c r="KYO507" s="325"/>
      <c r="KYP507" s="325"/>
      <c r="KYQ507" s="325"/>
      <c r="KYR507" s="325"/>
      <c r="KYS507" s="325"/>
      <c r="KYT507" s="325"/>
      <c r="KYU507" s="325"/>
      <c r="KYV507" s="325"/>
      <c r="KYW507" s="325"/>
      <c r="KYX507" s="325"/>
      <c r="KYY507" s="325"/>
      <c r="KYZ507" s="325"/>
      <c r="KZA507" s="325"/>
      <c r="KZB507" s="325"/>
      <c r="KZC507" s="325"/>
      <c r="KZD507" s="325"/>
      <c r="KZE507" s="325"/>
      <c r="KZF507" s="325"/>
      <c r="KZG507" s="325"/>
      <c r="KZH507" s="325"/>
      <c r="KZI507" s="325"/>
      <c r="KZJ507" s="325"/>
      <c r="KZK507" s="325"/>
      <c r="KZL507" s="325"/>
      <c r="KZM507" s="325"/>
      <c r="KZN507" s="325"/>
      <c r="KZO507" s="325"/>
      <c r="KZP507" s="327"/>
      <c r="KZQ507" s="28"/>
      <c r="KZR507" s="324"/>
      <c r="KZS507" s="324"/>
      <c r="KZT507" s="324"/>
      <c r="KZU507" s="324"/>
      <c r="KZV507" s="324"/>
      <c r="KZW507" s="324"/>
      <c r="KZX507" s="256"/>
      <c r="KZY507" s="325"/>
      <c r="KZZ507" s="311"/>
      <c r="LAA507" s="325"/>
      <c r="LAB507" s="310"/>
      <c r="LAC507" s="325"/>
      <c r="LAD507" s="325"/>
      <c r="LAE507" s="325"/>
      <c r="LAF507" s="325"/>
      <c r="LAG507" s="325"/>
      <c r="LAH507" s="325"/>
      <c r="LAI507" s="325"/>
      <c r="LAJ507" s="325"/>
      <c r="LAK507" s="325"/>
      <c r="LAL507" s="325"/>
      <c r="LAM507" s="325"/>
      <c r="LAN507" s="325"/>
      <c r="LAO507" s="325"/>
      <c r="LAP507" s="325"/>
      <c r="LAQ507" s="325"/>
      <c r="LAR507" s="325"/>
      <c r="LAS507" s="325"/>
      <c r="LAT507" s="325"/>
      <c r="LAU507" s="325"/>
      <c r="LAV507" s="325"/>
      <c r="LAW507" s="325"/>
      <c r="LAX507" s="325"/>
      <c r="LAY507" s="325"/>
      <c r="LAZ507" s="325"/>
      <c r="LBA507" s="325"/>
      <c r="LBB507" s="325"/>
      <c r="LBC507" s="325"/>
      <c r="LBD507" s="325"/>
      <c r="LBE507" s="325"/>
      <c r="LBF507" s="325"/>
      <c r="LBG507" s="327"/>
      <c r="LBH507" s="28"/>
      <c r="LBI507" s="324"/>
      <c r="LBJ507" s="324"/>
      <c r="LBK507" s="324"/>
      <c r="LBL507" s="324"/>
      <c r="LBM507" s="324"/>
      <c r="LBN507" s="324"/>
      <c r="LBO507" s="256"/>
      <c r="LBP507" s="325"/>
      <c r="LBQ507" s="311"/>
      <c r="LBR507" s="325"/>
      <c r="LBS507" s="310"/>
      <c r="LBT507" s="325"/>
      <c r="LBU507" s="325"/>
      <c r="LBV507" s="325"/>
      <c r="LBW507" s="325"/>
      <c r="LBX507" s="325"/>
      <c r="LBY507" s="325"/>
      <c r="LBZ507" s="325"/>
      <c r="LCA507" s="325"/>
      <c r="LCB507" s="325"/>
      <c r="LCC507" s="325"/>
      <c r="LCD507" s="325"/>
      <c r="LCE507" s="325"/>
      <c r="LCF507" s="325"/>
      <c r="LCG507" s="325"/>
      <c r="LCH507" s="325"/>
      <c r="LCI507" s="325"/>
      <c r="LCJ507" s="325"/>
      <c r="LCK507" s="325"/>
      <c r="LCL507" s="325"/>
      <c r="LCM507" s="325"/>
      <c r="LCN507" s="325"/>
      <c r="LCO507" s="325"/>
      <c r="LCP507" s="325"/>
      <c r="LCQ507" s="325"/>
      <c r="LCR507" s="325"/>
      <c r="LCS507" s="325"/>
      <c r="LCT507" s="325"/>
      <c r="LCU507" s="325"/>
      <c r="LCV507" s="325"/>
      <c r="LCW507" s="325"/>
      <c r="LCX507" s="327"/>
      <c r="LCY507" s="28"/>
      <c r="LCZ507" s="324"/>
      <c r="LDA507" s="324"/>
      <c r="LDB507" s="324"/>
      <c r="LDC507" s="324"/>
      <c r="LDD507" s="324"/>
      <c r="LDE507" s="324"/>
      <c r="LDF507" s="256"/>
      <c r="LDG507" s="325"/>
      <c r="LDH507" s="311"/>
      <c r="LDI507" s="325"/>
      <c r="LDJ507" s="310"/>
      <c r="LDK507" s="325"/>
      <c r="LDL507" s="325"/>
      <c r="LDM507" s="325"/>
      <c r="LDN507" s="325"/>
      <c r="LDO507" s="325"/>
      <c r="LDP507" s="325"/>
      <c r="LDQ507" s="325"/>
      <c r="LDR507" s="325"/>
      <c r="LDS507" s="325"/>
      <c r="LDT507" s="325"/>
      <c r="LDU507" s="325"/>
      <c r="LDV507" s="325"/>
      <c r="LDW507" s="325"/>
      <c r="LDX507" s="325"/>
      <c r="LDY507" s="325"/>
      <c r="LDZ507" s="325"/>
      <c r="LEA507" s="325"/>
      <c r="LEB507" s="325"/>
      <c r="LEC507" s="325"/>
      <c r="LED507" s="325"/>
      <c r="LEE507" s="325"/>
      <c r="LEF507" s="325"/>
      <c r="LEG507" s="325"/>
      <c r="LEH507" s="325"/>
      <c r="LEI507" s="325"/>
      <c r="LEJ507" s="325"/>
      <c r="LEK507" s="325"/>
      <c r="LEL507" s="325"/>
      <c r="LEM507" s="325"/>
      <c r="LEN507" s="325"/>
      <c r="LEO507" s="327"/>
      <c r="LEP507" s="28"/>
      <c r="LEQ507" s="324"/>
      <c r="LER507" s="324"/>
      <c r="LES507" s="324"/>
      <c r="LET507" s="324"/>
      <c r="LEU507" s="324"/>
      <c r="LEV507" s="324"/>
      <c r="LEW507" s="256"/>
      <c r="LEX507" s="325"/>
      <c r="LEY507" s="311"/>
      <c r="LEZ507" s="325"/>
      <c r="LFA507" s="310"/>
      <c r="LFB507" s="325"/>
      <c r="LFC507" s="325"/>
      <c r="LFD507" s="325"/>
      <c r="LFE507" s="325"/>
      <c r="LFF507" s="325"/>
      <c r="LFG507" s="325"/>
      <c r="LFH507" s="325"/>
      <c r="LFI507" s="325"/>
      <c r="LFJ507" s="325"/>
      <c r="LFK507" s="325"/>
      <c r="LFL507" s="325"/>
      <c r="LFM507" s="325"/>
      <c r="LFN507" s="325"/>
      <c r="LFO507" s="325"/>
      <c r="LFP507" s="325"/>
      <c r="LFQ507" s="325"/>
      <c r="LFR507" s="325"/>
      <c r="LFS507" s="325"/>
      <c r="LFT507" s="325"/>
      <c r="LFU507" s="325"/>
      <c r="LFV507" s="325"/>
      <c r="LFW507" s="325"/>
      <c r="LFX507" s="325"/>
      <c r="LFY507" s="325"/>
      <c r="LFZ507" s="325"/>
      <c r="LGA507" s="325"/>
      <c r="LGB507" s="325"/>
      <c r="LGC507" s="325"/>
      <c r="LGD507" s="325"/>
      <c r="LGE507" s="325"/>
      <c r="LGF507" s="327"/>
      <c r="LGG507" s="28"/>
      <c r="LGH507" s="324"/>
      <c r="LGI507" s="324"/>
      <c r="LGJ507" s="324"/>
      <c r="LGK507" s="324"/>
      <c r="LGL507" s="324"/>
      <c r="LGM507" s="324"/>
      <c r="LGN507" s="256"/>
      <c r="LGO507" s="325"/>
      <c r="LGP507" s="311"/>
      <c r="LGQ507" s="325"/>
      <c r="LGR507" s="310"/>
      <c r="LGS507" s="325"/>
      <c r="LGT507" s="325"/>
      <c r="LGU507" s="325"/>
      <c r="LGV507" s="325"/>
      <c r="LGW507" s="325"/>
      <c r="LGX507" s="325"/>
      <c r="LGY507" s="325"/>
      <c r="LGZ507" s="325"/>
      <c r="LHA507" s="325"/>
      <c r="LHB507" s="325"/>
      <c r="LHC507" s="325"/>
      <c r="LHD507" s="325"/>
      <c r="LHE507" s="325"/>
      <c r="LHF507" s="325"/>
      <c r="LHG507" s="325"/>
      <c r="LHH507" s="325"/>
      <c r="LHI507" s="325"/>
      <c r="LHJ507" s="325"/>
      <c r="LHK507" s="325"/>
      <c r="LHL507" s="325"/>
      <c r="LHM507" s="325"/>
      <c r="LHN507" s="325"/>
      <c r="LHO507" s="325"/>
      <c r="LHP507" s="325"/>
      <c r="LHQ507" s="325"/>
      <c r="LHR507" s="325"/>
      <c r="LHS507" s="325"/>
      <c r="LHT507" s="325"/>
      <c r="LHU507" s="325"/>
      <c r="LHV507" s="325"/>
      <c r="LHW507" s="327"/>
      <c r="LHX507" s="28"/>
      <c r="LHY507" s="324"/>
      <c r="LHZ507" s="324"/>
      <c r="LIA507" s="324"/>
      <c r="LIB507" s="324"/>
      <c r="LIC507" s="324"/>
      <c r="LID507" s="324"/>
      <c r="LIE507" s="256"/>
      <c r="LIF507" s="325"/>
      <c r="LIG507" s="311"/>
      <c r="LIH507" s="325"/>
      <c r="LII507" s="310"/>
      <c r="LIJ507" s="325"/>
      <c r="LIK507" s="325"/>
      <c r="LIL507" s="325"/>
      <c r="LIM507" s="325"/>
      <c r="LIN507" s="325"/>
      <c r="LIO507" s="325"/>
      <c r="LIP507" s="325"/>
      <c r="LIQ507" s="325"/>
      <c r="LIR507" s="325"/>
      <c r="LIS507" s="325"/>
      <c r="LIT507" s="325"/>
      <c r="LIU507" s="325"/>
      <c r="LIV507" s="325"/>
      <c r="LIW507" s="325"/>
      <c r="LIX507" s="325"/>
      <c r="LIY507" s="325"/>
      <c r="LIZ507" s="325"/>
      <c r="LJA507" s="325"/>
      <c r="LJB507" s="325"/>
      <c r="LJC507" s="325"/>
      <c r="LJD507" s="325"/>
      <c r="LJE507" s="325"/>
      <c r="LJF507" s="325"/>
      <c r="LJG507" s="325"/>
      <c r="LJH507" s="325"/>
      <c r="LJI507" s="325"/>
      <c r="LJJ507" s="325"/>
      <c r="LJK507" s="325"/>
      <c r="LJL507" s="325"/>
      <c r="LJM507" s="325"/>
      <c r="LJN507" s="327"/>
      <c r="LJO507" s="28"/>
      <c r="LJP507" s="324"/>
      <c r="LJQ507" s="324"/>
      <c r="LJR507" s="324"/>
      <c r="LJS507" s="324"/>
      <c r="LJT507" s="324"/>
      <c r="LJU507" s="324"/>
      <c r="LJV507" s="256"/>
      <c r="LJW507" s="325"/>
      <c r="LJX507" s="311"/>
      <c r="LJY507" s="325"/>
      <c r="LJZ507" s="310"/>
      <c r="LKA507" s="325"/>
      <c r="LKB507" s="325"/>
      <c r="LKC507" s="325"/>
      <c r="LKD507" s="325"/>
      <c r="LKE507" s="325"/>
      <c r="LKF507" s="325"/>
      <c r="LKG507" s="325"/>
      <c r="LKH507" s="325"/>
      <c r="LKI507" s="325"/>
      <c r="LKJ507" s="325"/>
      <c r="LKK507" s="325"/>
      <c r="LKL507" s="325"/>
      <c r="LKM507" s="325"/>
      <c r="LKN507" s="325"/>
      <c r="LKO507" s="325"/>
      <c r="LKP507" s="325"/>
      <c r="LKQ507" s="325"/>
      <c r="LKR507" s="325"/>
      <c r="LKS507" s="325"/>
      <c r="LKT507" s="325"/>
      <c r="LKU507" s="325"/>
      <c r="LKV507" s="325"/>
      <c r="LKW507" s="325"/>
      <c r="LKX507" s="325"/>
      <c r="LKY507" s="325"/>
      <c r="LKZ507" s="325"/>
      <c r="LLA507" s="325"/>
      <c r="LLB507" s="325"/>
      <c r="LLC507" s="325"/>
      <c r="LLD507" s="325"/>
      <c r="LLE507" s="327"/>
      <c r="LLF507" s="28"/>
      <c r="LLG507" s="324"/>
      <c r="LLH507" s="324"/>
      <c r="LLI507" s="324"/>
      <c r="LLJ507" s="324"/>
      <c r="LLK507" s="324"/>
      <c r="LLL507" s="324"/>
      <c r="LLM507" s="256"/>
      <c r="LLN507" s="325"/>
      <c r="LLO507" s="311"/>
      <c r="LLP507" s="325"/>
      <c r="LLQ507" s="310"/>
      <c r="LLR507" s="325"/>
      <c r="LLS507" s="325"/>
      <c r="LLT507" s="325"/>
      <c r="LLU507" s="325"/>
      <c r="LLV507" s="325"/>
      <c r="LLW507" s="325"/>
      <c r="LLX507" s="325"/>
      <c r="LLY507" s="325"/>
      <c r="LLZ507" s="325"/>
      <c r="LMA507" s="325"/>
      <c r="LMB507" s="325"/>
      <c r="LMC507" s="325"/>
      <c r="LMD507" s="325"/>
      <c r="LME507" s="325"/>
      <c r="LMF507" s="325"/>
      <c r="LMG507" s="325"/>
      <c r="LMH507" s="325"/>
      <c r="LMI507" s="325"/>
      <c r="LMJ507" s="325"/>
      <c r="LMK507" s="325"/>
      <c r="LML507" s="325"/>
      <c r="LMM507" s="325"/>
      <c r="LMN507" s="325"/>
      <c r="LMO507" s="325"/>
      <c r="LMP507" s="325"/>
      <c r="LMQ507" s="325"/>
      <c r="LMR507" s="325"/>
      <c r="LMS507" s="325"/>
      <c r="LMT507" s="325"/>
      <c r="LMU507" s="325"/>
      <c r="LMV507" s="327"/>
      <c r="LMW507" s="28"/>
      <c r="LMX507" s="324"/>
      <c r="LMY507" s="324"/>
      <c r="LMZ507" s="324"/>
      <c r="LNA507" s="324"/>
      <c r="LNB507" s="324"/>
      <c r="LNC507" s="324"/>
      <c r="LND507" s="256"/>
      <c r="LNE507" s="325"/>
      <c r="LNF507" s="311"/>
      <c r="LNG507" s="325"/>
      <c r="LNH507" s="310"/>
      <c r="LNI507" s="325"/>
      <c r="LNJ507" s="325"/>
      <c r="LNK507" s="325"/>
      <c r="LNL507" s="325"/>
      <c r="LNM507" s="325"/>
      <c r="LNN507" s="325"/>
      <c r="LNO507" s="325"/>
      <c r="LNP507" s="325"/>
      <c r="LNQ507" s="325"/>
      <c r="LNR507" s="325"/>
      <c r="LNS507" s="325"/>
      <c r="LNT507" s="325"/>
      <c r="LNU507" s="325"/>
      <c r="LNV507" s="325"/>
      <c r="LNW507" s="325"/>
      <c r="LNX507" s="325"/>
      <c r="LNY507" s="325"/>
      <c r="LNZ507" s="325"/>
      <c r="LOA507" s="325"/>
      <c r="LOB507" s="325"/>
      <c r="LOC507" s="325"/>
      <c r="LOD507" s="325"/>
      <c r="LOE507" s="325"/>
      <c r="LOF507" s="325"/>
      <c r="LOG507" s="325"/>
      <c r="LOH507" s="325"/>
      <c r="LOI507" s="325"/>
      <c r="LOJ507" s="325"/>
      <c r="LOK507" s="325"/>
      <c r="LOL507" s="325"/>
      <c r="LOM507" s="327"/>
      <c r="LON507" s="28"/>
      <c r="LOO507" s="324"/>
      <c r="LOP507" s="324"/>
      <c r="LOQ507" s="324"/>
      <c r="LOR507" s="324"/>
      <c r="LOS507" s="324"/>
      <c r="LOT507" s="324"/>
      <c r="LOU507" s="256"/>
      <c r="LOV507" s="325"/>
      <c r="LOW507" s="311"/>
      <c r="LOX507" s="325"/>
      <c r="LOY507" s="310"/>
      <c r="LOZ507" s="325"/>
      <c r="LPA507" s="325"/>
      <c r="LPB507" s="325"/>
      <c r="LPC507" s="325"/>
      <c r="LPD507" s="325"/>
      <c r="LPE507" s="325"/>
      <c r="LPF507" s="325"/>
      <c r="LPG507" s="325"/>
      <c r="LPH507" s="325"/>
      <c r="LPI507" s="325"/>
      <c r="LPJ507" s="325"/>
      <c r="LPK507" s="325"/>
      <c r="LPL507" s="325"/>
      <c r="LPM507" s="325"/>
      <c r="LPN507" s="325"/>
      <c r="LPO507" s="325"/>
      <c r="LPP507" s="325"/>
      <c r="LPQ507" s="325"/>
      <c r="LPR507" s="325"/>
      <c r="LPS507" s="325"/>
      <c r="LPT507" s="325"/>
      <c r="LPU507" s="325"/>
      <c r="LPV507" s="325"/>
      <c r="LPW507" s="325"/>
      <c r="LPX507" s="325"/>
      <c r="LPY507" s="325"/>
      <c r="LPZ507" s="325"/>
      <c r="LQA507" s="325"/>
      <c r="LQB507" s="325"/>
      <c r="LQC507" s="325"/>
      <c r="LQD507" s="327"/>
      <c r="LQE507" s="28"/>
      <c r="LQF507" s="324"/>
      <c r="LQG507" s="324"/>
      <c r="LQH507" s="324"/>
      <c r="LQI507" s="324"/>
      <c r="LQJ507" s="324"/>
      <c r="LQK507" s="324"/>
      <c r="LQL507" s="256"/>
      <c r="LQM507" s="325"/>
      <c r="LQN507" s="311"/>
      <c r="LQO507" s="325"/>
      <c r="LQP507" s="310"/>
      <c r="LQQ507" s="325"/>
      <c r="LQR507" s="325"/>
      <c r="LQS507" s="325"/>
      <c r="LQT507" s="325"/>
      <c r="LQU507" s="325"/>
      <c r="LQV507" s="325"/>
      <c r="LQW507" s="325"/>
      <c r="LQX507" s="325"/>
      <c r="LQY507" s="325"/>
      <c r="LQZ507" s="325"/>
      <c r="LRA507" s="325"/>
      <c r="LRB507" s="325"/>
      <c r="LRC507" s="325"/>
      <c r="LRD507" s="325"/>
      <c r="LRE507" s="325"/>
      <c r="LRF507" s="325"/>
      <c r="LRG507" s="325"/>
      <c r="LRH507" s="325"/>
      <c r="LRI507" s="325"/>
      <c r="LRJ507" s="325"/>
      <c r="LRK507" s="325"/>
      <c r="LRL507" s="325"/>
      <c r="LRM507" s="325"/>
      <c r="LRN507" s="325"/>
      <c r="LRO507" s="325"/>
      <c r="LRP507" s="325"/>
      <c r="LRQ507" s="325"/>
      <c r="LRR507" s="325"/>
      <c r="LRS507" s="325"/>
      <c r="LRT507" s="325"/>
      <c r="LRU507" s="327"/>
      <c r="LRV507" s="28"/>
      <c r="LRW507" s="324"/>
      <c r="LRX507" s="324"/>
      <c r="LRY507" s="324"/>
      <c r="LRZ507" s="324"/>
      <c r="LSA507" s="324"/>
      <c r="LSB507" s="324"/>
      <c r="LSC507" s="256"/>
      <c r="LSD507" s="325"/>
      <c r="LSE507" s="311"/>
      <c r="LSF507" s="325"/>
      <c r="LSG507" s="310"/>
      <c r="LSH507" s="325"/>
      <c r="LSI507" s="325"/>
      <c r="LSJ507" s="325"/>
      <c r="LSK507" s="325"/>
      <c r="LSL507" s="325"/>
      <c r="LSM507" s="325"/>
      <c r="LSN507" s="325"/>
      <c r="LSO507" s="325"/>
      <c r="LSP507" s="325"/>
      <c r="LSQ507" s="325"/>
      <c r="LSR507" s="325"/>
      <c r="LSS507" s="325"/>
      <c r="LST507" s="325"/>
      <c r="LSU507" s="325"/>
      <c r="LSV507" s="325"/>
      <c r="LSW507" s="325"/>
      <c r="LSX507" s="325"/>
      <c r="LSY507" s="325"/>
      <c r="LSZ507" s="325"/>
      <c r="LTA507" s="325"/>
      <c r="LTB507" s="325"/>
      <c r="LTC507" s="325"/>
      <c r="LTD507" s="325"/>
      <c r="LTE507" s="325"/>
      <c r="LTF507" s="325"/>
      <c r="LTG507" s="325"/>
      <c r="LTH507" s="325"/>
      <c r="LTI507" s="325"/>
      <c r="LTJ507" s="325"/>
      <c r="LTK507" s="325"/>
      <c r="LTL507" s="327"/>
      <c r="LTM507" s="28"/>
      <c r="LTN507" s="324"/>
      <c r="LTO507" s="324"/>
      <c r="LTP507" s="324"/>
      <c r="LTQ507" s="324"/>
      <c r="LTR507" s="324"/>
      <c r="LTS507" s="324"/>
      <c r="LTT507" s="256"/>
      <c r="LTU507" s="325"/>
      <c r="LTV507" s="311"/>
      <c r="LTW507" s="325"/>
      <c r="LTX507" s="310"/>
      <c r="LTY507" s="325"/>
      <c r="LTZ507" s="325"/>
      <c r="LUA507" s="325"/>
      <c r="LUB507" s="325"/>
      <c r="LUC507" s="325"/>
      <c r="LUD507" s="325"/>
      <c r="LUE507" s="325"/>
      <c r="LUF507" s="325"/>
      <c r="LUG507" s="325"/>
      <c r="LUH507" s="325"/>
      <c r="LUI507" s="325"/>
      <c r="LUJ507" s="325"/>
      <c r="LUK507" s="325"/>
      <c r="LUL507" s="325"/>
      <c r="LUM507" s="325"/>
      <c r="LUN507" s="325"/>
      <c r="LUO507" s="325"/>
      <c r="LUP507" s="325"/>
      <c r="LUQ507" s="325"/>
      <c r="LUR507" s="325"/>
      <c r="LUS507" s="325"/>
      <c r="LUT507" s="325"/>
      <c r="LUU507" s="325"/>
      <c r="LUV507" s="325"/>
      <c r="LUW507" s="325"/>
      <c r="LUX507" s="325"/>
      <c r="LUY507" s="325"/>
      <c r="LUZ507" s="325"/>
      <c r="LVA507" s="325"/>
      <c r="LVB507" s="325"/>
      <c r="LVC507" s="327"/>
      <c r="LVD507" s="28"/>
      <c r="LVE507" s="324"/>
      <c r="LVF507" s="324"/>
      <c r="LVG507" s="324"/>
      <c r="LVH507" s="324"/>
      <c r="LVI507" s="324"/>
      <c r="LVJ507" s="324"/>
      <c r="LVK507" s="256"/>
      <c r="LVL507" s="325"/>
      <c r="LVM507" s="311"/>
      <c r="LVN507" s="325"/>
      <c r="LVO507" s="310"/>
      <c r="LVP507" s="325"/>
      <c r="LVQ507" s="325"/>
      <c r="LVR507" s="325"/>
      <c r="LVS507" s="325"/>
      <c r="LVT507" s="325"/>
      <c r="LVU507" s="325"/>
      <c r="LVV507" s="325"/>
      <c r="LVW507" s="325"/>
      <c r="LVX507" s="325"/>
      <c r="LVY507" s="325"/>
      <c r="LVZ507" s="325"/>
      <c r="LWA507" s="325"/>
      <c r="LWB507" s="325"/>
      <c r="LWC507" s="325"/>
      <c r="LWD507" s="325"/>
      <c r="LWE507" s="325"/>
      <c r="LWF507" s="325"/>
      <c r="LWG507" s="325"/>
      <c r="LWH507" s="325"/>
      <c r="LWI507" s="325"/>
      <c r="LWJ507" s="325"/>
      <c r="LWK507" s="325"/>
      <c r="LWL507" s="325"/>
      <c r="LWM507" s="325"/>
      <c r="LWN507" s="325"/>
      <c r="LWO507" s="325"/>
      <c r="LWP507" s="325"/>
      <c r="LWQ507" s="325"/>
      <c r="LWR507" s="325"/>
      <c r="LWS507" s="325"/>
      <c r="LWT507" s="327"/>
      <c r="LWU507" s="28"/>
      <c r="LWV507" s="324"/>
      <c r="LWW507" s="324"/>
      <c r="LWX507" s="324"/>
      <c r="LWY507" s="324"/>
      <c r="LWZ507" s="324"/>
      <c r="LXA507" s="324"/>
      <c r="LXB507" s="256"/>
      <c r="LXC507" s="325"/>
      <c r="LXD507" s="311"/>
      <c r="LXE507" s="325"/>
      <c r="LXF507" s="310"/>
      <c r="LXG507" s="325"/>
      <c r="LXH507" s="325"/>
      <c r="LXI507" s="325"/>
      <c r="LXJ507" s="325"/>
      <c r="LXK507" s="325"/>
      <c r="LXL507" s="325"/>
      <c r="LXM507" s="325"/>
      <c r="LXN507" s="325"/>
      <c r="LXO507" s="325"/>
      <c r="LXP507" s="325"/>
      <c r="LXQ507" s="325"/>
      <c r="LXR507" s="325"/>
      <c r="LXS507" s="325"/>
      <c r="LXT507" s="325"/>
      <c r="LXU507" s="325"/>
      <c r="LXV507" s="325"/>
      <c r="LXW507" s="325"/>
      <c r="LXX507" s="325"/>
      <c r="LXY507" s="325"/>
      <c r="LXZ507" s="325"/>
      <c r="LYA507" s="325"/>
      <c r="LYB507" s="325"/>
      <c r="LYC507" s="325"/>
      <c r="LYD507" s="325"/>
      <c r="LYE507" s="325"/>
      <c r="LYF507" s="325"/>
      <c r="LYG507" s="325"/>
      <c r="LYH507" s="325"/>
      <c r="LYI507" s="325"/>
      <c r="LYJ507" s="325"/>
      <c r="LYK507" s="327"/>
      <c r="LYL507" s="28"/>
      <c r="LYM507" s="324"/>
      <c r="LYN507" s="324"/>
      <c r="LYO507" s="324"/>
      <c r="LYP507" s="324"/>
      <c r="LYQ507" s="324"/>
      <c r="LYR507" s="324"/>
      <c r="LYS507" s="256"/>
      <c r="LYT507" s="325"/>
      <c r="LYU507" s="311"/>
      <c r="LYV507" s="325"/>
      <c r="LYW507" s="310"/>
      <c r="LYX507" s="325"/>
      <c r="LYY507" s="325"/>
      <c r="LYZ507" s="325"/>
      <c r="LZA507" s="325"/>
      <c r="LZB507" s="325"/>
      <c r="LZC507" s="325"/>
      <c r="LZD507" s="325"/>
      <c r="LZE507" s="325"/>
      <c r="LZF507" s="325"/>
      <c r="LZG507" s="325"/>
      <c r="LZH507" s="325"/>
      <c r="LZI507" s="325"/>
      <c r="LZJ507" s="325"/>
      <c r="LZK507" s="325"/>
      <c r="LZL507" s="325"/>
      <c r="LZM507" s="325"/>
      <c r="LZN507" s="325"/>
      <c r="LZO507" s="325"/>
      <c r="LZP507" s="325"/>
      <c r="LZQ507" s="325"/>
      <c r="LZR507" s="325"/>
      <c r="LZS507" s="325"/>
      <c r="LZT507" s="325"/>
      <c r="LZU507" s="325"/>
      <c r="LZV507" s="325"/>
      <c r="LZW507" s="325"/>
      <c r="LZX507" s="325"/>
      <c r="LZY507" s="325"/>
      <c r="LZZ507" s="325"/>
      <c r="MAA507" s="325"/>
      <c r="MAB507" s="327"/>
      <c r="MAC507" s="28"/>
      <c r="MAD507" s="324"/>
      <c r="MAE507" s="324"/>
      <c r="MAF507" s="324"/>
      <c r="MAG507" s="324"/>
      <c r="MAH507" s="324"/>
      <c r="MAI507" s="324"/>
      <c r="MAJ507" s="256"/>
      <c r="MAK507" s="325"/>
      <c r="MAL507" s="311"/>
      <c r="MAM507" s="325"/>
      <c r="MAN507" s="310"/>
      <c r="MAO507" s="325"/>
      <c r="MAP507" s="325"/>
      <c r="MAQ507" s="325"/>
      <c r="MAR507" s="325"/>
      <c r="MAS507" s="325"/>
      <c r="MAT507" s="325"/>
      <c r="MAU507" s="325"/>
      <c r="MAV507" s="325"/>
      <c r="MAW507" s="325"/>
      <c r="MAX507" s="325"/>
      <c r="MAY507" s="325"/>
      <c r="MAZ507" s="325"/>
      <c r="MBA507" s="325"/>
      <c r="MBB507" s="325"/>
      <c r="MBC507" s="325"/>
      <c r="MBD507" s="325"/>
      <c r="MBE507" s="325"/>
      <c r="MBF507" s="325"/>
      <c r="MBG507" s="325"/>
      <c r="MBH507" s="325"/>
      <c r="MBI507" s="325"/>
      <c r="MBJ507" s="325"/>
      <c r="MBK507" s="325"/>
      <c r="MBL507" s="325"/>
      <c r="MBM507" s="325"/>
      <c r="MBN507" s="325"/>
      <c r="MBO507" s="325"/>
      <c r="MBP507" s="325"/>
      <c r="MBQ507" s="325"/>
      <c r="MBR507" s="325"/>
      <c r="MBS507" s="327"/>
      <c r="MBT507" s="28"/>
      <c r="MBU507" s="324"/>
      <c r="MBV507" s="324"/>
      <c r="MBW507" s="324"/>
      <c r="MBX507" s="324"/>
      <c r="MBY507" s="324"/>
      <c r="MBZ507" s="324"/>
      <c r="MCA507" s="256"/>
      <c r="MCB507" s="325"/>
      <c r="MCC507" s="311"/>
      <c r="MCD507" s="325"/>
      <c r="MCE507" s="310"/>
      <c r="MCF507" s="325"/>
      <c r="MCG507" s="325"/>
      <c r="MCH507" s="325"/>
      <c r="MCI507" s="325"/>
      <c r="MCJ507" s="325"/>
      <c r="MCK507" s="325"/>
      <c r="MCL507" s="325"/>
      <c r="MCM507" s="325"/>
      <c r="MCN507" s="325"/>
      <c r="MCO507" s="325"/>
      <c r="MCP507" s="325"/>
      <c r="MCQ507" s="325"/>
      <c r="MCR507" s="325"/>
      <c r="MCS507" s="325"/>
      <c r="MCT507" s="325"/>
      <c r="MCU507" s="325"/>
      <c r="MCV507" s="325"/>
      <c r="MCW507" s="325"/>
      <c r="MCX507" s="325"/>
      <c r="MCY507" s="325"/>
      <c r="MCZ507" s="325"/>
      <c r="MDA507" s="325"/>
      <c r="MDB507" s="325"/>
      <c r="MDC507" s="325"/>
      <c r="MDD507" s="325"/>
      <c r="MDE507" s="325"/>
      <c r="MDF507" s="325"/>
      <c r="MDG507" s="325"/>
      <c r="MDH507" s="325"/>
      <c r="MDI507" s="325"/>
      <c r="MDJ507" s="327"/>
      <c r="MDK507" s="28"/>
      <c r="MDL507" s="324"/>
      <c r="MDM507" s="324"/>
      <c r="MDN507" s="324"/>
      <c r="MDO507" s="324"/>
      <c r="MDP507" s="324"/>
      <c r="MDQ507" s="324"/>
      <c r="MDR507" s="256"/>
      <c r="MDS507" s="325"/>
      <c r="MDT507" s="311"/>
      <c r="MDU507" s="325"/>
      <c r="MDV507" s="310"/>
      <c r="MDW507" s="325"/>
      <c r="MDX507" s="325"/>
      <c r="MDY507" s="325"/>
      <c r="MDZ507" s="325"/>
      <c r="MEA507" s="325"/>
      <c r="MEB507" s="325"/>
      <c r="MEC507" s="325"/>
      <c r="MED507" s="325"/>
      <c r="MEE507" s="325"/>
      <c r="MEF507" s="325"/>
      <c r="MEG507" s="325"/>
      <c r="MEH507" s="325"/>
      <c r="MEI507" s="325"/>
      <c r="MEJ507" s="325"/>
      <c r="MEK507" s="325"/>
      <c r="MEL507" s="325"/>
      <c r="MEM507" s="325"/>
      <c r="MEN507" s="325"/>
      <c r="MEO507" s="325"/>
      <c r="MEP507" s="325"/>
      <c r="MEQ507" s="325"/>
      <c r="MER507" s="325"/>
      <c r="MES507" s="325"/>
      <c r="MET507" s="325"/>
      <c r="MEU507" s="325"/>
      <c r="MEV507" s="325"/>
      <c r="MEW507" s="325"/>
      <c r="MEX507" s="325"/>
      <c r="MEY507" s="325"/>
      <c r="MEZ507" s="325"/>
      <c r="MFA507" s="327"/>
      <c r="MFB507" s="28"/>
      <c r="MFC507" s="324"/>
      <c r="MFD507" s="324"/>
      <c r="MFE507" s="324"/>
      <c r="MFF507" s="324"/>
      <c r="MFG507" s="324"/>
      <c r="MFH507" s="324"/>
      <c r="MFI507" s="256"/>
      <c r="MFJ507" s="325"/>
      <c r="MFK507" s="311"/>
      <c r="MFL507" s="325"/>
      <c r="MFM507" s="310"/>
      <c r="MFN507" s="325"/>
      <c r="MFO507" s="325"/>
      <c r="MFP507" s="325"/>
      <c r="MFQ507" s="325"/>
      <c r="MFR507" s="325"/>
      <c r="MFS507" s="325"/>
      <c r="MFT507" s="325"/>
      <c r="MFU507" s="325"/>
      <c r="MFV507" s="325"/>
      <c r="MFW507" s="325"/>
      <c r="MFX507" s="325"/>
      <c r="MFY507" s="325"/>
      <c r="MFZ507" s="325"/>
      <c r="MGA507" s="325"/>
      <c r="MGB507" s="325"/>
      <c r="MGC507" s="325"/>
      <c r="MGD507" s="325"/>
      <c r="MGE507" s="325"/>
      <c r="MGF507" s="325"/>
      <c r="MGG507" s="325"/>
      <c r="MGH507" s="325"/>
      <c r="MGI507" s="325"/>
      <c r="MGJ507" s="325"/>
      <c r="MGK507" s="325"/>
      <c r="MGL507" s="325"/>
      <c r="MGM507" s="325"/>
      <c r="MGN507" s="325"/>
      <c r="MGO507" s="325"/>
      <c r="MGP507" s="325"/>
      <c r="MGQ507" s="325"/>
      <c r="MGR507" s="327"/>
      <c r="MGS507" s="28"/>
      <c r="MGT507" s="324"/>
      <c r="MGU507" s="324"/>
      <c r="MGV507" s="324"/>
      <c r="MGW507" s="324"/>
      <c r="MGX507" s="324"/>
      <c r="MGY507" s="324"/>
      <c r="MGZ507" s="256"/>
      <c r="MHA507" s="325"/>
      <c r="MHB507" s="311"/>
      <c r="MHC507" s="325"/>
      <c r="MHD507" s="310"/>
      <c r="MHE507" s="325"/>
      <c r="MHF507" s="325"/>
      <c r="MHG507" s="325"/>
      <c r="MHH507" s="325"/>
      <c r="MHI507" s="325"/>
      <c r="MHJ507" s="325"/>
      <c r="MHK507" s="325"/>
      <c r="MHL507" s="325"/>
      <c r="MHM507" s="325"/>
      <c r="MHN507" s="325"/>
      <c r="MHO507" s="325"/>
      <c r="MHP507" s="325"/>
      <c r="MHQ507" s="325"/>
      <c r="MHR507" s="325"/>
      <c r="MHS507" s="325"/>
      <c r="MHT507" s="325"/>
      <c r="MHU507" s="325"/>
      <c r="MHV507" s="325"/>
      <c r="MHW507" s="325"/>
      <c r="MHX507" s="325"/>
      <c r="MHY507" s="325"/>
      <c r="MHZ507" s="325"/>
      <c r="MIA507" s="325"/>
      <c r="MIB507" s="325"/>
      <c r="MIC507" s="325"/>
      <c r="MID507" s="325"/>
      <c r="MIE507" s="325"/>
      <c r="MIF507" s="325"/>
      <c r="MIG507" s="325"/>
      <c r="MIH507" s="325"/>
      <c r="MII507" s="327"/>
      <c r="MIJ507" s="28"/>
      <c r="MIK507" s="324"/>
      <c r="MIL507" s="324"/>
      <c r="MIM507" s="324"/>
      <c r="MIN507" s="324"/>
      <c r="MIO507" s="324"/>
      <c r="MIP507" s="324"/>
      <c r="MIQ507" s="256"/>
      <c r="MIR507" s="325"/>
      <c r="MIS507" s="311"/>
      <c r="MIT507" s="325"/>
      <c r="MIU507" s="310"/>
      <c r="MIV507" s="325"/>
      <c r="MIW507" s="325"/>
      <c r="MIX507" s="325"/>
      <c r="MIY507" s="325"/>
      <c r="MIZ507" s="325"/>
      <c r="MJA507" s="325"/>
      <c r="MJB507" s="325"/>
      <c r="MJC507" s="325"/>
      <c r="MJD507" s="325"/>
      <c r="MJE507" s="325"/>
      <c r="MJF507" s="325"/>
      <c r="MJG507" s="325"/>
      <c r="MJH507" s="325"/>
      <c r="MJI507" s="325"/>
      <c r="MJJ507" s="325"/>
      <c r="MJK507" s="325"/>
      <c r="MJL507" s="325"/>
      <c r="MJM507" s="325"/>
      <c r="MJN507" s="325"/>
      <c r="MJO507" s="325"/>
      <c r="MJP507" s="325"/>
      <c r="MJQ507" s="325"/>
      <c r="MJR507" s="325"/>
      <c r="MJS507" s="325"/>
      <c r="MJT507" s="325"/>
      <c r="MJU507" s="325"/>
      <c r="MJV507" s="325"/>
      <c r="MJW507" s="325"/>
      <c r="MJX507" s="325"/>
      <c r="MJY507" s="325"/>
      <c r="MJZ507" s="327"/>
      <c r="MKA507" s="28"/>
      <c r="MKB507" s="324"/>
      <c r="MKC507" s="324"/>
      <c r="MKD507" s="324"/>
      <c r="MKE507" s="324"/>
      <c r="MKF507" s="324"/>
      <c r="MKG507" s="324"/>
      <c r="MKH507" s="256"/>
      <c r="MKI507" s="325"/>
      <c r="MKJ507" s="311"/>
      <c r="MKK507" s="325"/>
      <c r="MKL507" s="310"/>
      <c r="MKM507" s="325"/>
      <c r="MKN507" s="325"/>
      <c r="MKO507" s="325"/>
      <c r="MKP507" s="325"/>
      <c r="MKQ507" s="325"/>
      <c r="MKR507" s="325"/>
      <c r="MKS507" s="325"/>
      <c r="MKT507" s="325"/>
      <c r="MKU507" s="325"/>
      <c r="MKV507" s="325"/>
      <c r="MKW507" s="325"/>
      <c r="MKX507" s="325"/>
      <c r="MKY507" s="325"/>
      <c r="MKZ507" s="325"/>
      <c r="MLA507" s="325"/>
      <c r="MLB507" s="325"/>
      <c r="MLC507" s="325"/>
      <c r="MLD507" s="325"/>
      <c r="MLE507" s="325"/>
      <c r="MLF507" s="325"/>
      <c r="MLG507" s="325"/>
      <c r="MLH507" s="325"/>
      <c r="MLI507" s="325"/>
      <c r="MLJ507" s="325"/>
      <c r="MLK507" s="325"/>
      <c r="MLL507" s="325"/>
      <c r="MLM507" s="325"/>
      <c r="MLN507" s="325"/>
      <c r="MLO507" s="325"/>
      <c r="MLP507" s="325"/>
      <c r="MLQ507" s="327"/>
      <c r="MLR507" s="28"/>
      <c r="MLS507" s="324"/>
      <c r="MLT507" s="324"/>
      <c r="MLU507" s="324"/>
      <c r="MLV507" s="324"/>
      <c r="MLW507" s="324"/>
      <c r="MLX507" s="324"/>
      <c r="MLY507" s="256"/>
      <c r="MLZ507" s="325"/>
      <c r="MMA507" s="311"/>
      <c r="MMB507" s="325"/>
      <c r="MMC507" s="310"/>
      <c r="MMD507" s="325"/>
      <c r="MME507" s="325"/>
      <c r="MMF507" s="325"/>
      <c r="MMG507" s="325"/>
      <c r="MMH507" s="325"/>
      <c r="MMI507" s="325"/>
      <c r="MMJ507" s="325"/>
      <c r="MMK507" s="325"/>
      <c r="MML507" s="325"/>
      <c r="MMM507" s="325"/>
      <c r="MMN507" s="325"/>
      <c r="MMO507" s="325"/>
      <c r="MMP507" s="325"/>
      <c r="MMQ507" s="325"/>
      <c r="MMR507" s="325"/>
      <c r="MMS507" s="325"/>
      <c r="MMT507" s="325"/>
      <c r="MMU507" s="325"/>
      <c r="MMV507" s="325"/>
      <c r="MMW507" s="325"/>
      <c r="MMX507" s="325"/>
      <c r="MMY507" s="325"/>
      <c r="MMZ507" s="325"/>
      <c r="MNA507" s="325"/>
      <c r="MNB507" s="325"/>
      <c r="MNC507" s="325"/>
      <c r="MND507" s="325"/>
      <c r="MNE507" s="325"/>
      <c r="MNF507" s="325"/>
      <c r="MNG507" s="325"/>
      <c r="MNH507" s="327"/>
      <c r="MNI507" s="28"/>
      <c r="MNJ507" s="324"/>
      <c r="MNK507" s="324"/>
      <c r="MNL507" s="324"/>
      <c r="MNM507" s="324"/>
      <c r="MNN507" s="324"/>
      <c r="MNO507" s="324"/>
      <c r="MNP507" s="256"/>
      <c r="MNQ507" s="325"/>
      <c r="MNR507" s="311"/>
      <c r="MNS507" s="325"/>
      <c r="MNT507" s="310"/>
      <c r="MNU507" s="325"/>
      <c r="MNV507" s="325"/>
      <c r="MNW507" s="325"/>
      <c r="MNX507" s="325"/>
      <c r="MNY507" s="325"/>
      <c r="MNZ507" s="325"/>
      <c r="MOA507" s="325"/>
      <c r="MOB507" s="325"/>
      <c r="MOC507" s="325"/>
      <c r="MOD507" s="325"/>
      <c r="MOE507" s="325"/>
      <c r="MOF507" s="325"/>
      <c r="MOG507" s="325"/>
      <c r="MOH507" s="325"/>
      <c r="MOI507" s="325"/>
      <c r="MOJ507" s="325"/>
      <c r="MOK507" s="325"/>
      <c r="MOL507" s="325"/>
      <c r="MOM507" s="325"/>
      <c r="MON507" s="325"/>
      <c r="MOO507" s="325"/>
      <c r="MOP507" s="325"/>
      <c r="MOQ507" s="325"/>
      <c r="MOR507" s="325"/>
      <c r="MOS507" s="325"/>
      <c r="MOT507" s="325"/>
      <c r="MOU507" s="325"/>
      <c r="MOV507" s="325"/>
      <c r="MOW507" s="325"/>
      <c r="MOX507" s="325"/>
      <c r="MOY507" s="327"/>
      <c r="MOZ507" s="28"/>
      <c r="MPA507" s="324"/>
      <c r="MPB507" s="324"/>
      <c r="MPC507" s="324"/>
      <c r="MPD507" s="324"/>
      <c r="MPE507" s="324"/>
      <c r="MPF507" s="324"/>
      <c r="MPG507" s="256"/>
      <c r="MPH507" s="325"/>
      <c r="MPI507" s="311"/>
      <c r="MPJ507" s="325"/>
      <c r="MPK507" s="310"/>
      <c r="MPL507" s="325"/>
      <c r="MPM507" s="325"/>
      <c r="MPN507" s="325"/>
      <c r="MPO507" s="325"/>
      <c r="MPP507" s="325"/>
      <c r="MPQ507" s="325"/>
      <c r="MPR507" s="325"/>
      <c r="MPS507" s="325"/>
      <c r="MPT507" s="325"/>
      <c r="MPU507" s="325"/>
      <c r="MPV507" s="325"/>
      <c r="MPW507" s="325"/>
      <c r="MPX507" s="325"/>
      <c r="MPY507" s="325"/>
      <c r="MPZ507" s="325"/>
      <c r="MQA507" s="325"/>
      <c r="MQB507" s="325"/>
      <c r="MQC507" s="325"/>
      <c r="MQD507" s="325"/>
      <c r="MQE507" s="325"/>
      <c r="MQF507" s="325"/>
      <c r="MQG507" s="325"/>
      <c r="MQH507" s="325"/>
      <c r="MQI507" s="325"/>
      <c r="MQJ507" s="325"/>
      <c r="MQK507" s="325"/>
      <c r="MQL507" s="325"/>
      <c r="MQM507" s="325"/>
      <c r="MQN507" s="325"/>
      <c r="MQO507" s="325"/>
      <c r="MQP507" s="327"/>
      <c r="MQQ507" s="28"/>
      <c r="MQR507" s="324"/>
      <c r="MQS507" s="324"/>
      <c r="MQT507" s="324"/>
      <c r="MQU507" s="324"/>
      <c r="MQV507" s="324"/>
      <c r="MQW507" s="324"/>
      <c r="MQX507" s="256"/>
      <c r="MQY507" s="325"/>
      <c r="MQZ507" s="311"/>
      <c r="MRA507" s="325"/>
      <c r="MRB507" s="310"/>
      <c r="MRC507" s="325"/>
      <c r="MRD507" s="325"/>
      <c r="MRE507" s="325"/>
      <c r="MRF507" s="325"/>
      <c r="MRG507" s="325"/>
      <c r="MRH507" s="325"/>
      <c r="MRI507" s="325"/>
      <c r="MRJ507" s="325"/>
      <c r="MRK507" s="325"/>
      <c r="MRL507" s="325"/>
      <c r="MRM507" s="325"/>
      <c r="MRN507" s="325"/>
      <c r="MRO507" s="325"/>
      <c r="MRP507" s="325"/>
      <c r="MRQ507" s="325"/>
      <c r="MRR507" s="325"/>
      <c r="MRS507" s="325"/>
      <c r="MRT507" s="325"/>
      <c r="MRU507" s="325"/>
      <c r="MRV507" s="325"/>
      <c r="MRW507" s="325"/>
      <c r="MRX507" s="325"/>
      <c r="MRY507" s="325"/>
      <c r="MRZ507" s="325"/>
      <c r="MSA507" s="325"/>
      <c r="MSB507" s="325"/>
      <c r="MSC507" s="325"/>
      <c r="MSD507" s="325"/>
      <c r="MSE507" s="325"/>
      <c r="MSF507" s="325"/>
      <c r="MSG507" s="327"/>
      <c r="MSH507" s="28"/>
      <c r="MSI507" s="324"/>
      <c r="MSJ507" s="324"/>
      <c r="MSK507" s="324"/>
      <c r="MSL507" s="324"/>
      <c r="MSM507" s="324"/>
      <c r="MSN507" s="324"/>
      <c r="MSO507" s="256"/>
      <c r="MSP507" s="325"/>
      <c r="MSQ507" s="311"/>
      <c r="MSR507" s="325"/>
      <c r="MSS507" s="310"/>
      <c r="MST507" s="325"/>
      <c r="MSU507" s="325"/>
      <c r="MSV507" s="325"/>
      <c r="MSW507" s="325"/>
      <c r="MSX507" s="325"/>
      <c r="MSY507" s="325"/>
      <c r="MSZ507" s="325"/>
      <c r="MTA507" s="325"/>
      <c r="MTB507" s="325"/>
      <c r="MTC507" s="325"/>
      <c r="MTD507" s="325"/>
      <c r="MTE507" s="325"/>
      <c r="MTF507" s="325"/>
      <c r="MTG507" s="325"/>
      <c r="MTH507" s="325"/>
      <c r="MTI507" s="325"/>
      <c r="MTJ507" s="325"/>
      <c r="MTK507" s="325"/>
      <c r="MTL507" s="325"/>
      <c r="MTM507" s="325"/>
      <c r="MTN507" s="325"/>
      <c r="MTO507" s="325"/>
      <c r="MTP507" s="325"/>
      <c r="MTQ507" s="325"/>
      <c r="MTR507" s="325"/>
      <c r="MTS507" s="325"/>
      <c r="MTT507" s="325"/>
      <c r="MTU507" s="325"/>
      <c r="MTV507" s="325"/>
      <c r="MTW507" s="325"/>
      <c r="MTX507" s="327"/>
      <c r="MTY507" s="28"/>
      <c r="MTZ507" s="324"/>
      <c r="MUA507" s="324"/>
      <c r="MUB507" s="324"/>
      <c r="MUC507" s="324"/>
      <c r="MUD507" s="324"/>
      <c r="MUE507" s="324"/>
      <c r="MUF507" s="256"/>
      <c r="MUG507" s="325"/>
      <c r="MUH507" s="311"/>
      <c r="MUI507" s="325"/>
      <c r="MUJ507" s="310"/>
      <c r="MUK507" s="325"/>
      <c r="MUL507" s="325"/>
      <c r="MUM507" s="325"/>
      <c r="MUN507" s="325"/>
      <c r="MUO507" s="325"/>
      <c r="MUP507" s="325"/>
      <c r="MUQ507" s="325"/>
      <c r="MUR507" s="325"/>
      <c r="MUS507" s="325"/>
      <c r="MUT507" s="325"/>
      <c r="MUU507" s="325"/>
      <c r="MUV507" s="325"/>
      <c r="MUW507" s="325"/>
      <c r="MUX507" s="325"/>
      <c r="MUY507" s="325"/>
      <c r="MUZ507" s="325"/>
      <c r="MVA507" s="325"/>
      <c r="MVB507" s="325"/>
      <c r="MVC507" s="325"/>
      <c r="MVD507" s="325"/>
      <c r="MVE507" s="325"/>
      <c r="MVF507" s="325"/>
      <c r="MVG507" s="325"/>
      <c r="MVH507" s="325"/>
      <c r="MVI507" s="325"/>
      <c r="MVJ507" s="325"/>
      <c r="MVK507" s="325"/>
      <c r="MVL507" s="325"/>
      <c r="MVM507" s="325"/>
      <c r="MVN507" s="325"/>
      <c r="MVO507" s="327"/>
      <c r="MVP507" s="28"/>
      <c r="MVQ507" s="324"/>
      <c r="MVR507" s="324"/>
      <c r="MVS507" s="324"/>
      <c r="MVT507" s="324"/>
      <c r="MVU507" s="324"/>
      <c r="MVV507" s="324"/>
      <c r="MVW507" s="256"/>
      <c r="MVX507" s="325"/>
      <c r="MVY507" s="311"/>
      <c r="MVZ507" s="325"/>
      <c r="MWA507" s="310"/>
      <c r="MWB507" s="325"/>
      <c r="MWC507" s="325"/>
      <c r="MWD507" s="325"/>
      <c r="MWE507" s="325"/>
      <c r="MWF507" s="325"/>
      <c r="MWG507" s="325"/>
      <c r="MWH507" s="325"/>
      <c r="MWI507" s="325"/>
      <c r="MWJ507" s="325"/>
      <c r="MWK507" s="325"/>
      <c r="MWL507" s="325"/>
      <c r="MWM507" s="325"/>
      <c r="MWN507" s="325"/>
      <c r="MWO507" s="325"/>
      <c r="MWP507" s="325"/>
      <c r="MWQ507" s="325"/>
      <c r="MWR507" s="325"/>
      <c r="MWS507" s="325"/>
      <c r="MWT507" s="325"/>
      <c r="MWU507" s="325"/>
      <c r="MWV507" s="325"/>
      <c r="MWW507" s="325"/>
      <c r="MWX507" s="325"/>
      <c r="MWY507" s="325"/>
      <c r="MWZ507" s="325"/>
      <c r="MXA507" s="325"/>
      <c r="MXB507" s="325"/>
      <c r="MXC507" s="325"/>
      <c r="MXD507" s="325"/>
      <c r="MXE507" s="325"/>
      <c r="MXF507" s="327"/>
      <c r="MXG507" s="28"/>
      <c r="MXH507" s="324"/>
      <c r="MXI507" s="324"/>
      <c r="MXJ507" s="324"/>
      <c r="MXK507" s="324"/>
      <c r="MXL507" s="324"/>
      <c r="MXM507" s="324"/>
      <c r="MXN507" s="256"/>
      <c r="MXO507" s="325"/>
      <c r="MXP507" s="311"/>
      <c r="MXQ507" s="325"/>
      <c r="MXR507" s="310"/>
      <c r="MXS507" s="325"/>
      <c r="MXT507" s="325"/>
      <c r="MXU507" s="325"/>
      <c r="MXV507" s="325"/>
      <c r="MXW507" s="325"/>
      <c r="MXX507" s="325"/>
      <c r="MXY507" s="325"/>
      <c r="MXZ507" s="325"/>
      <c r="MYA507" s="325"/>
      <c r="MYB507" s="325"/>
      <c r="MYC507" s="325"/>
      <c r="MYD507" s="325"/>
      <c r="MYE507" s="325"/>
      <c r="MYF507" s="325"/>
      <c r="MYG507" s="325"/>
      <c r="MYH507" s="325"/>
      <c r="MYI507" s="325"/>
      <c r="MYJ507" s="325"/>
      <c r="MYK507" s="325"/>
      <c r="MYL507" s="325"/>
      <c r="MYM507" s="325"/>
      <c r="MYN507" s="325"/>
      <c r="MYO507" s="325"/>
      <c r="MYP507" s="325"/>
      <c r="MYQ507" s="325"/>
      <c r="MYR507" s="325"/>
      <c r="MYS507" s="325"/>
      <c r="MYT507" s="325"/>
      <c r="MYU507" s="325"/>
      <c r="MYV507" s="325"/>
      <c r="MYW507" s="327"/>
      <c r="MYX507" s="28"/>
      <c r="MYY507" s="324"/>
      <c r="MYZ507" s="324"/>
      <c r="MZA507" s="324"/>
      <c r="MZB507" s="324"/>
      <c r="MZC507" s="324"/>
      <c r="MZD507" s="324"/>
      <c r="MZE507" s="256"/>
      <c r="MZF507" s="325"/>
      <c r="MZG507" s="311"/>
      <c r="MZH507" s="325"/>
      <c r="MZI507" s="310"/>
      <c r="MZJ507" s="325"/>
      <c r="MZK507" s="325"/>
      <c r="MZL507" s="325"/>
      <c r="MZM507" s="325"/>
      <c r="MZN507" s="325"/>
      <c r="MZO507" s="325"/>
      <c r="MZP507" s="325"/>
      <c r="MZQ507" s="325"/>
      <c r="MZR507" s="325"/>
      <c r="MZS507" s="325"/>
      <c r="MZT507" s="325"/>
      <c r="MZU507" s="325"/>
      <c r="MZV507" s="325"/>
      <c r="MZW507" s="325"/>
      <c r="MZX507" s="325"/>
      <c r="MZY507" s="325"/>
      <c r="MZZ507" s="325"/>
      <c r="NAA507" s="325"/>
      <c r="NAB507" s="325"/>
      <c r="NAC507" s="325"/>
      <c r="NAD507" s="325"/>
      <c r="NAE507" s="325"/>
      <c r="NAF507" s="325"/>
      <c r="NAG507" s="325"/>
      <c r="NAH507" s="325"/>
      <c r="NAI507" s="325"/>
      <c r="NAJ507" s="325"/>
      <c r="NAK507" s="325"/>
      <c r="NAL507" s="325"/>
      <c r="NAM507" s="325"/>
      <c r="NAN507" s="327"/>
      <c r="NAO507" s="28"/>
      <c r="NAP507" s="324"/>
      <c r="NAQ507" s="324"/>
      <c r="NAR507" s="324"/>
      <c r="NAS507" s="324"/>
      <c r="NAT507" s="324"/>
      <c r="NAU507" s="324"/>
      <c r="NAV507" s="256"/>
      <c r="NAW507" s="325"/>
      <c r="NAX507" s="311"/>
      <c r="NAY507" s="325"/>
      <c r="NAZ507" s="310"/>
      <c r="NBA507" s="325"/>
      <c r="NBB507" s="325"/>
      <c r="NBC507" s="325"/>
      <c r="NBD507" s="325"/>
      <c r="NBE507" s="325"/>
      <c r="NBF507" s="325"/>
      <c r="NBG507" s="325"/>
      <c r="NBH507" s="325"/>
      <c r="NBI507" s="325"/>
      <c r="NBJ507" s="325"/>
      <c r="NBK507" s="325"/>
      <c r="NBL507" s="325"/>
      <c r="NBM507" s="325"/>
      <c r="NBN507" s="325"/>
      <c r="NBO507" s="325"/>
      <c r="NBP507" s="325"/>
      <c r="NBQ507" s="325"/>
      <c r="NBR507" s="325"/>
      <c r="NBS507" s="325"/>
      <c r="NBT507" s="325"/>
      <c r="NBU507" s="325"/>
      <c r="NBV507" s="325"/>
      <c r="NBW507" s="325"/>
      <c r="NBX507" s="325"/>
      <c r="NBY507" s="325"/>
      <c r="NBZ507" s="325"/>
      <c r="NCA507" s="325"/>
      <c r="NCB507" s="325"/>
      <c r="NCC507" s="325"/>
      <c r="NCD507" s="325"/>
      <c r="NCE507" s="327"/>
      <c r="NCF507" s="28"/>
      <c r="NCG507" s="324"/>
      <c r="NCH507" s="324"/>
      <c r="NCI507" s="324"/>
      <c r="NCJ507" s="324"/>
      <c r="NCK507" s="324"/>
      <c r="NCL507" s="324"/>
      <c r="NCM507" s="256"/>
      <c r="NCN507" s="325"/>
      <c r="NCO507" s="311"/>
      <c r="NCP507" s="325"/>
      <c r="NCQ507" s="310"/>
      <c r="NCR507" s="325"/>
      <c r="NCS507" s="325"/>
      <c r="NCT507" s="325"/>
      <c r="NCU507" s="325"/>
      <c r="NCV507" s="325"/>
      <c r="NCW507" s="325"/>
      <c r="NCX507" s="325"/>
      <c r="NCY507" s="325"/>
      <c r="NCZ507" s="325"/>
      <c r="NDA507" s="325"/>
      <c r="NDB507" s="325"/>
      <c r="NDC507" s="325"/>
      <c r="NDD507" s="325"/>
      <c r="NDE507" s="325"/>
      <c r="NDF507" s="325"/>
      <c r="NDG507" s="325"/>
      <c r="NDH507" s="325"/>
      <c r="NDI507" s="325"/>
      <c r="NDJ507" s="325"/>
      <c r="NDK507" s="325"/>
      <c r="NDL507" s="325"/>
      <c r="NDM507" s="325"/>
      <c r="NDN507" s="325"/>
      <c r="NDO507" s="325"/>
      <c r="NDP507" s="325"/>
      <c r="NDQ507" s="325"/>
      <c r="NDR507" s="325"/>
      <c r="NDS507" s="325"/>
      <c r="NDT507" s="325"/>
      <c r="NDU507" s="325"/>
      <c r="NDV507" s="327"/>
      <c r="NDW507" s="28"/>
      <c r="NDX507" s="324"/>
      <c r="NDY507" s="324"/>
      <c r="NDZ507" s="324"/>
      <c r="NEA507" s="324"/>
      <c r="NEB507" s="324"/>
      <c r="NEC507" s="324"/>
      <c r="NED507" s="256"/>
      <c r="NEE507" s="325"/>
      <c r="NEF507" s="311"/>
      <c r="NEG507" s="325"/>
      <c r="NEH507" s="310"/>
      <c r="NEI507" s="325"/>
      <c r="NEJ507" s="325"/>
      <c r="NEK507" s="325"/>
      <c r="NEL507" s="325"/>
      <c r="NEM507" s="325"/>
      <c r="NEN507" s="325"/>
      <c r="NEO507" s="325"/>
      <c r="NEP507" s="325"/>
      <c r="NEQ507" s="325"/>
      <c r="NER507" s="325"/>
      <c r="NES507" s="325"/>
      <c r="NET507" s="325"/>
      <c r="NEU507" s="325"/>
      <c r="NEV507" s="325"/>
      <c r="NEW507" s="325"/>
      <c r="NEX507" s="325"/>
      <c r="NEY507" s="325"/>
      <c r="NEZ507" s="325"/>
      <c r="NFA507" s="325"/>
      <c r="NFB507" s="325"/>
      <c r="NFC507" s="325"/>
      <c r="NFD507" s="325"/>
      <c r="NFE507" s="325"/>
      <c r="NFF507" s="325"/>
      <c r="NFG507" s="325"/>
      <c r="NFH507" s="325"/>
      <c r="NFI507" s="325"/>
      <c r="NFJ507" s="325"/>
      <c r="NFK507" s="325"/>
      <c r="NFL507" s="325"/>
      <c r="NFM507" s="327"/>
      <c r="NFN507" s="28"/>
      <c r="NFO507" s="324"/>
      <c r="NFP507" s="324"/>
      <c r="NFQ507" s="324"/>
      <c r="NFR507" s="324"/>
      <c r="NFS507" s="324"/>
      <c r="NFT507" s="324"/>
      <c r="NFU507" s="256"/>
      <c r="NFV507" s="325"/>
      <c r="NFW507" s="311"/>
      <c r="NFX507" s="325"/>
      <c r="NFY507" s="310"/>
      <c r="NFZ507" s="325"/>
      <c r="NGA507" s="325"/>
      <c r="NGB507" s="325"/>
      <c r="NGC507" s="325"/>
      <c r="NGD507" s="325"/>
      <c r="NGE507" s="325"/>
      <c r="NGF507" s="325"/>
      <c r="NGG507" s="325"/>
      <c r="NGH507" s="325"/>
      <c r="NGI507" s="325"/>
      <c r="NGJ507" s="325"/>
      <c r="NGK507" s="325"/>
      <c r="NGL507" s="325"/>
      <c r="NGM507" s="325"/>
      <c r="NGN507" s="325"/>
      <c r="NGO507" s="325"/>
      <c r="NGP507" s="325"/>
      <c r="NGQ507" s="325"/>
      <c r="NGR507" s="325"/>
      <c r="NGS507" s="325"/>
      <c r="NGT507" s="325"/>
      <c r="NGU507" s="325"/>
      <c r="NGV507" s="325"/>
      <c r="NGW507" s="325"/>
      <c r="NGX507" s="325"/>
      <c r="NGY507" s="325"/>
      <c r="NGZ507" s="325"/>
      <c r="NHA507" s="325"/>
      <c r="NHB507" s="325"/>
      <c r="NHC507" s="325"/>
      <c r="NHD507" s="327"/>
      <c r="NHE507" s="28"/>
      <c r="NHF507" s="324"/>
      <c r="NHG507" s="324"/>
      <c r="NHH507" s="324"/>
      <c r="NHI507" s="324"/>
      <c r="NHJ507" s="324"/>
      <c r="NHK507" s="324"/>
      <c r="NHL507" s="256"/>
      <c r="NHM507" s="325"/>
      <c r="NHN507" s="311"/>
      <c r="NHO507" s="325"/>
      <c r="NHP507" s="310"/>
      <c r="NHQ507" s="325"/>
      <c r="NHR507" s="325"/>
      <c r="NHS507" s="325"/>
      <c r="NHT507" s="325"/>
      <c r="NHU507" s="325"/>
      <c r="NHV507" s="325"/>
      <c r="NHW507" s="325"/>
      <c r="NHX507" s="325"/>
      <c r="NHY507" s="325"/>
      <c r="NHZ507" s="325"/>
      <c r="NIA507" s="325"/>
      <c r="NIB507" s="325"/>
      <c r="NIC507" s="325"/>
      <c r="NID507" s="325"/>
      <c r="NIE507" s="325"/>
      <c r="NIF507" s="325"/>
      <c r="NIG507" s="325"/>
      <c r="NIH507" s="325"/>
      <c r="NII507" s="325"/>
      <c r="NIJ507" s="325"/>
      <c r="NIK507" s="325"/>
      <c r="NIL507" s="325"/>
      <c r="NIM507" s="325"/>
      <c r="NIN507" s="325"/>
      <c r="NIO507" s="325"/>
      <c r="NIP507" s="325"/>
      <c r="NIQ507" s="325"/>
      <c r="NIR507" s="325"/>
      <c r="NIS507" s="325"/>
      <c r="NIT507" s="325"/>
      <c r="NIU507" s="327"/>
      <c r="NIV507" s="28"/>
      <c r="NIW507" s="324"/>
      <c r="NIX507" s="324"/>
      <c r="NIY507" s="324"/>
      <c r="NIZ507" s="324"/>
      <c r="NJA507" s="324"/>
      <c r="NJB507" s="324"/>
      <c r="NJC507" s="256"/>
      <c r="NJD507" s="325"/>
      <c r="NJE507" s="311"/>
      <c r="NJF507" s="325"/>
      <c r="NJG507" s="310"/>
      <c r="NJH507" s="325"/>
      <c r="NJI507" s="325"/>
      <c r="NJJ507" s="325"/>
      <c r="NJK507" s="325"/>
      <c r="NJL507" s="325"/>
      <c r="NJM507" s="325"/>
      <c r="NJN507" s="325"/>
      <c r="NJO507" s="325"/>
      <c r="NJP507" s="325"/>
      <c r="NJQ507" s="325"/>
      <c r="NJR507" s="325"/>
      <c r="NJS507" s="325"/>
      <c r="NJT507" s="325"/>
      <c r="NJU507" s="325"/>
      <c r="NJV507" s="325"/>
      <c r="NJW507" s="325"/>
      <c r="NJX507" s="325"/>
      <c r="NJY507" s="325"/>
      <c r="NJZ507" s="325"/>
      <c r="NKA507" s="325"/>
      <c r="NKB507" s="325"/>
      <c r="NKC507" s="325"/>
      <c r="NKD507" s="325"/>
      <c r="NKE507" s="325"/>
      <c r="NKF507" s="325"/>
      <c r="NKG507" s="325"/>
      <c r="NKH507" s="325"/>
      <c r="NKI507" s="325"/>
      <c r="NKJ507" s="325"/>
      <c r="NKK507" s="325"/>
      <c r="NKL507" s="327"/>
      <c r="NKM507" s="28"/>
      <c r="NKN507" s="324"/>
      <c r="NKO507" s="324"/>
      <c r="NKP507" s="324"/>
      <c r="NKQ507" s="324"/>
      <c r="NKR507" s="324"/>
      <c r="NKS507" s="324"/>
      <c r="NKT507" s="256"/>
      <c r="NKU507" s="325"/>
      <c r="NKV507" s="311"/>
      <c r="NKW507" s="325"/>
      <c r="NKX507" s="310"/>
      <c r="NKY507" s="325"/>
      <c r="NKZ507" s="325"/>
      <c r="NLA507" s="325"/>
      <c r="NLB507" s="325"/>
      <c r="NLC507" s="325"/>
      <c r="NLD507" s="325"/>
      <c r="NLE507" s="325"/>
      <c r="NLF507" s="325"/>
      <c r="NLG507" s="325"/>
      <c r="NLH507" s="325"/>
      <c r="NLI507" s="325"/>
      <c r="NLJ507" s="325"/>
      <c r="NLK507" s="325"/>
      <c r="NLL507" s="325"/>
      <c r="NLM507" s="325"/>
      <c r="NLN507" s="325"/>
      <c r="NLO507" s="325"/>
      <c r="NLP507" s="325"/>
      <c r="NLQ507" s="325"/>
      <c r="NLR507" s="325"/>
      <c r="NLS507" s="325"/>
      <c r="NLT507" s="325"/>
      <c r="NLU507" s="325"/>
      <c r="NLV507" s="325"/>
      <c r="NLW507" s="325"/>
      <c r="NLX507" s="325"/>
      <c r="NLY507" s="325"/>
      <c r="NLZ507" s="325"/>
      <c r="NMA507" s="325"/>
      <c r="NMB507" s="325"/>
      <c r="NMC507" s="327"/>
      <c r="NMD507" s="28"/>
      <c r="NME507" s="324"/>
      <c r="NMF507" s="324"/>
      <c r="NMG507" s="324"/>
      <c r="NMH507" s="324"/>
      <c r="NMI507" s="324"/>
      <c r="NMJ507" s="324"/>
      <c r="NMK507" s="256"/>
      <c r="NML507" s="325"/>
      <c r="NMM507" s="311"/>
      <c r="NMN507" s="325"/>
      <c r="NMO507" s="310"/>
      <c r="NMP507" s="325"/>
      <c r="NMQ507" s="325"/>
      <c r="NMR507" s="325"/>
      <c r="NMS507" s="325"/>
      <c r="NMT507" s="325"/>
      <c r="NMU507" s="325"/>
      <c r="NMV507" s="325"/>
      <c r="NMW507" s="325"/>
      <c r="NMX507" s="325"/>
      <c r="NMY507" s="325"/>
      <c r="NMZ507" s="325"/>
      <c r="NNA507" s="325"/>
      <c r="NNB507" s="325"/>
      <c r="NNC507" s="325"/>
      <c r="NND507" s="325"/>
      <c r="NNE507" s="325"/>
      <c r="NNF507" s="325"/>
      <c r="NNG507" s="325"/>
      <c r="NNH507" s="325"/>
      <c r="NNI507" s="325"/>
      <c r="NNJ507" s="325"/>
      <c r="NNK507" s="325"/>
      <c r="NNL507" s="325"/>
      <c r="NNM507" s="325"/>
      <c r="NNN507" s="325"/>
      <c r="NNO507" s="325"/>
      <c r="NNP507" s="325"/>
      <c r="NNQ507" s="325"/>
      <c r="NNR507" s="325"/>
      <c r="NNS507" s="325"/>
      <c r="NNT507" s="327"/>
      <c r="NNU507" s="28"/>
      <c r="NNV507" s="324"/>
      <c r="NNW507" s="324"/>
      <c r="NNX507" s="324"/>
      <c r="NNY507" s="324"/>
      <c r="NNZ507" s="324"/>
      <c r="NOA507" s="324"/>
      <c r="NOB507" s="256"/>
      <c r="NOC507" s="325"/>
      <c r="NOD507" s="311"/>
      <c r="NOE507" s="325"/>
      <c r="NOF507" s="310"/>
      <c r="NOG507" s="325"/>
      <c r="NOH507" s="325"/>
      <c r="NOI507" s="325"/>
      <c r="NOJ507" s="325"/>
      <c r="NOK507" s="325"/>
      <c r="NOL507" s="325"/>
      <c r="NOM507" s="325"/>
      <c r="NON507" s="325"/>
      <c r="NOO507" s="325"/>
      <c r="NOP507" s="325"/>
      <c r="NOQ507" s="325"/>
      <c r="NOR507" s="325"/>
      <c r="NOS507" s="325"/>
      <c r="NOT507" s="325"/>
      <c r="NOU507" s="325"/>
      <c r="NOV507" s="325"/>
      <c r="NOW507" s="325"/>
      <c r="NOX507" s="325"/>
      <c r="NOY507" s="325"/>
      <c r="NOZ507" s="325"/>
      <c r="NPA507" s="325"/>
      <c r="NPB507" s="325"/>
      <c r="NPC507" s="325"/>
      <c r="NPD507" s="325"/>
      <c r="NPE507" s="325"/>
      <c r="NPF507" s="325"/>
      <c r="NPG507" s="325"/>
      <c r="NPH507" s="325"/>
      <c r="NPI507" s="325"/>
      <c r="NPJ507" s="325"/>
      <c r="NPK507" s="327"/>
      <c r="NPL507" s="28"/>
      <c r="NPM507" s="324"/>
      <c r="NPN507" s="324"/>
      <c r="NPO507" s="324"/>
      <c r="NPP507" s="324"/>
      <c r="NPQ507" s="324"/>
      <c r="NPR507" s="324"/>
      <c r="NPS507" s="256"/>
      <c r="NPT507" s="325"/>
      <c r="NPU507" s="311"/>
      <c r="NPV507" s="325"/>
      <c r="NPW507" s="310"/>
      <c r="NPX507" s="325"/>
      <c r="NPY507" s="325"/>
      <c r="NPZ507" s="325"/>
      <c r="NQA507" s="325"/>
      <c r="NQB507" s="325"/>
      <c r="NQC507" s="325"/>
      <c r="NQD507" s="325"/>
      <c r="NQE507" s="325"/>
      <c r="NQF507" s="325"/>
      <c r="NQG507" s="325"/>
      <c r="NQH507" s="325"/>
      <c r="NQI507" s="325"/>
      <c r="NQJ507" s="325"/>
      <c r="NQK507" s="325"/>
      <c r="NQL507" s="325"/>
      <c r="NQM507" s="325"/>
      <c r="NQN507" s="325"/>
      <c r="NQO507" s="325"/>
      <c r="NQP507" s="325"/>
      <c r="NQQ507" s="325"/>
      <c r="NQR507" s="325"/>
      <c r="NQS507" s="325"/>
      <c r="NQT507" s="325"/>
      <c r="NQU507" s="325"/>
      <c r="NQV507" s="325"/>
      <c r="NQW507" s="325"/>
      <c r="NQX507" s="325"/>
      <c r="NQY507" s="325"/>
      <c r="NQZ507" s="325"/>
      <c r="NRA507" s="325"/>
      <c r="NRB507" s="327"/>
      <c r="NRC507" s="28"/>
      <c r="NRD507" s="324"/>
      <c r="NRE507" s="324"/>
      <c r="NRF507" s="324"/>
      <c r="NRG507" s="324"/>
      <c r="NRH507" s="324"/>
      <c r="NRI507" s="324"/>
      <c r="NRJ507" s="256"/>
      <c r="NRK507" s="325"/>
      <c r="NRL507" s="311"/>
      <c r="NRM507" s="325"/>
      <c r="NRN507" s="310"/>
      <c r="NRO507" s="325"/>
      <c r="NRP507" s="325"/>
      <c r="NRQ507" s="325"/>
      <c r="NRR507" s="325"/>
      <c r="NRS507" s="325"/>
      <c r="NRT507" s="325"/>
      <c r="NRU507" s="325"/>
      <c r="NRV507" s="325"/>
      <c r="NRW507" s="325"/>
      <c r="NRX507" s="325"/>
      <c r="NRY507" s="325"/>
      <c r="NRZ507" s="325"/>
      <c r="NSA507" s="325"/>
      <c r="NSB507" s="325"/>
      <c r="NSC507" s="325"/>
      <c r="NSD507" s="325"/>
      <c r="NSE507" s="325"/>
      <c r="NSF507" s="325"/>
      <c r="NSG507" s="325"/>
      <c r="NSH507" s="325"/>
      <c r="NSI507" s="325"/>
      <c r="NSJ507" s="325"/>
      <c r="NSK507" s="325"/>
      <c r="NSL507" s="325"/>
      <c r="NSM507" s="325"/>
      <c r="NSN507" s="325"/>
      <c r="NSO507" s="325"/>
      <c r="NSP507" s="325"/>
      <c r="NSQ507" s="325"/>
      <c r="NSR507" s="325"/>
      <c r="NSS507" s="327"/>
      <c r="NST507" s="28"/>
      <c r="NSU507" s="324"/>
      <c r="NSV507" s="324"/>
      <c r="NSW507" s="324"/>
      <c r="NSX507" s="324"/>
      <c r="NSY507" s="324"/>
      <c r="NSZ507" s="324"/>
      <c r="NTA507" s="256"/>
      <c r="NTB507" s="325"/>
      <c r="NTC507" s="311"/>
      <c r="NTD507" s="325"/>
      <c r="NTE507" s="310"/>
      <c r="NTF507" s="325"/>
      <c r="NTG507" s="325"/>
      <c r="NTH507" s="325"/>
      <c r="NTI507" s="325"/>
      <c r="NTJ507" s="325"/>
      <c r="NTK507" s="325"/>
      <c r="NTL507" s="325"/>
      <c r="NTM507" s="325"/>
      <c r="NTN507" s="325"/>
      <c r="NTO507" s="325"/>
      <c r="NTP507" s="325"/>
      <c r="NTQ507" s="325"/>
      <c r="NTR507" s="325"/>
      <c r="NTS507" s="325"/>
      <c r="NTT507" s="325"/>
      <c r="NTU507" s="325"/>
      <c r="NTV507" s="325"/>
      <c r="NTW507" s="325"/>
      <c r="NTX507" s="325"/>
      <c r="NTY507" s="325"/>
      <c r="NTZ507" s="325"/>
      <c r="NUA507" s="325"/>
      <c r="NUB507" s="325"/>
      <c r="NUC507" s="325"/>
      <c r="NUD507" s="325"/>
      <c r="NUE507" s="325"/>
      <c r="NUF507" s="325"/>
      <c r="NUG507" s="325"/>
      <c r="NUH507" s="325"/>
      <c r="NUI507" s="325"/>
      <c r="NUJ507" s="327"/>
      <c r="NUK507" s="28"/>
      <c r="NUL507" s="324"/>
      <c r="NUM507" s="324"/>
      <c r="NUN507" s="324"/>
      <c r="NUO507" s="324"/>
      <c r="NUP507" s="324"/>
      <c r="NUQ507" s="324"/>
      <c r="NUR507" s="256"/>
      <c r="NUS507" s="325"/>
      <c r="NUT507" s="311"/>
      <c r="NUU507" s="325"/>
      <c r="NUV507" s="310"/>
      <c r="NUW507" s="325"/>
      <c r="NUX507" s="325"/>
      <c r="NUY507" s="325"/>
      <c r="NUZ507" s="325"/>
      <c r="NVA507" s="325"/>
      <c r="NVB507" s="325"/>
      <c r="NVC507" s="325"/>
      <c r="NVD507" s="325"/>
      <c r="NVE507" s="325"/>
      <c r="NVF507" s="325"/>
      <c r="NVG507" s="325"/>
      <c r="NVH507" s="325"/>
      <c r="NVI507" s="325"/>
      <c r="NVJ507" s="325"/>
      <c r="NVK507" s="325"/>
      <c r="NVL507" s="325"/>
      <c r="NVM507" s="325"/>
      <c r="NVN507" s="325"/>
      <c r="NVO507" s="325"/>
      <c r="NVP507" s="325"/>
      <c r="NVQ507" s="325"/>
      <c r="NVR507" s="325"/>
      <c r="NVS507" s="325"/>
      <c r="NVT507" s="325"/>
      <c r="NVU507" s="325"/>
      <c r="NVV507" s="325"/>
      <c r="NVW507" s="325"/>
      <c r="NVX507" s="325"/>
      <c r="NVY507" s="325"/>
      <c r="NVZ507" s="325"/>
      <c r="NWA507" s="327"/>
      <c r="NWB507" s="28"/>
      <c r="NWC507" s="324"/>
      <c r="NWD507" s="324"/>
      <c r="NWE507" s="324"/>
      <c r="NWF507" s="324"/>
      <c r="NWG507" s="324"/>
      <c r="NWH507" s="324"/>
      <c r="NWI507" s="256"/>
      <c r="NWJ507" s="325"/>
      <c r="NWK507" s="311"/>
      <c r="NWL507" s="325"/>
      <c r="NWM507" s="310"/>
      <c r="NWN507" s="325"/>
      <c r="NWO507" s="325"/>
      <c r="NWP507" s="325"/>
      <c r="NWQ507" s="325"/>
      <c r="NWR507" s="325"/>
      <c r="NWS507" s="325"/>
      <c r="NWT507" s="325"/>
      <c r="NWU507" s="325"/>
      <c r="NWV507" s="325"/>
      <c r="NWW507" s="325"/>
      <c r="NWX507" s="325"/>
      <c r="NWY507" s="325"/>
      <c r="NWZ507" s="325"/>
      <c r="NXA507" s="325"/>
      <c r="NXB507" s="325"/>
      <c r="NXC507" s="325"/>
      <c r="NXD507" s="325"/>
      <c r="NXE507" s="325"/>
      <c r="NXF507" s="325"/>
      <c r="NXG507" s="325"/>
      <c r="NXH507" s="325"/>
      <c r="NXI507" s="325"/>
      <c r="NXJ507" s="325"/>
      <c r="NXK507" s="325"/>
      <c r="NXL507" s="325"/>
      <c r="NXM507" s="325"/>
      <c r="NXN507" s="325"/>
      <c r="NXO507" s="325"/>
      <c r="NXP507" s="325"/>
      <c r="NXQ507" s="325"/>
      <c r="NXR507" s="327"/>
      <c r="NXS507" s="28"/>
      <c r="NXT507" s="324"/>
      <c r="NXU507" s="324"/>
      <c r="NXV507" s="324"/>
      <c r="NXW507" s="324"/>
      <c r="NXX507" s="324"/>
      <c r="NXY507" s="324"/>
      <c r="NXZ507" s="256"/>
      <c r="NYA507" s="325"/>
      <c r="NYB507" s="311"/>
      <c r="NYC507" s="325"/>
      <c r="NYD507" s="310"/>
      <c r="NYE507" s="325"/>
      <c r="NYF507" s="325"/>
      <c r="NYG507" s="325"/>
      <c r="NYH507" s="325"/>
      <c r="NYI507" s="325"/>
      <c r="NYJ507" s="325"/>
      <c r="NYK507" s="325"/>
      <c r="NYL507" s="325"/>
      <c r="NYM507" s="325"/>
      <c r="NYN507" s="325"/>
      <c r="NYO507" s="325"/>
      <c r="NYP507" s="325"/>
      <c r="NYQ507" s="325"/>
      <c r="NYR507" s="325"/>
      <c r="NYS507" s="325"/>
      <c r="NYT507" s="325"/>
      <c r="NYU507" s="325"/>
      <c r="NYV507" s="325"/>
      <c r="NYW507" s="325"/>
      <c r="NYX507" s="325"/>
      <c r="NYY507" s="325"/>
      <c r="NYZ507" s="325"/>
      <c r="NZA507" s="325"/>
      <c r="NZB507" s="325"/>
      <c r="NZC507" s="325"/>
      <c r="NZD507" s="325"/>
      <c r="NZE507" s="325"/>
      <c r="NZF507" s="325"/>
      <c r="NZG507" s="325"/>
      <c r="NZH507" s="325"/>
      <c r="NZI507" s="327"/>
      <c r="NZJ507" s="28"/>
      <c r="NZK507" s="324"/>
      <c r="NZL507" s="324"/>
      <c r="NZM507" s="324"/>
      <c r="NZN507" s="324"/>
      <c r="NZO507" s="324"/>
      <c r="NZP507" s="324"/>
      <c r="NZQ507" s="256"/>
      <c r="NZR507" s="325"/>
      <c r="NZS507" s="311"/>
      <c r="NZT507" s="325"/>
      <c r="NZU507" s="310"/>
      <c r="NZV507" s="325"/>
      <c r="NZW507" s="325"/>
      <c r="NZX507" s="325"/>
      <c r="NZY507" s="325"/>
      <c r="NZZ507" s="325"/>
      <c r="OAA507" s="325"/>
      <c r="OAB507" s="325"/>
      <c r="OAC507" s="325"/>
      <c r="OAD507" s="325"/>
      <c r="OAE507" s="325"/>
      <c r="OAF507" s="325"/>
      <c r="OAG507" s="325"/>
      <c r="OAH507" s="325"/>
      <c r="OAI507" s="325"/>
      <c r="OAJ507" s="325"/>
      <c r="OAK507" s="325"/>
      <c r="OAL507" s="325"/>
      <c r="OAM507" s="325"/>
      <c r="OAN507" s="325"/>
      <c r="OAO507" s="325"/>
      <c r="OAP507" s="325"/>
      <c r="OAQ507" s="325"/>
      <c r="OAR507" s="325"/>
      <c r="OAS507" s="325"/>
      <c r="OAT507" s="325"/>
      <c r="OAU507" s="325"/>
      <c r="OAV507" s="325"/>
      <c r="OAW507" s="325"/>
      <c r="OAX507" s="325"/>
      <c r="OAY507" s="325"/>
      <c r="OAZ507" s="327"/>
      <c r="OBA507" s="28"/>
      <c r="OBB507" s="324"/>
      <c r="OBC507" s="324"/>
      <c r="OBD507" s="324"/>
      <c r="OBE507" s="324"/>
      <c r="OBF507" s="324"/>
      <c r="OBG507" s="324"/>
      <c r="OBH507" s="256"/>
      <c r="OBI507" s="325"/>
      <c r="OBJ507" s="311"/>
      <c r="OBK507" s="325"/>
      <c r="OBL507" s="310"/>
      <c r="OBM507" s="325"/>
      <c r="OBN507" s="325"/>
      <c r="OBO507" s="325"/>
      <c r="OBP507" s="325"/>
      <c r="OBQ507" s="325"/>
      <c r="OBR507" s="325"/>
      <c r="OBS507" s="325"/>
      <c r="OBT507" s="325"/>
      <c r="OBU507" s="325"/>
      <c r="OBV507" s="325"/>
      <c r="OBW507" s="325"/>
      <c r="OBX507" s="325"/>
      <c r="OBY507" s="325"/>
      <c r="OBZ507" s="325"/>
      <c r="OCA507" s="325"/>
      <c r="OCB507" s="325"/>
      <c r="OCC507" s="325"/>
      <c r="OCD507" s="325"/>
      <c r="OCE507" s="325"/>
      <c r="OCF507" s="325"/>
      <c r="OCG507" s="325"/>
      <c r="OCH507" s="325"/>
      <c r="OCI507" s="325"/>
      <c r="OCJ507" s="325"/>
      <c r="OCK507" s="325"/>
      <c r="OCL507" s="325"/>
      <c r="OCM507" s="325"/>
      <c r="OCN507" s="325"/>
      <c r="OCO507" s="325"/>
      <c r="OCP507" s="325"/>
      <c r="OCQ507" s="327"/>
      <c r="OCR507" s="28"/>
      <c r="OCS507" s="324"/>
      <c r="OCT507" s="324"/>
      <c r="OCU507" s="324"/>
      <c r="OCV507" s="324"/>
      <c r="OCW507" s="324"/>
      <c r="OCX507" s="324"/>
      <c r="OCY507" s="256"/>
      <c r="OCZ507" s="325"/>
      <c r="ODA507" s="311"/>
      <c r="ODB507" s="325"/>
      <c r="ODC507" s="310"/>
      <c r="ODD507" s="325"/>
      <c r="ODE507" s="325"/>
      <c r="ODF507" s="325"/>
      <c r="ODG507" s="325"/>
      <c r="ODH507" s="325"/>
      <c r="ODI507" s="325"/>
      <c r="ODJ507" s="325"/>
      <c r="ODK507" s="325"/>
      <c r="ODL507" s="325"/>
      <c r="ODM507" s="325"/>
      <c r="ODN507" s="325"/>
      <c r="ODO507" s="325"/>
      <c r="ODP507" s="325"/>
      <c r="ODQ507" s="325"/>
      <c r="ODR507" s="325"/>
      <c r="ODS507" s="325"/>
      <c r="ODT507" s="325"/>
      <c r="ODU507" s="325"/>
      <c r="ODV507" s="325"/>
      <c r="ODW507" s="325"/>
      <c r="ODX507" s="325"/>
      <c r="ODY507" s="325"/>
      <c r="ODZ507" s="325"/>
      <c r="OEA507" s="325"/>
      <c r="OEB507" s="325"/>
      <c r="OEC507" s="325"/>
      <c r="OED507" s="325"/>
      <c r="OEE507" s="325"/>
      <c r="OEF507" s="325"/>
      <c r="OEG507" s="325"/>
      <c r="OEH507" s="327"/>
      <c r="OEI507" s="28"/>
      <c r="OEJ507" s="324"/>
      <c r="OEK507" s="324"/>
      <c r="OEL507" s="324"/>
      <c r="OEM507" s="324"/>
      <c r="OEN507" s="324"/>
      <c r="OEO507" s="324"/>
      <c r="OEP507" s="256"/>
      <c r="OEQ507" s="325"/>
      <c r="OER507" s="311"/>
      <c r="OES507" s="325"/>
      <c r="OET507" s="310"/>
      <c r="OEU507" s="325"/>
      <c r="OEV507" s="325"/>
      <c r="OEW507" s="325"/>
      <c r="OEX507" s="325"/>
      <c r="OEY507" s="325"/>
      <c r="OEZ507" s="325"/>
      <c r="OFA507" s="325"/>
      <c r="OFB507" s="325"/>
      <c r="OFC507" s="325"/>
      <c r="OFD507" s="325"/>
      <c r="OFE507" s="325"/>
      <c r="OFF507" s="325"/>
      <c r="OFG507" s="325"/>
      <c r="OFH507" s="325"/>
      <c r="OFI507" s="325"/>
      <c r="OFJ507" s="325"/>
      <c r="OFK507" s="325"/>
      <c r="OFL507" s="325"/>
      <c r="OFM507" s="325"/>
      <c r="OFN507" s="325"/>
      <c r="OFO507" s="325"/>
      <c r="OFP507" s="325"/>
      <c r="OFQ507" s="325"/>
      <c r="OFR507" s="325"/>
      <c r="OFS507" s="325"/>
      <c r="OFT507" s="325"/>
      <c r="OFU507" s="325"/>
      <c r="OFV507" s="325"/>
      <c r="OFW507" s="325"/>
      <c r="OFX507" s="325"/>
      <c r="OFY507" s="327"/>
      <c r="OFZ507" s="28"/>
      <c r="OGA507" s="324"/>
      <c r="OGB507" s="324"/>
      <c r="OGC507" s="324"/>
      <c r="OGD507" s="324"/>
      <c r="OGE507" s="324"/>
      <c r="OGF507" s="324"/>
      <c r="OGG507" s="256"/>
      <c r="OGH507" s="325"/>
      <c r="OGI507" s="311"/>
      <c r="OGJ507" s="325"/>
      <c r="OGK507" s="310"/>
      <c r="OGL507" s="325"/>
      <c r="OGM507" s="325"/>
      <c r="OGN507" s="325"/>
      <c r="OGO507" s="325"/>
      <c r="OGP507" s="325"/>
      <c r="OGQ507" s="325"/>
      <c r="OGR507" s="325"/>
      <c r="OGS507" s="325"/>
      <c r="OGT507" s="325"/>
      <c r="OGU507" s="325"/>
      <c r="OGV507" s="325"/>
      <c r="OGW507" s="325"/>
      <c r="OGX507" s="325"/>
      <c r="OGY507" s="325"/>
      <c r="OGZ507" s="325"/>
      <c r="OHA507" s="325"/>
      <c r="OHB507" s="325"/>
      <c r="OHC507" s="325"/>
      <c r="OHD507" s="325"/>
      <c r="OHE507" s="325"/>
      <c r="OHF507" s="325"/>
      <c r="OHG507" s="325"/>
      <c r="OHH507" s="325"/>
      <c r="OHI507" s="325"/>
      <c r="OHJ507" s="325"/>
      <c r="OHK507" s="325"/>
      <c r="OHL507" s="325"/>
      <c r="OHM507" s="325"/>
      <c r="OHN507" s="325"/>
      <c r="OHO507" s="325"/>
      <c r="OHP507" s="327"/>
      <c r="OHQ507" s="28"/>
      <c r="OHR507" s="324"/>
      <c r="OHS507" s="324"/>
      <c r="OHT507" s="324"/>
      <c r="OHU507" s="324"/>
      <c r="OHV507" s="324"/>
      <c r="OHW507" s="324"/>
      <c r="OHX507" s="256"/>
      <c r="OHY507" s="325"/>
      <c r="OHZ507" s="311"/>
      <c r="OIA507" s="325"/>
      <c r="OIB507" s="310"/>
      <c r="OIC507" s="325"/>
      <c r="OID507" s="325"/>
      <c r="OIE507" s="325"/>
      <c r="OIF507" s="325"/>
      <c r="OIG507" s="325"/>
      <c r="OIH507" s="325"/>
      <c r="OII507" s="325"/>
      <c r="OIJ507" s="325"/>
      <c r="OIK507" s="325"/>
      <c r="OIL507" s="325"/>
      <c r="OIM507" s="325"/>
      <c r="OIN507" s="325"/>
      <c r="OIO507" s="325"/>
      <c r="OIP507" s="325"/>
      <c r="OIQ507" s="325"/>
      <c r="OIR507" s="325"/>
      <c r="OIS507" s="325"/>
      <c r="OIT507" s="325"/>
      <c r="OIU507" s="325"/>
      <c r="OIV507" s="325"/>
      <c r="OIW507" s="325"/>
      <c r="OIX507" s="325"/>
      <c r="OIY507" s="325"/>
      <c r="OIZ507" s="325"/>
      <c r="OJA507" s="325"/>
      <c r="OJB507" s="325"/>
      <c r="OJC507" s="325"/>
      <c r="OJD507" s="325"/>
      <c r="OJE507" s="325"/>
      <c r="OJF507" s="325"/>
      <c r="OJG507" s="327"/>
      <c r="OJH507" s="28"/>
      <c r="OJI507" s="324"/>
      <c r="OJJ507" s="324"/>
      <c r="OJK507" s="324"/>
      <c r="OJL507" s="324"/>
      <c r="OJM507" s="324"/>
      <c r="OJN507" s="324"/>
      <c r="OJO507" s="256"/>
      <c r="OJP507" s="325"/>
      <c r="OJQ507" s="311"/>
      <c r="OJR507" s="325"/>
      <c r="OJS507" s="310"/>
      <c r="OJT507" s="325"/>
      <c r="OJU507" s="325"/>
      <c r="OJV507" s="325"/>
      <c r="OJW507" s="325"/>
      <c r="OJX507" s="325"/>
      <c r="OJY507" s="325"/>
      <c r="OJZ507" s="325"/>
      <c r="OKA507" s="325"/>
      <c r="OKB507" s="325"/>
      <c r="OKC507" s="325"/>
      <c r="OKD507" s="325"/>
      <c r="OKE507" s="325"/>
      <c r="OKF507" s="325"/>
      <c r="OKG507" s="325"/>
      <c r="OKH507" s="325"/>
      <c r="OKI507" s="325"/>
      <c r="OKJ507" s="325"/>
      <c r="OKK507" s="325"/>
      <c r="OKL507" s="325"/>
      <c r="OKM507" s="325"/>
      <c r="OKN507" s="325"/>
      <c r="OKO507" s="325"/>
      <c r="OKP507" s="325"/>
      <c r="OKQ507" s="325"/>
      <c r="OKR507" s="325"/>
      <c r="OKS507" s="325"/>
      <c r="OKT507" s="325"/>
      <c r="OKU507" s="325"/>
      <c r="OKV507" s="325"/>
      <c r="OKW507" s="325"/>
      <c r="OKX507" s="327"/>
      <c r="OKY507" s="28"/>
      <c r="OKZ507" s="324"/>
      <c r="OLA507" s="324"/>
      <c r="OLB507" s="324"/>
      <c r="OLC507" s="324"/>
      <c r="OLD507" s="324"/>
      <c r="OLE507" s="324"/>
      <c r="OLF507" s="256"/>
      <c r="OLG507" s="325"/>
      <c r="OLH507" s="311"/>
      <c r="OLI507" s="325"/>
      <c r="OLJ507" s="310"/>
      <c r="OLK507" s="325"/>
      <c r="OLL507" s="325"/>
      <c r="OLM507" s="325"/>
      <c r="OLN507" s="325"/>
      <c r="OLO507" s="325"/>
      <c r="OLP507" s="325"/>
      <c r="OLQ507" s="325"/>
      <c r="OLR507" s="325"/>
      <c r="OLS507" s="325"/>
      <c r="OLT507" s="325"/>
      <c r="OLU507" s="325"/>
      <c r="OLV507" s="325"/>
      <c r="OLW507" s="325"/>
      <c r="OLX507" s="325"/>
      <c r="OLY507" s="325"/>
      <c r="OLZ507" s="325"/>
      <c r="OMA507" s="325"/>
      <c r="OMB507" s="325"/>
      <c r="OMC507" s="325"/>
      <c r="OMD507" s="325"/>
      <c r="OME507" s="325"/>
      <c r="OMF507" s="325"/>
      <c r="OMG507" s="325"/>
      <c r="OMH507" s="325"/>
      <c r="OMI507" s="325"/>
      <c r="OMJ507" s="325"/>
      <c r="OMK507" s="325"/>
      <c r="OML507" s="325"/>
      <c r="OMM507" s="325"/>
      <c r="OMN507" s="325"/>
      <c r="OMO507" s="327"/>
      <c r="OMP507" s="28"/>
      <c r="OMQ507" s="324"/>
      <c r="OMR507" s="324"/>
      <c r="OMS507" s="324"/>
      <c r="OMT507" s="324"/>
      <c r="OMU507" s="324"/>
      <c r="OMV507" s="324"/>
      <c r="OMW507" s="256"/>
      <c r="OMX507" s="325"/>
      <c r="OMY507" s="311"/>
      <c r="OMZ507" s="325"/>
      <c r="ONA507" s="310"/>
      <c r="ONB507" s="325"/>
      <c r="ONC507" s="325"/>
      <c r="OND507" s="325"/>
      <c r="ONE507" s="325"/>
      <c r="ONF507" s="325"/>
      <c r="ONG507" s="325"/>
      <c r="ONH507" s="325"/>
      <c r="ONI507" s="325"/>
      <c r="ONJ507" s="325"/>
      <c r="ONK507" s="325"/>
      <c r="ONL507" s="325"/>
      <c r="ONM507" s="325"/>
      <c r="ONN507" s="325"/>
      <c r="ONO507" s="325"/>
      <c r="ONP507" s="325"/>
      <c r="ONQ507" s="325"/>
      <c r="ONR507" s="325"/>
      <c r="ONS507" s="325"/>
      <c r="ONT507" s="325"/>
      <c r="ONU507" s="325"/>
      <c r="ONV507" s="325"/>
      <c r="ONW507" s="325"/>
      <c r="ONX507" s="325"/>
      <c r="ONY507" s="325"/>
      <c r="ONZ507" s="325"/>
      <c r="OOA507" s="325"/>
      <c r="OOB507" s="325"/>
      <c r="OOC507" s="325"/>
      <c r="OOD507" s="325"/>
      <c r="OOE507" s="325"/>
      <c r="OOF507" s="327"/>
      <c r="OOG507" s="28"/>
      <c r="OOH507" s="324"/>
      <c r="OOI507" s="324"/>
      <c r="OOJ507" s="324"/>
      <c r="OOK507" s="324"/>
      <c r="OOL507" s="324"/>
      <c r="OOM507" s="324"/>
      <c r="OON507" s="256"/>
      <c r="OOO507" s="325"/>
      <c r="OOP507" s="311"/>
      <c r="OOQ507" s="325"/>
      <c r="OOR507" s="310"/>
      <c r="OOS507" s="325"/>
      <c r="OOT507" s="325"/>
      <c r="OOU507" s="325"/>
      <c r="OOV507" s="325"/>
      <c r="OOW507" s="325"/>
      <c r="OOX507" s="325"/>
      <c r="OOY507" s="325"/>
      <c r="OOZ507" s="325"/>
      <c r="OPA507" s="325"/>
      <c r="OPB507" s="325"/>
      <c r="OPC507" s="325"/>
      <c r="OPD507" s="325"/>
      <c r="OPE507" s="325"/>
      <c r="OPF507" s="325"/>
      <c r="OPG507" s="325"/>
      <c r="OPH507" s="325"/>
      <c r="OPI507" s="325"/>
      <c r="OPJ507" s="325"/>
      <c r="OPK507" s="325"/>
      <c r="OPL507" s="325"/>
      <c r="OPM507" s="325"/>
      <c r="OPN507" s="325"/>
      <c r="OPO507" s="325"/>
      <c r="OPP507" s="325"/>
      <c r="OPQ507" s="325"/>
      <c r="OPR507" s="325"/>
      <c r="OPS507" s="325"/>
      <c r="OPT507" s="325"/>
      <c r="OPU507" s="325"/>
      <c r="OPV507" s="325"/>
      <c r="OPW507" s="327"/>
      <c r="OPX507" s="28"/>
      <c r="OPY507" s="324"/>
      <c r="OPZ507" s="324"/>
      <c r="OQA507" s="324"/>
      <c r="OQB507" s="324"/>
      <c r="OQC507" s="324"/>
      <c r="OQD507" s="324"/>
      <c r="OQE507" s="256"/>
      <c r="OQF507" s="325"/>
      <c r="OQG507" s="311"/>
      <c r="OQH507" s="325"/>
      <c r="OQI507" s="310"/>
      <c r="OQJ507" s="325"/>
      <c r="OQK507" s="325"/>
      <c r="OQL507" s="325"/>
      <c r="OQM507" s="325"/>
      <c r="OQN507" s="325"/>
      <c r="OQO507" s="325"/>
      <c r="OQP507" s="325"/>
      <c r="OQQ507" s="325"/>
      <c r="OQR507" s="325"/>
      <c r="OQS507" s="325"/>
      <c r="OQT507" s="325"/>
      <c r="OQU507" s="325"/>
      <c r="OQV507" s="325"/>
      <c r="OQW507" s="325"/>
      <c r="OQX507" s="325"/>
      <c r="OQY507" s="325"/>
      <c r="OQZ507" s="325"/>
      <c r="ORA507" s="325"/>
      <c r="ORB507" s="325"/>
      <c r="ORC507" s="325"/>
      <c r="ORD507" s="325"/>
      <c r="ORE507" s="325"/>
      <c r="ORF507" s="325"/>
      <c r="ORG507" s="325"/>
      <c r="ORH507" s="325"/>
      <c r="ORI507" s="325"/>
      <c r="ORJ507" s="325"/>
      <c r="ORK507" s="325"/>
      <c r="ORL507" s="325"/>
      <c r="ORM507" s="325"/>
      <c r="ORN507" s="327"/>
      <c r="ORO507" s="28"/>
      <c r="ORP507" s="324"/>
      <c r="ORQ507" s="324"/>
      <c r="ORR507" s="324"/>
      <c r="ORS507" s="324"/>
      <c r="ORT507" s="324"/>
      <c r="ORU507" s="324"/>
      <c r="ORV507" s="256"/>
      <c r="ORW507" s="325"/>
      <c r="ORX507" s="311"/>
      <c r="ORY507" s="325"/>
      <c r="ORZ507" s="310"/>
      <c r="OSA507" s="325"/>
      <c r="OSB507" s="325"/>
      <c r="OSC507" s="325"/>
      <c r="OSD507" s="325"/>
      <c r="OSE507" s="325"/>
      <c r="OSF507" s="325"/>
      <c r="OSG507" s="325"/>
      <c r="OSH507" s="325"/>
      <c r="OSI507" s="325"/>
      <c r="OSJ507" s="325"/>
      <c r="OSK507" s="325"/>
      <c r="OSL507" s="325"/>
      <c r="OSM507" s="325"/>
      <c r="OSN507" s="325"/>
      <c r="OSO507" s="325"/>
      <c r="OSP507" s="325"/>
      <c r="OSQ507" s="325"/>
      <c r="OSR507" s="325"/>
      <c r="OSS507" s="325"/>
      <c r="OST507" s="325"/>
      <c r="OSU507" s="325"/>
      <c r="OSV507" s="325"/>
      <c r="OSW507" s="325"/>
      <c r="OSX507" s="325"/>
      <c r="OSY507" s="325"/>
      <c r="OSZ507" s="325"/>
      <c r="OTA507" s="325"/>
      <c r="OTB507" s="325"/>
      <c r="OTC507" s="325"/>
      <c r="OTD507" s="325"/>
      <c r="OTE507" s="327"/>
      <c r="OTF507" s="28"/>
      <c r="OTG507" s="324"/>
      <c r="OTH507" s="324"/>
      <c r="OTI507" s="324"/>
      <c r="OTJ507" s="324"/>
      <c r="OTK507" s="324"/>
      <c r="OTL507" s="324"/>
      <c r="OTM507" s="256"/>
      <c r="OTN507" s="325"/>
      <c r="OTO507" s="311"/>
      <c r="OTP507" s="325"/>
      <c r="OTQ507" s="310"/>
      <c r="OTR507" s="325"/>
      <c r="OTS507" s="325"/>
      <c r="OTT507" s="325"/>
      <c r="OTU507" s="325"/>
      <c r="OTV507" s="325"/>
      <c r="OTW507" s="325"/>
      <c r="OTX507" s="325"/>
      <c r="OTY507" s="325"/>
      <c r="OTZ507" s="325"/>
      <c r="OUA507" s="325"/>
      <c r="OUB507" s="325"/>
      <c r="OUC507" s="325"/>
      <c r="OUD507" s="325"/>
      <c r="OUE507" s="325"/>
      <c r="OUF507" s="325"/>
      <c r="OUG507" s="325"/>
      <c r="OUH507" s="325"/>
      <c r="OUI507" s="325"/>
      <c r="OUJ507" s="325"/>
      <c r="OUK507" s="325"/>
      <c r="OUL507" s="325"/>
      <c r="OUM507" s="325"/>
      <c r="OUN507" s="325"/>
      <c r="OUO507" s="325"/>
      <c r="OUP507" s="325"/>
      <c r="OUQ507" s="325"/>
      <c r="OUR507" s="325"/>
      <c r="OUS507" s="325"/>
      <c r="OUT507" s="325"/>
      <c r="OUU507" s="325"/>
      <c r="OUV507" s="327"/>
      <c r="OUW507" s="28"/>
      <c r="OUX507" s="324"/>
      <c r="OUY507" s="324"/>
      <c r="OUZ507" s="324"/>
      <c r="OVA507" s="324"/>
      <c r="OVB507" s="324"/>
      <c r="OVC507" s="324"/>
      <c r="OVD507" s="256"/>
      <c r="OVE507" s="325"/>
      <c r="OVF507" s="311"/>
      <c r="OVG507" s="325"/>
      <c r="OVH507" s="310"/>
      <c r="OVI507" s="325"/>
      <c r="OVJ507" s="325"/>
      <c r="OVK507" s="325"/>
      <c r="OVL507" s="325"/>
      <c r="OVM507" s="325"/>
      <c r="OVN507" s="325"/>
      <c r="OVO507" s="325"/>
      <c r="OVP507" s="325"/>
      <c r="OVQ507" s="325"/>
      <c r="OVR507" s="325"/>
      <c r="OVS507" s="325"/>
      <c r="OVT507" s="325"/>
      <c r="OVU507" s="325"/>
      <c r="OVV507" s="325"/>
      <c r="OVW507" s="325"/>
      <c r="OVX507" s="325"/>
      <c r="OVY507" s="325"/>
      <c r="OVZ507" s="325"/>
      <c r="OWA507" s="325"/>
      <c r="OWB507" s="325"/>
      <c r="OWC507" s="325"/>
      <c r="OWD507" s="325"/>
      <c r="OWE507" s="325"/>
      <c r="OWF507" s="325"/>
      <c r="OWG507" s="325"/>
      <c r="OWH507" s="325"/>
      <c r="OWI507" s="325"/>
      <c r="OWJ507" s="325"/>
      <c r="OWK507" s="325"/>
      <c r="OWL507" s="325"/>
      <c r="OWM507" s="327"/>
      <c r="OWN507" s="28"/>
      <c r="OWO507" s="324"/>
      <c r="OWP507" s="324"/>
      <c r="OWQ507" s="324"/>
      <c r="OWR507" s="324"/>
      <c r="OWS507" s="324"/>
      <c r="OWT507" s="324"/>
      <c r="OWU507" s="256"/>
      <c r="OWV507" s="325"/>
      <c r="OWW507" s="311"/>
      <c r="OWX507" s="325"/>
      <c r="OWY507" s="310"/>
      <c r="OWZ507" s="325"/>
      <c r="OXA507" s="325"/>
      <c r="OXB507" s="325"/>
      <c r="OXC507" s="325"/>
      <c r="OXD507" s="325"/>
      <c r="OXE507" s="325"/>
      <c r="OXF507" s="325"/>
      <c r="OXG507" s="325"/>
      <c r="OXH507" s="325"/>
      <c r="OXI507" s="325"/>
      <c r="OXJ507" s="325"/>
      <c r="OXK507" s="325"/>
      <c r="OXL507" s="325"/>
      <c r="OXM507" s="325"/>
      <c r="OXN507" s="325"/>
      <c r="OXO507" s="325"/>
      <c r="OXP507" s="325"/>
      <c r="OXQ507" s="325"/>
      <c r="OXR507" s="325"/>
      <c r="OXS507" s="325"/>
      <c r="OXT507" s="325"/>
      <c r="OXU507" s="325"/>
      <c r="OXV507" s="325"/>
      <c r="OXW507" s="325"/>
      <c r="OXX507" s="325"/>
      <c r="OXY507" s="325"/>
      <c r="OXZ507" s="325"/>
      <c r="OYA507" s="325"/>
      <c r="OYB507" s="325"/>
      <c r="OYC507" s="325"/>
      <c r="OYD507" s="327"/>
      <c r="OYE507" s="28"/>
      <c r="OYF507" s="324"/>
      <c r="OYG507" s="324"/>
      <c r="OYH507" s="324"/>
      <c r="OYI507" s="324"/>
      <c r="OYJ507" s="324"/>
      <c r="OYK507" s="324"/>
      <c r="OYL507" s="256"/>
      <c r="OYM507" s="325"/>
      <c r="OYN507" s="311"/>
      <c r="OYO507" s="325"/>
      <c r="OYP507" s="310"/>
      <c r="OYQ507" s="325"/>
      <c r="OYR507" s="325"/>
      <c r="OYS507" s="325"/>
      <c r="OYT507" s="325"/>
      <c r="OYU507" s="325"/>
      <c r="OYV507" s="325"/>
      <c r="OYW507" s="325"/>
      <c r="OYX507" s="325"/>
      <c r="OYY507" s="325"/>
      <c r="OYZ507" s="325"/>
      <c r="OZA507" s="325"/>
      <c r="OZB507" s="325"/>
      <c r="OZC507" s="325"/>
      <c r="OZD507" s="325"/>
      <c r="OZE507" s="325"/>
      <c r="OZF507" s="325"/>
      <c r="OZG507" s="325"/>
      <c r="OZH507" s="325"/>
      <c r="OZI507" s="325"/>
      <c r="OZJ507" s="325"/>
      <c r="OZK507" s="325"/>
      <c r="OZL507" s="325"/>
      <c r="OZM507" s="325"/>
      <c r="OZN507" s="325"/>
      <c r="OZO507" s="325"/>
      <c r="OZP507" s="325"/>
      <c r="OZQ507" s="325"/>
      <c r="OZR507" s="325"/>
      <c r="OZS507" s="325"/>
      <c r="OZT507" s="325"/>
      <c r="OZU507" s="327"/>
      <c r="OZV507" s="28"/>
      <c r="OZW507" s="324"/>
      <c r="OZX507" s="324"/>
      <c r="OZY507" s="324"/>
      <c r="OZZ507" s="324"/>
      <c r="PAA507" s="324"/>
      <c r="PAB507" s="324"/>
      <c r="PAC507" s="256"/>
      <c r="PAD507" s="325"/>
      <c r="PAE507" s="311"/>
      <c r="PAF507" s="325"/>
      <c r="PAG507" s="310"/>
      <c r="PAH507" s="325"/>
      <c r="PAI507" s="325"/>
      <c r="PAJ507" s="325"/>
      <c r="PAK507" s="325"/>
      <c r="PAL507" s="325"/>
      <c r="PAM507" s="325"/>
      <c r="PAN507" s="325"/>
      <c r="PAO507" s="325"/>
      <c r="PAP507" s="325"/>
      <c r="PAQ507" s="325"/>
      <c r="PAR507" s="325"/>
      <c r="PAS507" s="325"/>
      <c r="PAT507" s="325"/>
      <c r="PAU507" s="325"/>
      <c r="PAV507" s="325"/>
      <c r="PAW507" s="325"/>
      <c r="PAX507" s="325"/>
      <c r="PAY507" s="325"/>
      <c r="PAZ507" s="325"/>
      <c r="PBA507" s="325"/>
      <c r="PBB507" s="325"/>
      <c r="PBC507" s="325"/>
      <c r="PBD507" s="325"/>
      <c r="PBE507" s="325"/>
      <c r="PBF507" s="325"/>
      <c r="PBG507" s="325"/>
      <c r="PBH507" s="325"/>
      <c r="PBI507" s="325"/>
      <c r="PBJ507" s="325"/>
      <c r="PBK507" s="325"/>
      <c r="PBL507" s="327"/>
      <c r="PBM507" s="28"/>
      <c r="PBN507" s="324"/>
      <c r="PBO507" s="324"/>
      <c r="PBP507" s="324"/>
      <c r="PBQ507" s="324"/>
      <c r="PBR507" s="324"/>
      <c r="PBS507" s="324"/>
      <c r="PBT507" s="256"/>
      <c r="PBU507" s="325"/>
      <c r="PBV507" s="311"/>
      <c r="PBW507" s="325"/>
      <c r="PBX507" s="310"/>
      <c r="PBY507" s="325"/>
      <c r="PBZ507" s="325"/>
      <c r="PCA507" s="325"/>
      <c r="PCB507" s="325"/>
      <c r="PCC507" s="325"/>
      <c r="PCD507" s="325"/>
      <c r="PCE507" s="325"/>
      <c r="PCF507" s="325"/>
      <c r="PCG507" s="325"/>
      <c r="PCH507" s="325"/>
      <c r="PCI507" s="325"/>
      <c r="PCJ507" s="325"/>
      <c r="PCK507" s="325"/>
      <c r="PCL507" s="325"/>
      <c r="PCM507" s="325"/>
      <c r="PCN507" s="325"/>
      <c r="PCO507" s="325"/>
      <c r="PCP507" s="325"/>
      <c r="PCQ507" s="325"/>
      <c r="PCR507" s="325"/>
      <c r="PCS507" s="325"/>
      <c r="PCT507" s="325"/>
      <c r="PCU507" s="325"/>
      <c r="PCV507" s="325"/>
      <c r="PCW507" s="325"/>
      <c r="PCX507" s="325"/>
      <c r="PCY507" s="325"/>
      <c r="PCZ507" s="325"/>
      <c r="PDA507" s="325"/>
      <c r="PDB507" s="325"/>
      <c r="PDC507" s="327"/>
      <c r="PDD507" s="28"/>
      <c r="PDE507" s="324"/>
      <c r="PDF507" s="324"/>
      <c r="PDG507" s="324"/>
      <c r="PDH507" s="324"/>
      <c r="PDI507" s="324"/>
      <c r="PDJ507" s="324"/>
      <c r="PDK507" s="256"/>
      <c r="PDL507" s="325"/>
      <c r="PDM507" s="311"/>
      <c r="PDN507" s="325"/>
      <c r="PDO507" s="310"/>
      <c r="PDP507" s="325"/>
      <c r="PDQ507" s="325"/>
      <c r="PDR507" s="325"/>
      <c r="PDS507" s="325"/>
      <c r="PDT507" s="325"/>
      <c r="PDU507" s="325"/>
      <c r="PDV507" s="325"/>
      <c r="PDW507" s="325"/>
      <c r="PDX507" s="325"/>
      <c r="PDY507" s="325"/>
      <c r="PDZ507" s="325"/>
      <c r="PEA507" s="325"/>
      <c r="PEB507" s="325"/>
      <c r="PEC507" s="325"/>
      <c r="PED507" s="325"/>
      <c r="PEE507" s="325"/>
      <c r="PEF507" s="325"/>
      <c r="PEG507" s="325"/>
      <c r="PEH507" s="325"/>
      <c r="PEI507" s="325"/>
      <c r="PEJ507" s="325"/>
      <c r="PEK507" s="325"/>
      <c r="PEL507" s="325"/>
      <c r="PEM507" s="325"/>
      <c r="PEN507" s="325"/>
      <c r="PEO507" s="325"/>
      <c r="PEP507" s="325"/>
      <c r="PEQ507" s="325"/>
      <c r="PER507" s="325"/>
      <c r="PES507" s="325"/>
      <c r="PET507" s="327"/>
      <c r="PEU507" s="28"/>
      <c r="PEV507" s="324"/>
      <c r="PEW507" s="324"/>
      <c r="PEX507" s="324"/>
      <c r="PEY507" s="324"/>
      <c r="PEZ507" s="324"/>
      <c r="PFA507" s="324"/>
      <c r="PFB507" s="256"/>
      <c r="PFC507" s="325"/>
      <c r="PFD507" s="311"/>
      <c r="PFE507" s="325"/>
      <c r="PFF507" s="310"/>
      <c r="PFG507" s="325"/>
      <c r="PFH507" s="325"/>
      <c r="PFI507" s="325"/>
      <c r="PFJ507" s="325"/>
      <c r="PFK507" s="325"/>
      <c r="PFL507" s="325"/>
      <c r="PFM507" s="325"/>
      <c r="PFN507" s="325"/>
      <c r="PFO507" s="325"/>
      <c r="PFP507" s="325"/>
      <c r="PFQ507" s="325"/>
      <c r="PFR507" s="325"/>
      <c r="PFS507" s="325"/>
      <c r="PFT507" s="325"/>
      <c r="PFU507" s="325"/>
      <c r="PFV507" s="325"/>
      <c r="PFW507" s="325"/>
      <c r="PFX507" s="325"/>
      <c r="PFY507" s="325"/>
      <c r="PFZ507" s="325"/>
      <c r="PGA507" s="325"/>
      <c r="PGB507" s="325"/>
      <c r="PGC507" s="325"/>
      <c r="PGD507" s="325"/>
      <c r="PGE507" s="325"/>
      <c r="PGF507" s="325"/>
      <c r="PGG507" s="325"/>
      <c r="PGH507" s="325"/>
      <c r="PGI507" s="325"/>
      <c r="PGJ507" s="325"/>
      <c r="PGK507" s="327"/>
      <c r="PGL507" s="28"/>
      <c r="PGM507" s="324"/>
      <c r="PGN507" s="324"/>
      <c r="PGO507" s="324"/>
      <c r="PGP507" s="324"/>
      <c r="PGQ507" s="324"/>
      <c r="PGR507" s="324"/>
      <c r="PGS507" s="256"/>
      <c r="PGT507" s="325"/>
      <c r="PGU507" s="311"/>
      <c r="PGV507" s="325"/>
      <c r="PGW507" s="310"/>
      <c r="PGX507" s="325"/>
      <c r="PGY507" s="325"/>
      <c r="PGZ507" s="325"/>
      <c r="PHA507" s="325"/>
      <c r="PHB507" s="325"/>
      <c r="PHC507" s="325"/>
      <c r="PHD507" s="325"/>
      <c r="PHE507" s="325"/>
      <c r="PHF507" s="325"/>
      <c r="PHG507" s="325"/>
      <c r="PHH507" s="325"/>
      <c r="PHI507" s="325"/>
      <c r="PHJ507" s="325"/>
      <c r="PHK507" s="325"/>
      <c r="PHL507" s="325"/>
      <c r="PHM507" s="325"/>
      <c r="PHN507" s="325"/>
      <c r="PHO507" s="325"/>
      <c r="PHP507" s="325"/>
      <c r="PHQ507" s="325"/>
      <c r="PHR507" s="325"/>
      <c r="PHS507" s="325"/>
      <c r="PHT507" s="325"/>
      <c r="PHU507" s="325"/>
      <c r="PHV507" s="325"/>
      <c r="PHW507" s="325"/>
      <c r="PHX507" s="325"/>
      <c r="PHY507" s="325"/>
      <c r="PHZ507" s="325"/>
      <c r="PIA507" s="325"/>
      <c r="PIB507" s="327"/>
      <c r="PIC507" s="28"/>
      <c r="PID507" s="324"/>
      <c r="PIE507" s="324"/>
      <c r="PIF507" s="324"/>
      <c r="PIG507" s="324"/>
      <c r="PIH507" s="324"/>
      <c r="PII507" s="324"/>
      <c r="PIJ507" s="256"/>
      <c r="PIK507" s="325"/>
      <c r="PIL507" s="311"/>
      <c r="PIM507" s="325"/>
      <c r="PIN507" s="310"/>
      <c r="PIO507" s="325"/>
      <c r="PIP507" s="325"/>
      <c r="PIQ507" s="325"/>
      <c r="PIR507" s="325"/>
      <c r="PIS507" s="325"/>
      <c r="PIT507" s="325"/>
      <c r="PIU507" s="325"/>
      <c r="PIV507" s="325"/>
      <c r="PIW507" s="325"/>
      <c r="PIX507" s="325"/>
      <c r="PIY507" s="325"/>
      <c r="PIZ507" s="325"/>
      <c r="PJA507" s="325"/>
      <c r="PJB507" s="325"/>
      <c r="PJC507" s="325"/>
      <c r="PJD507" s="325"/>
      <c r="PJE507" s="325"/>
      <c r="PJF507" s="325"/>
      <c r="PJG507" s="325"/>
      <c r="PJH507" s="325"/>
      <c r="PJI507" s="325"/>
      <c r="PJJ507" s="325"/>
      <c r="PJK507" s="325"/>
      <c r="PJL507" s="325"/>
      <c r="PJM507" s="325"/>
      <c r="PJN507" s="325"/>
      <c r="PJO507" s="325"/>
      <c r="PJP507" s="325"/>
      <c r="PJQ507" s="325"/>
      <c r="PJR507" s="325"/>
      <c r="PJS507" s="327"/>
      <c r="PJT507" s="28"/>
      <c r="PJU507" s="324"/>
      <c r="PJV507" s="324"/>
      <c r="PJW507" s="324"/>
      <c r="PJX507" s="324"/>
      <c r="PJY507" s="324"/>
      <c r="PJZ507" s="324"/>
      <c r="PKA507" s="256"/>
      <c r="PKB507" s="325"/>
      <c r="PKC507" s="311"/>
      <c r="PKD507" s="325"/>
      <c r="PKE507" s="310"/>
      <c r="PKF507" s="325"/>
      <c r="PKG507" s="325"/>
      <c r="PKH507" s="325"/>
      <c r="PKI507" s="325"/>
      <c r="PKJ507" s="325"/>
      <c r="PKK507" s="325"/>
      <c r="PKL507" s="325"/>
      <c r="PKM507" s="325"/>
      <c r="PKN507" s="325"/>
      <c r="PKO507" s="325"/>
      <c r="PKP507" s="325"/>
      <c r="PKQ507" s="325"/>
      <c r="PKR507" s="325"/>
      <c r="PKS507" s="325"/>
      <c r="PKT507" s="325"/>
      <c r="PKU507" s="325"/>
      <c r="PKV507" s="325"/>
      <c r="PKW507" s="325"/>
      <c r="PKX507" s="325"/>
      <c r="PKY507" s="325"/>
      <c r="PKZ507" s="325"/>
      <c r="PLA507" s="325"/>
      <c r="PLB507" s="325"/>
      <c r="PLC507" s="325"/>
      <c r="PLD507" s="325"/>
      <c r="PLE507" s="325"/>
      <c r="PLF507" s="325"/>
      <c r="PLG507" s="325"/>
      <c r="PLH507" s="325"/>
      <c r="PLI507" s="325"/>
      <c r="PLJ507" s="327"/>
      <c r="PLK507" s="28"/>
      <c r="PLL507" s="324"/>
      <c r="PLM507" s="324"/>
      <c r="PLN507" s="324"/>
      <c r="PLO507" s="324"/>
      <c r="PLP507" s="324"/>
      <c r="PLQ507" s="324"/>
      <c r="PLR507" s="256"/>
      <c r="PLS507" s="325"/>
      <c r="PLT507" s="311"/>
      <c r="PLU507" s="325"/>
      <c r="PLV507" s="310"/>
      <c r="PLW507" s="325"/>
      <c r="PLX507" s="325"/>
      <c r="PLY507" s="325"/>
      <c r="PLZ507" s="325"/>
      <c r="PMA507" s="325"/>
      <c r="PMB507" s="325"/>
      <c r="PMC507" s="325"/>
      <c r="PMD507" s="325"/>
      <c r="PME507" s="325"/>
      <c r="PMF507" s="325"/>
      <c r="PMG507" s="325"/>
      <c r="PMH507" s="325"/>
      <c r="PMI507" s="325"/>
      <c r="PMJ507" s="325"/>
      <c r="PMK507" s="325"/>
      <c r="PML507" s="325"/>
      <c r="PMM507" s="325"/>
      <c r="PMN507" s="325"/>
      <c r="PMO507" s="325"/>
      <c r="PMP507" s="325"/>
      <c r="PMQ507" s="325"/>
      <c r="PMR507" s="325"/>
      <c r="PMS507" s="325"/>
      <c r="PMT507" s="325"/>
      <c r="PMU507" s="325"/>
      <c r="PMV507" s="325"/>
      <c r="PMW507" s="325"/>
      <c r="PMX507" s="325"/>
      <c r="PMY507" s="325"/>
      <c r="PMZ507" s="325"/>
      <c r="PNA507" s="327"/>
      <c r="PNB507" s="28"/>
      <c r="PNC507" s="324"/>
      <c r="PND507" s="324"/>
      <c r="PNE507" s="324"/>
      <c r="PNF507" s="324"/>
      <c r="PNG507" s="324"/>
      <c r="PNH507" s="324"/>
      <c r="PNI507" s="256"/>
      <c r="PNJ507" s="325"/>
      <c r="PNK507" s="311"/>
      <c r="PNL507" s="325"/>
      <c r="PNM507" s="310"/>
      <c r="PNN507" s="325"/>
      <c r="PNO507" s="325"/>
      <c r="PNP507" s="325"/>
      <c r="PNQ507" s="325"/>
      <c r="PNR507" s="325"/>
      <c r="PNS507" s="325"/>
      <c r="PNT507" s="325"/>
      <c r="PNU507" s="325"/>
      <c r="PNV507" s="325"/>
      <c r="PNW507" s="325"/>
      <c r="PNX507" s="325"/>
      <c r="PNY507" s="325"/>
      <c r="PNZ507" s="325"/>
      <c r="POA507" s="325"/>
      <c r="POB507" s="325"/>
      <c r="POC507" s="325"/>
      <c r="POD507" s="325"/>
      <c r="POE507" s="325"/>
      <c r="POF507" s="325"/>
      <c r="POG507" s="325"/>
      <c r="POH507" s="325"/>
      <c r="POI507" s="325"/>
      <c r="POJ507" s="325"/>
      <c r="POK507" s="325"/>
      <c r="POL507" s="325"/>
      <c r="POM507" s="325"/>
      <c r="PON507" s="325"/>
      <c r="POO507" s="325"/>
      <c r="POP507" s="325"/>
      <c r="POQ507" s="325"/>
      <c r="POR507" s="327"/>
      <c r="POS507" s="28"/>
      <c r="POT507" s="324"/>
      <c r="POU507" s="324"/>
      <c r="POV507" s="324"/>
      <c r="POW507" s="324"/>
      <c r="POX507" s="324"/>
      <c r="POY507" s="324"/>
      <c r="POZ507" s="256"/>
      <c r="PPA507" s="325"/>
      <c r="PPB507" s="311"/>
      <c r="PPC507" s="325"/>
      <c r="PPD507" s="310"/>
      <c r="PPE507" s="325"/>
      <c r="PPF507" s="325"/>
      <c r="PPG507" s="325"/>
      <c r="PPH507" s="325"/>
      <c r="PPI507" s="325"/>
      <c r="PPJ507" s="325"/>
      <c r="PPK507" s="325"/>
      <c r="PPL507" s="325"/>
      <c r="PPM507" s="325"/>
      <c r="PPN507" s="325"/>
      <c r="PPO507" s="325"/>
      <c r="PPP507" s="325"/>
      <c r="PPQ507" s="325"/>
      <c r="PPR507" s="325"/>
      <c r="PPS507" s="325"/>
      <c r="PPT507" s="325"/>
      <c r="PPU507" s="325"/>
      <c r="PPV507" s="325"/>
      <c r="PPW507" s="325"/>
      <c r="PPX507" s="325"/>
      <c r="PPY507" s="325"/>
      <c r="PPZ507" s="325"/>
      <c r="PQA507" s="325"/>
      <c r="PQB507" s="325"/>
      <c r="PQC507" s="325"/>
      <c r="PQD507" s="325"/>
      <c r="PQE507" s="325"/>
      <c r="PQF507" s="325"/>
      <c r="PQG507" s="325"/>
      <c r="PQH507" s="325"/>
      <c r="PQI507" s="327"/>
      <c r="PQJ507" s="28"/>
      <c r="PQK507" s="324"/>
      <c r="PQL507" s="324"/>
      <c r="PQM507" s="324"/>
      <c r="PQN507" s="324"/>
      <c r="PQO507" s="324"/>
      <c r="PQP507" s="324"/>
      <c r="PQQ507" s="256"/>
      <c r="PQR507" s="325"/>
      <c r="PQS507" s="311"/>
      <c r="PQT507" s="325"/>
      <c r="PQU507" s="310"/>
      <c r="PQV507" s="325"/>
      <c r="PQW507" s="325"/>
      <c r="PQX507" s="325"/>
      <c r="PQY507" s="325"/>
      <c r="PQZ507" s="325"/>
      <c r="PRA507" s="325"/>
      <c r="PRB507" s="325"/>
      <c r="PRC507" s="325"/>
      <c r="PRD507" s="325"/>
      <c r="PRE507" s="325"/>
      <c r="PRF507" s="325"/>
      <c r="PRG507" s="325"/>
      <c r="PRH507" s="325"/>
      <c r="PRI507" s="325"/>
      <c r="PRJ507" s="325"/>
      <c r="PRK507" s="325"/>
      <c r="PRL507" s="325"/>
      <c r="PRM507" s="325"/>
      <c r="PRN507" s="325"/>
      <c r="PRO507" s="325"/>
      <c r="PRP507" s="325"/>
      <c r="PRQ507" s="325"/>
      <c r="PRR507" s="325"/>
      <c r="PRS507" s="325"/>
      <c r="PRT507" s="325"/>
      <c r="PRU507" s="325"/>
      <c r="PRV507" s="325"/>
      <c r="PRW507" s="325"/>
      <c r="PRX507" s="325"/>
      <c r="PRY507" s="325"/>
      <c r="PRZ507" s="327"/>
      <c r="PSA507" s="28"/>
      <c r="PSB507" s="324"/>
      <c r="PSC507" s="324"/>
      <c r="PSD507" s="324"/>
      <c r="PSE507" s="324"/>
      <c r="PSF507" s="324"/>
      <c r="PSG507" s="324"/>
      <c r="PSH507" s="256"/>
      <c r="PSI507" s="325"/>
      <c r="PSJ507" s="311"/>
      <c r="PSK507" s="325"/>
      <c r="PSL507" s="310"/>
      <c r="PSM507" s="325"/>
      <c r="PSN507" s="325"/>
      <c r="PSO507" s="325"/>
      <c r="PSP507" s="325"/>
      <c r="PSQ507" s="325"/>
      <c r="PSR507" s="325"/>
      <c r="PSS507" s="325"/>
      <c r="PST507" s="325"/>
      <c r="PSU507" s="325"/>
      <c r="PSV507" s="325"/>
      <c r="PSW507" s="325"/>
      <c r="PSX507" s="325"/>
      <c r="PSY507" s="325"/>
      <c r="PSZ507" s="325"/>
      <c r="PTA507" s="325"/>
      <c r="PTB507" s="325"/>
      <c r="PTC507" s="325"/>
      <c r="PTD507" s="325"/>
      <c r="PTE507" s="325"/>
      <c r="PTF507" s="325"/>
      <c r="PTG507" s="325"/>
      <c r="PTH507" s="325"/>
      <c r="PTI507" s="325"/>
      <c r="PTJ507" s="325"/>
      <c r="PTK507" s="325"/>
      <c r="PTL507" s="325"/>
      <c r="PTM507" s="325"/>
      <c r="PTN507" s="325"/>
      <c r="PTO507" s="325"/>
      <c r="PTP507" s="325"/>
      <c r="PTQ507" s="327"/>
      <c r="PTR507" s="28"/>
      <c r="PTS507" s="324"/>
      <c r="PTT507" s="324"/>
      <c r="PTU507" s="324"/>
      <c r="PTV507" s="324"/>
      <c r="PTW507" s="324"/>
      <c r="PTX507" s="324"/>
      <c r="PTY507" s="256"/>
      <c r="PTZ507" s="325"/>
      <c r="PUA507" s="311"/>
      <c r="PUB507" s="325"/>
      <c r="PUC507" s="310"/>
      <c r="PUD507" s="325"/>
      <c r="PUE507" s="325"/>
      <c r="PUF507" s="325"/>
      <c r="PUG507" s="325"/>
      <c r="PUH507" s="325"/>
      <c r="PUI507" s="325"/>
      <c r="PUJ507" s="325"/>
      <c r="PUK507" s="325"/>
      <c r="PUL507" s="325"/>
      <c r="PUM507" s="325"/>
      <c r="PUN507" s="325"/>
      <c r="PUO507" s="325"/>
      <c r="PUP507" s="325"/>
      <c r="PUQ507" s="325"/>
      <c r="PUR507" s="325"/>
      <c r="PUS507" s="325"/>
      <c r="PUT507" s="325"/>
      <c r="PUU507" s="325"/>
      <c r="PUV507" s="325"/>
      <c r="PUW507" s="325"/>
      <c r="PUX507" s="325"/>
      <c r="PUY507" s="325"/>
      <c r="PUZ507" s="325"/>
      <c r="PVA507" s="325"/>
      <c r="PVB507" s="325"/>
      <c r="PVC507" s="325"/>
      <c r="PVD507" s="325"/>
      <c r="PVE507" s="325"/>
      <c r="PVF507" s="325"/>
      <c r="PVG507" s="325"/>
      <c r="PVH507" s="327"/>
      <c r="PVI507" s="28"/>
      <c r="PVJ507" s="324"/>
      <c r="PVK507" s="324"/>
      <c r="PVL507" s="324"/>
      <c r="PVM507" s="324"/>
      <c r="PVN507" s="324"/>
      <c r="PVO507" s="324"/>
      <c r="PVP507" s="256"/>
      <c r="PVQ507" s="325"/>
      <c r="PVR507" s="311"/>
      <c r="PVS507" s="325"/>
      <c r="PVT507" s="310"/>
      <c r="PVU507" s="325"/>
      <c r="PVV507" s="325"/>
      <c r="PVW507" s="325"/>
      <c r="PVX507" s="325"/>
      <c r="PVY507" s="325"/>
      <c r="PVZ507" s="325"/>
      <c r="PWA507" s="325"/>
      <c r="PWB507" s="325"/>
      <c r="PWC507" s="325"/>
      <c r="PWD507" s="325"/>
      <c r="PWE507" s="325"/>
      <c r="PWF507" s="325"/>
      <c r="PWG507" s="325"/>
      <c r="PWH507" s="325"/>
      <c r="PWI507" s="325"/>
      <c r="PWJ507" s="325"/>
      <c r="PWK507" s="325"/>
      <c r="PWL507" s="325"/>
      <c r="PWM507" s="325"/>
      <c r="PWN507" s="325"/>
      <c r="PWO507" s="325"/>
      <c r="PWP507" s="325"/>
      <c r="PWQ507" s="325"/>
      <c r="PWR507" s="325"/>
      <c r="PWS507" s="325"/>
      <c r="PWT507" s="325"/>
      <c r="PWU507" s="325"/>
      <c r="PWV507" s="325"/>
      <c r="PWW507" s="325"/>
      <c r="PWX507" s="325"/>
      <c r="PWY507" s="327"/>
      <c r="PWZ507" s="28"/>
      <c r="PXA507" s="324"/>
      <c r="PXB507" s="324"/>
      <c r="PXC507" s="324"/>
      <c r="PXD507" s="324"/>
      <c r="PXE507" s="324"/>
      <c r="PXF507" s="324"/>
      <c r="PXG507" s="256"/>
      <c r="PXH507" s="325"/>
      <c r="PXI507" s="311"/>
      <c r="PXJ507" s="325"/>
      <c r="PXK507" s="310"/>
      <c r="PXL507" s="325"/>
      <c r="PXM507" s="325"/>
      <c r="PXN507" s="325"/>
      <c r="PXO507" s="325"/>
      <c r="PXP507" s="325"/>
      <c r="PXQ507" s="325"/>
      <c r="PXR507" s="325"/>
      <c r="PXS507" s="325"/>
      <c r="PXT507" s="325"/>
      <c r="PXU507" s="325"/>
      <c r="PXV507" s="325"/>
      <c r="PXW507" s="325"/>
      <c r="PXX507" s="325"/>
      <c r="PXY507" s="325"/>
      <c r="PXZ507" s="325"/>
      <c r="PYA507" s="325"/>
      <c r="PYB507" s="325"/>
      <c r="PYC507" s="325"/>
      <c r="PYD507" s="325"/>
      <c r="PYE507" s="325"/>
      <c r="PYF507" s="325"/>
      <c r="PYG507" s="325"/>
      <c r="PYH507" s="325"/>
      <c r="PYI507" s="325"/>
      <c r="PYJ507" s="325"/>
      <c r="PYK507" s="325"/>
      <c r="PYL507" s="325"/>
      <c r="PYM507" s="325"/>
      <c r="PYN507" s="325"/>
      <c r="PYO507" s="325"/>
      <c r="PYP507" s="327"/>
      <c r="PYQ507" s="28"/>
      <c r="PYR507" s="324"/>
      <c r="PYS507" s="324"/>
      <c r="PYT507" s="324"/>
      <c r="PYU507" s="324"/>
      <c r="PYV507" s="324"/>
      <c r="PYW507" s="324"/>
      <c r="PYX507" s="256"/>
      <c r="PYY507" s="325"/>
      <c r="PYZ507" s="311"/>
      <c r="PZA507" s="325"/>
      <c r="PZB507" s="310"/>
      <c r="PZC507" s="325"/>
      <c r="PZD507" s="325"/>
      <c r="PZE507" s="325"/>
      <c r="PZF507" s="325"/>
      <c r="PZG507" s="325"/>
      <c r="PZH507" s="325"/>
      <c r="PZI507" s="325"/>
      <c r="PZJ507" s="325"/>
      <c r="PZK507" s="325"/>
      <c r="PZL507" s="325"/>
      <c r="PZM507" s="325"/>
      <c r="PZN507" s="325"/>
      <c r="PZO507" s="325"/>
      <c r="PZP507" s="325"/>
      <c r="PZQ507" s="325"/>
      <c r="PZR507" s="325"/>
      <c r="PZS507" s="325"/>
      <c r="PZT507" s="325"/>
      <c r="PZU507" s="325"/>
      <c r="PZV507" s="325"/>
      <c r="PZW507" s="325"/>
      <c r="PZX507" s="325"/>
      <c r="PZY507" s="325"/>
      <c r="PZZ507" s="325"/>
      <c r="QAA507" s="325"/>
      <c r="QAB507" s="325"/>
      <c r="QAC507" s="325"/>
      <c r="QAD507" s="325"/>
      <c r="QAE507" s="325"/>
      <c r="QAF507" s="325"/>
      <c r="QAG507" s="327"/>
      <c r="QAH507" s="28"/>
      <c r="QAI507" s="324"/>
      <c r="QAJ507" s="324"/>
      <c r="QAK507" s="324"/>
      <c r="QAL507" s="324"/>
      <c r="QAM507" s="324"/>
      <c r="QAN507" s="324"/>
      <c r="QAO507" s="256"/>
      <c r="QAP507" s="325"/>
      <c r="QAQ507" s="311"/>
      <c r="QAR507" s="325"/>
      <c r="QAS507" s="310"/>
      <c r="QAT507" s="325"/>
      <c r="QAU507" s="325"/>
      <c r="QAV507" s="325"/>
      <c r="QAW507" s="325"/>
      <c r="QAX507" s="325"/>
      <c r="QAY507" s="325"/>
      <c r="QAZ507" s="325"/>
      <c r="QBA507" s="325"/>
      <c r="QBB507" s="325"/>
      <c r="QBC507" s="325"/>
      <c r="QBD507" s="325"/>
      <c r="QBE507" s="325"/>
      <c r="QBF507" s="325"/>
      <c r="QBG507" s="325"/>
      <c r="QBH507" s="325"/>
      <c r="QBI507" s="325"/>
      <c r="QBJ507" s="325"/>
      <c r="QBK507" s="325"/>
      <c r="QBL507" s="325"/>
      <c r="QBM507" s="325"/>
      <c r="QBN507" s="325"/>
      <c r="QBO507" s="325"/>
      <c r="QBP507" s="325"/>
      <c r="QBQ507" s="325"/>
      <c r="QBR507" s="325"/>
      <c r="QBS507" s="325"/>
      <c r="QBT507" s="325"/>
      <c r="QBU507" s="325"/>
      <c r="QBV507" s="325"/>
      <c r="QBW507" s="325"/>
      <c r="QBX507" s="327"/>
      <c r="QBY507" s="28"/>
      <c r="QBZ507" s="324"/>
      <c r="QCA507" s="324"/>
      <c r="QCB507" s="324"/>
      <c r="QCC507" s="324"/>
      <c r="QCD507" s="324"/>
      <c r="QCE507" s="324"/>
      <c r="QCF507" s="256"/>
      <c r="QCG507" s="325"/>
      <c r="QCH507" s="311"/>
      <c r="QCI507" s="325"/>
      <c r="QCJ507" s="310"/>
      <c r="QCK507" s="325"/>
      <c r="QCL507" s="325"/>
      <c r="QCM507" s="325"/>
      <c r="QCN507" s="325"/>
      <c r="QCO507" s="325"/>
      <c r="QCP507" s="325"/>
      <c r="QCQ507" s="325"/>
      <c r="QCR507" s="325"/>
      <c r="QCS507" s="325"/>
      <c r="QCT507" s="325"/>
      <c r="QCU507" s="325"/>
      <c r="QCV507" s="325"/>
      <c r="QCW507" s="325"/>
      <c r="QCX507" s="325"/>
      <c r="QCY507" s="325"/>
      <c r="QCZ507" s="325"/>
      <c r="QDA507" s="325"/>
      <c r="QDB507" s="325"/>
      <c r="QDC507" s="325"/>
      <c r="QDD507" s="325"/>
      <c r="QDE507" s="325"/>
      <c r="QDF507" s="325"/>
      <c r="QDG507" s="325"/>
      <c r="QDH507" s="325"/>
      <c r="QDI507" s="325"/>
      <c r="QDJ507" s="325"/>
      <c r="QDK507" s="325"/>
      <c r="QDL507" s="325"/>
      <c r="QDM507" s="325"/>
      <c r="QDN507" s="325"/>
      <c r="QDO507" s="327"/>
      <c r="QDP507" s="28"/>
      <c r="QDQ507" s="324"/>
      <c r="QDR507" s="324"/>
      <c r="QDS507" s="324"/>
      <c r="QDT507" s="324"/>
      <c r="QDU507" s="324"/>
      <c r="QDV507" s="324"/>
      <c r="QDW507" s="256"/>
      <c r="QDX507" s="325"/>
      <c r="QDY507" s="311"/>
      <c r="QDZ507" s="325"/>
      <c r="QEA507" s="310"/>
      <c r="QEB507" s="325"/>
      <c r="QEC507" s="325"/>
      <c r="QED507" s="325"/>
      <c r="QEE507" s="325"/>
      <c r="QEF507" s="325"/>
      <c r="QEG507" s="325"/>
      <c r="QEH507" s="325"/>
      <c r="QEI507" s="325"/>
      <c r="QEJ507" s="325"/>
      <c r="QEK507" s="325"/>
      <c r="QEL507" s="325"/>
      <c r="QEM507" s="325"/>
      <c r="QEN507" s="325"/>
      <c r="QEO507" s="325"/>
      <c r="QEP507" s="325"/>
      <c r="QEQ507" s="325"/>
      <c r="QER507" s="325"/>
      <c r="QES507" s="325"/>
      <c r="QET507" s="325"/>
      <c r="QEU507" s="325"/>
      <c r="QEV507" s="325"/>
      <c r="QEW507" s="325"/>
      <c r="QEX507" s="325"/>
      <c r="QEY507" s="325"/>
      <c r="QEZ507" s="325"/>
      <c r="QFA507" s="325"/>
      <c r="QFB507" s="325"/>
      <c r="QFC507" s="325"/>
      <c r="QFD507" s="325"/>
      <c r="QFE507" s="325"/>
      <c r="QFF507" s="327"/>
      <c r="QFG507" s="28"/>
      <c r="QFH507" s="324"/>
      <c r="QFI507" s="324"/>
      <c r="QFJ507" s="324"/>
      <c r="QFK507" s="324"/>
      <c r="QFL507" s="324"/>
      <c r="QFM507" s="324"/>
      <c r="QFN507" s="256"/>
      <c r="QFO507" s="325"/>
      <c r="QFP507" s="311"/>
      <c r="QFQ507" s="325"/>
      <c r="QFR507" s="310"/>
      <c r="QFS507" s="325"/>
      <c r="QFT507" s="325"/>
      <c r="QFU507" s="325"/>
      <c r="QFV507" s="325"/>
      <c r="QFW507" s="325"/>
      <c r="QFX507" s="325"/>
      <c r="QFY507" s="325"/>
      <c r="QFZ507" s="325"/>
      <c r="QGA507" s="325"/>
      <c r="QGB507" s="325"/>
      <c r="QGC507" s="325"/>
      <c r="QGD507" s="325"/>
      <c r="QGE507" s="325"/>
      <c r="QGF507" s="325"/>
      <c r="QGG507" s="325"/>
      <c r="QGH507" s="325"/>
      <c r="QGI507" s="325"/>
      <c r="QGJ507" s="325"/>
      <c r="QGK507" s="325"/>
      <c r="QGL507" s="325"/>
      <c r="QGM507" s="325"/>
      <c r="QGN507" s="325"/>
      <c r="QGO507" s="325"/>
      <c r="QGP507" s="325"/>
      <c r="QGQ507" s="325"/>
      <c r="QGR507" s="325"/>
      <c r="QGS507" s="325"/>
      <c r="QGT507" s="325"/>
      <c r="QGU507" s="325"/>
      <c r="QGV507" s="325"/>
      <c r="QGW507" s="327"/>
      <c r="QGX507" s="28"/>
      <c r="QGY507" s="324"/>
      <c r="QGZ507" s="324"/>
      <c r="QHA507" s="324"/>
      <c r="QHB507" s="324"/>
      <c r="QHC507" s="324"/>
      <c r="QHD507" s="324"/>
      <c r="QHE507" s="256"/>
      <c r="QHF507" s="325"/>
      <c r="QHG507" s="311"/>
      <c r="QHH507" s="325"/>
      <c r="QHI507" s="310"/>
      <c r="QHJ507" s="325"/>
      <c r="QHK507" s="325"/>
      <c r="QHL507" s="325"/>
      <c r="QHM507" s="325"/>
      <c r="QHN507" s="325"/>
      <c r="QHO507" s="325"/>
      <c r="QHP507" s="325"/>
      <c r="QHQ507" s="325"/>
      <c r="QHR507" s="325"/>
      <c r="QHS507" s="325"/>
      <c r="QHT507" s="325"/>
      <c r="QHU507" s="325"/>
      <c r="QHV507" s="325"/>
      <c r="QHW507" s="325"/>
      <c r="QHX507" s="325"/>
      <c r="QHY507" s="325"/>
      <c r="QHZ507" s="325"/>
      <c r="QIA507" s="325"/>
      <c r="QIB507" s="325"/>
      <c r="QIC507" s="325"/>
      <c r="QID507" s="325"/>
      <c r="QIE507" s="325"/>
      <c r="QIF507" s="325"/>
      <c r="QIG507" s="325"/>
      <c r="QIH507" s="325"/>
      <c r="QII507" s="325"/>
      <c r="QIJ507" s="325"/>
      <c r="QIK507" s="325"/>
      <c r="QIL507" s="325"/>
      <c r="QIM507" s="325"/>
      <c r="QIN507" s="327"/>
      <c r="QIO507" s="28"/>
      <c r="QIP507" s="324"/>
      <c r="QIQ507" s="324"/>
      <c r="QIR507" s="324"/>
      <c r="QIS507" s="324"/>
      <c r="QIT507" s="324"/>
      <c r="QIU507" s="324"/>
      <c r="QIV507" s="256"/>
      <c r="QIW507" s="325"/>
      <c r="QIX507" s="311"/>
      <c r="QIY507" s="325"/>
      <c r="QIZ507" s="310"/>
      <c r="QJA507" s="325"/>
      <c r="QJB507" s="325"/>
      <c r="QJC507" s="325"/>
      <c r="QJD507" s="325"/>
      <c r="QJE507" s="325"/>
      <c r="QJF507" s="325"/>
      <c r="QJG507" s="325"/>
      <c r="QJH507" s="325"/>
      <c r="QJI507" s="325"/>
      <c r="QJJ507" s="325"/>
      <c r="QJK507" s="325"/>
      <c r="QJL507" s="325"/>
      <c r="QJM507" s="325"/>
      <c r="QJN507" s="325"/>
      <c r="QJO507" s="325"/>
      <c r="QJP507" s="325"/>
      <c r="QJQ507" s="325"/>
      <c r="QJR507" s="325"/>
      <c r="QJS507" s="325"/>
      <c r="QJT507" s="325"/>
      <c r="QJU507" s="325"/>
      <c r="QJV507" s="325"/>
      <c r="QJW507" s="325"/>
      <c r="QJX507" s="325"/>
      <c r="QJY507" s="325"/>
      <c r="QJZ507" s="325"/>
      <c r="QKA507" s="325"/>
      <c r="QKB507" s="325"/>
      <c r="QKC507" s="325"/>
      <c r="QKD507" s="325"/>
      <c r="QKE507" s="327"/>
      <c r="QKF507" s="28"/>
      <c r="QKG507" s="324"/>
      <c r="QKH507" s="324"/>
      <c r="QKI507" s="324"/>
      <c r="QKJ507" s="324"/>
      <c r="QKK507" s="324"/>
      <c r="QKL507" s="324"/>
      <c r="QKM507" s="256"/>
      <c r="QKN507" s="325"/>
      <c r="QKO507" s="311"/>
      <c r="QKP507" s="325"/>
      <c r="QKQ507" s="310"/>
      <c r="QKR507" s="325"/>
      <c r="QKS507" s="325"/>
      <c r="QKT507" s="325"/>
      <c r="QKU507" s="325"/>
      <c r="QKV507" s="325"/>
      <c r="QKW507" s="325"/>
      <c r="QKX507" s="325"/>
      <c r="QKY507" s="325"/>
      <c r="QKZ507" s="325"/>
      <c r="QLA507" s="325"/>
      <c r="QLB507" s="325"/>
      <c r="QLC507" s="325"/>
      <c r="QLD507" s="325"/>
      <c r="QLE507" s="325"/>
      <c r="QLF507" s="325"/>
      <c r="QLG507" s="325"/>
      <c r="QLH507" s="325"/>
      <c r="QLI507" s="325"/>
      <c r="QLJ507" s="325"/>
      <c r="QLK507" s="325"/>
      <c r="QLL507" s="325"/>
      <c r="QLM507" s="325"/>
      <c r="QLN507" s="325"/>
      <c r="QLO507" s="325"/>
      <c r="QLP507" s="325"/>
      <c r="QLQ507" s="325"/>
      <c r="QLR507" s="325"/>
      <c r="QLS507" s="325"/>
      <c r="QLT507" s="325"/>
      <c r="QLU507" s="325"/>
      <c r="QLV507" s="327"/>
      <c r="QLW507" s="28"/>
      <c r="QLX507" s="324"/>
      <c r="QLY507" s="324"/>
      <c r="QLZ507" s="324"/>
      <c r="QMA507" s="324"/>
      <c r="QMB507" s="324"/>
      <c r="QMC507" s="324"/>
      <c r="QMD507" s="256"/>
      <c r="QME507" s="325"/>
      <c r="QMF507" s="311"/>
      <c r="QMG507" s="325"/>
      <c r="QMH507" s="310"/>
      <c r="QMI507" s="325"/>
      <c r="QMJ507" s="325"/>
      <c r="QMK507" s="325"/>
      <c r="QML507" s="325"/>
      <c r="QMM507" s="325"/>
      <c r="QMN507" s="325"/>
      <c r="QMO507" s="325"/>
      <c r="QMP507" s="325"/>
      <c r="QMQ507" s="325"/>
      <c r="QMR507" s="325"/>
      <c r="QMS507" s="325"/>
      <c r="QMT507" s="325"/>
      <c r="QMU507" s="325"/>
      <c r="QMV507" s="325"/>
      <c r="QMW507" s="325"/>
      <c r="QMX507" s="325"/>
      <c r="QMY507" s="325"/>
      <c r="QMZ507" s="325"/>
      <c r="QNA507" s="325"/>
      <c r="QNB507" s="325"/>
      <c r="QNC507" s="325"/>
      <c r="QND507" s="325"/>
      <c r="QNE507" s="325"/>
      <c r="QNF507" s="325"/>
      <c r="QNG507" s="325"/>
      <c r="QNH507" s="325"/>
      <c r="QNI507" s="325"/>
      <c r="QNJ507" s="325"/>
      <c r="QNK507" s="325"/>
      <c r="QNL507" s="325"/>
      <c r="QNM507" s="327"/>
      <c r="QNN507" s="28"/>
      <c r="QNO507" s="324"/>
      <c r="QNP507" s="324"/>
      <c r="QNQ507" s="324"/>
      <c r="QNR507" s="324"/>
      <c r="QNS507" s="324"/>
      <c r="QNT507" s="324"/>
      <c r="QNU507" s="256"/>
      <c r="QNV507" s="325"/>
      <c r="QNW507" s="311"/>
      <c r="QNX507" s="325"/>
      <c r="QNY507" s="310"/>
      <c r="QNZ507" s="325"/>
      <c r="QOA507" s="325"/>
      <c r="QOB507" s="325"/>
      <c r="QOC507" s="325"/>
      <c r="QOD507" s="325"/>
      <c r="QOE507" s="325"/>
      <c r="QOF507" s="325"/>
      <c r="QOG507" s="325"/>
      <c r="QOH507" s="325"/>
      <c r="QOI507" s="325"/>
      <c r="QOJ507" s="325"/>
      <c r="QOK507" s="325"/>
      <c r="QOL507" s="325"/>
      <c r="QOM507" s="325"/>
      <c r="QON507" s="325"/>
      <c r="QOO507" s="325"/>
      <c r="QOP507" s="325"/>
      <c r="QOQ507" s="325"/>
      <c r="QOR507" s="325"/>
      <c r="QOS507" s="325"/>
      <c r="QOT507" s="325"/>
      <c r="QOU507" s="325"/>
      <c r="QOV507" s="325"/>
      <c r="QOW507" s="325"/>
      <c r="QOX507" s="325"/>
      <c r="QOY507" s="325"/>
      <c r="QOZ507" s="325"/>
      <c r="QPA507" s="325"/>
      <c r="QPB507" s="325"/>
      <c r="QPC507" s="325"/>
      <c r="QPD507" s="327"/>
      <c r="QPE507" s="28"/>
      <c r="QPF507" s="324"/>
      <c r="QPG507" s="324"/>
      <c r="QPH507" s="324"/>
      <c r="QPI507" s="324"/>
      <c r="QPJ507" s="324"/>
      <c r="QPK507" s="324"/>
      <c r="QPL507" s="256"/>
      <c r="QPM507" s="325"/>
      <c r="QPN507" s="311"/>
      <c r="QPO507" s="325"/>
      <c r="QPP507" s="310"/>
      <c r="QPQ507" s="325"/>
      <c r="QPR507" s="325"/>
      <c r="QPS507" s="325"/>
      <c r="QPT507" s="325"/>
      <c r="QPU507" s="325"/>
      <c r="QPV507" s="325"/>
      <c r="QPW507" s="325"/>
      <c r="QPX507" s="325"/>
      <c r="QPY507" s="325"/>
      <c r="QPZ507" s="325"/>
      <c r="QQA507" s="325"/>
      <c r="QQB507" s="325"/>
      <c r="QQC507" s="325"/>
      <c r="QQD507" s="325"/>
      <c r="QQE507" s="325"/>
      <c r="QQF507" s="325"/>
      <c r="QQG507" s="325"/>
      <c r="QQH507" s="325"/>
      <c r="QQI507" s="325"/>
      <c r="QQJ507" s="325"/>
      <c r="QQK507" s="325"/>
      <c r="QQL507" s="325"/>
      <c r="QQM507" s="325"/>
      <c r="QQN507" s="325"/>
      <c r="QQO507" s="325"/>
      <c r="QQP507" s="325"/>
      <c r="QQQ507" s="325"/>
      <c r="QQR507" s="325"/>
      <c r="QQS507" s="325"/>
      <c r="QQT507" s="325"/>
      <c r="QQU507" s="327"/>
      <c r="QQV507" s="28"/>
      <c r="QQW507" s="324"/>
      <c r="QQX507" s="324"/>
      <c r="QQY507" s="324"/>
      <c r="QQZ507" s="324"/>
      <c r="QRA507" s="324"/>
      <c r="QRB507" s="324"/>
      <c r="QRC507" s="256"/>
      <c r="QRD507" s="325"/>
      <c r="QRE507" s="311"/>
      <c r="QRF507" s="325"/>
      <c r="QRG507" s="310"/>
      <c r="QRH507" s="325"/>
      <c r="QRI507" s="325"/>
      <c r="QRJ507" s="325"/>
      <c r="QRK507" s="325"/>
      <c r="QRL507" s="325"/>
      <c r="QRM507" s="325"/>
      <c r="QRN507" s="325"/>
      <c r="QRO507" s="325"/>
      <c r="QRP507" s="325"/>
      <c r="QRQ507" s="325"/>
      <c r="QRR507" s="325"/>
      <c r="QRS507" s="325"/>
      <c r="QRT507" s="325"/>
      <c r="QRU507" s="325"/>
      <c r="QRV507" s="325"/>
      <c r="QRW507" s="325"/>
      <c r="QRX507" s="325"/>
      <c r="QRY507" s="325"/>
      <c r="QRZ507" s="325"/>
      <c r="QSA507" s="325"/>
      <c r="QSB507" s="325"/>
      <c r="QSC507" s="325"/>
      <c r="QSD507" s="325"/>
      <c r="QSE507" s="325"/>
      <c r="QSF507" s="325"/>
      <c r="QSG507" s="325"/>
      <c r="QSH507" s="325"/>
      <c r="QSI507" s="325"/>
      <c r="QSJ507" s="325"/>
      <c r="QSK507" s="325"/>
      <c r="QSL507" s="327"/>
      <c r="QSM507" s="28"/>
      <c r="QSN507" s="324"/>
      <c r="QSO507" s="324"/>
      <c r="QSP507" s="324"/>
      <c r="QSQ507" s="324"/>
      <c r="QSR507" s="324"/>
      <c r="QSS507" s="324"/>
      <c r="QST507" s="256"/>
      <c r="QSU507" s="325"/>
      <c r="QSV507" s="311"/>
      <c r="QSW507" s="325"/>
      <c r="QSX507" s="310"/>
      <c r="QSY507" s="325"/>
      <c r="QSZ507" s="325"/>
      <c r="QTA507" s="325"/>
      <c r="QTB507" s="325"/>
      <c r="QTC507" s="325"/>
      <c r="QTD507" s="325"/>
      <c r="QTE507" s="325"/>
      <c r="QTF507" s="325"/>
      <c r="QTG507" s="325"/>
      <c r="QTH507" s="325"/>
      <c r="QTI507" s="325"/>
      <c r="QTJ507" s="325"/>
      <c r="QTK507" s="325"/>
      <c r="QTL507" s="325"/>
      <c r="QTM507" s="325"/>
      <c r="QTN507" s="325"/>
      <c r="QTO507" s="325"/>
      <c r="QTP507" s="325"/>
      <c r="QTQ507" s="325"/>
      <c r="QTR507" s="325"/>
      <c r="QTS507" s="325"/>
      <c r="QTT507" s="325"/>
      <c r="QTU507" s="325"/>
      <c r="QTV507" s="325"/>
      <c r="QTW507" s="325"/>
      <c r="QTX507" s="325"/>
      <c r="QTY507" s="325"/>
      <c r="QTZ507" s="325"/>
      <c r="QUA507" s="325"/>
      <c r="QUB507" s="325"/>
      <c r="QUC507" s="327"/>
      <c r="QUD507" s="28"/>
      <c r="QUE507" s="324"/>
      <c r="QUF507" s="324"/>
      <c r="QUG507" s="324"/>
      <c r="QUH507" s="324"/>
      <c r="QUI507" s="324"/>
      <c r="QUJ507" s="324"/>
      <c r="QUK507" s="256"/>
      <c r="QUL507" s="325"/>
      <c r="QUM507" s="311"/>
      <c r="QUN507" s="325"/>
      <c r="QUO507" s="310"/>
      <c r="QUP507" s="325"/>
      <c r="QUQ507" s="325"/>
      <c r="QUR507" s="325"/>
      <c r="QUS507" s="325"/>
      <c r="QUT507" s="325"/>
      <c r="QUU507" s="325"/>
      <c r="QUV507" s="325"/>
      <c r="QUW507" s="325"/>
      <c r="QUX507" s="325"/>
      <c r="QUY507" s="325"/>
      <c r="QUZ507" s="325"/>
      <c r="QVA507" s="325"/>
      <c r="QVB507" s="325"/>
      <c r="QVC507" s="325"/>
      <c r="QVD507" s="325"/>
      <c r="QVE507" s="325"/>
      <c r="QVF507" s="325"/>
      <c r="QVG507" s="325"/>
      <c r="QVH507" s="325"/>
      <c r="QVI507" s="325"/>
      <c r="QVJ507" s="325"/>
      <c r="QVK507" s="325"/>
      <c r="QVL507" s="325"/>
      <c r="QVM507" s="325"/>
      <c r="QVN507" s="325"/>
      <c r="QVO507" s="325"/>
      <c r="QVP507" s="325"/>
      <c r="QVQ507" s="325"/>
      <c r="QVR507" s="325"/>
      <c r="QVS507" s="325"/>
      <c r="QVT507" s="327"/>
      <c r="QVU507" s="28"/>
      <c r="QVV507" s="324"/>
      <c r="QVW507" s="324"/>
      <c r="QVX507" s="324"/>
      <c r="QVY507" s="324"/>
      <c r="QVZ507" s="324"/>
      <c r="QWA507" s="324"/>
      <c r="QWB507" s="256"/>
      <c r="QWC507" s="325"/>
      <c r="QWD507" s="311"/>
      <c r="QWE507" s="325"/>
      <c r="QWF507" s="310"/>
      <c r="QWG507" s="325"/>
      <c r="QWH507" s="325"/>
      <c r="QWI507" s="325"/>
      <c r="QWJ507" s="325"/>
      <c r="QWK507" s="325"/>
      <c r="QWL507" s="325"/>
      <c r="QWM507" s="325"/>
      <c r="QWN507" s="325"/>
      <c r="QWO507" s="325"/>
      <c r="QWP507" s="325"/>
      <c r="QWQ507" s="325"/>
      <c r="QWR507" s="325"/>
      <c r="QWS507" s="325"/>
      <c r="QWT507" s="325"/>
      <c r="QWU507" s="325"/>
      <c r="QWV507" s="325"/>
      <c r="QWW507" s="325"/>
      <c r="QWX507" s="325"/>
      <c r="QWY507" s="325"/>
      <c r="QWZ507" s="325"/>
      <c r="QXA507" s="325"/>
      <c r="QXB507" s="325"/>
      <c r="QXC507" s="325"/>
      <c r="QXD507" s="325"/>
      <c r="QXE507" s="325"/>
      <c r="QXF507" s="325"/>
      <c r="QXG507" s="325"/>
      <c r="QXH507" s="325"/>
      <c r="QXI507" s="325"/>
      <c r="QXJ507" s="325"/>
      <c r="QXK507" s="327"/>
      <c r="QXL507" s="28"/>
      <c r="QXM507" s="324"/>
      <c r="QXN507" s="324"/>
      <c r="QXO507" s="324"/>
      <c r="QXP507" s="324"/>
      <c r="QXQ507" s="324"/>
      <c r="QXR507" s="324"/>
      <c r="QXS507" s="256"/>
      <c r="QXT507" s="325"/>
      <c r="QXU507" s="311"/>
      <c r="QXV507" s="325"/>
      <c r="QXW507" s="310"/>
      <c r="QXX507" s="325"/>
      <c r="QXY507" s="325"/>
      <c r="QXZ507" s="325"/>
      <c r="QYA507" s="325"/>
      <c r="QYB507" s="325"/>
      <c r="QYC507" s="325"/>
      <c r="QYD507" s="325"/>
      <c r="QYE507" s="325"/>
      <c r="QYF507" s="325"/>
      <c r="QYG507" s="325"/>
      <c r="QYH507" s="325"/>
      <c r="QYI507" s="325"/>
      <c r="QYJ507" s="325"/>
      <c r="QYK507" s="325"/>
      <c r="QYL507" s="325"/>
      <c r="QYM507" s="325"/>
      <c r="QYN507" s="325"/>
      <c r="QYO507" s="325"/>
      <c r="QYP507" s="325"/>
      <c r="QYQ507" s="325"/>
      <c r="QYR507" s="325"/>
      <c r="QYS507" s="325"/>
      <c r="QYT507" s="325"/>
      <c r="QYU507" s="325"/>
      <c r="QYV507" s="325"/>
      <c r="QYW507" s="325"/>
      <c r="QYX507" s="325"/>
      <c r="QYY507" s="325"/>
      <c r="QYZ507" s="325"/>
      <c r="QZA507" s="325"/>
      <c r="QZB507" s="327"/>
      <c r="QZC507" s="28"/>
      <c r="QZD507" s="324"/>
      <c r="QZE507" s="324"/>
      <c r="QZF507" s="324"/>
      <c r="QZG507" s="324"/>
      <c r="QZH507" s="324"/>
      <c r="QZI507" s="324"/>
      <c r="QZJ507" s="256"/>
      <c r="QZK507" s="325"/>
      <c r="QZL507" s="311"/>
      <c r="QZM507" s="325"/>
      <c r="QZN507" s="310"/>
      <c r="QZO507" s="325"/>
      <c r="QZP507" s="325"/>
      <c r="QZQ507" s="325"/>
      <c r="QZR507" s="325"/>
      <c r="QZS507" s="325"/>
      <c r="QZT507" s="325"/>
      <c r="QZU507" s="325"/>
      <c r="QZV507" s="325"/>
      <c r="QZW507" s="325"/>
      <c r="QZX507" s="325"/>
      <c r="QZY507" s="325"/>
      <c r="QZZ507" s="325"/>
      <c r="RAA507" s="325"/>
      <c r="RAB507" s="325"/>
      <c r="RAC507" s="325"/>
      <c r="RAD507" s="325"/>
      <c r="RAE507" s="325"/>
      <c r="RAF507" s="325"/>
      <c r="RAG507" s="325"/>
      <c r="RAH507" s="325"/>
      <c r="RAI507" s="325"/>
      <c r="RAJ507" s="325"/>
      <c r="RAK507" s="325"/>
      <c r="RAL507" s="325"/>
      <c r="RAM507" s="325"/>
      <c r="RAN507" s="325"/>
      <c r="RAO507" s="325"/>
      <c r="RAP507" s="325"/>
      <c r="RAQ507" s="325"/>
      <c r="RAR507" s="325"/>
      <c r="RAS507" s="327"/>
      <c r="RAT507" s="28"/>
      <c r="RAU507" s="324"/>
      <c r="RAV507" s="324"/>
      <c r="RAW507" s="324"/>
      <c r="RAX507" s="324"/>
      <c r="RAY507" s="324"/>
      <c r="RAZ507" s="324"/>
      <c r="RBA507" s="256"/>
      <c r="RBB507" s="325"/>
      <c r="RBC507" s="311"/>
      <c r="RBD507" s="325"/>
      <c r="RBE507" s="310"/>
      <c r="RBF507" s="325"/>
      <c r="RBG507" s="325"/>
      <c r="RBH507" s="325"/>
      <c r="RBI507" s="325"/>
      <c r="RBJ507" s="325"/>
      <c r="RBK507" s="325"/>
      <c r="RBL507" s="325"/>
      <c r="RBM507" s="325"/>
      <c r="RBN507" s="325"/>
      <c r="RBO507" s="325"/>
      <c r="RBP507" s="325"/>
      <c r="RBQ507" s="325"/>
      <c r="RBR507" s="325"/>
      <c r="RBS507" s="325"/>
      <c r="RBT507" s="325"/>
      <c r="RBU507" s="325"/>
      <c r="RBV507" s="325"/>
      <c r="RBW507" s="325"/>
      <c r="RBX507" s="325"/>
      <c r="RBY507" s="325"/>
      <c r="RBZ507" s="325"/>
      <c r="RCA507" s="325"/>
      <c r="RCB507" s="325"/>
      <c r="RCC507" s="325"/>
      <c r="RCD507" s="325"/>
      <c r="RCE507" s="325"/>
      <c r="RCF507" s="325"/>
      <c r="RCG507" s="325"/>
      <c r="RCH507" s="325"/>
      <c r="RCI507" s="325"/>
      <c r="RCJ507" s="327"/>
      <c r="RCK507" s="28"/>
      <c r="RCL507" s="324"/>
      <c r="RCM507" s="324"/>
      <c r="RCN507" s="324"/>
      <c r="RCO507" s="324"/>
      <c r="RCP507" s="324"/>
      <c r="RCQ507" s="324"/>
      <c r="RCR507" s="256"/>
      <c r="RCS507" s="325"/>
      <c r="RCT507" s="311"/>
      <c r="RCU507" s="325"/>
      <c r="RCV507" s="310"/>
      <c r="RCW507" s="325"/>
      <c r="RCX507" s="325"/>
      <c r="RCY507" s="325"/>
      <c r="RCZ507" s="325"/>
      <c r="RDA507" s="325"/>
      <c r="RDB507" s="325"/>
      <c r="RDC507" s="325"/>
      <c r="RDD507" s="325"/>
      <c r="RDE507" s="325"/>
      <c r="RDF507" s="325"/>
      <c r="RDG507" s="325"/>
      <c r="RDH507" s="325"/>
      <c r="RDI507" s="325"/>
      <c r="RDJ507" s="325"/>
      <c r="RDK507" s="325"/>
      <c r="RDL507" s="325"/>
      <c r="RDM507" s="325"/>
      <c r="RDN507" s="325"/>
      <c r="RDO507" s="325"/>
      <c r="RDP507" s="325"/>
      <c r="RDQ507" s="325"/>
      <c r="RDR507" s="325"/>
      <c r="RDS507" s="325"/>
      <c r="RDT507" s="325"/>
      <c r="RDU507" s="325"/>
      <c r="RDV507" s="325"/>
      <c r="RDW507" s="325"/>
      <c r="RDX507" s="325"/>
      <c r="RDY507" s="325"/>
      <c r="RDZ507" s="325"/>
      <c r="REA507" s="327"/>
      <c r="REB507" s="28"/>
      <c r="REC507" s="324"/>
      <c r="RED507" s="324"/>
      <c r="REE507" s="324"/>
      <c r="REF507" s="324"/>
      <c r="REG507" s="324"/>
      <c r="REH507" s="324"/>
      <c r="REI507" s="256"/>
      <c r="REJ507" s="325"/>
      <c r="REK507" s="311"/>
      <c r="REL507" s="325"/>
      <c r="REM507" s="310"/>
      <c r="REN507" s="325"/>
      <c r="REO507" s="325"/>
      <c r="REP507" s="325"/>
      <c r="REQ507" s="325"/>
      <c r="RER507" s="325"/>
      <c r="RES507" s="325"/>
      <c r="RET507" s="325"/>
      <c r="REU507" s="325"/>
      <c r="REV507" s="325"/>
      <c r="REW507" s="325"/>
      <c r="REX507" s="325"/>
      <c r="REY507" s="325"/>
      <c r="REZ507" s="325"/>
      <c r="RFA507" s="325"/>
      <c r="RFB507" s="325"/>
      <c r="RFC507" s="325"/>
      <c r="RFD507" s="325"/>
      <c r="RFE507" s="325"/>
      <c r="RFF507" s="325"/>
      <c r="RFG507" s="325"/>
      <c r="RFH507" s="325"/>
      <c r="RFI507" s="325"/>
      <c r="RFJ507" s="325"/>
      <c r="RFK507" s="325"/>
      <c r="RFL507" s="325"/>
      <c r="RFM507" s="325"/>
      <c r="RFN507" s="325"/>
      <c r="RFO507" s="325"/>
      <c r="RFP507" s="325"/>
      <c r="RFQ507" s="325"/>
      <c r="RFR507" s="327"/>
      <c r="RFS507" s="28"/>
      <c r="RFT507" s="324"/>
      <c r="RFU507" s="324"/>
      <c r="RFV507" s="324"/>
      <c r="RFW507" s="324"/>
      <c r="RFX507" s="324"/>
      <c r="RFY507" s="324"/>
      <c r="RFZ507" s="256"/>
      <c r="RGA507" s="325"/>
      <c r="RGB507" s="311"/>
      <c r="RGC507" s="325"/>
      <c r="RGD507" s="310"/>
      <c r="RGE507" s="325"/>
      <c r="RGF507" s="325"/>
      <c r="RGG507" s="325"/>
      <c r="RGH507" s="325"/>
      <c r="RGI507" s="325"/>
      <c r="RGJ507" s="325"/>
      <c r="RGK507" s="325"/>
      <c r="RGL507" s="325"/>
      <c r="RGM507" s="325"/>
      <c r="RGN507" s="325"/>
      <c r="RGO507" s="325"/>
      <c r="RGP507" s="325"/>
      <c r="RGQ507" s="325"/>
      <c r="RGR507" s="325"/>
      <c r="RGS507" s="325"/>
      <c r="RGT507" s="325"/>
      <c r="RGU507" s="325"/>
      <c r="RGV507" s="325"/>
      <c r="RGW507" s="325"/>
      <c r="RGX507" s="325"/>
      <c r="RGY507" s="325"/>
      <c r="RGZ507" s="325"/>
      <c r="RHA507" s="325"/>
      <c r="RHB507" s="325"/>
      <c r="RHC507" s="325"/>
      <c r="RHD507" s="325"/>
      <c r="RHE507" s="325"/>
      <c r="RHF507" s="325"/>
      <c r="RHG507" s="325"/>
      <c r="RHH507" s="325"/>
      <c r="RHI507" s="327"/>
      <c r="RHJ507" s="28"/>
      <c r="RHK507" s="324"/>
      <c r="RHL507" s="324"/>
      <c r="RHM507" s="324"/>
      <c r="RHN507" s="324"/>
      <c r="RHO507" s="324"/>
      <c r="RHP507" s="324"/>
      <c r="RHQ507" s="256"/>
      <c r="RHR507" s="325"/>
      <c r="RHS507" s="311"/>
      <c r="RHT507" s="325"/>
      <c r="RHU507" s="310"/>
      <c r="RHV507" s="325"/>
      <c r="RHW507" s="325"/>
      <c r="RHX507" s="325"/>
      <c r="RHY507" s="325"/>
      <c r="RHZ507" s="325"/>
      <c r="RIA507" s="325"/>
      <c r="RIB507" s="325"/>
      <c r="RIC507" s="325"/>
      <c r="RID507" s="325"/>
      <c r="RIE507" s="325"/>
      <c r="RIF507" s="325"/>
      <c r="RIG507" s="325"/>
      <c r="RIH507" s="325"/>
      <c r="RII507" s="325"/>
      <c r="RIJ507" s="325"/>
      <c r="RIK507" s="325"/>
      <c r="RIL507" s="325"/>
      <c r="RIM507" s="325"/>
      <c r="RIN507" s="325"/>
      <c r="RIO507" s="325"/>
      <c r="RIP507" s="325"/>
      <c r="RIQ507" s="325"/>
      <c r="RIR507" s="325"/>
      <c r="RIS507" s="325"/>
      <c r="RIT507" s="325"/>
      <c r="RIU507" s="325"/>
      <c r="RIV507" s="325"/>
      <c r="RIW507" s="325"/>
      <c r="RIX507" s="325"/>
      <c r="RIY507" s="325"/>
      <c r="RIZ507" s="327"/>
      <c r="RJA507" s="28"/>
      <c r="RJB507" s="324"/>
      <c r="RJC507" s="324"/>
      <c r="RJD507" s="324"/>
      <c r="RJE507" s="324"/>
      <c r="RJF507" s="324"/>
      <c r="RJG507" s="324"/>
      <c r="RJH507" s="256"/>
      <c r="RJI507" s="325"/>
      <c r="RJJ507" s="311"/>
      <c r="RJK507" s="325"/>
      <c r="RJL507" s="310"/>
      <c r="RJM507" s="325"/>
      <c r="RJN507" s="325"/>
      <c r="RJO507" s="325"/>
      <c r="RJP507" s="325"/>
      <c r="RJQ507" s="325"/>
      <c r="RJR507" s="325"/>
      <c r="RJS507" s="325"/>
      <c r="RJT507" s="325"/>
      <c r="RJU507" s="325"/>
      <c r="RJV507" s="325"/>
      <c r="RJW507" s="325"/>
      <c r="RJX507" s="325"/>
      <c r="RJY507" s="325"/>
      <c r="RJZ507" s="325"/>
      <c r="RKA507" s="325"/>
      <c r="RKB507" s="325"/>
      <c r="RKC507" s="325"/>
      <c r="RKD507" s="325"/>
      <c r="RKE507" s="325"/>
      <c r="RKF507" s="325"/>
      <c r="RKG507" s="325"/>
      <c r="RKH507" s="325"/>
      <c r="RKI507" s="325"/>
      <c r="RKJ507" s="325"/>
      <c r="RKK507" s="325"/>
      <c r="RKL507" s="325"/>
      <c r="RKM507" s="325"/>
      <c r="RKN507" s="325"/>
      <c r="RKO507" s="325"/>
      <c r="RKP507" s="325"/>
      <c r="RKQ507" s="327"/>
      <c r="RKR507" s="28"/>
      <c r="RKS507" s="324"/>
      <c r="RKT507" s="324"/>
      <c r="RKU507" s="324"/>
      <c r="RKV507" s="324"/>
      <c r="RKW507" s="324"/>
      <c r="RKX507" s="324"/>
      <c r="RKY507" s="256"/>
      <c r="RKZ507" s="325"/>
      <c r="RLA507" s="311"/>
      <c r="RLB507" s="325"/>
      <c r="RLC507" s="310"/>
      <c r="RLD507" s="325"/>
      <c r="RLE507" s="325"/>
      <c r="RLF507" s="325"/>
      <c r="RLG507" s="325"/>
      <c r="RLH507" s="325"/>
      <c r="RLI507" s="325"/>
      <c r="RLJ507" s="325"/>
      <c r="RLK507" s="325"/>
      <c r="RLL507" s="325"/>
      <c r="RLM507" s="325"/>
      <c r="RLN507" s="325"/>
      <c r="RLO507" s="325"/>
      <c r="RLP507" s="325"/>
      <c r="RLQ507" s="325"/>
      <c r="RLR507" s="325"/>
      <c r="RLS507" s="325"/>
      <c r="RLT507" s="325"/>
      <c r="RLU507" s="325"/>
      <c r="RLV507" s="325"/>
      <c r="RLW507" s="325"/>
      <c r="RLX507" s="325"/>
      <c r="RLY507" s="325"/>
      <c r="RLZ507" s="325"/>
      <c r="RMA507" s="325"/>
      <c r="RMB507" s="325"/>
      <c r="RMC507" s="325"/>
      <c r="RMD507" s="325"/>
      <c r="RME507" s="325"/>
      <c r="RMF507" s="325"/>
      <c r="RMG507" s="325"/>
      <c r="RMH507" s="327"/>
      <c r="RMI507" s="28"/>
      <c r="RMJ507" s="324"/>
      <c r="RMK507" s="324"/>
      <c r="RML507" s="324"/>
      <c r="RMM507" s="324"/>
      <c r="RMN507" s="324"/>
      <c r="RMO507" s="324"/>
      <c r="RMP507" s="256"/>
      <c r="RMQ507" s="325"/>
      <c r="RMR507" s="311"/>
      <c r="RMS507" s="325"/>
      <c r="RMT507" s="310"/>
      <c r="RMU507" s="325"/>
      <c r="RMV507" s="325"/>
      <c r="RMW507" s="325"/>
      <c r="RMX507" s="325"/>
      <c r="RMY507" s="325"/>
      <c r="RMZ507" s="325"/>
      <c r="RNA507" s="325"/>
      <c r="RNB507" s="325"/>
      <c r="RNC507" s="325"/>
      <c r="RND507" s="325"/>
      <c r="RNE507" s="325"/>
      <c r="RNF507" s="325"/>
      <c r="RNG507" s="325"/>
      <c r="RNH507" s="325"/>
      <c r="RNI507" s="325"/>
      <c r="RNJ507" s="325"/>
      <c r="RNK507" s="325"/>
      <c r="RNL507" s="325"/>
      <c r="RNM507" s="325"/>
      <c r="RNN507" s="325"/>
      <c r="RNO507" s="325"/>
      <c r="RNP507" s="325"/>
      <c r="RNQ507" s="325"/>
      <c r="RNR507" s="325"/>
      <c r="RNS507" s="325"/>
      <c r="RNT507" s="325"/>
      <c r="RNU507" s="325"/>
      <c r="RNV507" s="325"/>
      <c r="RNW507" s="325"/>
      <c r="RNX507" s="325"/>
      <c r="RNY507" s="327"/>
      <c r="RNZ507" s="28"/>
      <c r="ROA507" s="324"/>
      <c r="ROB507" s="324"/>
      <c r="ROC507" s="324"/>
      <c r="ROD507" s="324"/>
      <c r="ROE507" s="324"/>
      <c r="ROF507" s="324"/>
      <c r="ROG507" s="256"/>
      <c r="ROH507" s="325"/>
      <c r="ROI507" s="311"/>
      <c r="ROJ507" s="325"/>
      <c r="ROK507" s="310"/>
      <c r="ROL507" s="325"/>
      <c r="ROM507" s="325"/>
      <c r="RON507" s="325"/>
      <c r="ROO507" s="325"/>
      <c r="ROP507" s="325"/>
      <c r="ROQ507" s="325"/>
      <c r="ROR507" s="325"/>
      <c r="ROS507" s="325"/>
      <c r="ROT507" s="325"/>
      <c r="ROU507" s="325"/>
      <c r="ROV507" s="325"/>
      <c r="ROW507" s="325"/>
      <c r="ROX507" s="325"/>
      <c r="ROY507" s="325"/>
      <c r="ROZ507" s="325"/>
      <c r="RPA507" s="325"/>
      <c r="RPB507" s="325"/>
      <c r="RPC507" s="325"/>
      <c r="RPD507" s="325"/>
      <c r="RPE507" s="325"/>
      <c r="RPF507" s="325"/>
      <c r="RPG507" s="325"/>
      <c r="RPH507" s="325"/>
      <c r="RPI507" s="325"/>
      <c r="RPJ507" s="325"/>
      <c r="RPK507" s="325"/>
      <c r="RPL507" s="325"/>
      <c r="RPM507" s="325"/>
      <c r="RPN507" s="325"/>
      <c r="RPO507" s="325"/>
      <c r="RPP507" s="327"/>
      <c r="RPQ507" s="28"/>
      <c r="RPR507" s="324"/>
      <c r="RPS507" s="324"/>
      <c r="RPT507" s="324"/>
      <c r="RPU507" s="324"/>
      <c r="RPV507" s="324"/>
      <c r="RPW507" s="324"/>
      <c r="RPX507" s="256"/>
      <c r="RPY507" s="325"/>
      <c r="RPZ507" s="311"/>
      <c r="RQA507" s="325"/>
      <c r="RQB507" s="310"/>
      <c r="RQC507" s="325"/>
      <c r="RQD507" s="325"/>
      <c r="RQE507" s="325"/>
      <c r="RQF507" s="325"/>
      <c r="RQG507" s="325"/>
      <c r="RQH507" s="325"/>
      <c r="RQI507" s="325"/>
      <c r="RQJ507" s="325"/>
      <c r="RQK507" s="325"/>
      <c r="RQL507" s="325"/>
      <c r="RQM507" s="325"/>
      <c r="RQN507" s="325"/>
      <c r="RQO507" s="325"/>
      <c r="RQP507" s="325"/>
      <c r="RQQ507" s="325"/>
      <c r="RQR507" s="325"/>
      <c r="RQS507" s="325"/>
      <c r="RQT507" s="325"/>
      <c r="RQU507" s="325"/>
      <c r="RQV507" s="325"/>
      <c r="RQW507" s="325"/>
      <c r="RQX507" s="325"/>
      <c r="RQY507" s="325"/>
      <c r="RQZ507" s="325"/>
      <c r="RRA507" s="325"/>
      <c r="RRB507" s="325"/>
      <c r="RRC507" s="325"/>
      <c r="RRD507" s="325"/>
      <c r="RRE507" s="325"/>
      <c r="RRF507" s="325"/>
      <c r="RRG507" s="327"/>
      <c r="RRH507" s="28"/>
      <c r="RRI507" s="324"/>
      <c r="RRJ507" s="324"/>
      <c r="RRK507" s="324"/>
      <c r="RRL507" s="324"/>
      <c r="RRM507" s="324"/>
      <c r="RRN507" s="324"/>
      <c r="RRO507" s="256"/>
      <c r="RRP507" s="325"/>
      <c r="RRQ507" s="311"/>
      <c r="RRR507" s="325"/>
      <c r="RRS507" s="310"/>
      <c r="RRT507" s="325"/>
      <c r="RRU507" s="325"/>
      <c r="RRV507" s="325"/>
      <c r="RRW507" s="325"/>
      <c r="RRX507" s="325"/>
      <c r="RRY507" s="325"/>
      <c r="RRZ507" s="325"/>
      <c r="RSA507" s="325"/>
      <c r="RSB507" s="325"/>
      <c r="RSC507" s="325"/>
      <c r="RSD507" s="325"/>
      <c r="RSE507" s="325"/>
      <c r="RSF507" s="325"/>
      <c r="RSG507" s="325"/>
      <c r="RSH507" s="325"/>
      <c r="RSI507" s="325"/>
      <c r="RSJ507" s="325"/>
      <c r="RSK507" s="325"/>
      <c r="RSL507" s="325"/>
      <c r="RSM507" s="325"/>
      <c r="RSN507" s="325"/>
      <c r="RSO507" s="325"/>
      <c r="RSP507" s="325"/>
      <c r="RSQ507" s="325"/>
      <c r="RSR507" s="325"/>
      <c r="RSS507" s="325"/>
      <c r="RST507" s="325"/>
      <c r="RSU507" s="325"/>
      <c r="RSV507" s="325"/>
      <c r="RSW507" s="325"/>
      <c r="RSX507" s="327"/>
      <c r="RSY507" s="28"/>
      <c r="RSZ507" s="324"/>
      <c r="RTA507" s="324"/>
      <c r="RTB507" s="324"/>
      <c r="RTC507" s="324"/>
      <c r="RTD507" s="324"/>
      <c r="RTE507" s="324"/>
      <c r="RTF507" s="256"/>
      <c r="RTG507" s="325"/>
      <c r="RTH507" s="311"/>
      <c r="RTI507" s="325"/>
      <c r="RTJ507" s="310"/>
      <c r="RTK507" s="325"/>
      <c r="RTL507" s="325"/>
      <c r="RTM507" s="325"/>
      <c r="RTN507" s="325"/>
      <c r="RTO507" s="325"/>
      <c r="RTP507" s="325"/>
      <c r="RTQ507" s="325"/>
      <c r="RTR507" s="325"/>
      <c r="RTS507" s="325"/>
      <c r="RTT507" s="325"/>
      <c r="RTU507" s="325"/>
      <c r="RTV507" s="325"/>
      <c r="RTW507" s="325"/>
      <c r="RTX507" s="325"/>
      <c r="RTY507" s="325"/>
      <c r="RTZ507" s="325"/>
      <c r="RUA507" s="325"/>
      <c r="RUB507" s="325"/>
      <c r="RUC507" s="325"/>
      <c r="RUD507" s="325"/>
      <c r="RUE507" s="325"/>
      <c r="RUF507" s="325"/>
      <c r="RUG507" s="325"/>
      <c r="RUH507" s="325"/>
      <c r="RUI507" s="325"/>
      <c r="RUJ507" s="325"/>
      <c r="RUK507" s="325"/>
      <c r="RUL507" s="325"/>
      <c r="RUM507" s="325"/>
      <c r="RUN507" s="325"/>
      <c r="RUO507" s="327"/>
      <c r="RUP507" s="28"/>
      <c r="RUQ507" s="324"/>
      <c r="RUR507" s="324"/>
      <c r="RUS507" s="324"/>
      <c r="RUT507" s="324"/>
      <c r="RUU507" s="324"/>
      <c r="RUV507" s="324"/>
      <c r="RUW507" s="256"/>
      <c r="RUX507" s="325"/>
      <c r="RUY507" s="311"/>
      <c r="RUZ507" s="325"/>
      <c r="RVA507" s="310"/>
      <c r="RVB507" s="325"/>
      <c r="RVC507" s="325"/>
      <c r="RVD507" s="325"/>
      <c r="RVE507" s="325"/>
      <c r="RVF507" s="325"/>
      <c r="RVG507" s="325"/>
      <c r="RVH507" s="325"/>
      <c r="RVI507" s="325"/>
      <c r="RVJ507" s="325"/>
      <c r="RVK507" s="325"/>
      <c r="RVL507" s="325"/>
      <c r="RVM507" s="325"/>
      <c r="RVN507" s="325"/>
      <c r="RVO507" s="325"/>
      <c r="RVP507" s="325"/>
      <c r="RVQ507" s="325"/>
      <c r="RVR507" s="325"/>
      <c r="RVS507" s="325"/>
      <c r="RVT507" s="325"/>
      <c r="RVU507" s="325"/>
      <c r="RVV507" s="325"/>
      <c r="RVW507" s="325"/>
      <c r="RVX507" s="325"/>
      <c r="RVY507" s="325"/>
      <c r="RVZ507" s="325"/>
      <c r="RWA507" s="325"/>
      <c r="RWB507" s="325"/>
      <c r="RWC507" s="325"/>
      <c r="RWD507" s="325"/>
      <c r="RWE507" s="325"/>
      <c r="RWF507" s="327"/>
      <c r="RWG507" s="28"/>
      <c r="RWH507" s="324"/>
      <c r="RWI507" s="324"/>
      <c r="RWJ507" s="324"/>
      <c r="RWK507" s="324"/>
      <c r="RWL507" s="324"/>
      <c r="RWM507" s="324"/>
      <c r="RWN507" s="256"/>
      <c r="RWO507" s="325"/>
      <c r="RWP507" s="311"/>
      <c r="RWQ507" s="325"/>
      <c r="RWR507" s="310"/>
      <c r="RWS507" s="325"/>
      <c r="RWT507" s="325"/>
      <c r="RWU507" s="325"/>
      <c r="RWV507" s="325"/>
      <c r="RWW507" s="325"/>
      <c r="RWX507" s="325"/>
      <c r="RWY507" s="325"/>
      <c r="RWZ507" s="325"/>
      <c r="RXA507" s="325"/>
      <c r="RXB507" s="325"/>
      <c r="RXC507" s="325"/>
      <c r="RXD507" s="325"/>
      <c r="RXE507" s="325"/>
      <c r="RXF507" s="325"/>
      <c r="RXG507" s="325"/>
      <c r="RXH507" s="325"/>
      <c r="RXI507" s="325"/>
      <c r="RXJ507" s="325"/>
      <c r="RXK507" s="325"/>
      <c r="RXL507" s="325"/>
      <c r="RXM507" s="325"/>
      <c r="RXN507" s="325"/>
      <c r="RXO507" s="325"/>
      <c r="RXP507" s="325"/>
      <c r="RXQ507" s="325"/>
      <c r="RXR507" s="325"/>
      <c r="RXS507" s="325"/>
      <c r="RXT507" s="325"/>
      <c r="RXU507" s="325"/>
      <c r="RXV507" s="325"/>
      <c r="RXW507" s="327"/>
      <c r="RXX507" s="28"/>
      <c r="RXY507" s="324"/>
      <c r="RXZ507" s="324"/>
      <c r="RYA507" s="324"/>
      <c r="RYB507" s="324"/>
      <c r="RYC507" s="324"/>
      <c r="RYD507" s="324"/>
      <c r="RYE507" s="256"/>
      <c r="RYF507" s="325"/>
      <c r="RYG507" s="311"/>
      <c r="RYH507" s="325"/>
      <c r="RYI507" s="310"/>
      <c r="RYJ507" s="325"/>
      <c r="RYK507" s="325"/>
      <c r="RYL507" s="325"/>
      <c r="RYM507" s="325"/>
      <c r="RYN507" s="325"/>
      <c r="RYO507" s="325"/>
      <c r="RYP507" s="325"/>
      <c r="RYQ507" s="325"/>
      <c r="RYR507" s="325"/>
      <c r="RYS507" s="325"/>
      <c r="RYT507" s="325"/>
      <c r="RYU507" s="325"/>
      <c r="RYV507" s="325"/>
      <c r="RYW507" s="325"/>
      <c r="RYX507" s="325"/>
      <c r="RYY507" s="325"/>
      <c r="RYZ507" s="325"/>
      <c r="RZA507" s="325"/>
      <c r="RZB507" s="325"/>
      <c r="RZC507" s="325"/>
      <c r="RZD507" s="325"/>
      <c r="RZE507" s="325"/>
      <c r="RZF507" s="325"/>
      <c r="RZG507" s="325"/>
      <c r="RZH507" s="325"/>
      <c r="RZI507" s="325"/>
      <c r="RZJ507" s="325"/>
      <c r="RZK507" s="325"/>
      <c r="RZL507" s="325"/>
      <c r="RZM507" s="325"/>
      <c r="RZN507" s="327"/>
      <c r="RZO507" s="28"/>
      <c r="RZP507" s="324"/>
      <c r="RZQ507" s="324"/>
      <c r="RZR507" s="324"/>
      <c r="RZS507" s="324"/>
      <c r="RZT507" s="324"/>
      <c r="RZU507" s="324"/>
      <c r="RZV507" s="256"/>
      <c r="RZW507" s="325"/>
      <c r="RZX507" s="311"/>
      <c r="RZY507" s="325"/>
      <c r="RZZ507" s="310"/>
      <c r="SAA507" s="325"/>
      <c r="SAB507" s="325"/>
      <c r="SAC507" s="325"/>
      <c r="SAD507" s="325"/>
      <c r="SAE507" s="325"/>
      <c r="SAF507" s="325"/>
      <c r="SAG507" s="325"/>
      <c r="SAH507" s="325"/>
      <c r="SAI507" s="325"/>
      <c r="SAJ507" s="325"/>
      <c r="SAK507" s="325"/>
      <c r="SAL507" s="325"/>
      <c r="SAM507" s="325"/>
      <c r="SAN507" s="325"/>
      <c r="SAO507" s="325"/>
      <c r="SAP507" s="325"/>
      <c r="SAQ507" s="325"/>
      <c r="SAR507" s="325"/>
      <c r="SAS507" s="325"/>
      <c r="SAT507" s="325"/>
      <c r="SAU507" s="325"/>
      <c r="SAV507" s="325"/>
      <c r="SAW507" s="325"/>
      <c r="SAX507" s="325"/>
      <c r="SAY507" s="325"/>
      <c r="SAZ507" s="325"/>
      <c r="SBA507" s="325"/>
      <c r="SBB507" s="325"/>
      <c r="SBC507" s="325"/>
      <c r="SBD507" s="325"/>
      <c r="SBE507" s="327"/>
      <c r="SBF507" s="28"/>
      <c r="SBG507" s="324"/>
      <c r="SBH507" s="324"/>
      <c r="SBI507" s="324"/>
      <c r="SBJ507" s="324"/>
      <c r="SBK507" s="324"/>
      <c r="SBL507" s="324"/>
      <c r="SBM507" s="256"/>
      <c r="SBN507" s="325"/>
      <c r="SBO507" s="311"/>
      <c r="SBP507" s="325"/>
      <c r="SBQ507" s="310"/>
      <c r="SBR507" s="325"/>
      <c r="SBS507" s="325"/>
      <c r="SBT507" s="325"/>
      <c r="SBU507" s="325"/>
      <c r="SBV507" s="325"/>
      <c r="SBW507" s="325"/>
      <c r="SBX507" s="325"/>
      <c r="SBY507" s="325"/>
      <c r="SBZ507" s="325"/>
      <c r="SCA507" s="325"/>
      <c r="SCB507" s="325"/>
      <c r="SCC507" s="325"/>
      <c r="SCD507" s="325"/>
      <c r="SCE507" s="325"/>
      <c r="SCF507" s="325"/>
      <c r="SCG507" s="325"/>
      <c r="SCH507" s="325"/>
      <c r="SCI507" s="325"/>
      <c r="SCJ507" s="325"/>
      <c r="SCK507" s="325"/>
      <c r="SCL507" s="325"/>
      <c r="SCM507" s="325"/>
      <c r="SCN507" s="325"/>
      <c r="SCO507" s="325"/>
      <c r="SCP507" s="325"/>
      <c r="SCQ507" s="325"/>
      <c r="SCR507" s="325"/>
      <c r="SCS507" s="325"/>
      <c r="SCT507" s="325"/>
      <c r="SCU507" s="325"/>
      <c r="SCV507" s="327"/>
      <c r="SCW507" s="28"/>
      <c r="SCX507" s="324"/>
      <c r="SCY507" s="324"/>
      <c r="SCZ507" s="324"/>
      <c r="SDA507" s="324"/>
      <c r="SDB507" s="324"/>
      <c r="SDC507" s="324"/>
      <c r="SDD507" s="256"/>
      <c r="SDE507" s="325"/>
      <c r="SDF507" s="311"/>
      <c r="SDG507" s="325"/>
      <c r="SDH507" s="310"/>
      <c r="SDI507" s="325"/>
      <c r="SDJ507" s="325"/>
      <c r="SDK507" s="325"/>
      <c r="SDL507" s="325"/>
      <c r="SDM507" s="325"/>
      <c r="SDN507" s="325"/>
      <c r="SDO507" s="325"/>
      <c r="SDP507" s="325"/>
      <c r="SDQ507" s="325"/>
      <c r="SDR507" s="325"/>
      <c r="SDS507" s="325"/>
      <c r="SDT507" s="325"/>
      <c r="SDU507" s="325"/>
      <c r="SDV507" s="325"/>
      <c r="SDW507" s="325"/>
      <c r="SDX507" s="325"/>
      <c r="SDY507" s="325"/>
      <c r="SDZ507" s="325"/>
      <c r="SEA507" s="325"/>
      <c r="SEB507" s="325"/>
      <c r="SEC507" s="325"/>
      <c r="SED507" s="325"/>
      <c r="SEE507" s="325"/>
      <c r="SEF507" s="325"/>
      <c r="SEG507" s="325"/>
      <c r="SEH507" s="325"/>
      <c r="SEI507" s="325"/>
      <c r="SEJ507" s="325"/>
      <c r="SEK507" s="325"/>
      <c r="SEL507" s="325"/>
      <c r="SEM507" s="327"/>
      <c r="SEN507" s="28"/>
      <c r="SEO507" s="324"/>
      <c r="SEP507" s="324"/>
      <c r="SEQ507" s="324"/>
      <c r="SER507" s="324"/>
      <c r="SES507" s="324"/>
      <c r="SET507" s="324"/>
      <c r="SEU507" s="256"/>
      <c r="SEV507" s="325"/>
      <c r="SEW507" s="311"/>
      <c r="SEX507" s="325"/>
      <c r="SEY507" s="310"/>
      <c r="SEZ507" s="325"/>
      <c r="SFA507" s="325"/>
      <c r="SFB507" s="325"/>
      <c r="SFC507" s="325"/>
      <c r="SFD507" s="325"/>
      <c r="SFE507" s="325"/>
      <c r="SFF507" s="325"/>
      <c r="SFG507" s="325"/>
      <c r="SFH507" s="325"/>
      <c r="SFI507" s="325"/>
      <c r="SFJ507" s="325"/>
      <c r="SFK507" s="325"/>
      <c r="SFL507" s="325"/>
      <c r="SFM507" s="325"/>
      <c r="SFN507" s="325"/>
      <c r="SFO507" s="325"/>
      <c r="SFP507" s="325"/>
      <c r="SFQ507" s="325"/>
      <c r="SFR507" s="325"/>
      <c r="SFS507" s="325"/>
      <c r="SFT507" s="325"/>
      <c r="SFU507" s="325"/>
      <c r="SFV507" s="325"/>
      <c r="SFW507" s="325"/>
      <c r="SFX507" s="325"/>
      <c r="SFY507" s="325"/>
      <c r="SFZ507" s="325"/>
      <c r="SGA507" s="325"/>
      <c r="SGB507" s="325"/>
      <c r="SGC507" s="325"/>
      <c r="SGD507" s="327"/>
      <c r="SGE507" s="28"/>
      <c r="SGF507" s="324"/>
      <c r="SGG507" s="324"/>
      <c r="SGH507" s="324"/>
      <c r="SGI507" s="324"/>
      <c r="SGJ507" s="324"/>
      <c r="SGK507" s="324"/>
      <c r="SGL507" s="256"/>
      <c r="SGM507" s="325"/>
      <c r="SGN507" s="311"/>
      <c r="SGO507" s="325"/>
      <c r="SGP507" s="310"/>
      <c r="SGQ507" s="325"/>
      <c r="SGR507" s="325"/>
      <c r="SGS507" s="325"/>
      <c r="SGT507" s="325"/>
      <c r="SGU507" s="325"/>
      <c r="SGV507" s="325"/>
      <c r="SGW507" s="325"/>
      <c r="SGX507" s="325"/>
      <c r="SGY507" s="325"/>
      <c r="SGZ507" s="325"/>
      <c r="SHA507" s="325"/>
      <c r="SHB507" s="325"/>
      <c r="SHC507" s="325"/>
      <c r="SHD507" s="325"/>
      <c r="SHE507" s="325"/>
      <c r="SHF507" s="325"/>
      <c r="SHG507" s="325"/>
      <c r="SHH507" s="325"/>
      <c r="SHI507" s="325"/>
      <c r="SHJ507" s="325"/>
      <c r="SHK507" s="325"/>
      <c r="SHL507" s="325"/>
      <c r="SHM507" s="325"/>
      <c r="SHN507" s="325"/>
      <c r="SHO507" s="325"/>
      <c r="SHP507" s="325"/>
      <c r="SHQ507" s="325"/>
      <c r="SHR507" s="325"/>
      <c r="SHS507" s="325"/>
      <c r="SHT507" s="325"/>
      <c r="SHU507" s="327"/>
      <c r="SHV507" s="28"/>
      <c r="SHW507" s="324"/>
      <c r="SHX507" s="324"/>
      <c r="SHY507" s="324"/>
      <c r="SHZ507" s="324"/>
      <c r="SIA507" s="324"/>
      <c r="SIB507" s="324"/>
      <c r="SIC507" s="256"/>
      <c r="SID507" s="325"/>
      <c r="SIE507" s="311"/>
      <c r="SIF507" s="325"/>
      <c r="SIG507" s="310"/>
      <c r="SIH507" s="325"/>
      <c r="SII507" s="325"/>
      <c r="SIJ507" s="325"/>
      <c r="SIK507" s="325"/>
      <c r="SIL507" s="325"/>
      <c r="SIM507" s="325"/>
      <c r="SIN507" s="325"/>
      <c r="SIO507" s="325"/>
      <c r="SIP507" s="325"/>
      <c r="SIQ507" s="325"/>
      <c r="SIR507" s="325"/>
      <c r="SIS507" s="325"/>
      <c r="SIT507" s="325"/>
      <c r="SIU507" s="325"/>
      <c r="SIV507" s="325"/>
      <c r="SIW507" s="325"/>
      <c r="SIX507" s="325"/>
      <c r="SIY507" s="325"/>
      <c r="SIZ507" s="325"/>
      <c r="SJA507" s="325"/>
      <c r="SJB507" s="325"/>
      <c r="SJC507" s="325"/>
      <c r="SJD507" s="325"/>
      <c r="SJE507" s="325"/>
      <c r="SJF507" s="325"/>
      <c r="SJG507" s="325"/>
      <c r="SJH507" s="325"/>
      <c r="SJI507" s="325"/>
      <c r="SJJ507" s="325"/>
      <c r="SJK507" s="325"/>
      <c r="SJL507" s="327"/>
      <c r="SJM507" s="28"/>
      <c r="SJN507" s="324"/>
      <c r="SJO507" s="324"/>
      <c r="SJP507" s="324"/>
      <c r="SJQ507" s="324"/>
      <c r="SJR507" s="324"/>
      <c r="SJS507" s="324"/>
      <c r="SJT507" s="256"/>
      <c r="SJU507" s="325"/>
      <c r="SJV507" s="311"/>
      <c r="SJW507" s="325"/>
      <c r="SJX507" s="310"/>
      <c r="SJY507" s="325"/>
      <c r="SJZ507" s="325"/>
      <c r="SKA507" s="325"/>
      <c r="SKB507" s="325"/>
      <c r="SKC507" s="325"/>
      <c r="SKD507" s="325"/>
      <c r="SKE507" s="325"/>
      <c r="SKF507" s="325"/>
      <c r="SKG507" s="325"/>
      <c r="SKH507" s="325"/>
      <c r="SKI507" s="325"/>
      <c r="SKJ507" s="325"/>
      <c r="SKK507" s="325"/>
      <c r="SKL507" s="325"/>
      <c r="SKM507" s="325"/>
      <c r="SKN507" s="325"/>
      <c r="SKO507" s="325"/>
      <c r="SKP507" s="325"/>
      <c r="SKQ507" s="325"/>
      <c r="SKR507" s="325"/>
      <c r="SKS507" s="325"/>
      <c r="SKT507" s="325"/>
      <c r="SKU507" s="325"/>
      <c r="SKV507" s="325"/>
      <c r="SKW507" s="325"/>
      <c r="SKX507" s="325"/>
      <c r="SKY507" s="325"/>
      <c r="SKZ507" s="325"/>
      <c r="SLA507" s="325"/>
      <c r="SLB507" s="325"/>
      <c r="SLC507" s="327"/>
      <c r="SLD507" s="28"/>
      <c r="SLE507" s="324"/>
      <c r="SLF507" s="324"/>
      <c r="SLG507" s="324"/>
      <c r="SLH507" s="324"/>
      <c r="SLI507" s="324"/>
      <c r="SLJ507" s="324"/>
      <c r="SLK507" s="256"/>
      <c r="SLL507" s="325"/>
      <c r="SLM507" s="311"/>
      <c r="SLN507" s="325"/>
      <c r="SLO507" s="310"/>
      <c r="SLP507" s="325"/>
      <c r="SLQ507" s="325"/>
      <c r="SLR507" s="325"/>
      <c r="SLS507" s="325"/>
      <c r="SLT507" s="325"/>
      <c r="SLU507" s="325"/>
      <c r="SLV507" s="325"/>
      <c r="SLW507" s="325"/>
      <c r="SLX507" s="325"/>
      <c r="SLY507" s="325"/>
      <c r="SLZ507" s="325"/>
      <c r="SMA507" s="325"/>
      <c r="SMB507" s="325"/>
      <c r="SMC507" s="325"/>
      <c r="SMD507" s="325"/>
      <c r="SME507" s="325"/>
      <c r="SMF507" s="325"/>
      <c r="SMG507" s="325"/>
      <c r="SMH507" s="325"/>
      <c r="SMI507" s="325"/>
      <c r="SMJ507" s="325"/>
      <c r="SMK507" s="325"/>
      <c r="SML507" s="325"/>
      <c r="SMM507" s="325"/>
      <c r="SMN507" s="325"/>
      <c r="SMO507" s="325"/>
      <c r="SMP507" s="325"/>
      <c r="SMQ507" s="325"/>
      <c r="SMR507" s="325"/>
      <c r="SMS507" s="325"/>
      <c r="SMT507" s="327"/>
      <c r="SMU507" s="28"/>
      <c r="SMV507" s="324"/>
      <c r="SMW507" s="324"/>
      <c r="SMX507" s="324"/>
      <c r="SMY507" s="324"/>
      <c r="SMZ507" s="324"/>
      <c r="SNA507" s="324"/>
      <c r="SNB507" s="256"/>
      <c r="SNC507" s="325"/>
      <c r="SND507" s="311"/>
      <c r="SNE507" s="325"/>
      <c r="SNF507" s="310"/>
      <c r="SNG507" s="325"/>
      <c r="SNH507" s="325"/>
      <c r="SNI507" s="325"/>
      <c r="SNJ507" s="325"/>
      <c r="SNK507" s="325"/>
      <c r="SNL507" s="325"/>
      <c r="SNM507" s="325"/>
      <c r="SNN507" s="325"/>
      <c r="SNO507" s="325"/>
      <c r="SNP507" s="325"/>
      <c r="SNQ507" s="325"/>
      <c r="SNR507" s="325"/>
      <c r="SNS507" s="325"/>
      <c r="SNT507" s="325"/>
      <c r="SNU507" s="325"/>
      <c r="SNV507" s="325"/>
      <c r="SNW507" s="325"/>
      <c r="SNX507" s="325"/>
      <c r="SNY507" s="325"/>
      <c r="SNZ507" s="325"/>
      <c r="SOA507" s="325"/>
      <c r="SOB507" s="325"/>
      <c r="SOC507" s="325"/>
      <c r="SOD507" s="325"/>
      <c r="SOE507" s="325"/>
      <c r="SOF507" s="325"/>
      <c r="SOG507" s="325"/>
      <c r="SOH507" s="325"/>
      <c r="SOI507" s="325"/>
      <c r="SOJ507" s="325"/>
      <c r="SOK507" s="327"/>
      <c r="SOL507" s="28"/>
      <c r="SOM507" s="324"/>
      <c r="SON507" s="324"/>
      <c r="SOO507" s="324"/>
      <c r="SOP507" s="324"/>
      <c r="SOQ507" s="324"/>
      <c r="SOR507" s="324"/>
      <c r="SOS507" s="256"/>
      <c r="SOT507" s="325"/>
      <c r="SOU507" s="311"/>
      <c r="SOV507" s="325"/>
      <c r="SOW507" s="310"/>
      <c r="SOX507" s="325"/>
      <c r="SOY507" s="325"/>
      <c r="SOZ507" s="325"/>
      <c r="SPA507" s="325"/>
      <c r="SPB507" s="325"/>
      <c r="SPC507" s="325"/>
      <c r="SPD507" s="325"/>
      <c r="SPE507" s="325"/>
      <c r="SPF507" s="325"/>
      <c r="SPG507" s="325"/>
      <c r="SPH507" s="325"/>
      <c r="SPI507" s="325"/>
      <c r="SPJ507" s="325"/>
      <c r="SPK507" s="325"/>
      <c r="SPL507" s="325"/>
      <c r="SPM507" s="325"/>
      <c r="SPN507" s="325"/>
      <c r="SPO507" s="325"/>
      <c r="SPP507" s="325"/>
      <c r="SPQ507" s="325"/>
      <c r="SPR507" s="325"/>
      <c r="SPS507" s="325"/>
      <c r="SPT507" s="325"/>
      <c r="SPU507" s="325"/>
      <c r="SPV507" s="325"/>
      <c r="SPW507" s="325"/>
      <c r="SPX507" s="325"/>
      <c r="SPY507" s="325"/>
      <c r="SPZ507" s="325"/>
      <c r="SQA507" s="325"/>
      <c r="SQB507" s="327"/>
      <c r="SQC507" s="28"/>
      <c r="SQD507" s="324"/>
      <c r="SQE507" s="324"/>
      <c r="SQF507" s="324"/>
      <c r="SQG507" s="324"/>
      <c r="SQH507" s="324"/>
      <c r="SQI507" s="324"/>
      <c r="SQJ507" s="256"/>
      <c r="SQK507" s="325"/>
      <c r="SQL507" s="311"/>
      <c r="SQM507" s="325"/>
      <c r="SQN507" s="310"/>
      <c r="SQO507" s="325"/>
      <c r="SQP507" s="325"/>
      <c r="SQQ507" s="325"/>
      <c r="SQR507" s="325"/>
      <c r="SQS507" s="325"/>
      <c r="SQT507" s="325"/>
      <c r="SQU507" s="325"/>
      <c r="SQV507" s="325"/>
      <c r="SQW507" s="325"/>
      <c r="SQX507" s="325"/>
      <c r="SQY507" s="325"/>
      <c r="SQZ507" s="325"/>
      <c r="SRA507" s="325"/>
      <c r="SRB507" s="325"/>
      <c r="SRC507" s="325"/>
      <c r="SRD507" s="325"/>
      <c r="SRE507" s="325"/>
      <c r="SRF507" s="325"/>
      <c r="SRG507" s="325"/>
      <c r="SRH507" s="325"/>
      <c r="SRI507" s="325"/>
      <c r="SRJ507" s="325"/>
      <c r="SRK507" s="325"/>
      <c r="SRL507" s="325"/>
      <c r="SRM507" s="325"/>
      <c r="SRN507" s="325"/>
      <c r="SRO507" s="325"/>
      <c r="SRP507" s="325"/>
      <c r="SRQ507" s="325"/>
      <c r="SRR507" s="325"/>
      <c r="SRS507" s="327"/>
      <c r="SRT507" s="28"/>
      <c r="SRU507" s="324"/>
      <c r="SRV507" s="324"/>
      <c r="SRW507" s="324"/>
      <c r="SRX507" s="324"/>
      <c r="SRY507" s="324"/>
      <c r="SRZ507" s="324"/>
      <c r="SSA507" s="256"/>
      <c r="SSB507" s="325"/>
      <c r="SSC507" s="311"/>
      <c r="SSD507" s="325"/>
      <c r="SSE507" s="310"/>
      <c r="SSF507" s="325"/>
      <c r="SSG507" s="325"/>
      <c r="SSH507" s="325"/>
      <c r="SSI507" s="325"/>
      <c r="SSJ507" s="325"/>
      <c r="SSK507" s="325"/>
      <c r="SSL507" s="325"/>
      <c r="SSM507" s="325"/>
      <c r="SSN507" s="325"/>
      <c r="SSO507" s="325"/>
      <c r="SSP507" s="325"/>
      <c r="SSQ507" s="325"/>
      <c r="SSR507" s="325"/>
      <c r="SSS507" s="325"/>
      <c r="SST507" s="325"/>
      <c r="SSU507" s="325"/>
      <c r="SSV507" s="325"/>
      <c r="SSW507" s="325"/>
      <c r="SSX507" s="325"/>
      <c r="SSY507" s="325"/>
      <c r="SSZ507" s="325"/>
      <c r="STA507" s="325"/>
      <c r="STB507" s="325"/>
      <c r="STC507" s="325"/>
      <c r="STD507" s="325"/>
      <c r="STE507" s="325"/>
      <c r="STF507" s="325"/>
      <c r="STG507" s="325"/>
      <c r="STH507" s="325"/>
      <c r="STI507" s="325"/>
      <c r="STJ507" s="327"/>
      <c r="STK507" s="28"/>
      <c r="STL507" s="324"/>
      <c r="STM507" s="324"/>
      <c r="STN507" s="324"/>
      <c r="STO507" s="324"/>
      <c r="STP507" s="324"/>
      <c r="STQ507" s="324"/>
      <c r="STR507" s="256"/>
      <c r="STS507" s="325"/>
      <c r="STT507" s="311"/>
      <c r="STU507" s="325"/>
      <c r="STV507" s="310"/>
      <c r="STW507" s="325"/>
      <c r="STX507" s="325"/>
      <c r="STY507" s="325"/>
      <c r="STZ507" s="325"/>
      <c r="SUA507" s="325"/>
      <c r="SUB507" s="325"/>
      <c r="SUC507" s="325"/>
      <c r="SUD507" s="325"/>
      <c r="SUE507" s="325"/>
      <c r="SUF507" s="325"/>
      <c r="SUG507" s="325"/>
      <c r="SUH507" s="325"/>
      <c r="SUI507" s="325"/>
      <c r="SUJ507" s="325"/>
      <c r="SUK507" s="325"/>
      <c r="SUL507" s="325"/>
      <c r="SUM507" s="325"/>
      <c r="SUN507" s="325"/>
      <c r="SUO507" s="325"/>
      <c r="SUP507" s="325"/>
      <c r="SUQ507" s="325"/>
      <c r="SUR507" s="325"/>
      <c r="SUS507" s="325"/>
      <c r="SUT507" s="325"/>
      <c r="SUU507" s="325"/>
      <c r="SUV507" s="325"/>
      <c r="SUW507" s="325"/>
      <c r="SUX507" s="325"/>
      <c r="SUY507" s="325"/>
      <c r="SUZ507" s="325"/>
      <c r="SVA507" s="327"/>
      <c r="SVB507" s="28"/>
      <c r="SVC507" s="324"/>
      <c r="SVD507" s="324"/>
      <c r="SVE507" s="324"/>
      <c r="SVF507" s="324"/>
      <c r="SVG507" s="324"/>
      <c r="SVH507" s="324"/>
      <c r="SVI507" s="256"/>
      <c r="SVJ507" s="325"/>
      <c r="SVK507" s="311"/>
      <c r="SVL507" s="325"/>
      <c r="SVM507" s="310"/>
      <c r="SVN507" s="325"/>
      <c r="SVO507" s="325"/>
      <c r="SVP507" s="325"/>
      <c r="SVQ507" s="325"/>
      <c r="SVR507" s="325"/>
      <c r="SVS507" s="325"/>
      <c r="SVT507" s="325"/>
      <c r="SVU507" s="325"/>
      <c r="SVV507" s="325"/>
      <c r="SVW507" s="325"/>
      <c r="SVX507" s="325"/>
      <c r="SVY507" s="325"/>
      <c r="SVZ507" s="325"/>
      <c r="SWA507" s="325"/>
      <c r="SWB507" s="325"/>
      <c r="SWC507" s="325"/>
      <c r="SWD507" s="325"/>
      <c r="SWE507" s="325"/>
      <c r="SWF507" s="325"/>
      <c r="SWG507" s="325"/>
      <c r="SWH507" s="325"/>
      <c r="SWI507" s="325"/>
      <c r="SWJ507" s="325"/>
      <c r="SWK507" s="325"/>
      <c r="SWL507" s="325"/>
      <c r="SWM507" s="325"/>
      <c r="SWN507" s="325"/>
      <c r="SWO507" s="325"/>
      <c r="SWP507" s="325"/>
      <c r="SWQ507" s="325"/>
      <c r="SWR507" s="327"/>
      <c r="SWS507" s="28"/>
      <c r="SWT507" s="324"/>
      <c r="SWU507" s="324"/>
      <c r="SWV507" s="324"/>
      <c r="SWW507" s="324"/>
      <c r="SWX507" s="324"/>
      <c r="SWY507" s="324"/>
      <c r="SWZ507" s="256"/>
      <c r="SXA507" s="325"/>
      <c r="SXB507" s="311"/>
      <c r="SXC507" s="325"/>
      <c r="SXD507" s="310"/>
      <c r="SXE507" s="325"/>
      <c r="SXF507" s="325"/>
      <c r="SXG507" s="325"/>
      <c r="SXH507" s="325"/>
      <c r="SXI507" s="325"/>
      <c r="SXJ507" s="325"/>
      <c r="SXK507" s="325"/>
      <c r="SXL507" s="325"/>
      <c r="SXM507" s="325"/>
      <c r="SXN507" s="325"/>
      <c r="SXO507" s="325"/>
      <c r="SXP507" s="325"/>
      <c r="SXQ507" s="325"/>
      <c r="SXR507" s="325"/>
      <c r="SXS507" s="325"/>
      <c r="SXT507" s="325"/>
      <c r="SXU507" s="325"/>
      <c r="SXV507" s="325"/>
      <c r="SXW507" s="325"/>
      <c r="SXX507" s="325"/>
      <c r="SXY507" s="325"/>
      <c r="SXZ507" s="325"/>
      <c r="SYA507" s="325"/>
      <c r="SYB507" s="325"/>
      <c r="SYC507" s="325"/>
      <c r="SYD507" s="325"/>
      <c r="SYE507" s="325"/>
      <c r="SYF507" s="325"/>
      <c r="SYG507" s="325"/>
      <c r="SYH507" s="325"/>
      <c r="SYI507" s="327"/>
      <c r="SYJ507" s="28"/>
      <c r="SYK507" s="324"/>
      <c r="SYL507" s="324"/>
      <c r="SYM507" s="324"/>
      <c r="SYN507" s="324"/>
      <c r="SYO507" s="324"/>
      <c r="SYP507" s="324"/>
      <c r="SYQ507" s="256"/>
      <c r="SYR507" s="325"/>
      <c r="SYS507" s="311"/>
      <c r="SYT507" s="325"/>
      <c r="SYU507" s="310"/>
      <c r="SYV507" s="325"/>
      <c r="SYW507" s="325"/>
      <c r="SYX507" s="325"/>
      <c r="SYY507" s="325"/>
      <c r="SYZ507" s="325"/>
      <c r="SZA507" s="325"/>
      <c r="SZB507" s="325"/>
      <c r="SZC507" s="325"/>
      <c r="SZD507" s="325"/>
      <c r="SZE507" s="325"/>
      <c r="SZF507" s="325"/>
      <c r="SZG507" s="325"/>
      <c r="SZH507" s="325"/>
      <c r="SZI507" s="325"/>
      <c r="SZJ507" s="325"/>
      <c r="SZK507" s="325"/>
      <c r="SZL507" s="325"/>
      <c r="SZM507" s="325"/>
      <c r="SZN507" s="325"/>
      <c r="SZO507" s="325"/>
      <c r="SZP507" s="325"/>
      <c r="SZQ507" s="325"/>
      <c r="SZR507" s="325"/>
      <c r="SZS507" s="325"/>
      <c r="SZT507" s="325"/>
      <c r="SZU507" s="325"/>
      <c r="SZV507" s="325"/>
      <c r="SZW507" s="325"/>
      <c r="SZX507" s="325"/>
      <c r="SZY507" s="325"/>
      <c r="SZZ507" s="327"/>
      <c r="TAA507" s="28"/>
      <c r="TAB507" s="324"/>
      <c r="TAC507" s="324"/>
      <c r="TAD507" s="324"/>
      <c r="TAE507" s="324"/>
      <c r="TAF507" s="324"/>
      <c r="TAG507" s="324"/>
      <c r="TAH507" s="256"/>
      <c r="TAI507" s="325"/>
      <c r="TAJ507" s="311"/>
      <c r="TAK507" s="325"/>
      <c r="TAL507" s="310"/>
      <c r="TAM507" s="325"/>
      <c r="TAN507" s="325"/>
      <c r="TAO507" s="325"/>
      <c r="TAP507" s="325"/>
      <c r="TAQ507" s="325"/>
      <c r="TAR507" s="325"/>
      <c r="TAS507" s="325"/>
      <c r="TAT507" s="325"/>
      <c r="TAU507" s="325"/>
      <c r="TAV507" s="325"/>
      <c r="TAW507" s="325"/>
      <c r="TAX507" s="325"/>
      <c r="TAY507" s="325"/>
      <c r="TAZ507" s="325"/>
      <c r="TBA507" s="325"/>
      <c r="TBB507" s="325"/>
      <c r="TBC507" s="325"/>
      <c r="TBD507" s="325"/>
      <c r="TBE507" s="325"/>
      <c r="TBF507" s="325"/>
      <c r="TBG507" s="325"/>
      <c r="TBH507" s="325"/>
      <c r="TBI507" s="325"/>
      <c r="TBJ507" s="325"/>
      <c r="TBK507" s="325"/>
      <c r="TBL507" s="325"/>
      <c r="TBM507" s="325"/>
      <c r="TBN507" s="325"/>
      <c r="TBO507" s="325"/>
      <c r="TBP507" s="325"/>
      <c r="TBQ507" s="327"/>
      <c r="TBR507" s="28"/>
      <c r="TBS507" s="324"/>
      <c r="TBT507" s="324"/>
      <c r="TBU507" s="324"/>
      <c r="TBV507" s="324"/>
      <c r="TBW507" s="324"/>
      <c r="TBX507" s="324"/>
      <c r="TBY507" s="256"/>
      <c r="TBZ507" s="325"/>
      <c r="TCA507" s="311"/>
      <c r="TCB507" s="325"/>
      <c r="TCC507" s="310"/>
      <c r="TCD507" s="325"/>
      <c r="TCE507" s="325"/>
      <c r="TCF507" s="325"/>
      <c r="TCG507" s="325"/>
      <c r="TCH507" s="325"/>
      <c r="TCI507" s="325"/>
      <c r="TCJ507" s="325"/>
      <c r="TCK507" s="325"/>
      <c r="TCL507" s="325"/>
      <c r="TCM507" s="325"/>
      <c r="TCN507" s="325"/>
      <c r="TCO507" s="325"/>
      <c r="TCP507" s="325"/>
      <c r="TCQ507" s="325"/>
      <c r="TCR507" s="325"/>
      <c r="TCS507" s="325"/>
      <c r="TCT507" s="325"/>
      <c r="TCU507" s="325"/>
      <c r="TCV507" s="325"/>
      <c r="TCW507" s="325"/>
      <c r="TCX507" s="325"/>
      <c r="TCY507" s="325"/>
      <c r="TCZ507" s="325"/>
      <c r="TDA507" s="325"/>
      <c r="TDB507" s="325"/>
      <c r="TDC507" s="325"/>
      <c r="TDD507" s="325"/>
      <c r="TDE507" s="325"/>
      <c r="TDF507" s="325"/>
      <c r="TDG507" s="325"/>
      <c r="TDH507" s="327"/>
      <c r="TDI507" s="28"/>
      <c r="TDJ507" s="324"/>
      <c r="TDK507" s="324"/>
      <c r="TDL507" s="324"/>
      <c r="TDM507" s="324"/>
      <c r="TDN507" s="324"/>
      <c r="TDO507" s="324"/>
      <c r="TDP507" s="256"/>
      <c r="TDQ507" s="325"/>
      <c r="TDR507" s="311"/>
      <c r="TDS507" s="325"/>
      <c r="TDT507" s="310"/>
      <c r="TDU507" s="325"/>
      <c r="TDV507" s="325"/>
      <c r="TDW507" s="325"/>
      <c r="TDX507" s="325"/>
      <c r="TDY507" s="325"/>
      <c r="TDZ507" s="325"/>
      <c r="TEA507" s="325"/>
      <c r="TEB507" s="325"/>
      <c r="TEC507" s="325"/>
      <c r="TED507" s="325"/>
      <c r="TEE507" s="325"/>
      <c r="TEF507" s="325"/>
      <c r="TEG507" s="325"/>
      <c r="TEH507" s="325"/>
      <c r="TEI507" s="325"/>
      <c r="TEJ507" s="325"/>
      <c r="TEK507" s="325"/>
      <c r="TEL507" s="325"/>
      <c r="TEM507" s="325"/>
      <c r="TEN507" s="325"/>
      <c r="TEO507" s="325"/>
      <c r="TEP507" s="325"/>
      <c r="TEQ507" s="325"/>
      <c r="TER507" s="325"/>
      <c r="TES507" s="325"/>
      <c r="TET507" s="325"/>
      <c r="TEU507" s="325"/>
      <c r="TEV507" s="325"/>
      <c r="TEW507" s="325"/>
      <c r="TEX507" s="325"/>
      <c r="TEY507" s="327"/>
      <c r="TEZ507" s="28"/>
      <c r="TFA507" s="324"/>
      <c r="TFB507" s="324"/>
      <c r="TFC507" s="324"/>
      <c r="TFD507" s="324"/>
      <c r="TFE507" s="324"/>
      <c r="TFF507" s="324"/>
      <c r="TFG507" s="256"/>
      <c r="TFH507" s="325"/>
      <c r="TFI507" s="311"/>
      <c r="TFJ507" s="325"/>
      <c r="TFK507" s="310"/>
      <c r="TFL507" s="325"/>
      <c r="TFM507" s="325"/>
      <c r="TFN507" s="325"/>
      <c r="TFO507" s="325"/>
      <c r="TFP507" s="325"/>
      <c r="TFQ507" s="325"/>
      <c r="TFR507" s="325"/>
      <c r="TFS507" s="325"/>
      <c r="TFT507" s="325"/>
      <c r="TFU507" s="325"/>
      <c r="TFV507" s="325"/>
      <c r="TFW507" s="325"/>
      <c r="TFX507" s="325"/>
      <c r="TFY507" s="325"/>
      <c r="TFZ507" s="325"/>
      <c r="TGA507" s="325"/>
      <c r="TGB507" s="325"/>
      <c r="TGC507" s="325"/>
      <c r="TGD507" s="325"/>
      <c r="TGE507" s="325"/>
      <c r="TGF507" s="325"/>
      <c r="TGG507" s="325"/>
      <c r="TGH507" s="325"/>
      <c r="TGI507" s="325"/>
      <c r="TGJ507" s="325"/>
      <c r="TGK507" s="325"/>
      <c r="TGL507" s="325"/>
      <c r="TGM507" s="325"/>
      <c r="TGN507" s="325"/>
      <c r="TGO507" s="325"/>
      <c r="TGP507" s="327"/>
      <c r="TGQ507" s="28"/>
      <c r="TGR507" s="324"/>
      <c r="TGS507" s="324"/>
      <c r="TGT507" s="324"/>
      <c r="TGU507" s="324"/>
      <c r="TGV507" s="324"/>
      <c r="TGW507" s="324"/>
      <c r="TGX507" s="256"/>
      <c r="TGY507" s="325"/>
      <c r="TGZ507" s="311"/>
      <c r="THA507" s="325"/>
      <c r="THB507" s="310"/>
      <c r="THC507" s="325"/>
      <c r="THD507" s="325"/>
      <c r="THE507" s="325"/>
      <c r="THF507" s="325"/>
      <c r="THG507" s="325"/>
      <c r="THH507" s="325"/>
      <c r="THI507" s="325"/>
      <c r="THJ507" s="325"/>
      <c r="THK507" s="325"/>
      <c r="THL507" s="325"/>
      <c r="THM507" s="325"/>
      <c r="THN507" s="325"/>
      <c r="THO507" s="325"/>
      <c r="THP507" s="325"/>
      <c r="THQ507" s="325"/>
      <c r="THR507" s="325"/>
      <c r="THS507" s="325"/>
      <c r="THT507" s="325"/>
      <c r="THU507" s="325"/>
      <c r="THV507" s="325"/>
      <c r="THW507" s="325"/>
      <c r="THX507" s="325"/>
      <c r="THY507" s="325"/>
      <c r="THZ507" s="325"/>
      <c r="TIA507" s="325"/>
      <c r="TIB507" s="325"/>
      <c r="TIC507" s="325"/>
      <c r="TID507" s="325"/>
      <c r="TIE507" s="325"/>
      <c r="TIF507" s="325"/>
      <c r="TIG507" s="327"/>
      <c r="TIH507" s="28"/>
      <c r="TII507" s="324"/>
      <c r="TIJ507" s="324"/>
      <c r="TIK507" s="324"/>
      <c r="TIL507" s="324"/>
      <c r="TIM507" s="324"/>
      <c r="TIN507" s="324"/>
      <c r="TIO507" s="256"/>
      <c r="TIP507" s="325"/>
      <c r="TIQ507" s="311"/>
      <c r="TIR507" s="325"/>
      <c r="TIS507" s="310"/>
      <c r="TIT507" s="325"/>
      <c r="TIU507" s="325"/>
      <c r="TIV507" s="325"/>
      <c r="TIW507" s="325"/>
      <c r="TIX507" s="325"/>
      <c r="TIY507" s="325"/>
      <c r="TIZ507" s="325"/>
      <c r="TJA507" s="325"/>
      <c r="TJB507" s="325"/>
      <c r="TJC507" s="325"/>
      <c r="TJD507" s="325"/>
      <c r="TJE507" s="325"/>
      <c r="TJF507" s="325"/>
      <c r="TJG507" s="325"/>
      <c r="TJH507" s="325"/>
      <c r="TJI507" s="325"/>
      <c r="TJJ507" s="325"/>
      <c r="TJK507" s="325"/>
      <c r="TJL507" s="325"/>
      <c r="TJM507" s="325"/>
      <c r="TJN507" s="325"/>
      <c r="TJO507" s="325"/>
      <c r="TJP507" s="325"/>
      <c r="TJQ507" s="325"/>
      <c r="TJR507" s="325"/>
      <c r="TJS507" s="325"/>
      <c r="TJT507" s="325"/>
      <c r="TJU507" s="325"/>
      <c r="TJV507" s="325"/>
      <c r="TJW507" s="325"/>
      <c r="TJX507" s="327"/>
      <c r="TJY507" s="28"/>
      <c r="TJZ507" s="324"/>
      <c r="TKA507" s="324"/>
      <c r="TKB507" s="324"/>
      <c r="TKC507" s="324"/>
      <c r="TKD507" s="324"/>
      <c r="TKE507" s="324"/>
      <c r="TKF507" s="256"/>
      <c r="TKG507" s="325"/>
      <c r="TKH507" s="311"/>
      <c r="TKI507" s="325"/>
      <c r="TKJ507" s="310"/>
      <c r="TKK507" s="325"/>
      <c r="TKL507" s="325"/>
      <c r="TKM507" s="325"/>
      <c r="TKN507" s="325"/>
      <c r="TKO507" s="325"/>
      <c r="TKP507" s="325"/>
      <c r="TKQ507" s="325"/>
      <c r="TKR507" s="325"/>
      <c r="TKS507" s="325"/>
      <c r="TKT507" s="325"/>
      <c r="TKU507" s="325"/>
      <c r="TKV507" s="325"/>
      <c r="TKW507" s="325"/>
      <c r="TKX507" s="325"/>
      <c r="TKY507" s="325"/>
      <c r="TKZ507" s="325"/>
      <c r="TLA507" s="325"/>
      <c r="TLB507" s="325"/>
      <c r="TLC507" s="325"/>
      <c r="TLD507" s="325"/>
      <c r="TLE507" s="325"/>
      <c r="TLF507" s="325"/>
      <c r="TLG507" s="325"/>
      <c r="TLH507" s="325"/>
      <c r="TLI507" s="325"/>
      <c r="TLJ507" s="325"/>
      <c r="TLK507" s="325"/>
      <c r="TLL507" s="325"/>
      <c r="TLM507" s="325"/>
      <c r="TLN507" s="325"/>
      <c r="TLO507" s="327"/>
      <c r="TLP507" s="28"/>
      <c r="TLQ507" s="324"/>
      <c r="TLR507" s="324"/>
      <c r="TLS507" s="324"/>
      <c r="TLT507" s="324"/>
      <c r="TLU507" s="324"/>
      <c r="TLV507" s="324"/>
      <c r="TLW507" s="256"/>
      <c r="TLX507" s="325"/>
      <c r="TLY507" s="311"/>
      <c r="TLZ507" s="325"/>
      <c r="TMA507" s="310"/>
      <c r="TMB507" s="325"/>
      <c r="TMC507" s="325"/>
      <c r="TMD507" s="325"/>
      <c r="TME507" s="325"/>
      <c r="TMF507" s="325"/>
      <c r="TMG507" s="325"/>
      <c r="TMH507" s="325"/>
      <c r="TMI507" s="325"/>
      <c r="TMJ507" s="325"/>
      <c r="TMK507" s="325"/>
      <c r="TML507" s="325"/>
      <c r="TMM507" s="325"/>
      <c r="TMN507" s="325"/>
      <c r="TMO507" s="325"/>
      <c r="TMP507" s="325"/>
      <c r="TMQ507" s="325"/>
      <c r="TMR507" s="325"/>
      <c r="TMS507" s="325"/>
      <c r="TMT507" s="325"/>
      <c r="TMU507" s="325"/>
      <c r="TMV507" s="325"/>
      <c r="TMW507" s="325"/>
      <c r="TMX507" s="325"/>
      <c r="TMY507" s="325"/>
      <c r="TMZ507" s="325"/>
      <c r="TNA507" s="325"/>
      <c r="TNB507" s="325"/>
      <c r="TNC507" s="325"/>
      <c r="TND507" s="325"/>
      <c r="TNE507" s="325"/>
      <c r="TNF507" s="327"/>
      <c r="TNG507" s="28"/>
      <c r="TNH507" s="324"/>
      <c r="TNI507" s="324"/>
      <c r="TNJ507" s="324"/>
      <c r="TNK507" s="324"/>
      <c r="TNL507" s="324"/>
      <c r="TNM507" s="324"/>
      <c r="TNN507" s="256"/>
      <c r="TNO507" s="325"/>
      <c r="TNP507" s="311"/>
      <c r="TNQ507" s="325"/>
      <c r="TNR507" s="310"/>
      <c r="TNS507" s="325"/>
      <c r="TNT507" s="325"/>
      <c r="TNU507" s="325"/>
      <c r="TNV507" s="325"/>
      <c r="TNW507" s="325"/>
      <c r="TNX507" s="325"/>
      <c r="TNY507" s="325"/>
      <c r="TNZ507" s="325"/>
      <c r="TOA507" s="325"/>
      <c r="TOB507" s="325"/>
      <c r="TOC507" s="325"/>
      <c r="TOD507" s="325"/>
      <c r="TOE507" s="325"/>
      <c r="TOF507" s="325"/>
      <c r="TOG507" s="325"/>
      <c r="TOH507" s="325"/>
      <c r="TOI507" s="325"/>
      <c r="TOJ507" s="325"/>
      <c r="TOK507" s="325"/>
      <c r="TOL507" s="325"/>
      <c r="TOM507" s="325"/>
      <c r="TON507" s="325"/>
      <c r="TOO507" s="325"/>
      <c r="TOP507" s="325"/>
      <c r="TOQ507" s="325"/>
      <c r="TOR507" s="325"/>
      <c r="TOS507" s="325"/>
      <c r="TOT507" s="325"/>
      <c r="TOU507" s="325"/>
      <c r="TOV507" s="325"/>
      <c r="TOW507" s="327"/>
      <c r="TOX507" s="28"/>
      <c r="TOY507" s="324"/>
      <c r="TOZ507" s="324"/>
      <c r="TPA507" s="324"/>
      <c r="TPB507" s="324"/>
      <c r="TPC507" s="324"/>
      <c r="TPD507" s="324"/>
      <c r="TPE507" s="256"/>
      <c r="TPF507" s="325"/>
      <c r="TPG507" s="311"/>
      <c r="TPH507" s="325"/>
      <c r="TPI507" s="310"/>
      <c r="TPJ507" s="325"/>
      <c r="TPK507" s="325"/>
      <c r="TPL507" s="325"/>
      <c r="TPM507" s="325"/>
      <c r="TPN507" s="325"/>
      <c r="TPO507" s="325"/>
      <c r="TPP507" s="325"/>
      <c r="TPQ507" s="325"/>
      <c r="TPR507" s="325"/>
      <c r="TPS507" s="325"/>
      <c r="TPT507" s="325"/>
      <c r="TPU507" s="325"/>
      <c r="TPV507" s="325"/>
      <c r="TPW507" s="325"/>
      <c r="TPX507" s="325"/>
      <c r="TPY507" s="325"/>
      <c r="TPZ507" s="325"/>
      <c r="TQA507" s="325"/>
      <c r="TQB507" s="325"/>
      <c r="TQC507" s="325"/>
      <c r="TQD507" s="325"/>
      <c r="TQE507" s="325"/>
      <c r="TQF507" s="325"/>
      <c r="TQG507" s="325"/>
      <c r="TQH507" s="325"/>
      <c r="TQI507" s="325"/>
      <c r="TQJ507" s="325"/>
      <c r="TQK507" s="325"/>
      <c r="TQL507" s="325"/>
      <c r="TQM507" s="325"/>
      <c r="TQN507" s="327"/>
      <c r="TQO507" s="28"/>
      <c r="TQP507" s="324"/>
      <c r="TQQ507" s="324"/>
      <c r="TQR507" s="324"/>
      <c r="TQS507" s="324"/>
      <c r="TQT507" s="324"/>
      <c r="TQU507" s="324"/>
      <c r="TQV507" s="256"/>
      <c r="TQW507" s="325"/>
      <c r="TQX507" s="311"/>
      <c r="TQY507" s="325"/>
      <c r="TQZ507" s="310"/>
      <c r="TRA507" s="325"/>
      <c r="TRB507" s="325"/>
      <c r="TRC507" s="325"/>
      <c r="TRD507" s="325"/>
      <c r="TRE507" s="325"/>
      <c r="TRF507" s="325"/>
      <c r="TRG507" s="325"/>
      <c r="TRH507" s="325"/>
      <c r="TRI507" s="325"/>
      <c r="TRJ507" s="325"/>
      <c r="TRK507" s="325"/>
      <c r="TRL507" s="325"/>
      <c r="TRM507" s="325"/>
      <c r="TRN507" s="325"/>
      <c r="TRO507" s="325"/>
      <c r="TRP507" s="325"/>
      <c r="TRQ507" s="325"/>
      <c r="TRR507" s="325"/>
      <c r="TRS507" s="325"/>
      <c r="TRT507" s="325"/>
      <c r="TRU507" s="325"/>
      <c r="TRV507" s="325"/>
      <c r="TRW507" s="325"/>
      <c r="TRX507" s="325"/>
      <c r="TRY507" s="325"/>
      <c r="TRZ507" s="325"/>
      <c r="TSA507" s="325"/>
      <c r="TSB507" s="325"/>
      <c r="TSC507" s="325"/>
      <c r="TSD507" s="325"/>
      <c r="TSE507" s="327"/>
      <c r="TSF507" s="28"/>
      <c r="TSG507" s="324"/>
      <c r="TSH507" s="324"/>
      <c r="TSI507" s="324"/>
      <c r="TSJ507" s="324"/>
      <c r="TSK507" s="324"/>
      <c r="TSL507" s="324"/>
      <c r="TSM507" s="256"/>
      <c r="TSN507" s="325"/>
      <c r="TSO507" s="311"/>
      <c r="TSP507" s="325"/>
      <c r="TSQ507" s="310"/>
      <c r="TSR507" s="325"/>
      <c r="TSS507" s="325"/>
      <c r="TST507" s="325"/>
      <c r="TSU507" s="325"/>
      <c r="TSV507" s="325"/>
      <c r="TSW507" s="325"/>
      <c r="TSX507" s="325"/>
      <c r="TSY507" s="325"/>
      <c r="TSZ507" s="325"/>
      <c r="TTA507" s="325"/>
      <c r="TTB507" s="325"/>
      <c r="TTC507" s="325"/>
      <c r="TTD507" s="325"/>
      <c r="TTE507" s="325"/>
      <c r="TTF507" s="325"/>
      <c r="TTG507" s="325"/>
      <c r="TTH507" s="325"/>
      <c r="TTI507" s="325"/>
      <c r="TTJ507" s="325"/>
      <c r="TTK507" s="325"/>
      <c r="TTL507" s="325"/>
      <c r="TTM507" s="325"/>
      <c r="TTN507" s="325"/>
      <c r="TTO507" s="325"/>
      <c r="TTP507" s="325"/>
      <c r="TTQ507" s="325"/>
      <c r="TTR507" s="325"/>
      <c r="TTS507" s="325"/>
      <c r="TTT507" s="325"/>
      <c r="TTU507" s="325"/>
      <c r="TTV507" s="327"/>
      <c r="TTW507" s="28"/>
      <c r="TTX507" s="324"/>
      <c r="TTY507" s="324"/>
      <c r="TTZ507" s="324"/>
      <c r="TUA507" s="324"/>
      <c r="TUB507" s="324"/>
      <c r="TUC507" s="324"/>
      <c r="TUD507" s="256"/>
      <c r="TUE507" s="325"/>
      <c r="TUF507" s="311"/>
      <c r="TUG507" s="325"/>
      <c r="TUH507" s="310"/>
      <c r="TUI507" s="325"/>
      <c r="TUJ507" s="325"/>
      <c r="TUK507" s="325"/>
      <c r="TUL507" s="325"/>
      <c r="TUM507" s="325"/>
      <c r="TUN507" s="325"/>
      <c r="TUO507" s="325"/>
      <c r="TUP507" s="325"/>
      <c r="TUQ507" s="325"/>
      <c r="TUR507" s="325"/>
      <c r="TUS507" s="325"/>
      <c r="TUT507" s="325"/>
      <c r="TUU507" s="325"/>
      <c r="TUV507" s="325"/>
      <c r="TUW507" s="325"/>
      <c r="TUX507" s="325"/>
      <c r="TUY507" s="325"/>
      <c r="TUZ507" s="325"/>
      <c r="TVA507" s="325"/>
      <c r="TVB507" s="325"/>
      <c r="TVC507" s="325"/>
      <c r="TVD507" s="325"/>
      <c r="TVE507" s="325"/>
      <c r="TVF507" s="325"/>
      <c r="TVG507" s="325"/>
      <c r="TVH507" s="325"/>
      <c r="TVI507" s="325"/>
      <c r="TVJ507" s="325"/>
      <c r="TVK507" s="325"/>
      <c r="TVL507" s="325"/>
      <c r="TVM507" s="327"/>
      <c r="TVN507" s="28"/>
      <c r="TVO507" s="324"/>
      <c r="TVP507" s="324"/>
      <c r="TVQ507" s="324"/>
      <c r="TVR507" s="324"/>
      <c r="TVS507" s="324"/>
      <c r="TVT507" s="324"/>
      <c r="TVU507" s="256"/>
      <c r="TVV507" s="325"/>
      <c r="TVW507" s="311"/>
      <c r="TVX507" s="325"/>
      <c r="TVY507" s="310"/>
      <c r="TVZ507" s="325"/>
      <c r="TWA507" s="325"/>
      <c r="TWB507" s="325"/>
      <c r="TWC507" s="325"/>
      <c r="TWD507" s="325"/>
      <c r="TWE507" s="325"/>
      <c r="TWF507" s="325"/>
      <c r="TWG507" s="325"/>
      <c r="TWH507" s="325"/>
      <c r="TWI507" s="325"/>
      <c r="TWJ507" s="325"/>
      <c r="TWK507" s="325"/>
      <c r="TWL507" s="325"/>
      <c r="TWM507" s="325"/>
      <c r="TWN507" s="325"/>
      <c r="TWO507" s="325"/>
      <c r="TWP507" s="325"/>
      <c r="TWQ507" s="325"/>
      <c r="TWR507" s="325"/>
      <c r="TWS507" s="325"/>
      <c r="TWT507" s="325"/>
      <c r="TWU507" s="325"/>
      <c r="TWV507" s="325"/>
      <c r="TWW507" s="325"/>
      <c r="TWX507" s="325"/>
      <c r="TWY507" s="325"/>
      <c r="TWZ507" s="325"/>
      <c r="TXA507" s="325"/>
      <c r="TXB507" s="325"/>
      <c r="TXC507" s="325"/>
      <c r="TXD507" s="327"/>
      <c r="TXE507" s="28"/>
      <c r="TXF507" s="324"/>
      <c r="TXG507" s="324"/>
      <c r="TXH507" s="324"/>
      <c r="TXI507" s="324"/>
      <c r="TXJ507" s="324"/>
      <c r="TXK507" s="324"/>
      <c r="TXL507" s="256"/>
      <c r="TXM507" s="325"/>
      <c r="TXN507" s="311"/>
      <c r="TXO507" s="325"/>
      <c r="TXP507" s="310"/>
      <c r="TXQ507" s="325"/>
      <c r="TXR507" s="325"/>
      <c r="TXS507" s="325"/>
      <c r="TXT507" s="325"/>
      <c r="TXU507" s="325"/>
      <c r="TXV507" s="325"/>
      <c r="TXW507" s="325"/>
      <c r="TXX507" s="325"/>
      <c r="TXY507" s="325"/>
      <c r="TXZ507" s="325"/>
      <c r="TYA507" s="325"/>
      <c r="TYB507" s="325"/>
      <c r="TYC507" s="325"/>
      <c r="TYD507" s="325"/>
      <c r="TYE507" s="325"/>
      <c r="TYF507" s="325"/>
      <c r="TYG507" s="325"/>
      <c r="TYH507" s="325"/>
      <c r="TYI507" s="325"/>
      <c r="TYJ507" s="325"/>
      <c r="TYK507" s="325"/>
      <c r="TYL507" s="325"/>
      <c r="TYM507" s="325"/>
      <c r="TYN507" s="325"/>
      <c r="TYO507" s="325"/>
      <c r="TYP507" s="325"/>
      <c r="TYQ507" s="325"/>
      <c r="TYR507" s="325"/>
      <c r="TYS507" s="325"/>
      <c r="TYT507" s="325"/>
      <c r="TYU507" s="327"/>
      <c r="TYV507" s="28"/>
      <c r="TYW507" s="324"/>
      <c r="TYX507" s="324"/>
      <c r="TYY507" s="324"/>
      <c r="TYZ507" s="324"/>
      <c r="TZA507" s="324"/>
      <c r="TZB507" s="324"/>
      <c r="TZC507" s="256"/>
      <c r="TZD507" s="325"/>
      <c r="TZE507" s="311"/>
      <c r="TZF507" s="325"/>
      <c r="TZG507" s="310"/>
      <c r="TZH507" s="325"/>
      <c r="TZI507" s="325"/>
      <c r="TZJ507" s="325"/>
      <c r="TZK507" s="325"/>
      <c r="TZL507" s="325"/>
      <c r="TZM507" s="325"/>
      <c r="TZN507" s="325"/>
      <c r="TZO507" s="325"/>
      <c r="TZP507" s="325"/>
      <c r="TZQ507" s="325"/>
      <c r="TZR507" s="325"/>
      <c r="TZS507" s="325"/>
      <c r="TZT507" s="325"/>
      <c r="TZU507" s="325"/>
      <c r="TZV507" s="325"/>
      <c r="TZW507" s="325"/>
      <c r="TZX507" s="325"/>
      <c r="TZY507" s="325"/>
      <c r="TZZ507" s="325"/>
      <c r="UAA507" s="325"/>
      <c r="UAB507" s="325"/>
      <c r="UAC507" s="325"/>
      <c r="UAD507" s="325"/>
      <c r="UAE507" s="325"/>
      <c r="UAF507" s="325"/>
      <c r="UAG507" s="325"/>
      <c r="UAH507" s="325"/>
      <c r="UAI507" s="325"/>
      <c r="UAJ507" s="325"/>
      <c r="UAK507" s="325"/>
      <c r="UAL507" s="327"/>
      <c r="UAM507" s="28"/>
      <c r="UAN507" s="324"/>
      <c r="UAO507" s="324"/>
      <c r="UAP507" s="324"/>
      <c r="UAQ507" s="324"/>
      <c r="UAR507" s="324"/>
      <c r="UAS507" s="324"/>
      <c r="UAT507" s="256"/>
      <c r="UAU507" s="325"/>
      <c r="UAV507" s="311"/>
      <c r="UAW507" s="325"/>
      <c r="UAX507" s="310"/>
      <c r="UAY507" s="325"/>
      <c r="UAZ507" s="325"/>
      <c r="UBA507" s="325"/>
      <c r="UBB507" s="325"/>
      <c r="UBC507" s="325"/>
      <c r="UBD507" s="325"/>
      <c r="UBE507" s="325"/>
      <c r="UBF507" s="325"/>
      <c r="UBG507" s="325"/>
      <c r="UBH507" s="325"/>
      <c r="UBI507" s="325"/>
      <c r="UBJ507" s="325"/>
      <c r="UBK507" s="325"/>
      <c r="UBL507" s="325"/>
      <c r="UBM507" s="325"/>
      <c r="UBN507" s="325"/>
      <c r="UBO507" s="325"/>
      <c r="UBP507" s="325"/>
      <c r="UBQ507" s="325"/>
      <c r="UBR507" s="325"/>
      <c r="UBS507" s="325"/>
      <c r="UBT507" s="325"/>
      <c r="UBU507" s="325"/>
      <c r="UBV507" s="325"/>
      <c r="UBW507" s="325"/>
      <c r="UBX507" s="325"/>
      <c r="UBY507" s="325"/>
      <c r="UBZ507" s="325"/>
      <c r="UCA507" s="325"/>
      <c r="UCB507" s="325"/>
      <c r="UCC507" s="327"/>
      <c r="UCD507" s="28"/>
      <c r="UCE507" s="324"/>
      <c r="UCF507" s="324"/>
      <c r="UCG507" s="324"/>
      <c r="UCH507" s="324"/>
      <c r="UCI507" s="324"/>
      <c r="UCJ507" s="324"/>
      <c r="UCK507" s="256"/>
      <c r="UCL507" s="325"/>
      <c r="UCM507" s="311"/>
      <c r="UCN507" s="325"/>
      <c r="UCO507" s="310"/>
      <c r="UCP507" s="325"/>
      <c r="UCQ507" s="325"/>
      <c r="UCR507" s="325"/>
      <c r="UCS507" s="325"/>
      <c r="UCT507" s="325"/>
      <c r="UCU507" s="325"/>
      <c r="UCV507" s="325"/>
      <c r="UCW507" s="325"/>
      <c r="UCX507" s="325"/>
      <c r="UCY507" s="325"/>
      <c r="UCZ507" s="325"/>
      <c r="UDA507" s="325"/>
      <c r="UDB507" s="325"/>
      <c r="UDC507" s="325"/>
      <c r="UDD507" s="325"/>
      <c r="UDE507" s="325"/>
      <c r="UDF507" s="325"/>
      <c r="UDG507" s="325"/>
      <c r="UDH507" s="325"/>
      <c r="UDI507" s="325"/>
      <c r="UDJ507" s="325"/>
      <c r="UDK507" s="325"/>
      <c r="UDL507" s="325"/>
      <c r="UDM507" s="325"/>
      <c r="UDN507" s="325"/>
      <c r="UDO507" s="325"/>
      <c r="UDP507" s="325"/>
      <c r="UDQ507" s="325"/>
      <c r="UDR507" s="325"/>
      <c r="UDS507" s="325"/>
      <c r="UDT507" s="327"/>
      <c r="UDU507" s="28"/>
      <c r="UDV507" s="324"/>
      <c r="UDW507" s="324"/>
      <c r="UDX507" s="324"/>
      <c r="UDY507" s="324"/>
      <c r="UDZ507" s="324"/>
      <c r="UEA507" s="324"/>
      <c r="UEB507" s="256"/>
      <c r="UEC507" s="325"/>
      <c r="UED507" s="311"/>
      <c r="UEE507" s="325"/>
      <c r="UEF507" s="310"/>
      <c r="UEG507" s="325"/>
      <c r="UEH507" s="325"/>
      <c r="UEI507" s="325"/>
      <c r="UEJ507" s="325"/>
      <c r="UEK507" s="325"/>
      <c r="UEL507" s="325"/>
      <c r="UEM507" s="325"/>
      <c r="UEN507" s="325"/>
      <c r="UEO507" s="325"/>
      <c r="UEP507" s="325"/>
      <c r="UEQ507" s="325"/>
      <c r="UER507" s="325"/>
      <c r="UES507" s="325"/>
      <c r="UET507" s="325"/>
      <c r="UEU507" s="325"/>
      <c r="UEV507" s="325"/>
      <c r="UEW507" s="325"/>
      <c r="UEX507" s="325"/>
      <c r="UEY507" s="325"/>
      <c r="UEZ507" s="325"/>
      <c r="UFA507" s="325"/>
      <c r="UFB507" s="325"/>
      <c r="UFC507" s="325"/>
      <c r="UFD507" s="325"/>
      <c r="UFE507" s="325"/>
      <c r="UFF507" s="325"/>
      <c r="UFG507" s="325"/>
      <c r="UFH507" s="325"/>
      <c r="UFI507" s="325"/>
      <c r="UFJ507" s="325"/>
      <c r="UFK507" s="327"/>
      <c r="UFL507" s="28"/>
      <c r="UFM507" s="324"/>
      <c r="UFN507" s="324"/>
      <c r="UFO507" s="324"/>
      <c r="UFP507" s="324"/>
      <c r="UFQ507" s="324"/>
      <c r="UFR507" s="324"/>
      <c r="UFS507" s="256"/>
      <c r="UFT507" s="325"/>
      <c r="UFU507" s="311"/>
      <c r="UFV507" s="325"/>
      <c r="UFW507" s="310"/>
      <c r="UFX507" s="325"/>
      <c r="UFY507" s="325"/>
      <c r="UFZ507" s="325"/>
      <c r="UGA507" s="325"/>
      <c r="UGB507" s="325"/>
      <c r="UGC507" s="325"/>
      <c r="UGD507" s="325"/>
      <c r="UGE507" s="325"/>
      <c r="UGF507" s="325"/>
      <c r="UGG507" s="325"/>
      <c r="UGH507" s="325"/>
      <c r="UGI507" s="325"/>
      <c r="UGJ507" s="325"/>
      <c r="UGK507" s="325"/>
      <c r="UGL507" s="325"/>
      <c r="UGM507" s="325"/>
      <c r="UGN507" s="325"/>
      <c r="UGO507" s="325"/>
      <c r="UGP507" s="325"/>
      <c r="UGQ507" s="325"/>
      <c r="UGR507" s="325"/>
      <c r="UGS507" s="325"/>
      <c r="UGT507" s="325"/>
      <c r="UGU507" s="325"/>
      <c r="UGV507" s="325"/>
      <c r="UGW507" s="325"/>
      <c r="UGX507" s="325"/>
      <c r="UGY507" s="325"/>
      <c r="UGZ507" s="325"/>
      <c r="UHA507" s="325"/>
      <c r="UHB507" s="327"/>
      <c r="UHC507" s="28"/>
      <c r="UHD507" s="324"/>
      <c r="UHE507" s="324"/>
      <c r="UHF507" s="324"/>
      <c r="UHG507" s="324"/>
      <c r="UHH507" s="324"/>
      <c r="UHI507" s="324"/>
      <c r="UHJ507" s="256"/>
      <c r="UHK507" s="325"/>
      <c r="UHL507" s="311"/>
      <c r="UHM507" s="325"/>
      <c r="UHN507" s="310"/>
      <c r="UHO507" s="325"/>
      <c r="UHP507" s="325"/>
      <c r="UHQ507" s="325"/>
      <c r="UHR507" s="325"/>
      <c r="UHS507" s="325"/>
      <c r="UHT507" s="325"/>
      <c r="UHU507" s="325"/>
      <c r="UHV507" s="325"/>
      <c r="UHW507" s="325"/>
      <c r="UHX507" s="325"/>
      <c r="UHY507" s="325"/>
      <c r="UHZ507" s="325"/>
      <c r="UIA507" s="325"/>
      <c r="UIB507" s="325"/>
      <c r="UIC507" s="325"/>
      <c r="UID507" s="325"/>
      <c r="UIE507" s="325"/>
      <c r="UIF507" s="325"/>
      <c r="UIG507" s="325"/>
      <c r="UIH507" s="325"/>
      <c r="UII507" s="325"/>
      <c r="UIJ507" s="325"/>
      <c r="UIK507" s="325"/>
      <c r="UIL507" s="325"/>
      <c r="UIM507" s="325"/>
      <c r="UIN507" s="325"/>
      <c r="UIO507" s="325"/>
      <c r="UIP507" s="325"/>
      <c r="UIQ507" s="325"/>
      <c r="UIR507" s="325"/>
      <c r="UIS507" s="327"/>
      <c r="UIT507" s="28"/>
      <c r="UIU507" s="324"/>
      <c r="UIV507" s="324"/>
      <c r="UIW507" s="324"/>
      <c r="UIX507" s="324"/>
      <c r="UIY507" s="324"/>
      <c r="UIZ507" s="324"/>
      <c r="UJA507" s="256"/>
      <c r="UJB507" s="325"/>
      <c r="UJC507" s="311"/>
      <c r="UJD507" s="325"/>
      <c r="UJE507" s="310"/>
      <c r="UJF507" s="325"/>
      <c r="UJG507" s="325"/>
      <c r="UJH507" s="325"/>
      <c r="UJI507" s="325"/>
      <c r="UJJ507" s="325"/>
      <c r="UJK507" s="325"/>
      <c r="UJL507" s="325"/>
      <c r="UJM507" s="325"/>
      <c r="UJN507" s="325"/>
      <c r="UJO507" s="325"/>
      <c r="UJP507" s="325"/>
      <c r="UJQ507" s="325"/>
      <c r="UJR507" s="325"/>
      <c r="UJS507" s="325"/>
      <c r="UJT507" s="325"/>
      <c r="UJU507" s="325"/>
      <c r="UJV507" s="325"/>
      <c r="UJW507" s="325"/>
      <c r="UJX507" s="325"/>
      <c r="UJY507" s="325"/>
      <c r="UJZ507" s="325"/>
      <c r="UKA507" s="325"/>
      <c r="UKB507" s="325"/>
      <c r="UKC507" s="325"/>
      <c r="UKD507" s="325"/>
      <c r="UKE507" s="325"/>
      <c r="UKF507" s="325"/>
      <c r="UKG507" s="325"/>
      <c r="UKH507" s="325"/>
      <c r="UKI507" s="325"/>
      <c r="UKJ507" s="327"/>
      <c r="UKK507" s="28"/>
      <c r="UKL507" s="324"/>
      <c r="UKM507" s="324"/>
      <c r="UKN507" s="324"/>
      <c r="UKO507" s="324"/>
      <c r="UKP507" s="324"/>
      <c r="UKQ507" s="324"/>
      <c r="UKR507" s="256"/>
      <c r="UKS507" s="325"/>
      <c r="UKT507" s="311"/>
      <c r="UKU507" s="325"/>
      <c r="UKV507" s="310"/>
      <c r="UKW507" s="325"/>
      <c r="UKX507" s="325"/>
      <c r="UKY507" s="325"/>
      <c r="UKZ507" s="325"/>
      <c r="ULA507" s="325"/>
      <c r="ULB507" s="325"/>
      <c r="ULC507" s="325"/>
      <c r="ULD507" s="325"/>
      <c r="ULE507" s="325"/>
      <c r="ULF507" s="325"/>
      <c r="ULG507" s="325"/>
      <c r="ULH507" s="325"/>
      <c r="ULI507" s="325"/>
      <c r="ULJ507" s="325"/>
      <c r="ULK507" s="325"/>
      <c r="ULL507" s="325"/>
      <c r="ULM507" s="325"/>
      <c r="ULN507" s="325"/>
      <c r="ULO507" s="325"/>
      <c r="ULP507" s="325"/>
      <c r="ULQ507" s="325"/>
      <c r="ULR507" s="325"/>
      <c r="ULS507" s="325"/>
      <c r="ULT507" s="325"/>
      <c r="ULU507" s="325"/>
      <c r="ULV507" s="325"/>
      <c r="ULW507" s="325"/>
      <c r="ULX507" s="325"/>
      <c r="ULY507" s="325"/>
      <c r="ULZ507" s="325"/>
      <c r="UMA507" s="327"/>
      <c r="UMB507" s="28"/>
      <c r="UMC507" s="324"/>
      <c r="UMD507" s="324"/>
      <c r="UME507" s="324"/>
      <c r="UMF507" s="324"/>
      <c r="UMG507" s="324"/>
      <c r="UMH507" s="324"/>
      <c r="UMI507" s="256"/>
      <c r="UMJ507" s="325"/>
      <c r="UMK507" s="311"/>
      <c r="UML507" s="325"/>
      <c r="UMM507" s="310"/>
      <c r="UMN507" s="325"/>
      <c r="UMO507" s="325"/>
      <c r="UMP507" s="325"/>
      <c r="UMQ507" s="325"/>
      <c r="UMR507" s="325"/>
      <c r="UMS507" s="325"/>
      <c r="UMT507" s="325"/>
      <c r="UMU507" s="325"/>
      <c r="UMV507" s="325"/>
      <c r="UMW507" s="325"/>
      <c r="UMX507" s="325"/>
      <c r="UMY507" s="325"/>
      <c r="UMZ507" s="325"/>
      <c r="UNA507" s="325"/>
      <c r="UNB507" s="325"/>
      <c r="UNC507" s="325"/>
      <c r="UND507" s="325"/>
      <c r="UNE507" s="325"/>
      <c r="UNF507" s="325"/>
      <c r="UNG507" s="325"/>
      <c r="UNH507" s="325"/>
      <c r="UNI507" s="325"/>
      <c r="UNJ507" s="325"/>
      <c r="UNK507" s="325"/>
      <c r="UNL507" s="325"/>
      <c r="UNM507" s="325"/>
      <c r="UNN507" s="325"/>
      <c r="UNO507" s="325"/>
      <c r="UNP507" s="325"/>
      <c r="UNQ507" s="325"/>
      <c r="UNR507" s="327"/>
      <c r="UNS507" s="28"/>
      <c r="UNT507" s="324"/>
      <c r="UNU507" s="324"/>
      <c r="UNV507" s="324"/>
      <c r="UNW507" s="324"/>
      <c r="UNX507" s="324"/>
      <c r="UNY507" s="324"/>
      <c r="UNZ507" s="256"/>
      <c r="UOA507" s="325"/>
      <c r="UOB507" s="311"/>
      <c r="UOC507" s="325"/>
      <c r="UOD507" s="310"/>
      <c r="UOE507" s="325"/>
      <c r="UOF507" s="325"/>
      <c r="UOG507" s="325"/>
      <c r="UOH507" s="325"/>
      <c r="UOI507" s="325"/>
      <c r="UOJ507" s="325"/>
      <c r="UOK507" s="325"/>
      <c r="UOL507" s="325"/>
      <c r="UOM507" s="325"/>
      <c r="UON507" s="325"/>
      <c r="UOO507" s="325"/>
      <c r="UOP507" s="325"/>
      <c r="UOQ507" s="325"/>
      <c r="UOR507" s="325"/>
      <c r="UOS507" s="325"/>
      <c r="UOT507" s="325"/>
      <c r="UOU507" s="325"/>
      <c r="UOV507" s="325"/>
      <c r="UOW507" s="325"/>
      <c r="UOX507" s="325"/>
      <c r="UOY507" s="325"/>
      <c r="UOZ507" s="325"/>
      <c r="UPA507" s="325"/>
      <c r="UPB507" s="325"/>
      <c r="UPC507" s="325"/>
      <c r="UPD507" s="325"/>
      <c r="UPE507" s="325"/>
      <c r="UPF507" s="325"/>
      <c r="UPG507" s="325"/>
      <c r="UPH507" s="325"/>
      <c r="UPI507" s="327"/>
      <c r="UPJ507" s="28"/>
      <c r="UPK507" s="324"/>
      <c r="UPL507" s="324"/>
      <c r="UPM507" s="324"/>
      <c r="UPN507" s="324"/>
      <c r="UPO507" s="324"/>
      <c r="UPP507" s="324"/>
      <c r="UPQ507" s="256"/>
      <c r="UPR507" s="325"/>
      <c r="UPS507" s="311"/>
      <c r="UPT507" s="325"/>
      <c r="UPU507" s="310"/>
      <c r="UPV507" s="325"/>
      <c r="UPW507" s="325"/>
      <c r="UPX507" s="325"/>
      <c r="UPY507" s="325"/>
      <c r="UPZ507" s="325"/>
      <c r="UQA507" s="325"/>
      <c r="UQB507" s="325"/>
      <c r="UQC507" s="325"/>
      <c r="UQD507" s="325"/>
      <c r="UQE507" s="325"/>
      <c r="UQF507" s="325"/>
      <c r="UQG507" s="325"/>
      <c r="UQH507" s="325"/>
      <c r="UQI507" s="325"/>
      <c r="UQJ507" s="325"/>
      <c r="UQK507" s="325"/>
      <c r="UQL507" s="325"/>
      <c r="UQM507" s="325"/>
      <c r="UQN507" s="325"/>
      <c r="UQO507" s="325"/>
      <c r="UQP507" s="325"/>
      <c r="UQQ507" s="325"/>
      <c r="UQR507" s="325"/>
      <c r="UQS507" s="325"/>
      <c r="UQT507" s="325"/>
      <c r="UQU507" s="325"/>
      <c r="UQV507" s="325"/>
      <c r="UQW507" s="325"/>
      <c r="UQX507" s="325"/>
      <c r="UQY507" s="325"/>
      <c r="UQZ507" s="327"/>
      <c r="URA507" s="28"/>
      <c r="URB507" s="324"/>
      <c r="URC507" s="324"/>
      <c r="URD507" s="324"/>
      <c r="URE507" s="324"/>
      <c r="URF507" s="324"/>
      <c r="URG507" s="324"/>
      <c r="URH507" s="256"/>
      <c r="URI507" s="325"/>
      <c r="URJ507" s="311"/>
      <c r="URK507" s="325"/>
      <c r="URL507" s="310"/>
      <c r="URM507" s="325"/>
      <c r="URN507" s="325"/>
      <c r="URO507" s="325"/>
      <c r="URP507" s="325"/>
      <c r="URQ507" s="325"/>
      <c r="URR507" s="325"/>
      <c r="URS507" s="325"/>
      <c r="URT507" s="325"/>
      <c r="URU507" s="325"/>
      <c r="URV507" s="325"/>
      <c r="URW507" s="325"/>
      <c r="URX507" s="325"/>
      <c r="URY507" s="325"/>
      <c r="URZ507" s="325"/>
      <c r="USA507" s="325"/>
      <c r="USB507" s="325"/>
      <c r="USC507" s="325"/>
      <c r="USD507" s="325"/>
      <c r="USE507" s="325"/>
      <c r="USF507" s="325"/>
      <c r="USG507" s="325"/>
      <c r="USH507" s="325"/>
      <c r="USI507" s="325"/>
      <c r="USJ507" s="325"/>
      <c r="USK507" s="325"/>
      <c r="USL507" s="325"/>
      <c r="USM507" s="325"/>
      <c r="USN507" s="325"/>
      <c r="USO507" s="325"/>
      <c r="USP507" s="325"/>
      <c r="USQ507" s="327"/>
      <c r="USR507" s="28"/>
      <c r="USS507" s="324"/>
      <c r="UST507" s="324"/>
      <c r="USU507" s="324"/>
      <c r="USV507" s="324"/>
      <c r="USW507" s="324"/>
      <c r="USX507" s="324"/>
      <c r="USY507" s="256"/>
      <c r="USZ507" s="325"/>
      <c r="UTA507" s="311"/>
      <c r="UTB507" s="325"/>
      <c r="UTC507" s="310"/>
      <c r="UTD507" s="325"/>
      <c r="UTE507" s="325"/>
      <c r="UTF507" s="325"/>
      <c r="UTG507" s="325"/>
      <c r="UTH507" s="325"/>
      <c r="UTI507" s="325"/>
      <c r="UTJ507" s="325"/>
      <c r="UTK507" s="325"/>
      <c r="UTL507" s="325"/>
      <c r="UTM507" s="325"/>
      <c r="UTN507" s="325"/>
      <c r="UTO507" s="325"/>
      <c r="UTP507" s="325"/>
      <c r="UTQ507" s="325"/>
      <c r="UTR507" s="325"/>
      <c r="UTS507" s="325"/>
      <c r="UTT507" s="325"/>
      <c r="UTU507" s="325"/>
      <c r="UTV507" s="325"/>
      <c r="UTW507" s="325"/>
      <c r="UTX507" s="325"/>
      <c r="UTY507" s="325"/>
      <c r="UTZ507" s="325"/>
      <c r="UUA507" s="325"/>
      <c r="UUB507" s="325"/>
      <c r="UUC507" s="325"/>
      <c r="UUD507" s="325"/>
      <c r="UUE507" s="325"/>
      <c r="UUF507" s="325"/>
      <c r="UUG507" s="325"/>
      <c r="UUH507" s="327"/>
      <c r="UUI507" s="28"/>
      <c r="UUJ507" s="324"/>
      <c r="UUK507" s="324"/>
      <c r="UUL507" s="324"/>
      <c r="UUM507" s="324"/>
      <c r="UUN507" s="324"/>
      <c r="UUO507" s="324"/>
      <c r="UUP507" s="256"/>
      <c r="UUQ507" s="325"/>
      <c r="UUR507" s="311"/>
      <c r="UUS507" s="325"/>
      <c r="UUT507" s="310"/>
      <c r="UUU507" s="325"/>
      <c r="UUV507" s="325"/>
      <c r="UUW507" s="325"/>
      <c r="UUX507" s="325"/>
      <c r="UUY507" s="325"/>
      <c r="UUZ507" s="325"/>
      <c r="UVA507" s="325"/>
      <c r="UVB507" s="325"/>
      <c r="UVC507" s="325"/>
      <c r="UVD507" s="325"/>
      <c r="UVE507" s="325"/>
      <c r="UVF507" s="325"/>
      <c r="UVG507" s="325"/>
      <c r="UVH507" s="325"/>
      <c r="UVI507" s="325"/>
      <c r="UVJ507" s="325"/>
      <c r="UVK507" s="325"/>
      <c r="UVL507" s="325"/>
      <c r="UVM507" s="325"/>
      <c r="UVN507" s="325"/>
      <c r="UVO507" s="325"/>
      <c r="UVP507" s="325"/>
      <c r="UVQ507" s="325"/>
      <c r="UVR507" s="325"/>
      <c r="UVS507" s="325"/>
      <c r="UVT507" s="325"/>
      <c r="UVU507" s="325"/>
      <c r="UVV507" s="325"/>
      <c r="UVW507" s="325"/>
      <c r="UVX507" s="325"/>
      <c r="UVY507" s="327"/>
      <c r="UVZ507" s="28"/>
      <c r="UWA507" s="324"/>
      <c r="UWB507" s="324"/>
      <c r="UWC507" s="324"/>
      <c r="UWD507" s="324"/>
      <c r="UWE507" s="324"/>
      <c r="UWF507" s="324"/>
      <c r="UWG507" s="256"/>
      <c r="UWH507" s="325"/>
      <c r="UWI507" s="311"/>
      <c r="UWJ507" s="325"/>
      <c r="UWK507" s="310"/>
      <c r="UWL507" s="325"/>
      <c r="UWM507" s="325"/>
      <c r="UWN507" s="325"/>
      <c r="UWO507" s="325"/>
      <c r="UWP507" s="325"/>
      <c r="UWQ507" s="325"/>
      <c r="UWR507" s="325"/>
      <c r="UWS507" s="325"/>
      <c r="UWT507" s="325"/>
      <c r="UWU507" s="325"/>
      <c r="UWV507" s="325"/>
      <c r="UWW507" s="325"/>
      <c r="UWX507" s="325"/>
      <c r="UWY507" s="325"/>
      <c r="UWZ507" s="325"/>
      <c r="UXA507" s="325"/>
      <c r="UXB507" s="325"/>
      <c r="UXC507" s="325"/>
      <c r="UXD507" s="325"/>
      <c r="UXE507" s="325"/>
      <c r="UXF507" s="325"/>
      <c r="UXG507" s="325"/>
      <c r="UXH507" s="325"/>
      <c r="UXI507" s="325"/>
      <c r="UXJ507" s="325"/>
      <c r="UXK507" s="325"/>
      <c r="UXL507" s="325"/>
      <c r="UXM507" s="325"/>
      <c r="UXN507" s="325"/>
      <c r="UXO507" s="325"/>
      <c r="UXP507" s="327"/>
      <c r="UXQ507" s="28"/>
      <c r="UXR507" s="324"/>
      <c r="UXS507" s="324"/>
      <c r="UXT507" s="324"/>
      <c r="UXU507" s="324"/>
      <c r="UXV507" s="324"/>
      <c r="UXW507" s="324"/>
      <c r="UXX507" s="256"/>
      <c r="UXY507" s="325"/>
      <c r="UXZ507" s="311"/>
      <c r="UYA507" s="325"/>
      <c r="UYB507" s="310"/>
      <c r="UYC507" s="325"/>
      <c r="UYD507" s="325"/>
      <c r="UYE507" s="325"/>
      <c r="UYF507" s="325"/>
      <c r="UYG507" s="325"/>
      <c r="UYH507" s="325"/>
      <c r="UYI507" s="325"/>
      <c r="UYJ507" s="325"/>
      <c r="UYK507" s="325"/>
      <c r="UYL507" s="325"/>
      <c r="UYM507" s="325"/>
      <c r="UYN507" s="325"/>
      <c r="UYO507" s="325"/>
      <c r="UYP507" s="325"/>
      <c r="UYQ507" s="325"/>
      <c r="UYR507" s="325"/>
      <c r="UYS507" s="325"/>
      <c r="UYT507" s="325"/>
      <c r="UYU507" s="325"/>
      <c r="UYV507" s="325"/>
      <c r="UYW507" s="325"/>
      <c r="UYX507" s="325"/>
      <c r="UYY507" s="325"/>
      <c r="UYZ507" s="325"/>
      <c r="UZA507" s="325"/>
      <c r="UZB507" s="325"/>
      <c r="UZC507" s="325"/>
      <c r="UZD507" s="325"/>
      <c r="UZE507" s="325"/>
      <c r="UZF507" s="325"/>
      <c r="UZG507" s="327"/>
      <c r="UZH507" s="28"/>
      <c r="UZI507" s="324"/>
      <c r="UZJ507" s="324"/>
      <c r="UZK507" s="324"/>
      <c r="UZL507" s="324"/>
      <c r="UZM507" s="324"/>
      <c r="UZN507" s="324"/>
      <c r="UZO507" s="256"/>
      <c r="UZP507" s="325"/>
      <c r="UZQ507" s="311"/>
      <c r="UZR507" s="325"/>
      <c r="UZS507" s="310"/>
      <c r="UZT507" s="325"/>
      <c r="UZU507" s="325"/>
      <c r="UZV507" s="325"/>
      <c r="UZW507" s="325"/>
      <c r="UZX507" s="325"/>
      <c r="UZY507" s="325"/>
      <c r="UZZ507" s="325"/>
      <c r="VAA507" s="325"/>
      <c r="VAB507" s="325"/>
      <c r="VAC507" s="325"/>
      <c r="VAD507" s="325"/>
      <c r="VAE507" s="325"/>
      <c r="VAF507" s="325"/>
      <c r="VAG507" s="325"/>
      <c r="VAH507" s="325"/>
      <c r="VAI507" s="325"/>
      <c r="VAJ507" s="325"/>
      <c r="VAK507" s="325"/>
      <c r="VAL507" s="325"/>
      <c r="VAM507" s="325"/>
      <c r="VAN507" s="325"/>
      <c r="VAO507" s="325"/>
      <c r="VAP507" s="325"/>
      <c r="VAQ507" s="325"/>
      <c r="VAR507" s="325"/>
      <c r="VAS507" s="325"/>
      <c r="VAT507" s="325"/>
      <c r="VAU507" s="325"/>
      <c r="VAV507" s="325"/>
      <c r="VAW507" s="325"/>
      <c r="VAX507" s="327"/>
      <c r="VAY507" s="28"/>
      <c r="VAZ507" s="324"/>
      <c r="VBA507" s="324"/>
      <c r="VBB507" s="324"/>
      <c r="VBC507" s="324"/>
      <c r="VBD507" s="324"/>
      <c r="VBE507" s="324"/>
      <c r="VBF507" s="256"/>
      <c r="VBG507" s="325"/>
      <c r="VBH507" s="311"/>
      <c r="VBI507" s="325"/>
      <c r="VBJ507" s="310"/>
      <c r="VBK507" s="325"/>
      <c r="VBL507" s="325"/>
      <c r="VBM507" s="325"/>
      <c r="VBN507" s="325"/>
      <c r="VBO507" s="325"/>
      <c r="VBP507" s="325"/>
      <c r="VBQ507" s="325"/>
      <c r="VBR507" s="325"/>
      <c r="VBS507" s="325"/>
      <c r="VBT507" s="325"/>
      <c r="VBU507" s="325"/>
      <c r="VBV507" s="325"/>
      <c r="VBW507" s="325"/>
      <c r="VBX507" s="325"/>
      <c r="VBY507" s="325"/>
      <c r="VBZ507" s="325"/>
      <c r="VCA507" s="325"/>
      <c r="VCB507" s="325"/>
      <c r="VCC507" s="325"/>
      <c r="VCD507" s="325"/>
      <c r="VCE507" s="325"/>
      <c r="VCF507" s="325"/>
      <c r="VCG507" s="325"/>
      <c r="VCH507" s="325"/>
      <c r="VCI507" s="325"/>
      <c r="VCJ507" s="325"/>
      <c r="VCK507" s="325"/>
      <c r="VCL507" s="325"/>
      <c r="VCM507" s="325"/>
      <c r="VCN507" s="325"/>
      <c r="VCO507" s="327"/>
      <c r="VCP507" s="28"/>
      <c r="VCQ507" s="324"/>
      <c r="VCR507" s="324"/>
      <c r="VCS507" s="324"/>
      <c r="VCT507" s="324"/>
      <c r="VCU507" s="324"/>
      <c r="VCV507" s="324"/>
      <c r="VCW507" s="256"/>
      <c r="VCX507" s="325"/>
      <c r="VCY507" s="311"/>
      <c r="VCZ507" s="325"/>
      <c r="VDA507" s="310"/>
      <c r="VDB507" s="325"/>
      <c r="VDC507" s="325"/>
      <c r="VDD507" s="325"/>
      <c r="VDE507" s="325"/>
      <c r="VDF507" s="325"/>
      <c r="VDG507" s="325"/>
      <c r="VDH507" s="325"/>
      <c r="VDI507" s="325"/>
      <c r="VDJ507" s="325"/>
      <c r="VDK507" s="325"/>
      <c r="VDL507" s="325"/>
      <c r="VDM507" s="325"/>
      <c r="VDN507" s="325"/>
      <c r="VDO507" s="325"/>
      <c r="VDP507" s="325"/>
      <c r="VDQ507" s="325"/>
      <c r="VDR507" s="325"/>
      <c r="VDS507" s="325"/>
      <c r="VDT507" s="325"/>
      <c r="VDU507" s="325"/>
      <c r="VDV507" s="325"/>
      <c r="VDW507" s="325"/>
      <c r="VDX507" s="325"/>
      <c r="VDY507" s="325"/>
      <c r="VDZ507" s="325"/>
      <c r="VEA507" s="325"/>
      <c r="VEB507" s="325"/>
      <c r="VEC507" s="325"/>
      <c r="VED507" s="325"/>
      <c r="VEE507" s="325"/>
      <c r="VEF507" s="327"/>
      <c r="VEG507" s="28"/>
      <c r="VEH507" s="324"/>
      <c r="VEI507" s="324"/>
      <c r="VEJ507" s="324"/>
      <c r="VEK507" s="324"/>
      <c r="VEL507" s="324"/>
      <c r="VEM507" s="324"/>
      <c r="VEN507" s="256"/>
      <c r="VEO507" s="325"/>
      <c r="VEP507" s="311"/>
      <c r="VEQ507" s="325"/>
      <c r="VER507" s="310"/>
      <c r="VES507" s="325"/>
      <c r="VET507" s="325"/>
      <c r="VEU507" s="325"/>
      <c r="VEV507" s="325"/>
      <c r="VEW507" s="325"/>
      <c r="VEX507" s="325"/>
      <c r="VEY507" s="325"/>
      <c r="VEZ507" s="325"/>
      <c r="VFA507" s="325"/>
      <c r="VFB507" s="325"/>
      <c r="VFC507" s="325"/>
      <c r="VFD507" s="325"/>
      <c r="VFE507" s="325"/>
      <c r="VFF507" s="325"/>
      <c r="VFG507" s="325"/>
      <c r="VFH507" s="325"/>
      <c r="VFI507" s="325"/>
      <c r="VFJ507" s="325"/>
      <c r="VFK507" s="325"/>
      <c r="VFL507" s="325"/>
      <c r="VFM507" s="325"/>
      <c r="VFN507" s="325"/>
      <c r="VFO507" s="325"/>
      <c r="VFP507" s="325"/>
      <c r="VFQ507" s="325"/>
      <c r="VFR507" s="325"/>
      <c r="VFS507" s="325"/>
      <c r="VFT507" s="325"/>
      <c r="VFU507" s="325"/>
      <c r="VFV507" s="325"/>
      <c r="VFW507" s="327"/>
      <c r="VFX507" s="28"/>
      <c r="VFY507" s="324"/>
      <c r="VFZ507" s="324"/>
      <c r="VGA507" s="324"/>
      <c r="VGB507" s="324"/>
      <c r="VGC507" s="324"/>
      <c r="VGD507" s="324"/>
      <c r="VGE507" s="256"/>
      <c r="VGF507" s="325"/>
      <c r="VGG507" s="311"/>
      <c r="VGH507" s="325"/>
      <c r="VGI507" s="310"/>
      <c r="VGJ507" s="325"/>
      <c r="VGK507" s="325"/>
      <c r="VGL507" s="325"/>
      <c r="VGM507" s="325"/>
      <c r="VGN507" s="325"/>
      <c r="VGO507" s="325"/>
      <c r="VGP507" s="325"/>
      <c r="VGQ507" s="325"/>
      <c r="VGR507" s="325"/>
      <c r="VGS507" s="325"/>
      <c r="VGT507" s="325"/>
      <c r="VGU507" s="325"/>
      <c r="VGV507" s="325"/>
      <c r="VGW507" s="325"/>
      <c r="VGX507" s="325"/>
      <c r="VGY507" s="325"/>
      <c r="VGZ507" s="325"/>
      <c r="VHA507" s="325"/>
      <c r="VHB507" s="325"/>
      <c r="VHC507" s="325"/>
      <c r="VHD507" s="325"/>
      <c r="VHE507" s="325"/>
      <c r="VHF507" s="325"/>
      <c r="VHG507" s="325"/>
      <c r="VHH507" s="325"/>
      <c r="VHI507" s="325"/>
      <c r="VHJ507" s="325"/>
      <c r="VHK507" s="325"/>
      <c r="VHL507" s="325"/>
      <c r="VHM507" s="325"/>
      <c r="VHN507" s="327"/>
      <c r="VHO507" s="28"/>
      <c r="VHP507" s="324"/>
      <c r="VHQ507" s="324"/>
      <c r="VHR507" s="324"/>
      <c r="VHS507" s="324"/>
      <c r="VHT507" s="324"/>
      <c r="VHU507" s="324"/>
      <c r="VHV507" s="256"/>
      <c r="VHW507" s="325"/>
      <c r="VHX507" s="311"/>
      <c r="VHY507" s="325"/>
      <c r="VHZ507" s="310"/>
      <c r="VIA507" s="325"/>
      <c r="VIB507" s="325"/>
      <c r="VIC507" s="325"/>
      <c r="VID507" s="325"/>
      <c r="VIE507" s="325"/>
      <c r="VIF507" s="325"/>
      <c r="VIG507" s="325"/>
      <c r="VIH507" s="325"/>
      <c r="VII507" s="325"/>
      <c r="VIJ507" s="325"/>
      <c r="VIK507" s="325"/>
      <c r="VIL507" s="325"/>
      <c r="VIM507" s="325"/>
      <c r="VIN507" s="325"/>
      <c r="VIO507" s="325"/>
      <c r="VIP507" s="325"/>
      <c r="VIQ507" s="325"/>
      <c r="VIR507" s="325"/>
      <c r="VIS507" s="325"/>
      <c r="VIT507" s="325"/>
      <c r="VIU507" s="325"/>
      <c r="VIV507" s="325"/>
      <c r="VIW507" s="325"/>
      <c r="VIX507" s="325"/>
      <c r="VIY507" s="325"/>
      <c r="VIZ507" s="325"/>
      <c r="VJA507" s="325"/>
      <c r="VJB507" s="325"/>
      <c r="VJC507" s="325"/>
      <c r="VJD507" s="325"/>
      <c r="VJE507" s="327"/>
      <c r="VJF507" s="28"/>
      <c r="VJG507" s="324"/>
      <c r="VJH507" s="324"/>
      <c r="VJI507" s="324"/>
      <c r="VJJ507" s="324"/>
      <c r="VJK507" s="324"/>
      <c r="VJL507" s="324"/>
      <c r="VJM507" s="256"/>
      <c r="VJN507" s="325"/>
      <c r="VJO507" s="311"/>
      <c r="VJP507" s="325"/>
      <c r="VJQ507" s="310"/>
      <c r="VJR507" s="325"/>
      <c r="VJS507" s="325"/>
      <c r="VJT507" s="325"/>
      <c r="VJU507" s="325"/>
      <c r="VJV507" s="325"/>
      <c r="VJW507" s="325"/>
      <c r="VJX507" s="325"/>
      <c r="VJY507" s="325"/>
      <c r="VJZ507" s="325"/>
      <c r="VKA507" s="325"/>
      <c r="VKB507" s="325"/>
      <c r="VKC507" s="325"/>
      <c r="VKD507" s="325"/>
      <c r="VKE507" s="325"/>
      <c r="VKF507" s="325"/>
      <c r="VKG507" s="325"/>
      <c r="VKH507" s="325"/>
      <c r="VKI507" s="325"/>
      <c r="VKJ507" s="325"/>
      <c r="VKK507" s="325"/>
      <c r="VKL507" s="325"/>
      <c r="VKM507" s="325"/>
      <c r="VKN507" s="325"/>
      <c r="VKO507" s="325"/>
      <c r="VKP507" s="325"/>
      <c r="VKQ507" s="325"/>
      <c r="VKR507" s="325"/>
      <c r="VKS507" s="325"/>
      <c r="VKT507" s="325"/>
      <c r="VKU507" s="325"/>
      <c r="VKV507" s="327"/>
      <c r="VKW507" s="28"/>
      <c r="VKX507" s="324"/>
      <c r="VKY507" s="324"/>
      <c r="VKZ507" s="324"/>
      <c r="VLA507" s="324"/>
      <c r="VLB507" s="324"/>
      <c r="VLC507" s="324"/>
      <c r="VLD507" s="256"/>
      <c r="VLE507" s="325"/>
      <c r="VLF507" s="311"/>
      <c r="VLG507" s="325"/>
      <c r="VLH507" s="310"/>
      <c r="VLI507" s="325"/>
      <c r="VLJ507" s="325"/>
      <c r="VLK507" s="325"/>
      <c r="VLL507" s="325"/>
      <c r="VLM507" s="325"/>
      <c r="VLN507" s="325"/>
      <c r="VLO507" s="325"/>
      <c r="VLP507" s="325"/>
      <c r="VLQ507" s="325"/>
      <c r="VLR507" s="325"/>
      <c r="VLS507" s="325"/>
      <c r="VLT507" s="325"/>
      <c r="VLU507" s="325"/>
      <c r="VLV507" s="325"/>
      <c r="VLW507" s="325"/>
      <c r="VLX507" s="325"/>
      <c r="VLY507" s="325"/>
      <c r="VLZ507" s="325"/>
      <c r="VMA507" s="325"/>
      <c r="VMB507" s="325"/>
      <c r="VMC507" s="325"/>
      <c r="VMD507" s="325"/>
      <c r="VME507" s="325"/>
      <c r="VMF507" s="325"/>
      <c r="VMG507" s="325"/>
      <c r="VMH507" s="325"/>
      <c r="VMI507" s="325"/>
      <c r="VMJ507" s="325"/>
      <c r="VMK507" s="325"/>
      <c r="VML507" s="325"/>
      <c r="VMM507" s="327"/>
      <c r="VMN507" s="28"/>
      <c r="VMO507" s="324"/>
      <c r="VMP507" s="324"/>
      <c r="VMQ507" s="324"/>
      <c r="VMR507" s="324"/>
      <c r="VMS507" s="324"/>
      <c r="VMT507" s="324"/>
      <c r="VMU507" s="256"/>
      <c r="VMV507" s="325"/>
      <c r="VMW507" s="311"/>
      <c r="VMX507" s="325"/>
      <c r="VMY507" s="310"/>
      <c r="VMZ507" s="325"/>
      <c r="VNA507" s="325"/>
      <c r="VNB507" s="325"/>
      <c r="VNC507" s="325"/>
      <c r="VND507" s="325"/>
      <c r="VNE507" s="325"/>
      <c r="VNF507" s="325"/>
      <c r="VNG507" s="325"/>
      <c r="VNH507" s="325"/>
      <c r="VNI507" s="325"/>
      <c r="VNJ507" s="325"/>
      <c r="VNK507" s="325"/>
      <c r="VNL507" s="325"/>
      <c r="VNM507" s="325"/>
      <c r="VNN507" s="325"/>
      <c r="VNO507" s="325"/>
      <c r="VNP507" s="325"/>
      <c r="VNQ507" s="325"/>
      <c r="VNR507" s="325"/>
      <c r="VNS507" s="325"/>
      <c r="VNT507" s="325"/>
      <c r="VNU507" s="325"/>
      <c r="VNV507" s="325"/>
      <c r="VNW507" s="325"/>
      <c r="VNX507" s="325"/>
      <c r="VNY507" s="325"/>
      <c r="VNZ507" s="325"/>
      <c r="VOA507" s="325"/>
      <c r="VOB507" s="325"/>
      <c r="VOC507" s="325"/>
      <c r="VOD507" s="327"/>
      <c r="VOE507" s="28"/>
      <c r="VOF507" s="324"/>
      <c r="VOG507" s="324"/>
      <c r="VOH507" s="324"/>
      <c r="VOI507" s="324"/>
      <c r="VOJ507" s="324"/>
      <c r="VOK507" s="324"/>
      <c r="VOL507" s="256"/>
      <c r="VOM507" s="325"/>
      <c r="VON507" s="311"/>
      <c r="VOO507" s="325"/>
      <c r="VOP507" s="310"/>
      <c r="VOQ507" s="325"/>
      <c r="VOR507" s="325"/>
      <c r="VOS507" s="325"/>
      <c r="VOT507" s="325"/>
      <c r="VOU507" s="325"/>
      <c r="VOV507" s="325"/>
      <c r="VOW507" s="325"/>
      <c r="VOX507" s="325"/>
      <c r="VOY507" s="325"/>
      <c r="VOZ507" s="325"/>
      <c r="VPA507" s="325"/>
      <c r="VPB507" s="325"/>
      <c r="VPC507" s="325"/>
      <c r="VPD507" s="325"/>
      <c r="VPE507" s="325"/>
      <c r="VPF507" s="325"/>
      <c r="VPG507" s="325"/>
      <c r="VPH507" s="325"/>
      <c r="VPI507" s="325"/>
      <c r="VPJ507" s="325"/>
      <c r="VPK507" s="325"/>
      <c r="VPL507" s="325"/>
      <c r="VPM507" s="325"/>
      <c r="VPN507" s="325"/>
      <c r="VPO507" s="325"/>
      <c r="VPP507" s="325"/>
      <c r="VPQ507" s="325"/>
      <c r="VPR507" s="325"/>
      <c r="VPS507" s="325"/>
      <c r="VPT507" s="325"/>
      <c r="VPU507" s="327"/>
      <c r="VPV507" s="28"/>
      <c r="VPW507" s="324"/>
      <c r="VPX507" s="324"/>
      <c r="VPY507" s="324"/>
      <c r="VPZ507" s="324"/>
      <c r="VQA507" s="324"/>
      <c r="VQB507" s="324"/>
      <c r="VQC507" s="256"/>
      <c r="VQD507" s="325"/>
      <c r="VQE507" s="311"/>
      <c r="VQF507" s="325"/>
      <c r="VQG507" s="310"/>
      <c r="VQH507" s="325"/>
      <c r="VQI507" s="325"/>
      <c r="VQJ507" s="325"/>
      <c r="VQK507" s="325"/>
      <c r="VQL507" s="325"/>
      <c r="VQM507" s="325"/>
      <c r="VQN507" s="325"/>
      <c r="VQO507" s="325"/>
      <c r="VQP507" s="325"/>
      <c r="VQQ507" s="325"/>
      <c r="VQR507" s="325"/>
      <c r="VQS507" s="325"/>
      <c r="VQT507" s="325"/>
      <c r="VQU507" s="325"/>
      <c r="VQV507" s="325"/>
      <c r="VQW507" s="325"/>
      <c r="VQX507" s="325"/>
      <c r="VQY507" s="325"/>
      <c r="VQZ507" s="325"/>
      <c r="VRA507" s="325"/>
      <c r="VRB507" s="325"/>
      <c r="VRC507" s="325"/>
      <c r="VRD507" s="325"/>
      <c r="VRE507" s="325"/>
      <c r="VRF507" s="325"/>
      <c r="VRG507" s="325"/>
      <c r="VRH507" s="325"/>
      <c r="VRI507" s="325"/>
      <c r="VRJ507" s="325"/>
      <c r="VRK507" s="325"/>
      <c r="VRL507" s="327"/>
      <c r="VRM507" s="28"/>
      <c r="VRN507" s="324"/>
      <c r="VRO507" s="324"/>
      <c r="VRP507" s="324"/>
      <c r="VRQ507" s="324"/>
      <c r="VRR507" s="324"/>
      <c r="VRS507" s="324"/>
      <c r="VRT507" s="256"/>
      <c r="VRU507" s="325"/>
      <c r="VRV507" s="311"/>
      <c r="VRW507" s="325"/>
      <c r="VRX507" s="310"/>
      <c r="VRY507" s="325"/>
      <c r="VRZ507" s="325"/>
      <c r="VSA507" s="325"/>
      <c r="VSB507" s="325"/>
      <c r="VSC507" s="325"/>
      <c r="VSD507" s="325"/>
      <c r="VSE507" s="325"/>
      <c r="VSF507" s="325"/>
      <c r="VSG507" s="325"/>
      <c r="VSH507" s="325"/>
      <c r="VSI507" s="325"/>
      <c r="VSJ507" s="325"/>
      <c r="VSK507" s="325"/>
      <c r="VSL507" s="325"/>
      <c r="VSM507" s="325"/>
      <c r="VSN507" s="325"/>
      <c r="VSO507" s="325"/>
      <c r="VSP507" s="325"/>
      <c r="VSQ507" s="325"/>
      <c r="VSR507" s="325"/>
      <c r="VSS507" s="325"/>
      <c r="VST507" s="325"/>
      <c r="VSU507" s="325"/>
      <c r="VSV507" s="325"/>
      <c r="VSW507" s="325"/>
      <c r="VSX507" s="325"/>
      <c r="VSY507" s="325"/>
      <c r="VSZ507" s="325"/>
      <c r="VTA507" s="325"/>
      <c r="VTB507" s="325"/>
      <c r="VTC507" s="327"/>
      <c r="VTD507" s="28"/>
      <c r="VTE507" s="324"/>
      <c r="VTF507" s="324"/>
      <c r="VTG507" s="324"/>
      <c r="VTH507" s="324"/>
      <c r="VTI507" s="324"/>
      <c r="VTJ507" s="324"/>
      <c r="VTK507" s="256"/>
      <c r="VTL507" s="325"/>
      <c r="VTM507" s="311"/>
      <c r="VTN507" s="325"/>
      <c r="VTO507" s="310"/>
      <c r="VTP507" s="325"/>
      <c r="VTQ507" s="325"/>
      <c r="VTR507" s="325"/>
      <c r="VTS507" s="325"/>
      <c r="VTT507" s="325"/>
      <c r="VTU507" s="325"/>
      <c r="VTV507" s="325"/>
      <c r="VTW507" s="325"/>
      <c r="VTX507" s="325"/>
      <c r="VTY507" s="325"/>
      <c r="VTZ507" s="325"/>
      <c r="VUA507" s="325"/>
      <c r="VUB507" s="325"/>
      <c r="VUC507" s="325"/>
      <c r="VUD507" s="325"/>
      <c r="VUE507" s="325"/>
      <c r="VUF507" s="325"/>
      <c r="VUG507" s="325"/>
      <c r="VUH507" s="325"/>
      <c r="VUI507" s="325"/>
      <c r="VUJ507" s="325"/>
      <c r="VUK507" s="325"/>
      <c r="VUL507" s="325"/>
      <c r="VUM507" s="325"/>
      <c r="VUN507" s="325"/>
      <c r="VUO507" s="325"/>
      <c r="VUP507" s="325"/>
      <c r="VUQ507" s="325"/>
      <c r="VUR507" s="325"/>
      <c r="VUS507" s="325"/>
      <c r="VUT507" s="327"/>
      <c r="VUU507" s="28"/>
      <c r="VUV507" s="324"/>
      <c r="VUW507" s="324"/>
      <c r="VUX507" s="324"/>
      <c r="VUY507" s="324"/>
      <c r="VUZ507" s="324"/>
      <c r="VVA507" s="324"/>
      <c r="VVB507" s="256"/>
      <c r="VVC507" s="325"/>
      <c r="VVD507" s="311"/>
      <c r="VVE507" s="325"/>
      <c r="VVF507" s="310"/>
      <c r="VVG507" s="325"/>
      <c r="VVH507" s="325"/>
      <c r="VVI507" s="325"/>
      <c r="VVJ507" s="325"/>
      <c r="VVK507" s="325"/>
      <c r="VVL507" s="325"/>
      <c r="VVM507" s="325"/>
      <c r="VVN507" s="325"/>
      <c r="VVO507" s="325"/>
      <c r="VVP507" s="325"/>
      <c r="VVQ507" s="325"/>
      <c r="VVR507" s="325"/>
      <c r="VVS507" s="325"/>
      <c r="VVT507" s="325"/>
      <c r="VVU507" s="325"/>
      <c r="VVV507" s="325"/>
      <c r="VVW507" s="325"/>
      <c r="VVX507" s="325"/>
      <c r="VVY507" s="325"/>
      <c r="VVZ507" s="325"/>
      <c r="VWA507" s="325"/>
      <c r="VWB507" s="325"/>
      <c r="VWC507" s="325"/>
      <c r="VWD507" s="325"/>
      <c r="VWE507" s="325"/>
      <c r="VWF507" s="325"/>
      <c r="VWG507" s="325"/>
      <c r="VWH507" s="325"/>
      <c r="VWI507" s="325"/>
      <c r="VWJ507" s="325"/>
      <c r="VWK507" s="327"/>
      <c r="VWL507" s="28"/>
      <c r="VWM507" s="324"/>
      <c r="VWN507" s="324"/>
      <c r="VWO507" s="324"/>
      <c r="VWP507" s="324"/>
      <c r="VWQ507" s="324"/>
      <c r="VWR507" s="324"/>
      <c r="VWS507" s="256"/>
      <c r="VWT507" s="325"/>
      <c r="VWU507" s="311"/>
      <c r="VWV507" s="325"/>
      <c r="VWW507" s="310"/>
      <c r="VWX507" s="325"/>
      <c r="VWY507" s="325"/>
      <c r="VWZ507" s="325"/>
      <c r="VXA507" s="325"/>
      <c r="VXB507" s="325"/>
      <c r="VXC507" s="325"/>
      <c r="VXD507" s="325"/>
      <c r="VXE507" s="325"/>
      <c r="VXF507" s="325"/>
      <c r="VXG507" s="325"/>
      <c r="VXH507" s="325"/>
      <c r="VXI507" s="325"/>
      <c r="VXJ507" s="325"/>
      <c r="VXK507" s="325"/>
      <c r="VXL507" s="325"/>
      <c r="VXM507" s="325"/>
      <c r="VXN507" s="325"/>
      <c r="VXO507" s="325"/>
      <c r="VXP507" s="325"/>
      <c r="VXQ507" s="325"/>
      <c r="VXR507" s="325"/>
      <c r="VXS507" s="325"/>
      <c r="VXT507" s="325"/>
      <c r="VXU507" s="325"/>
      <c r="VXV507" s="325"/>
      <c r="VXW507" s="325"/>
      <c r="VXX507" s="325"/>
      <c r="VXY507" s="325"/>
      <c r="VXZ507" s="325"/>
      <c r="VYA507" s="325"/>
      <c r="VYB507" s="327"/>
      <c r="VYC507" s="28"/>
      <c r="VYD507" s="324"/>
      <c r="VYE507" s="324"/>
      <c r="VYF507" s="324"/>
      <c r="VYG507" s="324"/>
      <c r="VYH507" s="324"/>
      <c r="VYI507" s="324"/>
      <c r="VYJ507" s="256"/>
      <c r="VYK507" s="325"/>
      <c r="VYL507" s="311"/>
      <c r="VYM507" s="325"/>
      <c r="VYN507" s="310"/>
      <c r="VYO507" s="325"/>
      <c r="VYP507" s="325"/>
      <c r="VYQ507" s="325"/>
      <c r="VYR507" s="325"/>
      <c r="VYS507" s="325"/>
      <c r="VYT507" s="325"/>
      <c r="VYU507" s="325"/>
      <c r="VYV507" s="325"/>
      <c r="VYW507" s="325"/>
      <c r="VYX507" s="325"/>
      <c r="VYY507" s="325"/>
      <c r="VYZ507" s="325"/>
      <c r="VZA507" s="325"/>
      <c r="VZB507" s="325"/>
      <c r="VZC507" s="325"/>
      <c r="VZD507" s="325"/>
      <c r="VZE507" s="325"/>
      <c r="VZF507" s="325"/>
      <c r="VZG507" s="325"/>
      <c r="VZH507" s="325"/>
      <c r="VZI507" s="325"/>
      <c r="VZJ507" s="325"/>
      <c r="VZK507" s="325"/>
      <c r="VZL507" s="325"/>
      <c r="VZM507" s="325"/>
      <c r="VZN507" s="325"/>
      <c r="VZO507" s="325"/>
      <c r="VZP507" s="325"/>
      <c r="VZQ507" s="325"/>
      <c r="VZR507" s="325"/>
      <c r="VZS507" s="327"/>
      <c r="VZT507" s="28"/>
      <c r="VZU507" s="324"/>
      <c r="VZV507" s="324"/>
      <c r="VZW507" s="324"/>
      <c r="VZX507" s="324"/>
      <c r="VZY507" s="324"/>
      <c r="VZZ507" s="324"/>
      <c r="WAA507" s="256"/>
      <c r="WAB507" s="325"/>
      <c r="WAC507" s="311"/>
      <c r="WAD507" s="325"/>
      <c r="WAE507" s="310"/>
      <c r="WAF507" s="325"/>
      <c r="WAG507" s="325"/>
      <c r="WAH507" s="325"/>
      <c r="WAI507" s="325"/>
      <c r="WAJ507" s="325"/>
      <c r="WAK507" s="325"/>
      <c r="WAL507" s="325"/>
      <c r="WAM507" s="325"/>
      <c r="WAN507" s="325"/>
      <c r="WAO507" s="325"/>
      <c r="WAP507" s="325"/>
      <c r="WAQ507" s="325"/>
      <c r="WAR507" s="325"/>
      <c r="WAS507" s="325"/>
      <c r="WAT507" s="325"/>
      <c r="WAU507" s="325"/>
      <c r="WAV507" s="325"/>
      <c r="WAW507" s="325"/>
      <c r="WAX507" s="325"/>
      <c r="WAY507" s="325"/>
      <c r="WAZ507" s="325"/>
      <c r="WBA507" s="325"/>
      <c r="WBB507" s="325"/>
      <c r="WBC507" s="325"/>
      <c r="WBD507" s="325"/>
      <c r="WBE507" s="325"/>
      <c r="WBF507" s="325"/>
      <c r="WBG507" s="325"/>
      <c r="WBH507" s="325"/>
      <c r="WBI507" s="325"/>
      <c r="WBJ507" s="327"/>
      <c r="WBK507" s="28"/>
      <c r="WBL507" s="324"/>
      <c r="WBM507" s="324"/>
      <c r="WBN507" s="324"/>
      <c r="WBO507" s="324"/>
      <c r="WBP507" s="324"/>
      <c r="WBQ507" s="324"/>
      <c r="WBR507" s="256"/>
      <c r="WBS507" s="325"/>
      <c r="WBT507" s="311"/>
      <c r="WBU507" s="325"/>
      <c r="WBV507" s="310"/>
      <c r="WBW507" s="325"/>
      <c r="WBX507" s="325"/>
      <c r="WBY507" s="325"/>
      <c r="WBZ507" s="325"/>
      <c r="WCA507" s="325"/>
      <c r="WCB507" s="325"/>
      <c r="WCC507" s="325"/>
      <c r="WCD507" s="325"/>
      <c r="WCE507" s="325"/>
      <c r="WCF507" s="325"/>
      <c r="WCG507" s="325"/>
      <c r="WCH507" s="325"/>
      <c r="WCI507" s="325"/>
      <c r="WCJ507" s="325"/>
      <c r="WCK507" s="325"/>
      <c r="WCL507" s="325"/>
      <c r="WCM507" s="325"/>
      <c r="WCN507" s="325"/>
      <c r="WCO507" s="325"/>
      <c r="WCP507" s="325"/>
      <c r="WCQ507" s="325"/>
      <c r="WCR507" s="325"/>
      <c r="WCS507" s="325"/>
      <c r="WCT507" s="325"/>
      <c r="WCU507" s="325"/>
      <c r="WCV507" s="325"/>
      <c r="WCW507" s="325"/>
      <c r="WCX507" s="325"/>
      <c r="WCY507" s="325"/>
      <c r="WCZ507" s="325"/>
      <c r="WDA507" s="327"/>
      <c r="WDB507" s="28"/>
      <c r="WDC507" s="324"/>
      <c r="WDD507" s="324"/>
      <c r="WDE507" s="324"/>
      <c r="WDF507" s="324"/>
      <c r="WDG507" s="324"/>
      <c r="WDH507" s="324"/>
      <c r="WDI507" s="256"/>
      <c r="WDJ507" s="325"/>
      <c r="WDK507" s="311"/>
      <c r="WDL507" s="325"/>
      <c r="WDM507" s="310"/>
      <c r="WDN507" s="325"/>
      <c r="WDO507" s="325"/>
      <c r="WDP507" s="325"/>
      <c r="WDQ507" s="325"/>
      <c r="WDR507" s="325"/>
      <c r="WDS507" s="325"/>
      <c r="WDT507" s="325"/>
      <c r="WDU507" s="325"/>
      <c r="WDV507" s="325"/>
      <c r="WDW507" s="325"/>
      <c r="WDX507" s="325"/>
      <c r="WDY507" s="325"/>
      <c r="WDZ507" s="325"/>
      <c r="WEA507" s="325"/>
      <c r="WEB507" s="325"/>
      <c r="WEC507" s="325"/>
      <c r="WED507" s="325"/>
      <c r="WEE507" s="325"/>
      <c r="WEF507" s="325"/>
      <c r="WEG507" s="325"/>
      <c r="WEH507" s="325"/>
      <c r="WEI507" s="325"/>
      <c r="WEJ507" s="325"/>
      <c r="WEK507" s="325"/>
      <c r="WEL507" s="325"/>
      <c r="WEM507" s="325"/>
      <c r="WEN507" s="325"/>
      <c r="WEO507" s="325"/>
      <c r="WEP507" s="325"/>
      <c r="WEQ507" s="325"/>
      <c r="WER507" s="327"/>
      <c r="WES507" s="28"/>
      <c r="WET507" s="324"/>
      <c r="WEU507" s="324"/>
      <c r="WEV507" s="324"/>
      <c r="WEW507" s="324"/>
      <c r="WEX507" s="324"/>
      <c r="WEY507" s="324"/>
      <c r="WEZ507" s="256"/>
      <c r="WFA507" s="325"/>
      <c r="WFB507" s="311"/>
      <c r="WFC507" s="325"/>
      <c r="WFD507" s="310"/>
      <c r="WFE507" s="325"/>
      <c r="WFF507" s="325"/>
      <c r="WFG507" s="325"/>
      <c r="WFH507" s="325"/>
      <c r="WFI507" s="325"/>
      <c r="WFJ507" s="325"/>
      <c r="WFK507" s="325"/>
      <c r="WFL507" s="325"/>
      <c r="WFM507" s="325"/>
      <c r="WFN507" s="325"/>
      <c r="WFO507" s="325"/>
      <c r="WFP507" s="325"/>
      <c r="WFQ507" s="325"/>
      <c r="WFR507" s="325"/>
      <c r="WFS507" s="325"/>
      <c r="WFT507" s="325"/>
      <c r="WFU507" s="325"/>
      <c r="WFV507" s="325"/>
      <c r="WFW507" s="325"/>
      <c r="WFX507" s="325"/>
      <c r="WFY507" s="325"/>
      <c r="WFZ507" s="325"/>
      <c r="WGA507" s="325"/>
      <c r="WGB507" s="325"/>
      <c r="WGC507" s="325"/>
      <c r="WGD507" s="325"/>
      <c r="WGE507" s="325"/>
      <c r="WGF507" s="325"/>
      <c r="WGG507" s="325"/>
      <c r="WGH507" s="325"/>
      <c r="WGI507" s="327"/>
      <c r="WGJ507" s="28"/>
      <c r="WGK507" s="324"/>
      <c r="WGL507" s="324"/>
      <c r="WGM507" s="324"/>
      <c r="WGN507" s="324"/>
      <c r="WGO507" s="324"/>
      <c r="WGP507" s="324"/>
      <c r="WGQ507" s="256"/>
      <c r="WGR507" s="325"/>
      <c r="WGS507" s="311"/>
      <c r="WGT507" s="325"/>
      <c r="WGU507" s="310"/>
      <c r="WGV507" s="325"/>
      <c r="WGW507" s="325"/>
      <c r="WGX507" s="325"/>
      <c r="WGY507" s="325"/>
      <c r="WGZ507" s="325"/>
      <c r="WHA507" s="325"/>
      <c r="WHB507" s="325"/>
      <c r="WHC507" s="325"/>
      <c r="WHD507" s="325"/>
      <c r="WHE507" s="325"/>
      <c r="WHF507" s="325"/>
      <c r="WHG507" s="325"/>
      <c r="WHH507" s="325"/>
      <c r="WHI507" s="325"/>
      <c r="WHJ507" s="325"/>
      <c r="WHK507" s="325"/>
      <c r="WHL507" s="325"/>
      <c r="WHM507" s="325"/>
      <c r="WHN507" s="325"/>
      <c r="WHO507" s="325"/>
      <c r="WHP507" s="325"/>
      <c r="WHQ507" s="325"/>
      <c r="WHR507" s="325"/>
      <c r="WHS507" s="325"/>
      <c r="WHT507" s="325"/>
      <c r="WHU507" s="325"/>
      <c r="WHV507" s="325"/>
      <c r="WHW507" s="325"/>
      <c r="WHX507" s="325"/>
      <c r="WHY507" s="325"/>
      <c r="WHZ507" s="327"/>
      <c r="WIA507" s="28"/>
      <c r="WIB507" s="324"/>
      <c r="WIC507" s="324"/>
      <c r="WID507" s="324"/>
      <c r="WIE507" s="324"/>
      <c r="WIF507" s="324"/>
      <c r="WIG507" s="324"/>
      <c r="WIH507" s="256"/>
      <c r="WII507" s="325"/>
      <c r="WIJ507" s="311"/>
      <c r="WIK507" s="325"/>
      <c r="WIL507" s="310"/>
      <c r="WIM507" s="325"/>
      <c r="WIN507" s="325"/>
      <c r="WIO507" s="325"/>
      <c r="WIP507" s="325"/>
      <c r="WIQ507" s="325"/>
      <c r="WIR507" s="325"/>
      <c r="WIS507" s="325"/>
      <c r="WIT507" s="325"/>
      <c r="WIU507" s="325"/>
      <c r="WIV507" s="325"/>
      <c r="WIW507" s="325"/>
      <c r="WIX507" s="325"/>
      <c r="WIY507" s="325"/>
      <c r="WIZ507" s="325"/>
      <c r="WJA507" s="325"/>
      <c r="WJB507" s="325"/>
      <c r="WJC507" s="325"/>
      <c r="WJD507" s="325"/>
      <c r="WJE507" s="325"/>
      <c r="WJF507" s="325"/>
      <c r="WJG507" s="325"/>
      <c r="WJH507" s="325"/>
      <c r="WJI507" s="325"/>
      <c r="WJJ507" s="325"/>
      <c r="WJK507" s="325"/>
      <c r="WJL507" s="325"/>
      <c r="WJM507" s="325"/>
      <c r="WJN507" s="325"/>
      <c r="WJO507" s="325"/>
      <c r="WJP507" s="325"/>
      <c r="WJQ507" s="327"/>
      <c r="WJR507" s="28"/>
      <c r="WJS507" s="324"/>
      <c r="WJT507" s="324"/>
      <c r="WJU507" s="324"/>
      <c r="WJV507" s="324"/>
      <c r="WJW507" s="324"/>
      <c r="WJX507" s="324"/>
      <c r="WJY507" s="256"/>
      <c r="WJZ507" s="325"/>
      <c r="WKA507" s="311"/>
      <c r="WKB507" s="325"/>
      <c r="WKC507" s="310"/>
      <c r="WKD507" s="325"/>
      <c r="WKE507" s="325"/>
      <c r="WKF507" s="325"/>
      <c r="WKG507" s="325"/>
      <c r="WKH507" s="325"/>
      <c r="WKI507" s="325"/>
      <c r="WKJ507" s="325"/>
      <c r="WKK507" s="325"/>
      <c r="WKL507" s="325"/>
      <c r="WKM507" s="325"/>
      <c r="WKN507" s="325"/>
      <c r="WKO507" s="325"/>
      <c r="WKP507" s="325"/>
      <c r="WKQ507" s="325"/>
      <c r="WKR507" s="325"/>
      <c r="WKS507" s="325"/>
      <c r="WKT507" s="325"/>
      <c r="WKU507" s="325"/>
      <c r="WKV507" s="325"/>
      <c r="WKW507" s="325"/>
      <c r="WKX507" s="325"/>
      <c r="WKY507" s="325"/>
      <c r="WKZ507" s="325"/>
      <c r="WLA507" s="325"/>
      <c r="WLB507" s="325"/>
      <c r="WLC507" s="325"/>
      <c r="WLD507" s="325"/>
      <c r="WLE507" s="325"/>
      <c r="WLF507" s="325"/>
      <c r="WLG507" s="325"/>
      <c r="WLH507" s="327"/>
      <c r="WLI507" s="28"/>
      <c r="WLJ507" s="324"/>
      <c r="WLK507" s="324"/>
      <c r="WLL507" s="324"/>
      <c r="WLM507" s="324"/>
      <c r="WLN507" s="324"/>
      <c r="WLO507" s="324"/>
      <c r="WLP507" s="256"/>
      <c r="WLQ507" s="325"/>
      <c r="WLR507" s="311"/>
      <c r="WLS507" s="325"/>
      <c r="WLT507" s="310"/>
      <c r="WLU507" s="325"/>
      <c r="WLV507" s="325"/>
      <c r="WLW507" s="325"/>
      <c r="WLX507" s="325"/>
      <c r="WLY507" s="325"/>
      <c r="WLZ507" s="325"/>
      <c r="WMA507" s="325"/>
      <c r="WMB507" s="325"/>
      <c r="WMC507" s="325"/>
      <c r="WMD507" s="325"/>
      <c r="WME507" s="325"/>
      <c r="WMF507" s="325"/>
      <c r="WMG507" s="325"/>
      <c r="WMH507" s="325"/>
      <c r="WMI507" s="325"/>
      <c r="WMJ507" s="325"/>
      <c r="WMK507" s="325"/>
      <c r="WML507" s="325"/>
      <c r="WMM507" s="325"/>
      <c r="WMN507" s="325"/>
      <c r="WMO507" s="325"/>
      <c r="WMP507" s="325"/>
      <c r="WMQ507" s="325"/>
      <c r="WMR507" s="325"/>
      <c r="WMS507" s="325"/>
      <c r="WMT507" s="325"/>
      <c r="WMU507" s="325"/>
      <c r="WMV507" s="325"/>
      <c r="WMW507" s="325"/>
      <c r="WMX507" s="325"/>
      <c r="WMY507" s="327"/>
      <c r="WMZ507" s="28"/>
      <c r="WNA507" s="324"/>
      <c r="WNB507" s="324"/>
      <c r="WNC507" s="324"/>
      <c r="WND507" s="324"/>
      <c r="WNE507" s="324"/>
      <c r="WNF507" s="324"/>
      <c r="WNG507" s="256"/>
      <c r="WNH507" s="325"/>
      <c r="WNI507" s="311"/>
      <c r="WNJ507" s="325"/>
      <c r="WNK507" s="310"/>
      <c r="WNL507" s="325"/>
      <c r="WNM507" s="325"/>
      <c r="WNN507" s="325"/>
      <c r="WNO507" s="325"/>
      <c r="WNP507" s="325"/>
      <c r="WNQ507" s="325"/>
      <c r="WNR507" s="325"/>
      <c r="WNS507" s="325"/>
      <c r="WNT507" s="325"/>
      <c r="WNU507" s="325"/>
      <c r="WNV507" s="325"/>
      <c r="WNW507" s="325"/>
      <c r="WNX507" s="325"/>
      <c r="WNY507" s="325"/>
      <c r="WNZ507" s="325"/>
      <c r="WOA507" s="325"/>
      <c r="WOB507" s="325"/>
      <c r="WOC507" s="325"/>
      <c r="WOD507" s="325"/>
      <c r="WOE507" s="325"/>
      <c r="WOF507" s="325"/>
      <c r="WOG507" s="325"/>
      <c r="WOH507" s="325"/>
      <c r="WOI507" s="325"/>
      <c r="WOJ507" s="325"/>
      <c r="WOK507" s="325"/>
      <c r="WOL507" s="325"/>
      <c r="WOM507" s="325"/>
      <c r="WON507" s="325"/>
      <c r="WOO507" s="325"/>
      <c r="WOP507" s="327"/>
      <c r="WOQ507" s="28"/>
      <c r="WOR507" s="324"/>
      <c r="WOS507" s="324"/>
      <c r="WOT507" s="324"/>
      <c r="WOU507" s="324"/>
      <c r="WOV507" s="324"/>
      <c r="WOW507" s="324"/>
      <c r="WOX507" s="256"/>
      <c r="WOY507" s="325"/>
      <c r="WOZ507" s="311"/>
      <c r="WPA507" s="325"/>
      <c r="WPB507" s="310"/>
      <c r="WPC507" s="325"/>
      <c r="WPD507" s="325"/>
      <c r="WPE507" s="325"/>
      <c r="WPF507" s="325"/>
      <c r="WPG507" s="325"/>
      <c r="WPH507" s="325"/>
      <c r="WPI507" s="325"/>
      <c r="WPJ507" s="325"/>
      <c r="WPK507" s="325"/>
      <c r="WPL507" s="325"/>
      <c r="WPM507" s="325"/>
      <c r="WPN507" s="325"/>
      <c r="WPO507" s="325"/>
      <c r="WPP507" s="325"/>
      <c r="WPQ507" s="325"/>
      <c r="WPR507" s="325"/>
      <c r="WPS507" s="325"/>
      <c r="WPT507" s="325"/>
      <c r="WPU507" s="325"/>
      <c r="WPV507" s="325"/>
      <c r="WPW507" s="325"/>
      <c r="WPX507" s="325"/>
      <c r="WPY507" s="325"/>
      <c r="WPZ507" s="325"/>
      <c r="WQA507" s="325"/>
      <c r="WQB507" s="325"/>
      <c r="WQC507" s="325"/>
      <c r="WQD507" s="325"/>
      <c r="WQE507" s="325"/>
      <c r="WQF507" s="325"/>
      <c r="WQG507" s="327"/>
      <c r="WQH507" s="28"/>
      <c r="WQI507" s="324"/>
      <c r="WQJ507" s="324"/>
      <c r="WQK507" s="324"/>
      <c r="WQL507" s="324"/>
      <c r="WQM507" s="324"/>
      <c r="WQN507" s="324"/>
      <c r="WQO507" s="256"/>
      <c r="WQP507" s="325"/>
      <c r="WQQ507" s="311"/>
      <c r="WQR507" s="325"/>
      <c r="WQS507" s="310"/>
      <c r="WQT507" s="325"/>
      <c r="WQU507" s="325"/>
      <c r="WQV507" s="325"/>
      <c r="WQW507" s="325"/>
      <c r="WQX507" s="325"/>
      <c r="WQY507" s="325"/>
      <c r="WQZ507" s="325"/>
      <c r="WRA507" s="325"/>
      <c r="WRB507" s="325"/>
      <c r="WRC507" s="325"/>
      <c r="WRD507" s="325"/>
      <c r="WRE507" s="325"/>
      <c r="WRF507" s="325"/>
      <c r="WRG507" s="325"/>
      <c r="WRH507" s="325"/>
      <c r="WRI507" s="325"/>
      <c r="WRJ507" s="325"/>
      <c r="WRK507" s="325"/>
      <c r="WRL507" s="325"/>
      <c r="WRM507" s="325"/>
      <c r="WRN507" s="325"/>
      <c r="WRO507" s="325"/>
      <c r="WRP507" s="325"/>
      <c r="WRQ507" s="325"/>
      <c r="WRR507" s="325"/>
      <c r="WRS507" s="325"/>
      <c r="WRT507" s="325"/>
      <c r="WRU507" s="325"/>
      <c r="WRV507" s="325"/>
      <c r="WRW507" s="325"/>
      <c r="WRX507" s="327"/>
      <c r="WRY507" s="28"/>
      <c r="WRZ507" s="324"/>
      <c r="WSA507" s="324"/>
      <c r="WSB507" s="324"/>
      <c r="WSC507" s="324"/>
      <c r="WSD507" s="324"/>
      <c r="WSE507" s="324"/>
      <c r="WSF507" s="256"/>
      <c r="WSG507" s="325"/>
      <c r="WSH507" s="311"/>
      <c r="WSI507" s="325"/>
      <c r="WSJ507" s="310"/>
      <c r="WSK507" s="325"/>
      <c r="WSL507" s="325"/>
      <c r="WSM507" s="325"/>
      <c r="WSN507" s="325"/>
      <c r="WSO507" s="325"/>
      <c r="WSP507" s="325"/>
      <c r="WSQ507" s="325"/>
      <c r="WSR507" s="325"/>
      <c r="WSS507" s="325"/>
      <c r="WST507" s="325"/>
      <c r="WSU507" s="325"/>
      <c r="WSV507" s="325"/>
      <c r="WSW507" s="325"/>
      <c r="WSX507" s="325"/>
      <c r="WSY507" s="325"/>
      <c r="WSZ507" s="325"/>
      <c r="WTA507" s="325"/>
      <c r="WTB507" s="325"/>
      <c r="WTC507" s="325"/>
      <c r="WTD507" s="325"/>
      <c r="WTE507" s="325"/>
      <c r="WTF507" s="325"/>
      <c r="WTG507" s="325"/>
      <c r="WTH507" s="325"/>
      <c r="WTI507" s="325"/>
      <c r="WTJ507" s="325"/>
      <c r="WTK507" s="325"/>
      <c r="WTL507" s="325"/>
      <c r="WTM507" s="325"/>
      <c r="WTN507" s="325"/>
      <c r="WTO507" s="327"/>
      <c r="WTP507" s="28"/>
      <c r="WTQ507" s="324"/>
      <c r="WTR507" s="324"/>
      <c r="WTS507" s="324"/>
      <c r="WTT507" s="324"/>
      <c r="WTU507" s="324"/>
      <c r="WTV507" s="324"/>
      <c r="WTW507" s="256"/>
      <c r="WTX507" s="325"/>
      <c r="WTY507" s="311"/>
      <c r="WTZ507" s="325"/>
      <c r="WUA507" s="310"/>
      <c r="WUB507" s="325"/>
      <c r="WUC507" s="325"/>
      <c r="WUD507" s="325"/>
      <c r="WUE507" s="325"/>
      <c r="WUF507" s="325"/>
      <c r="WUG507" s="325"/>
      <c r="WUH507" s="325"/>
      <c r="WUI507" s="325"/>
      <c r="WUJ507" s="325"/>
      <c r="WUK507" s="325"/>
      <c r="WUL507" s="325"/>
      <c r="WUM507" s="325"/>
      <c r="WUN507" s="325"/>
      <c r="WUO507" s="325"/>
      <c r="WUP507" s="325"/>
      <c r="WUQ507" s="325"/>
      <c r="WUR507" s="325"/>
      <c r="WUS507" s="325"/>
      <c r="WUT507" s="325"/>
      <c r="WUU507" s="325"/>
      <c r="WUV507" s="325"/>
      <c r="WUW507" s="325"/>
      <c r="WUX507" s="325"/>
      <c r="WUY507" s="325"/>
      <c r="WUZ507" s="325"/>
      <c r="WVA507" s="325"/>
      <c r="WVB507" s="325"/>
      <c r="WVC507" s="325"/>
      <c r="WVD507" s="325"/>
      <c r="WVE507" s="325"/>
      <c r="WVF507" s="327"/>
      <c r="WVG507" s="28"/>
      <c r="WVH507" s="324"/>
      <c r="WVI507" s="324"/>
      <c r="WVJ507" s="324"/>
      <c r="WVK507" s="324"/>
      <c r="WVL507" s="324"/>
      <c r="WVM507" s="324"/>
      <c r="WVN507" s="256"/>
      <c r="WVO507" s="325"/>
      <c r="WVP507" s="311"/>
      <c r="WVQ507" s="325"/>
      <c r="WVR507" s="310"/>
      <c r="WVS507" s="325"/>
      <c r="WVT507" s="325"/>
      <c r="WVU507" s="325"/>
      <c r="WVV507" s="325"/>
      <c r="WVW507" s="325"/>
      <c r="WVX507" s="325"/>
      <c r="WVY507" s="325"/>
      <c r="WVZ507" s="325"/>
      <c r="WWA507" s="325"/>
      <c r="WWB507" s="325"/>
      <c r="WWC507" s="325"/>
      <c r="WWD507" s="325"/>
      <c r="WWE507" s="325"/>
      <c r="WWF507" s="325"/>
      <c r="WWG507" s="325"/>
      <c r="WWH507" s="325"/>
      <c r="WWI507" s="325"/>
      <c r="WWJ507" s="325"/>
      <c r="WWK507" s="325"/>
      <c r="WWL507" s="325"/>
      <c r="WWM507" s="325"/>
      <c r="WWN507" s="325"/>
      <c r="WWO507" s="325"/>
      <c r="WWP507" s="325"/>
      <c r="WWQ507" s="325"/>
      <c r="WWR507" s="325"/>
      <c r="WWS507" s="325"/>
      <c r="WWT507" s="325"/>
      <c r="WWU507" s="325"/>
      <c r="WWV507" s="325"/>
      <c r="WWW507" s="327"/>
      <c r="WWX507" s="28"/>
      <c r="WWY507" s="324"/>
      <c r="WWZ507" s="324"/>
      <c r="WXA507" s="324"/>
      <c r="WXB507" s="324"/>
      <c r="WXC507" s="324"/>
      <c r="WXD507" s="324"/>
      <c r="WXE507" s="256"/>
      <c r="WXF507" s="325"/>
      <c r="WXG507" s="311"/>
      <c r="WXH507" s="325"/>
      <c r="WXI507" s="310"/>
      <c r="WXJ507" s="325"/>
      <c r="WXK507" s="325"/>
      <c r="WXL507" s="325"/>
      <c r="WXM507" s="325"/>
      <c r="WXN507" s="325"/>
      <c r="WXO507" s="325"/>
      <c r="WXP507" s="325"/>
      <c r="WXQ507" s="325"/>
      <c r="WXR507" s="325"/>
      <c r="WXS507" s="325"/>
      <c r="WXT507" s="325"/>
      <c r="WXU507" s="325"/>
      <c r="WXV507" s="325"/>
      <c r="WXW507" s="325"/>
      <c r="WXX507" s="325"/>
      <c r="WXY507" s="325"/>
      <c r="WXZ507" s="325"/>
      <c r="WYA507" s="325"/>
      <c r="WYB507" s="325"/>
      <c r="WYC507" s="325"/>
      <c r="WYD507" s="325"/>
      <c r="WYE507" s="325"/>
      <c r="WYF507" s="325"/>
      <c r="WYG507" s="325"/>
      <c r="WYH507" s="325"/>
      <c r="WYI507" s="325"/>
      <c r="WYJ507" s="325"/>
      <c r="WYK507" s="325"/>
      <c r="WYL507" s="325"/>
      <c r="WYM507" s="325"/>
      <c r="WYN507" s="327"/>
      <c r="WYO507" s="28"/>
      <c r="WYP507" s="324"/>
      <c r="WYQ507" s="324"/>
      <c r="WYR507" s="324"/>
      <c r="WYS507" s="324"/>
      <c r="WYT507" s="324"/>
      <c r="WYU507" s="324"/>
      <c r="WYV507" s="256"/>
      <c r="WYW507" s="325"/>
      <c r="WYX507" s="311"/>
      <c r="WYY507" s="325"/>
      <c r="WYZ507" s="310"/>
      <c r="WZA507" s="325"/>
      <c r="WZB507" s="325"/>
      <c r="WZC507" s="325"/>
      <c r="WZD507" s="325"/>
      <c r="WZE507" s="325"/>
      <c r="WZF507" s="325"/>
      <c r="WZG507" s="325"/>
      <c r="WZH507" s="325"/>
      <c r="WZI507" s="325"/>
      <c r="WZJ507" s="325"/>
      <c r="WZK507" s="325"/>
      <c r="WZL507" s="325"/>
      <c r="WZM507" s="325"/>
      <c r="WZN507" s="325"/>
      <c r="WZO507" s="325"/>
      <c r="WZP507" s="325"/>
      <c r="WZQ507" s="325"/>
      <c r="WZR507" s="325"/>
      <c r="WZS507" s="325"/>
      <c r="WZT507" s="325"/>
      <c r="WZU507" s="325"/>
      <c r="WZV507" s="325"/>
      <c r="WZW507" s="325"/>
      <c r="WZX507" s="325"/>
      <c r="WZY507" s="325"/>
      <c r="WZZ507" s="325"/>
      <c r="XAA507" s="325"/>
      <c r="XAB507" s="325"/>
      <c r="XAC507" s="325"/>
      <c r="XAD507" s="325"/>
      <c r="XAE507" s="327"/>
      <c r="XAF507" s="28"/>
      <c r="XAG507" s="324"/>
      <c r="XAH507" s="324"/>
      <c r="XAI507" s="324"/>
      <c r="XAJ507" s="324"/>
      <c r="XAK507" s="324"/>
      <c r="XAL507" s="324"/>
      <c r="XAM507" s="256"/>
      <c r="XAN507" s="325"/>
      <c r="XAO507" s="311"/>
      <c r="XAP507" s="325"/>
      <c r="XAQ507" s="310"/>
      <c r="XAR507" s="325"/>
      <c r="XAS507" s="325"/>
      <c r="XAT507" s="325"/>
      <c r="XAU507" s="325"/>
      <c r="XAV507" s="325"/>
      <c r="XAW507" s="325"/>
      <c r="XAX507" s="325"/>
      <c r="XAY507" s="325"/>
      <c r="XAZ507" s="325"/>
      <c r="XBA507" s="325"/>
      <c r="XBB507" s="325"/>
      <c r="XBC507" s="325"/>
      <c r="XBD507" s="325"/>
      <c r="XBE507" s="325"/>
      <c r="XBF507" s="325"/>
      <c r="XBG507" s="325"/>
      <c r="XBH507" s="325"/>
      <c r="XBI507" s="325"/>
      <c r="XBJ507" s="325"/>
      <c r="XBK507" s="325"/>
      <c r="XBL507" s="325"/>
      <c r="XBM507" s="325"/>
      <c r="XBN507" s="325"/>
      <c r="XBO507" s="325"/>
      <c r="XBP507" s="325"/>
      <c r="XBQ507" s="325"/>
      <c r="XBR507" s="325"/>
      <c r="XBS507" s="325"/>
      <c r="XBT507" s="325"/>
      <c r="XBU507" s="325"/>
      <c r="XBV507" s="327"/>
      <c r="XBW507" s="28"/>
      <c r="XBX507" s="324"/>
      <c r="XBY507" s="324"/>
      <c r="XBZ507" s="324"/>
      <c r="XCA507" s="324"/>
      <c r="XCB507" s="324"/>
      <c r="XCC507" s="324"/>
      <c r="XCD507" s="256"/>
      <c r="XCE507" s="325"/>
      <c r="XCF507" s="311"/>
      <c r="XCG507" s="325"/>
      <c r="XCH507" s="310"/>
      <c r="XCI507" s="325"/>
      <c r="XCJ507" s="325"/>
      <c r="XCK507" s="325"/>
      <c r="XCL507" s="325"/>
      <c r="XCM507" s="325"/>
      <c r="XCN507" s="325"/>
      <c r="XCO507" s="325"/>
      <c r="XCP507" s="325"/>
      <c r="XCQ507" s="325"/>
      <c r="XCR507" s="325"/>
      <c r="XCS507" s="325"/>
      <c r="XCT507" s="325"/>
      <c r="XCU507" s="325"/>
      <c r="XCV507" s="325"/>
      <c r="XCW507" s="325"/>
      <c r="XCX507" s="325"/>
      <c r="XCY507" s="325"/>
      <c r="XCZ507" s="325"/>
      <c r="XDA507" s="325"/>
      <c r="XDB507" s="325"/>
      <c r="XDC507" s="325"/>
      <c r="XDD507" s="325"/>
      <c r="XDE507" s="325"/>
      <c r="XDF507" s="325"/>
      <c r="XDG507" s="325"/>
      <c r="XDH507" s="325"/>
      <c r="XDI507" s="325"/>
      <c r="XDJ507" s="325"/>
      <c r="XDK507" s="325"/>
      <c r="XDL507" s="325"/>
      <c r="XDM507" s="327"/>
      <c r="XDN507" s="28"/>
      <c r="XDO507" s="324"/>
      <c r="XDP507" s="324"/>
      <c r="XDQ507" s="324"/>
      <c r="XDR507" s="324"/>
      <c r="XDS507" s="324"/>
      <c r="XDT507" s="324"/>
      <c r="XDU507" s="256"/>
      <c r="XDV507" s="325"/>
      <c r="XDW507" s="311"/>
      <c r="XDX507" s="325"/>
      <c r="XDY507" s="310"/>
      <c r="XDZ507" s="325"/>
      <c r="XEA507" s="325"/>
      <c r="XEB507" s="325"/>
      <c r="XEC507" s="325"/>
      <c r="XED507" s="325"/>
      <c r="XEE507" s="325"/>
      <c r="XEF507" s="325"/>
      <c r="XEG507" s="325"/>
      <c r="XEH507" s="325"/>
      <c r="XEI507" s="325"/>
      <c r="XEJ507" s="325"/>
      <c r="XEK507" s="325"/>
      <c r="XEL507" s="325"/>
      <c r="XEM507" s="325"/>
      <c r="XEN507" s="325"/>
      <c r="XEO507" s="325"/>
      <c r="XEP507" s="325"/>
      <c r="XEQ507" s="325"/>
      <c r="XER507" s="325"/>
      <c r="XES507" s="325"/>
      <c r="XET507" s="325"/>
      <c r="XEU507" s="325"/>
      <c r="XEV507" s="325"/>
      <c r="XEW507" s="325"/>
      <c r="XEX507" s="325"/>
      <c r="XEY507" s="325"/>
      <c r="XEZ507" s="325"/>
      <c r="XFA507" s="325"/>
      <c r="XFB507" s="325"/>
      <c r="XFC507" s="325"/>
      <c r="XFD507" s="327"/>
    </row>
    <row r="508" spans="1:16384">
      <c r="E508" s="325"/>
      <c r="G508" s="39"/>
      <c r="H508" s="39"/>
      <c r="I508" s="39"/>
      <c r="J508" s="39"/>
      <c r="K508" s="39"/>
      <c r="R508" s="38">
        <f t="shared" ref="R508:AU508" si="356">ROUNDDOWN((R507-InServiceYr+1)/5,0)</f>
        <v>0</v>
      </c>
      <c r="S508" s="38">
        <f t="shared" si="356"/>
        <v>0</v>
      </c>
      <c r="T508" s="38">
        <f t="shared" si="356"/>
        <v>0</v>
      </c>
      <c r="U508" s="38">
        <f t="shared" si="356"/>
        <v>0</v>
      </c>
      <c r="V508" s="38">
        <f t="shared" si="356"/>
        <v>1</v>
      </c>
      <c r="W508" s="38">
        <f t="shared" si="356"/>
        <v>1</v>
      </c>
      <c r="X508" s="38">
        <f t="shared" si="356"/>
        <v>1</v>
      </c>
      <c r="Y508" s="38">
        <f t="shared" si="356"/>
        <v>1</v>
      </c>
      <c r="Z508" s="38">
        <f t="shared" si="356"/>
        <v>1</v>
      </c>
      <c r="AA508" s="38">
        <f t="shared" si="356"/>
        <v>2</v>
      </c>
      <c r="AB508" s="38">
        <f t="shared" si="356"/>
        <v>2</v>
      </c>
      <c r="AC508" s="38">
        <f t="shared" si="356"/>
        <v>2</v>
      </c>
      <c r="AD508" s="38">
        <f t="shared" si="356"/>
        <v>2</v>
      </c>
      <c r="AE508" s="38">
        <f t="shared" si="356"/>
        <v>2</v>
      </c>
      <c r="AF508" s="38">
        <f t="shared" si="356"/>
        <v>3</v>
      </c>
      <c r="AG508" s="38">
        <f t="shared" si="356"/>
        <v>3</v>
      </c>
      <c r="AH508" s="38">
        <f t="shared" si="356"/>
        <v>3</v>
      </c>
      <c r="AI508" s="38">
        <f t="shared" si="356"/>
        <v>3</v>
      </c>
      <c r="AJ508" s="38">
        <f t="shared" si="356"/>
        <v>3</v>
      </c>
      <c r="AK508" s="38">
        <f t="shared" si="356"/>
        <v>4</v>
      </c>
      <c r="AL508" s="38">
        <f t="shared" si="356"/>
        <v>4</v>
      </c>
      <c r="AM508" s="38">
        <f t="shared" si="356"/>
        <v>4</v>
      </c>
      <c r="AN508" s="38">
        <f t="shared" si="356"/>
        <v>4</v>
      </c>
      <c r="AO508" s="38">
        <f t="shared" si="356"/>
        <v>4</v>
      </c>
      <c r="AP508" s="38">
        <f t="shared" si="356"/>
        <v>5</v>
      </c>
      <c r="AQ508" s="38">
        <f t="shared" si="356"/>
        <v>5</v>
      </c>
      <c r="AR508" s="38">
        <f t="shared" si="356"/>
        <v>5</v>
      </c>
      <c r="AS508" s="38">
        <f t="shared" si="356"/>
        <v>5</v>
      </c>
      <c r="AT508" s="38">
        <f t="shared" si="356"/>
        <v>5</v>
      </c>
      <c r="AU508" s="38">
        <f t="shared" si="356"/>
        <v>6</v>
      </c>
    </row>
    <row r="509" spans="1:16384">
      <c r="E509" s="325"/>
      <c r="G509" s="38" t="s">
        <v>310</v>
      </c>
      <c r="N509" s="320"/>
      <c r="P509" s="320"/>
      <c r="R509" s="38">
        <f>R508-Q508</f>
        <v>0</v>
      </c>
      <c r="S509" s="38">
        <f t="shared" ref="S509:AU509" si="357">S508-R508</f>
        <v>0</v>
      </c>
      <c r="T509" s="38">
        <f t="shared" si="357"/>
        <v>0</v>
      </c>
      <c r="U509" s="38">
        <f t="shared" si="357"/>
        <v>0</v>
      </c>
      <c r="V509" s="38">
        <f t="shared" si="357"/>
        <v>1</v>
      </c>
      <c r="W509" s="38">
        <f t="shared" si="357"/>
        <v>0</v>
      </c>
      <c r="X509" s="38">
        <f t="shared" si="357"/>
        <v>0</v>
      </c>
      <c r="Y509" s="38">
        <f t="shared" si="357"/>
        <v>0</v>
      </c>
      <c r="Z509" s="38">
        <f t="shared" si="357"/>
        <v>0</v>
      </c>
      <c r="AA509" s="38">
        <f t="shared" si="357"/>
        <v>1</v>
      </c>
      <c r="AB509" s="38">
        <f t="shared" si="357"/>
        <v>0</v>
      </c>
      <c r="AC509" s="38">
        <f t="shared" si="357"/>
        <v>0</v>
      </c>
      <c r="AD509" s="38">
        <f t="shared" si="357"/>
        <v>0</v>
      </c>
      <c r="AE509" s="38">
        <f t="shared" si="357"/>
        <v>0</v>
      </c>
      <c r="AF509" s="38">
        <f t="shared" si="357"/>
        <v>1</v>
      </c>
      <c r="AG509" s="38">
        <f t="shared" si="357"/>
        <v>0</v>
      </c>
      <c r="AH509" s="38">
        <f t="shared" si="357"/>
        <v>0</v>
      </c>
      <c r="AI509" s="38">
        <f t="shared" si="357"/>
        <v>0</v>
      </c>
      <c r="AJ509" s="38">
        <f t="shared" si="357"/>
        <v>0</v>
      </c>
      <c r="AK509" s="38">
        <f t="shared" si="357"/>
        <v>1</v>
      </c>
      <c r="AL509" s="38">
        <f t="shared" si="357"/>
        <v>0</v>
      </c>
      <c r="AM509" s="38">
        <f t="shared" si="357"/>
        <v>0</v>
      </c>
      <c r="AN509" s="38">
        <f t="shared" si="357"/>
        <v>0</v>
      </c>
      <c r="AO509" s="38">
        <f t="shared" si="357"/>
        <v>0</v>
      </c>
      <c r="AP509" s="38">
        <f t="shared" si="357"/>
        <v>1</v>
      </c>
      <c r="AQ509" s="38">
        <f t="shared" si="357"/>
        <v>0</v>
      </c>
      <c r="AR509" s="38">
        <f t="shared" si="357"/>
        <v>0</v>
      </c>
      <c r="AS509" s="38">
        <f t="shared" si="357"/>
        <v>0</v>
      </c>
      <c r="AT509" s="38">
        <f t="shared" si="357"/>
        <v>0</v>
      </c>
      <c r="AU509" s="38">
        <f t="shared" si="357"/>
        <v>1</v>
      </c>
    </row>
    <row r="511" spans="1:16384">
      <c r="E511" s="327"/>
      <c r="F511" s="28"/>
      <c r="G511" s="324" t="s">
        <v>865</v>
      </c>
      <c r="H511" s="324"/>
      <c r="I511" s="324"/>
      <c r="J511" s="324"/>
      <c r="K511" s="324"/>
      <c r="L511" s="405"/>
      <c r="M511" s="256"/>
      <c r="N511" s="325"/>
      <c r="O511" s="311"/>
      <c r="P511" s="325"/>
      <c r="Q511" s="310"/>
      <c r="R511" s="325"/>
      <c r="S511" s="325"/>
      <c r="T511" s="325"/>
      <c r="U511" s="325"/>
      <c r="V511" s="325"/>
      <c r="W511" s="325"/>
      <c r="X511" s="325"/>
      <c r="Y511" s="325"/>
      <c r="Z511" s="325"/>
      <c r="AA511" s="325"/>
      <c r="AB511" s="325"/>
      <c r="AC511" s="325"/>
      <c r="AD511" s="325"/>
      <c r="AE511" s="325"/>
      <c r="AF511" s="325"/>
      <c r="AG511" s="325"/>
      <c r="AH511" s="325"/>
      <c r="AI511" s="325"/>
      <c r="AJ511" s="325"/>
      <c r="AK511" s="325"/>
      <c r="AL511" s="325"/>
      <c r="AM511" s="325"/>
      <c r="AN511" s="325"/>
      <c r="AO511" s="325"/>
      <c r="AP511" s="325"/>
      <c r="AQ511" s="325"/>
      <c r="AR511" s="325"/>
      <c r="AS511" s="325"/>
      <c r="AT511" s="325"/>
      <c r="AU511" s="325"/>
    </row>
    <row r="512" spans="1:16384">
      <c r="E512" s="325"/>
      <c r="G512" s="39"/>
      <c r="H512" s="39"/>
      <c r="I512" s="39"/>
      <c r="J512" s="39"/>
      <c r="K512" s="39"/>
    </row>
    <row r="513" spans="5:47">
      <c r="E513" s="325"/>
      <c r="G513" s="36" t="s">
        <v>865</v>
      </c>
      <c r="H513" s="39"/>
      <c r="I513" s="39"/>
      <c r="J513" s="70"/>
      <c r="K513" s="39"/>
      <c r="L513" s="43"/>
      <c r="N513" s="320"/>
      <c r="P513" s="320"/>
      <c r="Q513" s="52"/>
      <c r="R513" s="52">
        <f>Assumptions!M56</f>
        <v>0</v>
      </c>
      <c r="S513" s="52">
        <f>Assumptions!N56</f>
        <v>0</v>
      </c>
      <c r="T513" s="52">
        <f>Assumptions!O56</f>
        <v>0</v>
      </c>
      <c r="U513" s="52">
        <f>Assumptions!P56</f>
        <v>0</v>
      </c>
      <c r="V513" s="52">
        <f>Assumptions!Q56</f>
        <v>0</v>
      </c>
      <c r="W513" s="52">
        <f>Assumptions!R56</f>
        <v>0</v>
      </c>
      <c r="X513" s="52">
        <f>Assumptions!S56</f>
        <v>0</v>
      </c>
      <c r="Y513" s="52">
        <f>Assumptions!T56</f>
        <v>0</v>
      </c>
      <c r="Z513" s="52">
        <f>Assumptions!U56</f>
        <v>0</v>
      </c>
      <c r="AA513" s="52">
        <f>Assumptions!V56</f>
        <v>0</v>
      </c>
      <c r="AB513" s="52">
        <f>Assumptions!W56</f>
        <v>0</v>
      </c>
      <c r="AC513" s="52">
        <f>Assumptions!X56</f>
        <v>0</v>
      </c>
      <c r="AD513" s="52">
        <f>Assumptions!Y56</f>
        <v>0</v>
      </c>
      <c r="AE513" s="52">
        <f>Assumptions!Z56</f>
        <v>0</v>
      </c>
      <c r="AF513" s="52">
        <f>Assumptions!AA56</f>
        <v>0</v>
      </c>
      <c r="AG513" s="52">
        <f>Assumptions!AB56</f>
        <v>0</v>
      </c>
      <c r="AH513" s="52">
        <f>Assumptions!AC56</f>
        <v>0</v>
      </c>
      <c r="AI513" s="52">
        <f>Assumptions!AD56</f>
        <v>0</v>
      </c>
      <c r="AJ513" s="52">
        <f>Assumptions!AE56</f>
        <v>0</v>
      </c>
      <c r="AK513" s="52">
        <f>Assumptions!AF56</f>
        <v>0</v>
      </c>
      <c r="AL513" s="52">
        <f>Assumptions!AG56</f>
        <v>0</v>
      </c>
      <c r="AM513" s="52">
        <f>Assumptions!AH56</f>
        <v>0</v>
      </c>
      <c r="AN513" s="52">
        <f>Assumptions!AI56</f>
        <v>0</v>
      </c>
      <c r="AO513" s="52">
        <f>Assumptions!AJ56</f>
        <v>0</v>
      </c>
      <c r="AP513" s="52">
        <f>Assumptions!AK56</f>
        <v>0</v>
      </c>
      <c r="AQ513" s="52">
        <f>Assumptions!AL56</f>
        <v>0</v>
      </c>
      <c r="AR513" s="52">
        <f>Assumptions!AM56</f>
        <v>0</v>
      </c>
      <c r="AS513" s="52">
        <f>Assumptions!AN56</f>
        <v>0</v>
      </c>
      <c r="AT513" s="52">
        <f>Assumptions!AO56</f>
        <v>0</v>
      </c>
      <c r="AU513" s="52">
        <f>Assumptions!AP56</f>
        <v>0</v>
      </c>
    </row>
    <row r="525" spans="5:47">
      <c r="N525" s="200"/>
      <c r="O525" s="316"/>
      <c r="P525" s="200"/>
      <c r="Q525" s="316"/>
      <c r="R525" s="198"/>
      <c r="S525" s="199"/>
    </row>
    <row r="526" spans="5:47">
      <c r="N526" s="200"/>
      <c r="O526" s="316"/>
      <c r="P526" s="200"/>
      <c r="Q526" s="316"/>
      <c r="R526" s="198"/>
      <c r="S526" s="199"/>
    </row>
    <row r="527" spans="5:47">
      <c r="N527" s="200"/>
      <c r="O527" s="316"/>
      <c r="P527" s="200"/>
      <c r="Q527" s="316"/>
      <c r="R527" s="198"/>
      <c r="S527" s="199"/>
    </row>
    <row r="528" spans="5:47">
      <c r="N528" s="200"/>
      <c r="O528" s="316"/>
      <c r="P528" s="200"/>
      <c r="Q528" s="316"/>
      <c r="R528" s="198"/>
      <c r="S528" s="199"/>
    </row>
    <row r="529" spans="14:19">
      <c r="N529" s="200"/>
      <c r="O529" s="316"/>
      <c r="P529" s="200"/>
      <c r="Q529" s="316"/>
      <c r="R529" s="198"/>
      <c r="S529" s="199"/>
    </row>
    <row r="530" spans="14:19">
      <c r="N530" s="200"/>
      <c r="O530" s="316"/>
      <c r="P530" s="200"/>
      <c r="Q530" s="316"/>
      <c r="R530" s="198"/>
      <c r="S530" s="199"/>
    </row>
    <row r="531" spans="14:19">
      <c r="N531" s="200"/>
      <c r="O531" s="316"/>
      <c r="P531" s="200"/>
      <c r="Q531" s="316"/>
      <c r="R531" s="198"/>
      <c r="S531" s="199"/>
    </row>
    <row r="532" spans="14:19">
      <c r="N532" s="200"/>
      <c r="O532" s="316"/>
      <c r="P532" s="200"/>
      <c r="Q532" s="316"/>
      <c r="R532" s="198"/>
      <c r="S532" s="199"/>
    </row>
    <row r="533" spans="14:19">
      <c r="N533" s="200"/>
      <c r="O533" s="316"/>
      <c r="P533" s="200"/>
      <c r="Q533" s="316"/>
      <c r="R533" s="198"/>
      <c r="S533" s="199"/>
    </row>
    <row r="534" spans="14:19">
      <c r="N534" s="200"/>
      <c r="O534" s="316"/>
      <c r="P534" s="200"/>
      <c r="Q534" s="316"/>
      <c r="R534" s="198"/>
      <c r="S534" s="199"/>
    </row>
  </sheetData>
  <dataConsolidate/>
  <dataValidations count="1">
    <dataValidation type="list" allowBlank="1" showInputMessage="1" showErrorMessage="1" sqref="J4">
      <formula1>ConfigDropdown</formula1>
    </dataValidation>
  </dataValidations>
  <pageMargins left="0.75" right="0.75" top="1" bottom="1" header="0.5" footer="0.5"/>
  <pageSetup scale="60" pageOrder="overThenDown" orientation="landscape" r:id="rId1"/>
  <headerFooter alignWithMargins="0"/>
  <rowBreaks count="2" manualBreakCount="2">
    <brk id="39" min="17" max="46" man="1"/>
    <brk id="66" min="17" max="46" man="1"/>
  </rowBreaks>
</worksheet>
</file>

<file path=xl/worksheets/sheet21.xml><?xml version="1.0" encoding="utf-8"?>
<worksheet xmlns="http://schemas.openxmlformats.org/spreadsheetml/2006/main" xmlns:r="http://schemas.openxmlformats.org/officeDocument/2006/relationships">
  <sheetPr>
    <tabColor rgb="FFC00000"/>
  </sheetPr>
  <dimension ref="A1:XFD534"/>
  <sheetViews>
    <sheetView showGridLines="0" topLeftCell="K1" zoomScale="80" zoomScaleNormal="80" zoomScalePageLayoutView="85" workbookViewId="0">
      <selection activeCell="R10" sqref="R10"/>
    </sheetView>
  </sheetViews>
  <sheetFormatPr defaultColWidth="8.85546875" defaultRowHeight="15" outlineLevelCol="1"/>
  <cols>
    <col min="1" max="2" width="8.85546875" style="38" hidden="1" customWidth="1" outlineLevel="1"/>
    <col min="3" max="3" width="42.28515625" style="38" hidden="1" customWidth="1" outlineLevel="1"/>
    <col min="4" max="4" width="13" style="38" hidden="1" customWidth="1" outlineLevel="1"/>
    <col min="5" max="5" width="3.7109375" style="38" customWidth="1" collapsed="1"/>
    <col min="6" max="6" width="3.28515625" style="38" customWidth="1"/>
    <col min="7" max="7" width="7.140625" style="38" customWidth="1"/>
    <col min="8" max="8" width="28.42578125" style="38" customWidth="1"/>
    <col min="9" max="9" width="1.85546875" style="38" customWidth="1"/>
    <col min="10" max="10" width="10.140625" style="38" customWidth="1"/>
    <col min="11" max="11" width="1.42578125" style="38" customWidth="1"/>
    <col min="12" max="12" width="25.7109375" style="408" customWidth="1"/>
    <col min="13" max="13" width="0.85546875" style="38" customWidth="1"/>
    <col min="14" max="14" width="18.28515625" style="38" customWidth="1"/>
    <col min="15" max="15" width="1" style="42" customWidth="1"/>
    <col min="16" max="16" width="18.28515625" style="38" customWidth="1"/>
    <col min="17" max="17" width="1" style="42" customWidth="1"/>
    <col min="18" max="47" width="14.28515625" style="38" customWidth="1"/>
    <col min="48" max="68" width="9.42578125" style="38" customWidth="1"/>
    <col min="69" max="16384" width="8.85546875" style="38"/>
  </cols>
  <sheetData>
    <row r="1" spans="1:47" s="28" customFormat="1">
      <c r="L1" s="406"/>
      <c r="O1" s="197"/>
      <c r="Q1" s="197"/>
    </row>
    <row r="2" spans="1:47" s="28" customFormat="1" ht="18.75">
      <c r="H2" s="29" t="s">
        <v>17</v>
      </c>
      <c r="I2" s="29"/>
      <c r="J2" s="29" t="s">
        <v>294</v>
      </c>
      <c r="K2" s="29"/>
      <c r="L2" s="406"/>
      <c r="O2" s="197"/>
      <c r="Q2" s="197"/>
    </row>
    <row r="3" spans="1:47" s="28" customFormat="1" ht="18.75">
      <c r="H3" s="29" t="s">
        <v>18</v>
      </c>
      <c r="I3" s="29"/>
      <c r="J3" s="29" t="s">
        <v>295</v>
      </c>
      <c r="K3" s="29"/>
      <c r="L3" s="406"/>
      <c r="O3" s="197"/>
      <c r="Q3" s="197"/>
      <c r="R3" s="193"/>
    </row>
    <row r="4" spans="1:47" s="28" customFormat="1" ht="18.75">
      <c r="G4" s="968"/>
      <c r="H4" s="29" t="s">
        <v>297</v>
      </c>
      <c r="J4" s="29" t="s">
        <v>619</v>
      </c>
      <c r="L4" s="406"/>
      <c r="O4" s="197"/>
      <c r="Q4" s="197"/>
    </row>
    <row r="5" spans="1:47" s="28" customFormat="1">
      <c r="H5" s="31"/>
      <c r="I5" s="31"/>
      <c r="J5" s="31"/>
      <c r="K5" s="31"/>
      <c r="L5" s="406"/>
      <c r="O5" s="197"/>
      <c r="Q5" s="197"/>
    </row>
    <row r="6" spans="1:47" s="42" customFormat="1">
      <c r="A6" s="317"/>
      <c r="B6" s="317"/>
      <c r="C6" s="317"/>
      <c r="D6" s="317"/>
      <c r="E6" s="317"/>
      <c r="F6" s="317"/>
      <c r="G6" s="318" t="s">
        <v>505</v>
      </c>
      <c r="H6" s="317"/>
      <c r="I6" s="317"/>
      <c r="J6" s="317"/>
      <c r="K6" s="317"/>
      <c r="L6" s="40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row>
    <row r="7" spans="1:47" s="28" customFormat="1">
      <c r="L7" s="406"/>
      <c r="O7" s="197"/>
      <c r="Q7" s="197"/>
    </row>
    <row r="8" spans="1:47" s="28" customFormat="1">
      <c r="A8" s="40" t="s">
        <v>254</v>
      </c>
      <c r="B8" s="40" t="s">
        <v>44</v>
      </c>
      <c r="C8" s="40" t="s">
        <v>302</v>
      </c>
      <c r="D8" s="40" t="s">
        <v>298</v>
      </c>
      <c r="G8" s="324" t="s">
        <v>489</v>
      </c>
      <c r="H8" s="324"/>
      <c r="I8" s="324"/>
      <c r="J8" s="324"/>
      <c r="K8" s="324"/>
      <c r="L8" s="405"/>
      <c r="M8" s="256"/>
      <c r="N8" s="325" t="str">
        <f>"NPV "&amp;FirstYr-1&amp;" $"</f>
        <v>NPV 2013 $</v>
      </c>
      <c r="O8" s="311"/>
      <c r="P8" s="325" t="s">
        <v>491</v>
      </c>
      <c r="Q8" s="310"/>
      <c r="R8" s="325">
        <f>FirstYr</f>
        <v>2014</v>
      </c>
      <c r="S8" s="325">
        <f>R8+1</f>
        <v>2015</v>
      </c>
      <c r="T8" s="325">
        <f t="shared" ref="T8:AU8" si="0">S8+1</f>
        <v>2016</v>
      </c>
      <c r="U8" s="325">
        <f t="shared" si="0"/>
        <v>2017</v>
      </c>
      <c r="V8" s="325">
        <f t="shared" si="0"/>
        <v>2018</v>
      </c>
      <c r="W8" s="325">
        <f t="shared" si="0"/>
        <v>2019</v>
      </c>
      <c r="X8" s="325">
        <f t="shared" si="0"/>
        <v>2020</v>
      </c>
      <c r="Y8" s="325">
        <f t="shared" si="0"/>
        <v>2021</v>
      </c>
      <c r="Z8" s="325">
        <f t="shared" si="0"/>
        <v>2022</v>
      </c>
      <c r="AA8" s="325">
        <f t="shared" si="0"/>
        <v>2023</v>
      </c>
      <c r="AB8" s="325">
        <f t="shared" si="0"/>
        <v>2024</v>
      </c>
      <c r="AC8" s="325">
        <f t="shared" si="0"/>
        <v>2025</v>
      </c>
      <c r="AD8" s="325">
        <f t="shared" si="0"/>
        <v>2026</v>
      </c>
      <c r="AE8" s="325">
        <f t="shared" si="0"/>
        <v>2027</v>
      </c>
      <c r="AF8" s="325">
        <f t="shared" si="0"/>
        <v>2028</v>
      </c>
      <c r="AG8" s="325">
        <f t="shared" si="0"/>
        <v>2029</v>
      </c>
      <c r="AH8" s="325">
        <f t="shared" si="0"/>
        <v>2030</v>
      </c>
      <c r="AI8" s="325">
        <f t="shared" si="0"/>
        <v>2031</v>
      </c>
      <c r="AJ8" s="325">
        <f t="shared" si="0"/>
        <v>2032</v>
      </c>
      <c r="AK8" s="325">
        <f t="shared" si="0"/>
        <v>2033</v>
      </c>
      <c r="AL8" s="325">
        <f t="shared" si="0"/>
        <v>2034</v>
      </c>
      <c r="AM8" s="325">
        <f t="shared" si="0"/>
        <v>2035</v>
      </c>
      <c r="AN8" s="325">
        <f t="shared" si="0"/>
        <v>2036</v>
      </c>
      <c r="AO8" s="325">
        <f t="shared" si="0"/>
        <v>2037</v>
      </c>
      <c r="AP8" s="325">
        <f t="shared" si="0"/>
        <v>2038</v>
      </c>
      <c r="AQ8" s="325">
        <f t="shared" si="0"/>
        <v>2039</v>
      </c>
      <c r="AR8" s="325">
        <f t="shared" si="0"/>
        <v>2040</v>
      </c>
      <c r="AS8" s="325">
        <f t="shared" si="0"/>
        <v>2041</v>
      </c>
      <c r="AT8" s="325">
        <f t="shared" si="0"/>
        <v>2042</v>
      </c>
      <c r="AU8" s="325">
        <f t="shared" si="0"/>
        <v>2043</v>
      </c>
    </row>
    <row r="9" spans="1:47" s="28" customFormat="1">
      <c r="L9" s="406"/>
      <c r="O9" s="197"/>
      <c r="Q9" s="197"/>
    </row>
    <row r="10" spans="1:47" s="28" customFormat="1">
      <c r="B10" s="38" t="s">
        <v>306</v>
      </c>
      <c r="E10" s="254"/>
      <c r="G10" s="36" t="s">
        <v>8</v>
      </c>
      <c r="L10" s="43" t="str">
        <f>"["&amp;FirstYr-1&amp;" $]"</f>
        <v>[2013 $]</v>
      </c>
      <c r="N10" s="191">
        <f t="shared" ref="N10:N13" ca="1" si="1">NPV(DiscountRt,R10:AU10)</f>
        <v>28335688.679245282</v>
      </c>
      <c r="O10" s="189"/>
      <c r="P10" s="321"/>
      <c r="Q10" s="189"/>
      <c r="R10" s="190">
        <f t="shared" ref="R10:AU10" ca="1" si="2">IF($P10=0,SUMIF($B$96:$B$496,$B10,R$96:R$496),$P10*R$97)</f>
        <v>30035830</v>
      </c>
      <c r="S10" s="190">
        <f t="shared" ca="1" si="2"/>
        <v>0</v>
      </c>
      <c r="T10" s="190">
        <f t="shared" ca="1" si="2"/>
        <v>0</v>
      </c>
      <c r="U10" s="190">
        <f t="shared" ca="1" si="2"/>
        <v>0</v>
      </c>
      <c r="V10" s="190">
        <f t="shared" ca="1" si="2"/>
        <v>0</v>
      </c>
      <c r="W10" s="190">
        <f t="shared" ca="1" si="2"/>
        <v>0</v>
      </c>
      <c r="X10" s="190">
        <f t="shared" ca="1" si="2"/>
        <v>0</v>
      </c>
      <c r="Y10" s="190">
        <f t="shared" ca="1" si="2"/>
        <v>0</v>
      </c>
      <c r="Z10" s="190">
        <f t="shared" ca="1" si="2"/>
        <v>0</v>
      </c>
      <c r="AA10" s="190">
        <f t="shared" ca="1" si="2"/>
        <v>0</v>
      </c>
      <c r="AB10" s="190">
        <f t="shared" ca="1" si="2"/>
        <v>0</v>
      </c>
      <c r="AC10" s="190">
        <f t="shared" ca="1" si="2"/>
        <v>0</v>
      </c>
      <c r="AD10" s="190">
        <f t="shared" ca="1" si="2"/>
        <v>0</v>
      </c>
      <c r="AE10" s="190">
        <f t="shared" ca="1" si="2"/>
        <v>0</v>
      </c>
      <c r="AF10" s="190">
        <f t="shared" ca="1" si="2"/>
        <v>0</v>
      </c>
      <c r="AG10" s="190">
        <f t="shared" ca="1" si="2"/>
        <v>0</v>
      </c>
      <c r="AH10" s="190">
        <f t="shared" ca="1" si="2"/>
        <v>0</v>
      </c>
      <c r="AI10" s="190">
        <f t="shared" ca="1" si="2"/>
        <v>0</v>
      </c>
      <c r="AJ10" s="190">
        <f t="shared" ca="1" si="2"/>
        <v>0</v>
      </c>
      <c r="AK10" s="190">
        <f t="shared" ca="1" si="2"/>
        <v>0</v>
      </c>
      <c r="AL10" s="190">
        <f t="shared" ca="1" si="2"/>
        <v>0</v>
      </c>
      <c r="AM10" s="190">
        <f t="shared" ca="1" si="2"/>
        <v>0</v>
      </c>
      <c r="AN10" s="190">
        <f t="shared" ca="1" si="2"/>
        <v>0</v>
      </c>
      <c r="AO10" s="190">
        <f t="shared" ca="1" si="2"/>
        <v>0</v>
      </c>
      <c r="AP10" s="190">
        <f t="shared" ca="1" si="2"/>
        <v>0</v>
      </c>
      <c r="AQ10" s="190">
        <f t="shared" ca="1" si="2"/>
        <v>0</v>
      </c>
      <c r="AR10" s="190">
        <f t="shared" ca="1" si="2"/>
        <v>0</v>
      </c>
      <c r="AS10" s="190">
        <f t="shared" ca="1" si="2"/>
        <v>0</v>
      </c>
      <c r="AT10" s="190">
        <f t="shared" ca="1" si="2"/>
        <v>0</v>
      </c>
      <c r="AU10" s="190">
        <f t="shared" ca="1" si="2"/>
        <v>0</v>
      </c>
    </row>
    <row r="11" spans="1:47" s="28" customFormat="1">
      <c r="B11" s="38"/>
      <c r="E11" s="254"/>
      <c r="G11" s="36" t="s">
        <v>494</v>
      </c>
      <c r="L11" s="43" t="str">
        <f>"["&amp;FirstYr-1&amp;" $]"</f>
        <v>[2013 $]</v>
      </c>
      <c r="N11" s="191">
        <f t="shared" si="1"/>
        <v>0</v>
      </c>
      <c r="O11" s="189"/>
      <c r="P11" s="319"/>
      <c r="Q11" s="189"/>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row>
    <row r="12" spans="1:47" s="28" customFormat="1">
      <c r="B12" s="38"/>
      <c r="E12" s="254"/>
      <c r="G12" s="36" t="s">
        <v>495</v>
      </c>
      <c r="L12" s="43" t="str">
        <f>"["&amp;FirstYr-1&amp;" $]"</f>
        <v>[2013 $]</v>
      </c>
      <c r="N12" s="191">
        <f t="shared" si="1"/>
        <v>0</v>
      </c>
      <c r="O12" s="189"/>
      <c r="P12" s="319"/>
      <c r="Q12" s="189"/>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row>
    <row r="13" spans="1:47" s="28" customFormat="1">
      <c r="B13" s="38"/>
      <c r="E13" s="254"/>
      <c r="G13" s="36" t="s">
        <v>496</v>
      </c>
      <c r="L13" s="43" t="str">
        <f>"["&amp;FirstYr-1&amp;" $]"</f>
        <v>[2013 $]</v>
      </c>
      <c r="N13" s="191">
        <f t="shared" si="1"/>
        <v>0</v>
      </c>
      <c r="O13" s="189"/>
      <c r="P13" s="319"/>
      <c r="Q13" s="189"/>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row>
    <row r="14" spans="1:47">
      <c r="E14" s="49"/>
      <c r="G14" s="39" t="s">
        <v>114</v>
      </c>
      <c r="H14" s="42"/>
      <c r="I14" s="42"/>
      <c r="J14" s="42"/>
      <c r="K14" s="42"/>
      <c r="L14" s="43"/>
      <c r="M14" s="43"/>
      <c r="N14" s="189">
        <f ca="1">SUBTOTAL(9,N10:N13)</f>
        <v>28335688.679245282</v>
      </c>
      <c r="O14" s="189"/>
      <c r="P14" s="189"/>
      <c r="Q14" s="189"/>
      <c r="R14" s="189">
        <f t="shared" ref="R14:AU14" ca="1" si="3">SUBTOTAL(9,R10:R13)</f>
        <v>30035830</v>
      </c>
      <c r="S14" s="189">
        <f t="shared" ca="1" si="3"/>
        <v>0</v>
      </c>
      <c r="T14" s="189">
        <f t="shared" ca="1" si="3"/>
        <v>0</v>
      </c>
      <c r="U14" s="189">
        <f t="shared" ca="1" si="3"/>
        <v>0</v>
      </c>
      <c r="V14" s="189">
        <f t="shared" ca="1" si="3"/>
        <v>0</v>
      </c>
      <c r="W14" s="189">
        <f t="shared" ca="1" si="3"/>
        <v>0</v>
      </c>
      <c r="X14" s="189">
        <f t="shared" ca="1" si="3"/>
        <v>0</v>
      </c>
      <c r="Y14" s="189">
        <f t="shared" ca="1" si="3"/>
        <v>0</v>
      </c>
      <c r="Z14" s="189">
        <f t="shared" ca="1" si="3"/>
        <v>0</v>
      </c>
      <c r="AA14" s="189">
        <f t="shared" ca="1" si="3"/>
        <v>0</v>
      </c>
      <c r="AB14" s="189">
        <f t="shared" ca="1" si="3"/>
        <v>0</v>
      </c>
      <c r="AC14" s="189">
        <f t="shared" ca="1" si="3"/>
        <v>0</v>
      </c>
      <c r="AD14" s="189">
        <f t="shared" ca="1" si="3"/>
        <v>0</v>
      </c>
      <c r="AE14" s="189">
        <f t="shared" ca="1" si="3"/>
        <v>0</v>
      </c>
      <c r="AF14" s="189">
        <f t="shared" ca="1" si="3"/>
        <v>0</v>
      </c>
      <c r="AG14" s="189">
        <f t="shared" ca="1" si="3"/>
        <v>0</v>
      </c>
      <c r="AH14" s="189">
        <f t="shared" ca="1" si="3"/>
        <v>0</v>
      </c>
      <c r="AI14" s="189">
        <f t="shared" ca="1" si="3"/>
        <v>0</v>
      </c>
      <c r="AJ14" s="189">
        <f t="shared" ca="1" si="3"/>
        <v>0</v>
      </c>
      <c r="AK14" s="189">
        <f t="shared" ca="1" si="3"/>
        <v>0</v>
      </c>
      <c r="AL14" s="189">
        <f t="shared" ca="1" si="3"/>
        <v>0</v>
      </c>
      <c r="AM14" s="189">
        <f t="shared" ca="1" si="3"/>
        <v>0</v>
      </c>
      <c r="AN14" s="189">
        <f t="shared" ca="1" si="3"/>
        <v>0</v>
      </c>
      <c r="AO14" s="189">
        <f t="shared" ca="1" si="3"/>
        <v>0</v>
      </c>
      <c r="AP14" s="189">
        <f t="shared" ca="1" si="3"/>
        <v>0</v>
      </c>
      <c r="AQ14" s="189">
        <f t="shared" ca="1" si="3"/>
        <v>0</v>
      </c>
      <c r="AR14" s="189">
        <f t="shared" ca="1" si="3"/>
        <v>0</v>
      </c>
      <c r="AS14" s="189">
        <f t="shared" ca="1" si="3"/>
        <v>0</v>
      </c>
      <c r="AT14" s="189">
        <f t="shared" ca="1" si="3"/>
        <v>0</v>
      </c>
      <c r="AU14" s="189">
        <f t="shared" ca="1" si="3"/>
        <v>0</v>
      </c>
    </row>
    <row r="15" spans="1:47" s="28" customFormat="1">
      <c r="L15" s="406"/>
      <c r="O15" s="197"/>
      <c r="Q15" s="197"/>
    </row>
    <row r="16" spans="1:47" s="28" customFormat="1">
      <c r="A16" s="40"/>
      <c r="B16" s="40"/>
      <c r="C16" s="40"/>
      <c r="D16" s="40"/>
      <c r="G16" s="324" t="s">
        <v>400</v>
      </c>
      <c r="H16" s="324"/>
      <c r="I16" s="324"/>
      <c r="J16" s="324"/>
      <c r="K16" s="324"/>
      <c r="L16" s="405" t="s">
        <v>401</v>
      </c>
      <c r="M16" s="256"/>
      <c r="N16" s="325" t="str">
        <f>"NPV "&amp;FirstYr-1&amp;" $"</f>
        <v>NPV 2013 $</v>
      </c>
      <c r="O16" s="311"/>
      <c r="P16" s="325" t="s">
        <v>491</v>
      </c>
      <c r="Q16" s="310"/>
      <c r="R16" s="325">
        <f>R$8</f>
        <v>2014</v>
      </c>
      <c r="S16" s="325">
        <f t="shared" ref="S16:AU16" si="4">S$8</f>
        <v>2015</v>
      </c>
      <c r="T16" s="325">
        <f t="shared" si="4"/>
        <v>2016</v>
      </c>
      <c r="U16" s="325">
        <f t="shared" si="4"/>
        <v>2017</v>
      </c>
      <c r="V16" s="325">
        <f t="shared" si="4"/>
        <v>2018</v>
      </c>
      <c r="W16" s="325">
        <f t="shared" si="4"/>
        <v>2019</v>
      </c>
      <c r="X16" s="325">
        <f t="shared" si="4"/>
        <v>2020</v>
      </c>
      <c r="Y16" s="325">
        <f t="shared" si="4"/>
        <v>2021</v>
      </c>
      <c r="Z16" s="325">
        <f t="shared" si="4"/>
        <v>2022</v>
      </c>
      <c r="AA16" s="325">
        <f t="shared" si="4"/>
        <v>2023</v>
      </c>
      <c r="AB16" s="325">
        <f t="shared" si="4"/>
        <v>2024</v>
      </c>
      <c r="AC16" s="325">
        <f t="shared" si="4"/>
        <v>2025</v>
      </c>
      <c r="AD16" s="325">
        <f t="shared" si="4"/>
        <v>2026</v>
      </c>
      <c r="AE16" s="325">
        <f t="shared" si="4"/>
        <v>2027</v>
      </c>
      <c r="AF16" s="325">
        <f t="shared" si="4"/>
        <v>2028</v>
      </c>
      <c r="AG16" s="325">
        <f t="shared" si="4"/>
        <v>2029</v>
      </c>
      <c r="AH16" s="325">
        <f t="shared" si="4"/>
        <v>2030</v>
      </c>
      <c r="AI16" s="325">
        <f t="shared" si="4"/>
        <v>2031</v>
      </c>
      <c r="AJ16" s="325">
        <f t="shared" si="4"/>
        <v>2032</v>
      </c>
      <c r="AK16" s="325">
        <f t="shared" si="4"/>
        <v>2033</v>
      </c>
      <c r="AL16" s="325">
        <f t="shared" si="4"/>
        <v>2034</v>
      </c>
      <c r="AM16" s="325">
        <f t="shared" si="4"/>
        <v>2035</v>
      </c>
      <c r="AN16" s="325">
        <f t="shared" si="4"/>
        <v>2036</v>
      </c>
      <c r="AO16" s="325">
        <f t="shared" si="4"/>
        <v>2037</v>
      </c>
      <c r="AP16" s="325">
        <f t="shared" si="4"/>
        <v>2038</v>
      </c>
      <c r="AQ16" s="325">
        <f t="shared" si="4"/>
        <v>2039</v>
      </c>
      <c r="AR16" s="325">
        <f t="shared" si="4"/>
        <v>2040</v>
      </c>
      <c r="AS16" s="325">
        <f t="shared" si="4"/>
        <v>2041</v>
      </c>
      <c r="AT16" s="325">
        <f t="shared" si="4"/>
        <v>2042</v>
      </c>
      <c r="AU16" s="325">
        <f t="shared" si="4"/>
        <v>2043</v>
      </c>
    </row>
    <row r="17" spans="2:47">
      <c r="E17" s="49"/>
      <c r="G17" s="39"/>
      <c r="H17" s="28"/>
      <c r="I17" s="28"/>
      <c r="J17" s="28"/>
      <c r="K17" s="28"/>
      <c r="L17" s="406"/>
      <c r="M17" s="28"/>
      <c r="N17" s="28"/>
      <c r="O17" s="197"/>
      <c r="Q17" s="197"/>
    </row>
    <row r="18" spans="2:47">
      <c r="E18" s="49"/>
      <c r="G18" s="39" t="s">
        <v>23</v>
      </c>
      <c r="H18" s="28"/>
      <c r="I18" s="28"/>
      <c r="J18" s="28"/>
      <c r="K18" s="28"/>
      <c r="L18" s="406"/>
      <c r="M18" s="28"/>
      <c r="N18" s="28"/>
      <c r="O18" s="197"/>
      <c r="Q18" s="197"/>
    </row>
    <row r="19" spans="2:47">
      <c r="B19" s="38" t="s">
        <v>262</v>
      </c>
      <c r="E19" s="49"/>
      <c r="G19" s="36" t="s">
        <v>125</v>
      </c>
      <c r="H19" s="28"/>
      <c r="I19" s="28"/>
      <c r="J19" s="527"/>
      <c r="K19" s="28"/>
      <c r="L19" s="43" t="str">
        <f t="shared" ref="L19:L29" si="5">"["&amp;FirstYr-1&amp;" $]"</f>
        <v>[2013 $]</v>
      </c>
      <c r="M19" s="28"/>
      <c r="N19" s="191">
        <f t="shared" ref="N19:N29" ca="1" si="6">NPV(DiscountRt,R19:AU19)</f>
        <v>9468277.8886760529</v>
      </c>
      <c r="O19" s="189"/>
      <c r="P19" s="321"/>
      <c r="Q19" s="189"/>
      <c r="R19" s="190">
        <f t="shared" ref="R19:AU19" ca="1" si="7">IF($P19=0,SUMIF($B$96:$B$496,$B19,R$96:R$496),IF(OR(S$99&lt;InServiceYr,S$99&gt;(InServiceYr+analysis_period)),0,$P19*(1+LaborEsc)^(R$16-FirstYr)))</f>
        <v>705699.75</v>
      </c>
      <c r="S19" s="190">
        <f t="shared" ca="1" si="7"/>
        <v>719813.74500000011</v>
      </c>
      <c r="T19" s="190">
        <f t="shared" ca="1" si="7"/>
        <v>734210.01990000007</v>
      </c>
      <c r="U19" s="190">
        <f t="shared" ca="1" si="7"/>
        <v>748894.22029800003</v>
      </c>
      <c r="V19" s="190">
        <f t="shared" ca="1" si="7"/>
        <v>763872.10470396001</v>
      </c>
      <c r="W19" s="190">
        <f t="shared" ca="1" si="7"/>
        <v>779149.54679803923</v>
      </c>
      <c r="X19" s="190">
        <f t="shared" ca="1" si="7"/>
        <v>794732.53773399978</v>
      </c>
      <c r="Y19" s="190">
        <f t="shared" ca="1" si="7"/>
        <v>810627.18848867994</v>
      </c>
      <c r="Z19" s="190">
        <f t="shared" ca="1" si="7"/>
        <v>826839.7322584535</v>
      </c>
      <c r="AA19" s="190">
        <f t="shared" ca="1" si="7"/>
        <v>843376.52690362267</v>
      </c>
      <c r="AB19" s="190">
        <f t="shared" ca="1" si="7"/>
        <v>860244.05744169489</v>
      </c>
      <c r="AC19" s="190">
        <f t="shared" ca="1" si="7"/>
        <v>877448.93859052891</v>
      </c>
      <c r="AD19" s="190">
        <f t="shared" ca="1" si="7"/>
        <v>894997.91736233945</v>
      </c>
      <c r="AE19" s="190">
        <f t="shared" ca="1" si="7"/>
        <v>912897.87570958631</v>
      </c>
      <c r="AF19" s="190">
        <f t="shared" ca="1" si="7"/>
        <v>931155.83322377794</v>
      </c>
      <c r="AG19" s="190">
        <f t="shared" ca="1" si="7"/>
        <v>949778.9498882537</v>
      </c>
      <c r="AH19" s="190">
        <f t="shared" ca="1" si="7"/>
        <v>968774.52888601867</v>
      </c>
      <c r="AI19" s="190">
        <f t="shared" ca="1" si="7"/>
        <v>988150.01946373901</v>
      </c>
      <c r="AJ19" s="190">
        <f t="shared" ca="1" si="7"/>
        <v>1007913.0198530138</v>
      </c>
      <c r="AK19" s="190">
        <f t="shared" ca="1" si="7"/>
        <v>1028071.2802500742</v>
      </c>
      <c r="AL19" s="190">
        <f t="shared" si="7"/>
        <v>0</v>
      </c>
      <c r="AM19" s="190">
        <f t="shared" si="7"/>
        <v>0</v>
      </c>
      <c r="AN19" s="190">
        <f t="shared" si="7"/>
        <v>0</v>
      </c>
      <c r="AO19" s="190">
        <f t="shared" si="7"/>
        <v>0</v>
      </c>
      <c r="AP19" s="190">
        <f t="shared" si="7"/>
        <v>0</v>
      </c>
      <c r="AQ19" s="190">
        <f t="shared" si="7"/>
        <v>0</v>
      </c>
      <c r="AR19" s="190">
        <f t="shared" si="7"/>
        <v>0</v>
      </c>
      <c r="AS19" s="190">
        <f t="shared" si="7"/>
        <v>0</v>
      </c>
      <c r="AT19" s="190">
        <f t="shared" si="7"/>
        <v>0</v>
      </c>
      <c r="AU19" s="190">
        <f t="shared" si="7"/>
        <v>0</v>
      </c>
    </row>
    <row r="20" spans="2:47">
      <c r="B20" s="38" t="s">
        <v>270</v>
      </c>
      <c r="E20" s="49"/>
      <c r="G20" s="36" t="s">
        <v>126</v>
      </c>
      <c r="H20" s="28"/>
      <c r="I20" s="28"/>
      <c r="J20" s="527"/>
      <c r="K20" s="28"/>
      <c r="L20" s="43" t="str">
        <f t="shared" si="5"/>
        <v>[2013 $]</v>
      </c>
      <c r="M20" s="28"/>
      <c r="N20" s="191">
        <f t="shared" ca="1" si="6"/>
        <v>3202337.2071042955</v>
      </c>
      <c r="O20" s="189"/>
      <c r="P20" s="321"/>
      <c r="Q20" s="189"/>
      <c r="R20" s="190">
        <f t="shared" ref="R20:AU20" ca="1" si="8">IF($P20=0,SUMIF($B$96:$B$496,$B20,R$96:R$496),IF(OR(S$99&lt;InServiceYr,S$99&gt;(InServiceYr+analysis_period)),0,$P20*(1+LaborEsc)^(R$16-FirstYr)))</f>
        <v>238680</v>
      </c>
      <c r="S20" s="190">
        <f t="shared" ca="1" si="8"/>
        <v>243453.6</v>
      </c>
      <c r="T20" s="190">
        <f t="shared" ca="1" si="8"/>
        <v>248322.67199999999</v>
      </c>
      <c r="U20" s="190">
        <f t="shared" ca="1" si="8"/>
        <v>253289.12544</v>
      </c>
      <c r="V20" s="190">
        <f t="shared" ca="1" si="8"/>
        <v>258354.90794880004</v>
      </c>
      <c r="W20" s="190">
        <f t="shared" ca="1" si="8"/>
        <v>263522.00610777602</v>
      </c>
      <c r="X20" s="190">
        <f t="shared" ca="1" si="8"/>
        <v>268792.44622993143</v>
      </c>
      <c r="Y20" s="190">
        <f t="shared" ca="1" si="8"/>
        <v>274168.29515453009</v>
      </c>
      <c r="Z20" s="190">
        <f t="shared" ca="1" si="8"/>
        <v>279651.66105762072</v>
      </c>
      <c r="AA20" s="190">
        <f t="shared" ca="1" si="8"/>
        <v>285244.69427877321</v>
      </c>
      <c r="AB20" s="190">
        <f t="shared" ca="1" si="8"/>
        <v>290949.58816434856</v>
      </c>
      <c r="AC20" s="190">
        <f t="shared" ca="1" si="8"/>
        <v>296768.57992763555</v>
      </c>
      <c r="AD20" s="190">
        <f t="shared" ca="1" si="8"/>
        <v>302703.95152618823</v>
      </c>
      <c r="AE20" s="190">
        <f t="shared" ca="1" si="8"/>
        <v>308758.03055671207</v>
      </c>
      <c r="AF20" s="190">
        <f t="shared" ca="1" si="8"/>
        <v>314933.19116784626</v>
      </c>
      <c r="AG20" s="190">
        <f t="shared" ca="1" si="8"/>
        <v>321231.85499120323</v>
      </c>
      <c r="AH20" s="190">
        <f t="shared" ca="1" si="8"/>
        <v>327656.49209102738</v>
      </c>
      <c r="AI20" s="190">
        <f t="shared" ca="1" si="8"/>
        <v>334209.62193284777</v>
      </c>
      <c r="AJ20" s="190">
        <f t="shared" ca="1" si="8"/>
        <v>340893.81437150476</v>
      </c>
      <c r="AK20" s="190">
        <f t="shared" ca="1" si="8"/>
        <v>347711.69065893494</v>
      </c>
      <c r="AL20" s="190">
        <f t="shared" si="8"/>
        <v>0</v>
      </c>
      <c r="AM20" s="190">
        <f t="shared" si="8"/>
        <v>0</v>
      </c>
      <c r="AN20" s="190">
        <f t="shared" si="8"/>
        <v>0</v>
      </c>
      <c r="AO20" s="190">
        <f t="shared" si="8"/>
        <v>0</v>
      </c>
      <c r="AP20" s="190">
        <f t="shared" si="8"/>
        <v>0</v>
      </c>
      <c r="AQ20" s="190">
        <f t="shared" si="8"/>
        <v>0</v>
      </c>
      <c r="AR20" s="190">
        <f t="shared" si="8"/>
        <v>0</v>
      </c>
      <c r="AS20" s="190">
        <f t="shared" si="8"/>
        <v>0</v>
      </c>
      <c r="AT20" s="190">
        <f t="shared" si="8"/>
        <v>0</v>
      </c>
      <c r="AU20" s="190">
        <f t="shared" si="8"/>
        <v>0</v>
      </c>
    </row>
    <row r="21" spans="2:47">
      <c r="B21" s="38" t="s">
        <v>263</v>
      </c>
      <c r="E21" s="49"/>
      <c r="G21" s="36" t="s">
        <v>127</v>
      </c>
      <c r="H21" s="28"/>
      <c r="I21" s="28"/>
      <c r="J21" s="527"/>
      <c r="K21" s="28"/>
      <c r="L21" s="43" t="str">
        <f t="shared" si="5"/>
        <v>[2013 $]</v>
      </c>
      <c r="M21" s="28"/>
      <c r="N21" s="191">
        <f t="shared" ca="1" si="6"/>
        <v>4406634.9602033468</v>
      </c>
      <c r="O21" s="189"/>
      <c r="P21" s="321"/>
      <c r="Q21" s="189"/>
      <c r="R21" s="190">
        <f t="shared" ref="R21:AU21" ca="1" si="9">IF($P21=0,SUMIF($B$96:$B$496,$B21,R$96:R$496),IF(OR(S$99&lt;InServiceYr,S$99&gt;(InServiceYr+analysis_period)),0,$P21*(1+LaborEsc)^(R$16-FirstYr)))</f>
        <v>328440</v>
      </c>
      <c r="S21" s="190">
        <f t="shared" ca="1" si="9"/>
        <v>335008.8</v>
      </c>
      <c r="T21" s="190">
        <f t="shared" ca="1" si="9"/>
        <v>341708.97600000002</v>
      </c>
      <c r="U21" s="190">
        <f t="shared" ca="1" si="9"/>
        <v>348543.15551999997</v>
      </c>
      <c r="V21" s="190">
        <f t="shared" ca="1" si="9"/>
        <v>355514.01863039995</v>
      </c>
      <c r="W21" s="190">
        <f t="shared" ca="1" si="9"/>
        <v>362624.29900300805</v>
      </c>
      <c r="X21" s="190">
        <f t="shared" ca="1" si="9"/>
        <v>369876.78498306806</v>
      </c>
      <c r="Y21" s="190">
        <f t="shared" ca="1" si="9"/>
        <v>377274.32068272948</v>
      </c>
      <c r="Z21" s="190">
        <f t="shared" ca="1" si="9"/>
        <v>384819.80709638406</v>
      </c>
      <c r="AA21" s="190">
        <f t="shared" ca="1" si="9"/>
        <v>392516.20323831181</v>
      </c>
      <c r="AB21" s="190">
        <f t="shared" ca="1" si="9"/>
        <v>400366.52730307798</v>
      </c>
      <c r="AC21" s="190">
        <f t="shared" ca="1" si="9"/>
        <v>408373.85784913955</v>
      </c>
      <c r="AD21" s="190">
        <f t="shared" ca="1" si="9"/>
        <v>416541.33500612236</v>
      </c>
      <c r="AE21" s="190">
        <f t="shared" ca="1" si="9"/>
        <v>424872.16170624486</v>
      </c>
      <c r="AF21" s="190">
        <f t="shared" ca="1" si="9"/>
        <v>433369.60494036961</v>
      </c>
      <c r="AG21" s="190">
        <f t="shared" ca="1" si="9"/>
        <v>442036.99703917711</v>
      </c>
      <c r="AH21" s="190">
        <f t="shared" ca="1" si="9"/>
        <v>450877.7369799607</v>
      </c>
      <c r="AI21" s="190">
        <f t="shared" ca="1" si="9"/>
        <v>459895.29171955981</v>
      </c>
      <c r="AJ21" s="190">
        <f t="shared" ca="1" si="9"/>
        <v>469093.197553951</v>
      </c>
      <c r="AK21" s="190">
        <f t="shared" ca="1" si="9"/>
        <v>478475.06150503008</v>
      </c>
      <c r="AL21" s="190">
        <f t="shared" si="9"/>
        <v>0</v>
      </c>
      <c r="AM21" s="190">
        <f t="shared" si="9"/>
        <v>0</v>
      </c>
      <c r="AN21" s="190">
        <f t="shared" si="9"/>
        <v>0</v>
      </c>
      <c r="AO21" s="190">
        <f t="shared" si="9"/>
        <v>0</v>
      </c>
      <c r="AP21" s="190">
        <f t="shared" si="9"/>
        <v>0</v>
      </c>
      <c r="AQ21" s="190">
        <f t="shared" si="9"/>
        <v>0</v>
      </c>
      <c r="AR21" s="190">
        <f t="shared" si="9"/>
        <v>0</v>
      </c>
      <c r="AS21" s="190">
        <f t="shared" si="9"/>
        <v>0</v>
      </c>
      <c r="AT21" s="190">
        <f t="shared" si="9"/>
        <v>0</v>
      </c>
      <c r="AU21" s="190">
        <f t="shared" si="9"/>
        <v>0</v>
      </c>
    </row>
    <row r="22" spans="2:47">
      <c r="B22" s="38" t="s">
        <v>277</v>
      </c>
      <c r="E22" s="49"/>
      <c r="G22" s="36" t="s">
        <v>276</v>
      </c>
      <c r="H22" s="28"/>
      <c r="I22" s="28"/>
      <c r="J22" s="527"/>
      <c r="K22" s="28"/>
      <c r="L22" s="43" t="str">
        <f t="shared" si="5"/>
        <v>[2013 $]</v>
      </c>
      <c r="M22" s="28"/>
      <c r="N22" s="191">
        <f t="shared" ca="1" si="6"/>
        <v>4748765.0036973963</v>
      </c>
      <c r="O22" s="189"/>
      <c r="P22" s="321"/>
      <c r="Q22" s="189"/>
      <c r="R22" s="190">
        <f t="shared" ref="R22:AU22" ca="1" si="10">IF($P22=0,SUMIF($B$96:$B$496,$B22,R$96:R$496),IF(OR(S$99&lt;InServiceYr,S$99&gt;(InServiceYr+analysis_period)),0,$P22*(1+LaborEsc)^(R$16-FirstYr)))</f>
        <v>353940</v>
      </c>
      <c r="S22" s="190">
        <f t="shared" ca="1" si="10"/>
        <v>361018.8</v>
      </c>
      <c r="T22" s="190">
        <f t="shared" ca="1" si="10"/>
        <v>368239.17599999998</v>
      </c>
      <c r="U22" s="190">
        <f t="shared" ca="1" si="10"/>
        <v>375603.95952000003</v>
      </c>
      <c r="V22" s="190">
        <f t="shared" ca="1" si="10"/>
        <v>383116.0387104</v>
      </c>
      <c r="W22" s="190">
        <f t="shared" ca="1" si="10"/>
        <v>390778.35948460799</v>
      </c>
      <c r="X22" s="190">
        <f t="shared" ca="1" si="10"/>
        <v>398593.92667430011</v>
      </c>
      <c r="Y22" s="190">
        <f t="shared" ca="1" si="10"/>
        <v>406565.80520778615</v>
      </c>
      <c r="Z22" s="190">
        <f t="shared" ca="1" si="10"/>
        <v>414697.12131194182</v>
      </c>
      <c r="AA22" s="190">
        <f t="shared" ca="1" si="10"/>
        <v>422991.06373818073</v>
      </c>
      <c r="AB22" s="190">
        <f t="shared" ca="1" si="10"/>
        <v>431450.88501294423</v>
      </c>
      <c r="AC22" s="190">
        <f t="shared" ca="1" si="10"/>
        <v>440079.90271320322</v>
      </c>
      <c r="AD22" s="190">
        <f t="shared" ca="1" si="10"/>
        <v>448881.50076746725</v>
      </c>
      <c r="AE22" s="190">
        <f t="shared" ca="1" si="10"/>
        <v>457859.13078281668</v>
      </c>
      <c r="AF22" s="190">
        <f t="shared" ca="1" si="10"/>
        <v>467016.31339847285</v>
      </c>
      <c r="AG22" s="190">
        <f t="shared" ca="1" si="10"/>
        <v>476356.63966644241</v>
      </c>
      <c r="AH22" s="190">
        <f t="shared" ca="1" si="10"/>
        <v>485883.77245977125</v>
      </c>
      <c r="AI22" s="190">
        <f t="shared" ca="1" si="10"/>
        <v>495601.44790896663</v>
      </c>
      <c r="AJ22" s="190">
        <f t="shared" ca="1" si="10"/>
        <v>505513.47686714598</v>
      </c>
      <c r="AK22" s="190">
        <f t="shared" ca="1" si="10"/>
        <v>515623.74640448892</v>
      </c>
      <c r="AL22" s="190">
        <f t="shared" si="10"/>
        <v>0</v>
      </c>
      <c r="AM22" s="190">
        <f t="shared" si="10"/>
        <v>0</v>
      </c>
      <c r="AN22" s="190">
        <f t="shared" si="10"/>
        <v>0</v>
      </c>
      <c r="AO22" s="190">
        <f t="shared" si="10"/>
        <v>0</v>
      </c>
      <c r="AP22" s="190">
        <f t="shared" si="10"/>
        <v>0</v>
      </c>
      <c r="AQ22" s="190">
        <f t="shared" si="10"/>
        <v>0</v>
      </c>
      <c r="AR22" s="190">
        <f t="shared" si="10"/>
        <v>0</v>
      </c>
      <c r="AS22" s="190">
        <f t="shared" si="10"/>
        <v>0</v>
      </c>
      <c r="AT22" s="190">
        <f t="shared" si="10"/>
        <v>0</v>
      </c>
      <c r="AU22" s="190">
        <f t="shared" si="10"/>
        <v>0</v>
      </c>
    </row>
    <row r="23" spans="2:47">
      <c r="B23" s="38" t="s">
        <v>274</v>
      </c>
      <c r="E23" s="49"/>
      <c r="G23" s="36" t="s">
        <v>16</v>
      </c>
      <c r="H23" s="28"/>
      <c r="I23" s="28"/>
      <c r="J23" s="527"/>
      <c r="K23" s="28"/>
      <c r="L23" s="43" t="str">
        <f t="shared" si="5"/>
        <v>[2013 $]</v>
      </c>
      <c r="M23" s="28"/>
      <c r="N23" s="191">
        <f t="shared" ca="1" si="6"/>
        <v>698562.82938168244</v>
      </c>
      <c r="O23" s="189"/>
      <c r="P23" s="321"/>
      <c r="Q23" s="189"/>
      <c r="R23" s="190">
        <f t="shared" ref="R23:AU23" ca="1" si="11">IF($P23=0,SUMIF($B$96:$B$496,$B23,R$96:R$496),IF(OR(S$99&lt;InServiceYr,S$99&gt;(InServiceYr+analysis_period)),0,$P23*(1+LaborEsc)^(R$16-FirstYr)))</f>
        <v>41129.11456760775</v>
      </c>
      <c r="S23" s="190">
        <f t="shared" ca="1" si="11"/>
        <v>42212.713111879297</v>
      </c>
      <c r="T23" s="190">
        <f t="shared" ca="1" si="11"/>
        <v>47172.550344720468</v>
      </c>
      <c r="U23" s="190">
        <f t="shared" ca="1" si="11"/>
        <v>49875.483225207645</v>
      </c>
      <c r="V23" s="190">
        <f t="shared" ca="1" si="11"/>
        <v>53212.931990746962</v>
      </c>
      <c r="W23" s="190">
        <f t="shared" ca="1" si="11"/>
        <v>55360.532484519877</v>
      </c>
      <c r="X23" s="190">
        <f t="shared" ca="1" si="11"/>
        <v>57104.145773674783</v>
      </c>
      <c r="Y23" s="190">
        <f t="shared" ca="1" si="11"/>
        <v>59263.846358642637</v>
      </c>
      <c r="Z23" s="190">
        <f t="shared" ca="1" si="11"/>
        <v>62341.102859708095</v>
      </c>
      <c r="AA23" s="190">
        <f t="shared" ca="1" si="11"/>
        <v>65462.747260079355</v>
      </c>
      <c r="AB23" s="190">
        <f t="shared" ca="1" si="11"/>
        <v>67741.07531201758</v>
      </c>
      <c r="AC23" s="190">
        <f t="shared" ca="1" si="11"/>
        <v>69426.937758814995</v>
      </c>
      <c r="AD23" s="190">
        <f t="shared" ca="1" si="11"/>
        <v>71891.845455292787</v>
      </c>
      <c r="AE23" s="190">
        <f t="shared" ca="1" si="11"/>
        <v>73653.864138530305</v>
      </c>
      <c r="AF23" s="190">
        <f t="shared" ca="1" si="11"/>
        <v>76213.888762091927</v>
      </c>
      <c r="AG23" s="190">
        <f t="shared" ca="1" si="11"/>
        <v>78710.743923626957</v>
      </c>
      <c r="AH23" s="190">
        <f t="shared" ca="1" si="11"/>
        <v>81095.420223417663</v>
      </c>
      <c r="AI23" s="190">
        <f t="shared" ca="1" si="11"/>
        <v>84060.381429588873</v>
      </c>
      <c r="AJ23" s="190">
        <f t="shared" ca="1" si="11"/>
        <v>86822.014530425135</v>
      </c>
      <c r="AK23" s="190">
        <f t="shared" ca="1" si="11"/>
        <v>90300.97435509105</v>
      </c>
      <c r="AL23" s="190">
        <f t="shared" si="11"/>
        <v>0</v>
      </c>
      <c r="AM23" s="190">
        <f t="shared" si="11"/>
        <v>0</v>
      </c>
      <c r="AN23" s="190">
        <f t="shared" si="11"/>
        <v>0</v>
      </c>
      <c r="AO23" s="190">
        <f t="shared" si="11"/>
        <v>0</v>
      </c>
      <c r="AP23" s="190">
        <f t="shared" si="11"/>
        <v>0</v>
      </c>
      <c r="AQ23" s="190">
        <f t="shared" si="11"/>
        <v>0</v>
      </c>
      <c r="AR23" s="190">
        <f t="shared" si="11"/>
        <v>0</v>
      </c>
      <c r="AS23" s="190">
        <f t="shared" si="11"/>
        <v>0</v>
      </c>
      <c r="AT23" s="190">
        <f t="shared" si="11"/>
        <v>0</v>
      </c>
      <c r="AU23" s="190">
        <f t="shared" si="11"/>
        <v>0</v>
      </c>
    </row>
    <row r="24" spans="2:47">
      <c r="B24" s="38" t="s">
        <v>257</v>
      </c>
      <c r="E24" s="49"/>
      <c r="G24" s="36" t="s">
        <v>284</v>
      </c>
      <c r="H24" s="28"/>
      <c r="I24" s="28"/>
      <c r="J24" s="527"/>
      <c r="K24" s="28"/>
      <c r="L24" s="43" t="str">
        <f t="shared" si="5"/>
        <v>[2013 $]</v>
      </c>
      <c r="M24" s="28"/>
      <c r="N24" s="191">
        <f t="shared" ca="1" si="6"/>
        <v>116863.96062456917</v>
      </c>
      <c r="O24" s="189"/>
      <c r="P24" s="321"/>
      <c r="Q24" s="189"/>
      <c r="R24" s="190">
        <f t="shared" ref="R24:AU24" ca="1" si="12">IF($P24=0,SUMIF($B$96:$B$496,$B24,R$96:R$496),IF(OR(S$99&lt;InServiceYr,S$99&gt;(InServiceYr+analysis_period)),0,$P24*(1+LaborEsc)^(R$16-FirstYr)))</f>
        <v>8510.5574579522745</v>
      </c>
      <c r="S24" s="190">
        <f t="shared" ca="1" si="12"/>
        <v>8563.6082840804938</v>
      </c>
      <c r="T24" s="190">
        <f t="shared" ca="1" si="12"/>
        <v>8932.7849362138077</v>
      </c>
      <c r="U24" s="190">
        <f t="shared" ca="1" si="12"/>
        <v>9200.7461313609383</v>
      </c>
      <c r="V24" s="190">
        <f t="shared" ca="1" si="12"/>
        <v>9422.770351388026</v>
      </c>
      <c r="W24" s="190">
        <f t="shared" ca="1" si="12"/>
        <v>9543.3185173478523</v>
      </c>
      <c r="X24" s="190">
        <f t="shared" ca="1" si="12"/>
        <v>9698.6119124059569</v>
      </c>
      <c r="Y24" s="190">
        <f t="shared" ca="1" si="12"/>
        <v>9937.5659565970054</v>
      </c>
      <c r="Z24" s="190">
        <f t="shared" ca="1" si="12"/>
        <v>10175.478061769043</v>
      </c>
      <c r="AA24" s="190">
        <f t="shared" ca="1" si="12"/>
        <v>10429.890005921263</v>
      </c>
      <c r="AB24" s="190">
        <f t="shared" ca="1" si="12"/>
        <v>10655.799368983004</v>
      </c>
      <c r="AC24" s="190">
        <f t="shared" ca="1" si="12"/>
        <v>10860.991264098882</v>
      </c>
      <c r="AD24" s="190">
        <f t="shared" ca="1" si="12"/>
        <v>11111.877958771523</v>
      </c>
      <c r="AE24" s="190">
        <f t="shared" ca="1" si="12"/>
        <v>11365.136086881992</v>
      </c>
      <c r="AF24" s="190">
        <f t="shared" ca="1" si="12"/>
        <v>11635.360432886715</v>
      </c>
      <c r="AG24" s="190">
        <f t="shared" ca="1" si="12"/>
        <v>11938.075393933055</v>
      </c>
      <c r="AH24" s="190">
        <f t="shared" ca="1" si="12"/>
        <v>12230.647287556325</v>
      </c>
      <c r="AI24" s="190">
        <f t="shared" ca="1" si="12"/>
        <v>12547.929625435043</v>
      </c>
      <c r="AJ24" s="190">
        <f t="shared" ca="1" si="12"/>
        <v>12883.819044208192</v>
      </c>
      <c r="AK24" s="190">
        <f t="shared" ca="1" si="12"/>
        <v>13234.301000911195</v>
      </c>
      <c r="AL24" s="190">
        <f t="shared" si="12"/>
        <v>0</v>
      </c>
      <c r="AM24" s="190">
        <f t="shared" si="12"/>
        <v>0</v>
      </c>
      <c r="AN24" s="190">
        <f t="shared" si="12"/>
        <v>0</v>
      </c>
      <c r="AO24" s="190">
        <f t="shared" si="12"/>
        <v>0</v>
      </c>
      <c r="AP24" s="190">
        <f t="shared" si="12"/>
        <v>0</v>
      </c>
      <c r="AQ24" s="190">
        <f t="shared" si="12"/>
        <v>0</v>
      </c>
      <c r="AR24" s="190">
        <f t="shared" si="12"/>
        <v>0</v>
      </c>
      <c r="AS24" s="190">
        <f t="shared" si="12"/>
        <v>0</v>
      </c>
      <c r="AT24" s="190">
        <f t="shared" si="12"/>
        <v>0</v>
      </c>
      <c r="AU24" s="190">
        <f t="shared" si="12"/>
        <v>0</v>
      </c>
    </row>
    <row r="25" spans="2:47">
      <c r="B25" s="38" t="s">
        <v>864</v>
      </c>
      <c r="E25" s="49"/>
      <c r="G25" s="36" t="s">
        <v>865</v>
      </c>
      <c r="H25" s="28"/>
      <c r="I25" s="28"/>
      <c r="J25" s="527"/>
      <c r="K25" s="28"/>
      <c r="L25" s="43" t="str">
        <f t="shared" si="5"/>
        <v>[2013 $]</v>
      </c>
      <c r="M25" s="28"/>
      <c r="N25" s="191">
        <f t="shared" ca="1" si="6"/>
        <v>0</v>
      </c>
      <c r="O25" s="189"/>
      <c r="P25" s="321"/>
      <c r="Q25" s="189"/>
      <c r="R25" s="190">
        <f t="shared" ref="R25:AU25" ca="1" si="13">IF($P25=0,SUMIF($B$96:$B$496,$B25,R$96:R$496),IF(OR(S$99&lt;InServiceYr,S$99&gt;(InServiceYr+analysis_period)),0,$P25*(1+LaborEsc)^(R$16-FirstYr)))</f>
        <v>0</v>
      </c>
      <c r="S25" s="190">
        <f t="shared" ca="1" si="13"/>
        <v>0</v>
      </c>
      <c r="T25" s="190">
        <f t="shared" ca="1" si="13"/>
        <v>0</v>
      </c>
      <c r="U25" s="190">
        <f t="shared" ca="1" si="13"/>
        <v>0</v>
      </c>
      <c r="V25" s="190">
        <f t="shared" ca="1" si="13"/>
        <v>0</v>
      </c>
      <c r="W25" s="190">
        <f t="shared" ca="1" si="13"/>
        <v>0</v>
      </c>
      <c r="X25" s="190">
        <f t="shared" ca="1" si="13"/>
        <v>0</v>
      </c>
      <c r="Y25" s="190">
        <f t="shared" ca="1" si="13"/>
        <v>0</v>
      </c>
      <c r="Z25" s="190">
        <f t="shared" ca="1" si="13"/>
        <v>0</v>
      </c>
      <c r="AA25" s="190">
        <f t="shared" ca="1" si="13"/>
        <v>0</v>
      </c>
      <c r="AB25" s="190">
        <f t="shared" ca="1" si="13"/>
        <v>0</v>
      </c>
      <c r="AC25" s="190">
        <f t="shared" ca="1" si="13"/>
        <v>0</v>
      </c>
      <c r="AD25" s="190">
        <f t="shared" ca="1" si="13"/>
        <v>0</v>
      </c>
      <c r="AE25" s="190">
        <f t="shared" ca="1" si="13"/>
        <v>0</v>
      </c>
      <c r="AF25" s="190">
        <f t="shared" ca="1" si="13"/>
        <v>0</v>
      </c>
      <c r="AG25" s="190">
        <f t="shared" ca="1" si="13"/>
        <v>0</v>
      </c>
      <c r="AH25" s="190">
        <f t="shared" ca="1" si="13"/>
        <v>0</v>
      </c>
      <c r="AI25" s="190">
        <f t="shared" ca="1" si="13"/>
        <v>0</v>
      </c>
      <c r="AJ25" s="190">
        <f t="shared" ca="1" si="13"/>
        <v>0</v>
      </c>
      <c r="AK25" s="190">
        <f t="shared" ca="1" si="13"/>
        <v>0</v>
      </c>
      <c r="AL25" s="190">
        <f t="shared" si="13"/>
        <v>0</v>
      </c>
      <c r="AM25" s="190">
        <f t="shared" si="13"/>
        <v>0</v>
      </c>
      <c r="AN25" s="190">
        <f t="shared" si="13"/>
        <v>0</v>
      </c>
      <c r="AO25" s="190">
        <f t="shared" si="13"/>
        <v>0</v>
      </c>
      <c r="AP25" s="190">
        <f t="shared" si="13"/>
        <v>0</v>
      </c>
      <c r="AQ25" s="190">
        <f t="shared" si="13"/>
        <v>0</v>
      </c>
      <c r="AR25" s="190">
        <f t="shared" si="13"/>
        <v>0</v>
      </c>
      <c r="AS25" s="190">
        <f t="shared" si="13"/>
        <v>0</v>
      </c>
      <c r="AT25" s="190">
        <f t="shared" si="13"/>
        <v>0</v>
      </c>
      <c r="AU25" s="190">
        <f t="shared" si="13"/>
        <v>0</v>
      </c>
    </row>
    <row r="26" spans="2:47">
      <c r="B26" s="38" t="s">
        <v>273</v>
      </c>
      <c r="E26" s="49"/>
      <c r="G26" s="36" t="s">
        <v>291</v>
      </c>
      <c r="H26" s="28"/>
      <c r="I26" s="28"/>
      <c r="J26" s="527"/>
      <c r="K26" s="28"/>
      <c r="L26" s="43" t="str">
        <f t="shared" si="5"/>
        <v>[2013 $]</v>
      </c>
      <c r="M26" s="28"/>
      <c r="N26" s="191">
        <f t="shared" ca="1" si="6"/>
        <v>0</v>
      </c>
      <c r="O26" s="189"/>
      <c r="P26" s="321"/>
      <c r="Q26" s="189"/>
      <c r="R26" s="190">
        <f t="shared" ref="R26:AU26" ca="1" si="14">IF($P26=0,SUMIF($B$96:$B$496,$B26,R$96:R$496),IF(OR(S$99&lt;InServiceYr,S$99&gt;(InServiceYr+analysis_period)),0,$P26*(1+LaborEsc)^(R$16-FirstYr)))</f>
        <v>0</v>
      </c>
      <c r="S26" s="190">
        <f t="shared" ca="1" si="14"/>
        <v>0</v>
      </c>
      <c r="T26" s="190">
        <f t="shared" ca="1" si="14"/>
        <v>0</v>
      </c>
      <c r="U26" s="190">
        <f t="shared" ca="1" si="14"/>
        <v>0</v>
      </c>
      <c r="V26" s="190">
        <f t="shared" ca="1" si="14"/>
        <v>0</v>
      </c>
      <c r="W26" s="190">
        <f t="shared" ca="1" si="14"/>
        <v>0</v>
      </c>
      <c r="X26" s="190">
        <f t="shared" ca="1" si="14"/>
        <v>0</v>
      </c>
      <c r="Y26" s="190">
        <f t="shared" ca="1" si="14"/>
        <v>0</v>
      </c>
      <c r="Z26" s="190">
        <f t="shared" ca="1" si="14"/>
        <v>0</v>
      </c>
      <c r="AA26" s="190">
        <f t="shared" ca="1" si="14"/>
        <v>0</v>
      </c>
      <c r="AB26" s="190">
        <f t="shared" ca="1" si="14"/>
        <v>0</v>
      </c>
      <c r="AC26" s="190">
        <f t="shared" ca="1" si="14"/>
        <v>0</v>
      </c>
      <c r="AD26" s="190">
        <f t="shared" ca="1" si="14"/>
        <v>0</v>
      </c>
      <c r="AE26" s="190">
        <f t="shared" ca="1" si="14"/>
        <v>0</v>
      </c>
      <c r="AF26" s="190">
        <f t="shared" ca="1" si="14"/>
        <v>0</v>
      </c>
      <c r="AG26" s="190">
        <f t="shared" ca="1" si="14"/>
        <v>0</v>
      </c>
      <c r="AH26" s="190">
        <f t="shared" ca="1" si="14"/>
        <v>0</v>
      </c>
      <c r="AI26" s="190">
        <f t="shared" ca="1" si="14"/>
        <v>0</v>
      </c>
      <c r="AJ26" s="190">
        <f t="shared" ca="1" si="14"/>
        <v>0</v>
      </c>
      <c r="AK26" s="190">
        <f t="shared" ca="1" si="14"/>
        <v>0</v>
      </c>
      <c r="AL26" s="190">
        <f t="shared" si="14"/>
        <v>0</v>
      </c>
      <c r="AM26" s="190">
        <f t="shared" si="14"/>
        <v>0</v>
      </c>
      <c r="AN26" s="190">
        <f t="shared" si="14"/>
        <v>0</v>
      </c>
      <c r="AO26" s="190">
        <f t="shared" si="14"/>
        <v>0</v>
      </c>
      <c r="AP26" s="190">
        <f t="shared" si="14"/>
        <v>0</v>
      </c>
      <c r="AQ26" s="190">
        <f t="shared" si="14"/>
        <v>0</v>
      </c>
      <c r="AR26" s="190">
        <f t="shared" si="14"/>
        <v>0</v>
      </c>
      <c r="AS26" s="190">
        <f t="shared" si="14"/>
        <v>0</v>
      </c>
      <c r="AT26" s="190">
        <f t="shared" si="14"/>
        <v>0</v>
      </c>
      <c r="AU26" s="190">
        <f t="shared" si="14"/>
        <v>0</v>
      </c>
    </row>
    <row r="27" spans="2:47">
      <c r="E27" s="49"/>
      <c r="G27" s="36" t="s">
        <v>497</v>
      </c>
      <c r="H27" s="28"/>
      <c r="I27" s="28"/>
      <c r="J27" s="527"/>
      <c r="K27" s="28"/>
      <c r="L27" s="43" t="str">
        <f t="shared" si="5"/>
        <v>[2013 $]</v>
      </c>
      <c r="M27" s="28"/>
      <c r="N27" s="191">
        <f t="shared" si="6"/>
        <v>0</v>
      </c>
      <c r="O27" s="189"/>
      <c r="P27" s="319"/>
      <c r="Q27" s="189"/>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row>
    <row r="28" spans="2:47">
      <c r="E28" s="49"/>
      <c r="G28" s="36" t="s">
        <v>498</v>
      </c>
      <c r="H28" s="28"/>
      <c r="I28" s="28"/>
      <c r="J28" s="527"/>
      <c r="K28" s="28"/>
      <c r="L28" s="43" t="str">
        <f t="shared" si="5"/>
        <v>[2013 $]</v>
      </c>
      <c r="M28" s="28"/>
      <c r="N28" s="191">
        <f t="shared" si="6"/>
        <v>0</v>
      </c>
      <c r="O28" s="189"/>
      <c r="P28" s="319"/>
      <c r="Q28" s="189"/>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row>
    <row r="29" spans="2:47">
      <c r="E29" s="49"/>
      <c r="G29" s="36" t="s">
        <v>499</v>
      </c>
      <c r="H29" s="28"/>
      <c r="I29" s="28"/>
      <c r="J29" s="527"/>
      <c r="K29" s="28"/>
      <c r="L29" s="43" t="str">
        <f t="shared" si="5"/>
        <v>[2013 $]</v>
      </c>
      <c r="M29" s="28"/>
      <c r="N29" s="191">
        <f t="shared" si="6"/>
        <v>0</v>
      </c>
      <c r="O29" s="189"/>
      <c r="P29" s="319"/>
      <c r="Q29" s="189"/>
      <c r="R29" s="321"/>
      <c r="S29" s="321"/>
      <c r="T29" s="321"/>
      <c r="U29" s="321"/>
      <c r="V29" s="321"/>
      <c r="W29" s="32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c r="AT29" s="321"/>
      <c r="AU29" s="321"/>
    </row>
    <row r="30" spans="2:47">
      <c r="E30" s="49"/>
      <c r="G30" s="39" t="s">
        <v>304</v>
      </c>
      <c r="H30" s="28"/>
      <c r="I30" s="28"/>
      <c r="J30" s="28"/>
      <c r="K30" s="28"/>
      <c r="L30" s="968"/>
      <c r="M30" s="28"/>
      <c r="N30" s="60"/>
      <c r="O30" s="312"/>
      <c r="Q30" s="312"/>
    </row>
    <row r="31" spans="2:47">
      <c r="B31" s="38" t="s">
        <v>265</v>
      </c>
      <c r="E31" s="49"/>
      <c r="G31" s="36" t="s">
        <v>108</v>
      </c>
      <c r="H31" s="28"/>
      <c r="I31" s="28"/>
      <c r="J31" s="28"/>
      <c r="K31" s="28"/>
      <c r="L31" s="43" t="str">
        <f>"["&amp;FirstYr-1&amp;" $]"</f>
        <v>[2013 $]</v>
      </c>
      <c r="M31" s="28"/>
      <c r="N31" s="191">
        <f t="shared" ref="N31:N36" ca="1" si="15">NPV(DiscountRt,R31:AU31)</f>
        <v>744477.87937718781</v>
      </c>
      <c r="O31" s="189"/>
      <c r="P31" s="321"/>
      <c r="Q31" s="189"/>
      <c r="R31" s="190">
        <f t="shared" ref="R31:AU31" ca="1" si="16">IF($P31=0,SUMIF($B$96:$B$496,$B31,R$96:R$496),IF(OR(S$99&lt;InServiceYr,S$99&gt;(InServiceYr+analysis_period)),0,$P31*(1+LaborEsc)^(R$16-FirstYr)))</f>
        <v>54216.216314698242</v>
      </c>
      <c r="S31" s="190">
        <f t="shared" ca="1" si="16"/>
        <v>54554.174795003593</v>
      </c>
      <c r="T31" s="190">
        <f t="shared" ca="1" si="16"/>
        <v>56906.002078854835</v>
      </c>
      <c r="U31" s="190">
        <f t="shared" ca="1" si="16"/>
        <v>58613.03974258239</v>
      </c>
      <c r="V31" s="190">
        <f t="shared" ca="1" si="16"/>
        <v>60027.437471469479</v>
      </c>
      <c r="W31" s="190">
        <f t="shared" ca="1" si="16"/>
        <v>60795.385455406904</v>
      </c>
      <c r="X31" s="190">
        <f t="shared" ca="1" si="16"/>
        <v>61784.676737477617</v>
      </c>
      <c r="Y31" s="190">
        <f t="shared" ca="1" si="16"/>
        <v>63306.925334369298</v>
      </c>
      <c r="Z31" s="190">
        <f t="shared" ca="1" si="16"/>
        <v>64822.536294241254</v>
      </c>
      <c r="AA31" s="190">
        <f t="shared" ca="1" si="16"/>
        <v>66443.258916154955</v>
      </c>
      <c r="AB31" s="190">
        <f t="shared" ca="1" si="16"/>
        <v>67882.406816369956</v>
      </c>
      <c r="AC31" s="190">
        <f t="shared" ca="1" si="16"/>
        <v>69189.574792920117</v>
      </c>
      <c r="AD31" s="190">
        <f t="shared" ca="1" si="16"/>
        <v>70787.839933136245</v>
      </c>
      <c r="AE31" s="190">
        <f t="shared" ca="1" si="16"/>
        <v>72401.212209268735</v>
      </c>
      <c r="AF31" s="190">
        <f t="shared" ca="1" si="16"/>
        <v>74122.66719842462</v>
      </c>
      <c r="AG31" s="190">
        <f t="shared" ca="1" si="16"/>
        <v>76051.10254368493</v>
      </c>
      <c r="AH31" s="190">
        <f t="shared" ca="1" si="16"/>
        <v>77914.921823520534</v>
      </c>
      <c r="AI31" s="190">
        <f t="shared" ca="1" si="16"/>
        <v>79936.158146552727</v>
      </c>
      <c r="AJ31" s="190">
        <f t="shared" ca="1" si="16"/>
        <v>82075.930244443603</v>
      </c>
      <c r="AK31" s="190">
        <f t="shared" ca="1" si="16"/>
        <v>84308.663608020564</v>
      </c>
      <c r="AL31" s="190">
        <f t="shared" si="16"/>
        <v>0</v>
      </c>
      <c r="AM31" s="190">
        <f t="shared" si="16"/>
        <v>0</v>
      </c>
      <c r="AN31" s="190">
        <f t="shared" si="16"/>
        <v>0</v>
      </c>
      <c r="AO31" s="190">
        <f t="shared" si="16"/>
        <v>0</v>
      </c>
      <c r="AP31" s="190">
        <f t="shared" si="16"/>
        <v>0</v>
      </c>
      <c r="AQ31" s="190">
        <f t="shared" si="16"/>
        <v>0</v>
      </c>
      <c r="AR31" s="190">
        <f t="shared" si="16"/>
        <v>0</v>
      </c>
      <c r="AS31" s="190">
        <f t="shared" si="16"/>
        <v>0</v>
      </c>
      <c r="AT31" s="190">
        <f t="shared" si="16"/>
        <v>0</v>
      </c>
      <c r="AU31" s="190">
        <f t="shared" si="16"/>
        <v>0</v>
      </c>
    </row>
    <row r="32" spans="2:47">
      <c r="B32" s="38" t="s">
        <v>289</v>
      </c>
      <c r="E32" s="49"/>
      <c r="G32" s="36" t="s">
        <v>292</v>
      </c>
      <c r="H32" s="28"/>
      <c r="I32" s="28"/>
      <c r="J32" s="28"/>
      <c r="K32" s="28"/>
      <c r="L32" s="43" t="str">
        <f>"["&amp;FirstYr-1&amp;" $]"</f>
        <v>[2013 $]</v>
      </c>
      <c r="M32" s="28"/>
      <c r="N32" s="191">
        <f t="shared" ca="1" si="15"/>
        <v>0</v>
      </c>
      <c r="O32" s="189"/>
      <c r="P32" s="321"/>
      <c r="Q32" s="189"/>
      <c r="R32" s="190">
        <f t="shared" ref="R32:AU32" ca="1" si="17">IF($P32=0,SUMIF($B$96:$B$496,$B32,R$96:R$496),IF(OR(S$99&lt;InServiceYr,S$99&gt;(InServiceYr+analysis_period)),0,$P32*(1+LaborEsc)^(R$16-FirstYr)))</f>
        <v>0</v>
      </c>
      <c r="S32" s="190">
        <f t="shared" ca="1" si="17"/>
        <v>0</v>
      </c>
      <c r="T32" s="190">
        <f t="shared" ca="1" si="17"/>
        <v>0</v>
      </c>
      <c r="U32" s="190">
        <f t="shared" ca="1" si="17"/>
        <v>0</v>
      </c>
      <c r="V32" s="190">
        <f t="shared" ca="1" si="17"/>
        <v>0</v>
      </c>
      <c r="W32" s="190">
        <f t="shared" ca="1" si="17"/>
        <v>0</v>
      </c>
      <c r="X32" s="190">
        <f t="shared" ca="1" si="17"/>
        <v>0</v>
      </c>
      <c r="Y32" s="190">
        <f t="shared" ca="1" si="17"/>
        <v>0</v>
      </c>
      <c r="Z32" s="190">
        <f t="shared" ca="1" si="17"/>
        <v>0</v>
      </c>
      <c r="AA32" s="190">
        <f t="shared" ca="1" si="17"/>
        <v>0</v>
      </c>
      <c r="AB32" s="190">
        <f t="shared" ca="1" si="17"/>
        <v>0</v>
      </c>
      <c r="AC32" s="190">
        <f t="shared" ca="1" si="17"/>
        <v>0</v>
      </c>
      <c r="AD32" s="190">
        <f t="shared" ca="1" si="17"/>
        <v>0</v>
      </c>
      <c r="AE32" s="190">
        <f t="shared" ca="1" si="17"/>
        <v>0</v>
      </c>
      <c r="AF32" s="190">
        <f t="shared" ca="1" si="17"/>
        <v>0</v>
      </c>
      <c r="AG32" s="190">
        <f t="shared" ca="1" si="17"/>
        <v>0</v>
      </c>
      <c r="AH32" s="190">
        <f t="shared" ca="1" si="17"/>
        <v>0</v>
      </c>
      <c r="AI32" s="190">
        <f t="shared" ca="1" si="17"/>
        <v>0</v>
      </c>
      <c r="AJ32" s="190">
        <f t="shared" ca="1" si="17"/>
        <v>0</v>
      </c>
      <c r="AK32" s="190">
        <f t="shared" ca="1" si="17"/>
        <v>0</v>
      </c>
      <c r="AL32" s="190">
        <f t="shared" si="17"/>
        <v>0</v>
      </c>
      <c r="AM32" s="190">
        <f t="shared" si="17"/>
        <v>0</v>
      </c>
      <c r="AN32" s="190">
        <f t="shared" si="17"/>
        <v>0</v>
      </c>
      <c r="AO32" s="190">
        <f t="shared" si="17"/>
        <v>0</v>
      </c>
      <c r="AP32" s="190">
        <f t="shared" si="17"/>
        <v>0</v>
      </c>
      <c r="AQ32" s="190">
        <f t="shared" si="17"/>
        <v>0</v>
      </c>
      <c r="AR32" s="190">
        <f t="shared" si="17"/>
        <v>0</v>
      </c>
      <c r="AS32" s="190">
        <f t="shared" si="17"/>
        <v>0</v>
      </c>
      <c r="AT32" s="190">
        <f t="shared" si="17"/>
        <v>0</v>
      </c>
      <c r="AU32" s="190">
        <f t="shared" si="17"/>
        <v>0</v>
      </c>
    </row>
    <row r="33" spans="1:47">
      <c r="E33" s="49"/>
      <c r="G33" s="36" t="s">
        <v>500</v>
      </c>
      <c r="H33" s="28"/>
      <c r="I33" s="28"/>
      <c r="J33" s="28"/>
      <c r="K33" s="28"/>
      <c r="L33" s="43" t="str">
        <f>"["&amp;FirstYr-1&amp;" $]"</f>
        <v>[2013 $]</v>
      </c>
      <c r="M33" s="28"/>
      <c r="N33" s="191">
        <f t="shared" si="15"/>
        <v>0</v>
      </c>
      <c r="O33" s="189"/>
      <c r="P33" s="319"/>
      <c r="Q33" s="189"/>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row>
    <row r="34" spans="1:47">
      <c r="E34" s="49"/>
      <c r="G34" s="36" t="s">
        <v>501</v>
      </c>
      <c r="H34" s="28"/>
      <c r="I34" s="28"/>
      <c r="J34" s="28"/>
      <c r="K34" s="28"/>
      <c r="L34" s="43" t="str">
        <f>"["&amp;FirstYr-1&amp;" $]"</f>
        <v>[2013 $]</v>
      </c>
      <c r="M34" s="28"/>
      <c r="N34" s="191">
        <f t="shared" si="15"/>
        <v>0</v>
      </c>
      <c r="O34" s="189"/>
      <c r="P34" s="319"/>
      <c r="Q34" s="189"/>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row>
    <row r="35" spans="1:47">
      <c r="E35" s="49"/>
      <c r="G35" s="36" t="s">
        <v>502</v>
      </c>
      <c r="H35" s="28"/>
      <c r="I35" s="28"/>
      <c r="J35" s="28"/>
      <c r="K35" s="28"/>
      <c r="L35" s="43" t="str">
        <f>"["&amp;FirstYr-1&amp;" $]"</f>
        <v>[2013 $]</v>
      </c>
      <c r="M35" s="28"/>
      <c r="N35" s="191">
        <f t="shared" si="15"/>
        <v>0</v>
      </c>
      <c r="O35" s="189"/>
      <c r="P35" s="319"/>
      <c r="Q35" s="189"/>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row>
    <row r="36" spans="1:47">
      <c r="E36" s="49"/>
      <c r="G36" s="39" t="s">
        <v>305</v>
      </c>
      <c r="H36" s="42"/>
      <c r="I36" s="42"/>
      <c r="J36" s="42"/>
      <c r="K36" s="42"/>
      <c r="L36" s="43"/>
      <c r="M36" s="43"/>
      <c r="N36" s="189">
        <f t="shared" ca="1" si="15"/>
        <v>21896963.970310152</v>
      </c>
      <c r="O36" s="189"/>
      <c r="P36" s="189"/>
      <c r="Q36" s="189"/>
      <c r="R36" s="189">
        <f t="shared" ref="R36:AU36" ca="1" si="18">SUM(R19:R29)-SUM(R31:R35)</f>
        <v>1622183.2057108616</v>
      </c>
      <c r="S36" s="189">
        <f t="shared" ca="1" si="18"/>
        <v>1655517.0916009562</v>
      </c>
      <c r="T36" s="189">
        <f t="shared" ca="1" si="18"/>
        <v>1691680.1771020796</v>
      </c>
      <c r="U36" s="189">
        <f t="shared" ca="1" si="18"/>
        <v>1726793.6503919861</v>
      </c>
      <c r="V36" s="189">
        <f t="shared" ca="1" si="18"/>
        <v>1763465.3348642255</v>
      </c>
      <c r="W36" s="189">
        <f t="shared" ca="1" si="18"/>
        <v>1800182.6769398919</v>
      </c>
      <c r="X36" s="189">
        <f t="shared" ca="1" si="18"/>
        <v>1837013.7765699027</v>
      </c>
      <c r="Y36" s="189">
        <f t="shared" ca="1" si="18"/>
        <v>1874530.0965145961</v>
      </c>
      <c r="Z36" s="189">
        <f t="shared" ca="1" si="18"/>
        <v>1913702.3663516361</v>
      </c>
      <c r="AA36" s="189">
        <f t="shared" ca="1" si="18"/>
        <v>1953577.8665087342</v>
      </c>
      <c r="AB36" s="189">
        <f t="shared" ca="1" si="18"/>
        <v>1993525.5257866962</v>
      </c>
      <c r="AC36" s="189">
        <f t="shared" ca="1" si="18"/>
        <v>2033769.633310501</v>
      </c>
      <c r="AD36" s="189">
        <f t="shared" ca="1" si="18"/>
        <v>2075340.5881430453</v>
      </c>
      <c r="AE36" s="189">
        <f t="shared" ca="1" si="18"/>
        <v>2117004.986771503</v>
      </c>
      <c r="AF36" s="189">
        <f t="shared" ca="1" si="18"/>
        <v>2160201.5247270204</v>
      </c>
      <c r="AG36" s="189">
        <f t="shared" ca="1" si="18"/>
        <v>2204002.1583589511</v>
      </c>
      <c r="AH36" s="189">
        <f t="shared" ca="1" si="18"/>
        <v>2248603.6761042317</v>
      </c>
      <c r="AI36" s="189">
        <f t="shared" ca="1" si="18"/>
        <v>2294528.5339335846</v>
      </c>
      <c r="AJ36" s="189">
        <f t="shared" ca="1" si="18"/>
        <v>2341043.4119758052</v>
      </c>
      <c r="AK36" s="189">
        <f t="shared" ca="1" si="18"/>
        <v>2389108.3905665097</v>
      </c>
      <c r="AL36" s="189">
        <f t="shared" si="18"/>
        <v>0</v>
      </c>
      <c r="AM36" s="189">
        <f t="shared" si="18"/>
        <v>0</v>
      </c>
      <c r="AN36" s="189">
        <f t="shared" si="18"/>
        <v>0</v>
      </c>
      <c r="AO36" s="189">
        <f t="shared" si="18"/>
        <v>0</v>
      </c>
      <c r="AP36" s="189">
        <f t="shared" si="18"/>
        <v>0</v>
      </c>
      <c r="AQ36" s="189">
        <f t="shared" si="18"/>
        <v>0</v>
      </c>
      <c r="AR36" s="189">
        <f t="shared" si="18"/>
        <v>0</v>
      </c>
      <c r="AS36" s="189">
        <f t="shared" si="18"/>
        <v>0</v>
      </c>
      <c r="AT36" s="189">
        <f t="shared" si="18"/>
        <v>0</v>
      </c>
      <c r="AU36" s="189">
        <f t="shared" si="18"/>
        <v>0</v>
      </c>
    </row>
    <row r="37" spans="1:47" s="28" customFormat="1">
      <c r="E37" s="254"/>
      <c r="L37" s="406"/>
      <c r="O37" s="197"/>
      <c r="Q37" s="197"/>
    </row>
    <row r="38" spans="1:47" s="39" customFormat="1">
      <c r="E38" s="254"/>
      <c r="G38" s="194" t="s">
        <v>488</v>
      </c>
      <c r="L38" s="174"/>
      <c r="N38" s="192">
        <f ca="1">SUM(N36,N14)</f>
        <v>50232652.64955543</v>
      </c>
      <c r="O38" s="189"/>
      <c r="P38" s="320"/>
      <c r="Q38" s="189"/>
      <c r="R38" s="192">
        <f t="shared" ref="R38:AU38" ca="1" si="19">SUM(R36,R14)</f>
        <v>31658013.205710862</v>
      </c>
      <c r="S38" s="192">
        <f t="shared" ca="1" si="19"/>
        <v>1655517.0916009562</v>
      </c>
      <c r="T38" s="192">
        <f t="shared" ca="1" si="19"/>
        <v>1691680.1771020796</v>
      </c>
      <c r="U38" s="192">
        <f t="shared" ca="1" si="19"/>
        <v>1726793.6503919861</v>
      </c>
      <c r="V38" s="192">
        <f t="shared" ca="1" si="19"/>
        <v>1763465.3348642255</v>
      </c>
      <c r="W38" s="192">
        <f t="shared" ca="1" si="19"/>
        <v>1800182.6769398919</v>
      </c>
      <c r="X38" s="192">
        <f t="shared" ca="1" si="19"/>
        <v>1837013.7765699027</v>
      </c>
      <c r="Y38" s="192">
        <f t="shared" ca="1" si="19"/>
        <v>1874530.0965145961</v>
      </c>
      <c r="Z38" s="192">
        <f t="shared" ca="1" si="19"/>
        <v>1913702.3663516361</v>
      </c>
      <c r="AA38" s="192">
        <f t="shared" ca="1" si="19"/>
        <v>1953577.8665087342</v>
      </c>
      <c r="AB38" s="192">
        <f t="shared" ca="1" si="19"/>
        <v>1993525.5257866962</v>
      </c>
      <c r="AC38" s="192">
        <f t="shared" ca="1" si="19"/>
        <v>2033769.633310501</v>
      </c>
      <c r="AD38" s="192">
        <f t="shared" ca="1" si="19"/>
        <v>2075340.5881430453</v>
      </c>
      <c r="AE38" s="192">
        <f t="shared" ca="1" si="19"/>
        <v>2117004.986771503</v>
      </c>
      <c r="AF38" s="192">
        <f t="shared" ca="1" si="19"/>
        <v>2160201.5247270204</v>
      </c>
      <c r="AG38" s="192">
        <f t="shared" ca="1" si="19"/>
        <v>2204002.1583589511</v>
      </c>
      <c r="AH38" s="192">
        <f t="shared" ca="1" si="19"/>
        <v>2248603.6761042317</v>
      </c>
      <c r="AI38" s="192">
        <f t="shared" ca="1" si="19"/>
        <v>2294528.5339335846</v>
      </c>
      <c r="AJ38" s="192">
        <f t="shared" ca="1" si="19"/>
        <v>2341043.4119758052</v>
      </c>
      <c r="AK38" s="192">
        <f t="shared" ca="1" si="19"/>
        <v>2389108.3905665097</v>
      </c>
      <c r="AL38" s="192">
        <f t="shared" ca="1" si="19"/>
        <v>0</v>
      </c>
      <c r="AM38" s="192">
        <f t="shared" ca="1" si="19"/>
        <v>0</v>
      </c>
      <c r="AN38" s="192">
        <f t="shared" ca="1" si="19"/>
        <v>0</v>
      </c>
      <c r="AO38" s="192">
        <f t="shared" ca="1" si="19"/>
        <v>0</v>
      </c>
      <c r="AP38" s="192">
        <f t="shared" ca="1" si="19"/>
        <v>0</v>
      </c>
      <c r="AQ38" s="192">
        <f t="shared" ca="1" si="19"/>
        <v>0</v>
      </c>
      <c r="AR38" s="192">
        <f t="shared" ca="1" si="19"/>
        <v>0</v>
      </c>
      <c r="AS38" s="192">
        <f t="shared" ca="1" si="19"/>
        <v>0</v>
      </c>
      <c r="AT38" s="192">
        <f t="shared" ca="1" si="19"/>
        <v>0</v>
      </c>
      <c r="AU38" s="192">
        <f t="shared" ca="1" si="19"/>
        <v>0</v>
      </c>
    </row>
    <row r="39" spans="1:47">
      <c r="G39" s="194" t="s">
        <v>537</v>
      </c>
      <c r="Q39" s="42">
        <v>0</v>
      </c>
      <c r="R39" s="198">
        <f ca="1">IF(OR(R$99&lt;InServiceYr,R$99&gt;(InServiceYr+analysis_period-1)),0,NPV(DiscountRt,$R38:R38))</f>
        <v>29866050.194066849</v>
      </c>
      <c r="S39" s="198">
        <f ca="1">IF(OR(S$99&lt;InServiceYr,S$99&gt;(InServiceYr+analysis_period-1)),0,NPV(DiscountRt,$R38:S38))</f>
        <v>31339454.511974428</v>
      </c>
      <c r="T39" s="198">
        <f ca="1">IF(OR(T$99&lt;InServiceYr,T$99&gt;(InServiceYr+analysis_period-1)),0,NPV(DiscountRt,$R38:T38))</f>
        <v>32759821.809392836</v>
      </c>
      <c r="U39" s="198">
        <f ca="1">IF(OR(U$99&lt;InServiceYr,U$99&gt;(InServiceYr+analysis_period-1)),0,NPV(DiscountRt,$R38:U38))</f>
        <v>34127604.117587984</v>
      </c>
      <c r="V39" s="198">
        <f ca="1">IF(OR(V$99&lt;InServiceYr,V$99&gt;(InServiceYr+analysis_period-1)),0,NPV(DiscountRt,$R38:V38))</f>
        <v>35445368.001631252</v>
      </c>
      <c r="W39" s="198">
        <f ca="1">IF(OR(W$99&lt;InServiceYr,W$99&gt;(InServiceYr+analysis_period-1)),0,NPV(DiscountRt,$R38:W38))</f>
        <v>36714425.754456945</v>
      </c>
      <c r="X39" s="198">
        <f ca="1">IF(OR(X$99&lt;InServiceYr,X$99&gt;(InServiceYr+analysis_period-1)),0,NPV(DiscountRt,$R38:X38))</f>
        <v>37936144.834386989</v>
      </c>
      <c r="Y39" s="198">
        <f ca="1">IF(OR(Y$99&lt;InServiceYr,Y$99&gt;(InServiceYr+analysis_period-1)),0,NPV(DiscountRt,$R38:Y38))</f>
        <v>39112248.207392834</v>
      </c>
      <c r="Z39" s="198">
        <f ca="1">IF(OR(Z$99&lt;InServiceYr,Z$99&gt;(InServiceYr+analysis_period-1)),0,NPV(DiscountRt,$R38:Z38))</f>
        <v>40244965.697690137</v>
      </c>
      <c r="AA39" s="198">
        <f ca="1">IF(OR(AA$99&lt;InServiceYr,AA$99&gt;(InServiceYr+analysis_period-1)),0,NPV(DiscountRt,$R38:AA38))</f>
        <v>41335833.374645591</v>
      </c>
      <c r="AB39" s="198">
        <f ca="1">IF(OR(AB$99&lt;InServiceYr,AB$99&gt;(InServiceYr+analysis_period-1)),0,NPV(DiscountRt,$R38:AB38))</f>
        <v>42385997.753179796</v>
      </c>
      <c r="AC39" s="198">
        <f ca="1">IF(OR(AC$99&lt;InServiceYr,AC$99&gt;(InServiceYr+analysis_period-1)),0,NPV(DiscountRt,$R38:AC38))</f>
        <v>43396718.953508347</v>
      </c>
      <c r="AD39" s="198">
        <f ca="1">IF(OR(AD$99&lt;InServiceYr,AD$99&gt;(InServiceYr+analysis_period-1)),0,NPV(DiscountRt,$R38:AD38))</f>
        <v>44369719.60567341</v>
      </c>
      <c r="AE39" s="198">
        <f ca="1">IF(OR(AE$99&lt;InServiceYr,AE$99&gt;(InServiceYr+analysis_period-1)),0,NPV(DiscountRt,$R38:AE38))</f>
        <v>45306072.952919021</v>
      </c>
      <c r="AF39" s="198">
        <f ca="1">IF(OR(AF$99&lt;InServiceYr,AF$99&gt;(InServiceYr+analysis_period-1)),0,NPV(DiscountRt,$R38:AF38))</f>
        <v>46207449.573335253</v>
      </c>
      <c r="AG39" s="198">
        <f ca="1">IF(OR(AG$99&lt;InServiceYr,AG$99&gt;(InServiceYr+analysis_period-1)),0,NPV(DiscountRt,$R38:AG38))</f>
        <v>47075046.832268186</v>
      </c>
      <c r="AH39" s="198">
        <f ca="1">IF(OR(AH$99&lt;InServiceYr,AH$99&gt;(InServiceYr+analysis_period-1)),0,NPV(DiscountRt,$R38:AH38))</f>
        <v>47910098.229099609</v>
      </c>
      <c r="AI39" s="198">
        <f ca="1">IF(OR(AI$99&lt;InServiceYr,AI$99&gt;(InServiceYr+analysis_period-1)),0,NPV(DiscountRt,$R38:AI38))</f>
        <v>48713972.054532044</v>
      </c>
      <c r="AJ39" s="198">
        <f ca="1">IF(OR(AJ$99&lt;InServiceYr,AJ$99&gt;(InServiceYr+analysis_period-1)),0,NPV(DiscountRt,$R38:AJ38))</f>
        <v>49487717.360333599</v>
      </c>
      <c r="AK39" s="198">
        <f ca="1">IF(OR(AK$99&lt;InServiceYr,AK$99&gt;(InServiceYr+analysis_period-1)),0,NPV(DiscountRt,$R38:AK38))</f>
        <v>50232652.649555437</v>
      </c>
      <c r="AL39" s="198">
        <f>IF(OR(AL$99&lt;InServiceYr,AL$99&gt;(InServiceYr+analysis_period-1)),0,NPV(DiscountRt,$R38:AL38))</f>
        <v>0</v>
      </c>
      <c r="AM39" s="198">
        <f>IF(OR(AM$99&lt;InServiceYr,AM$99&gt;(InServiceYr+analysis_period-1)),0,NPV(DiscountRt,$R38:AM38))</f>
        <v>0</v>
      </c>
      <c r="AN39" s="198">
        <f>IF(OR(AN$99&lt;InServiceYr,AN$99&gt;(InServiceYr+analysis_period-1)),0,NPV(DiscountRt,$R38:AN38))</f>
        <v>0</v>
      </c>
      <c r="AO39" s="198">
        <f>IF(OR(AO$99&lt;InServiceYr,AO$99&gt;(InServiceYr+analysis_period-1)),0,NPV(DiscountRt,$R38:AO38))</f>
        <v>0</v>
      </c>
      <c r="AP39" s="198">
        <f>IF(OR(AP$99&lt;InServiceYr,AP$99&gt;(InServiceYr+analysis_period-1)),0,NPV(DiscountRt,$R38:AP38))</f>
        <v>0</v>
      </c>
      <c r="AQ39" s="198">
        <f>IF(OR(AQ$99&lt;InServiceYr,AQ$99&gt;(InServiceYr+analysis_period-1)),0,NPV(DiscountRt,$R38:AQ38))</f>
        <v>0</v>
      </c>
      <c r="AR39" s="198">
        <f>IF(OR(AR$99&lt;InServiceYr,AR$99&gt;(InServiceYr+analysis_period-1)),0,NPV(DiscountRt,$R38:AR38))</f>
        <v>0</v>
      </c>
      <c r="AS39" s="198">
        <f>IF(OR(AS$99&lt;InServiceYr,AS$99&gt;(InServiceYr+analysis_period-1)),0,NPV(DiscountRt,$R38:AS38))</f>
        <v>0</v>
      </c>
      <c r="AT39" s="198">
        <f>IF(OR(AT$99&lt;InServiceYr,AT$99&gt;(InServiceYr+analysis_period-1)),0,NPV(DiscountRt,$R38:AT38))</f>
        <v>0</v>
      </c>
      <c r="AU39" s="198">
        <f>IF(OR(AU$99&lt;InServiceYr,AU$99&gt;(InServiceYr+analysis_period-1)),0,NPV(DiscountRt,$R38:AU38))</f>
        <v>0</v>
      </c>
    </row>
    <row r="40" spans="1:47" s="42" customFormat="1">
      <c r="A40" s="317"/>
      <c r="B40" s="317"/>
      <c r="C40" s="317"/>
      <c r="D40" s="317"/>
      <c r="E40" s="317"/>
      <c r="F40" s="317"/>
      <c r="G40" s="318" t="s">
        <v>504</v>
      </c>
      <c r="H40" s="317"/>
      <c r="I40" s="317"/>
      <c r="J40" s="317"/>
      <c r="K40" s="317"/>
      <c r="L40" s="407"/>
      <c r="M40" s="317"/>
      <c r="N40" s="317"/>
      <c r="O40" s="317"/>
      <c r="P40" s="317"/>
      <c r="Q40" s="317"/>
      <c r="R40" s="317">
        <f ca="1">R38/(1+DiscountRt)^(R$8-FirstYr)</f>
        <v>31658013.205710862</v>
      </c>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row>
    <row r="42" spans="1:47" s="28" customFormat="1">
      <c r="A42" s="40"/>
      <c r="B42" s="40"/>
      <c r="C42" s="40"/>
      <c r="D42" s="40"/>
      <c r="G42" s="324" t="s">
        <v>492</v>
      </c>
      <c r="H42" s="324"/>
      <c r="I42" s="324"/>
      <c r="J42" s="324"/>
      <c r="K42" s="324"/>
      <c r="L42" s="405" t="s">
        <v>11</v>
      </c>
      <c r="M42" s="256"/>
      <c r="N42" s="325" t="str">
        <f>"NPV "&amp;FirstYr-1&amp;" $"</f>
        <v>NPV 2013 $</v>
      </c>
      <c r="O42" s="311"/>
      <c r="P42" s="325"/>
      <c r="Q42" s="310"/>
      <c r="R42" s="325">
        <f>R$8</f>
        <v>2014</v>
      </c>
      <c r="S42" s="325">
        <f t="shared" ref="S42:AU42" si="20">S$8</f>
        <v>2015</v>
      </c>
      <c r="T42" s="325">
        <f t="shared" si="20"/>
        <v>2016</v>
      </c>
      <c r="U42" s="325">
        <f t="shared" si="20"/>
        <v>2017</v>
      </c>
      <c r="V42" s="325">
        <f t="shared" si="20"/>
        <v>2018</v>
      </c>
      <c r="W42" s="325">
        <f t="shared" si="20"/>
        <v>2019</v>
      </c>
      <c r="X42" s="325">
        <f t="shared" si="20"/>
        <v>2020</v>
      </c>
      <c r="Y42" s="325">
        <f t="shared" si="20"/>
        <v>2021</v>
      </c>
      <c r="Z42" s="325">
        <f t="shared" si="20"/>
        <v>2022</v>
      </c>
      <c r="AA42" s="325">
        <f t="shared" si="20"/>
        <v>2023</v>
      </c>
      <c r="AB42" s="325">
        <f t="shared" si="20"/>
        <v>2024</v>
      </c>
      <c r="AC42" s="325">
        <f t="shared" si="20"/>
        <v>2025</v>
      </c>
      <c r="AD42" s="325">
        <f t="shared" si="20"/>
        <v>2026</v>
      </c>
      <c r="AE42" s="325">
        <f t="shared" si="20"/>
        <v>2027</v>
      </c>
      <c r="AF42" s="325">
        <f t="shared" si="20"/>
        <v>2028</v>
      </c>
      <c r="AG42" s="325">
        <f t="shared" si="20"/>
        <v>2029</v>
      </c>
      <c r="AH42" s="325">
        <f t="shared" si="20"/>
        <v>2030</v>
      </c>
      <c r="AI42" s="325">
        <f t="shared" si="20"/>
        <v>2031</v>
      </c>
      <c r="AJ42" s="325">
        <f t="shared" si="20"/>
        <v>2032</v>
      </c>
      <c r="AK42" s="325">
        <f t="shared" si="20"/>
        <v>2033</v>
      </c>
      <c r="AL42" s="325">
        <f t="shared" si="20"/>
        <v>2034</v>
      </c>
      <c r="AM42" s="325">
        <f t="shared" si="20"/>
        <v>2035</v>
      </c>
      <c r="AN42" s="325">
        <f t="shared" si="20"/>
        <v>2036</v>
      </c>
      <c r="AO42" s="325">
        <f t="shared" si="20"/>
        <v>2037</v>
      </c>
      <c r="AP42" s="325">
        <f t="shared" si="20"/>
        <v>2038</v>
      </c>
      <c r="AQ42" s="325">
        <f t="shared" si="20"/>
        <v>2039</v>
      </c>
      <c r="AR42" s="325">
        <f t="shared" si="20"/>
        <v>2040</v>
      </c>
      <c r="AS42" s="325">
        <f t="shared" si="20"/>
        <v>2041</v>
      </c>
      <c r="AT42" s="325">
        <f t="shared" si="20"/>
        <v>2042</v>
      </c>
      <c r="AU42" s="325">
        <f t="shared" si="20"/>
        <v>2043</v>
      </c>
    </row>
    <row r="43" spans="1:47" s="28" customFormat="1">
      <c r="E43" s="254"/>
      <c r="L43" s="406"/>
      <c r="O43" s="197"/>
      <c r="Q43" s="197"/>
    </row>
    <row r="44" spans="1:47" s="28" customFormat="1">
      <c r="E44" s="254"/>
      <c r="G44" s="39" t="s">
        <v>19</v>
      </c>
      <c r="L44" s="406"/>
      <c r="O44" s="197"/>
      <c r="Q44" s="197"/>
    </row>
    <row r="45" spans="1:47" s="28" customFormat="1">
      <c r="E45" s="254"/>
      <c r="G45" s="36" t="s">
        <v>315</v>
      </c>
      <c r="L45" s="43" t="s">
        <v>12</v>
      </c>
      <c r="N45" s="189">
        <f t="shared" ref="N45:N64" ca="1" si="21">NPV(DiscountRt,R45:AU45)</f>
        <v>0</v>
      </c>
      <c r="O45" s="189"/>
      <c r="P45" s="319"/>
      <c r="Q45" s="189"/>
      <c r="R45" s="190">
        <f t="shared" ref="R45:AU45" ca="1" si="22">R96</f>
        <v>0</v>
      </c>
      <c r="S45" s="190">
        <f t="shared" ca="1" si="22"/>
        <v>0</v>
      </c>
      <c r="T45" s="190">
        <f t="shared" ca="1" si="22"/>
        <v>0</v>
      </c>
      <c r="U45" s="190">
        <f t="shared" ca="1" si="22"/>
        <v>0</v>
      </c>
      <c r="V45" s="190">
        <f t="shared" ca="1" si="22"/>
        <v>0</v>
      </c>
      <c r="W45" s="190">
        <f t="shared" ca="1" si="22"/>
        <v>0</v>
      </c>
      <c r="X45" s="190">
        <f t="shared" ca="1" si="22"/>
        <v>0</v>
      </c>
      <c r="Y45" s="190">
        <f t="shared" ca="1" si="22"/>
        <v>0</v>
      </c>
      <c r="Z45" s="190">
        <f t="shared" ca="1" si="22"/>
        <v>0</v>
      </c>
      <c r="AA45" s="190">
        <f t="shared" ca="1" si="22"/>
        <v>0</v>
      </c>
      <c r="AB45" s="190">
        <f t="shared" ca="1" si="22"/>
        <v>0</v>
      </c>
      <c r="AC45" s="190">
        <f t="shared" ca="1" si="22"/>
        <v>0</v>
      </c>
      <c r="AD45" s="190">
        <f t="shared" ca="1" si="22"/>
        <v>0</v>
      </c>
      <c r="AE45" s="190">
        <f t="shared" ca="1" si="22"/>
        <v>0</v>
      </c>
      <c r="AF45" s="190">
        <f t="shared" ca="1" si="22"/>
        <v>0</v>
      </c>
      <c r="AG45" s="190">
        <f t="shared" ca="1" si="22"/>
        <v>0</v>
      </c>
      <c r="AH45" s="190">
        <f t="shared" ca="1" si="22"/>
        <v>0</v>
      </c>
      <c r="AI45" s="190">
        <f t="shared" ca="1" si="22"/>
        <v>0</v>
      </c>
      <c r="AJ45" s="190">
        <f t="shared" ca="1" si="22"/>
        <v>0</v>
      </c>
      <c r="AK45" s="190">
        <f t="shared" ca="1" si="22"/>
        <v>0</v>
      </c>
      <c r="AL45" s="190">
        <f t="shared" ca="1" si="22"/>
        <v>0</v>
      </c>
      <c r="AM45" s="190">
        <f t="shared" ca="1" si="22"/>
        <v>0</v>
      </c>
      <c r="AN45" s="190">
        <f t="shared" ca="1" si="22"/>
        <v>0</v>
      </c>
      <c r="AO45" s="190">
        <f t="shared" ca="1" si="22"/>
        <v>0</v>
      </c>
      <c r="AP45" s="190">
        <f t="shared" ca="1" si="22"/>
        <v>0</v>
      </c>
      <c r="AQ45" s="190">
        <f t="shared" ca="1" si="22"/>
        <v>0</v>
      </c>
      <c r="AR45" s="190">
        <f t="shared" ca="1" si="22"/>
        <v>0</v>
      </c>
      <c r="AS45" s="190">
        <f t="shared" ca="1" si="22"/>
        <v>0</v>
      </c>
      <c r="AT45" s="190">
        <f t="shared" ca="1" si="22"/>
        <v>0</v>
      </c>
      <c r="AU45" s="190">
        <f t="shared" ca="1" si="22"/>
        <v>0</v>
      </c>
    </row>
    <row r="46" spans="1:47" s="28" customFormat="1">
      <c r="E46" s="254"/>
      <c r="G46" s="36" t="s">
        <v>153</v>
      </c>
      <c r="L46" s="43" t="s">
        <v>12</v>
      </c>
      <c r="N46" s="189">
        <f t="shared" ca="1" si="21"/>
        <v>340094.33962264151</v>
      </c>
      <c r="O46" s="189"/>
      <c r="P46" s="319"/>
      <c r="Q46" s="189"/>
      <c r="R46" s="190">
        <f t="shared" ref="R46:AU46" ca="1" si="23">R117</f>
        <v>360500</v>
      </c>
      <c r="S46" s="190">
        <f t="shared" ca="1" si="23"/>
        <v>0</v>
      </c>
      <c r="T46" s="190">
        <f t="shared" ca="1" si="23"/>
        <v>0</v>
      </c>
      <c r="U46" s="190">
        <f t="shared" ca="1" si="23"/>
        <v>0</v>
      </c>
      <c r="V46" s="190">
        <f t="shared" ca="1" si="23"/>
        <v>0</v>
      </c>
      <c r="W46" s="190">
        <f t="shared" ca="1" si="23"/>
        <v>0</v>
      </c>
      <c r="X46" s="190">
        <f t="shared" ca="1" si="23"/>
        <v>0</v>
      </c>
      <c r="Y46" s="190">
        <f t="shared" ca="1" si="23"/>
        <v>0</v>
      </c>
      <c r="Z46" s="190">
        <f t="shared" ca="1" si="23"/>
        <v>0</v>
      </c>
      <c r="AA46" s="190">
        <f t="shared" ca="1" si="23"/>
        <v>0</v>
      </c>
      <c r="AB46" s="190">
        <f t="shared" ca="1" si="23"/>
        <v>0</v>
      </c>
      <c r="AC46" s="190">
        <f t="shared" ca="1" si="23"/>
        <v>0</v>
      </c>
      <c r="AD46" s="190">
        <f t="shared" ca="1" si="23"/>
        <v>0</v>
      </c>
      <c r="AE46" s="190">
        <f t="shared" ca="1" si="23"/>
        <v>0</v>
      </c>
      <c r="AF46" s="190">
        <f t="shared" ca="1" si="23"/>
        <v>0</v>
      </c>
      <c r="AG46" s="190">
        <f t="shared" ca="1" si="23"/>
        <v>0</v>
      </c>
      <c r="AH46" s="190">
        <f t="shared" ca="1" si="23"/>
        <v>0</v>
      </c>
      <c r="AI46" s="190">
        <f t="shared" ca="1" si="23"/>
        <v>0</v>
      </c>
      <c r="AJ46" s="190">
        <f t="shared" ca="1" si="23"/>
        <v>0</v>
      </c>
      <c r="AK46" s="190">
        <f t="shared" ca="1" si="23"/>
        <v>0</v>
      </c>
      <c r="AL46" s="190">
        <f t="shared" ca="1" si="23"/>
        <v>0</v>
      </c>
      <c r="AM46" s="190">
        <f t="shared" ca="1" si="23"/>
        <v>0</v>
      </c>
      <c r="AN46" s="190">
        <f t="shared" ca="1" si="23"/>
        <v>0</v>
      </c>
      <c r="AO46" s="190">
        <f t="shared" ca="1" si="23"/>
        <v>0</v>
      </c>
      <c r="AP46" s="190">
        <f t="shared" ca="1" si="23"/>
        <v>0</v>
      </c>
      <c r="AQ46" s="190">
        <f t="shared" ca="1" si="23"/>
        <v>0</v>
      </c>
      <c r="AR46" s="190">
        <f t="shared" ca="1" si="23"/>
        <v>0</v>
      </c>
      <c r="AS46" s="190">
        <f t="shared" ca="1" si="23"/>
        <v>0</v>
      </c>
      <c r="AT46" s="190">
        <f t="shared" ca="1" si="23"/>
        <v>0</v>
      </c>
      <c r="AU46" s="190">
        <f t="shared" ca="1" si="23"/>
        <v>0</v>
      </c>
    </row>
    <row r="47" spans="1:47" s="28" customFormat="1">
      <c r="E47" s="254"/>
      <c r="G47" s="36" t="s">
        <v>143</v>
      </c>
      <c r="L47" s="43" t="s">
        <v>12</v>
      </c>
      <c r="N47" s="189">
        <f t="shared" ca="1" si="21"/>
        <v>0</v>
      </c>
      <c r="O47" s="189"/>
      <c r="P47" s="319"/>
      <c r="Q47" s="189"/>
      <c r="R47" s="190">
        <f t="shared" ref="R47:AU47" ca="1" si="24">R138</f>
        <v>0</v>
      </c>
      <c r="S47" s="190">
        <f t="shared" ca="1" si="24"/>
        <v>0</v>
      </c>
      <c r="T47" s="190">
        <f t="shared" ca="1" si="24"/>
        <v>0</v>
      </c>
      <c r="U47" s="190">
        <f t="shared" ca="1" si="24"/>
        <v>0</v>
      </c>
      <c r="V47" s="190">
        <f t="shared" ca="1" si="24"/>
        <v>0</v>
      </c>
      <c r="W47" s="190">
        <f t="shared" ca="1" si="24"/>
        <v>0</v>
      </c>
      <c r="X47" s="190">
        <f t="shared" ca="1" si="24"/>
        <v>0</v>
      </c>
      <c r="Y47" s="190">
        <f t="shared" ca="1" si="24"/>
        <v>0</v>
      </c>
      <c r="Z47" s="190">
        <f t="shared" ca="1" si="24"/>
        <v>0</v>
      </c>
      <c r="AA47" s="190">
        <f t="shared" ca="1" si="24"/>
        <v>0</v>
      </c>
      <c r="AB47" s="190">
        <f t="shared" ca="1" si="24"/>
        <v>0</v>
      </c>
      <c r="AC47" s="190">
        <f t="shared" ca="1" si="24"/>
        <v>0</v>
      </c>
      <c r="AD47" s="190">
        <f t="shared" ca="1" si="24"/>
        <v>0</v>
      </c>
      <c r="AE47" s="190">
        <f t="shared" ca="1" si="24"/>
        <v>0</v>
      </c>
      <c r="AF47" s="190">
        <f t="shared" ca="1" si="24"/>
        <v>0</v>
      </c>
      <c r="AG47" s="190">
        <f t="shared" ca="1" si="24"/>
        <v>0</v>
      </c>
      <c r="AH47" s="190">
        <f t="shared" ca="1" si="24"/>
        <v>0</v>
      </c>
      <c r="AI47" s="190">
        <f t="shared" ca="1" si="24"/>
        <v>0</v>
      </c>
      <c r="AJ47" s="190">
        <f t="shared" ca="1" si="24"/>
        <v>0</v>
      </c>
      <c r="AK47" s="190">
        <f t="shared" ca="1" si="24"/>
        <v>0</v>
      </c>
      <c r="AL47" s="190">
        <f t="shared" ca="1" si="24"/>
        <v>0</v>
      </c>
      <c r="AM47" s="190">
        <f t="shared" ca="1" si="24"/>
        <v>0</v>
      </c>
      <c r="AN47" s="190">
        <f t="shared" ca="1" si="24"/>
        <v>0</v>
      </c>
      <c r="AO47" s="190">
        <f t="shared" ca="1" si="24"/>
        <v>0</v>
      </c>
      <c r="AP47" s="190">
        <f t="shared" ca="1" si="24"/>
        <v>0</v>
      </c>
      <c r="AQ47" s="190">
        <f t="shared" ca="1" si="24"/>
        <v>0</v>
      </c>
      <c r="AR47" s="190">
        <f t="shared" ca="1" si="24"/>
        <v>0</v>
      </c>
      <c r="AS47" s="190">
        <f t="shared" ca="1" si="24"/>
        <v>0</v>
      </c>
      <c r="AT47" s="190">
        <f t="shared" ca="1" si="24"/>
        <v>0</v>
      </c>
      <c r="AU47" s="190">
        <f t="shared" ca="1" si="24"/>
        <v>0</v>
      </c>
    </row>
    <row r="48" spans="1:47" s="28" customFormat="1">
      <c r="E48" s="254"/>
      <c r="G48" s="36" t="s">
        <v>316</v>
      </c>
      <c r="L48" s="43" t="s">
        <v>12</v>
      </c>
      <c r="N48" s="189">
        <f t="shared" ca="1" si="21"/>
        <v>3230896.226415094</v>
      </c>
      <c r="O48" s="189"/>
      <c r="P48" s="319"/>
      <c r="Q48" s="189"/>
      <c r="R48" s="190">
        <f t="shared" ref="R48:AU48" ca="1" si="25">R159</f>
        <v>3424750</v>
      </c>
      <c r="S48" s="190">
        <f t="shared" ca="1" si="25"/>
        <v>0</v>
      </c>
      <c r="T48" s="190">
        <f t="shared" ca="1" si="25"/>
        <v>0</v>
      </c>
      <c r="U48" s="190">
        <f t="shared" ca="1" si="25"/>
        <v>0</v>
      </c>
      <c r="V48" s="190">
        <f t="shared" ca="1" si="25"/>
        <v>0</v>
      </c>
      <c r="W48" s="190">
        <f t="shared" ca="1" si="25"/>
        <v>0</v>
      </c>
      <c r="X48" s="190">
        <f t="shared" ca="1" si="25"/>
        <v>0</v>
      </c>
      <c r="Y48" s="190">
        <f t="shared" ca="1" si="25"/>
        <v>0</v>
      </c>
      <c r="Z48" s="190">
        <f t="shared" ca="1" si="25"/>
        <v>0</v>
      </c>
      <c r="AA48" s="190">
        <f t="shared" ca="1" si="25"/>
        <v>0</v>
      </c>
      <c r="AB48" s="190">
        <f t="shared" ca="1" si="25"/>
        <v>0</v>
      </c>
      <c r="AC48" s="190">
        <f t="shared" ca="1" si="25"/>
        <v>0</v>
      </c>
      <c r="AD48" s="190">
        <f t="shared" ca="1" si="25"/>
        <v>0</v>
      </c>
      <c r="AE48" s="190">
        <f t="shared" ca="1" si="25"/>
        <v>0</v>
      </c>
      <c r="AF48" s="190">
        <f t="shared" ca="1" si="25"/>
        <v>0</v>
      </c>
      <c r="AG48" s="190">
        <f t="shared" ca="1" si="25"/>
        <v>0</v>
      </c>
      <c r="AH48" s="190">
        <f t="shared" ca="1" si="25"/>
        <v>0</v>
      </c>
      <c r="AI48" s="190">
        <f t="shared" ca="1" si="25"/>
        <v>0</v>
      </c>
      <c r="AJ48" s="190">
        <f t="shared" ca="1" si="25"/>
        <v>0</v>
      </c>
      <c r="AK48" s="190">
        <f t="shared" ca="1" si="25"/>
        <v>0</v>
      </c>
      <c r="AL48" s="190">
        <f t="shared" ca="1" si="25"/>
        <v>0</v>
      </c>
      <c r="AM48" s="190">
        <f t="shared" ca="1" si="25"/>
        <v>0</v>
      </c>
      <c r="AN48" s="190">
        <f t="shared" ca="1" si="25"/>
        <v>0</v>
      </c>
      <c r="AO48" s="190">
        <f t="shared" ca="1" si="25"/>
        <v>0</v>
      </c>
      <c r="AP48" s="190">
        <f t="shared" ca="1" si="25"/>
        <v>0</v>
      </c>
      <c r="AQ48" s="190">
        <f t="shared" ca="1" si="25"/>
        <v>0</v>
      </c>
      <c r="AR48" s="190">
        <f t="shared" ca="1" si="25"/>
        <v>0</v>
      </c>
      <c r="AS48" s="190">
        <f t="shared" ca="1" si="25"/>
        <v>0</v>
      </c>
      <c r="AT48" s="190">
        <f t="shared" ca="1" si="25"/>
        <v>0</v>
      </c>
      <c r="AU48" s="190">
        <f t="shared" ca="1" si="25"/>
        <v>0</v>
      </c>
    </row>
    <row r="49" spans="5:47" s="28" customFormat="1">
      <c r="E49" s="254"/>
      <c r="G49" s="36" t="s">
        <v>317</v>
      </c>
      <c r="L49" s="43" t="s">
        <v>12</v>
      </c>
      <c r="N49" s="189">
        <f t="shared" ca="1" si="21"/>
        <v>0</v>
      </c>
      <c r="O49" s="189"/>
      <c r="P49" s="319"/>
      <c r="Q49" s="189"/>
      <c r="R49" s="190">
        <f t="shared" ref="R49:AU49" ca="1" si="26">R180</f>
        <v>0</v>
      </c>
      <c r="S49" s="190">
        <f t="shared" ca="1" si="26"/>
        <v>0</v>
      </c>
      <c r="T49" s="190">
        <f t="shared" ca="1" si="26"/>
        <v>0</v>
      </c>
      <c r="U49" s="190">
        <f t="shared" ca="1" si="26"/>
        <v>0</v>
      </c>
      <c r="V49" s="190">
        <f t="shared" ca="1" si="26"/>
        <v>0</v>
      </c>
      <c r="W49" s="190">
        <f t="shared" ca="1" si="26"/>
        <v>0</v>
      </c>
      <c r="X49" s="190">
        <f t="shared" ca="1" si="26"/>
        <v>0</v>
      </c>
      <c r="Y49" s="190">
        <f t="shared" ca="1" si="26"/>
        <v>0</v>
      </c>
      <c r="Z49" s="190">
        <f t="shared" ca="1" si="26"/>
        <v>0</v>
      </c>
      <c r="AA49" s="190">
        <f t="shared" ca="1" si="26"/>
        <v>0</v>
      </c>
      <c r="AB49" s="190">
        <f t="shared" ca="1" si="26"/>
        <v>0</v>
      </c>
      <c r="AC49" s="190">
        <f t="shared" ca="1" si="26"/>
        <v>0</v>
      </c>
      <c r="AD49" s="190">
        <f t="shared" ca="1" si="26"/>
        <v>0</v>
      </c>
      <c r="AE49" s="190">
        <f t="shared" ca="1" si="26"/>
        <v>0</v>
      </c>
      <c r="AF49" s="190">
        <f t="shared" ca="1" si="26"/>
        <v>0</v>
      </c>
      <c r="AG49" s="190">
        <f t="shared" ca="1" si="26"/>
        <v>0</v>
      </c>
      <c r="AH49" s="190">
        <f t="shared" ca="1" si="26"/>
        <v>0</v>
      </c>
      <c r="AI49" s="190">
        <f t="shared" ca="1" si="26"/>
        <v>0</v>
      </c>
      <c r="AJ49" s="190">
        <f t="shared" ca="1" si="26"/>
        <v>0</v>
      </c>
      <c r="AK49" s="190">
        <f t="shared" ca="1" si="26"/>
        <v>0</v>
      </c>
      <c r="AL49" s="190">
        <f t="shared" ca="1" si="26"/>
        <v>0</v>
      </c>
      <c r="AM49" s="190">
        <f t="shared" ca="1" si="26"/>
        <v>0</v>
      </c>
      <c r="AN49" s="190">
        <f t="shared" ca="1" si="26"/>
        <v>0</v>
      </c>
      <c r="AO49" s="190">
        <f t="shared" ca="1" si="26"/>
        <v>0</v>
      </c>
      <c r="AP49" s="190">
        <f t="shared" ca="1" si="26"/>
        <v>0</v>
      </c>
      <c r="AQ49" s="190">
        <f t="shared" ca="1" si="26"/>
        <v>0</v>
      </c>
      <c r="AR49" s="190">
        <f t="shared" ca="1" si="26"/>
        <v>0</v>
      </c>
      <c r="AS49" s="190">
        <f t="shared" ca="1" si="26"/>
        <v>0</v>
      </c>
      <c r="AT49" s="190">
        <f t="shared" ca="1" si="26"/>
        <v>0</v>
      </c>
      <c r="AU49" s="190">
        <f t="shared" ca="1" si="26"/>
        <v>0</v>
      </c>
    </row>
    <row r="50" spans="5:47" s="28" customFormat="1">
      <c r="E50" s="254"/>
      <c r="G50" s="36" t="s">
        <v>318</v>
      </c>
      <c r="L50" s="43" t="s">
        <v>12</v>
      </c>
      <c r="N50" s="189">
        <f t="shared" ca="1" si="21"/>
        <v>0</v>
      </c>
      <c r="O50" s="189"/>
      <c r="P50" s="319"/>
      <c r="Q50" s="189"/>
      <c r="R50" s="190">
        <f t="shared" ref="R50:AU50" ca="1" si="27">R201</f>
        <v>0</v>
      </c>
      <c r="S50" s="190">
        <f t="shared" ca="1" si="27"/>
        <v>0</v>
      </c>
      <c r="T50" s="190">
        <f t="shared" ca="1" si="27"/>
        <v>0</v>
      </c>
      <c r="U50" s="190">
        <f t="shared" ca="1" si="27"/>
        <v>0</v>
      </c>
      <c r="V50" s="190">
        <f t="shared" ca="1" si="27"/>
        <v>0</v>
      </c>
      <c r="W50" s="190">
        <f t="shared" ca="1" si="27"/>
        <v>0</v>
      </c>
      <c r="X50" s="190">
        <f t="shared" ca="1" si="27"/>
        <v>0</v>
      </c>
      <c r="Y50" s="190">
        <f t="shared" ca="1" si="27"/>
        <v>0</v>
      </c>
      <c r="Z50" s="190">
        <f t="shared" ca="1" si="27"/>
        <v>0</v>
      </c>
      <c r="AA50" s="190">
        <f t="shared" ca="1" si="27"/>
        <v>0</v>
      </c>
      <c r="AB50" s="190">
        <f t="shared" ca="1" si="27"/>
        <v>0</v>
      </c>
      <c r="AC50" s="190">
        <f t="shared" ca="1" si="27"/>
        <v>0</v>
      </c>
      <c r="AD50" s="190">
        <f t="shared" ca="1" si="27"/>
        <v>0</v>
      </c>
      <c r="AE50" s="190">
        <f t="shared" ca="1" si="27"/>
        <v>0</v>
      </c>
      <c r="AF50" s="190">
        <f t="shared" ca="1" si="27"/>
        <v>0</v>
      </c>
      <c r="AG50" s="190">
        <f t="shared" ca="1" si="27"/>
        <v>0</v>
      </c>
      <c r="AH50" s="190">
        <f t="shared" ca="1" si="27"/>
        <v>0</v>
      </c>
      <c r="AI50" s="190">
        <f t="shared" ca="1" si="27"/>
        <v>0</v>
      </c>
      <c r="AJ50" s="190">
        <f t="shared" ca="1" si="27"/>
        <v>0</v>
      </c>
      <c r="AK50" s="190">
        <f t="shared" ca="1" si="27"/>
        <v>0</v>
      </c>
      <c r="AL50" s="190">
        <f t="shared" ca="1" si="27"/>
        <v>0</v>
      </c>
      <c r="AM50" s="190">
        <f t="shared" ca="1" si="27"/>
        <v>0</v>
      </c>
      <c r="AN50" s="190">
        <f t="shared" ca="1" si="27"/>
        <v>0</v>
      </c>
      <c r="AO50" s="190">
        <f t="shared" ca="1" si="27"/>
        <v>0</v>
      </c>
      <c r="AP50" s="190">
        <f t="shared" ca="1" si="27"/>
        <v>0</v>
      </c>
      <c r="AQ50" s="190">
        <f t="shared" ca="1" si="27"/>
        <v>0</v>
      </c>
      <c r="AR50" s="190">
        <f t="shared" ca="1" si="27"/>
        <v>0</v>
      </c>
      <c r="AS50" s="190">
        <f t="shared" ca="1" si="27"/>
        <v>0</v>
      </c>
      <c r="AT50" s="190">
        <f t="shared" ca="1" si="27"/>
        <v>0</v>
      </c>
      <c r="AU50" s="190">
        <f t="shared" ca="1" si="27"/>
        <v>0</v>
      </c>
    </row>
    <row r="51" spans="5:47" s="28" customFormat="1">
      <c r="E51" s="254"/>
      <c r="G51" s="36" t="s">
        <v>319</v>
      </c>
      <c r="L51" s="43" t="s">
        <v>12</v>
      </c>
      <c r="N51" s="189">
        <f t="shared" ca="1" si="21"/>
        <v>4690386.7924528299</v>
      </c>
      <c r="O51" s="189"/>
      <c r="P51" s="319"/>
      <c r="Q51" s="189"/>
      <c r="R51" s="190">
        <f t="shared" ref="R51:AU51" ca="1" si="28">R222</f>
        <v>4971810</v>
      </c>
      <c r="S51" s="190">
        <f t="shared" ca="1" si="28"/>
        <v>0</v>
      </c>
      <c r="T51" s="190">
        <f t="shared" ca="1" si="28"/>
        <v>0</v>
      </c>
      <c r="U51" s="190">
        <f t="shared" ca="1" si="28"/>
        <v>0</v>
      </c>
      <c r="V51" s="190">
        <f t="shared" ca="1" si="28"/>
        <v>0</v>
      </c>
      <c r="W51" s="190">
        <f t="shared" ca="1" si="28"/>
        <v>0</v>
      </c>
      <c r="X51" s="190">
        <f t="shared" ca="1" si="28"/>
        <v>0</v>
      </c>
      <c r="Y51" s="190">
        <f t="shared" ca="1" si="28"/>
        <v>0</v>
      </c>
      <c r="Z51" s="190">
        <f t="shared" ca="1" si="28"/>
        <v>0</v>
      </c>
      <c r="AA51" s="190">
        <f t="shared" ca="1" si="28"/>
        <v>0</v>
      </c>
      <c r="AB51" s="190">
        <f t="shared" ca="1" si="28"/>
        <v>0</v>
      </c>
      <c r="AC51" s="190">
        <f t="shared" ca="1" si="28"/>
        <v>0</v>
      </c>
      <c r="AD51" s="190">
        <f t="shared" ca="1" si="28"/>
        <v>0</v>
      </c>
      <c r="AE51" s="190">
        <f t="shared" ca="1" si="28"/>
        <v>0</v>
      </c>
      <c r="AF51" s="190">
        <f t="shared" ca="1" si="28"/>
        <v>0</v>
      </c>
      <c r="AG51" s="190">
        <f t="shared" ca="1" si="28"/>
        <v>0</v>
      </c>
      <c r="AH51" s="190">
        <f t="shared" ca="1" si="28"/>
        <v>0</v>
      </c>
      <c r="AI51" s="190">
        <f t="shared" ca="1" si="28"/>
        <v>0</v>
      </c>
      <c r="AJ51" s="190">
        <f t="shared" ca="1" si="28"/>
        <v>0</v>
      </c>
      <c r="AK51" s="190">
        <f t="shared" ca="1" si="28"/>
        <v>0</v>
      </c>
      <c r="AL51" s="190">
        <f t="shared" ca="1" si="28"/>
        <v>0</v>
      </c>
      <c r="AM51" s="190">
        <f t="shared" ca="1" si="28"/>
        <v>0</v>
      </c>
      <c r="AN51" s="190">
        <f t="shared" ca="1" si="28"/>
        <v>0</v>
      </c>
      <c r="AO51" s="190">
        <f t="shared" ca="1" si="28"/>
        <v>0</v>
      </c>
      <c r="AP51" s="190">
        <f t="shared" ca="1" si="28"/>
        <v>0</v>
      </c>
      <c r="AQ51" s="190">
        <f t="shared" ca="1" si="28"/>
        <v>0</v>
      </c>
      <c r="AR51" s="190">
        <f t="shared" ca="1" si="28"/>
        <v>0</v>
      </c>
      <c r="AS51" s="190">
        <f t="shared" ca="1" si="28"/>
        <v>0</v>
      </c>
      <c r="AT51" s="190">
        <f t="shared" ca="1" si="28"/>
        <v>0</v>
      </c>
      <c r="AU51" s="190">
        <f t="shared" ca="1" si="28"/>
        <v>0</v>
      </c>
    </row>
    <row r="52" spans="5:47" s="28" customFormat="1">
      <c r="E52" s="254"/>
      <c r="G52" s="36" t="s">
        <v>320</v>
      </c>
      <c r="L52" s="43" t="s">
        <v>12</v>
      </c>
      <c r="N52" s="189">
        <f t="shared" ca="1" si="21"/>
        <v>0</v>
      </c>
      <c r="O52" s="189"/>
      <c r="P52" s="319"/>
      <c r="Q52" s="189"/>
      <c r="R52" s="190">
        <f t="shared" ref="R52:AU52" ca="1" si="29">R243</f>
        <v>0</v>
      </c>
      <c r="S52" s="190">
        <f t="shared" ca="1" si="29"/>
        <v>0</v>
      </c>
      <c r="T52" s="190">
        <f t="shared" ca="1" si="29"/>
        <v>0</v>
      </c>
      <c r="U52" s="190">
        <f t="shared" ca="1" si="29"/>
        <v>0</v>
      </c>
      <c r="V52" s="190">
        <f t="shared" ca="1" si="29"/>
        <v>0</v>
      </c>
      <c r="W52" s="190">
        <f t="shared" ca="1" si="29"/>
        <v>0</v>
      </c>
      <c r="X52" s="190">
        <f t="shared" ca="1" si="29"/>
        <v>0</v>
      </c>
      <c r="Y52" s="190">
        <f t="shared" ca="1" si="29"/>
        <v>0</v>
      </c>
      <c r="Z52" s="190">
        <f t="shared" ca="1" si="29"/>
        <v>0</v>
      </c>
      <c r="AA52" s="190">
        <f t="shared" ca="1" si="29"/>
        <v>0</v>
      </c>
      <c r="AB52" s="190">
        <f t="shared" ca="1" si="29"/>
        <v>0</v>
      </c>
      <c r="AC52" s="190">
        <f t="shared" ca="1" si="29"/>
        <v>0</v>
      </c>
      <c r="AD52" s="190">
        <f t="shared" ca="1" si="29"/>
        <v>0</v>
      </c>
      <c r="AE52" s="190">
        <f t="shared" ca="1" si="29"/>
        <v>0</v>
      </c>
      <c r="AF52" s="190">
        <f t="shared" ca="1" si="29"/>
        <v>0</v>
      </c>
      <c r="AG52" s="190">
        <f t="shared" ca="1" si="29"/>
        <v>0</v>
      </c>
      <c r="AH52" s="190">
        <f t="shared" ca="1" si="29"/>
        <v>0</v>
      </c>
      <c r="AI52" s="190">
        <f t="shared" ca="1" si="29"/>
        <v>0</v>
      </c>
      <c r="AJ52" s="190">
        <f t="shared" ca="1" si="29"/>
        <v>0</v>
      </c>
      <c r="AK52" s="190">
        <f t="shared" ca="1" si="29"/>
        <v>0</v>
      </c>
      <c r="AL52" s="190">
        <f t="shared" ca="1" si="29"/>
        <v>0</v>
      </c>
      <c r="AM52" s="190">
        <f t="shared" ca="1" si="29"/>
        <v>0</v>
      </c>
      <c r="AN52" s="190">
        <f t="shared" ca="1" si="29"/>
        <v>0</v>
      </c>
      <c r="AO52" s="190">
        <f t="shared" ca="1" si="29"/>
        <v>0</v>
      </c>
      <c r="AP52" s="190">
        <f t="shared" ca="1" si="29"/>
        <v>0</v>
      </c>
      <c r="AQ52" s="190">
        <f t="shared" ca="1" si="29"/>
        <v>0</v>
      </c>
      <c r="AR52" s="190">
        <f t="shared" ca="1" si="29"/>
        <v>0</v>
      </c>
      <c r="AS52" s="190">
        <f t="shared" ca="1" si="29"/>
        <v>0</v>
      </c>
      <c r="AT52" s="190">
        <f t="shared" ca="1" si="29"/>
        <v>0</v>
      </c>
      <c r="AU52" s="190">
        <f t="shared" ca="1" si="29"/>
        <v>0</v>
      </c>
    </row>
    <row r="53" spans="5:47" s="28" customFormat="1">
      <c r="E53" s="254"/>
      <c r="G53" s="36" t="s">
        <v>321</v>
      </c>
      <c r="L53" s="43" t="s">
        <v>12</v>
      </c>
      <c r="N53" s="189">
        <f t="shared" ca="1" si="21"/>
        <v>913396.22641509434</v>
      </c>
      <c r="O53" s="189"/>
      <c r="P53" s="319"/>
      <c r="Q53" s="189"/>
      <c r="R53" s="190">
        <f t="shared" ref="R53:AU53" ca="1" si="30">R264</f>
        <v>968200</v>
      </c>
      <c r="S53" s="190">
        <f t="shared" ca="1" si="30"/>
        <v>0</v>
      </c>
      <c r="T53" s="190">
        <f t="shared" ca="1" si="30"/>
        <v>0</v>
      </c>
      <c r="U53" s="190">
        <f t="shared" ca="1" si="30"/>
        <v>0</v>
      </c>
      <c r="V53" s="190">
        <f t="shared" ca="1" si="30"/>
        <v>0</v>
      </c>
      <c r="W53" s="190">
        <f t="shared" ca="1" si="30"/>
        <v>0</v>
      </c>
      <c r="X53" s="190">
        <f t="shared" ca="1" si="30"/>
        <v>0</v>
      </c>
      <c r="Y53" s="190">
        <f t="shared" ca="1" si="30"/>
        <v>0</v>
      </c>
      <c r="Z53" s="190">
        <f t="shared" ca="1" si="30"/>
        <v>0</v>
      </c>
      <c r="AA53" s="190">
        <f t="shared" ca="1" si="30"/>
        <v>0</v>
      </c>
      <c r="AB53" s="190">
        <f t="shared" ca="1" si="30"/>
        <v>0</v>
      </c>
      <c r="AC53" s="190">
        <f t="shared" ca="1" si="30"/>
        <v>0</v>
      </c>
      <c r="AD53" s="190">
        <f t="shared" ca="1" si="30"/>
        <v>0</v>
      </c>
      <c r="AE53" s="190">
        <f t="shared" ca="1" si="30"/>
        <v>0</v>
      </c>
      <c r="AF53" s="190">
        <f t="shared" ca="1" si="30"/>
        <v>0</v>
      </c>
      <c r="AG53" s="190">
        <f t="shared" ca="1" si="30"/>
        <v>0</v>
      </c>
      <c r="AH53" s="190">
        <f t="shared" ca="1" si="30"/>
        <v>0</v>
      </c>
      <c r="AI53" s="190">
        <f t="shared" ca="1" si="30"/>
        <v>0</v>
      </c>
      <c r="AJ53" s="190">
        <f t="shared" ca="1" si="30"/>
        <v>0</v>
      </c>
      <c r="AK53" s="190">
        <f t="shared" ca="1" si="30"/>
        <v>0</v>
      </c>
      <c r="AL53" s="190">
        <f t="shared" ca="1" si="30"/>
        <v>0</v>
      </c>
      <c r="AM53" s="190">
        <f t="shared" ca="1" si="30"/>
        <v>0</v>
      </c>
      <c r="AN53" s="190">
        <f t="shared" ca="1" si="30"/>
        <v>0</v>
      </c>
      <c r="AO53" s="190">
        <f t="shared" ca="1" si="30"/>
        <v>0</v>
      </c>
      <c r="AP53" s="190">
        <f t="shared" ca="1" si="30"/>
        <v>0</v>
      </c>
      <c r="AQ53" s="190">
        <f t="shared" ca="1" si="30"/>
        <v>0</v>
      </c>
      <c r="AR53" s="190">
        <f t="shared" ca="1" si="30"/>
        <v>0</v>
      </c>
      <c r="AS53" s="190">
        <f t="shared" ca="1" si="30"/>
        <v>0</v>
      </c>
      <c r="AT53" s="190">
        <f t="shared" ca="1" si="30"/>
        <v>0</v>
      </c>
      <c r="AU53" s="190">
        <f t="shared" ca="1" si="30"/>
        <v>0</v>
      </c>
    </row>
    <row r="54" spans="5:47" s="28" customFormat="1">
      <c r="E54" s="254"/>
      <c r="G54" s="36" t="s">
        <v>160</v>
      </c>
      <c r="L54" s="43" t="s">
        <v>12</v>
      </c>
      <c r="N54" s="189">
        <f t="shared" ca="1" si="21"/>
        <v>4314339.6226415094</v>
      </c>
      <c r="O54" s="189"/>
      <c r="P54" s="319"/>
      <c r="Q54" s="189"/>
      <c r="R54" s="190">
        <f t="shared" ref="R54:AU54" ca="1" si="31">R285</f>
        <v>4573200</v>
      </c>
      <c r="S54" s="190">
        <f t="shared" ca="1" si="31"/>
        <v>0</v>
      </c>
      <c r="T54" s="190">
        <f t="shared" ca="1" si="31"/>
        <v>0</v>
      </c>
      <c r="U54" s="190">
        <f t="shared" ca="1" si="31"/>
        <v>0</v>
      </c>
      <c r="V54" s="190">
        <f t="shared" ca="1" si="31"/>
        <v>0</v>
      </c>
      <c r="W54" s="190">
        <f t="shared" ca="1" si="31"/>
        <v>0</v>
      </c>
      <c r="X54" s="190">
        <f t="shared" ca="1" si="31"/>
        <v>0</v>
      </c>
      <c r="Y54" s="190">
        <f t="shared" ca="1" si="31"/>
        <v>0</v>
      </c>
      <c r="Z54" s="190">
        <f t="shared" ca="1" si="31"/>
        <v>0</v>
      </c>
      <c r="AA54" s="190">
        <f t="shared" ca="1" si="31"/>
        <v>0</v>
      </c>
      <c r="AB54" s="190">
        <f t="shared" ca="1" si="31"/>
        <v>0</v>
      </c>
      <c r="AC54" s="190">
        <f t="shared" ca="1" si="31"/>
        <v>0</v>
      </c>
      <c r="AD54" s="190">
        <f t="shared" ca="1" si="31"/>
        <v>0</v>
      </c>
      <c r="AE54" s="190">
        <f t="shared" ca="1" si="31"/>
        <v>0</v>
      </c>
      <c r="AF54" s="190">
        <f t="shared" ca="1" si="31"/>
        <v>0</v>
      </c>
      <c r="AG54" s="190">
        <f t="shared" ca="1" si="31"/>
        <v>0</v>
      </c>
      <c r="AH54" s="190">
        <f t="shared" ca="1" si="31"/>
        <v>0</v>
      </c>
      <c r="AI54" s="190">
        <f t="shared" ca="1" si="31"/>
        <v>0</v>
      </c>
      <c r="AJ54" s="190">
        <f t="shared" ca="1" si="31"/>
        <v>0</v>
      </c>
      <c r="AK54" s="190">
        <f t="shared" ca="1" si="31"/>
        <v>0</v>
      </c>
      <c r="AL54" s="190">
        <f t="shared" ca="1" si="31"/>
        <v>0</v>
      </c>
      <c r="AM54" s="190">
        <f t="shared" ca="1" si="31"/>
        <v>0</v>
      </c>
      <c r="AN54" s="190">
        <f t="shared" ca="1" si="31"/>
        <v>0</v>
      </c>
      <c r="AO54" s="190">
        <f t="shared" ca="1" si="31"/>
        <v>0</v>
      </c>
      <c r="AP54" s="190">
        <f t="shared" ca="1" si="31"/>
        <v>0</v>
      </c>
      <c r="AQ54" s="190">
        <f t="shared" ca="1" si="31"/>
        <v>0</v>
      </c>
      <c r="AR54" s="190">
        <f t="shared" ca="1" si="31"/>
        <v>0</v>
      </c>
      <c r="AS54" s="190">
        <f t="shared" ca="1" si="31"/>
        <v>0</v>
      </c>
      <c r="AT54" s="190">
        <f t="shared" ca="1" si="31"/>
        <v>0</v>
      </c>
      <c r="AU54" s="190">
        <f t="shared" ca="1" si="31"/>
        <v>0</v>
      </c>
    </row>
    <row r="55" spans="5:47" s="28" customFormat="1">
      <c r="E55" s="254"/>
      <c r="G55" s="36" t="s">
        <v>161</v>
      </c>
      <c r="L55" s="43" t="s">
        <v>12</v>
      </c>
      <c r="N55" s="189">
        <f t="shared" ca="1" si="21"/>
        <v>0</v>
      </c>
      <c r="O55" s="189"/>
      <c r="P55" s="319"/>
      <c r="Q55" s="189"/>
      <c r="R55" s="190">
        <f t="shared" ref="R55:AU55" ca="1" si="32">R306</f>
        <v>0</v>
      </c>
      <c r="S55" s="190">
        <f t="shared" ca="1" si="32"/>
        <v>0</v>
      </c>
      <c r="T55" s="190">
        <f t="shared" ca="1" si="32"/>
        <v>0</v>
      </c>
      <c r="U55" s="190">
        <f t="shared" ca="1" si="32"/>
        <v>0</v>
      </c>
      <c r="V55" s="190">
        <f t="shared" ca="1" si="32"/>
        <v>0</v>
      </c>
      <c r="W55" s="190">
        <f t="shared" ca="1" si="32"/>
        <v>0</v>
      </c>
      <c r="X55" s="190">
        <f t="shared" ca="1" si="32"/>
        <v>0</v>
      </c>
      <c r="Y55" s="190">
        <f t="shared" ca="1" si="32"/>
        <v>0</v>
      </c>
      <c r="Z55" s="190">
        <f t="shared" ca="1" si="32"/>
        <v>0</v>
      </c>
      <c r="AA55" s="190">
        <f t="shared" ca="1" si="32"/>
        <v>0</v>
      </c>
      <c r="AB55" s="190">
        <f t="shared" ca="1" si="32"/>
        <v>0</v>
      </c>
      <c r="AC55" s="190">
        <f t="shared" ca="1" si="32"/>
        <v>0</v>
      </c>
      <c r="AD55" s="190">
        <f t="shared" ca="1" si="32"/>
        <v>0</v>
      </c>
      <c r="AE55" s="190">
        <f t="shared" ca="1" si="32"/>
        <v>0</v>
      </c>
      <c r="AF55" s="190">
        <f t="shared" ca="1" si="32"/>
        <v>0</v>
      </c>
      <c r="AG55" s="190">
        <f t="shared" ca="1" si="32"/>
        <v>0</v>
      </c>
      <c r="AH55" s="190">
        <f t="shared" ca="1" si="32"/>
        <v>0</v>
      </c>
      <c r="AI55" s="190">
        <f t="shared" ca="1" si="32"/>
        <v>0</v>
      </c>
      <c r="AJ55" s="190">
        <f t="shared" ca="1" si="32"/>
        <v>0</v>
      </c>
      <c r="AK55" s="190">
        <f t="shared" ca="1" si="32"/>
        <v>0</v>
      </c>
      <c r="AL55" s="190">
        <f t="shared" ca="1" si="32"/>
        <v>0</v>
      </c>
      <c r="AM55" s="190">
        <f t="shared" ca="1" si="32"/>
        <v>0</v>
      </c>
      <c r="AN55" s="190">
        <f t="shared" ca="1" si="32"/>
        <v>0</v>
      </c>
      <c r="AO55" s="190">
        <f t="shared" ca="1" si="32"/>
        <v>0</v>
      </c>
      <c r="AP55" s="190">
        <f t="shared" ca="1" si="32"/>
        <v>0</v>
      </c>
      <c r="AQ55" s="190">
        <f t="shared" ca="1" si="32"/>
        <v>0</v>
      </c>
      <c r="AR55" s="190">
        <f t="shared" ca="1" si="32"/>
        <v>0</v>
      </c>
      <c r="AS55" s="190">
        <f t="shared" ca="1" si="32"/>
        <v>0</v>
      </c>
      <c r="AT55" s="190">
        <f t="shared" ca="1" si="32"/>
        <v>0</v>
      </c>
      <c r="AU55" s="190">
        <f t="shared" ca="1" si="32"/>
        <v>0</v>
      </c>
    </row>
    <row r="56" spans="5:47" s="28" customFormat="1">
      <c r="E56" s="254"/>
      <c r="G56" s="36" t="s">
        <v>162</v>
      </c>
      <c r="L56" s="43" t="s">
        <v>12</v>
      </c>
      <c r="N56" s="189">
        <f t="shared" ca="1" si="21"/>
        <v>0</v>
      </c>
      <c r="O56" s="189"/>
      <c r="P56" s="319"/>
      <c r="Q56" s="189"/>
      <c r="R56" s="190">
        <f t="shared" ref="R56:AU56" ca="1" si="33">R327</f>
        <v>0</v>
      </c>
      <c r="S56" s="190">
        <f t="shared" ca="1" si="33"/>
        <v>0</v>
      </c>
      <c r="T56" s="190">
        <f t="shared" ca="1" si="33"/>
        <v>0</v>
      </c>
      <c r="U56" s="190">
        <f t="shared" ca="1" si="33"/>
        <v>0</v>
      </c>
      <c r="V56" s="190">
        <f t="shared" ca="1" si="33"/>
        <v>0</v>
      </c>
      <c r="W56" s="190">
        <f t="shared" ca="1" si="33"/>
        <v>0</v>
      </c>
      <c r="X56" s="190">
        <f t="shared" ca="1" si="33"/>
        <v>0</v>
      </c>
      <c r="Y56" s="190">
        <f t="shared" ca="1" si="33"/>
        <v>0</v>
      </c>
      <c r="Z56" s="190">
        <f t="shared" ca="1" si="33"/>
        <v>0</v>
      </c>
      <c r="AA56" s="190">
        <f t="shared" ca="1" si="33"/>
        <v>0</v>
      </c>
      <c r="AB56" s="190">
        <f t="shared" ca="1" si="33"/>
        <v>0</v>
      </c>
      <c r="AC56" s="190">
        <f t="shared" ca="1" si="33"/>
        <v>0</v>
      </c>
      <c r="AD56" s="190">
        <f t="shared" ca="1" si="33"/>
        <v>0</v>
      </c>
      <c r="AE56" s="190">
        <f t="shared" ca="1" si="33"/>
        <v>0</v>
      </c>
      <c r="AF56" s="190">
        <f t="shared" ca="1" si="33"/>
        <v>0</v>
      </c>
      <c r="AG56" s="190">
        <f t="shared" ca="1" si="33"/>
        <v>0</v>
      </c>
      <c r="AH56" s="190">
        <f t="shared" ca="1" si="33"/>
        <v>0</v>
      </c>
      <c r="AI56" s="190">
        <f t="shared" ca="1" si="33"/>
        <v>0</v>
      </c>
      <c r="AJ56" s="190">
        <f t="shared" ca="1" si="33"/>
        <v>0</v>
      </c>
      <c r="AK56" s="190">
        <f t="shared" ca="1" si="33"/>
        <v>0</v>
      </c>
      <c r="AL56" s="190">
        <f t="shared" ca="1" si="33"/>
        <v>0</v>
      </c>
      <c r="AM56" s="190">
        <f t="shared" ca="1" si="33"/>
        <v>0</v>
      </c>
      <c r="AN56" s="190">
        <f t="shared" ca="1" si="33"/>
        <v>0</v>
      </c>
      <c r="AO56" s="190">
        <f t="shared" ca="1" si="33"/>
        <v>0</v>
      </c>
      <c r="AP56" s="190">
        <f t="shared" ca="1" si="33"/>
        <v>0</v>
      </c>
      <c r="AQ56" s="190">
        <f t="shared" ca="1" si="33"/>
        <v>0</v>
      </c>
      <c r="AR56" s="190">
        <f t="shared" ca="1" si="33"/>
        <v>0</v>
      </c>
      <c r="AS56" s="190">
        <f t="shared" ca="1" si="33"/>
        <v>0</v>
      </c>
      <c r="AT56" s="190">
        <f t="shared" ca="1" si="33"/>
        <v>0</v>
      </c>
      <c r="AU56" s="190">
        <f t="shared" ca="1" si="33"/>
        <v>0</v>
      </c>
    </row>
    <row r="57" spans="5:47" s="28" customFormat="1">
      <c r="E57" s="254"/>
      <c r="G57" s="36" t="s">
        <v>135</v>
      </c>
      <c r="L57" s="43" t="s">
        <v>12</v>
      </c>
      <c r="N57" s="189">
        <f t="shared" ca="1" si="21"/>
        <v>1991981.1320754716</v>
      </c>
      <c r="O57" s="189"/>
      <c r="P57" s="319"/>
      <c r="Q57" s="189"/>
      <c r="R57" s="190">
        <f t="shared" ref="R57:AU57" ca="1" si="34">R348</f>
        <v>2111500</v>
      </c>
      <c r="S57" s="190">
        <f t="shared" ca="1" si="34"/>
        <v>0</v>
      </c>
      <c r="T57" s="190">
        <f t="shared" ca="1" si="34"/>
        <v>0</v>
      </c>
      <c r="U57" s="190">
        <f t="shared" ca="1" si="34"/>
        <v>0</v>
      </c>
      <c r="V57" s="190">
        <f t="shared" ca="1" si="34"/>
        <v>0</v>
      </c>
      <c r="W57" s="190">
        <f t="shared" ca="1" si="34"/>
        <v>0</v>
      </c>
      <c r="X57" s="190">
        <f t="shared" ca="1" si="34"/>
        <v>0</v>
      </c>
      <c r="Y57" s="190">
        <f t="shared" ca="1" si="34"/>
        <v>0</v>
      </c>
      <c r="Z57" s="190">
        <f t="shared" ca="1" si="34"/>
        <v>0</v>
      </c>
      <c r="AA57" s="190">
        <f t="shared" ca="1" si="34"/>
        <v>0</v>
      </c>
      <c r="AB57" s="190">
        <f t="shared" ca="1" si="34"/>
        <v>0</v>
      </c>
      <c r="AC57" s="190">
        <f t="shared" ca="1" si="34"/>
        <v>0</v>
      </c>
      <c r="AD57" s="190">
        <f t="shared" ca="1" si="34"/>
        <v>0</v>
      </c>
      <c r="AE57" s="190">
        <f t="shared" ca="1" si="34"/>
        <v>0</v>
      </c>
      <c r="AF57" s="190">
        <f t="shared" ca="1" si="34"/>
        <v>0</v>
      </c>
      <c r="AG57" s="190">
        <f t="shared" ca="1" si="34"/>
        <v>0</v>
      </c>
      <c r="AH57" s="190">
        <f t="shared" ca="1" si="34"/>
        <v>0</v>
      </c>
      <c r="AI57" s="190">
        <f t="shared" ca="1" si="34"/>
        <v>0</v>
      </c>
      <c r="AJ57" s="190">
        <f t="shared" ca="1" si="34"/>
        <v>0</v>
      </c>
      <c r="AK57" s="190">
        <f t="shared" ca="1" si="34"/>
        <v>0</v>
      </c>
      <c r="AL57" s="190">
        <f t="shared" ca="1" si="34"/>
        <v>0</v>
      </c>
      <c r="AM57" s="190">
        <f t="shared" ca="1" si="34"/>
        <v>0</v>
      </c>
      <c r="AN57" s="190">
        <f t="shared" ca="1" si="34"/>
        <v>0</v>
      </c>
      <c r="AO57" s="190">
        <f t="shared" ca="1" si="34"/>
        <v>0</v>
      </c>
      <c r="AP57" s="190">
        <f t="shared" ca="1" si="34"/>
        <v>0</v>
      </c>
      <c r="AQ57" s="190">
        <f t="shared" ca="1" si="34"/>
        <v>0</v>
      </c>
      <c r="AR57" s="190">
        <f t="shared" ca="1" si="34"/>
        <v>0</v>
      </c>
      <c r="AS57" s="190">
        <f t="shared" ca="1" si="34"/>
        <v>0</v>
      </c>
      <c r="AT57" s="190">
        <f t="shared" ca="1" si="34"/>
        <v>0</v>
      </c>
      <c r="AU57" s="190">
        <f t="shared" ca="1" si="34"/>
        <v>0</v>
      </c>
    </row>
    <row r="58" spans="5:47" s="28" customFormat="1">
      <c r="E58" s="254"/>
      <c r="G58" s="36" t="s">
        <v>29</v>
      </c>
      <c r="L58" s="43" t="s">
        <v>12</v>
      </c>
      <c r="N58" s="189">
        <f t="shared" ca="1" si="21"/>
        <v>999877.35849056602</v>
      </c>
      <c r="O58" s="189"/>
      <c r="P58" s="319"/>
      <c r="Q58" s="189"/>
      <c r="R58" s="190">
        <f t="shared" ref="R58:AU58" ca="1" si="35">R369</f>
        <v>1059870</v>
      </c>
      <c r="S58" s="190">
        <f t="shared" ca="1" si="35"/>
        <v>0</v>
      </c>
      <c r="T58" s="190">
        <f t="shared" ca="1" si="35"/>
        <v>0</v>
      </c>
      <c r="U58" s="190">
        <f t="shared" ca="1" si="35"/>
        <v>0</v>
      </c>
      <c r="V58" s="190">
        <f t="shared" ca="1" si="35"/>
        <v>0</v>
      </c>
      <c r="W58" s="190">
        <f t="shared" ca="1" si="35"/>
        <v>0</v>
      </c>
      <c r="X58" s="190">
        <f t="shared" ca="1" si="35"/>
        <v>0</v>
      </c>
      <c r="Y58" s="190">
        <f t="shared" ca="1" si="35"/>
        <v>0</v>
      </c>
      <c r="Z58" s="190">
        <f t="shared" ca="1" si="35"/>
        <v>0</v>
      </c>
      <c r="AA58" s="190">
        <f t="shared" ca="1" si="35"/>
        <v>0</v>
      </c>
      <c r="AB58" s="190">
        <f t="shared" ca="1" si="35"/>
        <v>0</v>
      </c>
      <c r="AC58" s="190">
        <f t="shared" ca="1" si="35"/>
        <v>0</v>
      </c>
      <c r="AD58" s="190">
        <f t="shared" ca="1" si="35"/>
        <v>0</v>
      </c>
      <c r="AE58" s="190">
        <f t="shared" ca="1" si="35"/>
        <v>0</v>
      </c>
      <c r="AF58" s="190">
        <f t="shared" ca="1" si="35"/>
        <v>0</v>
      </c>
      <c r="AG58" s="190">
        <f t="shared" ca="1" si="35"/>
        <v>0</v>
      </c>
      <c r="AH58" s="190">
        <f t="shared" ca="1" si="35"/>
        <v>0</v>
      </c>
      <c r="AI58" s="190">
        <f t="shared" ca="1" si="35"/>
        <v>0</v>
      </c>
      <c r="AJ58" s="190">
        <f t="shared" ca="1" si="35"/>
        <v>0</v>
      </c>
      <c r="AK58" s="190">
        <f t="shared" ca="1" si="35"/>
        <v>0</v>
      </c>
      <c r="AL58" s="190">
        <f t="shared" ca="1" si="35"/>
        <v>0</v>
      </c>
      <c r="AM58" s="190">
        <f t="shared" ca="1" si="35"/>
        <v>0</v>
      </c>
      <c r="AN58" s="190">
        <f t="shared" ca="1" si="35"/>
        <v>0</v>
      </c>
      <c r="AO58" s="190">
        <f t="shared" ca="1" si="35"/>
        <v>0</v>
      </c>
      <c r="AP58" s="190">
        <f t="shared" ca="1" si="35"/>
        <v>0</v>
      </c>
      <c r="AQ58" s="190">
        <f t="shared" ca="1" si="35"/>
        <v>0</v>
      </c>
      <c r="AR58" s="190">
        <f t="shared" ca="1" si="35"/>
        <v>0</v>
      </c>
      <c r="AS58" s="190">
        <f t="shared" ca="1" si="35"/>
        <v>0</v>
      </c>
      <c r="AT58" s="190">
        <f t="shared" ca="1" si="35"/>
        <v>0</v>
      </c>
      <c r="AU58" s="190">
        <f t="shared" ca="1" si="35"/>
        <v>0</v>
      </c>
    </row>
    <row r="59" spans="5:47" s="28" customFormat="1">
      <c r="E59" s="254"/>
      <c r="G59" s="36" t="s">
        <v>163</v>
      </c>
      <c r="L59" s="43" t="s">
        <v>12</v>
      </c>
      <c r="N59" s="189">
        <f t="shared" ca="1" si="21"/>
        <v>0</v>
      </c>
      <c r="O59" s="189"/>
      <c r="P59" s="319"/>
      <c r="Q59" s="189"/>
      <c r="R59" s="190">
        <f t="shared" ref="R59:AU59" ca="1" si="36">R390</f>
        <v>0</v>
      </c>
      <c r="S59" s="190">
        <f t="shared" ca="1" si="36"/>
        <v>0</v>
      </c>
      <c r="T59" s="190">
        <f t="shared" ca="1" si="36"/>
        <v>0</v>
      </c>
      <c r="U59" s="190">
        <f t="shared" ca="1" si="36"/>
        <v>0</v>
      </c>
      <c r="V59" s="190">
        <f t="shared" ca="1" si="36"/>
        <v>0</v>
      </c>
      <c r="W59" s="190">
        <f t="shared" ca="1" si="36"/>
        <v>0</v>
      </c>
      <c r="X59" s="190">
        <f t="shared" ca="1" si="36"/>
        <v>0</v>
      </c>
      <c r="Y59" s="190">
        <f t="shared" ca="1" si="36"/>
        <v>0</v>
      </c>
      <c r="Z59" s="190">
        <f t="shared" ca="1" si="36"/>
        <v>0</v>
      </c>
      <c r="AA59" s="190">
        <f t="shared" ca="1" si="36"/>
        <v>0</v>
      </c>
      <c r="AB59" s="190">
        <f t="shared" ca="1" si="36"/>
        <v>0</v>
      </c>
      <c r="AC59" s="190">
        <f t="shared" ca="1" si="36"/>
        <v>0</v>
      </c>
      <c r="AD59" s="190">
        <f t="shared" ca="1" si="36"/>
        <v>0</v>
      </c>
      <c r="AE59" s="190">
        <f t="shared" ca="1" si="36"/>
        <v>0</v>
      </c>
      <c r="AF59" s="190">
        <f t="shared" ca="1" si="36"/>
        <v>0</v>
      </c>
      <c r="AG59" s="190">
        <f t="shared" ca="1" si="36"/>
        <v>0</v>
      </c>
      <c r="AH59" s="190">
        <f t="shared" ca="1" si="36"/>
        <v>0</v>
      </c>
      <c r="AI59" s="190">
        <f t="shared" ca="1" si="36"/>
        <v>0</v>
      </c>
      <c r="AJ59" s="190">
        <f t="shared" ca="1" si="36"/>
        <v>0</v>
      </c>
      <c r="AK59" s="190">
        <f t="shared" ca="1" si="36"/>
        <v>0</v>
      </c>
      <c r="AL59" s="190">
        <f t="shared" ca="1" si="36"/>
        <v>0</v>
      </c>
      <c r="AM59" s="190">
        <f t="shared" ca="1" si="36"/>
        <v>0</v>
      </c>
      <c r="AN59" s="190">
        <f t="shared" ca="1" si="36"/>
        <v>0</v>
      </c>
      <c r="AO59" s="190">
        <f t="shared" ca="1" si="36"/>
        <v>0</v>
      </c>
      <c r="AP59" s="190">
        <f t="shared" ca="1" si="36"/>
        <v>0</v>
      </c>
      <c r="AQ59" s="190">
        <f t="shared" ca="1" si="36"/>
        <v>0</v>
      </c>
      <c r="AR59" s="190">
        <f t="shared" ca="1" si="36"/>
        <v>0</v>
      </c>
      <c r="AS59" s="190">
        <f t="shared" ca="1" si="36"/>
        <v>0</v>
      </c>
      <c r="AT59" s="190">
        <f t="shared" ca="1" si="36"/>
        <v>0</v>
      </c>
      <c r="AU59" s="190">
        <f t="shared" ca="1" si="36"/>
        <v>0</v>
      </c>
    </row>
    <row r="60" spans="5:47" s="28" customFormat="1">
      <c r="E60" s="254"/>
      <c r="G60" s="36" t="s">
        <v>138</v>
      </c>
      <c r="L60" s="43" t="s">
        <v>12</v>
      </c>
      <c r="N60" s="189">
        <f t="shared" ca="1" si="21"/>
        <v>0</v>
      </c>
      <c r="O60" s="189"/>
      <c r="P60" s="319"/>
      <c r="Q60" s="189"/>
      <c r="R60" s="190">
        <f t="shared" ref="R60:AU60" ca="1" si="37">R411</f>
        <v>0</v>
      </c>
      <c r="S60" s="190">
        <f t="shared" ca="1" si="37"/>
        <v>0</v>
      </c>
      <c r="T60" s="190">
        <f t="shared" ca="1" si="37"/>
        <v>0</v>
      </c>
      <c r="U60" s="190">
        <f t="shared" ca="1" si="37"/>
        <v>0</v>
      </c>
      <c r="V60" s="190">
        <f t="shared" ca="1" si="37"/>
        <v>0</v>
      </c>
      <c r="W60" s="190">
        <f t="shared" ca="1" si="37"/>
        <v>0</v>
      </c>
      <c r="X60" s="190">
        <f t="shared" ca="1" si="37"/>
        <v>0</v>
      </c>
      <c r="Y60" s="190">
        <f t="shared" ca="1" si="37"/>
        <v>0</v>
      </c>
      <c r="Z60" s="190">
        <f t="shared" ca="1" si="37"/>
        <v>0</v>
      </c>
      <c r="AA60" s="190">
        <f t="shared" ca="1" si="37"/>
        <v>0</v>
      </c>
      <c r="AB60" s="190">
        <f t="shared" ca="1" si="37"/>
        <v>0</v>
      </c>
      <c r="AC60" s="190">
        <f t="shared" ca="1" si="37"/>
        <v>0</v>
      </c>
      <c r="AD60" s="190">
        <f t="shared" ca="1" si="37"/>
        <v>0</v>
      </c>
      <c r="AE60" s="190">
        <f t="shared" ca="1" si="37"/>
        <v>0</v>
      </c>
      <c r="AF60" s="190">
        <f t="shared" ca="1" si="37"/>
        <v>0</v>
      </c>
      <c r="AG60" s="190">
        <f t="shared" ca="1" si="37"/>
        <v>0</v>
      </c>
      <c r="AH60" s="190">
        <f t="shared" ca="1" si="37"/>
        <v>0</v>
      </c>
      <c r="AI60" s="190">
        <f t="shared" ca="1" si="37"/>
        <v>0</v>
      </c>
      <c r="AJ60" s="190">
        <f t="shared" ca="1" si="37"/>
        <v>0</v>
      </c>
      <c r="AK60" s="190">
        <f t="shared" ca="1" si="37"/>
        <v>0</v>
      </c>
      <c r="AL60" s="190">
        <f t="shared" ca="1" si="37"/>
        <v>0</v>
      </c>
      <c r="AM60" s="190">
        <f t="shared" ca="1" si="37"/>
        <v>0</v>
      </c>
      <c r="AN60" s="190">
        <f t="shared" ca="1" si="37"/>
        <v>0</v>
      </c>
      <c r="AO60" s="190">
        <f t="shared" ca="1" si="37"/>
        <v>0</v>
      </c>
      <c r="AP60" s="190">
        <f t="shared" ca="1" si="37"/>
        <v>0</v>
      </c>
      <c r="AQ60" s="190">
        <f t="shared" ca="1" si="37"/>
        <v>0</v>
      </c>
      <c r="AR60" s="190">
        <f t="shared" ca="1" si="37"/>
        <v>0</v>
      </c>
      <c r="AS60" s="190">
        <f t="shared" ca="1" si="37"/>
        <v>0</v>
      </c>
      <c r="AT60" s="190">
        <f t="shared" ca="1" si="37"/>
        <v>0</v>
      </c>
      <c r="AU60" s="190">
        <f t="shared" ca="1" si="37"/>
        <v>0</v>
      </c>
    </row>
    <row r="61" spans="5:47" s="28" customFormat="1">
      <c r="E61" s="254"/>
      <c r="G61" s="36" t="s">
        <v>113</v>
      </c>
      <c r="L61" s="43" t="s">
        <v>12</v>
      </c>
      <c r="N61" s="189">
        <f t="shared" ca="1" si="21"/>
        <v>824000</v>
      </c>
      <c r="O61" s="189"/>
      <c r="P61" s="319"/>
      <c r="Q61" s="189"/>
      <c r="R61" s="190">
        <f t="shared" ref="R61:AU61" ca="1" si="38">R432</f>
        <v>873440</v>
      </c>
      <c r="S61" s="190">
        <f t="shared" ca="1" si="38"/>
        <v>0</v>
      </c>
      <c r="T61" s="190">
        <f t="shared" ca="1" si="38"/>
        <v>0</v>
      </c>
      <c r="U61" s="190">
        <f t="shared" ca="1" si="38"/>
        <v>0</v>
      </c>
      <c r="V61" s="190">
        <f t="shared" ca="1" si="38"/>
        <v>0</v>
      </c>
      <c r="W61" s="190">
        <f t="shared" ca="1" si="38"/>
        <v>0</v>
      </c>
      <c r="X61" s="190">
        <f t="shared" ca="1" si="38"/>
        <v>0</v>
      </c>
      <c r="Y61" s="190">
        <f t="shared" ca="1" si="38"/>
        <v>0</v>
      </c>
      <c r="Z61" s="190">
        <f t="shared" ca="1" si="38"/>
        <v>0</v>
      </c>
      <c r="AA61" s="190">
        <f t="shared" ca="1" si="38"/>
        <v>0</v>
      </c>
      <c r="AB61" s="190">
        <f t="shared" ca="1" si="38"/>
        <v>0</v>
      </c>
      <c r="AC61" s="190">
        <f t="shared" ca="1" si="38"/>
        <v>0</v>
      </c>
      <c r="AD61" s="190">
        <f t="shared" ca="1" si="38"/>
        <v>0</v>
      </c>
      <c r="AE61" s="190">
        <f t="shared" ca="1" si="38"/>
        <v>0</v>
      </c>
      <c r="AF61" s="190">
        <f t="shared" ca="1" si="38"/>
        <v>0</v>
      </c>
      <c r="AG61" s="190">
        <f t="shared" ca="1" si="38"/>
        <v>0</v>
      </c>
      <c r="AH61" s="190">
        <f t="shared" ca="1" si="38"/>
        <v>0</v>
      </c>
      <c r="AI61" s="190">
        <f t="shared" ca="1" si="38"/>
        <v>0</v>
      </c>
      <c r="AJ61" s="190">
        <f t="shared" ca="1" si="38"/>
        <v>0</v>
      </c>
      <c r="AK61" s="190">
        <f t="shared" ca="1" si="38"/>
        <v>0</v>
      </c>
      <c r="AL61" s="190">
        <f t="shared" ca="1" si="38"/>
        <v>0</v>
      </c>
      <c r="AM61" s="190">
        <f t="shared" ca="1" si="38"/>
        <v>0</v>
      </c>
      <c r="AN61" s="190">
        <f t="shared" ca="1" si="38"/>
        <v>0</v>
      </c>
      <c r="AO61" s="190">
        <f t="shared" ca="1" si="38"/>
        <v>0</v>
      </c>
      <c r="AP61" s="190">
        <f t="shared" ca="1" si="38"/>
        <v>0</v>
      </c>
      <c r="AQ61" s="190">
        <f t="shared" ca="1" si="38"/>
        <v>0</v>
      </c>
      <c r="AR61" s="190">
        <f t="shared" ca="1" si="38"/>
        <v>0</v>
      </c>
      <c r="AS61" s="190">
        <f t="shared" ca="1" si="38"/>
        <v>0</v>
      </c>
      <c r="AT61" s="190">
        <f t="shared" ca="1" si="38"/>
        <v>0</v>
      </c>
      <c r="AU61" s="190">
        <f t="shared" ca="1" si="38"/>
        <v>0</v>
      </c>
    </row>
    <row r="62" spans="5:47" s="28" customFormat="1">
      <c r="E62" s="254"/>
      <c r="G62" s="36" t="s">
        <v>115</v>
      </c>
      <c r="L62" s="43" t="s">
        <v>12</v>
      </c>
      <c r="N62" s="189">
        <f t="shared" ca="1" si="21"/>
        <v>1648000</v>
      </c>
      <c r="O62" s="189"/>
      <c r="P62" s="319"/>
      <c r="Q62" s="189"/>
      <c r="R62" s="190">
        <f t="shared" ref="R62:AU62" ca="1" si="39">R437</f>
        <v>1746880</v>
      </c>
      <c r="S62" s="190">
        <f t="shared" ca="1" si="39"/>
        <v>0</v>
      </c>
      <c r="T62" s="190">
        <f t="shared" ca="1" si="39"/>
        <v>0</v>
      </c>
      <c r="U62" s="190">
        <f t="shared" ca="1" si="39"/>
        <v>0</v>
      </c>
      <c r="V62" s="190">
        <f t="shared" ca="1" si="39"/>
        <v>0</v>
      </c>
      <c r="W62" s="190">
        <f t="shared" ca="1" si="39"/>
        <v>0</v>
      </c>
      <c r="X62" s="190">
        <f t="shared" ca="1" si="39"/>
        <v>0</v>
      </c>
      <c r="Y62" s="190">
        <f t="shared" ca="1" si="39"/>
        <v>0</v>
      </c>
      <c r="Z62" s="190">
        <f t="shared" ca="1" si="39"/>
        <v>0</v>
      </c>
      <c r="AA62" s="190">
        <f t="shared" ca="1" si="39"/>
        <v>0</v>
      </c>
      <c r="AB62" s="190">
        <f t="shared" ca="1" si="39"/>
        <v>0</v>
      </c>
      <c r="AC62" s="190">
        <f t="shared" ca="1" si="39"/>
        <v>0</v>
      </c>
      <c r="AD62" s="190">
        <f t="shared" ca="1" si="39"/>
        <v>0</v>
      </c>
      <c r="AE62" s="190">
        <f t="shared" ca="1" si="39"/>
        <v>0</v>
      </c>
      <c r="AF62" s="190">
        <f t="shared" ca="1" si="39"/>
        <v>0</v>
      </c>
      <c r="AG62" s="190">
        <f t="shared" ca="1" si="39"/>
        <v>0</v>
      </c>
      <c r="AH62" s="190">
        <f t="shared" ca="1" si="39"/>
        <v>0</v>
      </c>
      <c r="AI62" s="190">
        <f t="shared" ca="1" si="39"/>
        <v>0</v>
      </c>
      <c r="AJ62" s="190">
        <f t="shared" ca="1" si="39"/>
        <v>0</v>
      </c>
      <c r="AK62" s="190">
        <f t="shared" ca="1" si="39"/>
        <v>0</v>
      </c>
      <c r="AL62" s="190">
        <f t="shared" ca="1" si="39"/>
        <v>0</v>
      </c>
      <c r="AM62" s="190">
        <f t="shared" ca="1" si="39"/>
        <v>0</v>
      </c>
      <c r="AN62" s="190">
        <f t="shared" ca="1" si="39"/>
        <v>0</v>
      </c>
      <c r="AO62" s="190">
        <f t="shared" ca="1" si="39"/>
        <v>0</v>
      </c>
      <c r="AP62" s="190">
        <f t="shared" ca="1" si="39"/>
        <v>0</v>
      </c>
      <c r="AQ62" s="190">
        <f t="shared" ca="1" si="39"/>
        <v>0</v>
      </c>
      <c r="AR62" s="190">
        <f t="shared" ca="1" si="39"/>
        <v>0</v>
      </c>
      <c r="AS62" s="190">
        <f t="shared" ca="1" si="39"/>
        <v>0</v>
      </c>
      <c r="AT62" s="190">
        <f t="shared" ca="1" si="39"/>
        <v>0</v>
      </c>
      <c r="AU62" s="190">
        <f t="shared" ca="1" si="39"/>
        <v>0</v>
      </c>
    </row>
    <row r="63" spans="5:47" s="28" customFormat="1">
      <c r="E63" s="254"/>
      <c r="G63" s="36" t="s">
        <v>146</v>
      </c>
      <c r="L63" s="43" t="s">
        <v>12</v>
      </c>
      <c r="N63" s="189">
        <f t="shared" ca="1" si="21"/>
        <v>5686377.3584905658</v>
      </c>
      <c r="O63" s="189"/>
      <c r="P63" s="319"/>
      <c r="Q63" s="189"/>
      <c r="R63" s="190">
        <f t="shared" ref="R63:AU63" ca="1" si="40">R442</f>
        <v>6027560</v>
      </c>
      <c r="S63" s="190">
        <f t="shared" ca="1" si="40"/>
        <v>0</v>
      </c>
      <c r="T63" s="190">
        <f t="shared" ca="1" si="40"/>
        <v>0</v>
      </c>
      <c r="U63" s="190">
        <f t="shared" ca="1" si="40"/>
        <v>0</v>
      </c>
      <c r="V63" s="190">
        <f t="shared" ca="1" si="40"/>
        <v>0</v>
      </c>
      <c r="W63" s="190">
        <f t="shared" ca="1" si="40"/>
        <v>0</v>
      </c>
      <c r="X63" s="190">
        <f t="shared" ca="1" si="40"/>
        <v>0</v>
      </c>
      <c r="Y63" s="190">
        <f t="shared" ca="1" si="40"/>
        <v>0</v>
      </c>
      <c r="Z63" s="190">
        <f t="shared" ca="1" si="40"/>
        <v>0</v>
      </c>
      <c r="AA63" s="190">
        <f t="shared" ca="1" si="40"/>
        <v>0</v>
      </c>
      <c r="AB63" s="190">
        <f t="shared" ca="1" si="40"/>
        <v>0</v>
      </c>
      <c r="AC63" s="190">
        <f t="shared" ca="1" si="40"/>
        <v>0</v>
      </c>
      <c r="AD63" s="190">
        <f t="shared" ca="1" si="40"/>
        <v>0</v>
      </c>
      <c r="AE63" s="190">
        <f t="shared" ca="1" si="40"/>
        <v>0</v>
      </c>
      <c r="AF63" s="190">
        <f t="shared" ca="1" si="40"/>
        <v>0</v>
      </c>
      <c r="AG63" s="190">
        <f t="shared" ca="1" si="40"/>
        <v>0</v>
      </c>
      <c r="AH63" s="190">
        <f t="shared" ca="1" si="40"/>
        <v>0</v>
      </c>
      <c r="AI63" s="190">
        <f t="shared" ca="1" si="40"/>
        <v>0</v>
      </c>
      <c r="AJ63" s="190">
        <f t="shared" ca="1" si="40"/>
        <v>0</v>
      </c>
      <c r="AK63" s="190">
        <f t="shared" ca="1" si="40"/>
        <v>0</v>
      </c>
      <c r="AL63" s="190">
        <f t="shared" ca="1" si="40"/>
        <v>0</v>
      </c>
      <c r="AM63" s="190">
        <f t="shared" ca="1" si="40"/>
        <v>0</v>
      </c>
      <c r="AN63" s="190">
        <f t="shared" ca="1" si="40"/>
        <v>0</v>
      </c>
      <c r="AO63" s="190">
        <f t="shared" ca="1" si="40"/>
        <v>0</v>
      </c>
      <c r="AP63" s="190">
        <f t="shared" ca="1" si="40"/>
        <v>0</v>
      </c>
      <c r="AQ63" s="190">
        <f t="shared" ca="1" si="40"/>
        <v>0</v>
      </c>
      <c r="AR63" s="190">
        <f t="shared" ca="1" si="40"/>
        <v>0</v>
      </c>
      <c r="AS63" s="190">
        <f t="shared" ca="1" si="40"/>
        <v>0</v>
      </c>
      <c r="AT63" s="190">
        <f t="shared" ca="1" si="40"/>
        <v>0</v>
      </c>
      <c r="AU63" s="190">
        <f t="shared" ca="1" si="40"/>
        <v>0</v>
      </c>
    </row>
    <row r="64" spans="5:47" s="28" customFormat="1">
      <c r="E64" s="254"/>
      <c r="G64" s="36" t="s">
        <v>147</v>
      </c>
      <c r="L64" s="43" t="s">
        <v>12</v>
      </c>
      <c r="N64" s="189">
        <f t="shared" ca="1" si="21"/>
        <v>3696339.6226415094</v>
      </c>
      <c r="O64" s="189"/>
      <c r="P64" s="319"/>
      <c r="Q64" s="189"/>
      <c r="R64" s="190">
        <f t="shared" ref="R64:AU64" ca="1" si="41">R447</f>
        <v>3918120</v>
      </c>
      <c r="S64" s="190">
        <f t="shared" ca="1" si="41"/>
        <v>0</v>
      </c>
      <c r="T64" s="190">
        <f t="shared" ca="1" si="41"/>
        <v>0</v>
      </c>
      <c r="U64" s="190">
        <f t="shared" ca="1" si="41"/>
        <v>0</v>
      </c>
      <c r="V64" s="190">
        <f t="shared" ca="1" si="41"/>
        <v>0</v>
      </c>
      <c r="W64" s="190">
        <f t="shared" ca="1" si="41"/>
        <v>0</v>
      </c>
      <c r="X64" s="190">
        <f t="shared" ca="1" si="41"/>
        <v>0</v>
      </c>
      <c r="Y64" s="190">
        <f t="shared" ca="1" si="41"/>
        <v>0</v>
      </c>
      <c r="Z64" s="190">
        <f t="shared" ca="1" si="41"/>
        <v>0</v>
      </c>
      <c r="AA64" s="190">
        <f t="shared" ca="1" si="41"/>
        <v>0</v>
      </c>
      <c r="AB64" s="190">
        <f t="shared" ca="1" si="41"/>
        <v>0</v>
      </c>
      <c r="AC64" s="190">
        <f t="shared" ca="1" si="41"/>
        <v>0</v>
      </c>
      <c r="AD64" s="190">
        <f t="shared" ca="1" si="41"/>
        <v>0</v>
      </c>
      <c r="AE64" s="190">
        <f t="shared" ca="1" si="41"/>
        <v>0</v>
      </c>
      <c r="AF64" s="190">
        <f t="shared" ca="1" si="41"/>
        <v>0</v>
      </c>
      <c r="AG64" s="190">
        <f t="shared" ca="1" si="41"/>
        <v>0</v>
      </c>
      <c r="AH64" s="190">
        <f t="shared" ca="1" si="41"/>
        <v>0</v>
      </c>
      <c r="AI64" s="190">
        <f t="shared" ca="1" si="41"/>
        <v>0</v>
      </c>
      <c r="AJ64" s="190">
        <f t="shared" ca="1" si="41"/>
        <v>0</v>
      </c>
      <c r="AK64" s="190">
        <f t="shared" ca="1" si="41"/>
        <v>0</v>
      </c>
      <c r="AL64" s="190">
        <f t="shared" ca="1" si="41"/>
        <v>0</v>
      </c>
      <c r="AM64" s="190">
        <f t="shared" ca="1" si="41"/>
        <v>0</v>
      </c>
      <c r="AN64" s="190">
        <f t="shared" ca="1" si="41"/>
        <v>0</v>
      </c>
      <c r="AO64" s="190">
        <f t="shared" ca="1" si="41"/>
        <v>0</v>
      </c>
      <c r="AP64" s="190">
        <f t="shared" ca="1" si="41"/>
        <v>0</v>
      </c>
      <c r="AQ64" s="190">
        <f t="shared" ca="1" si="41"/>
        <v>0</v>
      </c>
      <c r="AR64" s="190">
        <f t="shared" ca="1" si="41"/>
        <v>0</v>
      </c>
      <c r="AS64" s="190">
        <f t="shared" ca="1" si="41"/>
        <v>0</v>
      </c>
      <c r="AT64" s="190">
        <f t="shared" ca="1" si="41"/>
        <v>0</v>
      </c>
      <c r="AU64" s="190">
        <f t="shared" ca="1" si="41"/>
        <v>0</v>
      </c>
    </row>
    <row r="65" spans="1:47" s="39" customFormat="1">
      <c r="E65" s="254"/>
      <c r="G65" s="173" t="s">
        <v>114</v>
      </c>
      <c r="L65" s="174" t="s">
        <v>12</v>
      </c>
      <c r="N65" s="189">
        <f ca="1">SUBTOTAL(9,N45:N64)</f>
        <v>28335688.679245286</v>
      </c>
      <c r="O65" s="189"/>
      <c r="P65" s="320"/>
      <c r="Q65" s="189"/>
      <c r="R65" s="189">
        <f t="shared" ref="R65:AU65" ca="1" si="42">SUBTOTAL(9,R45:R64)</f>
        <v>30035830</v>
      </c>
      <c r="S65" s="189">
        <f t="shared" ca="1" si="42"/>
        <v>0</v>
      </c>
      <c r="T65" s="189">
        <f t="shared" ca="1" si="42"/>
        <v>0</v>
      </c>
      <c r="U65" s="189">
        <f t="shared" ca="1" si="42"/>
        <v>0</v>
      </c>
      <c r="V65" s="189">
        <f t="shared" ca="1" si="42"/>
        <v>0</v>
      </c>
      <c r="W65" s="189">
        <f t="shared" ca="1" si="42"/>
        <v>0</v>
      </c>
      <c r="X65" s="189">
        <f t="shared" ca="1" si="42"/>
        <v>0</v>
      </c>
      <c r="Y65" s="189">
        <f t="shared" ca="1" si="42"/>
        <v>0</v>
      </c>
      <c r="Z65" s="189">
        <f t="shared" ca="1" si="42"/>
        <v>0</v>
      </c>
      <c r="AA65" s="189">
        <f t="shared" ca="1" si="42"/>
        <v>0</v>
      </c>
      <c r="AB65" s="189">
        <f t="shared" ca="1" si="42"/>
        <v>0</v>
      </c>
      <c r="AC65" s="189">
        <f t="shared" ca="1" si="42"/>
        <v>0</v>
      </c>
      <c r="AD65" s="189">
        <f t="shared" ca="1" si="42"/>
        <v>0</v>
      </c>
      <c r="AE65" s="189">
        <f t="shared" ca="1" si="42"/>
        <v>0</v>
      </c>
      <c r="AF65" s="189">
        <f t="shared" ca="1" si="42"/>
        <v>0</v>
      </c>
      <c r="AG65" s="189">
        <f t="shared" ca="1" si="42"/>
        <v>0</v>
      </c>
      <c r="AH65" s="189">
        <f t="shared" ca="1" si="42"/>
        <v>0</v>
      </c>
      <c r="AI65" s="189">
        <f t="shared" ca="1" si="42"/>
        <v>0</v>
      </c>
      <c r="AJ65" s="189">
        <f t="shared" ca="1" si="42"/>
        <v>0</v>
      </c>
      <c r="AK65" s="189">
        <f t="shared" ca="1" si="42"/>
        <v>0</v>
      </c>
      <c r="AL65" s="189">
        <f t="shared" ca="1" si="42"/>
        <v>0</v>
      </c>
      <c r="AM65" s="189">
        <f t="shared" ca="1" si="42"/>
        <v>0</v>
      </c>
      <c r="AN65" s="189">
        <f t="shared" ca="1" si="42"/>
        <v>0</v>
      </c>
      <c r="AO65" s="189">
        <f t="shared" ca="1" si="42"/>
        <v>0</v>
      </c>
      <c r="AP65" s="189">
        <f t="shared" ca="1" si="42"/>
        <v>0</v>
      </c>
      <c r="AQ65" s="189">
        <f t="shared" ca="1" si="42"/>
        <v>0</v>
      </c>
      <c r="AR65" s="189">
        <f t="shared" ca="1" si="42"/>
        <v>0</v>
      </c>
      <c r="AS65" s="189">
        <f t="shared" ca="1" si="42"/>
        <v>0</v>
      </c>
      <c r="AT65" s="189">
        <f t="shared" ca="1" si="42"/>
        <v>0</v>
      </c>
      <c r="AU65" s="189">
        <f t="shared" ca="1" si="42"/>
        <v>0</v>
      </c>
    </row>
    <row r="66" spans="1:47" s="28" customFormat="1">
      <c r="E66" s="53"/>
      <c r="G66" s="36"/>
      <c r="L66" s="43"/>
      <c r="N66" s="189"/>
      <c r="O66" s="189"/>
      <c r="P66" s="190"/>
      <c r="Q66" s="189"/>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row>
    <row r="67" spans="1:47" s="28" customFormat="1">
      <c r="A67" s="40"/>
      <c r="B67" s="40"/>
      <c r="C67" s="40"/>
      <c r="D67" s="40"/>
      <c r="G67" s="324" t="s">
        <v>493</v>
      </c>
      <c r="H67" s="324"/>
      <c r="I67" s="324"/>
      <c r="J67" s="324"/>
      <c r="K67" s="324"/>
      <c r="L67" s="405"/>
      <c r="M67" s="256"/>
      <c r="N67" s="325"/>
      <c r="O67" s="311"/>
      <c r="P67" s="325"/>
      <c r="Q67" s="310"/>
      <c r="R67" s="325">
        <f>R42</f>
        <v>2014</v>
      </c>
      <c r="S67" s="325">
        <f t="shared" ref="S67:AU67" si="43">S42</f>
        <v>2015</v>
      </c>
      <c r="T67" s="325">
        <f t="shared" si="43"/>
        <v>2016</v>
      </c>
      <c r="U67" s="325">
        <f t="shared" si="43"/>
        <v>2017</v>
      </c>
      <c r="V67" s="325">
        <f t="shared" si="43"/>
        <v>2018</v>
      </c>
      <c r="W67" s="325">
        <f t="shared" si="43"/>
        <v>2019</v>
      </c>
      <c r="X67" s="325">
        <f t="shared" si="43"/>
        <v>2020</v>
      </c>
      <c r="Y67" s="325">
        <f t="shared" si="43"/>
        <v>2021</v>
      </c>
      <c r="Z67" s="325">
        <f t="shared" si="43"/>
        <v>2022</v>
      </c>
      <c r="AA67" s="325">
        <f t="shared" si="43"/>
        <v>2023</v>
      </c>
      <c r="AB67" s="325">
        <f t="shared" si="43"/>
        <v>2024</v>
      </c>
      <c r="AC67" s="325">
        <f t="shared" si="43"/>
        <v>2025</v>
      </c>
      <c r="AD67" s="325">
        <f t="shared" si="43"/>
        <v>2026</v>
      </c>
      <c r="AE67" s="325">
        <f t="shared" si="43"/>
        <v>2027</v>
      </c>
      <c r="AF67" s="325">
        <f t="shared" si="43"/>
        <v>2028</v>
      </c>
      <c r="AG67" s="325">
        <f t="shared" si="43"/>
        <v>2029</v>
      </c>
      <c r="AH67" s="325">
        <f t="shared" si="43"/>
        <v>2030</v>
      </c>
      <c r="AI67" s="325">
        <f t="shared" si="43"/>
        <v>2031</v>
      </c>
      <c r="AJ67" s="325">
        <f t="shared" si="43"/>
        <v>2032</v>
      </c>
      <c r="AK67" s="325">
        <f t="shared" si="43"/>
        <v>2033</v>
      </c>
      <c r="AL67" s="325">
        <f t="shared" si="43"/>
        <v>2034</v>
      </c>
      <c r="AM67" s="325">
        <f t="shared" si="43"/>
        <v>2035</v>
      </c>
      <c r="AN67" s="325">
        <f t="shared" si="43"/>
        <v>2036</v>
      </c>
      <c r="AO67" s="325">
        <f t="shared" si="43"/>
        <v>2037</v>
      </c>
      <c r="AP67" s="325">
        <f t="shared" si="43"/>
        <v>2038</v>
      </c>
      <c r="AQ67" s="325">
        <f t="shared" si="43"/>
        <v>2039</v>
      </c>
      <c r="AR67" s="325">
        <f t="shared" si="43"/>
        <v>2040</v>
      </c>
      <c r="AS67" s="325">
        <f t="shared" si="43"/>
        <v>2041</v>
      </c>
      <c r="AT67" s="325">
        <f t="shared" si="43"/>
        <v>2042</v>
      </c>
      <c r="AU67" s="325">
        <f t="shared" si="43"/>
        <v>2043</v>
      </c>
    </row>
    <row r="68" spans="1:47" s="28" customFormat="1">
      <c r="E68" s="254"/>
      <c r="G68" s="36"/>
      <c r="L68" s="43"/>
      <c r="N68" s="189"/>
      <c r="O68" s="189"/>
      <c r="P68" s="190"/>
      <c r="Q68" s="189"/>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row>
    <row r="69" spans="1:47" s="28" customFormat="1">
      <c r="E69" s="254"/>
      <c r="G69" s="36" t="s">
        <v>315</v>
      </c>
      <c r="L69" s="43" t="s">
        <v>12</v>
      </c>
      <c r="N69" s="189">
        <f t="shared" ref="N69:N87" ca="1" si="44">NPV(DiscountRt,R69:AU69)</f>
        <v>0</v>
      </c>
      <c r="O69" s="189"/>
      <c r="P69" s="320"/>
      <c r="Q69" s="189"/>
      <c r="R69" s="190">
        <f t="shared" ref="R69:AU69" ca="1" si="45">R113</f>
        <v>0</v>
      </c>
      <c r="S69" s="190">
        <f t="shared" ca="1" si="45"/>
        <v>0</v>
      </c>
      <c r="T69" s="190">
        <f t="shared" ca="1" si="45"/>
        <v>0</v>
      </c>
      <c r="U69" s="190">
        <f t="shared" ca="1" si="45"/>
        <v>0</v>
      </c>
      <c r="V69" s="190">
        <f t="shared" ca="1" si="45"/>
        <v>0</v>
      </c>
      <c r="W69" s="190">
        <f t="shared" ca="1" si="45"/>
        <v>0</v>
      </c>
      <c r="X69" s="190">
        <f t="shared" ca="1" si="45"/>
        <v>0</v>
      </c>
      <c r="Y69" s="190">
        <f t="shared" ca="1" si="45"/>
        <v>0</v>
      </c>
      <c r="Z69" s="190">
        <f t="shared" ca="1" si="45"/>
        <v>0</v>
      </c>
      <c r="AA69" s="190">
        <f t="shared" ca="1" si="45"/>
        <v>0</v>
      </c>
      <c r="AB69" s="190">
        <f t="shared" ca="1" si="45"/>
        <v>0</v>
      </c>
      <c r="AC69" s="190">
        <f t="shared" ca="1" si="45"/>
        <v>0</v>
      </c>
      <c r="AD69" s="190">
        <f t="shared" ca="1" si="45"/>
        <v>0</v>
      </c>
      <c r="AE69" s="190">
        <f t="shared" ca="1" si="45"/>
        <v>0</v>
      </c>
      <c r="AF69" s="190">
        <f t="shared" ca="1" si="45"/>
        <v>0</v>
      </c>
      <c r="AG69" s="190">
        <f t="shared" ca="1" si="45"/>
        <v>0</v>
      </c>
      <c r="AH69" s="190">
        <f t="shared" ca="1" si="45"/>
        <v>0</v>
      </c>
      <c r="AI69" s="190">
        <f t="shared" ca="1" si="45"/>
        <v>0</v>
      </c>
      <c r="AJ69" s="190">
        <f t="shared" ca="1" si="45"/>
        <v>0</v>
      </c>
      <c r="AK69" s="190">
        <f t="shared" ca="1" si="45"/>
        <v>0</v>
      </c>
      <c r="AL69" s="190">
        <f t="shared" si="45"/>
        <v>0</v>
      </c>
      <c r="AM69" s="190">
        <f t="shared" si="45"/>
        <v>0</v>
      </c>
      <c r="AN69" s="190">
        <f t="shared" si="45"/>
        <v>0</v>
      </c>
      <c r="AO69" s="190">
        <f t="shared" si="45"/>
        <v>0</v>
      </c>
      <c r="AP69" s="190">
        <f t="shared" si="45"/>
        <v>0</v>
      </c>
      <c r="AQ69" s="190">
        <f t="shared" si="45"/>
        <v>0</v>
      </c>
      <c r="AR69" s="190">
        <f t="shared" si="45"/>
        <v>0</v>
      </c>
      <c r="AS69" s="190">
        <f t="shared" si="45"/>
        <v>0</v>
      </c>
      <c r="AT69" s="190">
        <f t="shared" si="45"/>
        <v>0</v>
      </c>
      <c r="AU69" s="190">
        <f t="shared" si="45"/>
        <v>0</v>
      </c>
    </row>
    <row r="70" spans="1:47" s="28" customFormat="1">
      <c r="E70" s="254"/>
      <c r="G70" s="36" t="s">
        <v>153</v>
      </c>
      <c r="L70" s="43" t="s">
        <v>12</v>
      </c>
      <c r="N70" s="189">
        <f t="shared" ca="1" si="44"/>
        <v>1395890.5774557188</v>
      </c>
      <c r="O70" s="189"/>
      <c r="P70" s="320"/>
      <c r="Q70" s="189"/>
      <c r="R70" s="190">
        <f t="shared" ref="R70:AU70" ca="1" si="46">R134</f>
        <v>104040</v>
      </c>
      <c r="S70" s="190">
        <f t="shared" ca="1" si="46"/>
        <v>106120.8</v>
      </c>
      <c r="T70" s="190">
        <f t="shared" ca="1" si="46"/>
        <v>108243.21599999999</v>
      </c>
      <c r="U70" s="190">
        <f t="shared" ca="1" si="46"/>
        <v>110408.08031999999</v>
      </c>
      <c r="V70" s="190">
        <f t="shared" ca="1" si="46"/>
        <v>112616.24192640001</v>
      </c>
      <c r="W70" s="190">
        <f t="shared" ca="1" si="46"/>
        <v>114868.56676492801</v>
      </c>
      <c r="X70" s="190">
        <f t="shared" ca="1" si="46"/>
        <v>117165.93810022654</v>
      </c>
      <c r="Y70" s="190">
        <f t="shared" ca="1" si="46"/>
        <v>119509.25686223109</v>
      </c>
      <c r="Z70" s="190">
        <f t="shared" ca="1" si="46"/>
        <v>121899.4419994757</v>
      </c>
      <c r="AA70" s="190">
        <f t="shared" ca="1" si="46"/>
        <v>124337.43083946522</v>
      </c>
      <c r="AB70" s="190">
        <f t="shared" ca="1" si="46"/>
        <v>126824.17945625451</v>
      </c>
      <c r="AC70" s="190">
        <f t="shared" ca="1" si="46"/>
        <v>129360.66304537961</v>
      </c>
      <c r="AD70" s="190">
        <f t="shared" ca="1" si="46"/>
        <v>131947.87630628719</v>
      </c>
      <c r="AE70" s="190">
        <f t="shared" ca="1" si="46"/>
        <v>134586.83383241296</v>
      </c>
      <c r="AF70" s="190">
        <f t="shared" ca="1" si="46"/>
        <v>137278.57050906119</v>
      </c>
      <c r="AG70" s="190">
        <f t="shared" ca="1" si="46"/>
        <v>140024.14191924245</v>
      </c>
      <c r="AH70" s="190">
        <f t="shared" ca="1" si="46"/>
        <v>142824.62475762729</v>
      </c>
      <c r="AI70" s="190">
        <f t="shared" ca="1" si="46"/>
        <v>145681.1172527798</v>
      </c>
      <c r="AJ70" s="190">
        <f t="shared" ca="1" si="46"/>
        <v>148594.7395978354</v>
      </c>
      <c r="AK70" s="190">
        <f t="shared" ca="1" si="46"/>
        <v>151566.63438979213</v>
      </c>
      <c r="AL70" s="190">
        <f t="shared" si="46"/>
        <v>0</v>
      </c>
      <c r="AM70" s="190">
        <f t="shared" si="46"/>
        <v>0</v>
      </c>
      <c r="AN70" s="190">
        <f t="shared" si="46"/>
        <v>0</v>
      </c>
      <c r="AO70" s="190">
        <f t="shared" si="46"/>
        <v>0</v>
      </c>
      <c r="AP70" s="190">
        <f t="shared" si="46"/>
        <v>0</v>
      </c>
      <c r="AQ70" s="190">
        <f t="shared" si="46"/>
        <v>0</v>
      </c>
      <c r="AR70" s="190">
        <f t="shared" si="46"/>
        <v>0</v>
      </c>
      <c r="AS70" s="190">
        <f t="shared" si="46"/>
        <v>0</v>
      </c>
      <c r="AT70" s="190">
        <f t="shared" si="46"/>
        <v>0</v>
      </c>
      <c r="AU70" s="190">
        <f t="shared" si="46"/>
        <v>0</v>
      </c>
    </row>
    <row r="71" spans="1:47" s="28" customFormat="1">
      <c r="E71" s="254"/>
      <c r="G71" s="36" t="s">
        <v>143</v>
      </c>
      <c r="L71" s="43" t="s">
        <v>12</v>
      </c>
      <c r="N71" s="189">
        <f t="shared" ca="1" si="44"/>
        <v>5227136.3719753949</v>
      </c>
      <c r="O71" s="189"/>
      <c r="P71" s="320"/>
      <c r="Q71" s="189"/>
      <c r="R71" s="190">
        <f t="shared" ref="R71:AU71" ca="1" si="47">R155</f>
        <v>389545.25475647952</v>
      </c>
      <c r="S71" s="190">
        <f t="shared" ca="1" si="47"/>
        <v>397307.27429313835</v>
      </c>
      <c r="T71" s="190">
        <f t="shared" ca="1" si="47"/>
        <v>405302.21259099699</v>
      </c>
      <c r="U71" s="190">
        <f t="shared" ca="1" si="47"/>
        <v>413430.27486967063</v>
      </c>
      <c r="V71" s="190">
        <f t="shared" ca="1" si="47"/>
        <v>421708.25145579164</v>
      </c>
      <c r="W71" s="190">
        <f t="shared" ca="1" si="47"/>
        <v>430125.67413961765</v>
      </c>
      <c r="X71" s="190">
        <f t="shared" ca="1" si="47"/>
        <v>438719.41720226168</v>
      </c>
      <c r="Y71" s="190">
        <f t="shared" ca="1" si="47"/>
        <v>447504.89568802103</v>
      </c>
      <c r="Z71" s="190">
        <f t="shared" ca="1" si="47"/>
        <v>456464.64858689631</v>
      </c>
      <c r="AA71" s="190">
        <f t="shared" ca="1" si="47"/>
        <v>465606.49140247231</v>
      </c>
      <c r="AB71" s="190">
        <f t="shared" ca="1" si="47"/>
        <v>474922.88934920449</v>
      </c>
      <c r="AC71" s="190">
        <f t="shared" ca="1" si="47"/>
        <v>484419.3934728282</v>
      </c>
      <c r="AD71" s="190">
        <f t="shared" ca="1" si="47"/>
        <v>494116.08181721641</v>
      </c>
      <c r="AE71" s="190">
        <f t="shared" ca="1" si="47"/>
        <v>504006.05149032432</v>
      </c>
      <c r="AF71" s="190">
        <f t="shared" ca="1" si="47"/>
        <v>514096.75472966506</v>
      </c>
      <c r="AG71" s="190">
        <f t="shared" ca="1" si="47"/>
        <v>524395.95004489215</v>
      </c>
      <c r="AH71" s="190">
        <f t="shared" ca="1" si="47"/>
        <v>534897.13584980322</v>
      </c>
      <c r="AI71" s="190">
        <f t="shared" ca="1" si="47"/>
        <v>545612.99500745954</v>
      </c>
      <c r="AJ71" s="190">
        <f t="shared" ca="1" si="47"/>
        <v>556546.19437145232</v>
      </c>
      <c r="AK71" s="190">
        <f t="shared" ca="1" si="47"/>
        <v>567699.99922077521</v>
      </c>
      <c r="AL71" s="190">
        <f t="shared" si="47"/>
        <v>0</v>
      </c>
      <c r="AM71" s="190">
        <f t="shared" si="47"/>
        <v>0</v>
      </c>
      <c r="AN71" s="190">
        <f t="shared" si="47"/>
        <v>0</v>
      </c>
      <c r="AO71" s="190">
        <f t="shared" si="47"/>
        <v>0</v>
      </c>
      <c r="AP71" s="190">
        <f t="shared" si="47"/>
        <v>0</v>
      </c>
      <c r="AQ71" s="190">
        <f t="shared" si="47"/>
        <v>0</v>
      </c>
      <c r="AR71" s="190">
        <f t="shared" si="47"/>
        <v>0</v>
      </c>
      <c r="AS71" s="190">
        <f t="shared" si="47"/>
        <v>0</v>
      </c>
      <c r="AT71" s="190">
        <f t="shared" si="47"/>
        <v>0</v>
      </c>
      <c r="AU71" s="190">
        <f t="shared" si="47"/>
        <v>0</v>
      </c>
    </row>
    <row r="72" spans="1:47" s="28" customFormat="1">
      <c r="E72" s="254"/>
      <c r="G72" s="36" t="s">
        <v>316</v>
      </c>
      <c r="L72" s="43" t="s">
        <v>12</v>
      </c>
      <c r="N72" s="189">
        <f t="shared" ca="1" si="44"/>
        <v>1419326.4854350609</v>
      </c>
      <c r="O72" s="189"/>
      <c r="P72" s="320"/>
      <c r="Q72" s="189"/>
      <c r="R72" s="190">
        <f t="shared" ref="R72:AU72" ca="1" si="48">R176</f>
        <v>105786.75</v>
      </c>
      <c r="S72" s="190">
        <f t="shared" ca="1" si="48"/>
        <v>107902.485</v>
      </c>
      <c r="T72" s="190">
        <f t="shared" ca="1" si="48"/>
        <v>110060.53469999999</v>
      </c>
      <c r="U72" s="190">
        <f t="shared" ca="1" si="48"/>
        <v>112261.745394</v>
      </c>
      <c r="V72" s="190">
        <f t="shared" ca="1" si="48"/>
        <v>114506.98030188</v>
      </c>
      <c r="W72" s="190">
        <f t="shared" ca="1" si="48"/>
        <v>116797.1199079176</v>
      </c>
      <c r="X72" s="190">
        <f t="shared" ca="1" si="48"/>
        <v>119133.06230607592</v>
      </c>
      <c r="Y72" s="190">
        <f t="shared" ca="1" si="48"/>
        <v>121515.72355219745</v>
      </c>
      <c r="Z72" s="190">
        <f t="shared" ca="1" si="48"/>
        <v>123946.03802324142</v>
      </c>
      <c r="AA72" s="190">
        <f t="shared" ca="1" si="48"/>
        <v>126424.95878370624</v>
      </c>
      <c r="AB72" s="190">
        <f t="shared" ca="1" si="48"/>
        <v>128953.45795938035</v>
      </c>
      <c r="AC72" s="190">
        <f t="shared" ca="1" si="48"/>
        <v>131532.52711856799</v>
      </c>
      <c r="AD72" s="190">
        <f t="shared" ca="1" si="48"/>
        <v>134163.17766093931</v>
      </c>
      <c r="AE72" s="190">
        <f t="shared" ca="1" si="48"/>
        <v>136846.44121415814</v>
      </c>
      <c r="AF72" s="190">
        <f t="shared" ca="1" si="48"/>
        <v>139583.37003844127</v>
      </c>
      <c r="AG72" s="190">
        <f t="shared" ca="1" si="48"/>
        <v>142375.03743921011</v>
      </c>
      <c r="AH72" s="190">
        <f t="shared" ca="1" si="48"/>
        <v>145222.53818799433</v>
      </c>
      <c r="AI72" s="190">
        <f t="shared" ca="1" si="48"/>
        <v>148126.98895175417</v>
      </c>
      <c r="AJ72" s="190">
        <f t="shared" ca="1" si="48"/>
        <v>151089.52873078926</v>
      </c>
      <c r="AK72" s="190">
        <f t="shared" ca="1" si="48"/>
        <v>154111.31930540508</v>
      </c>
      <c r="AL72" s="190">
        <f t="shared" si="48"/>
        <v>0</v>
      </c>
      <c r="AM72" s="190">
        <f t="shared" si="48"/>
        <v>0</v>
      </c>
      <c r="AN72" s="190">
        <f t="shared" si="48"/>
        <v>0</v>
      </c>
      <c r="AO72" s="190">
        <f t="shared" si="48"/>
        <v>0</v>
      </c>
      <c r="AP72" s="190">
        <f t="shared" si="48"/>
        <v>0</v>
      </c>
      <c r="AQ72" s="190">
        <f t="shared" si="48"/>
        <v>0</v>
      </c>
      <c r="AR72" s="190">
        <f t="shared" si="48"/>
        <v>0</v>
      </c>
      <c r="AS72" s="190">
        <f t="shared" si="48"/>
        <v>0</v>
      </c>
      <c r="AT72" s="190">
        <f t="shared" si="48"/>
        <v>0</v>
      </c>
      <c r="AU72" s="190">
        <f t="shared" si="48"/>
        <v>0</v>
      </c>
    </row>
    <row r="73" spans="1:47" s="28" customFormat="1">
      <c r="E73" s="254"/>
      <c r="G73" s="36" t="s">
        <v>317</v>
      </c>
      <c r="L73" s="43" t="s">
        <v>12</v>
      </c>
      <c r="N73" s="189">
        <f t="shared" ca="1" si="44"/>
        <v>29131.743106063866</v>
      </c>
      <c r="O73" s="189"/>
      <c r="P73" s="320"/>
      <c r="Q73" s="189"/>
      <c r="R73" s="190">
        <f t="shared" ref="R73:AU73" ca="1" si="49">R197</f>
        <v>2121.5041166621049</v>
      </c>
      <c r="S73" s="190">
        <f t="shared" ca="1" si="49"/>
        <v>2134.7285789349235</v>
      </c>
      <c r="T73" s="190">
        <f t="shared" ca="1" si="49"/>
        <v>2226.7566030856242</v>
      </c>
      <c r="U73" s="190">
        <f t="shared" ca="1" si="49"/>
        <v>2293.5537290575717</v>
      </c>
      <c r="V73" s="190">
        <f t="shared" ca="1" si="49"/>
        <v>2348.8997271444578</v>
      </c>
      <c r="W73" s="190">
        <f t="shared" ca="1" si="49"/>
        <v>2378.949865646357</v>
      </c>
      <c r="X73" s="190">
        <f t="shared" ca="1" si="49"/>
        <v>2417.6612636404284</v>
      </c>
      <c r="Y73" s="190">
        <f t="shared" ca="1" si="49"/>
        <v>2477.2275130840158</v>
      </c>
      <c r="Z73" s="190">
        <f t="shared" ca="1" si="49"/>
        <v>2536.5340289050928</v>
      </c>
      <c r="AA73" s="190">
        <f t="shared" ca="1" si="49"/>
        <v>2599.9536097625855</v>
      </c>
      <c r="AB73" s="190">
        <f t="shared" ca="1" si="49"/>
        <v>2656.2680928144764</v>
      </c>
      <c r="AC73" s="190">
        <f t="shared" ca="1" si="49"/>
        <v>2707.4181440707871</v>
      </c>
      <c r="AD73" s="190">
        <f t="shared" ca="1" si="49"/>
        <v>2769.9589539053318</v>
      </c>
      <c r="AE73" s="190">
        <f t="shared" ca="1" si="49"/>
        <v>2833.0909125366024</v>
      </c>
      <c r="AF73" s="190">
        <f t="shared" ca="1" si="49"/>
        <v>2900.4521947209632</v>
      </c>
      <c r="AG73" s="190">
        <f t="shared" ca="1" si="49"/>
        <v>2975.9127082311493</v>
      </c>
      <c r="AH73" s="190">
        <f t="shared" ca="1" si="49"/>
        <v>3048.8447670073251</v>
      </c>
      <c r="AI73" s="190">
        <f t="shared" ca="1" si="49"/>
        <v>3127.9366231259764</v>
      </c>
      <c r="AJ73" s="190">
        <f t="shared" ca="1" si="49"/>
        <v>3211.6668356521409</v>
      </c>
      <c r="AK73" s="190">
        <f t="shared" ca="1" si="49"/>
        <v>3299.0346629225437</v>
      </c>
      <c r="AL73" s="190">
        <f t="shared" si="49"/>
        <v>0</v>
      </c>
      <c r="AM73" s="190">
        <f t="shared" si="49"/>
        <v>0</v>
      </c>
      <c r="AN73" s="190">
        <f t="shared" si="49"/>
        <v>0</v>
      </c>
      <c r="AO73" s="190">
        <f t="shared" si="49"/>
        <v>0</v>
      </c>
      <c r="AP73" s="190">
        <f t="shared" si="49"/>
        <v>0</v>
      </c>
      <c r="AQ73" s="190">
        <f t="shared" si="49"/>
        <v>0</v>
      </c>
      <c r="AR73" s="190">
        <f t="shared" si="49"/>
        <v>0</v>
      </c>
      <c r="AS73" s="190">
        <f t="shared" si="49"/>
        <v>0</v>
      </c>
      <c r="AT73" s="190">
        <f t="shared" si="49"/>
        <v>0</v>
      </c>
      <c r="AU73" s="190">
        <f t="shared" si="49"/>
        <v>0</v>
      </c>
    </row>
    <row r="74" spans="1:47" s="28" customFormat="1">
      <c r="E74" s="254"/>
      <c r="G74" s="36" t="s">
        <v>318</v>
      </c>
      <c r="L74" s="43" t="s">
        <v>12</v>
      </c>
      <c r="N74" s="189">
        <f t="shared" ca="1" si="44"/>
        <v>0</v>
      </c>
      <c r="O74" s="189"/>
      <c r="P74" s="320"/>
      <c r="Q74" s="189"/>
      <c r="R74" s="190">
        <f t="shared" ref="R74:AU74" ca="1" si="50">R218</f>
        <v>0</v>
      </c>
      <c r="S74" s="190">
        <f t="shared" ca="1" si="50"/>
        <v>0</v>
      </c>
      <c r="T74" s="190">
        <f t="shared" ca="1" si="50"/>
        <v>0</v>
      </c>
      <c r="U74" s="190">
        <f t="shared" ca="1" si="50"/>
        <v>0</v>
      </c>
      <c r="V74" s="190">
        <f t="shared" ca="1" si="50"/>
        <v>0</v>
      </c>
      <c r="W74" s="190">
        <f t="shared" ca="1" si="50"/>
        <v>0</v>
      </c>
      <c r="X74" s="190">
        <f t="shared" ca="1" si="50"/>
        <v>0</v>
      </c>
      <c r="Y74" s="190">
        <f t="shared" ca="1" si="50"/>
        <v>0</v>
      </c>
      <c r="Z74" s="190">
        <f t="shared" ca="1" si="50"/>
        <v>0</v>
      </c>
      <c r="AA74" s="190">
        <f t="shared" ca="1" si="50"/>
        <v>0</v>
      </c>
      <c r="AB74" s="190">
        <f t="shared" ca="1" si="50"/>
        <v>0</v>
      </c>
      <c r="AC74" s="190">
        <f t="shared" ca="1" si="50"/>
        <v>0</v>
      </c>
      <c r="AD74" s="190">
        <f t="shared" ca="1" si="50"/>
        <v>0</v>
      </c>
      <c r="AE74" s="190">
        <f t="shared" ca="1" si="50"/>
        <v>0</v>
      </c>
      <c r="AF74" s="190">
        <f t="shared" ca="1" si="50"/>
        <v>0</v>
      </c>
      <c r="AG74" s="190">
        <f t="shared" ca="1" si="50"/>
        <v>0</v>
      </c>
      <c r="AH74" s="190">
        <f t="shared" ca="1" si="50"/>
        <v>0</v>
      </c>
      <c r="AI74" s="190">
        <f t="shared" ca="1" si="50"/>
        <v>0</v>
      </c>
      <c r="AJ74" s="190">
        <f t="shared" ca="1" si="50"/>
        <v>0</v>
      </c>
      <c r="AK74" s="190">
        <f t="shared" ca="1" si="50"/>
        <v>0</v>
      </c>
      <c r="AL74" s="190">
        <f t="shared" si="50"/>
        <v>0</v>
      </c>
      <c r="AM74" s="190">
        <f t="shared" si="50"/>
        <v>0</v>
      </c>
      <c r="AN74" s="190">
        <f t="shared" si="50"/>
        <v>0</v>
      </c>
      <c r="AO74" s="190">
        <f t="shared" si="50"/>
        <v>0</v>
      </c>
      <c r="AP74" s="190">
        <f t="shared" si="50"/>
        <v>0</v>
      </c>
      <c r="AQ74" s="190">
        <f t="shared" si="50"/>
        <v>0</v>
      </c>
      <c r="AR74" s="190">
        <f t="shared" si="50"/>
        <v>0</v>
      </c>
      <c r="AS74" s="190">
        <f t="shared" si="50"/>
        <v>0</v>
      </c>
      <c r="AT74" s="190">
        <f t="shared" si="50"/>
        <v>0</v>
      </c>
      <c r="AU74" s="190">
        <f t="shared" si="50"/>
        <v>0</v>
      </c>
    </row>
    <row r="75" spans="1:47" s="28" customFormat="1">
      <c r="E75" s="254"/>
      <c r="G75" s="36" t="s">
        <v>319</v>
      </c>
      <c r="L75" s="43" t="s">
        <v>12</v>
      </c>
      <c r="N75" s="189">
        <f t="shared" ca="1" si="44"/>
        <v>168513.46540707393</v>
      </c>
      <c r="O75" s="189"/>
      <c r="P75" s="320"/>
      <c r="Q75" s="189"/>
      <c r="R75" s="190">
        <f t="shared" ref="R75:AU75" ca="1" si="51">R239</f>
        <v>9921.5265018420814</v>
      </c>
      <c r="S75" s="190">
        <f t="shared" ca="1" si="51"/>
        <v>10182.921666493032</v>
      </c>
      <c r="T75" s="190">
        <f t="shared" ca="1" si="51"/>
        <v>11379.377196056334</v>
      </c>
      <c r="U75" s="190">
        <f t="shared" ca="1" si="51"/>
        <v>12031.40242169964</v>
      </c>
      <c r="V75" s="190">
        <f t="shared" ca="1" si="51"/>
        <v>12836.491145927053</v>
      </c>
      <c r="W75" s="190">
        <f t="shared" ca="1" si="51"/>
        <v>13354.554212403043</v>
      </c>
      <c r="X75" s="190">
        <f t="shared" ca="1" si="51"/>
        <v>13775.16393471734</v>
      </c>
      <c r="Y75" s="190">
        <f t="shared" ca="1" si="51"/>
        <v>14296.14589153968</v>
      </c>
      <c r="Z75" s="190">
        <f t="shared" ca="1" si="51"/>
        <v>15038.468750887891</v>
      </c>
      <c r="AA75" s="190">
        <f t="shared" ca="1" si="51"/>
        <v>15791.499249434113</v>
      </c>
      <c r="AB75" s="190">
        <f t="shared" ca="1" si="51"/>
        <v>16341.09756646178</v>
      </c>
      <c r="AC75" s="190">
        <f t="shared" ca="1" si="51"/>
        <v>16747.776123007567</v>
      </c>
      <c r="AD75" s="190">
        <f t="shared" ca="1" si="51"/>
        <v>17342.382821748888</v>
      </c>
      <c r="AE75" s="190">
        <f t="shared" ca="1" si="51"/>
        <v>17767.432454989721</v>
      </c>
      <c r="AF75" s="190">
        <f t="shared" ca="1" si="51"/>
        <v>18384.984094869633</v>
      </c>
      <c r="AG75" s="190">
        <f t="shared" ca="1" si="51"/>
        <v>18987.297441919934</v>
      </c>
      <c r="AH75" s="190">
        <f t="shared" ca="1" si="51"/>
        <v>19562.550017994639</v>
      </c>
      <c r="AI75" s="190">
        <f t="shared" ca="1" si="51"/>
        <v>20277.784019339502</v>
      </c>
      <c r="AJ75" s="190">
        <f t="shared" ca="1" si="51"/>
        <v>20943.969428054588</v>
      </c>
      <c r="AK75" s="190">
        <f t="shared" ca="1" si="51"/>
        <v>21783.194693712292</v>
      </c>
      <c r="AL75" s="190">
        <f t="shared" si="51"/>
        <v>0</v>
      </c>
      <c r="AM75" s="190">
        <f t="shared" si="51"/>
        <v>0</v>
      </c>
      <c r="AN75" s="190">
        <f t="shared" si="51"/>
        <v>0</v>
      </c>
      <c r="AO75" s="190">
        <f t="shared" si="51"/>
        <v>0</v>
      </c>
      <c r="AP75" s="190">
        <f t="shared" si="51"/>
        <v>0</v>
      </c>
      <c r="AQ75" s="190">
        <f t="shared" si="51"/>
        <v>0</v>
      </c>
      <c r="AR75" s="190">
        <f t="shared" si="51"/>
        <v>0</v>
      </c>
      <c r="AS75" s="190">
        <f t="shared" si="51"/>
        <v>0</v>
      </c>
      <c r="AT75" s="190">
        <f t="shared" si="51"/>
        <v>0</v>
      </c>
      <c r="AU75" s="190">
        <f t="shared" si="51"/>
        <v>0</v>
      </c>
    </row>
    <row r="76" spans="1:47" s="28" customFormat="1">
      <c r="E76" s="254"/>
      <c r="G76" s="36" t="s">
        <v>320</v>
      </c>
      <c r="L76" s="43" t="s">
        <v>12</v>
      </c>
      <c r="N76" s="189">
        <f t="shared" ca="1" si="44"/>
        <v>0</v>
      </c>
      <c r="O76" s="189"/>
      <c r="P76" s="320"/>
      <c r="Q76" s="189"/>
      <c r="R76" s="190">
        <f t="shared" ref="R76:AU76" ca="1" si="52">R260</f>
        <v>0</v>
      </c>
      <c r="S76" s="190">
        <f t="shared" ca="1" si="52"/>
        <v>0</v>
      </c>
      <c r="T76" s="190">
        <f t="shared" ca="1" si="52"/>
        <v>0</v>
      </c>
      <c r="U76" s="190">
        <f t="shared" ca="1" si="52"/>
        <v>0</v>
      </c>
      <c r="V76" s="190">
        <f t="shared" ca="1" si="52"/>
        <v>0</v>
      </c>
      <c r="W76" s="190">
        <f t="shared" ca="1" si="52"/>
        <v>0</v>
      </c>
      <c r="X76" s="190">
        <f t="shared" ca="1" si="52"/>
        <v>0</v>
      </c>
      <c r="Y76" s="190">
        <f t="shared" ca="1" si="52"/>
        <v>0</v>
      </c>
      <c r="Z76" s="190">
        <f t="shared" ca="1" si="52"/>
        <v>0</v>
      </c>
      <c r="AA76" s="190">
        <f t="shared" ca="1" si="52"/>
        <v>0</v>
      </c>
      <c r="AB76" s="190">
        <f t="shared" ca="1" si="52"/>
        <v>0</v>
      </c>
      <c r="AC76" s="190">
        <f t="shared" ca="1" si="52"/>
        <v>0</v>
      </c>
      <c r="AD76" s="190">
        <f t="shared" ca="1" si="52"/>
        <v>0</v>
      </c>
      <c r="AE76" s="190">
        <f t="shared" ca="1" si="52"/>
        <v>0</v>
      </c>
      <c r="AF76" s="190">
        <f t="shared" ca="1" si="52"/>
        <v>0</v>
      </c>
      <c r="AG76" s="190">
        <f t="shared" ca="1" si="52"/>
        <v>0</v>
      </c>
      <c r="AH76" s="190">
        <f t="shared" ca="1" si="52"/>
        <v>0</v>
      </c>
      <c r="AI76" s="190">
        <f t="shared" ca="1" si="52"/>
        <v>0</v>
      </c>
      <c r="AJ76" s="190">
        <f t="shared" ca="1" si="52"/>
        <v>0</v>
      </c>
      <c r="AK76" s="190">
        <f t="shared" ca="1" si="52"/>
        <v>0</v>
      </c>
      <c r="AL76" s="190">
        <f t="shared" si="52"/>
        <v>0</v>
      </c>
      <c r="AM76" s="190">
        <f t="shared" si="52"/>
        <v>0</v>
      </c>
      <c r="AN76" s="190">
        <f t="shared" si="52"/>
        <v>0</v>
      </c>
      <c r="AO76" s="190">
        <f t="shared" si="52"/>
        <v>0</v>
      </c>
      <c r="AP76" s="190">
        <f t="shared" si="52"/>
        <v>0</v>
      </c>
      <c r="AQ76" s="190">
        <f t="shared" si="52"/>
        <v>0</v>
      </c>
      <c r="AR76" s="190">
        <f t="shared" si="52"/>
        <v>0</v>
      </c>
      <c r="AS76" s="190">
        <f t="shared" si="52"/>
        <v>0</v>
      </c>
      <c r="AT76" s="190">
        <f t="shared" si="52"/>
        <v>0</v>
      </c>
      <c r="AU76" s="190">
        <f t="shared" si="52"/>
        <v>0</v>
      </c>
    </row>
    <row r="77" spans="1:47" s="28" customFormat="1">
      <c r="E77" s="254"/>
      <c r="G77" s="36" t="s">
        <v>321</v>
      </c>
      <c r="L77" s="43" t="s">
        <v>12</v>
      </c>
      <c r="N77" s="189">
        <f t="shared" ca="1" si="44"/>
        <v>1658646.4508591483</v>
      </c>
      <c r="O77" s="189"/>
      <c r="P77" s="320"/>
      <c r="Q77" s="189"/>
      <c r="R77" s="190">
        <f t="shared" ref="R77:AU77" ca="1" si="53">R281</f>
        <v>123624</v>
      </c>
      <c r="S77" s="190">
        <f t="shared" ca="1" si="53"/>
        <v>126096.48000000001</v>
      </c>
      <c r="T77" s="190">
        <f t="shared" ca="1" si="53"/>
        <v>128618.40959999998</v>
      </c>
      <c r="U77" s="190">
        <f t="shared" ca="1" si="53"/>
        <v>131190.77779200001</v>
      </c>
      <c r="V77" s="190">
        <f t="shared" ca="1" si="53"/>
        <v>133814.59334784001</v>
      </c>
      <c r="W77" s="190">
        <f t="shared" ca="1" si="53"/>
        <v>136490.88521479681</v>
      </c>
      <c r="X77" s="190">
        <f t="shared" ca="1" si="53"/>
        <v>139220.70291909273</v>
      </c>
      <c r="Y77" s="190">
        <f t="shared" ca="1" si="53"/>
        <v>142005.11697747459</v>
      </c>
      <c r="Z77" s="190">
        <f t="shared" ca="1" si="53"/>
        <v>144845.21931702408</v>
      </c>
      <c r="AA77" s="190">
        <f t="shared" ca="1" si="53"/>
        <v>147742.12370336457</v>
      </c>
      <c r="AB77" s="190">
        <f t="shared" ca="1" si="53"/>
        <v>150696.96617743184</v>
      </c>
      <c r="AC77" s="190">
        <f t="shared" ca="1" si="53"/>
        <v>153710.90550098047</v>
      </c>
      <c r="AD77" s="190">
        <f t="shared" ca="1" si="53"/>
        <v>156785.12361100008</v>
      </c>
      <c r="AE77" s="190">
        <f t="shared" ca="1" si="53"/>
        <v>159920.82608322013</v>
      </c>
      <c r="AF77" s="190">
        <f t="shared" ca="1" si="53"/>
        <v>163119.24260488446</v>
      </c>
      <c r="AG77" s="190">
        <f t="shared" ca="1" si="53"/>
        <v>166381.62745698218</v>
      </c>
      <c r="AH77" s="190">
        <f t="shared" ca="1" si="53"/>
        <v>169709.26000612185</v>
      </c>
      <c r="AI77" s="190">
        <f t="shared" ca="1" si="53"/>
        <v>173103.44520624424</v>
      </c>
      <c r="AJ77" s="190">
        <f t="shared" ca="1" si="53"/>
        <v>176565.51411036914</v>
      </c>
      <c r="AK77" s="190">
        <f t="shared" ca="1" si="53"/>
        <v>180096.82439257653</v>
      </c>
      <c r="AL77" s="190">
        <f t="shared" si="53"/>
        <v>0</v>
      </c>
      <c r="AM77" s="190">
        <f t="shared" si="53"/>
        <v>0</v>
      </c>
      <c r="AN77" s="190">
        <f t="shared" si="53"/>
        <v>0</v>
      </c>
      <c r="AO77" s="190">
        <f t="shared" si="53"/>
        <v>0</v>
      </c>
      <c r="AP77" s="190">
        <f t="shared" si="53"/>
        <v>0</v>
      </c>
      <c r="AQ77" s="190">
        <f t="shared" si="53"/>
        <v>0</v>
      </c>
      <c r="AR77" s="190">
        <f t="shared" si="53"/>
        <v>0</v>
      </c>
      <c r="AS77" s="190">
        <f t="shared" si="53"/>
        <v>0</v>
      </c>
      <c r="AT77" s="190">
        <f t="shared" si="53"/>
        <v>0</v>
      </c>
      <c r="AU77" s="190">
        <f t="shared" si="53"/>
        <v>0</v>
      </c>
    </row>
    <row r="78" spans="1:47" s="28" customFormat="1">
      <c r="E78" s="254"/>
      <c r="G78" s="36" t="s">
        <v>160</v>
      </c>
      <c r="L78" s="43" t="s">
        <v>12</v>
      </c>
      <c r="N78" s="189">
        <f t="shared" ca="1" si="44"/>
        <v>6233354.2842862634</v>
      </c>
      <c r="O78" s="189"/>
      <c r="P78" s="320"/>
      <c r="Q78" s="189"/>
      <c r="R78" s="190">
        <f t="shared" ref="R78:AU78" ca="1" si="54">R302</f>
        <v>457564.37175106746</v>
      </c>
      <c r="S78" s="190">
        <f t="shared" ca="1" si="54"/>
        <v>467660.0766503826</v>
      </c>
      <c r="T78" s="190">
        <f t="shared" ca="1" si="54"/>
        <v>478875.32026980934</v>
      </c>
      <c r="U78" s="190">
        <f t="shared" ca="1" si="54"/>
        <v>489218.95324492571</v>
      </c>
      <c r="V78" s="190">
        <f t="shared" ca="1" si="54"/>
        <v>500536.67380103044</v>
      </c>
      <c r="W78" s="190">
        <f t="shared" ca="1" si="54"/>
        <v>511802.01665294351</v>
      </c>
      <c r="X78" s="190">
        <f t="shared" ca="1" si="54"/>
        <v>522747.55741443805</v>
      </c>
      <c r="Y78" s="190">
        <f t="shared" ca="1" si="54"/>
        <v>533688.09249195107</v>
      </c>
      <c r="Z78" s="190">
        <f t="shared" ca="1" si="54"/>
        <v>545547.96152098081</v>
      </c>
      <c r="AA78" s="190">
        <f t="shared" ca="1" si="54"/>
        <v>557557.21007502021</v>
      </c>
      <c r="AB78" s="190">
        <f t="shared" ca="1" si="54"/>
        <v>569333.37632932619</v>
      </c>
      <c r="AC78" s="190">
        <f t="shared" ca="1" si="54"/>
        <v>581021.70835103048</v>
      </c>
      <c r="AD78" s="190">
        <f t="shared" ca="1" si="54"/>
        <v>593244.38663871365</v>
      </c>
      <c r="AE78" s="190">
        <f t="shared" ca="1" si="54"/>
        <v>605157.63869134407</v>
      </c>
      <c r="AF78" s="190">
        <f t="shared" ca="1" si="54"/>
        <v>617812.10507021123</v>
      </c>
      <c r="AG78" s="190">
        <f t="shared" ca="1" si="54"/>
        <v>630460.32889146404</v>
      </c>
      <c r="AH78" s="190">
        <f t="shared" ca="1" si="54"/>
        <v>643341.69303441315</v>
      </c>
      <c r="AI78" s="190">
        <f t="shared" ca="1" si="54"/>
        <v>656764.65880925755</v>
      </c>
      <c r="AJ78" s="190">
        <f t="shared" ca="1" si="54"/>
        <v>670178.69879439904</v>
      </c>
      <c r="AK78" s="190">
        <f t="shared" ca="1" si="54"/>
        <v>684313.23166855995</v>
      </c>
      <c r="AL78" s="190">
        <f t="shared" si="54"/>
        <v>0</v>
      </c>
      <c r="AM78" s="190">
        <f t="shared" si="54"/>
        <v>0</v>
      </c>
      <c r="AN78" s="190">
        <f t="shared" si="54"/>
        <v>0</v>
      </c>
      <c r="AO78" s="190">
        <f t="shared" si="54"/>
        <v>0</v>
      </c>
      <c r="AP78" s="190">
        <f t="shared" si="54"/>
        <v>0</v>
      </c>
      <c r="AQ78" s="190">
        <f t="shared" si="54"/>
        <v>0</v>
      </c>
      <c r="AR78" s="190">
        <f t="shared" si="54"/>
        <v>0</v>
      </c>
      <c r="AS78" s="190">
        <f t="shared" si="54"/>
        <v>0</v>
      </c>
      <c r="AT78" s="190">
        <f t="shared" si="54"/>
        <v>0</v>
      </c>
      <c r="AU78" s="190">
        <f t="shared" si="54"/>
        <v>0</v>
      </c>
    </row>
    <row r="79" spans="1:47" s="28" customFormat="1">
      <c r="E79" s="254"/>
      <c r="G79" s="36" t="s">
        <v>161</v>
      </c>
      <c r="L79" s="43" t="s">
        <v>12</v>
      </c>
      <c r="N79" s="189">
        <f t="shared" ca="1" si="44"/>
        <v>0</v>
      </c>
      <c r="O79" s="189"/>
      <c r="P79" s="320"/>
      <c r="Q79" s="189"/>
      <c r="R79" s="190">
        <f t="shared" ref="R79:AU79" ca="1" si="55">R323</f>
        <v>0</v>
      </c>
      <c r="S79" s="190">
        <f t="shared" ca="1" si="55"/>
        <v>0</v>
      </c>
      <c r="T79" s="190">
        <f t="shared" ca="1" si="55"/>
        <v>0</v>
      </c>
      <c r="U79" s="190">
        <f t="shared" ca="1" si="55"/>
        <v>0</v>
      </c>
      <c r="V79" s="190">
        <f t="shared" ca="1" si="55"/>
        <v>0</v>
      </c>
      <c r="W79" s="190">
        <f t="shared" ca="1" si="55"/>
        <v>0</v>
      </c>
      <c r="X79" s="190">
        <f t="shared" ca="1" si="55"/>
        <v>0</v>
      </c>
      <c r="Y79" s="190">
        <f t="shared" ca="1" si="55"/>
        <v>0</v>
      </c>
      <c r="Z79" s="190">
        <f t="shared" ca="1" si="55"/>
        <v>0</v>
      </c>
      <c r="AA79" s="190">
        <f t="shared" ca="1" si="55"/>
        <v>0</v>
      </c>
      <c r="AB79" s="190">
        <f t="shared" ca="1" si="55"/>
        <v>0</v>
      </c>
      <c r="AC79" s="190">
        <f t="shared" ca="1" si="55"/>
        <v>0</v>
      </c>
      <c r="AD79" s="190">
        <f t="shared" ca="1" si="55"/>
        <v>0</v>
      </c>
      <c r="AE79" s="190">
        <f t="shared" ca="1" si="55"/>
        <v>0</v>
      </c>
      <c r="AF79" s="190">
        <f t="shared" ca="1" si="55"/>
        <v>0</v>
      </c>
      <c r="AG79" s="190">
        <f t="shared" ca="1" si="55"/>
        <v>0</v>
      </c>
      <c r="AH79" s="190">
        <f t="shared" ca="1" si="55"/>
        <v>0</v>
      </c>
      <c r="AI79" s="190">
        <f t="shared" ca="1" si="55"/>
        <v>0</v>
      </c>
      <c r="AJ79" s="190">
        <f t="shared" ca="1" si="55"/>
        <v>0</v>
      </c>
      <c r="AK79" s="190">
        <f t="shared" ca="1" si="55"/>
        <v>0</v>
      </c>
      <c r="AL79" s="190">
        <f t="shared" si="55"/>
        <v>0</v>
      </c>
      <c r="AM79" s="190">
        <f t="shared" si="55"/>
        <v>0</v>
      </c>
      <c r="AN79" s="190">
        <f t="shared" si="55"/>
        <v>0</v>
      </c>
      <c r="AO79" s="190">
        <f t="shared" si="55"/>
        <v>0</v>
      </c>
      <c r="AP79" s="190">
        <f t="shared" si="55"/>
        <v>0</v>
      </c>
      <c r="AQ79" s="190">
        <f t="shared" si="55"/>
        <v>0</v>
      </c>
      <c r="AR79" s="190">
        <f t="shared" si="55"/>
        <v>0</v>
      </c>
      <c r="AS79" s="190">
        <f t="shared" si="55"/>
        <v>0</v>
      </c>
      <c r="AT79" s="190">
        <f t="shared" si="55"/>
        <v>0</v>
      </c>
      <c r="AU79" s="190">
        <f t="shared" si="55"/>
        <v>0</v>
      </c>
    </row>
    <row r="80" spans="1:47" s="28" customFormat="1">
      <c r="E80" s="254"/>
      <c r="G80" s="36" t="s">
        <v>162</v>
      </c>
      <c r="L80" s="43" t="s">
        <v>12</v>
      </c>
      <c r="N80" s="189">
        <f t="shared" ca="1" si="44"/>
        <v>0</v>
      </c>
      <c r="O80" s="189"/>
      <c r="P80" s="320"/>
      <c r="Q80" s="189"/>
      <c r="R80" s="190">
        <f t="shared" ref="R80:AU80" ca="1" si="56">R344</f>
        <v>0</v>
      </c>
      <c r="S80" s="190">
        <f t="shared" ca="1" si="56"/>
        <v>0</v>
      </c>
      <c r="T80" s="190">
        <f t="shared" ca="1" si="56"/>
        <v>0</v>
      </c>
      <c r="U80" s="190">
        <f t="shared" ca="1" si="56"/>
        <v>0</v>
      </c>
      <c r="V80" s="190">
        <f t="shared" ca="1" si="56"/>
        <v>0</v>
      </c>
      <c r="W80" s="190">
        <f t="shared" ca="1" si="56"/>
        <v>0</v>
      </c>
      <c r="X80" s="190">
        <f t="shared" ca="1" si="56"/>
        <v>0</v>
      </c>
      <c r="Y80" s="190">
        <f t="shared" ca="1" si="56"/>
        <v>0</v>
      </c>
      <c r="Z80" s="190">
        <f t="shared" ca="1" si="56"/>
        <v>0</v>
      </c>
      <c r="AA80" s="190">
        <f t="shared" ca="1" si="56"/>
        <v>0</v>
      </c>
      <c r="AB80" s="190">
        <f t="shared" ca="1" si="56"/>
        <v>0</v>
      </c>
      <c r="AC80" s="190">
        <f t="shared" ca="1" si="56"/>
        <v>0</v>
      </c>
      <c r="AD80" s="190">
        <f t="shared" ca="1" si="56"/>
        <v>0</v>
      </c>
      <c r="AE80" s="190">
        <f t="shared" ca="1" si="56"/>
        <v>0</v>
      </c>
      <c r="AF80" s="190">
        <f t="shared" ca="1" si="56"/>
        <v>0</v>
      </c>
      <c r="AG80" s="190">
        <f t="shared" ca="1" si="56"/>
        <v>0</v>
      </c>
      <c r="AH80" s="190">
        <f t="shared" ca="1" si="56"/>
        <v>0</v>
      </c>
      <c r="AI80" s="190">
        <f t="shared" ca="1" si="56"/>
        <v>0</v>
      </c>
      <c r="AJ80" s="190">
        <f t="shared" ca="1" si="56"/>
        <v>0</v>
      </c>
      <c r="AK80" s="190">
        <f t="shared" ca="1" si="56"/>
        <v>0</v>
      </c>
      <c r="AL80" s="190">
        <f t="shared" si="56"/>
        <v>0</v>
      </c>
      <c r="AM80" s="190">
        <f t="shared" si="56"/>
        <v>0</v>
      </c>
      <c r="AN80" s="190">
        <f t="shared" si="56"/>
        <v>0</v>
      </c>
      <c r="AO80" s="190">
        <f t="shared" si="56"/>
        <v>0</v>
      </c>
      <c r="AP80" s="190">
        <f t="shared" si="56"/>
        <v>0</v>
      </c>
      <c r="AQ80" s="190">
        <f t="shared" si="56"/>
        <v>0</v>
      </c>
      <c r="AR80" s="190">
        <f t="shared" si="56"/>
        <v>0</v>
      </c>
      <c r="AS80" s="190">
        <f t="shared" si="56"/>
        <v>0</v>
      </c>
      <c r="AT80" s="190">
        <f t="shared" si="56"/>
        <v>0</v>
      </c>
      <c r="AU80" s="190">
        <f t="shared" si="56"/>
        <v>0</v>
      </c>
    </row>
    <row r="81" spans="1:47" s="28" customFormat="1">
      <c r="E81" s="254"/>
      <c r="G81" s="36" t="s">
        <v>135</v>
      </c>
      <c r="L81" s="43" t="s">
        <v>12</v>
      </c>
      <c r="N81" s="189">
        <f t="shared" ca="1" si="44"/>
        <v>3182681.5596181448</v>
      </c>
      <c r="O81" s="189"/>
      <c r="P81" s="320"/>
      <c r="Q81" s="189"/>
      <c r="R81" s="190">
        <f t="shared" ref="R81:AU81" ca="1" si="57">R365</f>
        <v>237128.16897795754</v>
      </c>
      <c r="S81" s="190">
        <f t="shared" ca="1" si="57"/>
        <v>241819.78033055589</v>
      </c>
      <c r="T81" s="190">
        <f t="shared" ca="1" si="57"/>
        <v>246742.24291332837</v>
      </c>
      <c r="U81" s="190">
        <f t="shared" ca="1" si="57"/>
        <v>251715.92597162526</v>
      </c>
      <c r="V81" s="190">
        <f t="shared" ca="1" si="57"/>
        <v>256766.77441087854</v>
      </c>
      <c r="W81" s="190">
        <f t="shared" ca="1" si="57"/>
        <v>261872.57761813086</v>
      </c>
      <c r="X81" s="190">
        <f t="shared" ca="1" si="57"/>
        <v>267094.55878641538</v>
      </c>
      <c r="Y81" s="190">
        <f t="shared" ca="1" si="57"/>
        <v>272456.01216656464</v>
      </c>
      <c r="Z81" s="190">
        <f t="shared" ca="1" si="57"/>
        <v>277922.16310232243</v>
      </c>
      <c r="AA81" s="190">
        <f t="shared" ca="1" si="57"/>
        <v>283502.74337730679</v>
      </c>
      <c r="AB81" s="190">
        <f t="shared" ca="1" si="57"/>
        <v>289180.32689618302</v>
      </c>
      <c r="AC81" s="190">
        <f t="shared" ca="1" si="57"/>
        <v>294960.48731384845</v>
      </c>
      <c r="AD81" s="190">
        <f t="shared" ca="1" si="57"/>
        <v>300874.33849497727</v>
      </c>
      <c r="AE81" s="190">
        <f t="shared" ca="1" si="57"/>
        <v>306905.31584619166</v>
      </c>
      <c r="AF81" s="190">
        <f t="shared" ca="1" si="57"/>
        <v>313062.08841206628</v>
      </c>
      <c r="AG81" s="190">
        <f t="shared" ca="1" si="57"/>
        <v>319353.77595576213</v>
      </c>
      <c r="AH81" s="190">
        <f t="shared" ca="1" si="57"/>
        <v>325764.25315348589</v>
      </c>
      <c r="AI81" s="190">
        <f t="shared" ca="1" si="57"/>
        <v>332311.14151647076</v>
      </c>
      <c r="AJ81" s="190">
        <f t="shared" ca="1" si="57"/>
        <v>338994.30004002544</v>
      </c>
      <c r="AK81" s="190">
        <f t="shared" ca="1" si="57"/>
        <v>345814.54639558517</v>
      </c>
      <c r="AL81" s="190">
        <f t="shared" si="57"/>
        <v>0</v>
      </c>
      <c r="AM81" s="190">
        <f t="shared" si="57"/>
        <v>0</v>
      </c>
      <c r="AN81" s="190">
        <f t="shared" si="57"/>
        <v>0</v>
      </c>
      <c r="AO81" s="190">
        <f t="shared" si="57"/>
        <v>0</v>
      </c>
      <c r="AP81" s="190">
        <f t="shared" si="57"/>
        <v>0</v>
      </c>
      <c r="AQ81" s="190">
        <f t="shared" si="57"/>
        <v>0</v>
      </c>
      <c r="AR81" s="190">
        <f t="shared" si="57"/>
        <v>0</v>
      </c>
      <c r="AS81" s="190">
        <f t="shared" si="57"/>
        <v>0</v>
      </c>
      <c r="AT81" s="190">
        <f t="shared" si="57"/>
        <v>0</v>
      </c>
      <c r="AU81" s="190">
        <f t="shared" si="57"/>
        <v>0</v>
      </c>
    </row>
    <row r="82" spans="1:47" s="28" customFormat="1">
      <c r="E82" s="254"/>
      <c r="G82" s="36" t="s">
        <v>29</v>
      </c>
      <c r="L82" s="43" t="s">
        <v>12</v>
      </c>
      <c r="N82" s="189">
        <f t="shared" ca="1" si="44"/>
        <v>844262.4112175178</v>
      </c>
      <c r="O82" s="189"/>
      <c r="P82" s="320"/>
      <c r="Q82" s="189"/>
      <c r="R82" s="190">
        <f t="shared" ref="R82:AU82" ca="1" si="58">R386</f>
        <v>62911.629606853123</v>
      </c>
      <c r="S82" s="190">
        <f t="shared" ca="1" si="58"/>
        <v>64161.745081451321</v>
      </c>
      <c r="T82" s="190">
        <f t="shared" ca="1" si="58"/>
        <v>65458.691228802789</v>
      </c>
      <c r="U82" s="190">
        <f t="shared" ca="1" si="58"/>
        <v>66774.052329007478</v>
      </c>
      <c r="V82" s="190">
        <f t="shared" ca="1" si="58"/>
        <v>68112.16674093336</v>
      </c>
      <c r="W82" s="190">
        <f t="shared" ca="1" si="58"/>
        <v>69469.705316980224</v>
      </c>
      <c r="X82" s="190">
        <f t="shared" ca="1" si="58"/>
        <v>70856.634851576076</v>
      </c>
      <c r="Y82" s="190">
        <f t="shared" ca="1" si="58"/>
        <v>72276.88398424472</v>
      </c>
      <c r="Z82" s="190">
        <f t="shared" ca="1" si="58"/>
        <v>73725.134806868969</v>
      </c>
      <c r="AA82" s="190">
        <f t="shared" ca="1" si="58"/>
        <v>75203.164128867851</v>
      </c>
      <c r="AB82" s="190">
        <f t="shared" ca="1" si="58"/>
        <v>76708.426793518913</v>
      </c>
      <c r="AC82" s="190">
        <f t="shared" ca="1" si="58"/>
        <v>78242.046331344303</v>
      </c>
      <c r="AD82" s="190">
        <f t="shared" ca="1" si="58"/>
        <v>79809.219770625132</v>
      </c>
      <c r="AE82" s="190">
        <f t="shared" ca="1" si="58"/>
        <v>81407.55333734116</v>
      </c>
      <c r="AF82" s="190">
        <f t="shared" ca="1" si="58"/>
        <v>83038.678105936182</v>
      </c>
      <c r="AG82" s="190">
        <f t="shared" ca="1" si="58"/>
        <v>84704.301954739611</v>
      </c>
      <c r="AH82" s="190">
        <f t="shared" ca="1" si="58"/>
        <v>86402.116092345925</v>
      </c>
      <c r="AI82" s="190">
        <f t="shared" ca="1" si="58"/>
        <v>88135.193104966282</v>
      </c>
      <c r="AJ82" s="190">
        <f t="shared" ca="1" si="58"/>
        <v>89903.781156197452</v>
      </c>
      <c r="AK82" s="190">
        <f t="shared" ca="1" si="58"/>
        <v>91708.286547929878</v>
      </c>
      <c r="AL82" s="190">
        <f t="shared" si="58"/>
        <v>0</v>
      </c>
      <c r="AM82" s="190">
        <f t="shared" si="58"/>
        <v>0</v>
      </c>
      <c r="AN82" s="190">
        <f t="shared" si="58"/>
        <v>0</v>
      </c>
      <c r="AO82" s="190">
        <f t="shared" si="58"/>
        <v>0</v>
      </c>
      <c r="AP82" s="190">
        <f t="shared" si="58"/>
        <v>0</v>
      </c>
      <c r="AQ82" s="190">
        <f t="shared" si="58"/>
        <v>0</v>
      </c>
      <c r="AR82" s="190">
        <f t="shared" si="58"/>
        <v>0</v>
      </c>
      <c r="AS82" s="190">
        <f t="shared" si="58"/>
        <v>0</v>
      </c>
      <c r="AT82" s="190">
        <f t="shared" si="58"/>
        <v>0</v>
      </c>
      <c r="AU82" s="190">
        <f t="shared" si="58"/>
        <v>0</v>
      </c>
    </row>
    <row r="83" spans="1:47" s="28" customFormat="1">
      <c r="E83" s="254"/>
      <c r="G83" s="36" t="s">
        <v>163</v>
      </c>
      <c r="L83" s="43" t="s">
        <v>12</v>
      </c>
      <c r="N83" s="189">
        <f t="shared" ca="1" si="44"/>
        <v>0</v>
      </c>
      <c r="O83" s="189"/>
      <c r="P83" s="320"/>
      <c r="Q83" s="189"/>
      <c r="R83" s="190">
        <f t="shared" ref="R83:AU83" ca="1" si="59">R407</f>
        <v>0</v>
      </c>
      <c r="S83" s="190">
        <f t="shared" ca="1" si="59"/>
        <v>0</v>
      </c>
      <c r="T83" s="190">
        <f t="shared" ca="1" si="59"/>
        <v>0</v>
      </c>
      <c r="U83" s="190">
        <f t="shared" ca="1" si="59"/>
        <v>0</v>
      </c>
      <c r="V83" s="190">
        <f t="shared" ca="1" si="59"/>
        <v>0</v>
      </c>
      <c r="W83" s="190">
        <f t="shared" ca="1" si="59"/>
        <v>0</v>
      </c>
      <c r="X83" s="190">
        <f t="shared" ca="1" si="59"/>
        <v>0</v>
      </c>
      <c r="Y83" s="190">
        <f t="shared" ca="1" si="59"/>
        <v>0</v>
      </c>
      <c r="Z83" s="190">
        <f t="shared" ca="1" si="59"/>
        <v>0</v>
      </c>
      <c r="AA83" s="190">
        <f t="shared" ca="1" si="59"/>
        <v>0</v>
      </c>
      <c r="AB83" s="190">
        <f t="shared" ca="1" si="59"/>
        <v>0</v>
      </c>
      <c r="AC83" s="190">
        <f t="shared" ca="1" si="59"/>
        <v>0</v>
      </c>
      <c r="AD83" s="190">
        <f t="shared" ca="1" si="59"/>
        <v>0</v>
      </c>
      <c r="AE83" s="190">
        <f t="shared" ca="1" si="59"/>
        <v>0</v>
      </c>
      <c r="AF83" s="190">
        <f t="shared" ca="1" si="59"/>
        <v>0</v>
      </c>
      <c r="AG83" s="190">
        <f t="shared" ca="1" si="59"/>
        <v>0</v>
      </c>
      <c r="AH83" s="190">
        <f t="shared" ca="1" si="59"/>
        <v>0</v>
      </c>
      <c r="AI83" s="190">
        <f t="shared" ca="1" si="59"/>
        <v>0</v>
      </c>
      <c r="AJ83" s="190">
        <f t="shared" ca="1" si="59"/>
        <v>0</v>
      </c>
      <c r="AK83" s="190">
        <f t="shared" ca="1" si="59"/>
        <v>0</v>
      </c>
      <c r="AL83" s="190">
        <f t="shared" si="59"/>
        <v>0</v>
      </c>
      <c r="AM83" s="190">
        <f t="shared" si="59"/>
        <v>0</v>
      </c>
      <c r="AN83" s="190">
        <f t="shared" si="59"/>
        <v>0</v>
      </c>
      <c r="AO83" s="190">
        <f t="shared" si="59"/>
        <v>0</v>
      </c>
      <c r="AP83" s="190">
        <f t="shared" si="59"/>
        <v>0</v>
      </c>
      <c r="AQ83" s="190">
        <f t="shared" si="59"/>
        <v>0</v>
      </c>
      <c r="AR83" s="190">
        <f t="shared" si="59"/>
        <v>0</v>
      </c>
      <c r="AS83" s="190">
        <f t="shared" si="59"/>
        <v>0</v>
      </c>
      <c r="AT83" s="190">
        <f t="shared" si="59"/>
        <v>0</v>
      </c>
      <c r="AU83" s="190">
        <f t="shared" si="59"/>
        <v>0</v>
      </c>
    </row>
    <row r="84" spans="1:47" s="28" customFormat="1">
      <c r="E84" s="254"/>
      <c r="G84" s="36" t="s">
        <v>138</v>
      </c>
      <c r="L84" s="43" t="s">
        <v>12</v>
      </c>
      <c r="N84" s="189">
        <f t="shared" ca="1" si="44"/>
        <v>0</v>
      </c>
      <c r="O84" s="189"/>
      <c r="P84" s="320"/>
      <c r="Q84" s="189"/>
      <c r="R84" s="190">
        <f t="shared" ref="R84:AU84" ca="1" si="60">R428</f>
        <v>0</v>
      </c>
      <c r="S84" s="190">
        <f t="shared" ca="1" si="60"/>
        <v>0</v>
      </c>
      <c r="T84" s="190">
        <f t="shared" ca="1" si="60"/>
        <v>0</v>
      </c>
      <c r="U84" s="190">
        <f t="shared" ca="1" si="60"/>
        <v>0</v>
      </c>
      <c r="V84" s="190">
        <f t="shared" ca="1" si="60"/>
        <v>0</v>
      </c>
      <c r="W84" s="190">
        <f t="shared" ca="1" si="60"/>
        <v>0</v>
      </c>
      <c r="X84" s="190">
        <f t="shared" ca="1" si="60"/>
        <v>0</v>
      </c>
      <c r="Y84" s="190">
        <f t="shared" ca="1" si="60"/>
        <v>0</v>
      </c>
      <c r="Z84" s="190">
        <f t="shared" ca="1" si="60"/>
        <v>0</v>
      </c>
      <c r="AA84" s="190">
        <f t="shared" ca="1" si="60"/>
        <v>0</v>
      </c>
      <c r="AB84" s="190">
        <f t="shared" ca="1" si="60"/>
        <v>0</v>
      </c>
      <c r="AC84" s="190">
        <f t="shared" ca="1" si="60"/>
        <v>0</v>
      </c>
      <c r="AD84" s="190">
        <f t="shared" ca="1" si="60"/>
        <v>0</v>
      </c>
      <c r="AE84" s="190">
        <f t="shared" ca="1" si="60"/>
        <v>0</v>
      </c>
      <c r="AF84" s="190">
        <f t="shared" ca="1" si="60"/>
        <v>0</v>
      </c>
      <c r="AG84" s="190">
        <f t="shared" ca="1" si="60"/>
        <v>0</v>
      </c>
      <c r="AH84" s="190">
        <f t="shared" ca="1" si="60"/>
        <v>0</v>
      </c>
      <c r="AI84" s="190">
        <f t="shared" ca="1" si="60"/>
        <v>0</v>
      </c>
      <c r="AJ84" s="190">
        <f t="shared" ca="1" si="60"/>
        <v>0</v>
      </c>
      <c r="AK84" s="190">
        <f t="shared" ca="1" si="60"/>
        <v>0</v>
      </c>
      <c r="AL84" s="190">
        <f t="shared" si="60"/>
        <v>0</v>
      </c>
      <c r="AM84" s="190">
        <f t="shared" si="60"/>
        <v>0</v>
      </c>
      <c r="AN84" s="190">
        <f t="shared" si="60"/>
        <v>0</v>
      </c>
      <c r="AO84" s="190">
        <f t="shared" si="60"/>
        <v>0</v>
      </c>
      <c r="AP84" s="190">
        <f t="shared" si="60"/>
        <v>0</v>
      </c>
      <c r="AQ84" s="190">
        <f t="shared" si="60"/>
        <v>0</v>
      </c>
      <c r="AR84" s="190">
        <f t="shared" si="60"/>
        <v>0</v>
      </c>
      <c r="AS84" s="190">
        <f t="shared" si="60"/>
        <v>0</v>
      </c>
      <c r="AT84" s="190">
        <f t="shared" si="60"/>
        <v>0</v>
      </c>
      <c r="AU84" s="190">
        <f t="shared" si="60"/>
        <v>0</v>
      </c>
    </row>
    <row r="85" spans="1:47" s="28" customFormat="1">
      <c r="E85" s="254"/>
      <c r="G85" s="36" t="s">
        <v>312</v>
      </c>
      <c r="L85" s="43" t="s">
        <v>12</v>
      </c>
      <c r="N85" s="189">
        <f t="shared" ca="1" si="44"/>
        <v>0</v>
      </c>
      <c r="O85" s="189"/>
      <c r="P85" s="320"/>
      <c r="Q85" s="189"/>
      <c r="R85" s="190">
        <f t="shared" ref="R85:AU85" ca="1" si="61">R464</f>
        <v>0</v>
      </c>
      <c r="S85" s="190">
        <f t="shared" ca="1" si="61"/>
        <v>0</v>
      </c>
      <c r="T85" s="190">
        <f t="shared" ca="1" si="61"/>
        <v>0</v>
      </c>
      <c r="U85" s="190">
        <f t="shared" ca="1" si="61"/>
        <v>0</v>
      </c>
      <c r="V85" s="190">
        <f t="shared" ca="1" si="61"/>
        <v>0</v>
      </c>
      <c r="W85" s="190">
        <f t="shared" ca="1" si="61"/>
        <v>0</v>
      </c>
      <c r="X85" s="190">
        <f t="shared" ca="1" si="61"/>
        <v>0</v>
      </c>
      <c r="Y85" s="190">
        <f t="shared" ca="1" si="61"/>
        <v>0</v>
      </c>
      <c r="Z85" s="190">
        <f t="shared" ca="1" si="61"/>
        <v>0</v>
      </c>
      <c r="AA85" s="190">
        <f t="shared" ca="1" si="61"/>
        <v>0</v>
      </c>
      <c r="AB85" s="190">
        <f t="shared" ca="1" si="61"/>
        <v>0</v>
      </c>
      <c r="AC85" s="190">
        <f t="shared" ca="1" si="61"/>
        <v>0</v>
      </c>
      <c r="AD85" s="190">
        <f t="shared" ca="1" si="61"/>
        <v>0</v>
      </c>
      <c r="AE85" s="190">
        <f t="shared" ca="1" si="61"/>
        <v>0</v>
      </c>
      <c r="AF85" s="190">
        <f t="shared" ca="1" si="61"/>
        <v>0</v>
      </c>
      <c r="AG85" s="190">
        <f t="shared" ca="1" si="61"/>
        <v>0</v>
      </c>
      <c r="AH85" s="190">
        <f t="shared" ca="1" si="61"/>
        <v>0</v>
      </c>
      <c r="AI85" s="190">
        <f t="shared" ca="1" si="61"/>
        <v>0</v>
      </c>
      <c r="AJ85" s="190">
        <f t="shared" ca="1" si="61"/>
        <v>0</v>
      </c>
      <c r="AK85" s="190">
        <f t="shared" ca="1" si="61"/>
        <v>0</v>
      </c>
      <c r="AL85" s="190">
        <f t="shared" si="61"/>
        <v>0</v>
      </c>
      <c r="AM85" s="190">
        <f t="shared" si="61"/>
        <v>0</v>
      </c>
      <c r="AN85" s="190">
        <f t="shared" si="61"/>
        <v>0</v>
      </c>
      <c r="AO85" s="190">
        <f t="shared" si="61"/>
        <v>0</v>
      </c>
      <c r="AP85" s="190">
        <f t="shared" si="61"/>
        <v>0</v>
      </c>
      <c r="AQ85" s="190">
        <f t="shared" si="61"/>
        <v>0</v>
      </c>
      <c r="AR85" s="190">
        <f t="shared" si="61"/>
        <v>0</v>
      </c>
      <c r="AS85" s="190">
        <f t="shared" si="61"/>
        <v>0</v>
      </c>
      <c r="AT85" s="190">
        <f t="shared" si="61"/>
        <v>0</v>
      </c>
      <c r="AU85" s="190">
        <f t="shared" si="61"/>
        <v>0</v>
      </c>
    </row>
    <row r="86" spans="1:47" s="28" customFormat="1">
      <c r="E86" s="254"/>
      <c r="G86" s="36" t="s">
        <v>313</v>
      </c>
      <c r="L86" s="43" t="s">
        <v>12</v>
      </c>
      <c r="N86" s="189">
        <f t="shared" ca="1" si="44"/>
        <v>0</v>
      </c>
      <c r="O86" s="189"/>
      <c r="P86" s="320"/>
      <c r="Q86" s="189"/>
      <c r="R86" s="190">
        <f t="shared" ref="R86:AU86" ca="1" si="62">R480</f>
        <v>0</v>
      </c>
      <c r="S86" s="190">
        <f t="shared" ca="1" si="62"/>
        <v>0</v>
      </c>
      <c r="T86" s="190">
        <f t="shared" ca="1" si="62"/>
        <v>0</v>
      </c>
      <c r="U86" s="190">
        <f t="shared" ca="1" si="62"/>
        <v>0</v>
      </c>
      <c r="V86" s="190">
        <f t="shared" ca="1" si="62"/>
        <v>0</v>
      </c>
      <c r="W86" s="190">
        <f t="shared" ca="1" si="62"/>
        <v>0</v>
      </c>
      <c r="X86" s="190">
        <f t="shared" ca="1" si="62"/>
        <v>0</v>
      </c>
      <c r="Y86" s="190">
        <f t="shared" ca="1" si="62"/>
        <v>0</v>
      </c>
      <c r="Z86" s="190">
        <f t="shared" ca="1" si="62"/>
        <v>0</v>
      </c>
      <c r="AA86" s="190">
        <f t="shared" ca="1" si="62"/>
        <v>0</v>
      </c>
      <c r="AB86" s="190">
        <f t="shared" ca="1" si="62"/>
        <v>0</v>
      </c>
      <c r="AC86" s="190">
        <f t="shared" ca="1" si="62"/>
        <v>0</v>
      </c>
      <c r="AD86" s="190">
        <f t="shared" ca="1" si="62"/>
        <v>0</v>
      </c>
      <c r="AE86" s="190">
        <f t="shared" ca="1" si="62"/>
        <v>0</v>
      </c>
      <c r="AF86" s="190">
        <f t="shared" ca="1" si="62"/>
        <v>0</v>
      </c>
      <c r="AG86" s="190">
        <f t="shared" ca="1" si="62"/>
        <v>0</v>
      </c>
      <c r="AH86" s="190">
        <f t="shared" ca="1" si="62"/>
        <v>0</v>
      </c>
      <c r="AI86" s="190">
        <f t="shared" ca="1" si="62"/>
        <v>0</v>
      </c>
      <c r="AJ86" s="190">
        <f t="shared" ca="1" si="62"/>
        <v>0</v>
      </c>
      <c r="AK86" s="190">
        <f t="shared" ca="1" si="62"/>
        <v>0</v>
      </c>
      <c r="AL86" s="190">
        <f t="shared" si="62"/>
        <v>0</v>
      </c>
      <c r="AM86" s="190">
        <f t="shared" si="62"/>
        <v>0</v>
      </c>
      <c r="AN86" s="190">
        <f t="shared" si="62"/>
        <v>0</v>
      </c>
      <c r="AO86" s="190">
        <f t="shared" si="62"/>
        <v>0</v>
      </c>
      <c r="AP86" s="190">
        <f t="shared" si="62"/>
        <v>0</v>
      </c>
      <c r="AQ86" s="190">
        <f t="shared" si="62"/>
        <v>0</v>
      </c>
      <c r="AR86" s="190">
        <f t="shared" si="62"/>
        <v>0</v>
      </c>
      <c r="AS86" s="190">
        <f t="shared" si="62"/>
        <v>0</v>
      </c>
      <c r="AT86" s="190">
        <f t="shared" si="62"/>
        <v>0</v>
      </c>
      <c r="AU86" s="190">
        <f t="shared" si="62"/>
        <v>0</v>
      </c>
    </row>
    <row r="87" spans="1:47" s="28" customFormat="1">
      <c r="E87" s="254"/>
      <c r="G87" s="36" t="s">
        <v>314</v>
      </c>
      <c r="L87" s="43" t="s">
        <v>12</v>
      </c>
      <c r="N87" s="189">
        <f t="shared" ca="1" si="44"/>
        <v>1738020.6209497675</v>
      </c>
      <c r="O87" s="189"/>
      <c r="P87" s="320"/>
      <c r="Q87" s="189"/>
      <c r="R87" s="190">
        <f t="shared" ref="R87:AU87" ca="1" si="63">R496</f>
        <v>129540</v>
      </c>
      <c r="S87" s="190">
        <f t="shared" ca="1" si="63"/>
        <v>132130.79999999999</v>
      </c>
      <c r="T87" s="190">
        <f t="shared" ca="1" si="63"/>
        <v>134773.416</v>
      </c>
      <c r="U87" s="190">
        <f t="shared" ca="1" si="63"/>
        <v>137468.88431999998</v>
      </c>
      <c r="V87" s="190">
        <f t="shared" ca="1" si="63"/>
        <v>140218.26200640001</v>
      </c>
      <c r="W87" s="190">
        <f t="shared" ca="1" si="63"/>
        <v>143022.62724652802</v>
      </c>
      <c r="X87" s="190">
        <f t="shared" ca="1" si="63"/>
        <v>145883.07979145853</v>
      </c>
      <c r="Y87" s="190">
        <f t="shared" ca="1" si="63"/>
        <v>148800.74138728771</v>
      </c>
      <c r="Z87" s="190">
        <f t="shared" ca="1" si="63"/>
        <v>151776.75621503347</v>
      </c>
      <c r="AA87" s="190">
        <f t="shared" ca="1" si="63"/>
        <v>154812.29133933416</v>
      </c>
      <c r="AB87" s="190">
        <f t="shared" ca="1" si="63"/>
        <v>157908.5371661208</v>
      </c>
      <c r="AC87" s="190">
        <f t="shared" ca="1" si="63"/>
        <v>161066.70790944324</v>
      </c>
      <c r="AD87" s="190">
        <f t="shared" ca="1" si="63"/>
        <v>164288.04206763211</v>
      </c>
      <c r="AE87" s="190">
        <f t="shared" ca="1" si="63"/>
        <v>167573.80290898477</v>
      </c>
      <c r="AF87" s="190">
        <f t="shared" ca="1" si="63"/>
        <v>170925.2789671644</v>
      </c>
      <c r="AG87" s="190">
        <f t="shared" ca="1" si="63"/>
        <v>174343.78454650773</v>
      </c>
      <c r="AH87" s="190">
        <f t="shared" ca="1" si="63"/>
        <v>177830.6602374379</v>
      </c>
      <c r="AI87" s="190">
        <f t="shared" ca="1" si="63"/>
        <v>181387.27344218665</v>
      </c>
      <c r="AJ87" s="190">
        <f t="shared" ca="1" si="63"/>
        <v>185015.01891103038</v>
      </c>
      <c r="AK87" s="190">
        <f t="shared" ca="1" si="63"/>
        <v>188715.319289251</v>
      </c>
      <c r="AL87" s="190">
        <f t="shared" si="63"/>
        <v>0</v>
      </c>
      <c r="AM87" s="190">
        <f t="shared" si="63"/>
        <v>0</v>
      </c>
      <c r="AN87" s="190">
        <f t="shared" si="63"/>
        <v>0</v>
      </c>
      <c r="AO87" s="190">
        <f t="shared" si="63"/>
        <v>0</v>
      </c>
      <c r="AP87" s="190">
        <f t="shared" si="63"/>
        <v>0</v>
      </c>
      <c r="AQ87" s="190">
        <f t="shared" si="63"/>
        <v>0</v>
      </c>
      <c r="AR87" s="190">
        <f t="shared" si="63"/>
        <v>0</v>
      </c>
      <c r="AS87" s="190">
        <f t="shared" si="63"/>
        <v>0</v>
      </c>
      <c r="AT87" s="190">
        <f t="shared" si="63"/>
        <v>0</v>
      </c>
      <c r="AU87" s="190">
        <f t="shared" si="63"/>
        <v>0</v>
      </c>
    </row>
    <row r="88" spans="1:47" s="39" customFormat="1">
      <c r="E88" s="254"/>
      <c r="G88" s="173" t="s">
        <v>252</v>
      </c>
      <c r="L88" s="174" t="s">
        <v>12</v>
      </c>
      <c r="N88" s="189">
        <f ca="1">SUBTOTAL(9,N69:N87)</f>
        <v>21896963.970310155</v>
      </c>
      <c r="O88" s="189"/>
      <c r="P88" s="320"/>
      <c r="Q88" s="189"/>
      <c r="R88" s="189">
        <f ca="1">SUBTOTAL(9,R69:R87)</f>
        <v>1622183.2057108618</v>
      </c>
      <c r="S88" s="189">
        <f t="shared" ref="S88:AU88" ca="1" si="64">SUBTOTAL(9,S69:S87)</f>
        <v>1655517.0916009562</v>
      </c>
      <c r="T88" s="189">
        <f t="shared" ca="1" si="64"/>
        <v>1691680.1771020794</v>
      </c>
      <c r="U88" s="189">
        <f t="shared" ca="1" si="64"/>
        <v>1726793.6503919864</v>
      </c>
      <c r="V88" s="189">
        <f t="shared" ca="1" si="64"/>
        <v>1763465.3348642257</v>
      </c>
      <c r="W88" s="189">
        <f t="shared" ca="1" si="64"/>
        <v>1800182.6769398919</v>
      </c>
      <c r="X88" s="189">
        <f t="shared" ca="1" si="64"/>
        <v>1837013.7765699024</v>
      </c>
      <c r="Y88" s="189">
        <f t="shared" ca="1" si="64"/>
        <v>1874530.0965145959</v>
      </c>
      <c r="Z88" s="189">
        <f t="shared" ca="1" si="64"/>
        <v>1913702.3663516361</v>
      </c>
      <c r="AA88" s="189">
        <f t="shared" ca="1" si="64"/>
        <v>1953577.8665087342</v>
      </c>
      <c r="AB88" s="189">
        <f t="shared" ca="1" si="64"/>
        <v>1993525.5257866962</v>
      </c>
      <c r="AC88" s="189">
        <f t="shared" ca="1" si="64"/>
        <v>2033769.633310501</v>
      </c>
      <c r="AD88" s="189">
        <f t="shared" ca="1" si="64"/>
        <v>2075340.5881430453</v>
      </c>
      <c r="AE88" s="189">
        <f t="shared" ca="1" si="64"/>
        <v>2117004.9867715039</v>
      </c>
      <c r="AF88" s="189">
        <f t="shared" ca="1" si="64"/>
        <v>2160201.5247270204</v>
      </c>
      <c r="AG88" s="189">
        <f t="shared" ca="1" si="64"/>
        <v>2204002.1583589516</v>
      </c>
      <c r="AH88" s="189">
        <f t="shared" ca="1" si="64"/>
        <v>2248603.6761042317</v>
      </c>
      <c r="AI88" s="189">
        <f t="shared" ca="1" si="64"/>
        <v>2294528.5339335846</v>
      </c>
      <c r="AJ88" s="189">
        <f t="shared" ca="1" si="64"/>
        <v>2341043.4119758047</v>
      </c>
      <c r="AK88" s="189">
        <f t="shared" ca="1" si="64"/>
        <v>2389108.3905665101</v>
      </c>
      <c r="AL88" s="189">
        <f t="shared" si="64"/>
        <v>0</v>
      </c>
      <c r="AM88" s="189">
        <f t="shared" si="64"/>
        <v>0</v>
      </c>
      <c r="AN88" s="189">
        <f t="shared" si="64"/>
        <v>0</v>
      </c>
      <c r="AO88" s="189">
        <f t="shared" si="64"/>
        <v>0</v>
      </c>
      <c r="AP88" s="189">
        <f t="shared" si="64"/>
        <v>0</v>
      </c>
      <c r="AQ88" s="189">
        <f t="shared" si="64"/>
        <v>0</v>
      </c>
      <c r="AR88" s="189">
        <f t="shared" si="64"/>
        <v>0</v>
      </c>
      <c r="AS88" s="189">
        <f t="shared" si="64"/>
        <v>0</v>
      </c>
      <c r="AT88" s="189">
        <f t="shared" si="64"/>
        <v>0</v>
      </c>
      <c r="AU88" s="189">
        <f t="shared" si="64"/>
        <v>0</v>
      </c>
    </row>
    <row r="89" spans="1:47" s="28" customFormat="1">
      <c r="E89" s="254"/>
      <c r="G89" s="36"/>
      <c r="L89" s="43"/>
      <c r="N89" s="189"/>
      <c r="O89" s="189"/>
      <c r="P89" s="190"/>
      <c r="Q89" s="189"/>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row>
    <row r="90" spans="1:47" s="39" customFormat="1">
      <c r="E90" s="254"/>
      <c r="G90" s="194" t="s">
        <v>13</v>
      </c>
      <c r="L90" s="174" t="s">
        <v>12</v>
      </c>
      <c r="N90" s="192">
        <f ca="1">NPV(DiscountRt,R90:AU90)</f>
        <v>50260517.378281578</v>
      </c>
      <c r="O90" s="189"/>
      <c r="P90" s="320"/>
      <c r="Q90" s="189"/>
      <c r="R90" s="195">
        <f t="shared" ref="R90:AU90" ca="1" si="65">SUBTOTAL(9,R45:R89)</f>
        <v>31660027.205710862</v>
      </c>
      <c r="S90" s="195">
        <f t="shared" ca="1" si="65"/>
        <v>1657532.0916009562</v>
      </c>
      <c r="T90" s="195">
        <f t="shared" ca="1" si="65"/>
        <v>1693696.1771020794</v>
      </c>
      <c r="U90" s="195">
        <f t="shared" ca="1" si="65"/>
        <v>1728810.6503919864</v>
      </c>
      <c r="V90" s="195">
        <f t="shared" ca="1" si="65"/>
        <v>1765483.3348642257</v>
      </c>
      <c r="W90" s="195">
        <f t="shared" ca="1" si="65"/>
        <v>1802201.6769398919</v>
      </c>
      <c r="X90" s="195">
        <f t="shared" ca="1" si="65"/>
        <v>1839033.7765699024</v>
      </c>
      <c r="Y90" s="195">
        <f t="shared" ca="1" si="65"/>
        <v>1876551.0965145959</v>
      </c>
      <c r="Z90" s="195">
        <f t="shared" ca="1" si="65"/>
        <v>1915724.3663516361</v>
      </c>
      <c r="AA90" s="195">
        <f t="shared" ca="1" si="65"/>
        <v>1955600.8665087342</v>
      </c>
      <c r="AB90" s="195">
        <f t="shared" ca="1" si="65"/>
        <v>1995549.5257866962</v>
      </c>
      <c r="AC90" s="195">
        <f t="shared" ca="1" si="65"/>
        <v>2035794.633310501</v>
      </c>
      <c r="AD90" s="195">
        <f t="shared" ca="1" si="65"/>
        <v>2077366.5881430453</v>
      </c>
      <c r="AE90" s="195">
        <f t="shared" ca="1" si="65"/>
        <v>2119031.9867715039</v>
      </c>
      <c r="AF90" s="195">
        <f t="shared" ca="1" si="65"/>
        <v>2162229.5247270204</v>
      </c>
      <c r="AG90" s="195">
        <f t="shared" ca="1" si="65"/>
        <v>2206031.1583589516</v>
      </c>
      <c r="AH90" s="195">
        <f t="shared" ca="1" si="65"/>
        <v>2250633.6761042317</v>
      </c>
      <c r="AI90" s="195">
        <f t="shared" ca="1" si="65"/>
        <v>2296559.5339335846</v>
      </c>
      <c r="AJ90" s="195">
        <f t="shared" ca="1" si="65"/>
        <v>2343075.4119758047</v>
      </c>
      <c r="AK90" s="195">
        <f t="shared" ca="1" si="65"/>
        <v>2391141.3905665101</v>
      </c>
      <c r="AL90" s="195">
        <f t="shared" ca="1" si="65"/>
        <v>2034</v>
      </c>
      <c r="AM90" s="195">
        <f t="shared" ca="1" si="65"/>
        <v>2035</v>
      </c>
      <c r="AN90" s="195">
        <f t="shared" ca="1" si="65"/>
        <v>2036</v>
      </c>
      <c r="AO90" s="195">
        <f t="shared" ca="1" si="65"/>
        <v>2037</v>
      </c>
      <c r="AP90" s="195">
        <f t="shared" ca="1" si="65"/>
        <v>2038</v>
      </c>
      <c r="AQ90" s="195">
        <f t="shared" ca="1" si="65"/>
        <v>2039</v>
      </c>
      <c r="AR90" s="195">
        <f t="shared" ca="1" si="65"/>
        <v>2040</v>
      </c>
      <c r="AS90" s="195">
        <f t="shared" ca="1" si="65"/>
        <v>2041</v>
      </c>
      <c r="AT90" s="195">
        <f t="shared" ca="1" si="65"/>
        <v>2042</v>
      </c>
      <c r="AU90" s="195">
        <f t="shared" ca="1" si="65"/>
        <v>2043</v>
      </c>
    </row>
    <row r="91" spans="1:47">
      <c r="G91" s="194"/>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row>
    <row r="92" spans="1:47" s="317" customFormat="1">
      <c r="G92" s="318" t="s">
        <v>503</v>
      </c>
      <c r="L92" s="407"/>
    </row>
    <row r="94" spans="1:47" s="28" customFormat="1">
      <c r="A94" s="40"/>
      <c r="B94" s="40"/>
      <c r="C94" s="40"/>
      <c r="D94" s="40"/>
      <c r="E94" s="327"/>
      <c r="G94" s="324" t="str">
        <f>C96&amp;" Capital Costs"</f>
        <v>Anaerobic Digestion Capital Costs</v>
      </c>
      <c r="H94" s="324"/>
      <c r="I94" s="324"/>
      <c r="J94" s="324"/>
      <c r="K94" s="324"/>
      <c r="L94" s="405" t="s">
        <v>79</v>
      </c>
      <c r="M94" s="256"/>
      <c r="N94" s="325" t="s">
        <v>490</v>
      </c>
      <c r="O94" s="311"/>
      <c r="P94" s="325" t="s">
        <v>491</v>
      </c>
      <c r="Q94" s="310"/>
      <c r="R94" s="325">
        <f>R$8</f>
        <v>2014</v>
      </c>
      <c r="S94" s="325">
        <f t="shared" ref="S94:AU94" si="66">S$8</f>
        <v>2015</v>
      </c>
      <c r="T94" s="325">
        <f t="shared" si="66"/>
        <v>2016</v>
      </c>
      <c r="U94" s="325">
        <f t="shared" si="66"/>
        <v>2017</v>
      </c>
      <c r="V94" s="325">
        <f t="shared" si="66"/>
        <v>2018</v>
      </c>
      <c r="W94" s="325">
        <f t="shared" si="66"/>
        <v>2019</v>
      </c>
      <c r="X94" s="325">
        <f t="shared" si="66"/>
        <v>2020</v>
      </c>
      <c r="Y94" s="325">
        <f t="shared" si="66"/>
        <v>2021</v>
      </c>
      <c r="Z94" s="325">
        <f t="shared" si="66"/>
        <v>2022</v>
      </c>
      <c r="AA94" s="325">
        <f t="shared" si="66"/>
        <v>2023</v>
      </c>
      <c r="AB94" s="325">
        <f t="shared" si="66"/>
        <v>2024</v>
      </c>
      <c r="AC94" s="325">
        <f t="shared" si="66"/>
        <v>2025</v>
      </c>
      <c r="AD94" s="325">
        <f t="shared" si="66"/>
        <v>2026</v>
      </c>
      <c r="AE94" s="325">
        <f t="shared" si="66"/>
        <v>2027</v>
      </c>
      <c r="AF94" s="325">
        <f t="shared" si="66"/>
        <v>2028</v>
      </c>
      <c r="AG94" s="325">
        <f t="shared" si="66"/>
        <v>2029</v>
      </c>
      <c r="AH94" s="325">
        <f t="shared" si="66"/>
        <v>2030</v>
      </c>
      <c r="AI94" s="325">
        <f t="shared" si="66"/>
        <v>2031</v>
      </c>
      <c r="AJ94" s="325">
        <f t="shared" si="66"/>
        <v>2032</v>
      </c>
      <c r="AK94" s="325">
        <f t="shared" si="66"/>
        <v>2033</v>
      </c>
      <c r="AL94" s="325">
        <f t="shared" si="66"/>
        <v>2034</v>
      </c>
      <c r="AM94" s="325">
        <f t="shared" si="66"/>
        <v>2035</v>
      </c>
      <c r="AN94" s="325">
        <f t="shared" si="66"/>
        <v>2036</v>
      </c>
      <c r="AO94" s="325">
        <f t="shared" si="66"/>
        <v>2037</v>
      </c>
      <c r="AP94" s="325">
        <f t="shared" si="66"/>
        <v>2038</v>
      </c>
      <c r="AQ94" s="325">
        <f t="shared" si="66"/>
        <v>2039</v>
      </c>
      <c r="AR94" s="325">
        <f t="shared" si="66"/>
        <v>2040</v>
      </c>
      <c r="AS94" s="325">
        <f t="shared" si="66"/>
        <v>2041</v>
      </c>
      <c r="AT94" s="325">
        <f t="shared" si="66"/>
        <v>2042</v>
      </c>
      <c r="AU94" s="325">
        <f t="shared" si="66"/>
        <v>2043</v>
      </c>
    </row>
    <row r="95" spans="1:47">
      <c r="E95" s="325"/>
      <c r="G95" s="39"/>
      <c r="H95" s="39"/>
      <c r="I95" s="39"/>
      <c r="J95" s="39"/>
      <c r="K95" s="39"/>
    </row>
    <row r="96" spans="1:47">
      <c r="A96" s="38" t="str">
        <f>$J$4&amp;"-"</f>
        <v>3Y-</v>
      </c>
      <c r="B96" s="38" t="s">
        <v>306</v>
      </c>
      <c r="C96" s="38" t="s">
        <v>315</v>
      </c>
      <c r="D96" s="186">
        <f>CapExEsc</f>
        <v>0.03</v>
      </c>
      <c r="E96" s="325"/>
      <c r="G96" s="36" t="s">
        <v>8</v>
      </c>
      <c r="H96" s="39"/>
      <c r="I96" s="39"/>
      <c r="J96" s="70"/>
      <c r="K96" s="39"/>
      <c r="L96" s="43" t="str">
        <f>"["&amp;CostBaseYr&amp;" $]"</f>
        <v>[2013 $]</v>
      </c>
      <c r="N96" s="52">
        <f ca="1">SUMIFS(OFFSET(Assumptions!$I$65,0,MATCH($A96,Configurations,0)-1,COUNT(Assumptions!$A$65:$A$84),1),Assumptions!$E$65:$E$84,$C96)</f>
        <v>0</v>
      </c>
      <c r="O96" s="52"/>
      <c r="P96" s="322"/>
      <c r="Q96" s="52"/>
      <c r="R96" s="52">
        <f t="shared" ref="R96:AU96" ca="1" si="67">R97*IF($P96=0,$N96,$P96)*(1+$D96)^(R$8-CostBaseYr)</f>
        <v>0</v>
      </c>
      <c r="S96" s="52">
        <f t="shared" ca="1" si="67"/>
        <v>0</v>
      </c>
      <c r="T96" s="52">
        <f t="shared" ca="1" si="67"/>
        <v>0</v>
      </c>
      <c r="U96" s="52">
        <f t="shared" ca="1" si="67"/>
        <v>0</v>
      </c>
      <c r="V96" s="52">
        <f t="shared" ca="1" si="67"/>
        <v>0</v>
      </c>
      <c r="W96" s="52">
        <f t="shared" ca="1" si="67"/>
        <v>0</v>
      </c>
      <c r="X96" s="52">
        <f t="shared" ca="1" si="67"/>
        <v>0</v>
      </c>
      <c r="Y96" s="52">
        <f t="shared" ca="1" si="67"/>
        <v>0</v>
      </c>
      <c r="Z96" s="52">
        <f t="shared" ca="1" si="67"/>
        <v>0</v>
      </c>
      <c r="AA96" s="52">
        <f t="shared" ca="1" si="67"/>
        <v>0</v>
      </c>
      <c r="AB96" s="52">
        <f t="shared" ca="1" si="67"/>
        <v>0</v>
      </c>
      <c r="AC96" s="52">
        <f t="shared" ca="1" si="67"/>
        <v>0</v>
      </c>
      <c r="AD96" s="52">
        <f t="shared" ca="1" si="67"/>
        <v>0</v>
      </c>
      <c r="AE96" s="52">
        <f t="shared" ca="1" si="67"/>
        <v>0</v>
      </c>
      <c r="AF96" s="52">
        <f t="shared" ca="1" si="67"/>
        <v>0</v>
      </c>
      <c r="AG96" s="52">
        <f t="shared" ca="1" si="67"/>
        <v>0</v>
      </c>
      <c r="AH96" s="52">
        <f t="shared" ca="1" si="67"/>
        <v>0</v>
      </c>
      <c r="AI96" s="52">
        <f t="shared" ca="1" si="67"/>
        <v>0</v>
      </c>
      <c r="AJ96" s="52">
        <f t="shared" ca="1" si="67"/>
        <v>0</v>
      </c>
      <c r="AK96" s="52">
        <f t="shared" ca="1" si="67"/>
        <v>0</v>
      </c>
      <c r="AL96" s="52">
        <f t="shared" ca="1" si="67"/>
        <v>0</v>
      </c>
      <c r="AM96" s="52">
        <f t="shared" ca="1" si="67"/>
        <v>0</v>
      </c>
      <c r="AN96" s="52">
        <f t="shared" ca="1" si="67"/>
        <v>0</v>
      </c>
      <c r="AO96" s="52">
        <f t="shared" ca="1" si="67"/>
        <v>0</v>
      </c>
      <c r="AP96" s="52">
        <f t="shared" ca="1" si="67"/>
        <v>0</v>
      </c>
      <c r="AQ96" s="52">
        <f t="shared" ca="1" si="67"/>
        <v>0</v>
      </c>
      <c r="AR96" s="52">
        <f t="shared" ca="1" si="67"/>
        <v>0</v>
      </c>
      <c r="AS96" s="52">
        <f t="shared" ca="1" si="67"/>
        <v>0</v>
      </c>
      <c r="AT96" s="52">
        <f t="shared" ca="1" si="67"/>
        <v>0</v>
      </c>
      <c r="AU96" s="52">
        <f t="shared" ca="1" si="67"/>
        <v>0</v>
      </c>
    </row>
    <row r="97" spans="1:47">
      <c r="E97" s="325"/>
      <c r="G97" s="36" t="s">
        <v>10</v>
      </c>
      <c r="H97" s="39"/>
      <c r="I97" s="39"/>
      <c r="J97" s="39"/>
      <c r="K97" s="39"/>
      <c r="L97" s="43"/>
      <c r="R97" s="54">
        <f>Assumptions!M$60</f>
        <v>1</v>
      </c>
      <c r="S97" s="54">
        <f>Assumptions!N$60</f>
        <v>0</v>
      </c>
      <c r="T97" s="54">
        <f>Assumptions!O$60</f>
        <v>0</v>
      </c>
      <c r="U97" s="54">
        <f>Assumptions!P$60</f>
        <v>0</v>
      </c>
      <c r="V97" s="54">
        <f>Assumptions!Q$60</f>
        <v>0</v>
      </c>
      <c r="W97" s="54">
        <f>Assumptions!R$60</f>
        <v>0</v>
      </c>
      <c r="X97" s="54">
        <f>Assumptions!S$60</f>
        <v>0</v>
      </c>
      <c r="Y97" s="54">
        <f>Assumptions!T$60</f>
        <v>0</v>
      </c>
      <c r="Z97" s="54">
        <f>Assumptions!U$60</f>
        <v>0</v>
      </c>
      <c r="AA97" s="54">
        <f>Assumptions!V$60</f>
        <v>0</v>
      </c>
      <c r="AB97" s="54">
        <f>Assumptions!W$60</f>
        <v>0</v>
      </c>
      <c r="AC97" s="54">
        <f>Assumptions!X$60</f>
        <v>0</v>
      </c>
      <c r="AD97" s="54">
        <f>Assumptions!Y$60</f>
        <v>0</v>
      </c>
      <c r="AE97" s="54">
        <f>Assumptions!Z$60</f>
        <v>0</v>
      </c>
      <c r="AF97" s="54">
        <f>Assumptions!AA$60</f>
        <v>0</v>
      </c>
      <c r="AG97" s="54">
        <f>Assumptions!AB$60</f>
        <v>0</v>
      </c>
      <c r="AH97" s="54">
        <f>Assumptions!AC$60</f>
        <v>0</v>
      </c>
      <c r="AI97" s="54">
        <f>Assumptions!AD$60</f>
        <v>0</v>
      </c>
      <c r="AJ97" s="54">
        <f>Assumptions!AE$60</f>
        <v>0</v>
      </c>
      <c r="AK97" s="54">
        <f>Assumptions!AF$60</f>
        <v>0</v>
      </c>
      <c r="AL97" s="54">
        <f>Assumptions!AG$60</f>
        <v>0</v>
      </c>
      <c r="AM97" s="54">
        <f>Assumptions!AH$60</f>
        <v>0</v>
      </c>
      <c r="AN97" s="54">
        <f>Assumptions!AI$60</f>
        <v>0</v>
      </c>
      <c r="AO97" s="54">
        <f>Assumptions!AJ$60</f>
        <v>0</v>
      </c>
      <c r="AP97" s="54">
        <f>Assumptions!AK$60</f>
        <v>0</v>
      </c>
      <c r="AQ97" s="54">
        <f>Assumptions!AL$60</f>
        <v>0</v>
      </c>
      <c r="AR97" s="54">
        <f>Assumptions!AM$60</f>
        <v>0</v>
      </c>
      <c r="AS97" s="54">
        <f>Assumptions!AN$60</f>
        <v>0</v>
      </c>
      <c r="AT97" s="54">
        <f>Assumptions!AO$60</f>
        <v>0</v>
      </c>
      <c r="AU97" s="54">
        <f>Assumptions!AP$60</f>
        <v>0</v>
      </c>
    </row>
    <row r="98" spans="1:47">
      <c r="E98" s="326"/>
      <c r="G98" s="39"/>
      <c r="H98" s="39"/>
      <c r="I98" s="39"/>
      <c r="J98" s="39"/>
      <c r="K98" s="39"/>
    </row>
    <row r="99" spans="1:47" s="28" customFormat="1">
      <c r="A99" s="40"/>
      <c r="B99" s="40"/>
      <c r="C99" s="40"/>
      <c r="D99" s="40"/>
      <c r="E99" s="327"/>
      <c r="G99" s="324" t="str">
        <f>C96&amp;" O&amp;M"</f>
        <v>Anaerobic Digestion O&amp;M</v>
      </c>
      <c r="H99" s="324"/>
      <c r="I99" s="324"/>
      <c r="J99" s="324"/>
      <c r="K99" s="324"/>
      <c r="L99" s="405" t="s">
        <v>79</v>
      </c>
      <c r="M99" s="256"/>
      <c r="N99" s="325" t="s">
        <v>490</v>
      </c>
      <c r="O99" s="311"/>
      <c r="P99" s="325" t="s">
        <v>491</v>
      </c>
      <c r="Q99" s="310"/>
      <c r="R99" s="325">
        <f>R$8</f>
        <v>2014</v>
      </c>
      <c r="S99" s="325">
        <f t="shared" ref="S99:AU99" si="68">S$8</f>
        <v>2015</v>
      </c>
      <c r="T99" s="325">
        <f t="shared" si="68"/>
        <v>2016</v>
      </c>
      <c r="U99" s="325">
        <f t="shared" si="68"/>
        <v>2017</v>
      </c>
      <c r="V99" s="325">
        <f t="shared" si="68"/>
        <v>2018</v>
      </c>
      <c r="W99" s="325">
        <f t="shared" si="68"/>
        <v>2019</v>
      </c>
      <c r="X99" s="325">
        <f t="shared" si="68"/>
        <v>2020</v>
      </c>
      <c r="Y99" s="325">
        <f t="shared" si="68"/>
        <v>2021</v>
      </c>
      <c r="Z99" s="325">
        <f t="shared" si="68"/>
        <v>2022</v>
      </c>
      <c r="AA99" s="325">
        <f t="shared" si="68"/>
        <v>2023</v>
      </c>
      <c r="AB99" s="325">
        <f t="shared" si="68"/>
        <v>2024</v>
      </c>
      <c r="AC99" s="325">
        <f t="shared" si="68"/>
        <v>2025</v>
      </c>
      <c r="AD99" s="325">
        <f t="shared" si="68"/>
        <v>2026</v>
      </c>
      <c r="AE99" s="325">
        <f t="shared" si="68"/>
        <v>2027</v>
      </c>
      <c r="AF99" s="325">
        <f t="shared" si="68"/>
        <v>2028</v>
      </c>
      <c r="AG99" s="325">
        <f t="shared" si="68"/>
        <v>2029</v>
      </c>
      <c r="AH99" s="325">
        <f t="shared" si="68"/>
        <v>2030</v>
      </c>
      <c r="AI99" s="325">
        <f t="shared" si="68"/>
        <v>2031</v>
      </c>
      <c r="AJ99" s="325">
        <f t="shared" si="68"/>
        <v>2032</v>
      </c>
      <c r="AK99" s="325">
        <f t="shared" si="68"/>
        <v>2033</v>
      </c>
      <c r="AL99" s="325">
        <f t="shared" si="68"/>
        <v>2034</v>
      </c>
      <c r="AM99" s="325">
        <f t="shared" si="68"/>
        <v>2035</v>
      </c>
      <c r="AN99" s="325">
        <f t="shared" si="68"/>
        <v>2036</v>
      </c>
      <c r="AO99" s="325">
        <f t="shared" si="68"/>
        <v>2037</v>
      </c>
      <c r="AP99" s="325">
        <f t="shared" si="68"/>
        <v>2038</v>
      </c>
      <c r="AQ99" s="325">
        <f t="shared" si="68"/>
        <v>2039</v>
      </c>
      <c r="AR99" s="325">
        <f t="shared" si="68"/>
        <v>2040</v>
      </c>
      <c r="AS99" s="325">
        <f t="shared" si="68"/>
        <v>2041</v>
      </c>
      <c r="AT99" s="325">
        <f t="shared" si="68"/>
        <v>2042</v>
      </c>
      <c r="AU99" s="325">
        <f t="shared" si="68"/>
        <v>2043</v>
      </c>
    </row>
    <row r="100" spans="1:47">
      <c r="E100" s="325"/>
      <c r="G100" s="39"/>
      <c r="H100" s="39"/>
      <c r="I100" s="39"/>
      <c r="J100" s="39"/>
      <c r="K100" s="39"/>
    </row>
    <row r="101" spans="1:47">
      <c r="E101" s="325"/>
      <c r="G101" s="39" t="s">
        <v>23</v>
      </c>
      <c r="H101" s="39"/>
      <c r="I101" s="39"/>
      <c r="J101" s="39"/>
      <c r="K101" s="39"/>
    </row>
    <row r="102" spans="1:47">
      <c r="A102" s="38" t="str">
        <f t="shared" ref="A102:A109" si="69">$J$4&amp;"-"</f>
        <v>3Y-</v>
      </c>
      <c r="B102" s="38" t="s">
        <v>262</v>
      </c>
      <c r="C102" s="38" t="str">
        <f>C96</f>
        <v>Anaerobic Digestion</v>
      </c>
      <c r="D102" s="186">
        <f>LaborEsc</f>
        <v>0.02</v>
      </c>
      <c r="E102" s="325"/>
      <c r="G102" s="36" t="s">
        <v>125</v>
      </c>
      <c r="I102" s="39"/>
      <c r="K102" s="39"/>
      <c r="L102" s="43" t="s">
        <v>266</v>
      </c>
      <c r="N102" s="70">
        <f ca="1">SUMIFS(OFFSET(Assumptions!$I$90,0,MATCH($A102,Configurations,0)-1,COUNT(Assumptions!$A$90:$A$183),1),Assumptions!$D$90:$D$183,$B102&amp;$C102)</f>
        <v>0</v>
      </c>
      <c r="O102" s="313"/>
      <c r="P102" s="323"/>
      <c r="Q102" s="313"/>
      <c r="R102" s="50">
        <f t="shared" ref="R102:AU102" ca="1" si="70">IF(OR(R$99&lt;InServiceYr,R$99&gt;(InServiceYr+analysis_period-1)),0,IF($P102=0,$N102,$P102)*LaborCost*(1+$D102)^(R$99-CostBaseYr))</f>
        <v>0</v>
      </c>
      <c r="S102" s="50">
        <f t="shared" ca="1" si="70"/>
        <v>0</v>
      </c>
      <c r="T102" s="50">
        <f t="shared" ca="1" si="70"/>
        <v>0</v>
      </c>
      <c r="U102" s="50">
        <f t="shared" ca="1" si="70"/>
        <v>0</v>
      </c>
      <c r="V102" s="50">
        <f t="shared" ca="1" si="70"/>
        <v>0</v>
      </c>
      <c r="W102" s="50">
        <f t="shared" ca="1" si="70"/>
        <v>0</v>
      </c>
      <c r="X102" s="50">
        <f t="shared" ca="1" si="70"/>
        <v>0</v>
      </c>
      <c r="Y102" s="50">
        <f t="shared" ca="1" si="70"/>
        <v>0</v>
      </c>
      <c r="Z102" s="50">
        <f t="shared" ca="1" si="70"/>
        <v>0</v>
      </c>
      <c r="AA102" s="50">
        <f t="shared" ca="1" si="70"/>
        <v>0</v>
      </c>
      <c r="AB102" s="50">
        <f t="shared" ca="1" si="70"/>
        <v>0</v>
      </c>
      <c r="AC102" s="50">
        <f t="shared" ca="1" si="70"/>
        <v>0</v>
      </c>
      <c r="AD102" s="50">
        <f t="shared" ca="1" si="70"/>
        <v>0</v>
      </c>
      <c r="AE102" s="50">
        <f t="shared" ca="1" si="70"/>
        <v>0</v>
      </c>
      <c r="AF102" s="50">
        <f t="shared" ca="1" si="70"/>
        <v>0</v>
      </c>
      <c r="AG102" s="50">
        <f t="shared" ca="1" si="70"/>
        <v>0</v>
      </c>
      <c r="AH102" s="50">
        <f t="shared" ca="1" si="70"/>
        <v>0</v>
      </c>
      <c r="AI102" s="50">
        <f t="shared" ca="1" si="70"/>
        <v>0</v>
      </c>
      <c r="AJ102" s="50">
        <f t="shared" ca="1" si="70"/>
        <v>0</v>
      </c>
      <c r="AK102" s="50">
        <f t="shared" ca="1" si="70"/>
        <v>0</v>
      </c>
      <c r="AL102" s="50">
        <f t="shared" si="70"/>
        <v>0</v>
      </c>
      <c r="AM102" s="50">
        <f t="shared" si="70"/>
        <v>0</v>
      </c>
      <c r="AN102" s="50">
        <f t="shared" si="70"/>
        <v>0</v>
      </c>
      <c r="AO102" s="50">
        <f t="shared" si="70"/>
        <v>0</v>
      </c>
      <c r="AP102" s="50">
        <f t="shared" si="70"/>
        <v>0</v>
      </c>
      <c r="AQ102" s="50">
        <f t="shared" si="70"/>
        <v>0</v>
      </c>
      <c r="AR102" s="50">
        <f t="shared" si="70"/>
        <v>0</v>
      </c>
      <c r="AS102" s="50">
        <f t="shared" si="70"/>
        <v>0</v>
      </c>
      <c r="AT102" s="50">
        <f t="shared" si="70"/>
        <v>0</v>
      </c>
      <c r="AU102" s="50">
        <f t="shared" si="70"/>
        <v>0</v>
      </c>
    </row>
    <row r="103" spans="1:47">
      <c r="A103" s="38" t="str">
        <f t="shared" si="69"/>
        <v>3Y-</v>
      </c>
      <c r="B103" s="38" t="s">
        <v>270</v>
      </c>
      <c r="C103" s="38" t="str">
        <f>C102</f>
        <v>Anaerobic Digestion</v>
      </c>
      <c r="D103" s="186">
        <f>OMEsc</f>
        <v>0.02</v>
      </c>
      <c r="E103" s="325"/>
      <c r="G103" s="36" t="s">
        <v>126</v>
      </c>
      <c r="I103" s="39"/>
      <c r="K103" s="39"/>
      <c r="L103" s="43" t="str">
        <f>"["&amp;CostBaseYr&amp;" $]"</f>
        <v>[2013 $]</v>
      </c>
      <c r="N103" s="70">
        <f ca="1">SUMIFS(OFFSET(Assumptions!$I$90,0,MATCH($A103,Configurations,0)-1,COUNT(Assumptions!$A$90:$A$183),1),Assumptions!$D$90:$D$183,$B103&amp;$C103)</f>
        <v>0</v>
      </c>
      <c r="O103" s="313"/>
      <c r="P103" s="323"/>
      <c r="Q103" s="313"/>
      <c r="R103" s="50">
        <f t="shared" ref="R103:AG105" ca="1" si="71">IF(OR(R$99&lt;InServiceYr,R$99&gt;(InServiceYr+analysis_period-1)),0,IF($P103=0,$N103,$P103)*(1+$D103)^(R$99-CostBaseYr))</f>
        <v>0</v>
      </c>
      <c r="S103" s="50">
        <f t="shared" ca="1" si="71"/>
        <v>0</v>
      </c>
      <c r="T103" s="50">
        <f t="shared" ca="1" si="71"/>
        <v>0</v>
      </c>
      <c r="U103" s="50">
        <f t="shared" ca="1" si="71"/>
        <v>0</v>
      </c>
      <c r="V103" s="50">
        <f t="shared" ca="1" si="71"/>
        <v>0</v>
      </c>
      <c r="W103" s="50">
        <f t="shared" ca="1" si="71"/>
        <v>0</v>
      </c>
      <c r="X103" s="50">
        <f t="shared" ca="1" si="71"/>
        <v>0</v>
      </c>
      <c r="Y103" s="50">
        <f t="shared" ca="1" si="71"/>
        <v>0</v>
      </c>
      <c r="Z103" s="50">
        <f t="shared" ca="1" si="71"/>
        <v>0</v>
      </c>
      <c r="AA103" s="50">
        <f t="shared" ca="1" si="71"/>
        <v>0</v>
      </c>
      <c r="AB103" s="50">
        <f t="shared" ca="1" si="71"/>
        <v>0</v>
      </c>
      <c r="AC103" s="50">
        <f t="shared" ca="1" si="71"/>
        <v>0</v>
      </c>
      <c r="AD103" s="50">
        <f t="shared" ca="1" si="71"/>
        <v>0</v>
      </c>
      <c r="AE103" s="50">
        <f t="shared" ca="1" si="71"/>
        <v>0</v>
      </c>
      <c r="AF103" s="50">
        <f t="shared" ca="1" si="71"/>
        <v>0</v>
      </c>
      <c r="AG103" s="50">
        <f t="shared" ca="1" si="71"/>
        <v>0</v>
      </c>
      <c r="AH103" s="50">
        <f t="shared" ref="S103:AU105" ca="1" si="72">IF(OR(AH$99&lt;InServiceYr,AH$99&gt;(InServiceYr+analysis_period-1)),0,IF($P103=0,$N103,$P103)*(1+$D103)^(AH$99-CostBaseYr))</f>
        <v>0</v>
      </c>
      <c r="AI103" s="50">
        <f t="shared" ca="1" si="72"/>
        <v>0</v>
      </c>
      <c r="AJ103" s="50">
        <f t="shared" ca="1" si="72"/>
        <v>0</v>
      </c>
      <c r="AK103" s="50">
        <f t="shared" ca="1" si="72"/>
        <v>0</v>
      </c>
      <c r="AL103" s="50">
        <f t="shared" si="72"/>
        <v>0</v>
      </c>
      <c r="AM103" s="50">
        <f t="shared" si="72"/>
        <v>0</v>
      </c>
      <c r="AN103" s="50">
        <f t="shared" si="72"/>
        <v>0</v>
      </c>
      <c r="AO103" s="50">
        <f t="shared" si="72"/>
        <v>0</v>
      </c>
      <c r="AP103" s="50">
        <f t="shared" si="72"/>
        <v>0</v>
      </c>
      <c r="AQ103" s="50">
        <f t="shared" si="72"/>
        <v>0</v>
      </c>
      <c r="AR103" s="50">
        <f t="shared" si="72"/>
        <v>0</v>
      </c>
      <c r="AS103" s="50">
        <f t="shared" si="72"/>
        <v>0</v>
      </c>
      <c r="AT103" s="50">
        <f t="shared" si="72"/>
        <v>0</v>
      </c>
      <c r="AU103" s="50">
        <f t="shared" si="72"/>
        <v>0</v>
      </c>
    </row>
    <row r="104" spans="1:47">
      <c r="A104" s="38" t="str">
        <f t="shared" si="69"/>
        <v>3Y-</v>
      </c>
      <c r="B104" s="38" t="s">
        <v>263</v>
      </c>
      <c r="C104" s="38" t="str">
        <f t="shared" ref="C104:C108" si="73">C103</f>
        <v>Anaerobic Digestion</v>
      </c>
      <c r="D104" s="186">
        <f>OMEsc</f>
        <v>0.02</v>
      </c>
      <c r="E104" s="325"/>
      <c r="G104" s="36" t="s">
        <v>127</v>
      </c>
      <c r="I104" s="39"/>
      <c r="K104" s="39"/>
      <c r="L104" s="43" t="str">
        <f>"["&amp;CostBaseYr&amp;" $]"</f>
        <v>[2013 $]</v>
      </c>
      <c r="N104" s="70">
        <f ca="1">SUMIFS(OFFSET(Assumptions!$I$90,0,MATCH($A104,Configurations,0)-1,COUNT(Assumptions!$A$90:$A$183),1),Assumptions!$D$90:$D$183,$B104&amp;$C104)</f>
        <v>0</v>
      </c>
      <c r="O104" s="313"/>
      <c r="P104" s="323"/>
      <c r="Q104" s="313"/>
      <c r="R104" s="50">
        <f t="shared" ca="1" si="71"/>
        <v>0</v>
      </c>
      <c r="S104" s="50">
        <f t="shared" ca="1" si="72"/>
        <v>0</v>
      </c>
      <c r="T104" s="50">
        <f t="shared" ca="1" si="72"/>
        <v>0</v>
      </c>
      <c r="U104" s="50">
        <f t="shared" ca="1" si="72"/>
        <v>0</v>
      </c>
      <c r="V104" s="50">
        <f t="shared" ca="1" si="72"/>
        <v>0</v>
      </c>
      <c r="W104" s="50">
        <f t="shared" ca="1" si="72"/>
        <v>0</v>
      </c>
      <c r="X104" s="50">
        <f t="shared" ca="1" si="72"/>
        <v>0</v>
      </c>
      <c r="Y104" s="50">
        <f t="shared" ca="1" si="72"/>
        <v>0</v>
      </c>
      <c r="Z104" s="50">
        <f t="shared" ca="1" si="72"/>
        <v>0</v>
      </c>
      <c r="AA104" s="50">
        <f t="shared" ca="1" si="72"/>
        <v>0</v>
      </c>
      <c r="AB104" s="50">
        <f t="shared" ca="1" si="72"/>
        <v>0</v>
      </c>
      <c r="AC104" s="50">
        <f t="shared" ca="1" si="72"/>
        <v>0</v>
      </c>
      <c r="AD104" s="50">
        <f t="shared" ca="1" si="72"/>
        <v>0</v>
      </c>
      <c r="AE104" s="50">
        <f t="shared" ca="1" si="72"/>
        <v>0</v>
      </c>
      <c r="AF104" s="50">
        <f t="shared" ca="1" si="72"/>
        <v>0</v>
      </c>
      <c r="AG104" s="50">
        <f t="shared" ca="1" si="72"/>
        <v>0</v>
      </c>
      <c r="AH104" s="50">
        <f t="shared" ca="1" si="72"/>
        <v>0</v>
      </c>
      <c r="AI104" s="50">
        <f t="shared" ca="1" si="72"/>
        <v>0</v>
      </c>
      <c r="AJ104" s="50">
        <f t="shared" ca="1" si="72"/>
        <v>0</v>
      </c>
      <c r="AK104" s="50">
        <f t="shared" ca="1" si="72"/>
        <v>0</v>
      </c>
      <c r="AL104" s="50">
        <f t="shared" si="72"/>
        <v>0</v>
      </c>
      <c r="AM104" s="50">
        <f t="shared" si="72"/>
        <v>0</v>
      </c>
      <c r="AN104" s="50">
        <f t="shared" si="72"/>
        <v>0</v>
      </c>
      <c r="AO104" s="50">
        <f t="shared" si="72"/>
        <v>0</v>
      </c>
      <c r="AP104" s="50">
        <f t="shared" si="72"/>
        <v>0</v>
      </c>
      <c r="AQ104" s="50">
        <f t="shared" si="72"/>
        <v>0</v>
      </c>
      <c r="AR104" s="50">
        <f t="shared" si="72"/>
        <v>0</v>
      </c>
      <c r="AS104" s="50">
        <f t="shared" si="72"/>
        <v>0</v>
      </c>
      <c r="AT104" s="50">
        <f t="shared" si="72"/>
        <v>0</v>
      </c>
      <c r="AU104" s="50">
        <f t="shared" si="72"/>
        <v>0</v>
      </c>
    </row>
    <row r="105" spans="1:47">
      <c r="A105" s="38" t="str">
        <f t="shared" si="69"/>
        <v>3Y-</v>
      </c>
      <c r="B105" s="38" t="s">
        <v>277</v>
      </c>
      <c r="C105" s="38" t="str">
        <f t="shared" si="73"/>
        <v>Anaerobic Digestion</v>
      </c>
      <c r="D105" s="186">
        <f>OMEsc</f>
        <v>0.02</v>
      </c>
      <c r="E105" s="325"/>
      <c r="G105" s="36" t="s">
        <v>276</v>
      </c>
      <c r="I105" s="39"/>
      <c r="K105" s="39"/>
      <c r="L105" s="43" t="str">
        <f>"["&amp;CostBaseYr&amp;" $]"</f>
        <v>[2013 $]</v>
      </c>
      <c r="N105" s="70">
        <f ca="1">SUMIFS(OFFSET(Assumptions!$I$90,0,MATCH($A105,Configurations,0)-1,COUNT(Assumptions!$A$90:$A$183),1),Assumptions!$D$90:$D$183,$B105&amp;$C105)</f>
        <v>0</v>
      </c>
      <c r="O105" s="313"/>
      <c r="P105" s="323"/>
      <c r="Q105" s="313"/>
      <c r="R105" s="50">
        <f t="shared" ca="1" si="71"/>
        <v>0</v>
      </c>
      <c r="S105" s="50">
        <f t="shared" ca="1" si="72"/>
        <v>0</v>
      </c>
      <c r="T105" s="50">
        <f t="shared" ca="1" si="72"/>
        <v>0</v>
      </c>
      <c r="U105" s="50">
        <f t="shared" ca="1" si="72"/>
        <v>0</v>
      </c>
      <c r="V105" s="50">
        <f t="shared" ca="1" si="72"/>
        <v>0</v>
      </c>
      <c r="W105" s="50">
        <f t="shared" ca="1" si="72"/>
        <v>0</v>
      </c>
      <c r="X105" s="50">
        <f t="shared" ca="1" si="72"/>
        <v>0</v>
      </c>
      <c r="Y105" s="50">
        <f t="shared" ca="1" si="72"/>
        <v>0</v>
      </c>
      <c r="Z105" s="50">
        <f t="shared" ca="1" si="72"/>
        <v>0</v>
      </c>
      <c r="AA105" s="50">
        <f t="shared" ca="1" si="72"/>
        <v>0</v>
      </c>
      <c r="AB105" s="50">
        <f t="shared" ca="1" si="72"/>
        <v>0</v>
      </c>
      <c r="AC105" s="50">
        <f t="shared" ca="1" si="72"/>
        <v>0</v>
      </c>
      <c r="AD105" s="50">
        <f t="shared" ca="1" si="72"/>
        <v>0</v>
      </c>
      <c r="AE105" s="50">
        <f t="shared" ca="1" si="72"/>
        <v>0</v>
      </c>
      <c r="AF105" s="50">
        <f t="shared" ca="1" si="72"/>
        <v>0</v>
      </c>
      <c r="AG105" s="50">
        <f t="shared" ca="1" si="72"/>
        <v>0</v>
      </c>
      <c r="AH105" s="50">
        <f t="shared" ca="1" si="72"/>
        <v>0</v>
      </c>
      <c r="AI105" s="50">
        <f t="shared" ca="1" si="72"/>
        <v>0</v>
      </c>
      <c r="AJ105" s="50">
        <f t="shared" ca="1" si="72"/>
        <v>0</v>
      </c>
      <c r="AK105" s="50">
        <f t="shared" ca="1" si="72"/>
        <v>0</v>
      </c>
      <c r="AL105" s="50">
        <f t="shared" si="72"/>
        <v>0</v>
      </c>
      <c r="AM105" s="50">
        <f t="shared" si="72"/>
        <v>0</v>
      </c>
      <c r="AN105" s="50">
        <f t="shared" si="72"/>
        <v>0</v>
      </c>
      <c r="AO105" s="50">
        <f t="shared" si="72"/>
        <v>0</v>
      </c>
      <c r="AP105" s="50">
        <f t="shared" si="72"/>
        <v>0</v>
      </c>
      <c r="AQ105" s="50">
        <f t="shared" si="72"/>
        <v>0</v>
      </c>
      <c r="AR105" s="50">
        <f t="shared" si="72"/>
        <v>0</v>
      </c>
      <c r="AS105" s="50">
        <f t="shared" si="72"/>
        <v>0</v>
      </c>
      <c r="AT105" s="50">
        <f t="shared" si="72"/>
        <v>0</v>
      </c>
      <c r="AU105" s="50">
        <f t="shared" si="72"/>
        <v>0</v>
      </c>
    </row>
    <row r="106" spans="1:47">
      <c r="A106" s="38" t="str">
        <f t="shared" si="69"/>
        <v>3Y-</v>
      </c>
      <c r="B106" s="38" t="s">
        <v>274</v>
      </c>
      <c r="C106" s="38" t="str">
        <f t="shared" si="73"/>
        <v>Anaerobic Digestion</v>
      </c>
      <c r="D106" s="186"/>
      <c r="E106" s="325"/>
      <c r="G106" s="36" t="s">
        <v>16</v>
      </c>
      <c r="I106" s="39"/>
      <c r="K106" s="39"/>
      <c r="L106" s="43" t="s">
        <v>275</v>
      </c>
      <c r="N106" s="70">
        <f ca="1">SUMIFS(OFFSET(Assumptions!$I$90,0,MATCH($A106,Configurations,0)-1,COUNT(Assumptions!$A$90:$A$183),1),Assumptions!$D$90:$D$183,$B106&amp;$C106)</f>
        <v>0</v>
      </c>
      <c r="O106" s="313"/>
      <c r="P106" s="323"/>
      <c r="Q106" s="313"/>
      <c r="R106" s="50">
        <f t="shared" ref="R106:AU106" ca="1" si="74">IF(OR(R$99&lt;InServiceYr,R$99&gt;(InServiceYr+analysis_period-1)),0,IF($P106=0,$N106,$P106)*R$505)</f>
        <v>0</v>
      </c>
      <c r="S106" s="50">
        <f t="shared" ca="1" si="74"/>
        <v>0</v>
      </c>
      <c r="T106" s="50">
        <f t="shared" ca="1" si="74"/>
        <v>0</v>
      </c>
      <c r="U106" s="50">
        <f t="shared" ca="1" si="74"/>
        <v>0</v>
      </c>
      <c r="V106" s="50">
        <f t="shared" ca="1" si="74"/>
        <v>0</v>
      </c>
      <c r="W106" s="50">
        <f t="shared" ca="1" si="74"/>
        <v>0</v>
      </c>
      <c r="X106" s="50">
        <f t="shared" ca="1" si="74"/>
        <v>0</v>
      </c>
      <c r="Y106" s="50">
        <f t="shared" ca="1" si="74"/>
        <v>0</v>
      </c>
      <c r="Z106" s="50">
        <f t="shared" ca="1" si="74"/>
        <v>0</v>
      </c>
      <c r="AA106" s="50">
        <f t="shared" ca="1" si="74"/>
        <v>0</v>
      </c>
      <c r="AB106" s="50">
        <f t="shared" ca="1" si="74"/>
        <v>0</v>
      </c>
      <c r="AC106" s="50">
        <f t="shared" ca="1" si="74"/>
        <v>0</v>
      </c>
      <c r="AD106" s="50">
        <f t="shared" ca="1" si="74"/>
        <v>0</v>
      </c>
      <c r="AE106" s="50">
        <f t="shared" ca="1" si="74"/>
        <v>0</v>
      </c>
      <c r="AF106" s="50">
        <f t="shared" ca="1" si="74"/>
        <v>0</v>
      </c>
      <c r="AG106" s="50">
        <f t="shared" ca="1" si="74"/>
        <v>0</v>
      </c>
      <c r="AH106" s="50">
        <f t="shared" ca="1" si="74"/>
        <v>0</v>
      </c>
      <c r="AI106" s="50">
        <f t="shared" ca="1" si="74"/>
        <v>0</v>
      </c>
      <c r="AJ106" s="50">
        <f t="shared" ca="1" si="74"/>
        <v>0</v>
      </c>
      <c r="AK106" s="50">
        <f t="shared" ca="1" si="74"/>
        <v>0</v>
      </c>
      <c r="AL106" s="50">
        <f t="shared" si="74"/>
        <v>0</v>
      </c>
      <c r="AM106" s="50">
        <f t="shared" si="74"/>
        <v>0</v>
      </c>
      <c r="AN106" s="50">
        <f t="shared" si="74"/>
        <v>0</v>
      </c>
      <c r="AO106" s="50">
        <f t="shared" si="74"/>
        <v>0</v>
      </c>
      <c r="AP106" s="50">
        <f t="shared" si="74"/>
        <v>0</v>
      </c>
      <c r="AQ106" s="50">
        <f t="shared" si="74"/>
        <v>0</v>
      </c>
      <c r="AR106" s="50">
        <f t="shared" si="74"/>
        <v>0</v>
      </c>
      <c r="AS106" s="50">
        <f t="shared" si="74"/>
        <v>0</v>
      </c>
      <c r="AT106" s="50">
        <f t="shared" si="74"/>
        <v>0</v>
      </c>
      <c r="AU106" s="50">
        <f t="shared" si="74"/>
        <v>0</v>
      </c>
    </row>
    <row r="107" spans="1:47">
      <c r="A107" s="38" t="str">
        <f t="shared" si="69"/>
        <v>3Y-</v>
      </c>
      <c r="B107" s="38" t="s">
        <v>257</v>
      </c>
      <c r="C107" s="38" t="str">
        <f t="shared" si="73"/>
        <v>Anaerobic Digestion</v>
      </c>
      <c r="D107" s="186"/>
      <c r="E107" s="325"/>
      <c r="G107" s="36" t="s">
        <v>284</v>
      </c>
      <c r="I107" s="39"/>
      <c r="K107" s="39"/>
      <c r="L107" s="43" t="s">
        <v>293</v>
      </c>
      <c r="N107" s="70">
        <f ca="1">SUMIFS(OFFSET(Assumptions!$I$90,0,MATCH($A107,Configurations,0)-1,COUNT(Assumptions!$A$90:$A$183),1),Assumptions!$D$90:$D$183,$B107&amp;$C107)</f>
        <v>0</v>
      </c>
      <c r="O107" s="313"/>
      <c r="P107" s="323"/>
      <c r="Q107" s="313"/>
      <c r="R107" s="50">
        <f t="shared" ref="R107:AU107" ca="1" si="75">IF(OR(R$99&lt;InServiceYr,R$99&gt;(InServiceYr+analysis_period-1)),0,IF($P107=0,$N107,$P107)*R$501)</f>
        <v>0</v>
      </c>
      <c r="S107" s="50">
        <f t="shared" ca="1" si="75"/>
        <v>0</v>
      </c>
      <c r="T107" s="50">
        <f t="shared" ca="1" si="75"/>
        <v>0</v>
      </c>
      <c r="U107" s="50">
        <f t="shared" ca="1" si="75"/>
        <v>0</v>
      </c>
      <c r="V107" s="50">
        <f t="shared" ca="1" si="75"/>
        <v>0</v>
      </c>
      <c r="W107" s="50">
        <f t="shared" ca="1" si="75"/>
        <v>0</v>
      </c>
      <c r="X107" s="50">
        <f t="shared" ca="1" si="75"/>
        <v>0</v>
      </c>
      <c r="Y107" s="50">
        <f t="shared" ca="1" si="75"/>
        <v>0</v>
      </c>
      <c r="Z107" s="50">
        <f t="shared" ca="1" si="75"/>
        <v>0</v>
      </c>
      <c r="AA107" s="50">
        <f t="shared" ca="1" si="75"/>
        <v>0</v>
      </c>
      <c r="AB107" s="50">
        <f t="shared" ca="1" si="75"/>
        <v>0</v>
      </c>
      <c r="AC107" s="50">
        <f t="shared" ca="1" si="75"/>
        <v>0</v>
      </c>
      <c r="AD107" s="50">
        <f t="shared" ca="1" si="75"/>
        <v>0</v>
      </c>
      <c r="AE107" s="50">
        <f t="shared" ca="1" si="75"/>
        <v>0</v>
      </c>
      <c r="AF107" s="50">
        <f t="shared" ca="1" si="75"/>
        <v>0</v>
      </c>
      <c r="AG107" s="50">
        <f t="shared" ca="1" si="75"/>
        <v>0</v>
      </c>
      <c r="AH107" s="50">
        <f t="shared" ca="1" si="75"/>
        <v>0</v>
      </c>
      <c r="AI107" s="50">
        <f t="shared" ca="1" si="75"/>
        <v>0</v>
      </c>
      <c r="AJ107" s="50">
        <f t="shared" ca="1" si="75"/>
        <v>0</v>
      </c>
      <c r="AK107" s="50">
        <f t="shared" ca="1" si="75"/>
        <v>0</v>
      </c>
      <c r="AL107" s="50">
        <f t="shared" si="75"/>
        <v>0</v>
      </c>
      <c r="AM107" s="50">
        <f t="shared" si="75"/>
        <v>0</v>
      </c>
      <c r="AN107" s="50">
        <f t="shared" si="75"/>
        <v>0</v>
      </c>
      <c r="AO107" s="50">
        <f t="shared" si="75"/>
        <v>0</v>
      </c>
      <c r="AP107" s="50">
        <f t="shared" si="75"/>
        <v>0</v>
      </c>
      <c r="AQ107" s="50">
        <f t="shared" si="75"/>
        <v>0</v>
      </c>
      <c r="AR107" s="50">
        <f t="shared" si="75"/>
        <v>0</v>
      </c>
      <c r="AS107" s="50">
        <f t="shared" si="75"/>
        <v>0</v>
      </c>
      <c r="AT107" s="50">
        <f t="shared" si="75"/>
        <v>0</v>
      </c>
      <c r="AU107" s="50">
        <f t="shared" si="75"/>
        <v>0</v>
      </c>
    </row>
    <row r="108" spans="1:47">
      <c r="A108" s="38" t="str">
        <f t="shared" si="69"/>
        <v>3Y-</v>
      </c>
      <c r="B108" s="38" t="s">
        <v>864</v>
      </c>
      <c r="C108" s="38" t="str">
        <f t="shared" si="73"/>
        <v>Anaerobic Digestion</v>
      </c>
      <c r="D108" s="186">
        <f>GHGEsc</f>
        <v>0.02</v>
      </c>
      <c r="E108" s="325"/>
      <c r="G108" s="36" t="s">
        <v>865</v>
      </c>
      <c r="I108" s="39"/>
      <c r="K108" s="39"/>
      <c r="L108" s="43" t="s">
        <v>866</v>
      </c>
      <c r="N108" s="70">
        <f ca="1">SUMIFS(OFFSET(Assumptions!$I$90,0,MATCH($A108,Configurations,0)-1,COUNT(Assumptions!$A$90:$A$183),1),Assumptions!$D$90:$D$183,$B108&amp;$C108)</f>
        <v>0</v>
      </c>
      <c r="O108" s="313"/>
      <c r="P108" s="323"/>
      <c r="Q108" s="313"/>
      <c r="R108" s="50">
        <f t="shared" ref="R108:AU108" ca="1" si="76">IF(OR(R$99&lt;InServiceYr,R$99&gt;(InServiceYr+analysis_period-1)),0,IF($P108=0,$N108,$P108)*R$513)</f>
        <v>0</v>
      </c>
      <c r="S108" s="50">
        <f t="shared" ca="1" si="76"/>
        <v>0</v>
      </c>
      <c r="T108" s="50">
        <f t="shared" ca="1" si="76"/>
        <v>0</v>
      </c>
      <c r="U108" s="50">
        <f t="shared" ca="1" si="76"/>
        <v>0</v>
      </c>
      <c r="V108" s="50">
        <f t="shared" ca="1" si="76"/>
        <v>0</v>
      </c>
      <c r="W108" s="50">
        <f t="shared" ca="1" si="76"/>
        <v>0</v>
      </c>
      <c r="X108" s="50">
        <f t="shared" ca="1" si="76"/>
        <v>0</v>
      </c>
      <c r="Y108" s="50">
        <f t="shared" ca="1" si="76"/>
        <v>0</v>
      </c>
      <c r="Z108" s="50">
        <f t="shared" ca="1" si="76"/>
        <v>0</v>
      </c>
      <c r="AA108" s="50">
        <f t="shared" ca="1" si="76"/>
        <v>0</v>
      </c>
      <c r="AB108" s="50">
        <f t="shared" ca="1" si="76"/>
        <v>0</v>
      </c>
      <c r="AC108" s="50">
        <f t="shared" ca="1" si="76"/>
        <v>0</v>
      </c>
      <c r="AD108" s="50">
        <f t="shared" ca="1" si="76"/>
        <v>0</v>
      </c>
      <c r="AE108" s="50">
        <f t="shared" ca="1" si="76"/>
        <v>0</v>
      </c>
      <c r="AF108" s="50">
        <f t="shared" ca="1" si="76"/>
        <v>0</v>
      </c>
      <c r="AG108" s="50">
        <f t="shared" ca="1" si="76"/>
        <v>0</v>
      </c>
      <c r="AH108" s="50">
        <f t="shared" ca="1" si="76"/>
        <v>0</v>
      </c>
      <c r="AI108" s="50">
        <f t="shared" ca="1" si="76"/>
        <v>0</v>
      </c>
      <c r="AJ108" s="50">
        <f t="shared" ca="1" si="76"/>
        <v>0</v>
      </c>
      <c r="AK108" s="50">
        <f t="shared" ca="1" si="76"/>
        <v>0</v>
      </c>
      <c r="AL108" s="50">
        <f t="shared" si="76"/>
        <v>0</v>
      </c>
      <c r="AM108" s="50">
        <f t="shared" si="76"/>
        <v>0</v>
      </c>
      <c r="AN108" s="50">
        <f t="shared" si="76"/>
        <v>0</v>
      </c>
      <c r="AO108" s="50">
        <f t="shared" si="76"/>
        <v>0</v>
      </c>
      <c r="AP108" s="50">
        <f t="shared" si="76"/>
        <v>0</v>
      </c>
      <c r="AQ108" s="50">
        <f t="shared" si="76"/>
        <v>0</v>
      </c>
      <c r="AR108" s="50">
        <f t="shared" si="76"/>
        <v>0</v>
      </c>
      <c r="AS108" s="50">
        <f t="shared" si="76"/>
        <v>0</v>
      </c>
      <c r="AT108" s="50">
        <f t="shared" si="76"/>
        <v>0</v>
      </c>
      <c r="AU108" s="50">
        <f t="shared" si="76"/>
        <v>0</v>
      </c>
    </row>
    <row r="109" spans="1:47">
      <c r="A109" s="38" t="str">
        <f t="shared" si="69"/>
        <v>3Y-</v>
      </c>
      <c r="B109" s="38" t="s">
        <v>273</v>
      </c>
      <c r="C109" s="38" t="str">
        <f>C107</f>
        <v>Anaerobic Digestion</v>
      </c>
      <c r="D109" s="186">
        <f>LaborEsc</f>
        <v>0.02</v>
      </c>
      <c r="E109" s="325"/>
      <c r="G109" s="36" t="s">
        <v>291</v>
      </c>
      <c r="I109" s="39"/>
      <c r="K109" s="39"/>
      <c r="L109" s="43" t="str">
        <f>"["&amp;CostBaseYr&amp;" $]"</f>
        <v>[2013 $]</v>
      </c>
      <c r="N109" s="70">
        <f ca="1">SUMIFS(OFFSET(Assumptions!$I$90,0,MATCH($A109,Configurations,0)-1,COUNT(Assumptions!$A$90:$A$183),1),Assumptions!$D$90:$D$183,$B109&amp;$C109)</f>
        <v>0</v>
      </c>
      <c r="O109" s="313"/>
      <c r="P109" s="323"/>
      <c r="Q109" s="313"/>
      <c r="R109" s="50">
        <f t="shared" ref="R109:AU109" ca="1" si="77">IF(OR(R$99&lt;InServiceYr,R$99&gt;(InServiceYr+analysis_period-1)),0,IF($P109=0,$N109,$P109)*(1+$D109)^(R$99-CostBaseYr))*R$509</f>
        <v>0</v>
      </c>
      <c r="S109" s="50">
        <f t="shared" ca="1" si="77"/>
        <v>0</v>
      </c>
      <c r="T109" s="50">
        <f t="shared" ca="1" si="77"/>
        <v>0</v>
      </c>
      <c r="U109" s="50">
        <f t="shared" ca="1" si="77"/>
        <v>0</v>
      </c>
      <c r="V109" s="50">
        <f t="shared" ca="1" si="77"/>
        <v>0</v>
      </c>
      <c r="W109" s="50">
        <f t="shared" ca="1" si="77"/>
        <v>0</v>
      </c>
      <c r="X109" s="50">
        <f t="shared" ca="1" si="77"/>
        <v>0</v>
      </c>
      <c r="Y109" s="50">
        <f t="shared" ca="1" si="77"/>
        <v>0</v>
      </c>
      <c r="Z109" s="50">
        <f t="shared" ca="1" si="77"/>
        <v>0</v>
      </c>
      <c r="AA109" s="50">
        <f t="shared" ca="1" si="77"/>
        <v>0</v>
      </c>
      <c r="AB109" s="50">
        <f t="shared" ca="1" si="77"/>
        <v>0</v>
      </c>
      <c r="AC109" s="50">
        <f t="shared" ca="1" si="77"/>
        <v>0</v>
      </c>
      <c r="AD109" s="50">
        <f t="shared" ca="1" si="77"/>
        <v>0</v>
      </c>
      <c r="AE109" s="50">
        <f t="shared" ca="1" si="77"/>
        <v>0</v>
      </c>
      <c r="AF109" s="50">
        <f t="shared" ca="1" si="77"/>
        <v>0</v>
      </c>
      <c r="AG109" s="50">
        <f t="shared" ca="1" si="77"/>
        <v>0</v>
      </c>
      <c r="AH109" s="50">
        <f t="shared" ca="1" si="77"/>
        <v>0</v>
      </c>
      <c r="AI109" s="50">
        <f t="shared" ca="1" si="77"/>
        <v>0</v>
      </c>
      <c r="AJ109" s="50">
        <f t="shared" ca="1" si="77"/>
        <v>0</v>
      </c>
      <c r="AK109" s="50">
        <f t="shared" ca="1" si="77"/>
        <v>0</v>
      </c>
      <c r="AL109" s="50">
        <f t="shared" si="77"/>
        <v>0</v>
      </c>
      <c r="AM109" s="50">
        <f t="shared" si="77"/>
        <v>0</v>
      </c>
      <c r="AN109" s="50">
        <f t="shared" si="77"/>
        <v>0</v>
      </c>
      <c r="AO109" s="50">
        <f t="shared" si="77"/>
        <v>0</v>
      </c>
      <c r="AP109" s="50">
        <f t="shared" si="77"/>
        <v>0</v>
      </c>
      <c r="AQ109" s="50">
        <f t="shared" si="77"/>
        <v>0</v>
      </c>
      <c r="AR109" s="50">
        <f t="shared" si="77"/>
        <v>0</v>
      </c>
      <c r="AS109" s="50">
        <f t="shared" si="77"/>
        <v>0</v>
      </c>
      <c r="AT109" s="50">
        <f t="shared" si="77"/>
        <v>0</v>
      </c>
      <c r="AU109" s="50">
        <f t="shared" si="77"/>
        <v>0</v>
      </c>
    </row>
    <row r="110" spans="1:47">
      <c r="D110" s="186"/>
      <c r="E110" s="325"/>
      <c r="G110" s="39" t="s">
        <v>304</v>
      </c>
      <c r="I110" s="39"/>
      <c r="K110" s="39"/>
      <c r="L110" s="43"/>
      <c r="N110" s="70"/>
      <c r="O110" s="313"/>
      <c r="P110" s="70"/>
      <c r="Q110" s="313"/>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row>
    <row r="111" spans="1:47">
      <c r="A111" s="38" t="str">
        <f>$J$4&amp;"-"</f>
        <v>3Y-</v>
      </c>
      <c r="B111" s="38" t="s">
        <v>265</v>
      </c>
      <c r="C111" s="38" t="str">
        <f>C102</f>
        <v>Anaerobic Digestion</v>
      </c>
      <c r="D111" s="186"/>
      <c r="E111" s="325"/>
      <c r="G111" s="36" t="s">
        <v>108</v>
      </c>
      <c r="I111" s="39"/>
      <c r="K111" s="39"/>
      <c r="L111" s="43" t="s">
        <v>293</v>
      </c>
      <c r="N111" s="70">
        <f ca="1">SUMIFS(OFFSET(Assumptions!$I$90,0,MATCH($A111,Configurations,0)-1,COUNT(Assumptions!$A$90:$A$183),1),Assumptions!$D$90:$D$183,$B111&amp;$C111)</f>
        <v>0</v>
      </c>
      <c r="O111" s="313"/>
      <c r="P111" s="323"/>
      <c r="Q111" s="313"/>
      <c r="R111" s="50">
        <f t="shared" ref="R111:AU111" ca="1" si="78">IF(OR(R$99&lt;InServiceYr,R$99&gt;(InServiceYr+analysis_period-1)),0,IF($P111=0,$N111,$P111)*R$501)</f>
        <v>0</v>
      </c>
      <c r="S111" s="50">
        <f t="shared" ca="1" si="78"/>
        <v>0</v>
      </c>
      <c r="T111" s="50">
        <f t="shared" ca="1" si="78"/>
        <v>0</v>
      </c>
      <c r="U111" s="50">
        <f t="shared" ca="1" si="78"/>
        <v>0</v>
      </c>
      <c r="V111" s="50">
        <f t="shared" ca="1" si="78"/>
        <v>0</v>
      </c>
      <c r="W111" s="50">
        <f t="shared" ca="1" si="78"/>
        <v>0</v>
      </c>
      <c r="X111" s="50">
        <f t="shared" ca="1" si="78"/>
        <v>0</v>
      </c>
      <c r="Y111" s="50">
        <f t="shared" ca="1" si="78"/>
        <v>0</v>
      </c>
      <c r="Z111" s="50">
        <f t="shared" ca="1" si="78"/>
        <v>0</v>
      </c>
      <c r="AA111" s="50">
        <f t="shared" ca="1" si="78"/>
        <v>0</v>
      </c>
      <c r="AB111" s="50">
        <f t="shared" ca="1" si="78"/>
        <v>0</v>
      </c>
      <c r="AC111" s="50">
        <f t="shared" ca="1" si="78"/>
        <v>0</v>
      </c>
      <c r="AD111" s="50">
        <f t="shared" ca="1" si="78"/>
        <v>0</v>
      </c>
      <c r="AE111" s="50">
        <f t="shared" ca="1" si="78"/>
        <v>0</v>
      </c>
      <c r="AF111" s="50">
        <f t="shared" ca="1" si="78"/>
        <v>0</v>
      </c>
      <c r="AG111" s="50">
        <f t="shared" ca="1" si="78"/>
        <v>0</v>
      </c>
      <c r="AH111" s="50">
        <f t="shared" ca="1" si="78"/>
        <v>0</v>
      </c>
      <c r="AI111" s="50">
        <f t="shared" ca="1" si="78"/>
        <v>0</v>
      </c>
      <c r="AJ111" s="50">
        <f t="shared" ca="1" si="78"/>
        <v>0</v>
      </c>
      <c r="AK111" s="50">
        <f t="shared" ca="1" si="78"/>
        <v>0</v>
      </c>
      <c r="AL111" s="50">
        <f t="shared" si="78"/>
        <v>0</v>
      </c>
      <c r="AM111" s="50">
        <f t="shared" si="78"/>
        <v>0</v>
      </c>
      <c r="AN111" s="50">
        <f t="shared" si="78"/>
        <v>0</v>
      </c>
      <c r="AO111" s="50">
        <f t="shared" si="78"/>
        <v>0</v>
      </c>
      <c r="AP111" s="50">
        <f t="shared" si="78"/>
        <v>0</v>
      </c>
      <c r="AQ111" s="50">
        <f t="shared" si="78"/>
        <v>0</v>
      </c>
      <c r="AR111" s="50">
        <f t="shared" si="78"/>
        <v>0</v>
      </c>
      <c r="AS111" s="50">
        <f t="shared" si="78"/>
        <v>0</v>
      </c>
      <c r="AT111" s="50">
        <f t="shared" si="78"/>
        <v>0</v>
      </c>
      <c r="AU111" s="50">
        <f t="shared" si="78"/>
        <v>0</v>
      </c>
    </row>
    <row r="112" spans="1:47">
      <c r="A112" s="38" t="str">
        <f>$J$4&amp;"-"</f>
        <v>3Y-</v>
      </c>
      <c r="B112" s="38" t="s">
        <v>289</v>
      </c>
      <c r="C112" s="38" t="str">
        <f>C102</f>
        <v>Anaerobic Digestion</v>
      </c>
      <c r="D112" s="186">
        <f>LaborEsc</f>
        <v>0.02</v>
      </c>
      <c r="E112" s="325"/>
      <c r="G112" s="36" t="s">
        <v>292</v>
      </c>
      <c r="I112" s="39"/>
      <c r="K112" s="39"/>
      <c r="L112" s="43" t="str">
        <f>"["&amp;CostBaseYr&amp;" $]"</f>
        <v>[2013 $]</v>
      </c>
      <c r="N112" s="70">
        <f ca="1">SUMIFS(OFFSET(Assumptions!$I$90,0,MATCH($A112,Configurations,0)-1,COUNT(Assumptions!$A$90:$A$183),1),Assumptions!$D$90:$D$183,$B112&amp;$C112)</f>
        <v>0</v>
      </c>
      <c r="O112" s="313"/>
      <c r="P112" s="323"/>
      <c r="Q112" s="313"/>
      <c r="R112" s="50">
        <f t="shared" ref="R112:AU112" ca="1" si="79">IF(OR(R$99&lt;InServiceYr,R$99&gt;(InServiceYr+analysis_period-1)),0,IF($P112=0,$N112,$P112)*(1+$D112)^(R$99-CostBaseYr))</f>
        <v>0</v>
      </c>
      <c r="S112" s="50">
        <f t="shared" ca="1" si="79"/>
        <v>0</v>
      </c>
      <c r="T112" s="50">
        <f t="shared" ca="1" si="79"/>
        <v>0</v>
      </c>
      <c r="U112" s="50">
        <f t="shared" ca="1" si="79"/>
        <v>0</v>
      </c>
      <c r="V112" s="50">
        <f t="shared" ca="1" si="79"/>
        <v>0</v>
      </c>
      <c r="W112" s="50">
        <f t="shared" ca="1" si="79"/>
        <v>0</v>
      </c>
      <c r="X112" s="50">
        <f t="shared" ca="1" si="79"/>
        <v>0</v>
      </c>
      <c r="Y112" s="50">
        <f t="shared" ca="1" si="79"/>
        <v>0</v>
      </c>
      <c r="Z112" s="50">
        <f t="shared" ca="1" si="79"/>
        <v>0</v>
      </c>
      <c r="AA112" s="50">
        <f t="shared" ca="1" si="79"/>
        <v>0</v>
      </c>
      <c r="AB112" s="50">
        <f t="shared" ca="1" si="79"/>
        <v>0</v>
      </c>
      <c r="AC112" s="50">
        <f t="shared" ca="1" si="79"/>
        <v>0</v>
      </c>
      <c r="AD112" s="50">
        <f t="shared" ca="1" si="79"/>
        <v>0</v>
      </c>
      <c r="AE112" s="50">
        <f t="shared" ca="1" si="79"/>
        <v>0</v>
      </c>
      <c r="AF112" s="50">
        <f t="shared" ca="1" si="79"/>
        <v>0</v>
      </c>
      <c r="AG112" s="50">
        <f t="shared" ca="1" si="79"/>
        <v>0</v>
      </c>
      <c r="AH112" s="50">
        <f t="shared" ca="1" si="79"/>
        <v>0</v>
      </c>
      <c r="AI112" s="50">
        <f t="shared" ca="1" si="79"/>
        <v>0</v>
      </c>
      <c r="AJ112" s="50">
        <f t="shared" ca="1" si="79"/>
        <v>0</v>
      </c>
      <c r="AK112" s="50">
        <f t="shared" ca="1" si="79"/>
        <v>0</v>
      </c>
      <c r="AL112" s="50">
        <f t="shared" si="79"/>
        <v>0</v>
      </c>
      <c r="AM112" s="50">
        <f t="shared" si="79"/>
        <v>0</v>
      </c>
      <c r="AN112" s="50">
        <f t="shared" si="79"/>
        <v>0</v>
      </c>
      <c r="AO112" s="50">
        <f t="shared" si="79"/>
        <v>0</v>
      </c>
      <c r="AP112" s="50">
        <f t="shared" si="79"/>
        <v>0</v>
      </c>
      <c r="AQ112" s="50">
        <f t="shared" si="79"/>
        <v>0</v>
      </c>
      <c r="AR112" s="50">
        <f t="shared" si="79"/>
        <v>0</v>
      </c>
      <c r="AS112" s="50">
        <f t="shared" si="79"/>
        <v>0</v>
      </c>
      <c r="AT112" s="50">
        <f t="shared" si="79"/>
        <v>0</v>
      </c>
      <c r="AU112" s="50">
        <f t="shared" si="79"/>
        <v>0</v>
      </c>
    </row>
    <row r="113" spans="1:47" s="60" customFormat="1">
      <c r="D113" s="187"/>
      <c r="E113" s="325"/>
      <c r="G113" s="39" t="s">
        <v>305</v>
      </c>
      <c r="I113" s="39"/>
      <c r="K113" s="39"/>
      <c r="L113" s="174"/>
      <c r="N113" s="188"/>
      <c r="O113" s="314"/>
      <c r="P113" s="185"/>
      <c r="Q113" s="314"/>
      <c r="R113" s="185">
        <f ca="1">SUM(R102:R109)-SUM(R111:R112)</f>
        <v>0</v>
      </c>
      <c r="S113" s="185">
        <f t="shared" ref="S113:AU113" ca="1" si="80">SUM(S102:S109)-SUM(S111:S112)</f>
        <v>0</v>
      </c>
      <c r="T113" s="185">
        <f t="shared" ca="1" si="80"/>
        <v>0</v>
      </c>
      <c r="U113" s="185">
        <f t="shared" ca="1" si="80"/>
        <v>0</v>
      </c>
      <c r="V113" s="185">
        <f t="shared" ca="1" si="80"/>
        <v>0</v>
      </c>
      <c r="W113" s="185">
        <f t="shared" ca="1" si="80"/>
        <v>0</v>
      </c>
      <c r="X113" s="185">
        <f t="shared" ca="1" si="80"/>
        <v>0</v>
      </c>
      <c r="Y113" s="185">
        <f t="shared" ca="1" si="80"/>
        <v>0</v>
      </c>
      <c r="Z113" s="185">
        <f t="shared" ca="1" si="80"/>
        <v>0</v>
      </c>
      <c r="AA113" s="185">
        <f t="shared" ca="1" si="80"/>
        <v>0</v>
      </c>
      <c r="AB113" s="185">
        <f t="shared" ca="1" si="80"/>
        <v>0</v>
      </c>
      <c r="AC113" s="185">
        <f t="shared" ca="1" si="80"/>
        <v>0</v>
      </c>
      <c r="AD113" s="185">
        <f t="shared" ca="1" si="80"/>
        <v>0</v>
      </c>
      <c r="AE113" s="185">
        <f t="shared" ca="1" si="80"/>
        <v>0</v>
      </c>
      <c r="AF113" s="185">
        <f t="shared" ca="1" si="80"/>
        <v>0</v>
      </c>
      <c r="AG113" s="185">
        <f t="shared" ca="1" si="80"/>
        <v>0</v>
      </c>
      <c r="AH113" s="185">
        <f t="shared" ca="1" si="80"/>
        <v>0</v>
      </c>
      <c r="AI113" s="185">
        <f t="shared" ca="1" si="80"/>
        <v>0</v>
      </c>
      <c r="AJ113" s="185">
        <f t="shared" ca="1" si="80"/>
        <v>0</v>
      </c>
      <c r="AK113" s="185">
        <f t="shared" ca="1" si="80"/>
        <v>0</v>
      </c>
      <c r="AL113" s="185">
        <f t="shared" si="80"/>
        <v>0</v>
      </c>
      <c r="AM113" s="185">
        <f t="shared" si="80"/>
        <v>0</v>
      </c>
      <c r="AN113" s="185">
        <f t="shared" si="80"/>
        <v>0</v>
      </c>
      <c r="AO113" s="185">
        <f t="shared" si="80"/>
        <v>0</v>
      </c>
      <c r="AP113" s="185">
        <f t="shared" si="80"/>
        <v>0</v>
      </c>
      <c r="AQ113" s="185">
        <f t="shared" si="80"/>
        <v>0</v>
      </c>
      <c r="AR113" s="185">
        <f t="shared" si="80"/>
        <v>0</v>
      </c>
      <c r="AS113" s="185">
        <f t="shared" si="80"/>
        <v>0</v>
      </c>
      <c r="AT113" s="185">
        <f t="shared" si="80"/>
        <v>0</v>
      </c>
      <c r="AU113" s="185">
        <f t="shared" si="80"/>
        <v>0</v>
      </c>
    </row>
    <row r="114" spans="1:47">
      <c r="G114" s="28"/>
      <c r="H114" s="28"/>
      <c r="I114" s="28"/>
      <c r="J114" s="28"/>
      <c r="K114" s="28"/>
      <c r="L114" s="409"/>
      <c r="M114" s="46"/>
      <c r="N114" s="46"/>
      <c r="O114" s="315"/>
      <c r="P114" s="46"/>
      <c r="Q114" s="315"/>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row>
    <row r="115" spans="1:47" s="28" customFormat="1">
      <c r="A115" s="40"/>
      <c r="B115" s="40"/>
      <c r="C115" s="40"/>
      <c r="D115" s="40"/>
      <c r="E115" s="327"/>
      <c r="G115" s="324" t="str">
        <f>C117&amp;" Capital Costs"</f>
        <v>Ash Conveyance &amp; Storage Capital Costs</v>
      </c>
      <c r="H115" s="324"/>
      <c r="I115" s="324"/>
      <c r="J115" s="324"/>
      <c r="K115" s="324"/>
      <c r="L115" s="405" t="s">
        <v>79</v>
      </c>
      <c r="M115" s="256"/>
      <c r="N115" s="325" t="s">
        <v>490</v>
      </c>
      <c r="O115" s="311"/>
      <c r="P115" s="325" t="s">
        <v>491</v>
      </c>
      <c r="Q115" s="310"/>
      <c r="R115" s="325">
        <f>R$8</f>
        <v>2014</v>
      </c>
      <c r="S115" s="325">
        <f t="shared" ref="S115:AU115" si="81">S$8</f>
        <v>2015</v>
      </c>
      <c r="T115" s="325">
        <f t="shared" si="81"/>
        <v>2016</v>
      </c>
      <c r="U115" s="325">
        <f t="shared" si="81"/>
        <v>2017</v>
      </c>
      <c r="V115" s="325">
        <f t="shared" si="81"/>
        <v>2018</v>
      </c>
      <c r="W115" s="325">
        <f t="shared" si="81"/>
        <v>2019</v>
      </c>
      <c r="X115" s="325">
        <f t="shared" si="81"/>
        <v>2020</v>
      </c>
      <c r="Y115" s="325">
        <f t="shared" si="81"/>
        <v>2021</v>
      </c>
      <c r="Z115" s="325">
        <f t="shared" si="81"/>
        <v>2022</v>
      </c>
      <c r="AA115" s="325">
        <f t="shared" si="81"/>
        <v>2023</v>
      </c>
      <c r="AB115" s="325">
        <f t="shared" si="81"/>
        <v>2024</v>
      </c>
      <c r="AC115" s="325">
        <f t="shared" si="81"/>
        <v>2025</v>
      </c>
      <c r="AD115" s="325">
        <f t="shared" si="81"/>
        <v>2026</v>
      </c>
      <c r="AE115" s="325">
        <f t="shared" si="81"/>
        <v>2027</v>
      </c>
      <c r="AF115" s="325">
        <f t="shared" si="81"/>
        <v>2028</v>
      </c>
      <c r="AG115" s="325">
        <f t="shared" si="81"/>
        <v>2029</v>
      </c>
      <c r="AH115" s="325">
        <f t="shared" si="81"/>
        <v>2030</v>
      </c>
      <c r="AI115" s="325">
        <f t="shared" si="81"/>
        <v>2031</v>
      </c>
      <c r="AJ115" s="325">
        <f t="shared" si="81"/>
        <v>2032</v>
      </c>
      <c r="AK115" s="325">
        <f t="shared" si="81"/>
        <v>2033</v>
      </c>
      <c r="AL115" s="325">
        <f t="shared" si="81"/>
        <v>2034</v>
      </c>
      <c r="AM115" s="325">
        <f t="shared" si="81"/>
        <v>2035</v>
      </c>
      <c r="AN115" s="325">
        <f t="shared" si="81"/>
        <v>2036</v>
      </c>
      <c r="AO115" s="325">
        <f t="shared" si="81"/>
        <v>2037</v>
      </c>
      <c r="AP115" s="325">
        <f t="shared" si="81"/>
        <v>2038</v>
      </c>
      <c r="AQ115" s="325">
        <f t="shared" si="81"/>
        <v>2039</v>
      </c>
      <c r="AR115" s="325">
        <f t="shared" si="81"/>
        <v>2040</v>
      </c>
      <c r="AS115" s="325">
        <f t="shared" si="81"/>
        <v>2041</v>
      </c>
      <c r="AT115" s="325">
        <f t="shared" si="81"/>
        <v>2042</v>
      </c>
      <c r="AU115" s="325">
        <f t="shared" si="81"/>
        <v>2043</v>
      </c>
    </row>
    <row r="116" spans="1:47">
      <c r="E116" s="325"/>
      <c r="G116" s="39"/>
      <c r="H116" s="39"/>
      <c r="I116" s="39"/>
      <c r="J116" s="39"/>
      <c r="K116" s="39"/>
    </row>
    <row r="117" spans="1:47">
      <c r="A117" s="38" t="str">
        <f>$J$4&amp;"-"</f>
        <v>3Y-</v>
      </c>
      <c r="B117" s="38" t="s">
        <v>306</v>
      </c>
      <c r="C117" s="38" t="s">
        <v>153</v>
      </c>
      <c r="D117" s="186">
        <f>CapExEsc</f>
        <v>0.03</v>
      </c>
      <c r="E117" s="325"/>
      <c r="G117" s="36" t="s">
        <v>8</v>
      </c>
      <c r="H117" s="39"/>
      <c r="I117" s="39"/>
      <c r="J117" s="70"/>
      <c r="K117" s="39"/>
      <c r="L117" s="43" t="str">
        <f>"["&amp;CostBaseYr&amp;" $]"</f>
        <v>[2013 $]</v>
      </c>
      <c r="N117" s="52">
        <f ca="1">SUMIFS(OFFSET(Assumptions!$I$65,0,MATCH($A117,Configurations,0)-1,COUNT(Assumptions!$A$65:$A$84),1),Assumptions!$E$65:$E$84,$C117)</f>
        <v>350000</v>
      </c>
      <c r="O117" s="52"/>
      <c r="P117" s="322"/>
      <c r="Q117" s="52"/>
      <c r="R117" s="52">
        <f t="shared" ref="R117:AU117" ca="1" si="82">R118*IF($P117=0,$N117,$P117)*(1+$D117)^(R$8-CostBaseYr)</f>
        <v>360500</v>
      </c>
      <c r="S117" s="52">
        <f t="shared" ca="1" si="82"/>
        <v>0</v>
      </c>
      <c r="T117" s="52">
        <f t="shared" ca="1" si="82"/>
        <v>0</v>
      </c>
      <c r="U117" s="52">
        <f t="shared" ca="1" si="82"/>
        <v>0</v>
      </c>
      <c r="V117" s="52">
        <f t="shared" ca="1" si="82"/>
        <v>0</v>
      </c>
      <c r="W117" s="52">
        <f t="shared" ca="1" si="82"/>
        <v>0</v>
      </c>
      <c r="X117" s="52">
        <f t="shared" ca="1" si="82"/>
        <v>0</v>
      </c>
      <c r="Y117" s="52">
        <f t="shared" ca="1" si="82"/>
        <v>0</v>
      </c>
      <c r="Z117" s="52">
        <f t="shared" ca="1" si="82"/>
        <v>0</v>
      </c>
      <c r="AA117" s="52">
        <f t="shared" ca="1" si="82"/>
        <v>0</v>
      </c>
      <c r="AB117" s="52">
        <f t="shared" ca="1" si="82"/>
        <v>0</v>
      </c>
      <c r="AC117" s="52">
        <f t="shared" ca="1" si="82"/>
        <v>0</v>
      </c>
      <c r="AD117" s="52">
        <f t="shared" ca="1" si="82"/>
        <v>0</v>
      </c>
      <c r="AE117" s="52">
        <f t="shared" ca="1" si="82"/>
        <v>0</v>
      </c>
      <c r="AF117" s="52">
        <f t="shared" ca="1" si="82"/>
        <v>0</v>
      </c>
      <c r="AG117" s="52">
        <f t="shared" ca="1" si="82"/>
        <v>0</v>
      </c>
      <c r="AH117" s="52">
        <f t="shared" ca="1" si="82"/>
        <v>0</v>
      </c>
      <c r="AI117" s="52">
        <f t="shared" ca="1" si="82"/>
        <v>0</v>
      </c>
      <c r="AJ117" s="52">
        <f t="shared" ca="1" si="82"/>
        <v>0</v>
      </c>
      <c r="AK117" s="52">
        <f t="shared" ca="1" si="82"/>
        <v>0</v>
      </c>
      <c r="AL117" s="52">
        <f t="shared" ca="1" si="82"/>
        <v>0</v>
      </c>
      <c r="AM117" s="52">
        <f t="shared" ca="1" si="82"/>
        <v>0</v>
      </c>
      <c r="AN117" s="52">
        <f t="shared" ca="1" si="82"/>
        <v>0</v>
      </c>
      <c r="AO117" s="52">
        <f t="shared" ca="1" si="82"/>
        <v>0</v>
      </c>
      <c r="AP117" s="52">
        <f t="shared" ca="1" si="82"/>
        <v>0</v>
      </c>
      <c r="AQ117" s="52">
        <f t="shared" ca="1" si="82"/>
        <v>0</v>
      </c>
      <c r="AR117" s="52">
        <f t="shared" ca="1" si="82"/>
        <v>0</v>
      </c>
      <c r="AS117" s="52">
        <f t="shared" ca="1" si="82"/>
        <v>0</v>
      </c>
      <c r="AT117" s="52">
        <f t="shared" ca="1" si="82"/>
        <v>0</v>
      </c>
      <c r="AU117" s="52">
        <f t="shared" ca="1" si="82"/>
        <v>0</v>
      </c>
    </row>
    <row r="118" spans="1:47">
      <c r="E118" s="325"/>
      <c r="G118" s="36" t="s">
        <v>10</v>
      </c>
      <c r="H118" s="39"/>
      <c r="I118" s="39"/>
      <c r="J118" s="39"/>
      <c r="K118" s="39"/>
      <c r="L118" s="43"/>
      <c r="R118" s="54">
        <f>Assumptions!M$60</f>
        <v>1</v>
      </c>
      <c r="S118" s="54">
        <f>Assumptions!N$60</f>
        <v>0</v>
      </c>
      <c r="T118" s="54">
        <f>Assumptions!O$60</f>
        <v>0</v>
      </c>
      <c r="U118" s="54">
        <f>Assumptions!P$60</f>
        <v>0</v>
      </c>
      <c r="V118" s="54">
        <f>Assumptions!Q$60</f>
        <v>0</v>
      </c>
      <c r="W118" s="54">
        <f>Assumptions!R$60</f>
        <v>0</v>
      </c>
      <c r="X118" s="54">
        <f>Assumptions!S$60</f>
        <v>0</v>
      </c>
      <c r="Y118" s="54">
        <f>Assumptions!T$60</f>
        <v>0</v>
      </c>
      <c r="Z118" s="54">
        <f>Assumptions!U$60</f>
        <v>0</v>
      </c>
      <c r="AA118" s="54">
        <f>Assumptions!V$60</f>
        <v>0</v>
      </c>
      <c r="AB118" s="54">
        <f>Assumptions!W$60</f>
        <v>0</v>
      </c>
      <c r="AC118" s="54">
        <f>Assumptions!X$60</f>
        <v>0</v>
      </c>
      <c r="AD118" s="54">
        <f>Assumptions!Y$60</f>
        <v>0</v>
      </c>
      <c r="AE118" s="54">
        <f>Assumptions!Z$60</f>
        <v>0</v>
      </c>
      <c r="AF118" s="54">
        <f>Assumptions!AA$60</f>
        <v>0</v>
      </c>
      <c r="AG118" s="54">
        <f>Assumptions!AB$60</f>
        <v>0</v>
      </c>
      <c r="AH118" s="54">
        <f>Assumptions!AC$60</f>
        <v>0</v>
      </c>
      <c r="AI118" s="54">
        <f>Assumptions!AD$60</f>
        <v>0</v>
      </c>
      <c r="AJ118" s="54">
        <f>Assumptions!AE$60</f>
        <v>0</v>
      </c>
      <c r="AK118" s="54">
        <f>Assumptions!AF$60</f>
        <v>0</v>
      </c>
      <c r="AL118" s="54">
        <f>Assumptions!AG$60</f>
        <v>0</v>
      </c>
      <c r="AM118" s="54">
        <f>Assumptions!AH$60</f>
        <v>0</v>
      </c>
      <c r="AN118" s="54">
        <f>Assumptions!AI$60</f>
        <v>0</v>
      </c>
      <c r="AO118" s="54">
        <f>Assumptions!AJ$60</f>
        <v>0</v>
      </c>
      <c r="AP118" s="54">
        <f>Assumptions!AK$60</f>
        <v>0</v>
      </c>
      <c r="AQ118" s="54">
        <f>Assumptions!AL$60</f>
        <v>0</v>
      </c>
      <c r="AR118" s="54">
        <f>Assumptions!AM$60</f>
        <v>0</v>
      </c>
      <c r="AS118" s="54">
        <f>Assumptions!AN$60</f>
        <v>0</v>
      </c>
      <c r="AT118" s="54">
        <f>Assumptions!AO$60</f>
        <v>0</v>
      </c>
      <c r="AU118" s="54">
        <f>Assumptions!AP$60</f>
        <v>0</v>
      </c>
    </row>
    <row r="119" spans="1:47">
      <c r="E119" s="326"/>
      <c r="G119" s="39"/>
      <c r="H119" s="39"/>
      <c r="I119" s="39"/>
      <c r="J119" s="39"/>
      <c r="K119" s="39"/>
    </row>
    <row r="120" spans="1:47" s="255" customFormat="1">
      <c r="E120" s="327"/>
      <c r="F120" s="28"/>
      <c r="G120" s="324" t="str">
        <f>C117&amp;" O&amp;M"</f>
        <v>Ash Conveyance &amp; Storage O&amp;M</v>
      </c>
      <c r="H120" s="324"/>
      <c r="I120" s="324"/>
      <c r="J120" s="324"/>
      <c r="K120" s="324"/>
      <c r="L120" s="405" t="s">
        <v>79</v>
      </c>
      <c r="M120" s="256"/>
      <c r="N120" s="325" t="s">
        <v>490</v>
      </c>
      <c r="O120" s="311"/>
      <c r="P120" s="325" t="s">
        <v>491</v>
      </c>
      <c r="Q120" s="310"/>
      <c r="R120" s="325">
        <f>R$8</f>
        <v>2014</v>
      </c>
      <c r="S120" s="325">
        <f t="shared" ref="S120:AU120" si="83">S$8</f>
        <v>2015</v>
      </c>
      <c r="T120" s="325">
        <f t="shared" si="83"/>
        <v>2016</v>
      </c>
      <c r="U120" s="325">
        <f t="shared" si="83"/>
        <v>2017</v>
      </c>
      <c r="V120" s="325">
        <f t="shared" si="83"/>
        <v>2018</v>
      </c>
      <c r="W120" s="325">
        <f t="shared" si="83"/>
        <v>2019</v>
      </c>
      <c r="X120" s="325">
        <f t="shared" si="83"/>
        <v>2020</v>
      </c>
      <c r="Y120" s="325">
        <f t="shared" si="83"/>
        <v>2021</v>
      </c>
      <c r="Z120" s="325">
        <f t="shared" si="83"/>
        <v>2022</v>
      </c>
      <c r="AA120" s="325">
        <f t="shared" si="83"/>
        <v>2023</v>
      </c>
      <c r="AB120" s="325">
        <f t="shared" si="83"/>
        <v>2024</v>
      </c>
      <c r="AC120" s="325">
        <f t="shared" si="83"/>
        <v>2025</v>
      </c>
      <c r="AD120" s="325">
        <f t="shared" si="83"/>
        <v>2026</v>
      </c>
      <c r="AE120" s="325">
        <f t="shared" si="83"/>
        <v>2027</v>
      </c>
      <c r="AF120" s="325">
        <f t="shared" si="83"/>
        <v>2028</v>
      </c>
      <c r="AG120" s="325">
        <f t="shared" si="83"/>
        <v>2029</v>
      </c>
      <c r="AH120" s="325">
        <f t="shared" si="83"/>
        <v>2030</v>
      </c>
      <c r="AI120" s="325">
        <f t="shared" si="83"/>
        <v>2031</v>
      </c>
      <c r="AJ120" s="325">
        <f t="shared" si="83"/>
        <v>2032</v>
      </c>
      <c r="AK120" s="325">
        <f t="shared" si="83"/>
        <v>2033</v>
      </c>
      <c r="AL120" s="325">
        <f t="shared" si="83"/>
        <v>2034</v>
      </c>
      <c r="AM120" s="325">
        <f t="shared" si="83"/>
        <v>2035</v>
      </c>
      <c r="AN120" s="325">
        <f t="shared" si="83"/>
        <v>2036</v>
      </c>
      <c r="AO120" s="325">
        <f t="shared" si="83"/>
        <v>2037</v>
      </c>
      <c r="AP120" s="325">
        <f t="shared" si="83"/>
        <v>2038</v>
      </c>
      <c r="AQ120" s="325">
        <f t="shared" si="83"/>
        <v>2039</v>
      </c>
      <c r="AR120" s="325">
        <f t="shared" si="83"/>
        <v>2040</v>
      </c>
      <c r="AS120" s="325">
        <f t="shared" si="83"/>
        <v>2041</v>
      </c>
      <c r="AT120" s="325">
        <f t="shared" si="83"/>
        <v>2042</v>
      </c>
      <c r="AU120" s="325">
        <f t="shared" si="83"/>
        <v>2043</v>
      </c>
    </row>
    <row r="121" spans="1:47">
      <c r="E121" s="325"/>
      <c r="G121" s="39"/>
      <c r="H121" s="39"/>
      <c r="I121" s="39"/>
      <c r="J121" s="39"/>
      <c r="K121" s="39"/>
    </row>
    <row r="122" spans="1:47">
      <c r="E122" s="325"/>
      <c r="G122" s="39" t="s">
        <v>23</v>
      </c>
      <c r="H122" s="39"/>
      <c r="I122" s="39"/>
      <c r="J122" s="39"/>
      <c r="K122" s="39"/>
    </row>
    <row r="123" spans="1:47">
      <c r="A123" s="38" t="str">
        <f t="shared" ref="A123:A130" si="84">$J$4&amp;"-"</f>
        <v>3Y-</v>
      </c>
      <c r="B123" s="38" t="s">
        <v>262</v>
      </c>
      <c r="C123" s="38" t="str">
        <f>C117</f>
        <v>Ash Conveyance &amp; Storage</v>
      </c>
      <c r="D123" s="186">
        <f>LaborEsc</f>
        <v>0.02</v>
      </c>
      <c r="E123" s="325"/>
      <c r="G123" s="36" t="s">
        <v>125</v>
      </c>
      <c r="I123" s="39"/>
      <c r="K123" s="39"/>
      <c r="L123" s="43" t="s">
        <v>266</v>
      </c>
      <c r="N123" s="70">
        <f ca="1">SUMIFS(OFFSET(Assumptions!$I$90,0,MATCH($A123,Configurations,0)-1,COUNT(Assumptions!$A$90:$A$183),1),Assumptions!$D$90:$D$183,$B123&amp;$C123)</f>
        <v>0</v>
      </c>
      <c r="O123" s="313"/>
      <c r="P123" s="323"/>
      <c r="Q123" s="313"/>
      <c r="R123" s="50">
        <f t="shared" ref="R123:AU123" ca="1" si="85">IF(OR(R$99&lt;InServiceYr,R$99&gt;(InServiceYr+analysis_period-1)),0,IF($P123=0,$N123,$P123)*LaborCost*(1+$D123)^(R$99-CostBaseYr))</f>
        <v>0</v>
      </c>
      <c r="S123" s="50">
        <f t="shared" ca="1" si="85"/>
        <v>0</v>
      </c>
      <c r="T123" s="50">
        <f t="shared" ca="1" si="85"/>
        <v>0</v>
      </c>
      <c r="U123" s="50">
        <f t="shared" ca="1" si="85"/>
        <v>0</v>
      </c>
      <c r="V123" s="50">
        <f t="shared" ca="1" si="85"/>
        <v>0</v>
      </c>
      <c r="W123" s="50">
        <f t="shared" ca="1" si="85"/>
        <v>0</v>
      </c>
      <c r="X123" s="50">
        <f t="shared" ca="1" si="85"/>
        <v>0</v>
      </c>
      <c r="Y123" s="50">
        <f t="shared" ca="1" si="85"/>
        <v>0</v>
      </c>
      <c r="Z123" s="50">
        <f t="shared" ca="1" si="85"/>
        <v>0</v>
      </c>
      <c r="AA123" s="50">
        <f t="shared" ca="1" si="85"/>
        <v>0</v>
      </c>
      <c r="AB123" s="50">
        <f t="shared" ca="1" si="85"/>
        <v>0</v>
      </c>
      <c r="AC123" s="50">
        <f t="shared" ca="1" si="85"/>
        <v>0</v>
      </c>
      <c r="AD123" s="50">
        <f t="shared" ca="1" si="85"/>
        <v>0</v>
      </c>
      <c r="AE123" s="50">
        <f t="shared" ca="1" si="85"/>
        <v>0</v>
      </c>
      <c r="AF123" s="50">
        <f t="shared" ca="1" si="85"/>
        <v>0</v>
      </c>
      <c r="AG123" s="50">
        <f t="shared" ca="1" si="85"/>
        <v>0</v>
      </c>
      <c r="AH123" s="50">
        <f t="shared" ca="1" si="85"/>
        <v>0</v>
      </c>
      <c r="AI123" s="50">
        <f t="shared" ca="1" si="85"/>
        <v>0</v>
      </c>
      <c r="AJ123" s="50">
        <f t="shared" ca="1" si="85"/>
        <v>0</v>
      </c>
      <c r="AK123" s="50">
        <f t="shared" ca="1" si="85"/>
        <v>0</v>
      </c>
      <c r="AL123" s="50">
        <f t="shared" si="85"/>
        <v>0</v>
      </c>
      <c r="AM123" s="50">
        <f t="shared" si="85"/>
        <v>0</v>
      </c>
      <c r="AN123" s="50">
        <f t="shared" si="85"/>
        <v>0</v>
      </c>
      <c r="AO123" s="50">
        <f t="shared" si="85"/>
        <v>0</v>
      </c>
      <c r="AP123" s="50">
        <f t="shared" si="85"/>
        <v>0</v>
      </c>
      <c r="AQ123" s="50">
        <f t="shared" si="85"/>
        <v>0</v>
      </c>
      <c r="AR123" s="50">
        <f t="shared" si="85"/>
        <v>0</v>
      </c>
      <c r="AS123" s="50">
        <f t="shared" si="85"/>
        <v>0</v>
      </c>
      <c r="AT123" s="50">
        <f t="shared" si="85"/>
        <v>0</v>
      </c>
      <c r="AU123" s="50">
        <f t="shared" si="85"/>
        <v>0</v>
      </c>
    </row>
    <row r="124" spans="1:47">
      <c r="A124" s="38" t="str">
        <f t="shared" si="84"/>
        <v>3Y-</v>
      </c>
      <c r="B124" s="38" t="s">
        <v>270</v>
      </c>
      <c r="C124" s="38" t="str">
        <f>C123</f>
        <v>Ash Conveyance &amp; Storage</v>
      </c>
      <c r="D124" s="186">
        <f>OMEsc</f>
        <v>0.02</v>
      </c>
      <c r="E124" s="325"/>
      <c r="G124" s="36" t="s">
        <v>126</v>
      </c>
      <c r="I124" s="39"/>
      <c r="K124" s="39"/>
      <c r="L124" s="43" t="str">
        <f>"["&amp;CostBaseYr&amp;" $]"</f>
        <v>[2013 $]</v>
      </c>
      <c r="N124" s="70">
        <f ca="1">SUMIFS(OFFSET(Assumptions!$I$90,0,MATCH($A124,Configurations,0)-1,COUNT(Assumptions!$A$90:$A$183),1),Assumptions!$D$90:$D$183,$B124&amp;$C124)</f>
        <v>2000</v>
      </c>
      <c r="O124" s="313"/>
      <c r="P124" s="323"/>
      <c r="Q124" s="313"/>
      <c r="R124" s="50">
        <f t="shared" ref="R124:AG126" ca="1" si="86">IF(OR(R$99&lt;InServiceYr,R$99&gt;(InServiceYr+analysis_period-1)),0,IF($P124=0,$N124,$P124)*(1+$D124)^(R$99-CostBaseYr))</f>
        <v>2040</v>
      </c>
      <c r="S124" s="50">
        <f t="shared" ca="1" si="86"/>
        <v>2080.8000000000002</v>
      </c>
      <c r="T124" s="50">
        <f t="shared" ca="1" si="86"/>
        <v>2122.4159999999997</v>
      </c>
      <c r="U124" s="50">
        <f t="shared" ca="1" si="86"/>
        <v>2164.8643200000001</v>
      </c>
      <c r="V124" s="50">
        <f t="shared" ca="1" si="86"/>
        <v>2208.1616064</v>
      </c>
      <c r="W124" s="50">
        <f t="shared" ca="1" si="86"/>
        <v>2252.3248385280003</v>
      </c>
      <c r="X124" s="50">
        <f t="shared" ca="1" si="86"/>
        <v>2297.3713352985596</v>
      </c>
      <c r="Y124" s="50">
        <f t="shared" ca="1" si="86"/>
        <v>2343.318762004531</v>
      </c>
      <c r="Z124" s="50">
        <f t="shared" ca="1" si="86"/>
        <v>2390.1851372446217</v>
      </c>
      <c r="AA124" s="50">
        <f t="shared" ca="1" si="86"/>
        <v>2437.9888399895144</v>
      </c>
      <c r="AB124" s="50">
        <f t="shared" ca="1" si="86"/>
        <v>2486.7486167893039</v>
      </c>
      <c r="AC124" s="50">
        <f t="shared" ca="1" si="86"/>
        <v>2536.4835891250905</v>
      </c>
      <c r="AD124" s="50">
        <f t="shared" ca="1" si="86"/>
        <v>2587.213260907592</v>
      </c>
      <c r="AE124" s="50">
        <f t="shared" ca="1" si="86"/>
        <v>2638.9575261257442</v>
      </c>
      <c r="AF124" s="50">
        <f t="shared" ca="1" si="86"/>
        <v>2691.7366766482583</v>
      </c>
      <c r="AG124" s="50">
        <f t="shared" ca="1" si="86"/>
        <v>2745.5714101812241</v>
      </c>
      <c r="AH124" s="50">
        <f t="shared" ref="S124:AU126" ca="1" si="87">IF(OR(AH$99&lt;InServiceYr,AH$99&gt;(InServiceYr+analysis_period-1)),0,IF($P124=0,$N124,$P124)*(1+$D124)^(AH$99-CostBaseYr))</f>
        <v>2800.4828383848489</v>
      </c>
      <c r="AI124" s="50">
        <f t="shared" ca="1" si="87"/>
        <v>2856.4924951525454</v>
      </c>
      <c r="AJ124" s="50">
        <f t="shared" ca="1" si="87"/>
        <v>2913.6223450555963</v>
      </c>
      <c r="AK124" s="50">
        <f t="shared" ca="1" si="87"/>
        <v>2971.8947919567086</v>
      </c>
      <c r="AL124" s="50">
        <f t="shared" si="87"/>
        <v>0</v>
      </c>
      <c r="AM124" s="50">
        <f t="shared" si="87"/>
        <v>0</v>
      </c>
      <c r="AN124" s="50">
        <f t="shared" si="87"/>
        <v>0</v>
      </c>
      <c r="AO124" s="50">
        <f t="shared" si="87"/>
        <v>0</v>
      </c>
      <c r="AP124" s="50">
        <f t="shared" si="87"/>
        <v>0</v>
      </c>
      <c r="AQ124" s="50">
        <f t="shared" si="87"/>
        <v>0</v>
      </c>
      <c r="AR124" s="50">
        <f t="shared" si="87"/>
        <v>0</v>
      </c>
      <c r="AS124" s="50">
        <f t="shared" si="87"/>
        <v>0</v>
      </c>
      <c r="AT124" s="50">
        <f t="shared" si="87"/>
        <v>0</v>
      </c>
      <c r="AU124" s="50">
        <f t="shared" si="87"/>
        <v>0</v>
      </c>
    </row>
    <row r="125" spans="1:47">
      <c r="A125" s="38" t="str">
        <f t="shared" si="84"/>
        <v>3Y-</v>
      </c>
      <c r="B125" s="38" t="s">
        <v>263</v>
      </c>
      <c r="C125" s="38" t="str">
        <f t="shared" ref="C125:C129" si="88">C124</f>
        <v>Ash Conveyance &amp; Storage</v>
      </c>
      <c r="D125" s="186">
        <f>OMEsc</f>
        <v>0.02</v>
      </c>
      <c r="E125" s="325"/>
      <c r="G125" s="36" t="s">
        <v>127</v>
      </c>
      <c r="I125" s="39"/>
      <c r="K125" s="39"/>
      <c r="L125" s="43" t="str">
        <f>"["&amp;CostBaseYr&amp;" $]"</f>
        <v>[2013 $]</v>
      </c>
      <c r="N125" s="70">
        <f ca="1">SUMIFS(OFFSET(Assumptions!$I$90,0,MATCH($A125,Configurations,0)-1,COUNT(Assumptions!$A$90:$A$183),1),Assumptions!$D$90:$D$183,$B125&amp;$C125)</f>
        <v>0</v>
      </c>
      <c r="O125" s="313"/>
      <c r="P125" s="323"/>
      <c r="Q125" s="313"/>
      <c r="R125" s="50">
        <f t="shared" ca="1" si="86"/>
        <v>0</v>
      </c>
      <c r="S125" s="50">
        <f t="shared" ca="1" si="87"/>
        <v>0</v>
      </c>
      <c r="T125" s="50">
        <f t="shared" ca="1" si="87"/>
        <v>0</v>
      </c>
      <c r="U125" s="50">
        <f t="shared" ca="1" si="87"/>
        <v>0</v>
      </c>
      <c r="V125" s="50">
        <f t="shared" ca="1" si="87"/>
        <v>0</v>
      </c>
      <c r="W125" s="50">
        <f t="shared" ca="1" si="87"/>
        <v>0</v>
      </c>
      <c r="X125" s="50">
        <f t="shared" ca="1" si="87"/>
        <v>0</v>
      </c>
      <c r="Y125" s="50">
        <f t="shared" ca="1" si="87"/>
        <v>0</v>
      </c>
      <c r="Z125" s="50">
        <f t="shared" ca="1" si="87"/>
        <v>0</v>
      </c>
      <c r="AA125" s="50">
        <f t="shared" ca="1" si="87"/>
        <v>0</v>
      </c>
      <c r="AB125" s="50">
        <f t="shared" ca="1" si="87"/>
        <v>0</v>
      </c>
      <c r="AC125" s="50">
        <f t="shared" ca="1" si="87"/>
        <v>0</v>
      </c>
      <c r="AD125" s="50">
        <f t="shared" ca="1" si="87"/>
        <v>0</v>
      </c>
      <c r="AE125" s="50">
        <f t="shared" ca="1" si="87"/>
        <v>0</v>
      </c>
      <c r="AF125" s="50">
        <f t="shared" ca="1" si="87"/>
        <v>0</v>
      </c>
      <c r="AG125" s="50">
        <f t="shared" ca="1" si="87"/>
        <v>0</v>
      </c>
      <c r="AH125" s="50">
        <f t="shared" ca="1" si="87"/>
        <v>0</v>
      </c>
      <c r="AI125" s="50">
        <f t="shared" ca="1" si="87"/>
        <v>0</v>
      </c>
      <c r="AJ125" s="50">
        <f t="shared" ca="1" si="87"/>
        <v>0</v>
      </c>
      <c r="AK125" s="50">
        <f t="shared" ca="1" si="87"/>
        <v>0</v>
      </c>
      <c r="AL125" s="50">
        <f t="shared" si="87"/>
        <v>0</v>
      </c>
      <c r="AM125" s="50">
        <f t="shared" si="87"/>
        <v>0</v>
      </c>
      <c r="AN125" s="50">
        <f t="shared" si="87"/>
        <v>0</v>
      </c>
      <c r="AO125" s="50">
        <f t="shared" si="87"/>
        <v>0</v>
      </c>
      <c r="AP125" s="50">
        <f t="shared" si="87"/>
        <v>0</v>
      </c>
      <c r="AQ125" s="50">
        <f t="shared" si="87"/>
        <v>0</v>
      </c>
      <c r="AR125" s="50">
        <f t="shared" si="87"/>
        <v>0</v>
      </c>
      <c r="AS125" s="50">
        <f t="shared" si="87"/>
        <v>0</v>
      </c>
      <c r="AT125" s="50">
        <f t="shared" si="87"/>
        <v>0</v>
      </c>
      <c r="AU125" s="50">
        <f t="shared" si="87"/>
        <v>0</v>
      </c>
    </row>
    <row r="126" spans="1:47">
      <c r="A126" s="38" t="str">
        <f t="shared" si="84"/>
        <v>3Y-</v>
      </c>
      <c r="B126" s="38" t="s">
        <v>277</v>
      </c>
      <c r="C126" s="38" t="str">
        <f t="shared" si="88"/>
        <v>Ash Conveyance &amp; Storage</v>
      </c>
      <c r="D126" s="186">
        <f>OMEsc</f>
        <v>0.02</v>
      </c>
      <c r="E126" s="325"/>
      <c r="G126" s="36" t="s">
        <v>276</v>
      </c>
      <c r="I126" s="39"/>
      <c r="K126" s="39"/>
      <c r="L126" s="43" t="str">
        <f>"["&amp;CostBaseYr&amp;" $]"</f>
        <v>[2013 $]</v>
      </c>
      <c r="N126" s="70">
        <f ca="1">SUMIFS(OFFSET(Assumptions!$I$90,0,MATCH($A126,Configurations,0)-1,COUNT(Assumptions!$A$90:$A$183),1),Assumptions!$D$90:$D$183,$B126&amp;$C126)</f>
        <v>100000</v>
      </c>
      <c r="O126" s="313"/>
      <c r="P126" s="323"/>
      <c r="Q126" s="313"/>
      <c r="R126" s="50">
        <f t="shared" ca="1" si="86"/>
        <v>102000</v>
      </c>
      <c r="S126" s="50">
        <f t="shared" ca="1" si="87"/>
        <v>104040</v>
      </c>
      <c r="T126" s="50">
        <f t="shared" ca="1" si="87"/>
        <v>106120.79999999999</v>
      </c>
      <c r="U126" s="50">
        <f t="shared" ca="1" si="87"/>
        <v>108243.216</v>
      </c>
      <c r="V126" s="50">
        <f t="shared" ca="1" si="87"/>
        <v>110408.08032000001</v>
      </c>
      <c r="W126" s="50">
        <f t="shared" ca="1" si="87"/>
        <v>112616.24192640001</v>
      </c>
      <c r="X126" s="50">
        <f t="shared" ca="1" si="87"/>
        <v>114868.56676492798</v>
      </c>
      <c r="Y126" s="50">
        <f t="shared" ca="1" si="87"/>
        <v>117165.93810022656</v>
      </c>
      <c r="Z126" s="50">
        <f t="shared" ca="1" si="87"/>
        <v>119509.25686223108</v>
      </c>
      <c r="AA126" s="50">
        <f t="shared" ca="1" si="87"/>
        <v>121899.4419994757</v>
      </c>
      <c r="AB126" s="50">
        <f t="shared" ca="1" si="87"/>
        <v>124337.4308394652</v>
      </c>
      <c r="AC126" s="50">
        <f t="shared" ca="1" si="87"/>
        <v>126824.17945625453</v>
      </c>
      <c r="AD126" s="50">
        <f t="shared" ca="1" si="87"/>
        <v>129360.66304537961</v>
      </c>
      <c r="AE126" s="50">
        <f t="shared" ca="1" si="87"/>
        <v>131947.87630628722</v>
      </c>
      <c r="AF126" s="50">
        <f t="shared" ca="1" si="87"/>
        <v>134586.83383241293</v>
      </c>
      <c r="AG126" s="50">
        <f t="shared" ca="1" si="87"/>
        <v>137278.57050906122</v>
      </c>
      <c r="AH126" s="50">
        <f t="shared" ca="1" si="87"/>
        <v>140024.14191924245</v>
      </c>
      <c r="AI126" s="50">
        <f t="shared" ca="1" si="87"/>
        <v>142824.62475762726</v>
      </c>
      <c r="AJ126" s="50">
        <f t="shared" ca="1" si="87"/>
        <v>145681.1172527798</v>
      </c>
      <c r="AK126" s="50">
        <f t="shared" ca="1" si="87"/>
        <v>148594.73959783543</v>
      </c>
      <c r="AL126" s="50">
        <f t="shared" si="87"/>
        <v>0</v>
      </c>
      <c r="AM126" s="50">
        <f t="shared" si="87"/>
        <v>0</v>
      </c>
      <c r="AN126" s="50">
        <f t="shared" si="87"/>
        <v>0</v>
      </c>
      <c r="AO126" s="50">
        <f t="shared" si="87"/>
        <v>0</v>
      </c>
      <c r="AP126" s="50">
        <f t="shared" si="87"/>
        <v>0</v>
      </c>
      <c r="AQ126" s="50">
        <f t="shared" si="87"/>
        <v>0</v>
      </c>
      <c r="AR126" s="50">
        <f t="shared" si="87"/>
        <v>0</v>
      </c>
      <c r="AS126" s="50">
        <f t="shared" si="87"/>
        <v>0</v>
      </c>
      <c r="AT126" s="50">
        <f t="shared" si="87"/>
        <v>0</v>
      </c>
      <c r="AU126" s="50">
        <f t="shared" si="87"/>
        <v>0</v>
      </c>
    </row>
    <row r="127" spans="1:47">
      <c r="A127" s="38" t="str">
        <f t="shared" si="84"/>
        <v>3Y-</v>
      </c>
      <c r="B127" s="38" t="s">
        <v>274</v>
      </c>
      <c r="C127" s="38" t="str">
        <f t="shared" si="88"/>
        <v>Ash Conveyance &amp; Storage</v>
      </c>
      <c r="D127" s="186"/>
      <c r="E127" s="325"/>
      <c r="G127" s="36" t="s">
        <v>16</v>
      </c>
      <c r="I127" s="39"/>
      <c r="K127" s="39"/>
      <c r="L127" s="43" t="s">
        <v>275</v>
      </c>
      <c r="N127" s="70">
        <f ca="1">SUMIFS(OFFSET(Assumptions!$I$90,0,MATCH($A127,Configurations,0)-1,COUNT(Assumptions!$A$90:$A$183),1),Assumptions!$D$90:$D$183,$B127&amp;$C127)</f>
        <v>0</v>
      </c>
      <c r="O127" s="313"/>
      <c r="P127" s="323"/>
      <c r="Q127" s="313"/>
      <c r="R127" s="50">
        <f t="shared" ref="R127:AU127" ca="1" si="89">IF(OR(R$99&lt;InServiceYr,R$99&gt;(InServiceYr+analysis_period-1)),0,IF($P127=0,$N127,$P127)*R$505)</f>
        <v>0</v>
      </c>
      <c r="S127" s="50">
        <f t="shared" ca="1" si="89"/>
        <v>0</v>
      </c>
      <c r="T127" s="50">
        <f t="shared" ca="1" si="89"/>
        <v>0</v>
      </c>
      <c r="U127" s="50">
        <f t="shared" ca="1" si="89"/>
        <v>0</v>
      </c>
      <c r="V127" s="50">
        <f t="shared" ca="1" si="89"/>
        <v>0</v>
      </c>
      <c r="W127" s="50">
        <f t="shared" ca="1" si="89"/>
        <v>0</v>
      </c>
      <c r="X127" s="50">
        <f t="shared" ca="1" si="89"/>
        <v>0</v>
      </c>
      <c r="Y127" s="50">
        <f t="shared" ca="1" si="89"/>
        <v>0</v>
      </c>
      <c r="Z127" s="50">
        <f t="shared" ca="1" si="89"/>
        <v>0</v>
      </c>
      <c r="AA127" s="50">
        <f t="shared" ca="1" si="89"/>
        <v>0</v>
      </c>
      <c r="AB127" s="50">
        <f t="shared" ca="1" si="89"/>
        <v>0</v>
      </c>
      <c r="AC127" s="50">
        <f t="shared" ca="1" si="89"/>
        <v>0</v>
      </c>
      <c r="AD127" s="50">
        <f t="shared" ca="1" si="89"/>
        <v>0</v>
      </c>
      <c r="AE127" s="50">
        <f t="shared" ca="1" si="89"/>
        <v>0</v>
      </c>
      <c r="AF127" s="50">
        <f t="shared" ca="1" si="89"/>
        <v>0</v>
      </c>
      <c r="AG127" s="50">
        <f t="shared" ca="1" si="89"/>
        <v>0</v>
      </c>
      <c r="AH127" s="50">
        <f t="shared" ca="1" si="89"/>
        <v>0</v>
      </c>
      <c r="AI127" s="50">
        <f t="shared" ca="1" si="89"/>
        <v>0</v>
      </c>
      <c r="AJ127" s="50">
        <f t="shared" ca="1" si="89"/>
        <v>0</v>
      </c>
      <c r="AK127" s="50">
        <f t="shared" ca="1" si="89"/>
        <v>0</v>
      </c>
      <c r="AL127" s="50">
        <f t="shared" si="89"/>
        <v>0</v>
      </c>
      <c r="AM127" s="50">
        <f t="shared" si="89"/>
        <v>0</v>
      </c>
      <c r="AN127" s="50">
        <f t="shared" si="89"/>
        <v>0</v>
      </c>
      <c r="AO127" s="50">
        <f t="shared" si="89"/>
        <v>0</v>
      </c>
      <c r="AP127" s="50">
        <f t="shared" si="89"/>
        <v>0</v>
      </c>
      <c r="AQ127" s="50">
        <f t="shared" si="89"/>
        <v>0</v>
      </c>
      <c r="AR127" s="50">
        <f t="shared" si="89"/>
        <v>0</v>
      </c>
      <c r="AS127" s="50">
        <f t="shared" si="89"/>
        <v>0</v>
      </c>
      <c r="AT127" s="50">
        <f t="shared" si="89"/>
        <v>0</v>
      </c>
      <c r="AU127" s="50">
        <f t="shared" si="89"/>
        <v>0</v>
      </c>
    </row>
    <row r="128" spans="1:47">
      <c r="A128" s="38" t="str">
        <f t="shared" si="84"/>
        <v>3Y-</v>
      </c>
      <c r="B128" s="38" t="s">
        <v>257</v>
      </c>
      <c r="C128" s="38" t="str">
        <f t="shared" si="88"/>
        <v>Ash Conveyance &amp; Storage</v>
      </c>
      <c r="D128" s="186"/>
      <c r="E128" s="325"/>
      <c r="G128" s="36" t="s">
        <v>284</v>
      </c>
      <c r="I128" s="39"/>
      <c r="K128" s="39"/>
      <c r="L128" s="43" t="s">
        <v>293</v>
      </c>
      <c r="N128" s="70">
        <f ca="1">SUMIFS(OFFSET(Assumptions!$I$90,0,MATCH($A128,Configurations,0)-1,COUNT(Assumptions!$A$90:$A$183),1),Assumptions!$D$90:$D$183,$B128&amp;$C128)</f>
        <v>0</v>
      </c>
      <c r="O128" s="313"/>
      <c r="P128" s="323"/>
      <c r="Q128" s="313"/>
      <c r="R128" s="50">
        <f t="shared" ref="R128:AU128" ca="1" si="90">IF(OR(R$99&lt;InServiceYr,R$99&gt;(InServiceYr+analysis_period-1)),0,IF($P128=0,$N128,$P128)*R$501)</f>
        <v>0</v>
      </c>
      <c r="S128" s="50">
        <f t="shared" ca="1" si="90"/>
        <v>0</v>
      </c>
      <c r="T128" s="50">
        <f t="shared" ca="1" si="90"/>
        <v>0</v>
      </c>
      <c r="U128" s="50">
        <f t="shared" ca="1" si="90"/>
        <v>0</v>
      </c>
      <c r="V128" s="50">
        <f t="shared" ca="1" si="90"/>
        <v>0</v>
      </c>
      <c r="W128" s="50">
        <f t="shared" ca="1" si="90"/>
        <v>0</v>
      </c>
      <c r="X128" s="50">
        <f t="shared" ca="1" si="90"/>
        <v>0</v>
      </c>
      <c r="Y128" s="50">
        <f t="shared" ca="1" si="90"/>
        <v>0</v>
      </c>
      <c r="Z128" s="50">
        <f t="shared" ca="1" si="90"/>
        <v>0</v>
      </c>
      <c r="AA128" s="50">
        <f t="shared" ca="1" si="90"/>
        <v>0</v>
      </c>
      <c r="AB128" s="50">
        <f t="shared" ca="1" si="90"/>
        <v>0</v>
      </c>
      <c r="AC128" s="50">
        <f t="shared" ca="1" si="90"/>
        <v>0</v>
      </c>
      <c r="AD128" s="50">
        <f t="shared" ca="1" si="90"/>
        <v>0</v>
      </c>
      <c r="AE128" s="50">
        <f t="shared" ca="1" si="90"/>
        <v>0</v>
      </c>
      <c r="AF128" s="50">
        <f t="shared" ca="1" si="90"/>
        <v>0</v>
      </c>
      <c r="AG128" s="50">
        <f t="shared" ca="1" si="90"/>
        <v>0</v>
      </c>
      <c r="AH128" s="50">
        <f t="shared" ca="1" si="90"/>
        <v>0</v>
      </c>
      <c r="AI128" s="50">
        <f t="shared" ca="1" si="90"/>
        <v>0</v>
      </c>
      <c r="AJ128" s="50">
        <f t="shared" ca="1" si="90"/>
        <v>0</v>
      </c>
      <c r="AK128" s="50">
        <f t="shared" ca="1" si="90"/>
        <v>0</v>
      </c>
      <c r="AL128" s="50">
        <f t="shared" si="90"/>
        <v>0</v>
      </c>
      <c r="AM128" s="50">
        <f t="shared" si="90"/>
        <v>0</v>
      </c>
      <c r="AN128" s="50">
        <f t="shared" si="90"/>
        <v>0</v>
      </c>
      <c r="AO128" s="50">
        <f t="shared" si="90"/>
        <v>0</v>
      </c>
      <c r="AP128" s="50">
        <f t="shared" si="90"/>
        <v>0</v>
      </c>
      <c r="AQ128" s="50">
        <f t="shared" si="90"/>
        <v>0</v>
      </c>
      <c r="AR128" s="50">
        <f t="shared" si="90"/>
        <v>0</v>
      </c>
      <c r="AS128" s="50">
        <f t="shared" si="90"/>
        <v>0</v>
      </c>
      <c r="AT128" s="50">
        <f t="shared" si="90"/>
        <v>0</v>
      </c>
      <c r="AU128" s="50">
        <f t="shared" si="90"/>
        <v>0</v>
      </c>
    </row>
    <row r="129" spans="1:47">
      <c r="A129" s="38" t="str">
        <f t="shared" si="84"/>
        <v>3Y-</v>
      </c>
      <c r="B129" s="38" t="s">
        <v>864</v>
      </c>
      <c r="C129" s="38" t="str">
        <f t="shared" si="88"/>
        <v>Ash Conveyance &amp; Storage</v>
      </c>
      <c r="D129" s="186">
        <f>GHGEsc</f>
        <v>0.02</v>
      </c>
      <c r="E129" s="325"/>
      <c r="G129" s="36" t="s">
        <v>865</v>
      </c>
      <c r="I129" s="39"/>
      <c r="K129" s="39"/>
      <c r="L129" s="43" t="s">
        <v>866</v>
      </c>
      <c r="N129" s="70">
        <f ca="1">SUMIFS(OFFSET(Assumptions!$I$90,0,MATCH($A129,Configurations,0)-1,COUNT(Assumptions!$A$90:$A$183),1),Assumptions!$D$90:$D$183,$B129&amp;$C129)</f>
        <v>0</v>
      </c>
      <c r="O129" s="313"/>
      <c r="P129" s="323"/>
      <c r="Q129" s="313"/>
      <c r="R129" s="50">
        <f t="shared" ref="R129:AU129" ca="1" si="91">IF(OR(R$99&lt;InServiceYr,R$99&gt;(InServiceYr+analysis_period-1)),0,IF($P129=0,$N129,$P129)*R$513)</f>
        <v>0</v>
      </c>
      <c r="S129" s="50">
        <f t="shared" ca="1" si="91"/>
        <v>0</v>
      </c>
      <c r="T129" s="50">
        <f t="shared" ca="1" si="91"/>
        <v>0</v>
      </c>
      <c r="U129" s="50">
        <f t="shared" ca="1" si="91"/>
        <v>0</v>
      </c>
      <c r="V129" s="50">
        <f t="shared" ca="1" si="91"/>
        <v>0</v>
      </c>
      <c r="W129" s="50">
        <f t="shared" ca="1" si="91"/>
        <v>0</v>
      </c>
      <c r="X129" s="50">
        <f t="shared" ca="1" si="91"/>
        <v>0</v>
      </c>
      <c r="Y129" s="50">
        <f t="shared" ca="1" si="91"/>
        <v>0</v>
      </c>
      <c r="Z129" s="50">
        <f t="shared" ca="1" si="91"/>
        <v>0</v>
      </c>
      <c r="AA129" s="50">
        <f t="shared" ca="1" si="91"/>
        <v>0</v>
      </c>
      <c r="AB129" s="50">
        <f t="shared" ca="1" si="91"/>
        <v>0</v>
      </c>
      <c r="AC129" s="50">
        <f t="shared" ca="1" si="91"/>
        <v>0</v>
      </c>
      <c r="AD129" s="50">
        <f t="shared" ca="1" si="91"/>
        <v>0</v>
      </c>
      <c r="AE129" s="50">
        <f t="shared" ca="1" si="91"/>
        <v>0</v>
      </c>
      <c r="AF129" s="50">
        <f t="shared" ca="1" si="91"/>
        <v>0</v>
      </c>
      <c r="AG129" s="50">
        <f t="shared" ca="1" si="91"/>
        <v>0</v>
      </c>
      <c r="AH129" s="50">
        <f t="shared" ca="1" si="91"/>
        <v>0</v>
      </c>
      <c r="AI129" s="50">
        <f t="shared" ca="1" si="91"/>
        <v>0</v>
      </c>
      <c r="AJ129" s="50">
        <f t="shared" ca="1" si="91"/>
        <v>0</v>
      </c>
      <c r="AK129" s="50">
        <f t="shared" ca="1" si="91"/>
        <v>0</v>
      </c>
      <c r="AL129" s="50">
        <f t="shared" si="91"/>
        <v>0</v>
      </c>
      <c r="AM129" s="50">
        <f t="shared" si="91"/>
        <v>0</v>
      </c>
      <c r="AN129" s="50">
        <f t="shared" si="91"/>
        <v>0</v>
      </c>
      <c r="AO129" s="50">
        <f t="shared" si="91"/>
        <v>0</v>
      </c>
      <c r="AP129" s="50">
        <f t="shared" si="91"/>
        <v>0</v>
      </c>
      <c r="AQ129" s="50">
        <f t="shared" si="91"/>
        <v>0</v>
      </c>
      <c r="AR129" s="50">
        <f t="shared" si="91"/>
        <v>0</v>
      </c>
      <c r="AS129" s="50">
        <f t="shared" si="91"/>
        <v>0</v>
      </c>
      <c r="AT129" s="50">
        <f t="shared" si="91"/>
        <v>0</v>
      </c>
      <c r="AU129" s="50">
        <f t="shared" si="91"/>
        <v>0</v>
      </c>
    </row>
    <row r="130" spans="1:47">
      <c r="A130" s="38" t="str">
        <f t="shared" si="84"/>
        <v>3Y-</v>
      </c>
      <c r="B130" s="38" t="s">
        <v>273</v>
      </c>
      <c r="C130" s="38" t="str">
        <f>C128</f>
        <v>Ash Conveyance &amp; Storage</v>
      </c>
      <c r="D130" s="186">
        <f>LaborEsc</f>
        <v>0.02</v>
      </c>
      <c r="E130" s="325"/>
      <c r="G130" s="36" t="s">
        <v>291</v>
      </c>
      <c r="I130" s="39"/>
      <c r="K130" s="39"/>
      <c r="L130" s="43" t="str">
        <f>"["&amp;CostBaseYr&amp;" $]"</f>
        <v>[2013 $]</v>
      </c>
      <c r="N130" s="70">
        <f ca="1">SUMIFS(OFFSET(Assumptions!$I$90,0,MATCH($A130,Configurations,0)-1,COUNT(Assumptions!$A$90:$A$183),1),Assumptions!$D$90:$D$183,$B130&amp;$C130)</f>
        <v>0</v>
      </c>
      <c r="O130" s="313"/>
      <c r="P130" s="323"/>
      <c r="Q130" s="313"/>
      <c r="R130" s="50">
        <f t="shared" ref="R130:AU130" ca="1" si="92">IF(OR(R$99&lt;InServiceYr,R$99&gt;(InServiceYr+analysis_period-1)),0,IF($P130=0,$N130,$P130)*(1+$D130)^(R$99-CostBaseYr))*R$509</f>
        <v>0</v>
      </c>
      <c r="S130" s="50">
        <f t="shared" ca="1" si="92"/>
        <v>0</v>
      </c>
      <c r="T130" s="50">
        <f t="shared" ca="1" si="92"/>
        <v>0</v>
      </c>
      <c r="U130" s="50">
        <f t="shared" ca="1" si="92"/>
        <v>0</v>
      </c>
      <c r="V130" s="50">
        <f t="shared" ca="1" si="92"/>
        <v>0</v>
      </c>
      <c r="W130" s="50">
        <f t="shared" ca="1" si="92"/>
        <v>0</v>
      </c>
      <c r="X130" s="50">
        <f t="shared" ca="1" si="92"/>
        <v>0</v>
      </c>
      <c r="Y130" s="50">
        <f t="shared" ca="1" si="92"/>
        <v>0</v>
      </c>
      <c r="Z130" s="50">
        <f t="shared" ca="1" si="92"/>
        <v>0</v>
      </c>
      <c r="AA130" s="50">
        <f t="shared" ca="1" si="92"/>
        <v>0</v>
      </c>
      <c r="AB130" s="50">
        <f t="shared" ca="1" si="92"/>
        <v>0</v>
      </c>
      <c r="AC130" s="50">
        <f t="shared" ca="1" si="92"/>
        <v>0</v>
      </c>
      <c r="AD130" s="50">
        <f t="shared" ca="1" si="92"/>
        <v>0</v>
      </c>
      <c r="AE130" s="50">
        <f t="shared" ca="1" si="92"/>
        <v>0</v>
      </c>
      <c r="AF130" s="50">
        <f t="shared" ca="1" si="92"/>
        <v>0</v>
      </c>
      <c r="AG130" s="50">
        <f t="shared" ca="1" si="92"/>
        <v>0</v>
      </c>
      <c r="AH130" s="50">
        <f t="shared" ca="1" si="92"/>
        <v>0</v>
      </c>
      <c r="AI130" s="50">
        <f t="shared" ca="1" si="92"/>
        <v>0</v>
      </c>
      <c r="AJ130" s="50">
        <f t="shared" ca="1" si="92"/>
        <v>0</v>
      </c>
      <c r="AK130" s="50">
        <f t="shared" ca="1" si="92"/>
        <v>0</v>
      </c>
      <c r="AL130" s="50">
        <f t="shared" si="92"/>
        <v>0</v>
      </c>
      <c r="AM130" s="50">
        <f t="shared" si="92"/>
        <v>0</v>
      </c>
      <c r="AN130" s="50">
        <f t="shared" si="92"/>
        <v>0</v>
      </c>
      <c r="AO130" s="50">
        <f t="shared" si="92"/>
        <v>0</v>
      </c>
      <c r="AP130" s="50">
        <f t="shared" si="92"/>
        <v>0</v>
      </c>
      <c r="AQ130" s="50">
        <f t="shared" si="92"/>
        <v>0</v>
      </c>
      <c r="AR130" s="50">
        <f t="shared" si="92"/>
        <v>0</v>
      </c>
      <c r="AS130" s="50">
        <f t="shared" si="92"/>
        <v>0</v>
      </c>
      <c r="AT130" s="50">
        <f t="shared" si="92"/>
        <v>0</v>
      </c>
      <c r="AU130" s="50">
        <f t="shared" si="92"/>
        <v>0</v>
      </c>
    </row>
    <row r="131" spans="1:47">
      <c r="D131" s="186"/>
      <c r="E131" s="325"/>
      <c r="G131" s="39" t="s">
        <v>304</v>
      </c>
      <c r="I131" s="39"/>
      <c r="K131" s="39"/>
      <c r="L131" s="43"/>
      <c r="N131" s="70"/>
      <c r="O131" s="313"/>
      <c r="P131" s="70"/>
      <c r="Q131" s="313"/>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row>
    <row r="132" spans="1:47">
      <c r="A132" s="38" t="str">
        <f>$J$4&amp;"-"</f>
        <v>3Y-</v>
      </c>
      <c r="B132" s="38" t="s">
        <v>265</v>
      </c>
      <c r="C132" s="38" t="str">
        <f>C123</f>
        <v>Ash Conveyance &amp; Storage</v>
      </c>
      <c r="D132" s="186"/>
      <c r="E132" s="325"/>
      <c r="G132" s="36" t="s">
        <v>108</v>
      </c>
      <c r="I132" s="39"/>
      <c r="K132" s="39"/>
      <c r="L132" s="43" t="s">
        <v>293</v>
      </c>
      <c r="N132" s="70">
        <f ca="1">SUMIFS(OFFSET(Assumptions!$I$90,0,MATCH($A132,Configurations,0)-1,COUNT(Assumptions!$A$90:$A$183),1),Assumptions!$D$90:$D$183,$B132&amp;$C132)</f>
        <v>0</v>
      </c>
      <c r="O132" s="313"/>
      <c r="P132" s="323"/>
      <c r="Q132" s="313"/>
      <c r="R132" s="50">
        <f t="shared" ref="R132:AU132" ca="1" si="93">IF(OR(R$99&lt;InServiceYr,R$99&gt;(InServiceYr+analysis_period-1)),0,IF($P132=0,$N132,$P132)*R$501)</f>
        <v>0</v>
      </c>
      <c r="S132" s="50">
        <f t="shared" ca="1" si="93"/>
        <v>0</v>
      </c>
      <c r="T132" s="50">
        <f t="shared" ca="1" si="93"/>
        <v>0</v>
      </c>
      <c r="U132" s="50">
        <f t="shared" ca="1" si="93"/>
        <v>0</v>
      </c>
      <c r="V132" s="50">
        <f t="shared" ca="1" si="93"/>
        <v>0</v>
      </c>
      <c r="W132" s="50">
        <f t="shared" ca="1" si="93"/>
        <v>0</v>
      </c>
      <c r="X132" s="50">
        <f t="shared" ca="1" si="93"/>
        <v>0</v>
      </c>
      <c r="Y132" s="50">
        <f t="shared" ca="1" si="93"/>
        <v>0</v>
      </c>
      <c r="Z132" s="50">
        <f t="shared" ca="1" si="93"/>
        <v>0</v>
      </c>
      <c r="AA132" s="50">
        <f t="shared" ca="1" si="93"/>
        <v>0</v>
      </c>
      <c r="AB132" s="50">
        <f t="shared" ca="1" si="93"/>
        <v>0</v>
      </c>
      <c r="AC132" s="50">
        <f t="shared" ca="1" si="93"/>
        <v>0</v>
      </c>
      <c r="AD132" s="50">
        <f t="shared" ca="1" si="93"/>
        <v>0</v>
      </c>
      <c r="AE132" s="50">
        <f t="shared" ca="1" si="93"/>
        <v>0</v>
      </c>
      <c r="AF132" s="50">
        <f t="shared" ca="1" si="93"/>
        <v>0</v>
      </c>
      <c r="AG132" s="50">
        <f t="shared" ca="1" si="93"/>
        <v>0</v>
      </c>
      <c r="AH132" s="50">
        <f t="shared" ca="1" si="93"/>
        <v>0</v>
      </c>
      <c r="AI132" s="50">
        <f t="shared" ca="1" si="93"/>
        <v>0</v>
      </c>
      <c r="AJ132" s="50">
        <f t="shared" ca="1" si="93"/>
        <v>0</v>
      </c>
      <c r="AK132" s="50">
        <f t="shared" ca="1" si="93"/>
        <v>0</v>
      </c>
      <c r="AL132" s="50">
        <f t="shared" si="93"/>
        <v>0</v>
      </c>
      <c r="AM132" s="50">
        <f t="shared" si="93"/>
        <v>0</v>
      </c>
      <c r="AN132" s="50">
        <f t="shared" si="93"/>
        <v>0</v>
      </c>
      <c r="AO132" s="50">
        <f t="shared" si="93"/>
        <v>0</v>
      </c>
      <c r="AP132" s="50">
        <f t="shared" si="93"/>
        <v>0</v>
      </c>
      <c r="AQ132" s="50">
        <f t="shared" si="93"/>
        <v>0</v>
      </c>
      <c r="AR132" s="50">
        <f t="shared" si="93"/>
        <v>0</v>
      </c>
      <c r="AS132" s="50">
        <f t="shared" si="93"/>
        <v>0</v>
      </c>
      <c r="AT132" s="50">
        <f t="shared" si="93"/>
        <v>0</v>
      </c>
      <c r="AU132" s="50">
        <f t="shared" si="93"/>
        <v>0</v>
      </c>
    </row>
    <row r="133" spans="1:47">
      <c r="A133" s="38" t="str">
        <f>$J$4&amp;"-"</f>
        <v>3Y-</v>
      </c>
      <c r="B133" s="38" t="s">
        <v>289</v>
      </c>
      <c r="C133" s="38" t="str">
        <f>C123</f>
        <v>Ash Conveyance &amp; Storage</v>
      </c>
      <c r="D133" s="186">
        <f>LaborEsc</f>
        <v>0.02</v>
      </c>
      <c r="E133" s="325"/>
      <c r="G133" s="36" t="s">
        <v>292</v>
      </c>
      <c r="I133" s="39"/>
      <c r="K133" s="39"/>
      <c r="L133" s="43" t="str">
        <f>"["&amp;CostBaseYr&amp;" $]"</f>
        <v>[2013 $]</v>
      </c>
      <c r="N133" s="70">
        <f ca="1">SUMIFS(OFFSET(Assumptions!$I$90,0,MATCH($A133,Configurations,0)-1,COUNT(Assumptions!$A$90:$A$183),1),Assumptions!$D$90:$D$183,$B133&amp;$C133)</f>
        <v>0</v>
      </c>
      <c r="O133" s="313"/>
      <c r="P133" s="323"/>
      <c r="Q133" s="313"/>
      <c r="R133" s="50">
        <f t="shared" ref="R133:AU133" ca="1" si="94">IF(OR(R$99&lt;InServiceYr,R$99&gt;(InServiceYr+analysis_period-1)),0,IF($P133=0,$N133,$P133)*(1+$D133)^(R$99-CostBaseYr))</f>
        <v>0</v>
      </c>
      <c r="S133" s="50">
        <f t="shared" ca="1" si="94"/>
        <v>0</v>
      </c>
      <c r="T133" s="50">
        <f t="shared" ca="1" si="94"/>
        <v>0</v>
      </c>
      <c r="U133" s="50">
        <f t="shared" ca="1" si="94"/>
        <v>0</v>
      </c>
      <c r="V133" s="50">
        <f t="shared" ca="1" si="94"/>
        <v>0</v>
      </c>
      <c r="W133" s="50">
        <f t="shared" ca="1" si="94"/>
        <v>0</v>
      </c>
      <c r="X133" s="50">
        <f t="shared" ca="1" si="94"/>
        <v>0</v>
      </c>
      <c r="Y133" s="50">
        <f t="shared" ca="1" si="94"/>
        <v>0</v>
      </c>
      <c r="Z133" s="50">
        <f t="shared" ca="1" si="94"/>
        <v>0</v>
      </c>
      <c r="AA133" s="50">
        <f t="shared" ca="1" si="94"/>
        <v>0</v>
      </c>
      <c r="AB133" s="50">
        <f t="shared" ca="1" si="94"/>
        <v>0</v>
      </c>
      <c r="AC133" s="50">
        <f t="shared" ca="1" si="94"/>
        <v>0</v>
      </c>
      <c r="AD133" s="50">
        <f t="shared" ca="1" si="94"/>
        <v>0</v>
      </c>
      <c r="AE133" s="50">
        <f t="shared" ca="1" si="94"/>
        <v>0</v>
      </c>
      <c r="AF133" s="50">
        <f t="shared" ca="1" si="94"/>
        <v>0</v>
      </c>
      <c r="AG133" s="50">
        <f t="shared" ca="1" si="94"/>
        <v>0</v>
      </c>
      <c r="AH133" s="50">
        <f t="shared" ca="1" si="94"/>
        <v>0</v>
      </c>
      <c r="AI133" s="50">
        <f t="shared" ca="1" si="94"/>
        <v>0</v>
      </c>
      <c r="AJ133" s="50">
        <f t="shared" ca="1" si="94"/>
        <v>0</v>
      </c>
      <c r="AK133" s="50">
        <f t="shared" ca="1" si="94"/>
        <v>0</v>
      </c>
      <c r="AL133" s="50">
        <f t="shared" si="94"/>
        <v>0</v>
      </c>
      <c r="AM133" s="50">
        <f t="shared" si="94"/>
        <v>0</v>
      </c>
      <c r="AN133" s="50">
        <f t="shared" si="94"/>
        <v>0</v>
      </c>
      <c r="AO133" s="50">
        <f t="shared" si="94"/>
        <v>0</v>
      </c>
      <c r="AP133" s="50">
        <f t="shared" si="94"/>
        <v>0</v>
      </c>
      <c r="AQ133" s="50">
        <f t="shared" si="94"/>
        <v>0</v>
      </c>
      <c r="AR133" s="50">
        <f t="shared" si="94"/>
        <v>0</v>
      </c>
      <c r="AS133" s="50">
        <f t="shared" si="94"/>
        <v>0</v>
      </c>
      <c r="AT133" s="50">
        <f t="shared" si="94"/>
        <v>0</v>
      </c>
      <c r="AU133" s="50">
        <f t="shared" si="94"/>
        <v>0</v>
      </c>
    </row>
    <row r="134" spans="1:47">
      <c r="D134" s="186"/>
      <c r="E134" s="325"/>
      <c r="F134" s="60"/>
      <c r="G134" s="39" t="s">
        <v>305</v>
      </c>
      <c r="H134" s="60"/>
      <c r="I134" s="39"/>
      <c r="J134" s="60"/>
      <c r="K134" s="39"/>
      <c r="L134" s="174"/>
      <c r="M134" s="60"/>
      <c r="N134" s="188"/>
      <c r="O134" s="314"/>
      <c r="P134" s="185"/>
      <c r="Q134" s="314"/>
      <c r="R134" s="185">
        <f ca="1">SUM(R123:R130)-SUM(R132:R133)</f>
        <v>104040</v>
      </c>
      <c r="S134" s="185">
        <f t="shared" ref="S134:AU134" ca="1" si="95">SUM(S123:S130)-SUM(S132:S133)</f>
        <v>106120.8</v>
      </c>
      <c r="T134" s="185">
        <f t="shared" ca="1" si="95"/>
        <v>108243.21599999999</v>
      </c>
      <c r="U134" s="185">
        <f t="shared" ca="1" si="95"/>
        <v>110408.08031999999</v>
      </c>
      <c r="V134" s="185">
        <f t="shared" ca="1" si="95"/>
        <v>112616.24192640001</v>
      </c>
      <c r="W134" s="185">
        <f t="shared" ca="1" si="95"/>
        <v>114868.56676492801</v>
      </c>
      <c r="X134" s="185">
        <f t="shared" ca="1" si="95"/>
        <v>117165.93810022654</v>
      </c>
      <c r="Y134" s="185">
        <f t="shared" ca="1" si="95"/>
        <v>119509.25686223109</v>
      </c>
      <c r="Z134" s="185">
        <f t="shared" ca="1" si="95"/>
        <v>121899.4419994757</v>
      </c>
      <c r="AA134" s="185">
        <f t="shared" ca="1" si="95"/>
        <v>124337.43083946522</v>
      </c>
      <c r="AB134" s="185">
        <f t="shared" ca="1" si="95"/>
        <v>126824.17945625451</v>
      </c>
      <c r="AC134" s="185">
        <f t="shared" ca="1" si="95"/>
        <v>129360.66304537961</v>
      </c>
      <c r="AD134" s="185">
        <f t="shared" ca="1" si="95"/>
        <v>131947.87630628719</v>
      </c>
      <c r="AE134" s="185">
        <f t="shared" ca="1" si="95"/>
        <v>134586.83383241296</v>
      </c>
      <c r="AF134" s="185">
        <f t="shared" ca="1" si="95"/>
        <v>137278.57050906119</v>
      </c>
      <c r="AG134" s="185">
        <f t="shared" ca="1" si="95"/>
        <v>140024.14191924245</v>
      </c>
      <c r="AH134" s="185">
        <f t="shared" ca="1" si="95"/>
        <v>142824.62475762729</v>
      </c>
      <c r="AI134" s="185">
        <f t="shared" ca="1" si="95"/>
        <v>145681.1172527798</v>
      </c>
      <c r="AJ134" s="185">
        <f t="shared" ca="1" si="95"/>
        <v>148594.7395978354</v>
      </c>
      <c r="AK134" s="185">
        <f t="shared" ca="1" si="95"/>
        <v>151566.63438979213</v>
      </c>
      <c r="AL134" s="185">
        <f t="shared" si="95"/>
        <v>0</v>
      </c>
      <c r="AM134" s="185">
        <f t="shared" si="95"/>
        <v>0</v>
      </c>
      <c r="AN134" s="185">
        <f t="shared" si="95"/>
        <v>0</v>
      </c>
      <c r="AO134" s="185">
        <f t="shared" si="95"/>
        <v>0</v>
      </c>
      <c r="AP134" s="185">
        <f t="shared" si="95"/>
        <v>0</v>
      </c>
      <c r="AQ134" s="185">
        <f t="shared" si="95"/>
        <v>0</v>
      </c>
      <c r="AR134" s="185">
        <f t="shared" si="95"/>
        <v>0</v>
      </c>
      <c r="AS134" s="185">
        <f t="shared" si="95"/>
        <v>0</v>
      </c>
      <c r="AT134" s="185">
        <f t="shared" si="95"/>
        <v>0</v>
      </c>
      <c r="AU134" s="185">
        <f t="shared" si="95"/>
        <v>0</v>
      </c>
    </row>
    <row r="135" spans="1:47">
      <c r="G135" s="28"/>
      <c r="H135" s="28"/>
      <c r="I135" s="28"/>
      <c r="J135" s="28"/>
      <c r="K135" s="28"/>
      <c r="L135" s="409"/>
      <c r="M135" s="46"/>
      <c r="N135" s="46"/>
      <c r="O135" s="315"/>
      <c r="P135" s="46"/>
      <c r="Q135" s="315"/>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row>
    <row r="136" spans="1:47" s="255" customFormat="1">
      <c r="E136" s="327"/>
      <c r="F136" s="28"/>
      <c r="G136" s="324" t="str">
        <f>C138&amp;" Capital Costs"</f>
        <v>Belt Filter Press Dewatering Capital Costs</v>
      </c>
      <c r="H136" s="324"/>
      <c r="I136" s="324"/>
      <c r="J136" s="324"/>
      <c r="K136" s="324"/>
      <c r="L136" s="405" t="s">
        <v>79</v>
      </c>
      <c r="M136" s="256"/>
      <c r="N136" s="325" t="s">
        <v>490</v>
      </c>
      <c r="O136" s="311"/>
      <c r="P136" s="325" t="s">
        <v>491</v>
      </c>
      <c r="Q136" s="310"/>
      <c r="R136" s="325">
        <f>R$8</f>
        <v>2014</v>
      </c>
      <c r="S136" s="325">
        <f t="shared" ref="S136:AU136" si="96">S$8</f>
        <v>2015</v>
      </c>
      <c r="T136" s="325">
        <f t="shared" si="96"/>
        <v>2016</v>
      </c>
      <c r="U136" s="325">
        <f t="shared" si="96"/>
        <v>2017</v>
      </c>
      <c r="V136" s="325">
        <f t="shared" si="96"/>
        <v>2018</v>
      </c>
      <c r="W136" s="325">
        <f t="shared" si="96"/>
        <v>2019</v>
      </c>
      <c r="X136" s="325">
        <f t="shared" si="96"/>
        <v>2020</v>
      </c>
      <c r="Y136" s="325">
        <f t="shared" si="96"/>
        <v>2021</v>
      </c>
      <c r="Z136" s="325">
        <f t="shared" si="96"/>
        <v>2022</v>
      </c>
      <c r="AA136" s="325">
        <f t="shared" si="96"/>
        <v>2023</v>
      </c>
      <c r="AB136" s="325">
        <f t="shared" si="96"/>
        <v>2024</v>
      </c>
      <c r="AC136" s="325">
        <f t="shared" si="96"/>
        <v>2025</v>
      </c>
      <c r="AD136" s="325">
        <f t="shared" si="96"/>
        <v>2026</v>
      </c>
      <c r="AE136" s="325">
        <f t="shared" si="96"/>
        <v>2027</v>
      </c>
      <c r="AF136" s="325">
        <f t="shared" si="96"/>
        <v>2028</v>
      </c>
      <c r="AG136" s="325">
        <f t="shared" si="96"/>
        <v>2029</v>
      </c>
      <c r="AH136" s="325">
        <f t="shared" si="96"/>
        <v>2030</v>
      </c>
      <c r="AI136" s="325">
        <f t="shared" si="96"/>
        <v>2031</v>
      </c>
      <c r="AJ136" s="325">
        <f t="shared" si="96"/>
        <v>2032</v>
      </c>
      <c r="AK136" s="325">
        <f t="shared" si="96"/>
        <v>2033</v>
      </c>
      <c r="AL136" s="325">
        <f t="shared" si="96"/>
        <v>2034</v>
      </c>
      <c r="AM136" s="325">
        <f t="shared" si="96"/>
        <v>2035</v>
      </c>
      <c r="AN136" s="325">
        <f t="shared" si="96"/>
        <v>2036</v>
      </c>
      <c r="AO136" s="325">
        <f t="shared" si="96"/>
        <v>2037</v>
      </c>
      <c r="AP136" s="325">
        <f t="shared" si="96"/>
        <v>2038</v>
      </c>
      <c r="AQ136" s="325">
        <f t="shared" si="96"/>
        <v>2039</v>
      </c>
      <c r="AR136" s="325">
        <f t="shared" si="96"/>
        <v>2040</v>
      </c>
      <c r="AS136" s="325">
        <f t="shared" si="96"/>
        <v>2041</v>
      </c>
      <c r="AT136" s="325">
        <f t="shared" si="96"/>
        <v>2042</v>
      </c>
      <c r="AU136" s="325">
        <f t="shared" si="96"/>
        <v>2043</v>
      </c>
    </row>
    <row r="137" spans="1:47">
      <c r="E137" s="325"/>
      <c r="G137" s="39"/>
      <c r="H137" s="39"/>
      <c r="I137" s="39"/>
      <c r="J137" s="39"/>
      <c r="K137" s="39"/>
    </row>
    <row r="138" spans="1:47">
      <c r="A138" s="38" t="str">
        <f>$J$4&amp;"-"</f>
        <v>3Y-</v>
      </c>
      <c r="B138" s="38" t="s">
        <v>306</v>
      </c>
      <c r="C138" s="38" t="s">
        <v>143</v>
      </c>
      <c r="D138" s="186">
        <f>CapExEsc</f>
        <v>0.03</v>
      </c>
      <c r="E138" s="325"/>
      <c r="G138" s="36" t="s">
        <v>8</v>
      </c>
      <c r="H138" s="39"/>
      <c r="I138" s="39"/>
      <c r="J138" s="70"/>
      <c r="K138" s="39"/>
      <c r="L138" s="43" t="str">
        <f>"["&amp;CostBaseYr&amp;" $]"</f>
        <v>[2013 $]</v>
      </c>
      <c r="N138" s="52">
        <f ca="1">SUMIFS(OFFSET(Assumptions!$I$65,0,MATCH($A138,Configurations,0)-1,COUNT(Assumptions!$A$65:$A$84),1),Assumptions!$E$65:$E$84,$C138)</f>
        <v>0</v>
      </c>
      <c r="O138" s="52"/>
      <c r="P138" s="322"/>
      <c r="Q138" s="52"/>
      <c r="R138" s="52">
        <f t="shared" ref="R138:AU138" ca="1" si="97">R139*IF($P138=0,$N138,$P138)*(1+$D138)^(R$8-CostBaseYr)</f>
        <v>0</v>
      </c>
      <c r="S138" s="52">
        <f t="shared" ca="1" si="97"/>
        <v>0</v>
      </c>
      <c r="T138" s="52">
        <f t="shared" ca="1" si="97"/>
        <v>0</v>
      </c>
      <c r="U138" s="52">
        <f t="shared" ca="1" si="97"/>
        <v>0</v>
      </c>
      <c r="V138" s="52">
        <f t="shared" ca="1" si="97"/>
        <v>0</v>
      </c>
      <c r="W138" s="52">
        <f t="shared" ca="1" si="97"/>
        <v>0</v>
      </c>
      <c r="X138" s="52">
        <f t="shared" ca="1" si="97"/>
        <v>0</v>
      </c>
      <c r="Y138" s="52">
        <f t="shared" ca="1" si="97"/>
        <v>0</v>
      </c>
      <c r="Z138" s="52">
        <f t="shared" ca="1" si="97"/>
        <v>0</v>
      </c>
      <c r="AA138" s="52">
        <f t="shared" ca="1" si="97"/>
        <v>0</v>
      </c>
      <c r="AB138" s="52">
        <f t="shared" ca="1" si="97"/>
        <v>0</v>
      </c>
      <c r="AC138" s="52">
        <f t="shared" ca="1" si="97"/>
        <v>0</v>
      </c>
      <c r="AD138" s="52">
        <f t="shared" ca="1" si="97"/>
        <v>0</v>
      </c>
      <c r="AE138" s="52">
        <f t="shared" ca="1" si="97"/>
        <v>0</v>
      </c>
      <c r="AF138" s="52">
        <f t="shared" ca="1" si="97"/>
        <v>0</v>
      </c>
      <c r="AG138" s="52">
        <f t="shared" ca="1" si="97"/>
        <v>0</v>
      </c>
      <c r="AH138" s="52">
        <f t="shared" ca="1" si="97"/>
        <v>0</v>
      </c>
      <c r="AI138" s="52">
        <f t="shared" ca="1" si="97"/>
        <v>0</v>
      </c>
      <c r="AJ138" s="52">
        <f t="shared" ca="1" si="97"/>
        <v>0</v>
      </c>
      <c r="AK138" s="52">
        <f t="shared" ca="1" si="97"/>
        <v>0</v>
      </c>
      <c r="AL138" s="52">
        <f t="shared" ca="1" si="97"/>
        <v>0</v>
      </c>
      <c r="AM138" s="52">
        <f t="shared" ca="1" si="97"/>
        <v>0</v>
      </c>
      <c r="AN138" s="52">
        <f t="shared" ca="1" si="97"/>
        <v>0</v>
      </c>
      <c r="AO138" s="52">
        <f t="shared" ca="1" si="97"/>
        <v>0</v>
      </c>
      <c r="AP138" s="52">
        <f t="shared" ca="1" si="97"/>
        <v>0</v>
      </c>
      <c r="AQ138" s="52">
        <f t="shared" ca="1" si="97"/>
        <v>0</v>
      </c>
      <c r="AR138" s="52">
        <f t="shared" ca="1" si="97"/>
        <v>0</v>
      </c>
      <c r="AS138" s="52">
        <f t="shared" ca="1" si="97"/>
        <v>0</v>
      </c>
      <c r="AT138" s="52">
        <f t="shared" ca="1" si="97"/>
        <v>0</v>
      </c>
      <c r="AU138" s="52">
        <f t="shared" ca="1" si="97"/>
        <v>0</v>
      </c>
    </row>
    <row r="139" spans="1:47">
      <c r="E139" s="325"/>
      <c r="G139" s="36" t="s">
        <v>10</v>
      </c>
      <c r="H139" s="39"/>
      <c r="I139" s="39"/>
      <c r="J139" s="39"/>
      <c r="K139" s="39"/>
      <c r="L139" s="43"/>
      <c r="R139" s="54">
        <f>Assumptions!M$60</f>
        <v>1</v>
      </c>
      <c r="S139" s="54">
        <f>Assumptions!N$60</f>
        <v>0</v>
      </c>
      <c r="T139" s="54">
        <f>Assumptions!O$60</f>
        <v>0</v>
      </c>
      <c r="U139" s="54">
        <f>Assumptions!P$60</f>
        <v>0</v>
      </c>
      <c r="V139" s="54">
        <f>Assumptions!Q$60</f>
        <v>0</v>
      </c>
      <c r="W139" s="54">
        <f>Assumptions!R$60</f>
        <v>0</v>
      </c>
      <c r="X139" s="54">
        <f>Assumptions!S$60</f>
        <v>0</v>
      </c>
      <c r="Y139" s="54">
        <f>Assumptions!T$60</f>
        <v>0</v>
      </c>
      <c r="Z139" s="54">
        <f>Assumptions!U$60</f>
        <v>0</v>
      </c>
      <c r="AA139" s="54">
        <f>Assumptions!V$60</f>
        <v>0</v>
      </c>
      <c r="AB139" s="54">
        <f>Assumptions!W$60</f>
        <v>0</v>
      </c>
      <c r="AC139" s="54">
        <f>Assumptions!X$60</f>
        <v>0</v>
      </c>
      <c r="AD139" s="54">
        <f>Assumptions!Y$60</f>
        <v>0</v>
      </c>
      <c r="AE139" s="54">
        <f>Assumptions!Z$60</f>
        <v>0</v>
      </c>
      <c r="AF139" s="54">
        <f>Assumptions!AA$60</f>
        <v>0</v>
      </c>
      <c r="AG139" s="54">
        <f>Assumptions!AB$60</f>
        <v>0</v>
      </c>
      <c r="AH139" s="54">
        <f>Assumptions!AC$60</f>
        <v>0</v>
      </c>
      <c r="AI139" s="54">
        <f>Assumptions!AD$60</f>
        <v>0</v>
      </c>
      <c r="AJ139" s="54">
        <f>Assumptions!AE$60</f>
        <v>0</v>
      </c>
      <c r="AK139" s="54">
        <f>Assumptions!AF$60</f>
        <v>0</v>
      </c>
      <c r="AL139" s="54">
        <f>Assumptions!AG$60</f>
        <v>0</v>
      </c>
      <c r="AM139" s="54">
        <f>Assumptions!AH$60</f>
        <v>0</v>
      </c>
      <c r="AN139" s="54">
        <f>Assumptions!AI$60</f>
        <v>0</v>
      </c>
      <c r="AO139" s="54">
        <f>Assumptions!AJ$60</f>
        <v>0</v>
      </c>
      <c r="AP139" s="54">
        <f>Assumptions!AK$60</f>
        <v>0</v>
      </c>
      <c r="AQ139" s="54">
        <f>Assumptions!AL$60</f>
        <v>0</v>
      </c>
      <c r="AR139" s="54">
        <f>Assumptions!AM$60</f>
        <v>0</v>
      </c>
      <c r="AS139" s="54">
        <f>Assumptions!AN$60</f>
        <v>0</v>
      </c>
      <c r="AT139" s="54">
        <f>Assumptions!AO$60</f>
        <v>0</v>
      </c>
      <c r="AU139" s="54">
        <f>Assumptions!AP$60</f>
        <v>0</v>
      </c>
    </row>
    <row r="140" spans="1:47">
      <c r="E140" s="326"/>
      <c r="G140" s="39"/>
      <c r="H140" s="39"/>
      <c r="I140" s="39"/>
      <c r="J140" s="39"/>
      <c r="K140" s="39"/>
    </row>
    <row r="141" spans="1:47">
      <c r="E141" s="327"/>
      <c r="F141" s="28"/>
      <c r="G141" s="324" t="str">
        <f>C138&amp;" O&amp;M"</f>
        <v>Belt Filter Press Dewatering O&amp;M</v>
      </c>
      <c r="H141" s="324"/>
      <c r="I141" s="324"/>
      <c r="J141" s="324"/>
      <c r="K141" s="324"/>
      <c r="L141" s="405" t="s">
        <v>79</v>
      </c>
      <c r="M141" s="256"/>
      <c r="N141" s="325" t="s">
        <v>490</v>
      </c>
      <c r="O141" s="311"/>
      <c r="P141" s="325" t="s">
        <v>491</v>
      </c>
      <c r="Q141" s="310"/>
      <c r="R141" s="325">
        <f>R$8</f>
        <v>2014</v>
      </c>
      <c r="S141" s="325">
        <f t="shared" ref="S141:AU141" si="98">S$8</f>
        <v>2015</v>
      </c>
      <c r="T141" s="325">
        <f t="shared" si="98"/>
        <v>2016</v>
      </c>
      <c r="U141" s="325">
        <f t="shared" si="98"/>
        <v>2017</v>
      </c>
      <c r="V141" s="325">
        <f t="shared" si="98"/>
        <v>2018</v>
      </c>
      <c r="W141" s="325">
        <f t="shared" si="98"/>
        <v>2019</v>
      </c>
      <c r="X141" s="325">
        <f t="shared" si="98"/>
        <v>2020</v>
      </c>
      <c r="Y141" s="325">
        <f t="shared" si="98"/>
        <v>2021</v>
      </c>
      <c r="Z141" s="325">
        <f t="shared" si="98"/>
        <v>2022</v>
      </c>
      <c r="AA141" s="325">
        <f t="shared" si="98"/>
        <v>2023</v>
      </c>
      <c r="AB141" s="325">
        <f t="shared" si="98"/>
        <v>2024</v>
      </c>
      <c r="AC141" s="325">
        <f t="shared" si="98"/>
        <v>2025</v>
      </c>
      <c r="AD141" s="325">
        <f t="shared" si="98"/>
        <v>2026</v>
      </c>
      <c r="AE141" s="325">
        <f t="shared" si="98"/>
        <v>2027</v>
      </c>
      <c r="AF141" s="325">
        <f t="shared" si="98"/>
        <v>2028</v>
      </c>
      <c r="AG141" s="325">
        <f t="shared" si="98"/>
        <v>2029</v>
      </c>
      <c r="AH141" s="325">
        <f t="shared" si="98"/>
        <v>2030</v>
      </c>
      <c r="AI141" s="325">
        <f t="shared" si="98"/>
        <v>2031</v>
      </c>
      <c r="AJ141" s="325">
        <f t="shared" si="98"/>
        <v>2032</v>
      </c>
      <c r="AK141" s="325">
        <f t="shared" si="98"/>
        <v>2033</v>
      </c>
      <c r="AL141" s="325">
        <f t="shared" si="98"/>
        <v>2034</v>
      </c>
      <c r="AM141" s="325">
        <f t="shared" si="98"/>
        <v>2035</v>
      </c>
      <c r="AN141" s="325">
        <f t="shared" si="98"/>
        <v>2036</v>
      </c>
      <c r="AO141" s="325">
        <f t="shared" si="98"/>
        <v>2037</v>
      </c>
      <c r="AP141" s="325">
        <f t="shared" si="98"/>
        <v>2038</v>
      </c>
      <c r="AQ141" s="325">
        <f t="shared" si="98"/>
        <v>2039</v>
      </c>
      <c r="AR141" s="325">
        <f t="shared" si="98"/>
        <v>2040</v>
      </c>
      <c r="AS141" s="325">
        <f t="shared" si="98"/>
        <v>2041</v>
      </c>
      <c r="AT141" s="325">
        <f t="shared" si="98"/>
        <v>2042</v>
      </c>
      <c r="AU141" s="325">
        <f t="shared" si="98"/>
        <v>2043</v>
      </c>
    </row>
    <row r="142" spans="1:47">
      <c r="E142" s="325"/>
      <c r="G142" s="39"/>
      <c r="H142" s="39"/>
      <c r="I142" s="39"/>
      <c r="J142" s="39"/>
      <c r="K142" s="39"/>
    </row>
    <row r="143" spans="1:47">
      <c r="E143" s="325"/>
      <c r="G143" s="39" t="s">
        <v>23</v>
      </c>
      <c r="H143" s="39"/>
      <c r="I143" s="39"/>
      <c r="J143" s="39"/>
      <c r="K143" s="39"/>
    </row>
    <row r="144" spans="1:47">
      <c r="A144" s="38" t="str">
        <f t="shared" ref="A144:A151" si="99">$J$4&amp;"-"</f>
        <v>3Y-</v>
      </c>
      <c r="B144" s="38" t="s">
        <v>262</v>
      </c>
      <c r="C144" s="38" t="str">
        <f>C138</f>
        <v>Belt Filter Press Dewatering</v>
      </c>
      <c r="D144" s="186">
        <f>LaborEsc</f>
        <v>0.02</v>
      </c>
      <c r="E144" s="325"/>
      <c r="G144" s="36" t="s">
        <v>125</v>
      </c>
      <c r="I144" s="39"/>
      <c r="K144" s="39"/>
      <c r="L144" s="43" t="s">
        <v>266</v>
      </c>
      <c r="N144" s="70">
        <f ca="1">SUMIFS(OFFSET(Assumptions!$I$90,0,MATCH($A144,Configurations,0)-1,COUNT(Assumptions!$A$90:$A$183),1),Assumptions!$D$90:$D$183,$B144&amp;$C144)</f>
        <v>5110</v>
      </c>
      <c r="O144" s="313"/>
      <c r="P144" s="323"/>
      <c r="Q144" s="313"/>
      <c r="R144" s="50">
        <f t="shared" ref="R144:AU144" ca="1" si="100">IF(OR(R$99&lt;InServiceYr,R$99&gt;(InServiceYr+analysis_period-1)),0,IF($P144=0,$N144,$P144)*LaborCost*(1+$D144)^(R$99-CostBaseYr))</f>
        <v>182427</v>
      </c>
      <c r="S144" s="50">
        <f t="shared" ca="1" si="100"/>
        <v>186075.54</v>
      </c>
      <c r="T144" s="50">
        <f t="shared" ca="1" si="100"/>
        <v>189797.0508</v>
      </c>
      <c r="U144" s="50">
        <f t="shared" ca="1" si="100"/>
        <v>193592.99181599999</v>
      </c>
      <c r="V144" s="50">
        <f t="shared" ca="1" si="100"/>
        <v>197464.85165232001</v>
      </c>
      <c r="W144" s="50">
        <f t="shared" ca="1" si="100"/>
        <v>201414.14868536641</v>
      </c>
      <c r="X144" s="50">
        <f t="shared" ca="1" si="100"/>
        <v>205442.43165907369</v>
      </c>
      <c r="Y144" s="50">
        <f t="shared" ca="1" si="100"/>
        <v>209551.28029225519</v>
      </c>
      <c r="Z144" s="50">
        <f t="shared" ca="1" si="100"/>
        <v>213742.30589810028</v>
      </c>
      <c r="AA144" s="50">
        <f t="shared" ca="1" si="100"/>
        <v>218017.15201606232</v>
      </c>
      <c r="AB144" s="50">
        <f t="shared" ca="1" si="100"/>
        <v>222377.49505638352</v>
      </c>
      <c r="AC144" s="50">
        <f t="shared" ca="1" si="100"/>
        <v>226825.04495751121</v>
      </c>
      <c r="AD144" s="50">
        <f t="shared" ca="1" si="100"/>
        <v>231361.54585666143</v>
      </c>
      <c r="AE144" s="50">
        <f t="shared" ca="1" si="100"/>
        <v>235988.77677379467</v>
      </c>
      <c r="AF144" s="50">
        <f t="shared" ca="1" si="100"/>
        <v>240708.55230927051</v>
      </c>
      <c r="AG144" s="50">
        <f t="shared" ca="1" si="100"/>
        <v>245522.72335545596</v>
      </c>
      <c r="AH144" s="50">
        <f t="shared" ca="1" si="100"/>
        <v>250433.17782256511</v>
      </c>
      <c r="AI144" s="50">
        <f t="shared" ca="1" si="100"/>
        <v>255441.84137901638</v>
      </c>
      <c r="AJ144" s="50">
        <f t="shared" ca="1" si="100"/>
        <v>260550.6782065967</v>
      </c>
      <c r="AK144" s="50">
        <f t="shared" ca="1" si="100"/>
        <v>265761.69177072868</v>
      </c>
      <c r="AL144" s="50">
        <f t="shared" si="100"/>
        <v>0</v>
      </c>
      <c r="AM144" s="50">
        <f t="shared" si="100"/>
        <v>0</v>
      </c>
      <c r="AN144" s="50">
        <f t="shared" si="100"/>
        <v>0</v>
      </c>
      <c r="AO144" s="50">
        <f t="shared" si="100"/>
        <v>0</v>
      </c>
      <c r="AP144" s="50">
        <f t="shared" si="100"/>
        <v>0</v>
      </c>
      <c r="AQ144" s="50">
        <f t="shared" si="100"/>
        <v>0</v>
      </c>
      <c r="AR144" s="50">
        <f t="shared" si="100"/>
        <v>0</v>
      </c>
      <c r="AS144" s="50">
        <f t="shared" si="100"/>
        <v>0</v>
      </c>
      <c r="AT144" s="50">
        <f t="shared" si="100"/>
        <v>0</v>
      </c>
      <c r="AU144" s="50">
        <f t="shared" si="100"/>
        <v>0</v>
      </c>
    </row>
    <row r="145" spans="1:47">
      <c r="A145" s="38" t="str">
        <f t="shared" si="99"/>
        <v>3Y-</v>
      </c>
      <c r="B145" s="38" t="s">
        <v>270</v>
      </c>
      <c r="C145" s="38" t="str">
        <f>C144</f>
        <v>Belt Filter Press Dewatering</v>
      </c>
      <c r="D145" s="186">
        <f>OMEsc</f>
        <v>0.02</v>
      </c>
      <c r="E145" s="325"/>
      <c r="G145" s="36" t="s">
        <v>126</v>
      </c>
      <c r="I145" s="39"/>
      <c r="K145" s="39"/>
      <c r="L145" s="43" t="str">
        <f>"["&amp;CostBaseYr&amp;" $]"</f>
        <v>[2013 $]</v>
      </c>
      <c r="N145" s="70">
        <f ca="1">SUMIFS(OFFSET(Assumptions!$I$90,0,MATCH($A145,Configurations,0)-1,COUNT(Assumptions!$A$90:$A$183),1),Assumptions!$D$90:$D$183,$B145&amp;$C145)</f>
        <v>59000</v>
      </c>
      <c r="O145" s="313"/>
      <c r="P145" s="323"/>
      <c r="Q145" s="313"/>
      <c r="R145" s="50">
        <f t="shared" ref="R145:AG147" ca="1" si="101">IF(OR(R$99&lt;InServiceYr,R$99&gt;(InServiceYr+analysis_period-1)),0,IF($P145=0,$N145,$P145)*(1+$D145)^(R$99-CostBaseYr))</f>
        <v>60180</v>
      </c>
      <c r="S145" s="50">
        <f t="shared" ca="1" si="101"/>
        <v>61383.6</v>
      </c>
      <c r="T145" s="50">
        <f t="shared" ca="1" si="101"/>
        <v>62611.271999999997</v>
      </c>
      <c r="U145" s="50">
        <f t="shared" ca="1" si="101"/>
        <v>63863.497439999999</v>
      </c>
      <c r="V145" s="50">
        <f t="shared" ca="1" si="101"/>
        <v>65140.767388799999</v>
      </c>
      <c r="W145" s="50">
        <f t="shared" ca="1" si="101"/>
        <v>66443.582736576005</v>
      </c>
      <c r="X145" s="50">
        <f t="shared" ca="1" si="101"/>
        <v>67772.454391307503</v>
      </c>
      <c r="Y145" s="50">
        <f t="shared" ca="1" si="101"/>
        <v>69127.90347913366</v>
      </c>
      <c r="Z145" s="50">
        <f t="shared" ca="1" si="101"/>
        <v>70510.461548716339</v>
      </c>
      <c r="AA145" s="50">
        <f t="shared" ca="1" si="101"/>
        <v>71920.67077969067</v>
      </c>
      <c r="AB145" s="50">
        <f t="shared" ca="1" si="101"/>
        <v>73359.084195284464</v>
      </c>
      <c r="AC145" s="50">
        <f t="shared" ca="1" si="101"/>
        <v>74826.265879190178</v>
      </c>
      <c r="AD145" s="50">
        <f t="shared" ca="1" si="101"/>
        <v>76322.791196773964</v>
      </c>
      <c r="AE145" s="50">
        <f t="shared" ca="1" si="101"/>
        <v>77849.247020709459</v>
      </c>
      <c r="AF145" s="50">
        <f t="shared" ca="1" si="101"/>
        <v>79406.231961123631</v>
      </c>
      <c r="AG145" s="50">
        <f t="shared" ca="1" si="101"/>
        <v>80994.356600346116</v>
      </c>
      <c r="AH145" s="50">
        <f t="shared" ref="S145:AU147" ca="1" si="102">IF(OR(AH$99&lt;InServiceYr,AH$99&gt;(InServiceYr+analysis_period-1)),0,IF($P145=0,$N145,$P145)*(1+$D145)^(AH$99-CostBaseYr))</f>
        <v>82614.243732353047</v>
      </c>
      <c r="AI145" s="50">
        <f t="shared" ca="1" si="102"/>
        <v>84266.528607000088</v>
      </c>
      <c r="AJ145" s="50">
        <f t="shared" ca="1" si="102"/>
        <v>85951.859179140083</v>
      </c>
      <c r="AK145" s="50">
        <f t="shared" ca="1" si="102"/>
        <v>87670.896362722895</v>
      </c>
      <c r="AL145" s="50">
        <f t="shared" si="102"/>
        <v>0</v>
      </c>
      <c r="AM145" s="50">
        <f t="shared" si="102"/>
        <v>0</v>
      </c>
      <c r="AN145" s="50">
        <f t="shared" si="102"/>
        <v>0</v>
      </c>
      <c r="AO145" s="50">
        <f t="shared" si="102"/>
        <v>0</v>
      </c>
      <c r="AP145" s="50">
        <f t="shared" si="102"/>
        <v>0</v>
      </c>
      <c r="AQ145" s="50">
        <f t="shared" si="102"/>
        <v>0</v>
      </c>
      <c r="AR145" s="50">
        <f t="shared" si="102"/>
        <v>0</v>
      </c>
      <c r="AS145" s="50">
        <f t="shared" si="102"/>
        <v>0</v>
      </c>
      <c r="AT145" s="50">
        <f t="shared" si="102"/>
        <v>0</v>
      </c>
      <c r="AU145" s="50">
        <f t="shared" si="102"/>
        <v>0</v>
      </c>
    </row>
    <row r="146" spans="1:47">
      <c r="A146" s="38" t="str">
        <f t="shared" si="99"/>
        <v>3Y-</v>
      </c>
      <c r="B146" s="38" t="s">
        <v>263</v>
      </c>
      <c r="C146" s="38" t="str">
        <f t="shared" ref="C146:C150" si="103">C145</f>
        <v>Belt Filter Press Dewatering</v>
      </c>
      <c r="D146" s="186">
        <f>OMEsc</f>
        <v>0.02</v>
      </c>
      <c r="E146" s="325"/>
      <c r="G146" s="36" t="s">
        <v>127</v>
      </c>
      <c r="I146" s="39"/>
      <c r="K146" s="39"/>
      <c r="L146" s="43" t="str">
        <f>"["&amp;CostBaseYr&amp;" $]"</f>
        <v>[2013 $]</v>
      </c>
      <c r="N146" s="70">
        <f ca="1">SUMIFS(OFFSET(Assumptions!$I$90,0,MATCH($A146,Configurations,0)-1,COUNT(Assumptions!$A$90:$A$183),1),Assumptions!$D$90:$D$183,$B146&amp;$C146)</f>
        <v>142000</v>
      </c>
      <c r="O146" s="313"/>
      <c r="P146" s="323"/>
      <c r="Q146" s="313"/>
      <c r="R146" s="50">
        <f t="shared" ca="1" si="101"/>
        <v>144840</v>
      </c>
      <c r="S146" s="50">
        <f t="shared" ca="1" si="102"/>
        <v>147736.79999999999</v>
      </c>
      <c r="T146" s="50">
        <f t="shared" ca="1" si="102"/>
        <v>150691.53599999999</v>
      </c>
      <c r="U146" s="50">
        <f t="shared" ca="1" si="102"/>
        <v>153705.36671999999</v>
      </c>
      <c r="V146" s="50">
        <f t="shared" ca="1" si="102"/>
        <v>156779.47405439999</v>
      </c>
      <c r="W146" s="50">
        <f t="shared" ca="1" si="102"/>
        <v>159915.06353548801</v>
      </c>
      <c r="X146" s="50">
        <f t="shared" ca="1" si="102"/>
        <v>163113.36480619773</v>
      </c>
      <c r="Y146" s="50">
        <f t="shared" ca="1" si="102"/>
        <v>166375.63210232172</v>
      </c>
      <c r="Z146" s="50">
        <f t="shared" ca="1" si="102"/>
        <v>169703.14474436812</v>
      </c>
      <c r="AA146" s="50">
        <f t="shared" ca="1" si="102"/>
        <v>173097.2076392555</v>
      </c>
      <c r="AB146" s="50">
        <f t="shared" ca="1" si="102"/>
        <v>176559.15179204059</v>
      </c>
      <c r="AC146" s="50">
        <f t="shared" ca="1" si="102"/>
        <v>180090.33482788142</v>
      </c>
      <c r="AD146" s="50">
        <f t="shared" ca="1" si="102"/>
        <v>183692.14152443904</v>
      </c>
      <c r="AE146" s="50">
        <f t="shared" ca="1" si="102"/>
        <v>187365.98435492784</v>
      </c>
      <c r="AF146" s="50">
        <f t="shared" ca="1" si="102"/>
        <v>191113.30404202634</v>
      </c>
      <c r="AG146" s="50">
        <f t="shared" ca="1" si="102"/>
        <v>194935.57012286692</v>
      </c>
      <c r="AH146" s="50">
        <f t="shared" ca="1" si="102"/>
        <v>198834.28152532427</v>
      </c>
      <c r="AI146" s="50">
        <f t="shared" ca="1" si="102"/>
        <v>202810.96715583073</v>
      </c>
      <c r="AJ146" s="50">
        <f t="shared" ca="1" si="102"/>
        <v>206867.18649894733</v>
      </c>
      <c r="AK146" s="50">
        <f t="shared" ca="1" si="102"/>
        <v>211004.53022892631</v>
      </c>
      <c r="AL146" s="50">
        <f t="shared" si="102"/>
        <v>0</v>
      </c>
      <c r="AM146" s="50">
        <f t="shared" si="102"/>
        <v>0</v>
      </c>
      <c r="AN146" s="50">
        <f t="shared" si="102"/>
        <v>0</v>
      </c>
      <c r="AO146" s="50">
        <f t="shared" si="102"/>
        <v>0</v>
      </c>
      <c r="AP146" s="50">
        <f t="shared" si="102"/>
        <v>0</v>
      </c>
      <c r="AQ146" s="50">
        <f t="shared" si="102"/>
        <v>0</v>
      </c>
      <c r="AR146" s="50">
        <f t="shared" si="102"/>
        <v>0</v>
      </c>
      <c r="AS146" s="50">
        <f t="shared" si="102"/>
        <v>0</v>
      </c>
      <c r="AT146" s="50">
        <f t="shared" si="102"/>
        <v>0</v>
      </c>
      <c r="AU146" s="50">
        <f t="shared" si="102"/>
        <v>0</v>
      </c>
    </row>
    <row r="147" spans="1:47">
      <c r="A147" s="38" t="str">
        <f t="shared" si="99"/>
        <v>3Y-</v>
      </c>
      <c r="B147" s="38" t="s">
        <v>277</v>
      </c>
      <c r="C147" s="38" t="str">
        <f t="shared" si="103"/>
        <v>Belt Filter Press Dewatering</v>
      </c>
      <c r="D147" s="186">
        <f>OMEsc</f>
        <v>0.02</v>
      </c>
      <c r="E147" s="325"/>
      <c r="G147" s="36" t="s">
        <v>276</v>
      </c>
      <c r="I147" s="39"/>
      <c r="K147" s="39"/>
      <c r="L147" s="43" t="str">
        <f>"["&amp;CostBaseYr&amp;" $]"</f>
        <v>[2013 $]</v>
      </c>
      <c r="N147" s="70">
        <f ca="1">SUMIFS(OFFSET(Assumptions!$I$90,0,MATCH($A147,Configurations,0)-1,COUNT(Assumptions!$A$90:$A$183),1),Assumptions!$D$90:$D$183,$B147&amp;$C147)</f>
        <v>0</v>
      </c>
      <c r="O147" s="313"/>
      <c r="P147" s="323"/>
      <c r="Q147" s="313"/>
      <c r="R147" s="50">
        <f t="shared" ca="1" si="101"/>
        <v>0</v>
      </c>
      <c r="S147" s="50">
        <f t="shared" ca="1" si="102"/>
        <v>0</v>
      </c>
      <c r="T147" s="50">
        <f t="shared" ca="1" si="102"/>
        <v>0</v>
      </c>
      <c r="U147" s="50">
        <f t="shared" ca="1" si="102"/>
        <v>0</v>
      </c>
      <c r="V147" s="50">
        <f t="shared" ca="1" si="102"/>
        <v>0</v>
      </c>
      <c r="W147" s="50">
        <f t="shared" ca="1" si="102"/>
        <v>0</v>
      </c>
      <c r="X147" s="50">
        <f t="shared" ca="1" si="102"/>
        <v>0</v>
      </c>
      <c r="Y147" s="50">
        <f t="shared" ca="1" si="102"/>
        <v>0</v>
      </c>
      <c r="Z147" s="50">
        <f t="shared" ca="1" si="102"/>
        <v>0</v>
      </c>
      <c r="AA147" s="50">
        <f t="shared" ca="1" si="102"/>
        <v>0</v>
      </c>
      <c r="AB147" s="50">
        <f t="shared" ca="1" si="102"/>
        <v>0</v>
      </c>
      <c r="AC147" s="50">
        <f t="shared" ca="1" si="102"/>
        <v>0</v>
      </c>
      <c r="AD147" s="50">
        <f t="shared" ca="1" si="102"/>
        <v>0</v>
      </c>
      <c r="AE147" s="50">
        <f t="shared" ca="1" si="102"/>
        <v>0</v>
      </c>
      <c r="AF147" s="50">
        <f t="shared" ca="1" si="102"/>
        <v>0</v>
      </c>
      <c r="AG147" s="50">
        <f t="shared" ca="1" si="102"/>
        <v>0</v>
      </c>
      <c r="AH147" s="50">
        <f t="shared" ca="1" si="102"/>
        <v>0</v>
      </c>
      <c r="AI147" s="50">
        <f t="shared" ca="1" si="102"/>
        <v>0</v>
      </c>
      <c r="AJ147" s="50">
        <f t="shared" ca="1" si="102"/>
        <v>0</v>
      </c>
      <c r="AK147" s="50">
        <f t="shared" ca="1" si="102"/>
        <v>0</v>
      </c>
      <c r="AL147" s="50">
        <f t="shared" si="102"/>
        <v>0</v>
      </c>
      <c r="AM147" s="50">
        <f t="shared" si="102"/>
        <v>0</v>
      </c>
      <c r="AN147" s="50">
        <f t="shared" si="102"/>
        <v>0</v>
      </c>
      <c r="AO147" s="50">
        <f t="shared" si="102"/>
        <v>0</v>
      </c>
      <c r="AP147" s="50">
        <f t="shared" si="102"/>
        <v>0</v>
      </c>
      <c r="AQ147" s="50">
        <f t="shared" si="102"/>
        <v>0</v>
      </c>
      <c r="AR147" s="50">
        <f t="shared" si="102"/>
        <v>0</v>
      </c>
      <c r="AS147" s="50">
        <f t="shared" si="102"/>
        <v>0</v>
      </c>
      <c r="AT147" s="50">
        <f t="shared" si="102"/>
        <v>0</v>
      </c>
      <c r="AU147" s="50">
        <f t="shared" si="102"/>
        <v>0</v>
      </c>
    </row>
    <row r="148" spans="1:47">
      <c r="A148" s="38" t="str">
        <f t="shared" si="99"/>
        <v>3Y-</v>
      </c>
      <c r="B148" s="38" t="s">
        <v>274</v>
      </c>
      <c r="C148" s="38" t="str">
        <f t="shared" si="103"/>
        <v>Belt Filter Press Dewatering</v>
      </c>
      <c r="D148" s="186"/>
      <c r="E148" s="325"/>
      <c r="G148" s="36" t="s">
        <v>16</v>
      </c>
      <c r="I148" s="39"/>
      <c r="K148" s="39"/>
      <c r="L148" s="43" t="s">
        <v>275</v>
      </c>
      <c r="N148" s="70">
        <f ca="1">SUMIFS(OFFSET(Assumptions!$I$90,0,MATCH($A148,Configurations,0)-1,COUNT(Assumptions!$A$90:$A$183),1),Assumptions!$D$90:$D$183,$B148&amp;$C148)</f>
        <v>0</v>
      </c>
      <c r="O148" s="313"/>
      <c r="P148" s="323"/>
      <c r="Q148" s="313"/>
      <c r="R148" s="50">
        <f t="shared" ref="R148:AU148" ca="1" si="104">IF(OR(R$99&lt;InServiceYr,R$99&gt;(InServiceYr+analysis_period-1)),0,IF($P148=0,$N148,$P148)*R$505)</f>
        <v>0</v>
      </c>
      <c r="S148" s="50">
        <f t="shared" ca="1" si="104"/>
        <v>0</v>
      </c>
      <c r="T148" s="50">
        <f t="shared" ca="1" si="104"/>
        <v>0</v>
      </c>
      <c r="U148" s="50">
        <f t="shared" ca="1" si="104"/>
        <v>0</v>
      </c>
      <c r="V148" s="50">
        <f t="shared" ca="1" si="104"/>
        <v>0</v>
      </c>
      <c r="W148" s="50">
        <f t="shared" ca="1" si="104"/>
        <v>0</v>
      </c>
      <c r="X148" s="50">
        <f t="shared" ca="1" si="104"/>
        <v>0</v>
      </c>
      <c r="Y148" s="50">
        <f t="shared" ca="1" si="104"/>
        <v>0</v>
      </c>
      <c r="Z148" s="50">
        <f t="shared" ca="1" si="104"/>
        <v>0</v>
      </c>
      <c r="AA148" s="50">
        <f t="shared" ca="1" si="104"/>
        <v>0</v>
      </c>
      <c r="AB148" s="50">
        <f t="shared" ca="1" si="104"/>
        <v>0</v>
      </c>
      <c r="AC148" s="50">
        <f t="shared" ca="1" si="104"/>
        <v>0</v>
      </c>
      <c r="AD148" s="50">
        <f t="shared" ca="1" si="104"/>
        <v>0</v>
      </c>
      <c r="AE148" s="50">
        <f t="shared" ca="1" si="104"/>
        <v>0</v>
      </c>
      <c r="AF148" s="50">
        <f t="shared" ca="1" si="104"/>
        <v>0</v>
      </c>
      <c r="AG148" s="50">
        <f t="shared" ca="1" si="104"/>
        <v>0</v>
      </c>
      <c r="AH148" s="50">
        <f t="shared" ca="1" si="104"/>
        <v>0</v>
      </c>
      <c r="AI148" s="50">
        <f t="shared" ca="1" si="104"/>
        <v>0</v>
      </c>
      <c r="AJ148" s="50">
        <f t="shared" ca="1" si="104"/>
        <v>0</v>
      </c>
      <c r="AK148" s="50">
        <f t="shared" ca="1" si="104"/>
        <v>0</v>
      </c>
      <c r="AL148" s="50">
        <f t="shared" si="104"/>
        <v>0</v>
      </c>
      <c r="AM148" s="50">
        <f t="shared" si="104"/>
        <v>0</v>
      </c>
      <c r="AN148" s="50">
        <f t="shared" si="104"/>
        <v>0</v>
      </c>
      <c r="AO148" s="50">
        <f t="shared" si="104"/>
        <v>0</v>
      </c>
      <c r="AP148" s="50">
        <f t="shared" si="104"/>
        <v>0</v>
      </c>
      <c r="AQ148" s="50">
        <f t="shared" si="104"/>
        <v>0</v>
      </c>
      <c r="AR148" s="50">
        <f t="shared" si="104"/>
        <v>0</v>
      </c>
      <c r="AS148" s="50">
        <f t="shared" si="104"/>
        <v>0</v>
      </c>
      <c r="AT148" s="50">
        <f t="shared" si="104"/>
        <v>0</v>
      </c>
      <c r="AU148" s="50">
        <f t="shared" si="104"/>
        <v>0</v>
      </c>
    </row>
    <row r="149" spans="1:47">
      <c r="A149" s="38" t="str">
        <f t="shared" si="99"/>
        <v>3Y-</v>
      </c>
      <c r="B149" s="38" t="s">
        <v>257</v>
      </c>
      <c r="C149" s="38" t="str">
        <f t="shared" si="103"/>
        <v>Belt Filter Press Dewatering</v>
      </c>
      <c r="D149" s="186"/>
      <c r="E149" s="325"/>
      <c r="G149" s="36" t="s">
        <v>284</v>
      </c>
      <c r="I149" s="39"/>
      <c r="K149" s="39"/>
      <c r="L149" s="43" t="s">
        <v>293</v>
      </c>
      <c r="N149" s="70">
        <f ca="1">SUMIFS(OFFSET(Assumptions!$I$90,0,MATCH($A149,Configurations,0)-1,COUNT(Assumptions!$A$90:$A$183),1),Assumptions!$D$90:$D$183,$B149&amp;$C149)</f>
        <v>32490</v>
      </c>
      <c r="O149" s="313"/>
      <c r="P149" s="323"/>
      <c r="Q149" s="313"/>
      <c r="R149" s="50">
        <f t="shared" ref="R149:AU149" ca="1" si="105">IF(OR(R$99&lt;InServiceYr,R$99&gt;(InServiceYr+analysis_period-1)),0,IF($P149=0,$N149,$P149)*R$501)</f>
        <v>2098.2547564795068</v>
      </c>
      <c r="S149" s="50">
        <f t="shared" ca="1" si="105"/>
        <v>2111.3342931383763</v>
      </c>
      <c r="T149" s="50">
        <f t="shared" ca="1" si="105"/>
        <v>2202.3537909970146</v>
      </c>
      <c r="U149" s="50">
        <f t="shared" ca="1" si="105"/>
        <v>2268.4188936706396</v>
      </c>
      <c r="V149" s="50">
        <f t="shared" ca="1" si="105"/>
        <v>2323.1583602716419</v>
      </c>
      <c r="W149" s="50">
        <f t="shared" ca="1" si="105"/>
        <v>2352.8791821872192</v>
      </c>
      <c r="X149" s="50">
        <f t="shared" ca="1" si="105"/>
        <v>2391.166345682725</v>
      </c>
      <c r="Y149" s="50">
        <f t="shared" ca="1" si="105"/>
        <v>2450.0798143104926</v>
      </c>
      <c r="Z149" s="50">
        <f t="shared" ca="1" si="105"/>
        <v>2508.7363957116122</v>
      </c>
      <c r="AA149" s="50">
        <f t="shared" ca="1" si="105"/>
        <v>2571.4609674638173</v>
      </c>
      <c r="AB149" s="50">
        <f t="shared" ca="1" si="105"/>
        <v>2627.1583054959615</v>
      </c>
      <c r="AC149" s="50">
        <f t="shared" ca="1" si="105"/>
        <v>2677.7478082453536</v>
      </c>
      <c r="AD149" s="50">
        <f t="shared" ca="1" si="105"/>
        <v>2739.6032393419855</v>
      </c>
      <c r="AE149" s="50">
        <f t="shared" ca="1" si="105"/>
        <v>2802.0433408923659</v>
      </c>
      <c r="AF149" s="50">
        <f t="shared" ca="1" si="105"/>
        <v>2868.6664172445689</v>
      </c>
      <c r="AG149" s="50">
        <f t="shared" ca="1" si="105"/>
        <v>2943.2999662231368</v>
      </c>
      <c r="AH149" s="50">
        <f t="shared" ca="1" si="105"/>
        <v>3015.4327695606694</v>
      </c>
      <c r="AI149" s="50">
        <f t="shared" ca="1" si="105"/>
        <v>3093.657865612267</v>
      </c>
      <c r="AJ149" s="50">
        <f t="shared" ca="1" si="105"/>
        <v>3176.4704867682817</v>
      </c>
      <c r="AK149" s="50">
        <f t="shared" ca="1" si="105"/>
        <v>3262.880858397365</v>
      </c>
      <c r="AL149" s="50">
        <f t="shared" si="105"/>
        <v>0</v>
      </c>
      <c r="AM149" s="50">
        <f t="shared" si="105"/>
        <v>0</v>
      </c>
      <c r="AN149" s="50">
        <f t="shared" si="105"/>
        <v>0</v>
      </c>
      <c r="AO149" s="50">
        <f t="shared" si="105"/>
        <v>0</v>
      </c>
      <c r="AP149" s="50">
        <f t="shared" si="105"/>
        <v>0</v>
      </c>
      <c r="AQ149" s="50">
        <f t="shared" si="105"/>
        <v>0</v>
      </c>
      <c r="AR149" s="50">
        <f t="shared" si="105"/>
        <v>0</v>
      </c>
      <c r="AS149" s="50">
        <f t="shared" si="105"/>
        <v>0</v>
      </c>
      <c r="AT149" s="50">
        <f t="shared" si="105"/>
        <v>0</v>
      </c>
      <c r="AU149" s="50">
        <f t="shared" si="105"/>
        <v>0</v>
      </c>
    </row>
    <row r="150" spans="1:47">
      <c r="A150" s="38" t="str">
        <f t="shared" si="99"/>
        <v>3Y-</v>
      </c>
      <c r="B150" s="38" t="s">
        <v>864</v>
      </c>
      <c r="C150" s="38" t="str">
        <f t="shared" si="103"/>
        <v>Belt Filter Press Dewatering</v>
      </c>
      <c r="D150" s="186">
        <f>GHGEsc</f>
        <v>0.02</v>
      </c>
      <c r="E150" s="325"/>
      <c r="G150" s="36" t="s">
        <v>865</v>
      </c>
      <c r="I150" s="39"/>
      <c r="K150" s="39"/>
      <c r="L150" s="43" t="s">
        <v>866</v>
      </c>
      <c r="N150" s="70">
        <f ca="1">SUMIFS(OFFSET(Assumptions!$I$90,0,MATCH($A150,Configurations,0)-1,COUNT(Assumptions!$A$90:$A$183),1),Assumptions!$D$90:$D$183,$B150&amp;$C150)</f>
        <v>0</v>
      </c>
      <c r="O150" s="313"/>
      <c r="P150" s="323"/>
      <c r="Q150" s="313"/>
      <c r="R150" s="50">
        <f t="shared" ref="R150:AU150" ca="1" si="106">IF(OR(R$99&lt;InServiceYr,R$99&gt;(InServiceYr+analysis_period-1)),0,IF($P150=0,$N150,$P150)*R$513)</f>
        <v>0</v>
      </c>
      <c r="S150" s="50">
        <f t="shared" ca="1" si="106"/>
        <v>0</v>
      </c>
      <c r="T150" s="50">
        <f t="shared" ca="1" si="106"/>
        <v>0</v>
      </c>
      <c r="U150" s="50">
        <f t="shared" ca="1" si="106"/>
        <v>0</v>
      </c>
      <c r="V150" s="50">
        <f t="shared" ca="1" si="106"/>
        <v>0</v>
      </c>
      <c r="W150" s="50">
        <f t="shared" ca="1" si="106"/>
        <v>0</v>
      </c>
      <c r="X150" s="50">
        <f t="shared" ca="1" si="106"/>
        <v>0</v>
      </c>
      <c r="Y150" s="50">
        <f t="shared" ca="1" si="106"/>
        <v>0</v>
      </c>
      <c r="Z150" s="50">
        <f t="shared" ca="1" si="106"/>
        <v>0</v>
      </c>
      <c r="AA150" s="50">
        <f t="shared" ca="1" si="106"/>
        <v>0</v>
      </c>
      <c r="AB150" s="50">
        <f t="shared" ca="1" si="106"/>
        <v>0</v>
      </c>
      <c r="AC150" s="50">
        <f t="shared" ca="1" si="106"/>
        <v>0</v>
      </c>
      <c r="AD150" s="50">
        <f t="shared" ca="1" si="106"/>
        <v>0</v>
      </c>
      <c r="AE150" s="50">
        <f t="shared" ca="1" si="106"/>
        <v>0</v>
      </c>
      <c r="AF150" s="50">
        <f t="shared" ca="1" si="106"/>
        <v>0</v>
      </c>
      <c r="AG150" s="50">
        <f t="shared" ca="1" si="106"/>
        <v>0</v>
      </c>
      <c r="AH150" s="50">
        <f t="shared" ca="1" si="106"/>
        <v>0</v>
      </c>
      <c r="AI150" s="50">
        <f t="shared" ca="1" si="106"/>
        <v>0</v>
      </c>
      <c r="AJ150" s="50">
        <f t="shared" ca="1" si="106"/>
        <v>0</v>
      </c>
      <c r="AK150" s="50">
        <f t="shared" ca="1" si="106"/>
        <v>0</v>
      </c>
      <c r="AL150" s="50">
        <f t="shared" si="106"/>
        <v>0</v>
      </c>
      <c r="AM150" s="50">
        <f t="shared" si="106"/>
        <v>0</v>
      </c>
      <c r="AN150" s="50">
        <f t="shared" si="106"/>
        <v>0</v>
      </c>
      <c r="AO150" s="50">
        <f t="shared" si="106"/>
        <v>0</v>
      </c>
      <c r="AP150" s="50">
        <f t="shared" si="106"/>
        <v>0</v>
      </c>
      <c r="AQ150" s="50">
        <f t="shared" si="106"/>
        <v>0</v>
      </c>
      <c r="AR150" s="50">
        <f t="shared" si="106"/>
        <v>0</v>
      </c>
      <c r="AS150" s="50">
        <f t="shared" si="106"/>
        <v>0</v>
      </c>
      <c r="AT150" s="50">
        <f t="shared" si="106"/>
        <v>0</v>
      </c>
      <c r="AU150" s="50">
        <f t="shared" si="106"/>
        <v>0</v>
      </c>
    </row>
    <row r="151" spans="1:47">
      <c r="A151" s="38" t="str">
        <f t="shared" si="99"/>
        <v>3Y-</v>
      </c>
      <c r="B151" s="38" t="s">
        <v>273</v>
      </c>
      <c r="C151" s="38" t="str">
        <f>C149</f>
        <v>Belt Filter Press Dewatering</v>
      </c>
      <c r="D151" s="186">
        <f>LaborEsc</f>
        <v>0.02</v>
      </c>
      <c r="E151" s="325"/>
      <c r="G151" s="36" t="s">
        <v>291</v>
      </c>
      <c r="I151" s="39"/>
      <c r="K151" s="39"/>
      <c r="L151" s="43" t="str">
        <f>"["&amp;CostBaseYr&amp;" $]"</f>
        <v>[2013 $]</v>
      </c>
      <c r="N151" s="70">
        <f ca="1">SUMIFS(OFFSET(Assumptions!$I$90,0,MATCH($A151,Configurations,0)-1,COUNT(Assumptions!$A$90:$A$183),1),Assumptions!$D$90:$D$183,$B151&amp;$C151)</f>
        <v>0</v>
      </c>
      <c r="O151" s="313"/>
      <c r="P151" s="323"/>
      <c r="Q151" s="313"/>
      <c r="R151" s="50">
        <f t="shared" ref="R151:AU151" ca="1" si="107">IF(OR(R$99&lt;InServiceYr,R$99&gt;(InServiceYr+analysis_period-1)),0,IF($P151=0,$N151,$P151)*(1+$D151)^(R$99-CostBaseYr))*R$509</f>
        <v>0</v>
      </c>
      <c r="S151" s="50">
        <f t="shared" ca="1" si="107"/>
        <v>0</v>
      </c>
      <c r="T151" s="50">
        <f t="shared" ca="1" si="107"/>
        <v>0</v>
      </c>
      <c r="U151" s="50">
        <f t="shared" ca="1" si="107"/>
        <v>0</v>
      </c>
      <c r="V151" s="50">
        <f t="shared" ca="1" si="107"/>
        <v>0</v>
      </c>
      <c r="W151" s="50">
        <f t="shared" ca="1" si="107"/>
        <v>0</v>
      </c>
      <c r="X151" s="50">
        <f t="shared" ca="1" si="107"/>
        <v>0</v>
      </c>
      <c r="Y151" s="50">
        <f t="shared" ca="1" si="107"/>
        <v>0</v>
      </c>
      <c r="Z151" s="50">
        <f t="shared" ca="1" si="107"/>
        <v>0</v>
      </c>
      <c r="AA151" s="50">
        <f t="shared" ca="1" si="107"/>
        <v>0</v>
      </c>
      <c r="AB151" s="50">
        <f t="shared" ca="1" si="107"/>
        <v>0</v>
      </c>
      <c r="AC151" s="50">
        <f t="shared" ca="1" si="107"/>
        <v>0</v>
      </c>
      <c r="AD151" s="50">
        <f t="shared" ca="1" si="107"/>
        <v>0</v>
      </c>
      <c r="AE151" s="50">
        <f t="shared" ca="1" si="107"/>
        <v>0</v>
      </c>
      <c r="AF151" s="50">
        <f t="shared" ca="1" si="107"/>
        <v>0</v>
      </c>
      <c r="AG151" s="50">
        <f t="shared" ca="1" si="107"/>
        <v>0</v>
      </c>
      <c r="AH151" s="50">
        <f t="shared" ca="1" si="107"/>
        <v>0</v>
      </c>
      <c r="AI151" s="50">
        <f t="shared" ca="1" si="107"/>
        <v>0</v>
      </c>
      <c r="AJ151" s="50">
        <f t="shared" ca="1" si="107"/>
        <v>0</v>
      </c>
      <c r="AK151" s="50">
        <f t="shared" ca="1" si="107"/>
        <v>0</v>
      </c>
      <c r="AL151" s="50">
        <f t="shared" si="107"/>
        <v>0</v>
      </c>
      <c r="AM151" s="50">
        <f t="shared" si="107"/>
        <v>0</v>
      </c>
      <c r="AN151" s="50">
        <f t="shared" si="107"/>
        <v>0</v>
      </c>
      <c r="AO151" s="50">
        <f t="shared" si="107"/>
        <v>0</v>
      </c>
      <c r="AP151" s="50">
        <f t="shared" si="107"/>
        <v>0</v>
      </c>
      <c r="AQ151" s="50">
        <f t="shared" si="107"/>
        <v>0</v>
      </c>
      <c r="AR151" s="50">
        <f t="shared" si="107"/>
        <v>0</v>
      </c>
      <c r="AS151" s="50">
        <f t="shared" si="107"/>
        <v>0</v>
      </c>
      <c r="AT151" s="50">
        <f t="shared" si="107"/>
        <v>0</v>
      </c>
      <c r="AU151" s="50">
        <f t="shared" si="107"/>
        <v>0</v>
      </c>
    </row>
    <row r="152" spans="1:47">
      <c r="D152" s="186"/>
      <c r="E152" s="325"/>
      <c r="G152" s="39" t="s">
        <v>304</v>
      </c>
      <c r="I152" s="39"/>
      <c r="K152" s="39"/>
      <c r="L152" s="43"/>
      <c r="N152" s="70"/>
      <c r="O152" s="313"/>
      <c r="P152" s="70"/>
      <c r="Q152" s="313"/>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row>
    <row r="153" spans="1:47">
      <c r="A153" s="38" t="str">
        <f>$J$4&amp;"-"</f>
        <v>3Y-</v>
      </c>
      <c r="B153" s="38" t="s">
        <v>265</v>
      </c>
      <c r="C153" s="38" t="str">
        <f>C144</f>
        <v>Belt Filter Press Dewatering</v>
      </c>
      <c r="D153" s="186"/>
      <c r="E153" s="325"/>
      <c r="G153" s="36" t="s">
        <v>108</v>
      </c>
      <c r="I153" s="39"/>
      <c r="K153" s="39"/>
      <c r="L153" s="43" t="s">
        <v>293</v>
      </c>
      <c r="N153" s="70">
        <f ca="1">SUMIFS(OFFSET(Assumptions!$I$90,0,MATCH($A153,Configurations,0)-1,COUNT(Assumptions!$A$90:$A$183),1),Assumptions!$D$90:$D$183,$B153&amp;$C153)</f>
        <v>0</v>
      </c>
      <c r="O153" s="313"/>
      <c r="P153" s="323"/>
      <c r="Q153" s="313"/>
      <c r="R153" s="50">
        <f t="shared" ref="R153:AU153" ca="1" si="108">IF(OR(R$99&lt;InServiceYr,R$99&gt;(InServiceYr+analysis_period-1)),0,IF($P153=0,$N153,$P153)*R$501)</f>
        <v>0</v>
      </c>
      <c r="S153" s="50">
        <f t="shared" ca="1" si="108"/>
        <v>0</v>
      </c>
      <c r="T153" s="50">
        <f t="shared" ca="1" si="108"/>
        <v>0</v>
      </c>
      <c r="U153" s="50">
        <f t="shared" ca="1" si="108"/>
        <v>0</v>
      </c>
      <c r="V153" s="50">
        <f t="shared" ca="1" si="108"/>
        <v>0</v>
      </c>
      <c r="W153" s="50">
        <f t="shared" ca="1" si="108"/>
        <v>0</v>
      </c>
      <c r="X153" s="50">
        <f t="shared" ca="1" si="108"/>
        <v>0</v>
      </c>
      <c r="Y153" s="50">
        <f t="shared" ca="1" si="108"/>
        <v>0</v>
      </c>
      <c r="Z153" s="50">
        <f t="shared" ca="1" si="108"/>
        <v>0</v>
      </c>
      <c r="AA153" s="50">
        <f t="shared" ca="1" si="108"/>
        <v>0</v>
      </c>
      <c r="AB153" s="50">
        <f t="shared" ca="1" si="108"/>
        <v>0</v>
      </c>
      <c r="AC153" s="50">
        <f t="shared" ca="1" si="108"/>
        <v>0</v>
      </c>
      <c r="AD153" s="50">
        <f t="shared" ca="1" si="108"/>
        <v>0</v>
      </c>
      <c r="AE153" s="50">
        <f t="shared" ca="1" si="108"/>
        <v>0</v>
      </c>
      <c r="AF153" s="50">
        <f t="shared" ca="1" si="108"/>
        <v>0</v>
      </c>
      <c r="AG153" s="50">
        <f t="shared" ca="1" si="108"/>
        <v>0</v>
      </c>
      <c r="AH153" s="50">
        <f t="shared" ca="1" si="108"/>
        <v>0</v>
      </c>
      <c r="AI153" s="50">
        <f t="shared" ca="1" si="108"/>
        <v>0</v>
      </c>
      <c r="AJ153" s="50">
        <f t="shared" ca="1" si="108"/>
        <v>0</v>
      </c>
      <c r="AK153" s="50">
        <f t="shared" ca="1" si="108"/>
        <v>0</v>
      </c>
      <c r="AL153" s="50">
        <f t="shared" si="108"/>
        <v>0</v>
      </c>
      <c r="AM153" s="50">
        <f t="shared" si="108"/>
        <v>0</v>
      </c>
      <c r="AN153" s="50">
        <f t="shared" si="108"/>
        <v>0</v>
      </c>
      <c r="AO153" s="50">
        <f t="shared" si="108"/>
        <v>0</v>
      </c>
      <c r="AP153" s="50">
        <f t="shared" si="108"/>
        <v>0</v>
      </c>
      <c r="AQ153" s="50">
        <f t="shared" si="108"/>
        <v>0</v>
      </c>
      <c r="AR153" s="50">
        <f t="shared" si="108"/>
        <v>0</v>
      </c>
      <c r="AS153" s="50">
        <f t="shared" si="108"/>
        <v>0</v>
      </c>
      <c r="AT153" s="50">
        <f t="shared" si="108"/>
        <v>0</v>
      </c>
      <c r="AU153" s="50">
        <f t="shared" si="108"/>
        <v>0</v>
      </c>
    </row>
    <row r="154" spans="1:47">
      <c r="A154" s="38" t="str">
        <f>$J$4&amp;"-"</f>
        <v>3Y-</v>
      </c>
      <c r="B154" s="38" t="s">
        <v>289</v>
      </c>
      <c r="C154" s="38" t="str">
        <f>C144</f>
        <v>Belt Filter Press Dewatering</v>
      </c>
      <c r="D154" s="186">
        <f>LaborEsc</f>
        <v>0.02</v>
      </c>
      <c r="E154" s="325"/>
      <c r="G154" s="36" t="s">
        <v>292</v>
      </c>
      <c r="I154" s="39"/>
      <c r="K154" s="39"/>
      <c r="L154" s="43" t="str">
        <f>"["&amp;CostBaseYr&amp;" $]"</f>
        <v>[2013 $]</v>
      </c>
      <c r="N154" s="70">
        <f ca="1">SUMIFS(OFFSET(Assumptions!$I$90,0,MATCH($A154,Configurations,0)-1,COUNT(Assumptions!$A$90:$A$183),1),Assumptions!$D$90:$D$183,$B154&amp;$C154)</f>
        <v>0</v>
      </c>
      <c r="O154" s="313"/>
      <c r="P154" s="323"/>
      <c r="Q154" s="313"/>
      <c r="R154" s="50">
        <f t="shared" ref="R154:AU154" ca="1" si="109">IF(OR(R$99&lt;InServiceYr,R$99&gt;(InServiceYr+analysis_period-1)),0,IF($P154=0,$N154,$P154)*(1+$D154)^(R$99-CostBaseYr))</f>
        <v>0</v>
      </c>
      <c r="S154" s="50">
        <f t="shared" ca="1" si="109"/>
        <v>0</v>
      </c>
      <c r="T154" s="50">
        <f t="shared" ca="1" si="109"/>
        <v>0</v>
      </c>
      <c r="U154" s="50">
        <f t="shared" ca="1" si="109"/>
        <v>0</v>
      </c>
      <c r="V154" s="50">
        <f t="shared" ca="1" si="109"/>
        <v>0</v>
      </c>
      <c r="W154" s="50">
        <f t="shared" ca="1" si="109"/>
        <v>0</v>
      </c>
      <c r="X154" s="50">
        <f t="shared" ca="1" si="109"/>
        <v>0</v>
      </c>
      <c r="Y154" s="50">
        <f t="shared" ca="1" si="109"/>
        <v>0</v>
      </c>
      <c r="Z154" s="50">
        <f t="shared" ca="1" si="109"/>
        <v>0</v>
      </c>
      <c r="AA154" s="50">
        <f t="shared" ca="1" si="109"/>
        <v>0</v>
      </c>
      <c r="AB154" s="50">
        <f t="shared" ca="1" si="109"/>
        <v>0</v>
      </c>
      <c r="AC154" s="50">
        <f t="shared" ca="1" si="109"/>
        <v>0</v>
      </c>
      <c r="AD154" s="50">
        <f t="shared" ca="1" si="109"/>
        <v>0</v>
      </c>
      <c r="AE154" s="50">
        <f t="shared" ca="1" si="109"/>
        <v>0</v>
      </c>
      <c r="AF154" s="50">
        <f t="shared" ca="1" si="109"/>
        <v>0</v>
      </c>
      <c r="AG154" s="50">
        <f t="shared" ca="1" si="109"/>
        <v>0</v>
      </c>
      <c r="AH154" s="50">
        <f t="shared" ca="1" si="109"/>
        <v>0</v>
      </c>
      <c r="AI154" s="50">
        <f t="shared" ca="1" si="109"/>
        <v>0</v>
      </c>
      <c r="AJ154" s="50">
        <f t="shared" ca="1" si="109"/>
        <v>0</v>
      </c>
      <c r="AK154" s="50">
        <f t="shared" ca="1" si="109"/>
        <v>0</v>
      </c>
      <c r="AL154" s="50">
        <f t="shared" si="109"/>
        <v>0</v>
      </c>
      <c r="AM154" s="50">
        <f t="shared" si="109"/>
        <v>0</v>
      </c>
      <c r="AN154" s="50">
        <f t="shared" si="109"/>
        <v>0</v>
      </c>
      <c r="AO154" s="50">
        <f t="shared" si="109"/>
        <v>0</v>
      </c>
      <c r="AP154" s="50">
        <f t="shared" si="109"/>
        <v>0</v>
      </c>
      <c r="AQ154" s="50">
        <f t="shared" si="109"/>
        <v>0</v>
      </c>
      <c r="AR154" s="50">
        <f t="shared" si="109"/>
        <v>0</v>
      </c>
      <c r="AS154" s="50">
        <f t="shared" si="109"/>
        <v>0</v>
      </c>
      <c r="AT154" s="50">
        <f t="shared" si="109"/>
        <v>0</v>
      </c>
      <c r="AU154" s="50">
        <f t="shared" si="109"/>
        <v>0</v>
      </c>
    </row>
    <row r="155" spans="1:47" s="60" customFormat="1">
      <c r="D155" s="187"/>
      <c r="E155" s="325"/>
      <c r="G155" s="39" t="s">
        <v>305</v>
      </c>
      <c r="I155" s="39"/>
      <c r="K155" s="39"/>
      <c r="L155" s="174"/>
      <c r="N155" s="188"/>
      <c r="O155" s="314"/>
      <c r="P155" s="185"/>
      <c r="Q155" s="314"/>
      <c r="R155" s="185">
        <f ca="1">SUM(R144:R151)-SUM(R153:R154)</f>
        <v>389545.25475647952</v>
      </c>
      <c r="S155" s="185">
        <f t="shared" ref="S155:AU155" ca="1" si="110">SUM(S144:S151)-SUM(S153:S154)</f>
        <v>397307.27429313835</v>
      </c>
      <c r="T155" s="185">
        <f t="shared" ca="1" si="110"/>
        <v>405302.21259099699</v>
      </c>
      <c r="U155" s="185">
        <f t="shared" ca="1" si="110"/>
        <v>413430.27486967063</v>
      </c>
      <c r="V155" s="185">
        <f t="shared" ca="1" si="110"/>
        <v>421708.25145579164</v>
      </c>
      <c r="W155" s="185">
        <f t="shared" ca="1" si="110"/>
        <v>430125.67413961765</v>
      </c>
      <c r="X155" s="185">
        <f t="shared" ca="1" si="110"/>
        <v>438719.41720226168</v>
      </c>
      <c r="Y155" s="185">
        <f t="shared" ca="1" si="110"/>
        <v>447504.89568802103</v>
      </c>
      <c r="Z155" s="185">
        <f t="shared" ca="1" si="110"/>
        <v>456464.64858689631</v>
      </c>
      <c r="AA155" s="185">
        <f t="shared" ca="1" si="110"/>
        <v>465606.49140247231</v>
      </c>
      <c r="AB155" s="185">
        <f t="shared" ca="1" si="110"/>
        <v>474922.88934920449</v>
      </c>
      <c r="AC155" s="185">
        <f t="shared" ca="1" si="110"/>
        <v>484419.3934728282</v>
      </c>
      <c r="AD155" s="185">
        <f t="shared" ca="1" si="110"/>
        <v>494116.08181721641</v>
      </c>
      <c r="AE155" s="185">
        <f t="shared" ca="1" si="110"/>
        <v>504006.05149032432</v>
      </c>
      <c r="AF155" s="185">
        <f t="shared" ca="1" si="110"/>
        <v>514096.75472966506</v>
      </c>
      <c r="AG155" s="185">
        <f t="shared" ca="1" si="110"/>
        <v>524395.95004489215</v>
      </c>
      <c r="AH155" s="185">
        <f t="shared" ca="1" si="110"/>
        <v>534897.13584980322</v>
      </c>
      <c r="AI155" s="185">
        <f t="shared" ca="1" si="110"/>
        <v>545612.99500745954</v>
      </c>
      <c r="AJ155" s="185">
        <f t="shared" ca="1" si="110"/>
        <v>556546.19437145232</v>
      </c>
      <c r="AK155" s="185">
        <f t="shared" ca="1" si="110"/>
        <v>567699.99922077521</v>
      </c>
      <c r="AL155" s="185">
        <f t="shared" si="110"/>
        <v>0</v>
      </c>
      <c r="AM155" s="185">
        <f t="shared" si="110"/>
        <v>0</v>
      </c>
      <c r="AN155" s="185">
        <f t="shared" si="110"/>
        <v>0</v>
      </c>
      <c r="AO155" s="185">
        <f t="shared" si="110"/>
        <v>0</v>
      </c>
      <c r="AP155" s="185">
        <f t="shared" si="110"/>
        <v>0</v>
      </c>
      <c r="AQ155" s="185">
        <f t="shared" si="110"/>
        <v>0</v>
      </c>
      <c r="AR155" s="185">
        <f t="shared" si="110"/>
        <v>0</v>
      </c>
      <c r="AS155" s="185">
        <f t="shared" si="110"/>
        <v>0</v>
      </c>
      <c r="AT155" s="185">
        <f t="shared" si="110"/>
        <v>0</v>
      </c>
      <c r="AU155" s="185">
        <f t="shared" si="110"/>
        <v>0</v>
      </c>
    </row>
    <row r="156" spans="1:47">
      <c r="G156" s="28"/>
      <c r="H156" s="28"/>
      <c r="I156" s="28"/>
      <c r="J156" s="28"/>
      <c r="K156" s="28"/>
      <c r="L156" s="409"/>
      <c r="M156" s="46"/>
      <c r="N156" s="46"/>
      <c r="O156" s="315"/>
      <c r="P156" s="46"/>
      <c r="Q156" s="315"/>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row>
    <row r="157" spans="1:47">
      <c r="E157" s="327"/>
      <c r="F157" s="28"/>
      <c r="G157" s="324" t="str">
        <f>C159&amp;" Capital Costs"</f>
        <v>Cake Storage/Load Out Capital Costs</v>
      </c>
      <c r="H157" s="324"/>
      <c r="I157" s="324"/>
      <c r="J157" s="324"/>
      <c r="K157" s="324"/>
      <c r="L157" s="405" t="s">
        <v>79</v>
      </c>
      <c r="M157" s="256"/>
      <c r="N157" s="325" t="s">
        <v>490</v>
      </c>
      <c r="O157" s="311"/>
      <c r="P157" s="325" t="s">
        <v>491</v>
      </c>
      <c r="Q157" s="310"/>
      <c r="R157" s="325">
        <f>R$8</f>
        <v>2014</v>
      </c>
      <c r="S157" s="325">
        <f t="shared" ref="S157:AU157" si="111">S$8</f>
        <v>2015</v>
      </c>
      <c r="T157" s="325">
        <f t="shared" si="111"/>
        <v>2016</v>
      </c>
      <c r="U157" s="325">
        <f t="shared" si="111"/>
        <v>2017</v>
      </c>
      <c r="V157" s="325">
        <f t="shared" si="111"/>
        <v>2018</v>
      </c>
      <c r="W157" s="325">
        <f t="shared" si="111"/>
        <v>2019</v>
      </c>
      <c r="X157" s="325">
        <f t="shared" si="111"/>
        <v>2020</v>
      </c>
      <c r="Y157" s="325">
        <f t="shared" si="111"/>
        <v>2021</v>
      </c>
      <c r="Z157" s="325">
        <f t="shared" si="111"/>
        <v>2022</v>
      </c>
      <c r="AA157" s="325">
        <f t="shared" si="111"/>
        <v>2023</v>
      </c>
      <c r="AB157" s="325">
        <f t="shared" si="111"/>
        <v>2024</v>
      </c>
      <c r="AC157" s="325">
        <f t="shared" si="111"/>
        <v>2025</v>
      </c>
      <c r="AD157" s="325">
        <f t="shared" si="111"/>
        <v>2026</v>
      </c>
      <c r="AE157" s="325">
        <f t="shared" si="111"/>
        <v>2027</v>
      </c>
      <c r="AF157" s="325">
        <f t="shared" si="111"/>
        <v>2028</v>
      </c>
      <c r="AG157" s="325">
        <f t="shared" si="111"/>
        <v>2029</v>
      </c>
      <c r="AH157" s="325">
        <f t="shared" si="111"/>
        <v>2030</v>
      </c>
      <c r="AI157" s="325">
        <f t="shared" si="111"/>
        <v>2031</v>
      </c>
      <c r="AJ157" s="325">
        <f t="shared" si="111"/>
        <v>2032</v>
      </c>
      <c r="AK157" s="325">
        <f t="shared" si="111"/>
        <v>2033</v>
      </c>
      <c r="AL157" s="325">
        <f t="shared" si="111"/>
        <v>2034</v>
      </c>
      <c r="AM157" s="325">
        <f t="shared" si="111"/>
        <v>2035</v>
      </c>
      <c r="AN157" s="325">
        <f t="shared" si="111"/>
        <v>2036</v>
      </c>
      <c r="AO157" s="325">
        <f t="shared" si="111"/>
        <v>2037</v>
      </c>
      <c r="AP157" s="325">
        <f t="shared" si="111"/>
        <v>2038</v>
      </c>
      <c r="AQ157" s="325">
        <f t="shared" si="111"/>
        <v>2039</v>
      </c>
      <c r="AR157" s="325">
        <f t="shared" si="111"/>
        <v>2040</v>
      </c>
      <c r="AS157" s="325">
        <f t="shared" si="111"/>
        <v>2041</v>
      </c>
      <c r="AT157" s="325">
        <f t="shared" si="111"/>
        <v>2042</v>
      </c>
      <c r="AU157" s="325">
        <f t="shared" si="111"/>
        <v>2043</v>
      </c>
    </row>
    <row r="158" spans="1:47">
      <c r="E158" s="325"/>
      <c r="G158" s="39"/>
      <c r="H158" s="39"/>
      <c r="I158" s="39"/>
      <c r="J158" s="39"/>
      <c r="K158" s="39"/>
    </row>
    <row r="159" spans="1:47">
      <c r="A159" s="38" t="str">
        <f>$J$4&amp;"-"</f>
        <v>3Y-</v>
      </c>
      <c r="B159" s="38" t="s">
        <v>306</v>
      </c>
      <c r="C159" s="38" t="s">
        <v>316</v>
      </c>
      <c r="D159" s="186">
        <f>CapExEsc</f>
        <v>0.03</v>
      </c>
      <c r="E159" s="325"/>
      <c r="G159" s="36" t="s">
        <v>8</v>
      </c>
      <c r="H159" s="39"/>
      <c r="I159" s="39"/>
      <c r="J159" s="70"/>
      <c r="K159" s="39"/>
      <c r="L159" s="43" t="str">
        <f>"["&amp;CostBaseYr&amp;" $]"</f>
        <v>[2013 $]</v>
      </c>
      <c r="N159" s="52">
        <f ca="1">SUMIFS(OFFSET(Assumptions!$I$65,0,MATCH($A159,Configurations,0)-1,COUNT(Assumptions!$A$65:$A$84),1),Assumptions!$E$65:$E$84,$C159)</f>
        <v>3325000</v>
      </c>
      <c r="O159" s="52"/>
      <c r="P159" s="322"/>
      <c r="Q159" s="52"/>
      <c r="R159" s="52">
        <f t="shared" ref="R159:AU159" ca="1" si="112">R160*IF($P159=0,$N159,$P159)*(1+$D159)^(R$8-CostBaseYr)</f>
        <v>3424750</v>
      </c>
      <c r="S159" s="52">
        <f t="shared" ca="1" si="112"/>
        <v>0</v>
      </c>
      <c r="T159" s="52">
        <f t="shared" ca="1" si="112"/>
        <v>0</v>
      </c>
      <c r="U159" s="52">
        <f t="shared" ca="1" si="112"/>
        <v>0</v>
      </c>
      <c r="V159" s="52">
        <f t="shared" ca="1" si="112"/>
        <v>0</v>
      </c>
      <c r="W159" s="52">
        <f t="shared" ca="1" si="112"/>
        <v>0</v>
      </c>
      <c r="X159" s="52">
        <f t="shared" ca="1" si="112"/>
        <v>0</v>
      </c>
      <c r="Y159" s="52">
        <f t="shared" ca="1" si="112"/>
        <v>0</v>
      </c>
      <c r="Z159" s="52">
        <f t="shared" ca="1" si="112"/>
        <v>0</v>
      </c>
      <c r="AA159" s="52">
        <f t="shared" ca="1" si="112"/>
        <v>0</v>
      </c>
      <c r="AB159" s="52">
        <f t="shared" ca="1" si="112"/>
        <v>0</v>
      </c>
      <c r="AC159" s="52">
        <f t="shared" ca="1" si="112"/>
        <v>0</v>
      </c>
      <c r="AD159" s="52">
        <f t="shared" ca="1" si="112"/>
        <v>0</v>
      </c>
      <c r="AE159" s="52">
        <f t="shared" ca="1" si="112"/>
        <v>0</v>
      </c>
      <c r="AF159" s="52">
        <f t="shared" ca="1" si="112"/>
        <v>0</v>
      </c>
      <c r="AG159" s="52">
        <f t="shared" ca="1" si="112"/>
        <v>0</v>
      </c>
      <c r="AH159" s="52">
        <f t="shared" ca="1" si="112"/>
        <v>0</v>
      </c>
      <c r="AI159" s="52">
        <f t="shared" ca="1" si="112"/>
        <v>0</v>
      </c>
      <c r="AJ159" s="52">
        <f t="shared" ca="1" si="112"/>
        <v>0</v>
      </c>
      <c r="AK159" s="52">
        <f t="shared" ca="1" si="112"/>
        <v>0</v>
      </c>
      <c r="AL159" s="52">
        <f t="shared" ca="1" si="112"/>
        <v>0</v>
      </c>
      <c r="AM159" s="52">
        <f t="shared" ca="1" si="112"/>
        <v>0</v>
      </c>
      <c r="AN159" s="52">
        <f t="shared" ca="1" si="112"/>
        <v>0</v>
      </c>
      <c r="AO159" s="52">
        <f t="shared" ca="1" si="112"/>
        <v>0</v>
      </c>
      <c r="AP159" s="52">
        <f t="shared" ca="1" si="112"/>
        <v>0</v>
      </c>
      <c r="AQ159" s="52">
        <f t="shared" ca="1" si="112"/>
        <v>0</v>
      </c>
      <c r="AR159" s="52">
        <f t="shared" ca="1" si="112"/>
        <v>0</v>
      </c>
      <c r="AS159" s="52">
        <f t="shared" ca="1" si="112"/>
        <v>0</v>
      </c>
      <c r="AT159" s="52">
        <f t="shared" ca="1" si="112"/>
        <v>0</v>
      </c>
      <c r="AU159" s="52">
        <f t="shared" ca="1" si="112"/>
        <v>0</v>
      </c>
    </row>
    <row r="160" spans="1:47">
      <c r="E160" s="325"/>
      <c r="G160" s="36" t="s">
        <v>10</v>
      </c>
      <c r="H160" s="39"/>
      <c r="I160" s="39"/>
      <c r="J160" s="39"/>
      <c r="K160" s="39"/>
      <c r="L160" s="43"/>
      <c r="R160" s="54">
        <f>Assumptions!M$60</f>
        <v>1</v>
      </c>
      <c r="S160" s="54">
        <f>Assumptions!N$60</f>
        <v>0</v>
      </c>
      <c r="T160" s="54">
        <f>Assumptions!O$60</f>
        <v>0</v>
      </c>
      <c r="U160" s="54">
        <f>Assumptions!P$60</f>
        <v>0</v>
      </c>
      <c r="V160" s="54">
        <f>Assumptions!Q$60</f>
        <v>0</v>
      </c>
      <c r="W160" s="54">
        <f>Assumptions!R$60</f>
        <v>0</v>
      </c>
      <c r="X160" s="54">
        <f>Assumptions!S$60</f>
        <v>0</v>
      </c>
      <c r="Y160" s="54">
        <f>Assumptions!T$60</f>
        <v>0</v>
      </c>
      <c r="Z160" s="54">
        <f>Assumptions!U$60</f>
        <v>0</v>
      </c>
      <c r="AA160" s="54">
        <f>Assumptions!V$60</f>
        <v>0</v>
      </c>
      <c r="AB160" s="54">
        <f>Assumptions!W$60</f>
        <v>0</v>
      </c>
      <c r="AC160" s="54">
        <f>Assumptions!X$60</f>
        <v>0</v>
      </c>
      <c r="AD160" s="54">
        <f>Assumptions!Y$60</f>
        <v>0</v>
      </c>
      <c r="AE160" s="54">
        <f>Assumptions!Z$60</f>
        <v>0</v>
      </c>
      <c r="AF160" s="54">
        <f>Assumptions!AA$60</f>
        <v>0</v>
      </c>
      <c r="AG160" s="54">
        <f>Assumptions!AB$60</f>
        <v>0</v>
      </c>
      <c r="AH160" s="54">
        <f>Assumptions!AC$60</f>
        <v>0</v>
      </c>
      <c r="AI160" s="54">
        <f>Assumptions!AD$60</f>
        <v>0</v>
      </c>
      <c r="AJ160" s="54">
        <f>Assumptions!AE$60</f>
        <v>0</v>
      </c>
      <c r="AK160" s="54">
        <f>Assumptions!AF$60</f>
        <v>0</v>
      </c>
      <c r="AL160" s="54">
        <f>Assumptions!AG$60</f>
        <v>0</v>
      </c>
      <c r="AM160" s="54">
        <f>Assumptions!AH$60</f>
        <v>0</v>
      </c>
      <c r="AN160" s="54">
        <f>Assumptions!AI$60</f>
        <v>0</v>
      </c>
      <c r="AO160" s="54">
        <f>Assumptions!AJ$60</f>
        <v>0</v>
      </c>
      <c r="AP160" s="54">
        <f>Assumptions!AK$60</f>
        <v>0</v>
      </c>
      <c r="AQ160" s="54">
        <f>Assumptions!AL$60</f>
        <v>0</v>
      </c>
      <c r="AR160" s="54">
        <f>Assumptions!AM$60</f>
        <v>0</v>
      </c>
      <c r="AS160" s="54">
        <f>Assumptions!AN$60</f>
        <v>0</v>
      </c>
      <c r="AT160" s="54">
        <f>Assumptions!AO$60</f>
        <v>0</v>
      </c>
      <c r="AU160" s="54">
        <f>Assumptions!AP$60</f>
        <v>0</v>
      </c>
    </row>
    <row r="161" spans="1:47">
      <c r="E161" s="326"/>
      <c r="G161" s="39"/>
      <c r="H161" s="39"/>
      <c r="I161" s="39"/>
      <c r="J161" s="39"/>
      <c r="K161" s="39"/>
    </row>
    <row r="162" spans="1:47">
      <c r="E162" s="327"/>
      <c r="F162" s="28"/>
      <c r="G162" s="324" t="str">
        <f>C159&amp;" O&amp;M"</f>
        <v>Cake Storage/Load Out O&amp;M</v>
      </c>
      <c r="H162" s="324"/>
      <c r="I162" s="324"/>
      <c r="J162" s="324"/>
      <c r="K162" s="324"/>
      <c r="L162" s="405" t="s">
        <v>79</v>
      </c>
      <c r="M162" s="256"/>
      <c r="N162" s="325" t="s">
        <v>490</v>
      </c>
      <c r="O162" s="311"/>
      <c r="P162" s="325" t="s">
        <v>491</v>
      </c>
      <c r="Q162" s="310"/>
      <c r="R162" s="325">
        <f>R$8</f>
        <v>2014</v>
      </c>
      <c r="S162" s="325">
        <f t="shared" ref="S162:AU162" si="113">S$8</f>
        <v>2015</v>
      </c>
      <c r="T162" s="325">
        <f t="shared" si="113"/>
        <v>2016</v>
      </c>
      <c r="U162" s="325">
        <f t="shared" si="113"/>
        <v>2017</v>
      </c>
      <c r="V162" s="325">
        <f t="shared" si="113"/>
        <v>2018</v>
      </c>
      <c r="W162" s="325">
        <f t="shared" si="113"/>
        <v>2019</v>
      </c>
      <c r="X162" s="325">
        <f t="shared" si="113"/>
        <v>2020</v>
      </c>
      <c r="Y162" s="325">
        <f t="shared" si="113"/>
        <v>2021</v>
      </c>
      <c r="Z162" s="325">
        <f t="shared" si="113"/>
        <v>2022</v>
      </c>
      <c r="AA162" s="325">
        <f t="shared" si="113"/>
        <v>2023</v>
      </c>
      <c r="AB162" s="325">
        <f t="shared" si="113"/>
        <v>2024</v>
      </c>
      <c r="AC162" s="325">
        <f t="shared" si="113"/>
        <v>2025</v>
      </c>
      <c r="AD162" s="325">
        <f t="shared" si="113"/>
        <v>2026</v>
      </c>
      <c r="AE162" s="325">
        <f t="shared" si="113"/>
        <v>2027</v>
      </c>
      <c r="AF162" s="325">
        <f t="shared" si="113"/>
        <v>2028</v>
      </c>
      <c r="AG162" s="325">
        <f t="shared" si="113"/>
        <v>2029</v>
      </c>
      <c r="AH162" s="325">
        <f t="shared" si="113"/>
        <v>2030</v>
      </c>
      <c r="AI162" s="325">
        <f t="shared" si="113"/>
        <v>2031</v>
      </c>
      <c r="AJ162" s="325">
        <f t="shared" si="113"/>
        <v>2032</v>
      </c>
      <c r="AK162" s="325">
        <f t="shared" si="113"/>
        <v>2033</v>
      </c>
      <c r="AL162" s="325">
        <f t="shared" si="113"/>
        <v>2034</v>
      </c>
      <c r="AM162" s="325">
        <f t="shared" si="113"/>
        <v>2035</v>
      </c>
      <c r="AN162" s="325">
        <f t="shared" si="113"/>
        <v>2036</v>
      </c>
      <c r="AO162" s="325">
        <f t="shared" si="113"/>
        <v>2037</v>
      </c>
      <c r="AP162" s="325">
        <f t="shared" si="113"/>
        <v>2038</v>
      </c>
      <c r="AQ162" s="325">
        <f t="shared" si="113"/>
        <v>2039</v>
      </c>
      <c r="AR162" s="325">
        <f t="shared" si="113"/>
        <v>2040</v>
      </c>
      <c r="AS162" s="325">
        <f t="shared" si="113"/>
        <v>2041</v>
      </c>
      <c r="AT162" s="325">
        <f t="shared" si="113"/>
        <v>2042</v>
      </c>
      <c r="AU162" s="325">
        <f t="shared" si="113"/>
        <v>2043</v>
      </c>
    </row>
    <row r="163" spans="1:47">
      <c r="E163" s="325"/>
      <c r="G163" s="39"/>
      <c r="H163" s="39"/>
      <c r="I163" s="39"/>
      <c r="J163" s="39"/>
      <c r="K163" s="39"/>
    </row>
    <row r="164" spans="1:47">
      <c r="E164" s="325"/>
      <c r="G164" s="39" t="s">
        <v>23</v>
      </c>
      <c r="H164" s="39"/>
      <c r="I164" s="39"/>
      <c r="J164" s="39"/>
      <c r="K164" s="39"/>
    </row>
    <row r="165" spans="1:47">
      <c r="A165" s="38" t="str">
        <f t="shared" ref="A165:A172" si="114">$J$4&amp;"-"</f>
        <v>3Y-</v>
      </c>
      <c r="B165" s="38" t="s">
        <v>262</v>
      </c>
      <c r="C165" s="38" t="str">
        <f>C159</f>
        <v>Cake Storage/Load Out</v>
      </c>
      <c r="D165" s="186">
        <f>LaborEsc</f>
        <v>0.02</v>
      </c>
      <c r="E165" s="325"/>
      <c r="G165" s="36" t="s">
        <v>125</v>
      </c>
      <c r="I165" s="39"/>
      <c r="K165" s="39"/>
      <c r="L165" s="43" t="s">
        <v>266</v>
      </c>
      <c r="N165" s="70">
        <f ca="1">SUMIFS(OFFSET(Assumptions!$I$90,0,MATCH($A165,Configurations,0)-1,COUNT(Assumptions!$A$90:$A$183),1),Assumptions!$D$90:$D$183,$B165&amp;$C165)</f>
        <v>1277.5</v>
      </c>
      <c r="O165" s="313"/>
      <c r="P165" s="323"/>
      <c r="Q165" s="313"/>
      <c r="R165" s="50">
        <f t="shared" ref="R165:AU165" ca="1" si="115">IF(OR(R$99&lt;InServiceYr,R$99&gt;(InServiceYr+analysis_period-1)),0,IF($P165=0,$N165,$P165)*LaborCost*(1+$D165)^(R$99-CostBaseYr))</f>
        <v>45606.75</v>
      </c>
      <c r="S165" s="50">
        <f t="shared" ca="1" si="115"/>
        <v>46518.885000000002</v>
      </c>
      <c r="T165" s="50">
        <f t="shared" ca="1" si="115"/>
        <v>47449.262699999999</v>
      </c>
      <c r="U165" s="50">
        <f t="shared" ca="1" si="115"/>
        <v>48398.247953999999</v>
      </c>
      <c r="V165" s="50">
        <f t="shared" ca="1" si="115"/>
        <v>49366.212913080002</v>
      </c>
      <c r="W165" s="50">
        <f t="shared" ca="1" si="115"/>
        <v>50353.537171341603</v>
      </c>
      <c r="X165" s="50">
        <f t="shared" ca="1" si="115"/>
        <v>51360.607914768421</v>
      </c>
      <c r="Y165" s="50">
        <f t="shared" ca="1" si="115"/>
        <v>52387.820073063798</v>
      </c>
      <c r="Z165" s="50">
        <f t="shared" ca="1" si="115"/>
        <v>53435.576474525071</v>
      </c>
      <c r="AA165" s="50">
        <f t="shared" ca="1" si="115"/>
        <v>54504.28800401558</v>
      </c>
      <c r="AB165" s="50">
        <f t="shared" ca="1" si="115"/>
        <v>55594.373764095879</v>
      </c>
      <c r="AC165" s="50">
        <f t="shared" ca="1" si="115"/>
        <v>56706.261239377804</v>
      </c>
      <c r="AD165" s="50">
        <f t="shared" ca="1" si="115"/>
        <v>57840.386464165356</v>
      </c>
      <c r="AE165" s="50">
        <f t="shared" ca="1" si="115"/>
        <v>58997.194193448668</v>
      </c>
      <c r="AF165" s="50">
        <f t="shared" ca="1" si="115"/>
        <v>60177.138077317628</v>
      </c>
      <c r="AG165" s="50">
        <f t="shared" ca="1" si="115"/>
        <v>61380.680838863991</v>
      </c>
      <c r="AH165" s="50">
        <f t="shared" ca="1" si="115"/>
        <v>62608.294455641277</v>
      </c>
      <c r="AI165" s="50">
        <f t="shared" ca="1" si="115"/>
        <v>63860.460344754094</v>
      </c>
      <c r="AJ165" s="50">
        <f t="shared" ca="1" si="115"/>
        <v>65137.669551649175</v>
      </c>
      <c r="AK165" s="50">
        <f t="shared" ca="1" si="115"/>
        <v>66440.422942682169</v>
      </c>
      <c r="AL165" s="50">
        <f t="shared" si="115"/>
        <v>0</v>
      </c>
      <c r="AM165" s="50">
        <f t="shared" si="115"/>
        <v>0</v>
      </c>
      <c r="AN165" s="50">
        <f t="shared" si="115"/>
        <v>0</v>
      </c>
      <c r="AO165" s="50">
        <f t="shared" si="115"/>
        <v>0</v>
      </c>
      <c r="AP165" s="50">
        <f t="shared" si="115"/>
        <v>0</v>
      </c>
      <c r="AQ165" s="50">
        <f t="shared" si="115"/>
        <v>0</v>
      </c>
      <c r="AR165" s="50">
        <f t="shared" si="115"/>
        <v>0</v>
      </c>
      <c r="AS165" s="50">
        <f t="shared" si="115"/>
        <v>0</v>
      </c>
      <c r="AT165" s="50">
        <f t="shared" si="115"/>
        <v>0</v>
      </c>
      <c r="AU165" s="50">
        <f t="shared" si="115"/>
        <v>0</v>
      </c>
    </row>
    <row r="166" spans="1:47">
      <c r="A166" s="38" t="str">
        <f t="shared" si="114"/>
        <v>3Y-</v>
      </c>
      <c r="B166" s="38" t="s">
        <v>270</v>
      </c>
      <c r="C166" s="38" t="str">
        <f>C165</f>
        <v>Cake Storage/Load Out</v>
      </c>
      <c r="D166" s="186">
        <f>OMEsc</f>
        <v>0.02</v>
      </c>
      <c r="E166" s="325"/>
      <c r="G166" s="36" t="s">
        <v>126</v>
      </c>
      <c r="I166" s="39"/>
      <c r="K166" s="39"/>
      <c r="L166" s="43" t="str">
        <f>"["&amp;CostBaseYr&amp;" $]"</f>
        <v>[2013 $]</v>
      </c>
      <c r="N166" s="70">
        <f ca="1">SUMIFS(OFFSET(Assumptions!$I$90,0,MATCH($A166,Configurations,0)-1,COUNT(Assumptions!$A$90:$A$183),1),Assumptions!$D$90:$D$183,$B166&amp;$C166)</f>
        <v>59000</v>
      </c>
      <c r="O166" s="313"/>
      <c r="P166" s="323"/>
      <c r="Q166" s="313"/>
      <c r="R166" s="50">
        <f t="shared" ref="R166:AG168" ca="1" si="116">IF(OR(R$99&lt;InServiceYr,R$99&gt;(InServiceYr+analysis_period-1)),0,IF($P166=0,$N166,$P166)*(1+$D166)^(R$99-CostBaseYr))</f>
        <v>60180</v>
      </c>
      <c r="S166" s="50">
        <f t="shared" ca="1" si="116"/>
        <v>61383.6</v>
      </c>
      <c r="T166" s="50">
        <f t="shared" ca="1" si="116"/>
        <v>62611.271999999997</v>
      </c>
      <c r="U166" s="50">
        <f t="shared" ca="1" si="116"/>
        <v>63863.497439999999</v>
      </c>
      <c r="V166" s="50">
        <f t="shared" ca="1" si="116"/>
        <v>65140.767388799999</v>
      </c>
      <c r="W166" s="50">
        <f t="shared" ca="1" si="116"/>
        <v>66443.582736576005</v>
      </c>
      <c r="X166" s="50">
        <f t="shared" ca="1" si="116"/>
        <v>67772.454391307503</v>
      </c>
      <c r="Y166" s="50">
        <f t="shared" ca="1" si="116"/>
        <v>69127.90347913366</v>
      </c>
      <c r="Z166" s="50">
        <f t="shared" ca="1" si="116"/>
        <v>70510.461548716339</v>
      </c>
      <c r="AA166" s="50">
        <f t="shared" ca="1" si="116"/>
        <v>71920.67077969067</v>
      </c>
      <c r="AB166" s="50">
        <f t="shared" ca="1" si="116"/>
        <v>73359.084195284464</v>
      </c>
      <c r="AC166" s="50">
        <f t="shared" ca="1" si="116"/>
        <v>74826.265879190178</v>
      </c>
      <c r="AD166" s="50">
        <f t="shared" ca="1" si="116"/>
        <v>76322.791196773964</v>
      </c>
      <c r="AE166" s="50">
        <f t="shared" ca="1" si="116"/>
        <v>77849.247020709459</v>
      </c>
      <c r="AF166" s="50">
        <f t="shared" ca="1" si="116"/>
        <v>79406.231961123631</v>
      </c>
      <c r="AG166" s="50">
        <f t="shared" ca="1" si="116"/>
        <v>80994.356600346116</v>
      </c>
      <c r="AH166" s="50">
        <f t="shared" ref="S166:AU168" ca="1" si="117">IF(OR(AH$99&lt;InServiceYr,AH$99&gt;(InServiceYr+analysis_period-1)),0,IF($P166=0,$N166,$P166)*(1+$D166)^(AH$99-CostBaseYr))</f>
        <v>82614.243732353047</v>
      </c>
      <c r="AI166" s="50">
        <f t="shared" ca="1" si="117"/>
        <v>84266.528607000088</v>
      </c>
      <c r="AJ166" s="50">
        <f t="shared" ca="1" si="117"/>
        <v>85951.859179140083</v>
      </c>
      <c r="AK166" s="50">
        <f t="shared" ca="1" si="117"/>
        <v>87670.896362722895</v>
      </c>
      <c r="AL166" s="50">
        <f t="shared" si="117"/>
        <v>0</v>
      </c>
      <c r="AM166" s="50">
        <f t="shared" si="117"/>
        <v>0</v>
      </c>
      <c r="AN166" s="50">
        <f t="shared" si="117"/>
        <v>0</v>
      </c>
      <c r="AO166" s="50">
        <f t="shared" si="117"/>
        <v>0</v>
      </c>
      <c r="AP166" s="50">
        <f t="shared" si="117"/>
        <v>0</v>
      </c>
      <c r="AQ166" s="50">
        <f t="shared" si="117"/>
        <v>0</v>
      </c>
      <c r="AR166" s="50">
        <f t="shared" si="117"/>
        <v>0</v>
      </c>
      <c r="AS166" s="50">
        <f t="shared" si="117"/>
        <v>0</v>
      </c>
      <c r="AT166" s="50">
        <f t="shared" si="117"/>
        <v>0</v>
      </c>
      <c r="AU166" s="50">
        <f t="shared" si="117"/>
        <v>0</v>
      </c>
    </row>
    <row r="167" spans="1:47">
      <c r="A167" s="38" t="str">
        <f t="shared" si="114"/>
        <v>3Y-</v>
      </c>
      <c r="B167" s="38" t="s">
        <v>263</v>
      </c>
      <c r="C167" s="38" t="str">
        <f t="shared" ref="C167:C171" si="118">C166</f>
        <v>Cake Storage/Load Out</v>
      </c>
      <c r="D167" s="186">
        <f>OMEsc</f>
        <v>0.02</v>
      </c>
      <c r="E167" s="325"/>
      <c r="G167" s="36" t="s">
        <v>127</v>
      </c>
      <c r="I167" s="39"/>
      <c r="K167" s="39"/>
      <c r="L167" s="43" t="str">
        <f>"["&amp;CostBaseYr&amp;" $]"</f>
        <v>[2013 $]</v>
      </c>
      <c r="N167" s="70">
        <f ca="1">SUMIFS(OFFSET(Assumptions!$I$90,0,MATCH($A167,Configurations,0)-1,COUNT(Assumptions!$A$90:$A$183),1),Assumptions!$D$90:$D$183,$B167&amp;$C167)</f>
        <v>0</v>
      </c>
      <c r="O167" s="313"/>
      <c r="P167" s="323"/>
      <c r="Q167" s="313"/>
      <c r="R167" s="50">
        <f t="shared" ca="1" si="116"/>
        <v>0</v>
      </c>
      <c r="S167" s="50">
        <f t="shared" ca="1" si="117"/>
        <v>0</v>
      </c>
      <c r="T167" s="50">
        <f t="shared" ca="1" si="117"/>
        <v>0</v>
      </c>
      <c r="U167" s="50">
        <f t="shared" ca="1" si="117"/>
        <v>0</v>
      </c>
      <c r="V167" s="50">
        <f t="shared" ca="1" si="117"/>
        <v>0</v>
      </c>
      <c r="W167" s="50">
        <f t="shared" ca="1" si="117"/>
        <v>0</v>
      </c>
      <c r="X167" s="50">
        <f t="shared" ca="1" si="117"/>
        <v>0</v>
      </c>
      <c r="Y167" s="50">
        <f t="shared" ca="1" si="117"/>
        <v>0</v>
      </c>
      <c r="Z167" s="50">
        <f t="shared" ca="1" si="117"/>
        <v>0</v>
      </c>
      <c r="AA167" s="50">
        <f t="shared" ca="1" si="117"/>
        <v>0</v>
      </c>
      <c r="AB167" s="50">
        <f t="shared" ca="1" si="117"/>
        <v>0</v>
      </c>
      <c r="AC167" s="50">
        <f t="shared" ca="1" si="117"/>
        <v>0</v>
      </c>
      <c r="AD167" s="50">
        <f t="shared" ca="1" si="117"/>
        <v>0</v>
      </c>
      <c r="AE167" s="50">
        <f t="shared" ca="1" si="117"/>
        <v>0</v>
      </c>
      <c r="AF167" s="50">
        <f t="shared" ca="1" si="117"/>
        <v>0</v>
      </c>
      <c r="AG167" s="50">
        <f t="shared" ca="1" si="117"/>
        <v>0</v>
      </c>
      <c r="AH167" s="50">
        <f t="shared" ca="1" si="117"/>
        <v>0</v>
      </c>
      <c r="AI167" s="50">
        <f t="shared" ca="1" si="117"/>
        <v>0</v>
      </c>
      <c r="AJ167" s="50">
        <f t="shared" ca="1" si="117"/>
        <v>0</v>
      </c>
      <c r="AK167" s="50">
        <f t="shared" ca="1" si="117"/>
        <v>0</v>
      </c>
      <c r="AL167" s="50">
        <f t="shared" si="117"/>
        <v>0</v>
      </c>
      <c r="AM167" s="50">
        <f t="shared" si="117"/>
        <v>0</v>
      </c>
      <c r="AN167" s="50">
        <f t="shared" si="117"/>
        <v>0</v>
      </c>
      <c r="AO167" s="50">
        <f t="shared" si="117"/>
        <v>0</v>
      </c>
      <c r="AP167" s="50">
        <f t="shared" si="117"/>
        <v>0</v>
      </c>
      <c r="AQ167" s="50">
        <f t="shared" si="117"/>
        <v>0</v>
      </c>
      <c r="AR167" s="50">
        <f t="shared" si="117"/>
        <v>0</v>
      </c>
      <c r="AS167" s="50">
        <f t="shared" si="117"/>
        <v>0</v>
      </c>
      <c r="AT167" s="50">
        <f t="shared" si="117"/>
        <v>0</v>
      </c>
      <c r="AU167" s="50">
        <f t="shared" si="117"/>
        <v>0</v>
      </c>
    </row>
    <row r="168" spans="1:47">
      <c r="A168" s="38" t="str">
        <f t="shared" si="114"/>
        <v>3Y-</v>
      </c>
      <c r="B168" s="38" t="s">
        <v>277</v>
      </c>
      <c r="C168" s="38" t="str">
        <f t="shared" si="118"/>
        <v>Cake Storage/Load Out</v>
      </c>
      <c r="D168" s="186">
        <f>OMEsc</f>
        <v>0.02</v>
      </c>
      <c r="E168" s="325"/>
      <c r="G168" s="36" t="s">
        <v>276</v>
      </c>
      <c r="I168" s="39"/>
      <c r="K168" s="39"/>
      <c r="L168" s="43" t="str">
        <f>"["&amp;CostBaseYr&amp;" $]"</f>
        <v>[2013 $]</v>
      </c>
      <c r="N168" s="70">
        <f ca="1">SUMIFS(OFFSET(Assumptions!$I$90,0,MATCH($A168,Configurations,0)-1,COUNT(Assumptions!$A$90:$A$183),1),Assumptions!$D$90:$D$183,$B168&amp;$C168)</f>
        <v>0</v>
      </c>
      <c r="O168" s="313"/>
      <c r="P168" s="323"/>
      <c r="Q168" s="313"/>
      <c r="R168" s="50">
        <f t="shared" ca="1" si="116"/>
        <v>0</v>
      </c>
      <c r="S168" s="50">
        <f t="shared" ca="1" si="117"/>
        <v>0</v>
      </c>
      <c r="T168" s="50">
        <f t="shared" ca="1" si="117"/>
        <v>0</v>
      </c>
      <c r="U168" s="50">
        <f t="shared" ca="1" si="117"/>
        <v>0</v>
      </c>
      <c r="V168" s="50">
        <f t="shared" ca="1" si="117"/>
        <v>0</v>
      </c>
      <c r="W168" s="50">
        <f t="shared" ca="1" si="117"/>
        <v>0</v>
      </c>
      <c r="X168" s="50">
        <f t="shared" ca="1" si="117"/>
        <v>0</v>
      </c>
      <c r="Y168" s="50">
        <f t="shared" ca="1" si="117"/>
        <v>0</v>
      </c>
      <c r="Z168" s="50">
        <f t="shared" ca="1" si="117"/>
        <v>0</v>
      </c>
      <c r="AA168" s="50">
        <f t="shared" ca="1" si="117"/>
        <v>0</v>
      </c>
      <c r="AB168" s="50">
        <f t="shared" ca="1" si="117"/>
        <v>0</v>
      </c>
      <c r="AC168" s="50">
        <f t="shared" ca="1" si="117"/>
        <v>0</v>
      </c>
      <c r="AD168" s="50">
        <f t="shared" ca="1" si="117"/>
        <v>0</v>
      </c>
      <c r="AE168" s="50">
        <f t="shared" ca="1" si="117"/>
        <v>0</v>
      </c>
      <c r="AF168" s="50">
        <f t="shared" ca="1" si="117"/>
        <v>0</v>
      </c>
      <c r="AG168" s="50">
        <f t="shared" ca="1" si="117"/>
        <v>0</v>
      </c>
      <c r="AH168" s="50">
        <f t="shared" ca="1" si="117"/>
        <v>0</v>
      </c>
      <c r="AI168" s="50">
        <f t="shared" ca="1" si="117"/>
        <v>0</v>
      </c>
      <c r="AJ168" s="50">
        <f t="shared" ca="1" si="117"/>
        <v>0</v>
      </c>
      <c r="AK168" s="50">
        <f t="shared" ca="1" si="117"/>
        <v>0</v>
      </c>
      <c r="AL168" s="50">
        <f t="shared" si="117"/>
        <v>0</v>
      </c>
      <c r="AM168" s="50">
        <f t="shared" si="117"/>
        <v>0</v>
      </c>
      <c r="AN168" s="50">
        <f t="shared" si="117"/>
        <v>0</v>
      </c>
      <c r="AO168" s="50">
        <f t="shared" si="117"/>
        <v>0</v>
      </c>
      <c r="AP168" s="50">
        <f t="shared" si="117"/>
        <v>0</v>
      </c>
      <c r="AQ168" s="50">
        <f t="shared" si="117"/>
        <v>0</v>
      </c>
      <c r="AR168" s="50">
        <f t="shared" si="117"/>
        <v>0</v>
      </c>
      <c r="AS168" s="50">
        <f t="shared" si="117"/>
        <v>0</v>
      </c>
      <c r="AT168" s="50">
        <f t="shared" si="117"/>
        <v>0</v>
      </c>
      <c r="AU168" s="50">
        <f t="shared" si="117"/>
        <v>0</v>
      </c>
    </row>
    <row r="169" spans="1:47">
      <c r="A169" s="38" t="str">
        <f t="shared" si="114"/>
        <v>3Y-</v>
      </c>
      <c r="B169" s="38" t="s">
        <v>274</v>
      </c>
      <c r="C169" s="38" t="str">
        <f t="shared" si="118"/>
        <v>Cake Storage/Load Out</v>
      </c>
      <c r="D169" s="186"/>
      <c r="E169" s="325"/>
      <c r="G169" s="36" t="s">
        <v>16</v>
      </c>
      <c r="I169" s="39"/>
      <c r="K169" s="39"/>
      <c r="L169" s="43" t="s">
        <v>275</v>
      </c>
      <c r="N169" s="70">
        <f ca="1">SUMIFS(OFFSET(Assumptions!$I$90,0,MATCH($A169,Configurations,0)-1,COUNT(Assumptions!$A$90:$A$183),1),Assumptions!$D$90:$D$183,$B169&amp;$C169)</f>
        <v>0</v>
      </c>
      <c r="O169" s="313"/>
      <c r="P169" s="323"/>
      <c r="Q169" s="313"/>
      <c r="R169" s="50">
        <f t="shared" ref="R169:AU169" ca="1" si="119">IF(OR(R$99&lt;InServiceYr,R$99&gt;(InServiceYr+analysis_period-1)),0,IF($P169=0,$N169,$P169)*R$505)</f>
        <v>0</v>
      </c>
      <c r="S169" s="50">
        <f t="shared" ca="1" si="119"/>
        <v>0</v>
      </c>
      <c r="T169" s="50">
        <f t="shared" ca="1" si="119"/>
        <v>0</v>
      </c>
      <c r="U169" s="50">
        <f t="shared" ca="1" si="119"/>
        <v>0</v>
      </c>
      <c r="V169" s="50">
        <f t="shared" ca="1" si="119"/>
        <v>0</v>
      </c>
      <c r="W169" s="50">
        <f t="shared" ca="1" si="119"/>
        <v>0</v>
      </c>
      <c r="X169" s="50">
        <f t="shared" ca="1" si="119"/>
        <v>0</v>
      </c>
      <c r="Y169" s="50">
        <f t="shared" ca="1" si="119"/>
        <v>0</v>
      </c>
      <c r="Z169" s="50">
        <f t="shared" ca="1" si="119"/>
        <v>0</v>
      </c>
      <c r="AA169" s="50">
        <f t="shared" ca="1" si="119"/>
        <v>0</v>
      </c>
      <c r="AB169" s="50">
        <f t="shared" ca="1" si="119"/>
        <v>0</v>
      </c>
      <c r="AC169" s="50">
        <f t="shared" ca="1" si="119"/>
        <v>0</v>
      </c>
      <c r="AD169" s="50">
        <f t="shared" ca="1" si="119"/>
        <v>0</v>
      </c>
      <c r="AE169" s="50">
        <f t="shared" ca="1" si="119"/>
        <v>0</v>
      </c>
      <c r="AF169" s="50">
        <f t="shared" ca="1" si="119"/>
        <v>0</v>
      </c>
      <c r="AG169" s="50">
        <f t="shared" ca="1" si="119"/>
        <v>0</v>
      </c>
      <c r="AH169" s="50">
        <f t="shared" ca="1" si="119"/>
        <v>0</v>
      </c>
      <c r="AI169" s="50">
        <f t="shared" ca="1" si="119"/>
        <v>0</v>
      </c>
      <c r="AJ169" s="50">
        <f t="shared" ca="1" si="119"/>
        <v>0</v>
      </c>
      <c r="AK169" s="50">
        <f t="shared" ca="1" si="119"/>
        <v>0</v>
      </c>
      <c r="AL169" s="50">
        <f t="shared" si="119"/>
        <v>0</v>
      </c>
      <c r="AM169" s="50">
        <f t="shared" si="119"/>
        <v>0</v>
      </c>
      <c r="AN169" s="50">
        <f t="shared" si="119"/>
        <v>0</v>
      </c>
      <c r="AO169" s="50">
        <f t="shared" si="119"/>
        <v>0</v>
      </c>
      <c r="AP169" s="50">
        <f t="shared" si="119"/>
        <v>0</v>
      </c>
      <c r="AQ169" s="50">
        <f t="shared" si="119"/>
        <v>0</v>
      </c>
      <c r="AR169" s="50">
        <f t="shared" si="119"/>
        <v>0</v>
      </c>
      <c r="AS169" s="50">
        <f t="shared" si="119"/>
        <v>0</v>
      </c>
      <c r="AT169" s="50">
        <f t="shared" si="119"/>
        <v>0</v>
      </c>
      <c r="AU169" s="50">
        <f t="shared" si="119"/>
        <v>0</v>
      </c>
    </row>
    <row r="170" spans="1:47">
      <c r="A170" s="38" t="str">
        <f t="shared" si="114"/>
        <v>3Y-</v>
      </c>
      <c r="B170" s="38" t="s">
        <v>257</v>
      </c>
      <c r="C170" s="38" t="str">
        <f t="shared" si="118"/>
        <v>Cake Storage/Load Out</v>
      </c>
      <c r="D170" s="186"/>
      <c r="E170" s="325"/>
      <c r="G170" s="36" t="s">
        <v>284</v>
      </c>
      <c r="I170" s="39"/>
      <c r="K170" s="39"/>
      <c r="L170" s="43" t="s">
        <v>293</v>
      </c>
      <c r="N170" s="70">
        <f ca="1">SUMIFS(OFFSET(Assumptions!$I$90,0,MATCH($A170,Configurations,0)-1,COUNT(Assumptions!$A$90:$A$183),1),Assumptions!$D$90:$D$183,$B170&amp;$C170)</f>
        <v>0</v>
      </c>
      <c r="O170" s="313"/>
      <c r="P170" s="323"/>
      <c r="Q170" s="313"/>
      <c r="R170" s="50">
        <f t="shared" ref="R170:AU170" ca="1" si="120">IF(OR(R$99&lt;InServiceYr,R$99&gt;(InServiceYr+analysis_period-1)),0,IF($P170=0,$N170,$P170)*R$501)</f>
        <v>0</v>
      </c>
      <c r="S170" s="50">
        <f t="shared" ca="1" si="120"/>
        <v>0</v>
      </c>
      <c r="T170" s="50">
        <f t="shared" ca="1" si="120"/>
        <v>0</v>
      </c>
      <c r="U170" s="50">
        <f t="shared" ca="1" si="120"/>
        <v>0</v>
      </c>
      <c r="V170" s="50">
        <f t="shared" ca="1" si="120"/>
        <v>0</v>
      </c>
      <c r="W170" s="50">
        <f t="shared" ca="1" si="120"/>
        <v>0</v>
      </c>
      <c r="X170" s="50">
        <f t="shared" ca="1" si="120"/>
        <v>0</v>
      </c>
      <c r="Y170" s="50">
        <f t="shared" ca="1" si="120"/>
        <v>0</v>
      </c>
      <c r="Z170" s="50">
        <f t="shared" ca="1" si="120"/>
        <v>0</v>
      </c>
      <c r="AA170" s="50">
        <f t="shared" ca="1" si="120"/>
        <v>0</v>
      </c>
      <c r="AB170" s="50">
        <f t="shared" ca="1" si="120"/>
        <v>0</v>
      </c>
      <c r="AC170" s="50">
        <f t="shared" ca="1" si="120"/>
        <v>0</v>
      </c>
      <c r="AD170" s="50">
        <f t="shared" ca="1" si="120"/>
        <v>0</v>
      </c>
      <c r="AE170" s="50">
        <f t="shared" ca="1" si="120"/>
        <v>0</v>
      </c>
      <c r="AF170" s="50">
        <f t="shared" ca="1" si="120"/>
        <v>0</v>
      </c>
      <c r="AG170" s="50">
        <f t="shared" ca="1" si="120"/>
        <v>0</v>
      </c>
      <c r="AH170" s="50">
        <f t="shared" ca="1" si="120"/>
        <v>0</v>
      </c>
      <c r="AI170" s="50">
        <f t="shared" ca="1" si="120"/>
        <v>0</v>
      </c>
      <c r="AJ170" s="50">
        <f t="shared" ca="1" si="120"/>
        <v>0</v>
      </c>
      <c r="AK170" s="50">
        <f t="shared" ca="1" si="120"/>
        <v>0</v>
      </c>
      <c r="AL170" s="50">
        <f t="shared" si="120"/>
        <v>0</v>
      </c>
      <c r="AM170" s="50">
        <f t="shared" si="120"/>
        <v>0</v>
      </c>
      <c r="AN170" s="50">
        <f t="shared" si="120"/>
        <v>0</v>
      </c>
      <c r="AO170" s="50">
        <f t="shared" si="120"/>
        <v>0</v>
      </c>
      <c r="AP170" s="50">
        <f t="shared" si="120"/>
        <v>0</v>
      </c>
      <c r="AQ170" s="50">
        <f t="shared" si="120"/>
        <v>0</v>
      </c>
      <c r="AR170" s="50">
        <f t="shared" si="120"/>
        <v>0</v>
      </c>
      <c r="AS170" s="50">
        <f t="shared" si="120"/>
        <v>0</v>
      </c>
      <c r="AT170" s="50">
        <f t="shared" si="120"/>
        <v>0</v>
      </c>
      <c r="AU170" s="50">
        <f t="shared" si="120"/>
        <v>0</v>
      </c>
    </row>
    <row r="171" spans="1:47">
      <c r="A171" s="38" t="str">
        <f t="shared" si="114"/>
        <v>3Y-</v>
      </c>
      <c r="B171" s="38" t="s">
        <v>864</v>
      </c>
      <c r="C171" s="38" t="str">
        <f t="shared" si="118"/>
        <v>Cake Storage/Load Out</v>
      </c>
      <c r="D171" s="186">
        <f>GHGEsc</f>
        <v>0.02</v>
      </c>
      <c r="E171" s="325"/>
      <c r="G171" s="36" t="s">
        <v>865</v>
      </c>
      <c r="I171" s="39"/>
      <c r="K171" s="39"/>
      <c r="L171" s="43" t="s">
        <v>866</v>
      </c>
      <c r="N171" s="70">
        <f ca="1">SUMIFS(OFFSET(Assumptions!$I$90,0,MATCH($A171,Configurations,0)-1,COUNT(Assumptions!$A$90:$A$183),1),Assumptions!$D$90:$D$183,$B171&amp;$C171)</f>
        <v>0</v>
      </c>
      <c r="O171" s="313"/>
      <c r="P171" s="323"/>
      <c r="Q171" s="313"/>
      <c r="R171" s="50">
        <f t="shared" ref="R171:AU171" ca="1" si="121">IF(OR(R$99&lt;InServiceYr,R$99&gt;(InServiceYr+analysis_period-1)),0,IF($P171=0,$N171,$P171)*R$513)</f>
        <v>0</v>
      </c>
      <c r="S171" s="50">
        <f t="shared" ca="1" si="121"/>
        <v>0</v>
      </c>
      <c r="T171" s="50">
        <f t="shared" ca="1" si="121"/>
        <v>0</v>
      </c>
      <c r="U171" s="50">
        <f t="shared" ca="1" si="121"/>
        <v>0</v>
      </c>
      <c r="V171" s="50">
        <f t="shared" ca="1" si="121"/>
        <v>0</v>
      </c>
      <c r="W171" s="50">
        <f t="shared" ca="1" si="121"/>
        <v>0</v>
      </c>
      <c r="X171" s="50">
        <f t="shared" ca="1" si="121"/>
        <v>0</v>
      </c>
      <c r="Y171" s="50">
        <f t="shared" ca="1" si="121"/>
        <v>0</v>
      </c>
      <c r="Z171" s="50">
        <f t="shared" ca="1" si="121"/>
        <v>0</v>
      </c>
      <c r="AA171" s="50">
        <f t="shared" ca="1" si="121"/>
        <v>0</v>
      </c>
      <c r="AB171" s="50">
        <f t="shared" ca="1" si="121"/>
        <v>0</v>
      </c>
      <c r="AC171" s="50">
        <f t="shared" ca="1" si="121"/>
        <v>0</v>
      </c>
      <c r="AD171" s="50">
        <f t="shared" ca="1" si="121"/>
        <v>0</v>
      </c>
      <c r="AE171" s="50">
        <f t="shared" ca="1" si="121"/>
        <v>0</v>
      </c>
      <c r="AF171" s="50">
        <f t="shared" ca="1" si="121"/>
        <v>0</v>
      </c>
      <c r="AG171" s="50">
        <f t="shared" ca="1" si="121"/>
        <v>0</v>
      </c>
      <c r="AH171" s="50">
        <f t="shared" ca="1" si="121"/>
        <v>0</v>
      </c>
      <c r="AI171" s="50">
        <f t="shared" ca="1" si="121"/>
        <v>0</v>
      </c>
      <c r="AJ171" s="50">
        <f t="shared" ca="1" si="121"/>
        <v>0</v>
      </c>
      <c r="AK171" s="50">
        <f t="shared" ca="1" si="121"/>
        <v>0</v>
      </c>
      <c r="AL171" s="50">
        <f t="shared" si="121"/>
        <v>0</v>
      </c>
      <c r="AM171" s="50">
        <f t="shared" si="121"/>
        <v>0</v>
      </c>
      <c r="AN171" s="50">
        <f t="shared" si="121"/>
        <v>0</v>
      </c>
      <c r="AO171" s="50">
        <f t="shared" si="121"/>
        <v>0</v>
      </c>
      <c r="AP171" s="50">
        <f t="shared" si="121"/>
        <v>0</v>
      </c>
      <c r="AQ171" s="50">
        <f t="shared" si="121"/>
        <v>0</v>
      </c>
      <c r="AR171" s="50">
        <f t="shared" si="121"/>
        <v>0</v>
      </c>
      <c r="AS171" s="50">
        <f t="shared" si="121"/>
        <v>0</v>
      </c>
      <c r="AT171" s="50">
        <f t="shared" si="121"/>
        <v>0</v>
      </c>
      <c r="AU171" s="50">
        <f t="shared" si="121"/>
        <v>0</v>
      </c>
    </row>
    <row r="172" spans="1:47">
      <c r="A172" s="38" t="str">
        <f t="shared" si="114"/>
        <v>3Y-</v>
      </c>
      <c r="B172" s="38" t="s">
        <v>273</v>
      </c>
      <c r="C172" s="38" t="str">
        <f>C170</f>
        <v>Cake Storage/Load Out</v>
      </c>
      <c r="D172" s="186">
        <f>LaborEsc</f>
        <v>0.02</v>
      </c>
      <c r="E172" s="325"/>
      <c r="G172" s="36" t="s">
        <v>291</v>
      </c>
      <c r="I172" s="39"/>
      <c r="K172" s="39"/>
      <c r="L172" s="43" t="str">
        <f>"["&amp;CostBaseYr&amp;" $]"</f>
        <v>[2013 $]</v>
      </c>
      <c r="N172" s="70">
        <f ca="1">SUMIFS(OFFSET(Assumptions!$I$90,0,MATCH($A172,Configurations,0)-1,COUNT(Assumptions!$A$90:$A$183),1),Assumptions!$D$90:$D$183,$B172&amp;$C172)</f>
        <v>0</v>
      </c>
      <c r="O172" s="313"/>
      <c r="P172" s="323"/>
      <c r="Q172" s="313"/>
      <c r="R172" s="50">
        <f t="shared" ref="R172:AU172" ca="1" si="122">IF(OR(R$99&lt;InServiceYr,R$99&gt;(InServiceYr+analysis_period-1)),0,IF($P172=0,$N172,$P172)*(1+$D172)^(R$99-CostBaseYr))*R$509</f>
        <v>0</v>
      </c>
      <c r="S172" s="50">
        <f t="shared" ca="1" si="122"/>
        <v>0</v>
      </c>
      <c r="T172" s="50">
        <f t="shared" ca="1" si="122"/>
        <v>0</v>
      </c>
      <c r="U172" s="50">
        <f t="shared" ca="1" si="122"/>
        <v>0</v>
      </c>
      <c r="V172" s="50">
        <f t="shared" ca="1" si="122"/>
        <v>0</v>
      </c>
      <c r="W172" s="50">
        <f t="shared" ca="1" si="122"/>
        <v>0</v>
      </c>
      <c r="X172" s="50">
        <f t="shared" ca="1" si="122"/>
        <v>0</v>
      </c>
      <c r="Y172" s="50">
        <f t="shared" ca="1" si="122"/>
        <v>0</v>
      </c>
      <c r="Z172" s="50">
        <f t="shared" ca="1" si="122"/>
        <v>0</v>
      </c>
      <c r="AA172" s="50">
        <f t="shared" ca="1" si="122"/>
        <v>0</v>
      </c>
      <c r="AB172" s="50">
        <f t="shared" ca="1" si="122"/>
        <v>0</v>
      </c>
      <c r="AC172" s="50">
        <f t="shared" ca="1" si="122"/>
        <v>0</v>
      </c>
      <c r="AD172" s="50">
        <f t="shared" ca="1" si="122"/>
        <v>0</v>
      </c>
      <c r="AE172" s="50">
        <f t="shared" ca="1" si="122"/>
        <v>0</v>
      </c>
      <c r="AF172" s="50">
        <f t="shared" ca="1" si="122"/>
        <v>0</v>
      </c>
      <c r="AG172" s="50">
        <f t="shared" ca="1" si="122"/>
        <v>0</v>
      </c>
      <c r="AH172" s="50">
        <f t="shared" ca="1" si="122"/>
        <v>0</v>
      </c>
      <c r="AI172" s="50">
        <f t="shared" ca="1" si="122"/>
        <v>0</v>
      </c>
      <c r="AJ172" s="50">
        <f t="shared" ca="1" si="122"/>
        <v>0</v>
      </c>
      <c r="AK172" s="50">
        <f t="shared" ca="1" si="122"/>
        <v>0</v>
      </c>
      <c r="AL172" s="50">
        <f t="shared" si="122"/>
        <v>0</v>
      </c>
      <c r="AM172" s="50">
        <f t="shared" si="122"/>
        <v>0</v>
      </c>
      <c r="AN172" s="50">
        <f t="shared" si="122"/>
        <v>0</v>
      </c>
      <c r="AO172" s="50">
        <f t="shared" si="122"/>
        <v>0</v>
      </c>
      <c r="AP172" s="50">
        <f t="shared" si="122"/>
        <v>0</v>
      </c>
      <c r="AQ172" s="50">
        <f t="shared" si="122"/>
        <v>0</v>
      </c>
      <c r="AR172" s="50">
        <f t="shared" si="122"/>
        <v>0</v>
      </c>
      <c r="AS172" s="50">
        <f t="shared" si="122"/>
        <v>0</v>
      </c>
      <c r="AT172" s="50">
        <f t="shared" si="122"/>
        <v>0</v>
      </c>
      <c r="AU172" s="50">
        <f t="shared" si="122"/>
        <v>0</v>
      </c>
    </row>
    <row r="173" spans="1:47">
      <c r="D173" s="186"/>
      <c r="E173" s="325"/>
      <c r="G173" s="39" t="s">
        <v>304</v>
      </c>
      <c r="I173" s="39"/>
      <c r="K173" s="39"/>
      <c r="L173" s="43"/>
      <c r="N173" s="70"/>
      <c r="O173" s="313"/>
      <c r="P173" s="70"/>
      <c r="Q173" s="313"/>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row>
    <row r="174" spans="1:47">
      <c r="A174" s="38" t="str">
        <f>$J$4&amp;"-"</f>
        <v>3Y-</v>
      </c>
      <c r="B174" s="38" t="s">
        <v>265</v>
      </c>
      <c r="C174" s="38" t="str">
        <f>C165</f>
        <v>Cake Storage/Load Out</v>
      </c>
      <c r="D174" s="186"/>
      <c r="E174" s="325"/>
      <c r="G174" s="36" t="s">
        <v>108</v>
      </c>
      <c r="I174" s="39"/>
      <c r="K174" s="39"/>
      <c r="L174" s="43" t="s">
        <v>293</v>
      </c>
      <c r="N174" s="70">
        <f ca="1">SUMIFS(OFFSET(Assumptions!$I$90,0,MATCH($A174,Configurations,0)-1,COUNT(Assumptions!$A$90:$A$183),1),Assumptions!$D$90:$D$183,$B174&amp;$C174)</f>
        <v>0</v>
      </c>
      <c r="O174" s="313"/>
      <c r="P174" s="323"/>
      <c r="Q174" s="313"/>
      <c r="R174" s="50">
        <f t="shared" ref="R174:AU174" ca="1" si="123">IF(OR(R$99&lt;InServiceYr,R$99&gt;(InServiceYr+analysis_period-1)),0,IF($P174=0,$N174,$P174)*R$501)</f>
        <v>0</v>
      </c>
      <c r="S174" s="50">
        <f t="shared" ca="1" si="123"/>
        <v>0</v>
      </c>
      <c r="T174" s="50">
        <f t="shared" ca="1" si="123"/>
        <v>0</v>
      </c>
      <c r="U174" s="50">
        <f t="shared" ca="1" si="123"/>
        <v>0</v>
      </c>
      <c r="V174" s="50">
        <f t="shared" ca="1" si="123"/>
        <v>0</v>
      </c>
      <c r="W174" s="50">
        <f t="shared" ca="1" si="123"/>
        <v>0</v>
      </c>
      <c r="X174" s="50">
        <f t="shared" ca="1" si="123"/>
        <v>0</v>
      </c>
      <c r="Y174" s="50">
        <f t="shared" ca="1" si="123"/>
        <v>0</v>
      </c>
      <c r="Z174" s="50">
        <f t="shared" ca="1" si="123"/>
        <v>0</v>
      </c>
      <c r="AA174" s="50">
        <f t="shared" ca="1" si="123"/>
        <v>0</v>
      </c>
      <c r="AB174" s="50">
        <f t="shared" ca="1" si="123"/>
        <v>0</v>
      </c>
      <c r="AC174" s="50">
        <f t="shared" ca="1" si="123"/>
        <v>0</v>
      </c>
      <c r="AD174" s="50">
        <f t="shared" ca="1" si="123"/>
        <v>0</v>
      </c>
      <c r="AE174" s="50">
        <f t="shared" ca="1" si="123"/>
        <v>0</v>
      </c>
      <c r="AF174" s="50">
        <f t="shared" ca="1" si="123"/>
        <v>0</v>
      </c>
      <c r="AG174" s="50">
        <f t="shared" ca="1" si="123"/>
        <v>0</v>
      </c>
      <c r="AH174" s="50">
        <f t="shared" ca="1" si="123"/>
        <v>0</v>
      </c>
      <c r="AI174" s="50">
        <f t="shared" ca="1" si="123"/>
        <v>0</v>
      </c>
      <c r="AJ174" s="50">
        <f t="shared" ca="1" si="123"/>
        <v>0</v>
      </c>
      <c r="AK174" s="50">
        <f t="shared" ca="1" si="123"/>
        <v>0</v>
      </c>
      <c r="AL174" s="50">
        <f t="shared" si="123"/>
        <v>0</v>
      </c>
      <c r="AM174" s="50">
        <f t="shared" si="123"/>
        <v>0</v>
      </c>
      <c r="AN174" s="50">
        <f t="shared" si="123"/>
        <v>0</v>
      </c>
      <c r="AO174" s="50">
        <f t="shared" si="123"/>
        <v>0</v>
      </c>
      <c r="AP174" s="50">
        <f t="shared" si="123"/>
        <v>0</v>
      </c>
      <c r="AQ174" s="50">
        <f t="shared" si="123"/>
        <v>0</v>
      </c>
      <c r="AR174" s="50">
        <f t="shared" si="123"/>
        <v>0</v>
      </c>
      <c r="AS174" s="50">
        <f t="shared" si="123"/>
        <v>0</v>
      </c>
      <c r="AT174" s="50">
        <f t="shared" si="123"/>
        <v>0</v>
      </c>
      <c r="AU174" s="50">
        <f t="shared" si="123"/>
        <v>0</v>
      </c>
    </row>
    <row r="175" spans="1:47">
      <c r="A175" s="38" t="str">
        <f>$J$4&amp;"-"</f>
        <v>3Y-</v>
      </c>
      <c r="B175" s="38" t="s">
        <v>289</v>
      </c>
      <c r="C175" s="38" t="str">
        <f>C165</f>
        <v>Cake Storage/Load Out</v>
      </c>
      <c r="D175" s="186">
        <f>LaborEsc</f>
        <v>0.02</v>
      </c>
      <c r="E175" s="325"/>
      <c r="G175" s="36" t="s">
        <v>292</v>
      </c>
      <c r="I175" s="39"/>
      <c r="K175" s="39"/>
      <c r="L175" s="43" t="str">
        <f>"["&amp;CostBaseYr&amp;" $]"</f>
        <v>[2013 $]</v>
      </c>
      <c r="N175" s="70">
        <f ca="1">SUMIFS(OFFSET(Assumptions!$I$90,0,MATCH($A175,Configurations,0)-1,COUNT(Assumptions!$A$90:$A$183),1),Assumptions!$D$90:$D$183,$B175&amp;$C175)</f>
        <v>0</v>
      </c>
      <c r="O175" s="313"/>
      <c r="P175" s="323"/>
      <c r="Q175" s="313"/>
      <c r="R175" s="50">
        <f t="shared" ref="R175:AU175" ca="1" si="124">IF(OR(R$99&lt;InServiceYr,R$99&gt;(InServiceYr+analysis_period-1)),0,IF($P175=0,$N175,$P175)*(1+$D175)^(R$99-CostBaseYr))</f>
        <v>0</v>
      </c>
      <c r="S175" s="50">
        <f t="shared" ca="1" si="124"/>
        <v>0</v>
      </c>
      <c r="T175" s="50">
        <f t="shared" ca="1" si="124"/>
        <v>0</v>
      </c>
      <c r="U175" s="50">
        <f t="shared" ca="1" si="124"/>
        <v>0</v>
      </c>
      <c r="V175" s="50">
        <f t="shared" ca="1" si="124"/>
        <v>0</v>
      </c>
      <c r="W175" s="50">
        <f t="shared" ca="1" si="124"/>
        <v>0</v>
      </c>
      <c r="X175" s="50">
        <f t="shared" ca="1" si="124"/>
        <v>0</v>
      </c>
      <c r="Y175" s="50">
        <f t="shared" ca="1" si="124"/>
        <v>0</v>
      </c>
      <c r="Z175" s="50">
        <f t="shared" ca="1" si="124"/>
        <v>0</v>
      </c>
      <c r="AA175" s="50">
        <f t="shared" ca="1" si="124"/>
        <v>0</v>
      </c>
      <c r="AB175" s="50">
        <f t="shared" ca="1" si="124"/>
        <v>0</v>
      </c>
      <c r="AC175" s="50">
        <f t="shared" ca="1" si="124"/>
        <v>0</v>
      </c>
      <c r="AD175" s="50">
        <f t="shared" ca="1" si="124"/>
        <v>0</v>
      </c>
      <c r="AE175" s="50">
        <f t="shared" ca="1" si="124"/>
        <v>0</v>
      </c>
      <c r="AF175" s="50">
        <f t="shared" ca="1" si="124"/>
        <v>0</v>
      </c>
      <c r="AG175" s="50">
        <f t="shared" ca="1" si="124"/>
        <v>0</v>
      </c>
      <c r="AH175" s="50">
        <f t="shared" ca="1" si="124"/>
        <v>0</v>
      </c>
      <c r="AI175" s="50">
        <f t="shared" ca="1" si="124"/>
        <v>0</v>
      </c>
      <c r="AJ175" s="50">
        <f t="shared" ca="1" si="124"/>
        <v>0</v>
      </c>
      <c r="AK175" s="50">
        <f t="shared" ca="1" si="124"/>
        <v>0</v>
      </c>
      <c r="AL175" s="50">
        <f t="shared" si="124"/>
        <v>0</v>
      </c>
      <c r="AM175" s="50">
        <f t="shared" si="124"/>
        <v>0</v>
      </c>
      <c r="AN175" s="50">
        <f t="shared" si="124"/>
        <v>0</v>
      </c>
      <c r="AO175" s="50">
        <f t="shared" si="124"/>
        <v>0</v>
      </c>
      <c r="AP175" s="50">
        <f t="shared" si="124"/>
        <v>0</v>
      </c>
      <c r="AQ175" s="50">
        <f t="shared" si="124"/>
        <v>0</v>
      </c>
      <c r="AR175" s="50">
        <f t="shared" si="124"/>
        <v>0</v>
      </c>
      <c r="AS175" s="50">
        <f t="shared" si="124"/>
        <v>0</v>
      </c>
      <c r="AT175" s="50">
        <f t="shared" si="124"/>
        <v>0</v>
      </c>
      <c r="AU175" s="50">
        <f t="shared" si="124"/>
        <v>0</v>
      </c>
    </row>
    <row r="176" spans="1:47" s="60" customFormat="1">
      <c r="D176" s="187"/>
      <c r="E176" s="325"/>
      <c r="G176" s="39" t="s">
        <v>305</v>
      </c>
      <c r="I176" s="39"/>
      <c r="K176" s="39"/>
      <c r="L176" s="174"/>
      <c r="N176" s="188"/>
      <c r="O176" s="314"/>
      <c r="P176" s="185"/>
      <c r="Q176" s="314"/>
      <c r="R176" s="185">
        <f ca="1">SUM(R165:R172)-SUM(R174:R175)</f>
        <v>105786.75</v>
      </c>
      <c r="S176" s="185">
        <f t="shared" ref="S176:AU176" ca="1" si="125">SUM(S165:S172)-SUM(S174:S175)</f>
        <v>107902.485</v>
      </c>
      <c r="T176" s="185">
        <f t="shared" ca="1" si="125"/>
        <v>110060.53469999999</v>
      </c>
      <c r="U176" s="185">
        <f t="shared" ca="1" si="125"/>
        <v>112261.745394</v>
      </c>
      <c r="V176" s="185">
        <f t="shared" ca="1" si="125"/>
        <v>114506.98030188</v>
      </c>
      <c r="W176" s="185">
        <f t="shared" ca="1" si="125"/>
        <v>116797.1199079176</v>
      </c>
      <c r="X176" s="185">
        <f t="shared" ca="1" si="125"/>
        <v>119133.06230607592</v>
      </c>
      <c r="Y176" s="185">
        <f t="shared" ca="1" si="125"/>
        <v>121515.72355219745</v>
      </c>
      <c r="Z176" s="185">
        <f t="shared" ca="1" si="125"/>
        <v>123946.03802324142</v>
      </c>
      <c r="AA176" s="185">
        <f t="shared" ca="1" si="125"/>
        <v>126424.95878370624</v>
      </c>
      <c r="AB176" s="185">
        <f t="shared" ca="1" si="125"/>
        <v>128953.45795938035</v>
      </c>
      <c r="AC176" s="185">
        <f t="shared" ca="1" si="125"/>
        <v>131532.52711856799</v>
      </c>
      <c r="AD176" s="185">
        <f t="shared" ca="1" si="125"/>
        <v>134163.17766093931</v>
      </c>
      <c r="AE176" s="185">
        <f t="shared" ca="1" si="125"/>
        <v>136846.44121415814</v>
      </c>
      <c r="AF176" s="185">
        <f t="shared" ca="1" si="125"/>
        <v>139583.37003844127</v>
      </c>
      <c r="AG176" s="185">
        <f t="shared" ca="1" si="125"/>
        <v>142375.03743921011</v>
      </c>
      <c r="AH176" s="185">
        <f t="shared" ca="1" si="125"/>
        <v>145222.53818799433</v>
      </c>
      <c r="AI176" s="185">
        <f t="shared" ca="1" si="125"/>
        <v>148126.98895175417</v>
      </c>
      <c r="AJ176" s="185">
        <f t="shared" ca="1" si="125"/>
        <v>151089.52873078926</v>
      </c>
      <c r="AK176" s="185">
        <f t="shared" ca="1" si="125"/>
        <v>154111.31930540508</v>
      </c>
      <c r="AL176" s="185">
        <f t="shared" si="125"/>
        <v>0</v>
      </c>
      <c r="AM176" s="185">
        <f t="shared" si="125"/>
        <v>0</v>
      </c>
      <c r="AN176" s="185">
        <f t="shared" si="125"/>
        <v>0</v>
      </c>
      <c r="AO176" s="185">
        <f t="shared" si="125"/>
        <v>0</v>
      </c>
      <c r="AP176" s="185">
        <f t="shared" si="125"/>
        <v>0</v>
      </c>
      <c r="AQ176" s="185">
        <f t="shared" si="125"/>
        <v>0</v>
      </c>
      <c r="AR176" s="185">
        <f t="shared" si="125"/>
        <v>0</v>
      </c>
      <c r="AS176" s="185">
        <f t="shared" si="125"/>
        <v>0</v>
      </c>
      <c r="AT176" s="185">
        <f t="shared" si="125"/>
        <v>0</v>
      </c>
      <c r="AU176" s="185">
        <f t="shared" si="125"/>
        <v>0</v>
      </c>
    </row>
    <row r="177" spans="1:47">
      <c r="G177" s="28"/>
      <c r="H177" s="28"/>
      <c r="I177" s="28"/>
      <c r="J177" s="28"/>
      <c r="K177" s="28"/>
      <c r="L177" s="409"/>
      <c r="M177" s="46"/>
      <c r="N177" s="46"/>
      <c r="O177" s="315"/>
      <c r="P177" s="46"/>
      <c r="Q177" s="315"/>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row>
    <row r="178" spans="1:47">
      <c r="E178" s="327"/>
      <c r="F178" s="28"/>
      <c r="G178" s="324" t="str">
        <f>C180&amp;" Capital Costs"</f>
        <v>Cake Storage Capital Costs</v>
      </c>
      <c r="H178" s="324"/>
      <c r="I178" s="324"/>
      <c r="J178" s="324"/>
      <c r="K178" s="324"/>
      <c r="L178" s="405" t="s">
        <v>79</v>
      </c>
      <c r="M178" s="256"/>
      <c r="N178" s="325" t="s">
        <v>490</v>
      </c>
      <c r="O178" s="311"/>
      <c r="P178" s="325" t="s">
        <v>491</v>
      </c>
      <c r="Q178" s="310"/>
      <c r="R178" s="325">
        <f>R$8</f>
        <v>2014</v>
      </c>
      <c r="S178" s="325">
        <f t="shared" ref="S178:AU178" si="126">S$8</f>
        <v>2015</v>
      </c>
      <c r="T178" s="325">
        <f t="shared" si="126"/>
        <v>2016</v>
      </c>
      <c r="U178" s="325">
        <f t="shared" si="126"/>
        <v>2017</v>
      </c>
      <c r="V178" s="325">
        <f t="shared" si="126"/>
        <v>2018</v>
      </c>
      <c r="W178" s="325">
        <f t="shared" si="126"/>
        <v>2019</v>
      </c>
      <c r="X178" s="325">
        <f t="shared" si="126"/>
        <v>2020</v>
      </c>
      <c r="Y178" s="325">
        <f t="shared" si="126"/>
        <v>2021</v>
      </c>
      <c r="Z178" s="325">
        <f t="shared" si="126"/>
        <v>2022</v>
      </c>
      <c r="AA178" s="325">
        <f t="shared" si="126"/>
        <v>2023</v>
      </c>
      <c r="AB178" s="325">
        <f t="shared" si="126"/>
        <v>2024</v>
      </c>
      <c r="AC178" s="325">
        <f t="shared" si="126"/>
        <v>2025</v>
      </c>
      <c r="AD178" s="325">
        <f t="shared" si="126"/>
        <v>2026</v>
      </c>
      <c r="AE178" s="325">
        <f t="shared" si="126"/>
        <v>2027</v>
      </c>
      <c r="AF178" s="325">
        <f t="shared" si="126"/>
        <v>2028</v>
      </c>
      <c r="AG178" s="325">
        <f t="shared" si="126"/>
        <v>2029</v>
      </c>
      <c r="AH178" s="325">
        <f t="shared" si="126"/>
        <v>2030</v>
      </c>
      <c r="AI178" s="325">
        <f t="shared" si="126"/>
        <v>2031</v>
      </c>
      <c r="AJ178" s="325">
        <f t="shared" si="126"/>
        <v>2032</v>
      </c>
      <c r="AK178" s="325">
        <f t="shared" si="126"/>
        <v>2033</v>
      </c>
      <c r="AL178" s="325">
        <f t="shared" si="126"/>
        <v>2034</v>
      </c>
      <c r="AM178" s="325">
        <f t="shared" si="126"/>
        <v>2035</v>
      </c>
      <c r="AN178" s="325">
        <f t="shared" si="126"/>
        <v>2036</v>
      </c>
      <c r="AO178" s="325">
        <f t="shared" si="126"/>
        <v>2037</v>
      </c>
      <c r="AP178" s="325">
        <f t="shared" si="126"/>
        <v>2038</v>
      </c>
      <c r="AQ178" s="325">
        <f t="shared" si="126"/>
        <v>2039</v>
      </c>
      <c r="AR178" s="325">
        <f t="shared" si="126"/>
        <v>2040</v>
      </c>
      <c r="AS178" s="325">
        <f t="shared" si="126"/>
        <v>2041</v>
      </c>
      <c r="AT178" s="325">
        <f t="shared" si="126"/>
        <v>2042</v>
      </c>
      <c r="AU178" s="325">
        <f t="shared" si="126"/>
        <v>2043</v>
      </c>
    </row>
    <row r="179" spans="1:47">
      <c r="E179" s="325"/>
      <c r="G179" s="39"/>
      <c r="H179" s="39"/>
      <c r="I179" s="39"/>
      <c r="J179" s="39"/>
      <c r="K179" s="39"/>
    </row>
    <row r="180" spans="1:47">
      <c r="A180" s="38" t="str">
        <f>$J$4&amp;"-"</f>
        <v>3Y-</v>
      </c>
      <c r="B180" s="38" t="s">
        <v>306</v>
      </c>
      <c r="C180" s="38" t="s">
        <v>317</v>
      </c>
      <c r="D180" s="186">
        <f>CapExEsc</f>
        <v>0.03</v>
      </c>
      <c r="E180" s="325"/>
      <c r="G180" s="36" t="s">
        <v>8</v>
      </c>
      <c r="H180" s="39"/>
      <c r="I180" s="39"/>
      <c r="J180" s="70"/>
      <c r="K180" s="39"/>
      <c r="L180" s="43" t="str">
        <f>"["&amp;CostBaseYr&amp;" $]"</f>
        <v>[2013 $]</v>
      </c>
      <c r="N180" s="52">
        <f ca="1">SUMIFS(OFFSET(Assumptions!$I$65,0,MATCH($A180,Configurations,0)-1,COUNT(Assumptions!$A$65:$A$84),1),Assumptions!$E$65:$E$84,$C180)</f>
        <v>0</v>
      </c>
      <c r="O180" s="52"/>
      <c r="P180" s="322"/>
      <c r="Q180" s="52"/>
      <c r="R180" s="52">
        <f t="shared" ref="R180:AU180" ca="1" si="127">R181*IF($P180=0,$N180,$P180)*(1+$D180)^(R$8-CostBaseYr)</f>
        <v>0</v>
      </c>
      <c r="S180" s="52">
        <f t="shared" ca="1" si="127"/>
        <v>0</v>
      </c>
      <c r="T180" s="52">
        <f t="shared" ca="1" si="127"/>
        <v>0</v>
      </c>
      <c r="U180" s="52">
        <f t="shared" ca="1" si="127"/>
        <v>0</v>
      </c>
      <c r="V180" s="52">
        <f t="shared" ca="1" si="127"/>
        <v>0</v>
      </c>
      <c r="W180" s="52">
        <f t="shared" ca="1" si="127"/>
        <v>0</v>
      </c>
      <c r="X180" s="52">
        <f t="shared" ca="1" si="127"/>
        <v>0</v>
      </c>
      <c r="Y180" s="52">
        <f t="shared" ca="1" si="127"/>
        <v>0</v>
      </c>
      <c r="Z180" s="52">
        <f t="shared" ca="1" si="127"/>
        <v>0</v>
      </c>
      <c r="AA180" s="52">
        <f t="shared" ca="1" si="127"/>
        <v>0</v>
      </c>
      <c r="AB180" s="52">
        <f t="shared" ca="1" si="127"/>
        <v>0</v>
      </c>
      <c r="AC180" s="52">
        <f t="shared" ca="1" si="127"/>
        <v>0</v>
      </c>
      <c r="AD180" s="52">
        <f t="shared" ca="1" si="127"/>
        <v>0</v>
      </c>
      <c r="AE180" s="52">
        <f t="shared" ca="1" si="127"/>
        <v>0</v>
      </c>
      <c r="AF180" s="52">
        <f t="shared" ca="1" si="127"/>
        <v>0</v>
      </c>
      <c r="AG180" s="52">
        <f t="shared" ca="1" si="127"/>
        <v>0</v>
      </c>
      <c r="AH180" s="52">
        <f t="shared" ca="1" si="127"/>
        <v>0</v>
      </c>
      <c r="AI180" s="52">
        <f t="shared" ca="1" si="127"/>
        <v>0</v>
      </c>
      <c r="AJ180" s="52">
        <f t="shared" ca="1" si="127"/>
        <v>0</v>
      </c>
      <c r="AK180" s="52">
        <f t="shared" ca="1" si="127"/>
        <v>0</v>
      </c>
      <c r="AL180" s="52">
        <f t="shared" ca="1" si="127"/>
        <v>0</v>
      </c>
      <c r="AM180" s="52">
        <f t="shared" ca="1" si="127"/>
        <v>0</v>
      </c>
      <c r="AN180" s="52">
        <f t="shared" ca="1" si="127"/>
        <v>0</v>
      </c>
      <c r="AO180" s="52">
        <f t="shared" ca="1" si="127"/>
        <v>0</v>
      </c>
      <c r="AP180" s="52">
        <f t="shared" ca="1" si="127"/>
        <v>0</v>
      </c>
      <c r="AQ180" s="52">
        <f t="shared" ca="1" si="127"/>
        <v>0</v>
      </c>
      <c r="AR180" s="52">
        <f t="shared" ca="1" si="127"/>
        <v>0</v>
      </c>
      <c r="AS180" s="52">
        <f t="shared" ca="1" si="127"/>
        <v>0</v>
      </c>
      <c r="AT180" s="52">
        <f t="shared" ca="1" si="127"/>
        <v>0</v>
      </c>
      <c r="AU180" s="52">
        <f t="shared" ca="1" si="127"/>
        <v>0</v>
      </c>
    </row>
    <row r="181" spans="1:47">
      <c r="E181" s="325"/>
      <c r="G181" s="36" t="s">
        <v>10</v>
      </c>
      <c r="H181" s="39"/>
      <c r="I181" s="39"/>
      <c r="J181" s="39"/>
      <c r="K181" s="39"/>
      <c r="L181" s="43"/>
      <c r="R181" s="54">
        <f>Assumptions!M$60</f>
        <v>1</v>
      </c>
      <c r="S181" s="54">
        <f>Assumptions!N$60</f>
        <v>0</v>
      </c>
      <c r="T181" s="54">
        <f>Assumptions!O$60</f>
        <v>0</v>
      </c>
      <c r="U181" s="54">
        <f>Assumptions!P$60</f>
        <v>0</v>
      </c>
      <c r="V181" s="54">
        <f>Assumptions!Q$60</f>
        <v>0</v>
      </c>
      <c r="W181" s="54">
        <f>Assumptions!R$60</f>
        <v>0</v>
      </c>
      <c r="X181" s="54">
        <f>Assumptions!S$60</f>
        <v>0</v>
      </c>
      <c r="Y181" s="54">
        <f>Assumptions!T$60</f>
        <v>0</v>
      </c>
      <c r="Z181" s="54">
        <f>Assumptions!U$60</f>
        <v>0</v>
      </c>
      <c r="AA181" s="54">
        <f>Assumptions!V$60</f>
        <v>0</v>
      </c>
      <c r="AB181" s="54">
        <f>Assumptions!W$60</f>
        <v>0</v>
      </c>
      <c r="AC181" s="54">
        <f>Assumptions!X$60</f>
        <v>0</v>
      </c>
      <c r="AD181" s="54">
        <f>Assumptions!Y$60</f>
        <v>0</v>
      </c>
      <c r="AE181" s="54">
        <f>Assumptions!Z$60</f>
        <v>0</v>
      </c>
      <c r="AF181" s="54">
        <f>Assumptions!AA$60</f>
        <v>0</v>
      </c>
      <c r="AG181" s="54">
        <f>Assumptions!AB$60</f>
        <v>0</v>
      </c>
      <c r="AH181" s="54">
        <f>Assumptions!AC$60</f>
        <v>0</v>
      </c>
      <c r="AI181" s="54">
        <f>Assumptions!AD$60</f>
        <v>0</v>
      </c>
      <c r="AJ181" s="54">
        <f>Assumptions!AE$60</f>
        <v>0</v>
      </c>
      <c r="AK181" s="54">
        <f>Assumptions!AF$60</f>
        <v>0</v>
      </c>
      <c r="AL181" s="54">
        <f>Assumptions!AG$60</f>
        <v>0</v>
      </c>
      <c r="AM181" s="54">
        <f>Assumptions!AH$60</f>
        <v>0</v>
      </c>
      <c r="AN181" s="54">
        <f>Assumptions!AI$60</f>
        <v>0</v>
      </c>
      <c r="AO181" s="54">
        <f>Assumptions!AJ$60</f>
        <v>0</v>
      </c>
      <c r="AP181" s="54">
        <f>Assumptions!AK$60</f>
        <v>0</v>
      </c>
      <c r="AQ181" s="54">
        <f>Assumptions!AL$60</f>
        <v>0</v>
      </c>
      <c r="AR181" s="54">
        <f>Assumptions!AM$60</f>
        <v>0</v>
      </c>
      <c r="AS181" s="54">
        <f>Assumptions!AN$60</f>
        <v>0</v>
      </c>
      <c r="AT181" s="54">
        <f>Assumptions!AO$60</f>
        <v>0</v>
      </c>
      <c r="AU181" s="54">
        <f>Assumptions!AP$60</f>
        <v>0</v>
      </c>
    </row>
    <row r="182" spans="1:47">
      <c r="E182" s="326"/>
      <c r="G182" s="39"/>
      <c r="H182" s="39"/>
      <c r="I182" s="39"/>
      <c r="J182" s="39"/>
      <c r="K182" s="39"/>
    </row>
    <row r="183" spans="1:47">
      <c r="E183" s="327"/>
      <c r="F183" s="28"/>
      <c r="G183" s="324" t="str">
        <f>C180&amp;" O&amp;M"</f>
        <v>Cake Storage O&amp;M</v>
      </c>
      <c r="H183" s="324"/>
      <c r="I183" s="324"/>
      <c r="J183" s="324"/>
      <c r="K183" s="324"/>
      <c r="L183" s="405" t="s">
        <v>79</v>
      </c>
      <c r="M183" s="256"/>
      <c r="N183" s="325" t="s">
        <v>490</v>
      </c>
      <c r="O183" s="311"/>
      <c r="P183" s="325" t="s">
        <v>491</v>
      </c>
      <c r="Q183" s="310"/>
      <c r="R183" s="325">
        <f>R$8</f>
        <v>2014</v>
      </c>
      <c r="S183" s="325">
        <f t="shared" ref="S183:AU183" si="128">S$8</f>
        <v>2015</v>
      </c>
      <c r="T183" s="325">
        <f t="shared" si="128"/>
        <v>2016</v>
      </c>
      <c r="U183" s="325">
        <f t="shared" si="128"/>
        <v>2017</v>
      </c>
      <c r="V183" s="325">
        <f t="shared" si="128"/>
        <v>2018</v>
      </c>
      <c r="W183" s="325">
        <f t="shared" si="128"/>
        <v>2019</v>
      </c>
      <c r="X183" s="325">
        <f t="shared" si="128"/>
        <v>2020</v>
      </c>
      <c r="Y183" s="325">
        <f t="shared" si="128"/>
        <v>2021</v>
      </c>
      <c r="Z183" s="325">
        <f t="shared" si="128"/>
        <v>2022</v>
      </c>
      <c r="AA183" s="325">
        <f t="shared" si="128"/>
        <v>2023</v>
      </c>
      <c r="AB183" s="325">
        <f t="shared" si="128"/>
        <v>2024</v>
      </c>
      <c r="AC183" s="325">
        <f t="shared" si="128"/>
        <v>2025</v>
      </c>
      <c r="AD183" s="325">
        <f t="shared" si="128"/>
        <v>2026</v>
      </c>
      <c r="AE183" s="325">
        <f t="shared" si="128"/>
        <v>2027</v>
      </c>
      <c r="AF183" s="325">
        <f t="shared" si="128"/>
        <v>2028</v>
      </c>
      <c r="AG183" s="325">
        <f t="shared" si="128"/>
        <v>2029</v>
      </c>
      <c r="AH183" s="325">
        <f t="shared" si="128"/>
        <v>2030</v>
      </c>
      <c r="AI183" s="325">
        <f t="shared" si="128"/>
        <v>2031</v>
      </c>
      <c r="AJ183" s="325">
        <f t="shared" si="128"/>
        <v>2032</v>
      </c>
      <c r="AK183" s="325">
        <f t="shared" si="128"/>
        <v>2033</v>
      </c>
      <c r="AL183" s="325">
        <f t="shared" si="128"/>
        <v>2034</v>
      </c>
      <c r="AM183" s="325">
        <f t="shared" si="128"/>
        <v>2035</v>
      </c>
      <c r="AN183" s="325">
        <f t="shared" si="128"/>
        <v>2036</v>
      </c>
      <c r="AO183" s="325">
        <f t="shared" si="128"/>
        <v>2037</v>
      </c>
      <c r="AP183" s="325">
        <f t="shared" si="128"/>
        <v>2038</v>
      </c>
      <c r="AQ183" s="325">
        <f t="shared" si="128"/>
        <v>2039</v>
      </c>
      <c r="AR183" s="325">
        <f t="shared" si="128"/>
        <v>2040</v>
      </c>
      <c r="AS183" s="325">
        <f t="shared" si="128"/>
        <v>2041</v>
      </c>
      <c r="AT183" s="325">
        <f t="shared" si="128"/>
        <v>2042</v>
      </c>
      <c r="AU183" s="325">
        <f t="shared" si="128"/>
        <v>2043</v>
      </c>
    </row>
    <row r="184" spans="1:47">
      <c r="E184" s="325"/>
      <c r="G184" s="39"/>
      <c r="H184" s="39"/>
      <c r="I184" s="39"/>
      <c r="J184" s="39"/>
      <c r="K184" s="39"/>
    </row>
    <row r="185" spans="1:47">
      <c r="E185" s="325"/>
      <c r="G185" s="39" t="s">
        <v>23</v>
      </c>
      <c r="H185" s="39"/>
      <c r="I185" s="39"/>
      <c r="J185" s="39"/>
      <c r="K185" s="39"/>
    </row>
    <row r="186" spans="1:47">
      <c r="A186" s="38" t="str">
        <f t="shared" ref="A186:A193" si="129">$J$4&amp;"-"</f>
        <v>3Y-</v>
      </c>
      <c r="B186" s="38" t="s">
        <v>262</v>
      </c>
      <c r="C186" s="38" t="str">
        <f>C180</f>
        <v>Cake Storage</v>
      </c>
      <c r="D186" s="186">
        <f>LaborEsc</f>
        <v>0.02</v>
      </c>
      <c r="E186" s="325"/>
      <c r="G186" s="36" t="s">
        <v>125</v>
      </c>
      <c r="I186" s="39"/>
      <c r="K186" s="39"/>
      <c r="L186" s="43" t="s">
        <v>266</v>
      </c>
      <c r="N186" s="70">
        <f ca="1">SUMIFS(OFFSET(Assumptions!$I$90,0,MATCH($A186,Configurations,0)-1,COUNT(Assumptions!$A$90:$A$183),1),Assumptions!$D$90:$D$183,$B186&amp;$C186)</f>
        <v>0</v>
      </c>
      <c r="O186" s="313"/>
      <c r="P186" s="323"/>
      <c r="Q186" s="313"/>
      <c r="R186" s="50">
        <f t="shared" ref="R186:AU186" ca="1" si="130">IF(OR(R$99&lt;InServiceYr,R$99&gt;(InServiceYr+analysis_period-1)),0,IF($P186=0,$N186,$P186)*LaborCost*(1+$D186)^(R$99-CostBaseYr))</f>
        <v>0</v>
      </c>
      <c r="S186" s="50">
        <f t="shared" ca="1" si="130"/>
        <v>0</v>
      </c>
      <c r="T186" s="50">
        <f t="shared" ca="1" si="130"/>
        <v>0</v>
      </c>
      <c r="U186" s="50">
        <f t="shared" ca="1" si="130"/>
        <v>0</v>
      </c>
      <c r="V186" s="50">
        <f t="shared" ca="1" si="130"/>
        <v>0</v>
      </c>
      <c r="W186" s="50">
        <f t="shared" ca="1" si="130"/>
        <v>0</v>
      </c>
      <c r="X186" s="50">
        <f t="shared" ca="1" si="130"/>
        <v>0</v>
      </c>
      <c r="Y186" s="50">
        <f t="shared" ca="1" si="130"/>
        <v>0</v>
      </c>
      <c r="Z186" s="50">
        <f t="shared" ca="1" si="130"/>
        <v>0</v>
      </c>
      <c r="AA186" s="50">
        <f t="shared" ca="1" si="130"/>
        <v>0</v>
      </c>
      <c r="AB186" s="50">
        <f t="shared" ca="1" si="130"/>
        <v>0</v>
      </c>
      <c r="AC186" s="50">
        <f t="shared" ca="1" si="130"/>
        <v>0</v>
      </c>
      <c r="AD186" s="50">
        <f t="shared" ca="1" si="130"/>
        <v>0</v>
      </c>
      <c r="AE186" s="50">
        <f t="shared" ca="1" si="130"/>
        <v>0</v>
      </c>
      <c r="AF186" s="50">
        <f t="shared" ca="1" si="130"/>
        <v>0</v>
      </c>
      <c r="AG186" s="50">
        <f t="shared" ca="1" si="130"/>
        <v>0</v>
      </c>
      <c r="AH186" s="50">
        <f t="shared" ca="1" si="130"/>
        <v>0</v>
      </c>
      <c r="AI186" s="50">
        <f t="shared" ca="1" si="130"/>
        <v>0</v>
      </c>
      <c r="AJ186" s="50">
        <f t="shared" ca="1" si="130"/>
        <v>0</v>
      </c>
      <c r="AK186" s="50">
        <f t="shared" ca="1" si="130"/>
        <v>0</v>
      </c>
      <c r="AL186" s="50">
        <f t="shared" si="130"/>
        <v>0</v>
      </c>
      <c r="AM186" s="50">
        <f t="shared" si="130"/>
        <v>0</v>
      </c>
      <c r="AN186" s="50">
        <f t="shared" si="130"/>
        <v>0</v>
      </c>
      <c r="AO186" s="50">
        <f t="shared" si="130"/>
        <v>0</v>
      </c>
      <c r="AP186" s="50">
        <f t="shared" si="130"/>
        <v>0</v>
      </c>
      <c r="AQ186" s="50">
        <f t="shared" si="130"/>
        <v>0</v>
      </c>
      <c r="AR186" s="50">
        <f t="shared" si="130"/>
        <v>0</v>
      </c>
      <c r="AS186" s="50">
        <f t="shared" si="130"/>
        <v>0</v>
      </c>
      <c r="AT186" s="50">
        <f t="shared" si="130"/>
        <v>0</v>
      </c>
      <c r="AU186" s="50">
        <f t="shared" si="130"/>
        <v>0</v>
      </c>
    </row>
    <row r="187" spans="1:47">
      <c r="A187" s="38" t="str">
        <f t="shared" si="129"/>
        <v>3Y-</v>
      </c>
      <c r="B187" s="38" t="s">
        <v>270</v>
      </c>
      <c r="C187" s="38" t="str">
        <f>C186</f>
        <v>Cake Storage</v>
      </c>
      <c r="D187" s="186">
        <f>OMEsc</f>
        <v>0.02</v>
      </c>
      <c r="E187" s="325"/>
      <c r="G187" s="36" t="s">
        <v>126</v>
      </c>
      <c r="I187" s="39"/>
      <c r="K187" s="39"/>
      <c r="L187" s="43" t="str">
        <f>"["&amp;CostBaseYr&amp;" $]"</f>
        <v>[2013 $]</v>
      </c>
      <c r="N187" s="70">
        <f ca="1">SUMIFS(OFFSET(Assumptions!$I$90,0,MATCH($A187,Configurations,0)-1,COUNT(Assumptions!$A$90:$A$183),1),Assumptions!$D$90:$D$183,$B187&amp;$C187)</f>
        <v>0</v>
      </c>
      <c r="O187" s="313"/>
      <c r="P187" s="323"/>
      <c r="Q187" s="313"/>
      <c r="R187" s="50">
        <f t="shared" ref="R187:AG189" ca="1" si="131">IF(OR(R$99&lt;InServiceYr,R$99&gt;(InServiceYr+analysis_period-1)),0,IF($P187=0,$N187,$P187)*(1+$D187)^(R$99-CostBaseYr))</f>
        <v>0</v>
      </c>
      <c r="S187" s="50">
        <f t="shared" ca="1" si="131"/>
        <v>0</v>
      </c>
      <c r="T187" s="50">
        <f t="shared" ca="1" si="131"/>
        <v>0</v>
      </c>
      <c r="U187" s="50">
        <f t="shared" ca="1" si="131"/>
        <v>0</v>
      </c>
      <c r="V187" s="50">
        <f t="shared" ca="1" si="131"/>
        <v>0</v>
      </c>
      <c r="W187" s="50">
        <f t="shared" ca="1" si="131"/>
        <v>0</v>
      </c>
      <c r="X187" s="50">
        <f t="shared" ca="1" si="131"/>
        <v>0</v>
      </c>
      <c r="Y187" s="50">
        <f t="shared" ca="1" si="131"/>
        <v>0</v>
      </c>
      <c r="Z187" s="50">
        <f t="shared" ca="1" si="131"/>
        <v>0</v>
      </c>
      <c r="AA187" s="50">
        <f t="shared" ca="1" si="131"/>
        <v>0</v>
      </c>
      <c r="AB187" s="50">
        <f t="shared" ca="1" si="131"/>
        <v>0</v>
      </c>
      <c r="AC187" s="50">
        <f t="shared" ca="1" si="131"/>
        <v>0</v>
      </c>
      <c r="AD187" s="50">
        <f t="shared" ca="1" si="131"/>
        <v>0</v>
      </c>
      <c r="AE187" s="50">
        <f t="shared" ca="1" si="131"/>
        <v>0</v>
      </c>
      <c r="AF187" s="50">
        <f t="shared" ca="1" si="131"/>
        <v>0</v>
      </c>
      <c r="AG187" s="50">
        <f t="shared" ca="1" si="131"/>
        <v>0</v>
      </c>
      <c r="AH187" s="50">
        <f t="shared" ref="S187:AU189" ca="1" si="132">IF(OR(AH$99&lt;InServiceYr,AH$99&gt;(InServiceYr+analysis_period-1)),0,IF($P187=0,$N187,$P187)*(1+$D187)^(AH$99-CostBaseYr))</f>
        <v>0</v>
      </c>
      <c r="AI187" s="50">
        <f t="shared" ca="1" si="132"/>
        <v>0</v>
      </c>
      <c r="AJ187" s="50">
        <f t="shared" ca="1" si="132"/>
        <v>0</v>
      </c>
      <c r="AK187" s="50">
        <f t="shared" ca="1" si="132"/>
        <v>0</v>
      </c>
      <c r="AL187" s="50">
        <f t="shared" si="132"/>
        <v>0</v>
      </c>
      <c r="AM187" s="50">
        <f t="shared" si="132"/>
        <v>0</v>
      </c>
      <c r="AN187" s="50">
        <f t="shared" si="132"/>
        <v>0</v>
      </c>
      <c r="AO187" s="50">
        <f t="shared" si="132"/>
        <v>0</v>
      </c>
      <c r="AP187" s="50">
        <f t="shared" si="132"/>
        <v>0</v>
      </c>
      <c r="AQ187" s="50">
        <f t="shared" si="132"/>
        <v>0</v>
      </c>
      <c r="AR187" s="50">
        <f t="shared" si="132"/>
        <v>0</v>
      </c>
      <c r="AS187" s="50">
        <f t="shared" si="132"/>
        <v>0</v>
      </c>
      <c r="AT187" s="50">
        <f t="shared" si="132"/>
        <v>0</v>
      </c>
      <c r="AU187" s="50">
        <f t="shared" si="132"/>
        <v>0</v>
      </c>
    </row>
    <row r="188" spans="1:47">
      <c r="A188" s="38" t="str">
        <f t="shared" si="129"/>
        <v>3Y-</v>
      </c>
      <c r="B188" s="38" t="s">
        <v>263</v>
      </c>
      <c r="C188" s="38" t="str">
        <f t="shared" ref="C188:C192" si="133">C187</f>
        <v>Cake Storage</v>
      </c>
      <c r="D188" s="186">
        <f>OMEsc</f>
        <v>0.02</v>
      </c>
      <c r="E188" s="325"/>
      <c r="G188" s="36" t="s">
        <v>127</v>
      </c>
      <c r="I188" s="39"/>
      <c r="K188" s="39"/>
      <c r="L188" s="43" t="str">
        <f>"["&amp;CostBaseYr&amp;" $]"</f>
        <v>[2013 $]</v>
      </c>
      <c r="N188" s="70">
        <f ca="1">SUMIFS(OFFSET(Assumptions!$I$90,0,MATCH($A188,Configurations,0)-1,COUNT(Assumptions!$A$90:$A$183),1),Assumptions!$D$90:$D$183,$B188&amp;$C188)</f>
        <v>0</v>
      </c>
      <c r="O188" s="313"/>
      <c r="P188" s="323"/>
      <c r="Q188" s="313"/>
      <c r="R188" s="50">
        <f t="shared" ca="1" si="131"/>
        <v>0</v>
      </c>
      <c r="S188" s="50">
        <f t="shared" ca="1" si="132"/>
        <v>0</v>
      </c>
      <c r="T188" s="50">
        <f t="shared" ca="1" si="132"/>
        <v>0</v>
      </c>
      <c r="U188" s="50">
        <f t="shared" ca="1" si="132"/>
        <v>0</v>
      </c>
      <c r="V188" s="50">
        <f t="shared" ca="1" si="132"/>
        <v>0</v>
      </c>
      <c r="W188" s="50">
        <f t="shared" ca="1" si="132"/>
        <v>0</v>
      </c>
      <c r="X188" s="50">
        <f t="shared" ca="1" si="132"/>
        <v>0</v>
      </c>
      <c r="Y188" s="50">
        <f t="shared" ca="1" si="132"/>
        <v>0</v>
      </c>
      <c r="Z188" s="50">
        <f t="shared" ca="1" si="132"/>
        <v>0</v>
      </c>
      <c r="AA188" s="50">
        <f t="shared" ca="1" si="132"/>
        <v>0</v>
      </c>
      <c r="AB188" s="50">
        <f t="shared" ca="1" si="132"/>
        <v>0</v>
      </c>
      <c r="AC188" s="50">
        <f t="shared" ca="1" si="132"/>
        <v>0</v>
      </c>
      <c r="AD188" s="50">
        <f t="shared" ca="1" si="132"/>
        <v>0</v>
      </c>
      <c r="AE188" s="50">
        <f t="shared" ca="1" si="132"/>
        <v>0</v>
      </c>
      <c r="AF188" s="50">
        <f t="shared" ca="1" si="132"/>
        <v>0</v>
      </c>
      <c r="AG188" s="50">
        <f t="shared" ca="1" si="132"/>
        <v>0</v>
      </c>
      <c r="AH188" s="50">
        <f t="shared" ca="1" si="132"/>
        <v>0</v>
      </c>
      <c r="AI188" s="50">
        <f t="shared" ca="1" si="132"/>
        <v>0</v>
      </c>
      <c r="AJ188" s="50">
        <f t="shared" ca="1" si="132"/>
        <v>0</v>
      </c>
      <c r="AK188" s="50">
        <f t="shared" ca="1" si="132"/>
        <v>0</v>
      </c>
      <c r="AL188" s="50">
        <f t="shared" si="132"/>
        <v>0</v>
      </c>
      <c r="AM188" s="50">
        <f t="shared" si="132"/>
        <v>0</v>
      </c>
      <c r="AN188" s="50">
        <f t="shared" si="132"/>
        <v>0</v>
      </c>
      <c r="AO188" s="50">
        <f t="shared" si="132"/>
        <v>0</v>
      </c>
      <c r="AP188" s="50">
        <f t="shared" si="132"/>
        <v>0</v>
      </c>
      <c r="AQ188" s="50">
        <f t="shared" si="132"/>
        <v>0</v>
      </c>
      <c r="AR188" s="50">
        <f t="shared" si="132"/>
        <v>0</v>
      </c>
      <c r="AS188" s="50">
        <f t="shared" si="132"/>
        <v>0</v>
      </c>
      <c r="AT188" s="50">
        <f t="shared" si="132"/>
        <v>0</v>
      </c>
      <c r="AU188" s="50">
        <f t="shared" si="132"/>
        <v>0</v>
      </c>
    </row>
    <row r="189" spans="1:47">
      <c r="A189" s="38" t="str">
        <f t="shared" si="129"/>
        <v>3Y-</v>
      </c>
      <c r="B189" s="38" t="s">
        <v>277</v>
      </c>
      <c r="C189" s="38" t="str">
        <f t="shared" si="133"/>
        <v>Cake Storage</v>
      </c>
      <c r="D189" s="186">
        <f>OMEsc</f>
        <v>0.02</v>
      </c>
      <c r="E189" s="325"/>
      <c r="G189" s="36" t="s">
        <v>276</v>
      </c>
      <c r="I189" s="39"/>
      <c r="K189" s="39"/>
      <c r="L189" s="43" t="str">
        <f>"["&amp;CostBaseYr&amp;" $]"</f>
        <v>[2013 $]</v>
      </c>
      <c r="N189" s="70">
        <f ca="1">SUMIFS(OFFSET(Assumptions!$I$90,0,MATCH($A189,Configurations,0)-1,COUNT(Assumptions!$A$90:$A$183),1),Assumptions!$D$90:$D$183,$B189&amp;$C189)</f>
        <v>0</v>
      </c>
      <c r="O189" s="313"/>
      <c r="P189" s="323"/>
      <c r="Q189" s="313"/>
      <c r="R189" s="50">
        <f t="shared" ca="1" si="131"/>
        <v>0</v>
      </c>
      <c r="S189" s="50">
        <f t="shared" ca="1" si="132"/>
        <v>0</v>
      </c>
      <c r="T189" s="50">
        <f t="shared" ca="1" si="132"/>
        <v>0</v>
      </c>
      <c r="U189" s="50">
        <f t="shared" ca="1" si="132"/>
        <v>0</v>
      </c>
      <c r="V189" s="50">
        <f t="shared" ca="1" si="132"/>
        <v>0</v>
      </c>
      <c r="W189" s="50">
        <f t="shared" ca="1" si="132"/>
        <v>0</v>
      </c>
      <c r="X189" s="50">
        <f t="shared" ca="1" si="132"/>
        <v>0</v>
      </c>
      <c r="Y189" s="50">
        <f t="shared" ca="1" si="132"/>
        <v>0</v>
      </c>
      <c r="Z189" s="50">
        <f t="shared" ca="1" si="132"/>
        <v>0</v>
      </c>
      <c r="AA189" s="50">
        <f t="shared" ca="1" si="132"/>
        <v>0</v>
      </c>
      <c r="AB189" s="50">
        <f t="shared" ca="1" si="132"/>
        <v>0</v>
      </c>
      <c r="AC189" s="50">
        <f t="shared" ca="1" si="132"/>
        <v>0</v>
      </c>
      <c r="AD189" s="50">
        <f t="shared" ca="1" si="132"/>
        <v>0</v>
      </c>
      <c r="AE189" s="50">
        <f t="shared" ca="1" si="132"/>
        <v>0</v>
      </c>
      <c r="AF189" s="50">
        <f t="shared" ca="1" si="132"/>
        <v>0</v>
      </c>
      <c r="AG189" s="50">
        <f t="shared" ca="1" si="132"/>
        <v>0</v>
      </c>
      <c r="AH189" s="50">
        <f t="shared" ca="1" si="132"/>
        <v>0</v>
      </c>
      <c r="AI189" s="50">
        <f t="shared" ca="1" si="132"/>
        <v>0</v>
      </c>
      <c r="AJ189" s="50">
        <f t="shared" ca="1" si="132"/>
        <v>0</v>
      </c>
      <c r="AK189" s="50">
        <f t="shared" ca="1" si="132"/>
        <v>0</v>
      </c>
      <c r="AL189" s="50">
        <f t="shared" si="132"/>
        <v>0</v>
      </c>
      <c r="AM189" s="50">
        <f t="shared" si="132"/>
        <v>0</v>
      </c>
      <c r="AN189" s="50">
        <f t="shared" si="132"/>
        <v>0</v>
      </c>
      <c r="AO189" s="50">
        <f t="shared" si="132"/>
        <v>0</v>
      </c>
      <c r="AP189" s="50">
        <f t="shared" si="132"/>
        <v>0</v>
      </c>
      <c r="AQ189" s="50">
        <f t="shared" si="132"/>
        <v>0</v>
      </c>
      <c r="AR189" s="50">
        <f t="shared" si="132"/>
        <v>0</v>
      </c>
      <c r="AS189" s="50">
        <f t="shared" si="132"/>
        <v>0</v>
      </c>
      <c r="AT189" s="50">
        <f t="shared" si="132"/>
        <v>0</v>
      </c>
      <c r="AU189" s="50">
        <f t="shared" si="132"/>
        <v>0</v>
      </c>
    </row>
    <row r="190" spans="1:47">
      <c r="A190" s="38" t="str">
        <f t="shared" si="129"/>
        <v>3Y-</v>
      </c>
      <c r="B190" s="38" t="s">
        <v>274</v>
      </c>
      <c r="C190" s="38" t="str">
        <f t="shared" si="133"/>
        <v>Cake Storage</v>
      </c>
      <c r="D190" s="186"/>
      <c r="E190" s="325"/>
      <c r="G190" s="36" t="s">
        <v>16</v>
      </c>
      <c r="I190" s="39"/>
      <c r="K190" s="39"/>
      <c r="L190" s="43" t="s">
        <v>275</v>
      </c>
      <c r="N190" s="70">
        <f ca="1">SUMIFS(OFFSET(Assumptions!$I$90,0,MATCH($A190,Configurations,0)-1,COUNT(Assumptions!$A$90:$A$183),1),Assumptions!$D$90:$D$183,$B190&amp;$C190)</f>
        <v>0</v>
      </c>
      <c r="O190" s="313"/>
      <c r="P190" s="323"/>
      <c r="Q190" s="313"/>
      <c r="R190" s="50">
        <f t="shared" ref="R190:AU190" ca="1" si="134">IF(OR(R$99&lt;InServiceYr,R$99&gt;(InServiceYr+analysis_period-1)),0,IF($P190=0,$N190,$P190)*R$505)</f>
        <v>0</v>
      </c>
      <c r="S190" s="50">
        <f t="shared" ca="1" si="134"/>
        <v>0</v>
      </c>
      <c r="T190" s="50">
        <f t="shared" ca="1" si="134"/>
        <v>0</v>
      </c>
      <c r="U190" s="50">
        <f t="shared" ca="1" si="134"/>
        <v>0</v>
      </c>
      <c r="V190" s="50">
        <f t="shared" ca="1" si="134"/>
        <v>0</v>
      </c>
      <c r="W190" s="50">
        <f t="shared" ca="1" si="134"/>
        <v>0</v>
      </c>
      <c r="X190" s="50">
        <f t="shared" ca="1" si="134"/>
        <v>0</v>
      </c>
      <c r="Y190" s="50">
        <f t="shared" ca="1" si="134"/>
        <v>0</v>
      </c>
      <c r="Z190" s="50">
        <f t="shared" ca="1" si="134"/>
        <v>0</v>
      </c>
      <c r="AA190" s="50">
        <f t="shared" ca="1" si="134"/>
        <v>0</v>
      </c>
      <c r="AB190" s="50">
        <f t="shared" ca="1" si="134"/>
        <v>0</v>
      </c>
      <c r="AC190" s="50">
        <f t="shared" ca="1" si="134"/>
        <v>0</v>
      </c>
      <c r="AD190" s="50">
        <f t="shared" ca="1" si="134"/>
        <v>0</v>
      </c>
      <c r="AE190" s="50">
        <f t="shared" ca="1" si="134"/>
        <v>0</v>
      </c>
      <c r="AF190" s="50">
        <f t="shared" ca="1" si="134"/>
        <v>0</v>
      </c>
      <c r="AG190" s="50">
        <f t="shared" ca="1" si="134"/>
        <v>0</v>
      </c>
      <c r="AH190" s="50">
        <f t="shared" ca="1" si="134"/>
        <v>0</v>
      </c>
      <c r="AI190" s="50">
        <f t="shared" ca="1" si="134"/>
        <v>0</v>
      </c>
      <c r="AJ190" s="50">
        <f t="shared" ca="1" si="134"/>
        <v>0</v>
      </c>
      <c r="AK190" s="50">
        <f t="shared" ca="1" si="134"/>
        <v>0</v>
      </c>
      <c r="AL190" s="50">
        <f t="shared" si="134"/>
        <v>0</v>
      </c>
      <c r="AM190" s="50">
        <f t="shared" si="134"/>
        <v>0</v>
      </c>
      <c r="AN190" s="50">
        <f t="shared" si="134"/>
        <v>0</v>
      </c>
      <c r="AO190" s="50">
        <f t="shared" si="134"/>
        <v>0</v>
      </c>
      <c r="AP190" s="50">
        <f t="shared" si="134"/>
        <v>0</v>
      </c>
      <c r="AQ190" s="50">
        <f t="shared" si="134"/>
        <v>0</v>
      </c>
      <c r="AR190" s="50">
        <f t="shared" si="134"/>
        <v>0</v>
      </c>
      <c r="AS190" s="50">
        <f t="shared" si="134"/>
        <v>0</v>
      </c>
      <c r="AT190" s="50">
        <f t="shared" si="134"/>
        <v>0</v>
      </c>
      <c r="AU190" s="50">
        <f t="shared" si="134"/>
        <v>0</v>
      </c>
    </row>
    <row r="191" spans="1:47">
      <c r="A191" s="38" t="str">
        <f t="shared" si="129"/>
        <v>3Y-</v>
      </c>
      <c r="B191" s="38" t="s">
        <v>257</v>
      </c>
      <c r="C191" s="38" t="str">
        <f t="shared" si="133"/>
        <v>Cake Storage</v>
      </c>
      <c r="D191" s="186"/>
      <c r="E191" s="325"/>
      <c r="G191" s="36" t="s">
        <v>284</v>
      </c>
      <c r="I191" s="39"/>
      <c r="K191" s="39"/>
      <c r="L191" s="43" t="s">
        <v>293</v>
      </c>
      <c r="N191" s="70">
        <f ca="1">SUMIFS(OFFSET(Assumptions!$I$90,0,MATCH($A191,Configurations,0)-1,COUNT(Assumptions!$A$90:$A$183),1),Assumptions!$D$90:$D$183,$B191&amp;$C191)</f>
        <v>32850</v>
      </c>
      <c r="O191" s="313"/>
      <c r="P191" s="323"/>
      <c r="Q191" s="313"/>
      <c r="R191" s="50">
        <f t="shared" ref="R191:AU191" ca="1" si="135">IF(OR(R$99&lt;InServiceYr,R$99&gt;(InServiceYr+analysis_period-1)),0,IF($P191=0,$N191,$P191)*R$501)</f>
        <v>2121.5041166621049</v>
      </c>
      <c r="S191" s="50">
        <f t="shared" ca="1" si="135"/>
        <v>2134.7285789349235</v>
      </c>
      <c r="T191" s="50">
        <f t="shared" ca="1" si="135"/>
        <v>2226.7566030856242</v>
      </c>
      <c r="U191" s="50">
        <f t="shared" ca="1" si="135"/>
        <v>2293.5537290575717</v>
      </c>
      <c r="V191" s="50">
        <f t="shared" ca="1" si="135"/>
        <v>2348.8997271444578</v>
      </c>
      <c r="W191" s="50">
        <f t="shared" ca="1" si="135"/>
        <v>2378.949865646357</v>
      </c>
      <c r="X191" s="50">
        <f t="shared" ca="1" si="135"/>
        <v>2417.6612636404284</v>
      </c>
      <c r="Y191" s="50">
        <f t="shared" ca="1" si="135"/>
        <v>2477.2275130840158</v>
      </c>
      <c r="Z191" s="50">
        <f t="shared" ca="1" si="135"/>
        <v>2536.5340289050928</v>
      </c>
      <c r="AA191" s="50">
        <f t="shared" ca="1" si="135"/>
        <v>2599.9536097625855</v>
      </c>
      <c r="AB191" s="50">
        <f t="shared" ca="1" si="135"/>
        <v>2656.2680928144764</v>
      </c>
      <c r="AC191" s="50">
        <f t="shared" ca="1" si="135"/>
        <v>2707.4181440707871</v>
      </c>
      <c r="AD191" s="50">
        <f t="shared" ca="1" si="135"/>
        <v>2769.9589539053318</v>
      </c>
      <c r="AE191" s="50">
        <f t="shared" ca="1" si="135"/>
        <v>2833.0909125366024</v>
      </c>
      <c r="AF191" s="50">
        <f t="shared" ca="1" si="135"/>
        <v>2900.4521947209632</v>
      </c>
      <c r="AG191" s="50">
        <f t="shared" ca="1" si="135"/>
        <v>2975.9127082311493</v>
      </c>
      <c r="AH191" s="50">
        <f t="shared" ca="1" si="135"/>
        <v>3048.8447670073251</v>
      </c>
      <c r="AI191" s="50">
        <f t="shared" ca="1" si="135"/>
        <v>3127.9366231259764</v>
      </c>
      <c r="AJ191" s="50">
        <f t="shared" ca="1" si="135"/>
        <v>3211.6668356521409</v>
      </c>
      <c r="AK191" s="50">
        <f t="shared" ca="1" si="135"/>
        <v>3299.0346629225437</v>
      </c>
      <c r="AL191" s="50">
        <f t="shared" si="135"/>
        <v>0</v>
      </c>
      <c r="AM191" s="50">
        <f t="shared" si="135"/>
        <v>0</v>
      </c>
      <c r="AN191" s="50">
        <f t="shared" si="135"/>
        <v>0</v>
      </c>
      <c r="AO191" s="50">
        <f t="shared" si="135"/>
        <v>0</v>
      </c>
      <c r="AP191" s="50">
        <f t="shared" si="135"/>
        <v>0</v>
      </c>
      <c r="AQ191" s="50">
        <f t="shared" si="135"/>
        <v>0</v>
      </c>
      <c r="AR191" s="50">
        <f t="shared" si="135"/>
        <v>0</v>
      </c>
      <c r="AS191" s="50">
        <f t="shared" si="135"/>
        <v>0</v>
      </c>
      <c r="AT191" s="50">
        <f t="shared" si="135"/>
        <v>0</v>
      </c>
      <c r="AU191" s="50">
        <f t="shared" si="135"/>
        <v>0</v>
      </c>
    </row>
    <row r="192" spans="1:47">
      <c r="A192" s="38" t="str">
        <f t="shared" si="129"/>
        <v>3Y-</v>
      </c>
      <c r="B192" s="38" t="s">
        <v>864</v>
      </c>
      <c r="C192" s="38" t="str">
        <f t="shared" si="133"/>
        <v>Cake Storage</v>
      </c>
      <c r="D192" s="186">
        <f>GHGEsc</f>
        <v>0.02</v>
      </c>
      <c r="E192" s="325"/>
      <c r="G192" s="36" t="s">
        <v>865</v>
      </c>
      <c r="I192" s="39"/>
      <c r="K192" s="39"/>
      <c r="L192" s="43" t="s">
        <v>866</v>
      </c>
      <c r="N192" s="70">
        <f ca="1">SUMIFS(OFFSET(Assumptions!$I$90,0,MATCH($A192,Configurations,0)-1,COUNT(Assumptions!$A$90:$A$183),1),Assumptions!$D$90:$D$183,$B192&amp;$C192)</f>
        <v>0</v>
      </c>
      <c r="O192" s="313"/>
      <c r="P192" s="323"/>
      <c r="Q192" s="313"/>
      <c r="R192" s="50">
        <f t="shared" ref="R192:AU192" ca="1" si="136">IF(OR(R$99&lt;InServiceYr,R$99&gt;(InServiceYr+analysis_period-1)),0,IF($P192=0,$N192,$P192)*R$513)</f>
        <v>0</v>
      </c>
      <c r="S192" s="50">
        <f t="shared" ca="1" si="136"/>
        <v>0</v>
      </c>
      <c r="T192" s="50">
        <f t="shared" ca="1" si="136"/>
        <v>0</v>
      </c>
      <c r="U192" s="50">
        <f t="shared" ca="1" si="136"/>
        <v>0</v>
      </c>
      <c r="V192" s="50">
        <f t="shared" ca="1" si="136"/>
        <v>0</v>
      </c>
      <c r="W192" s="50">
        <f t="shared" ca="1" si="136"/>
        <v>0</v>
      </c>
      <c r="X192" s="50">
        <f t="shared" ca="1" si="136"/>
        <v>0</v>
      </c>
      <c r="Y192" s="50">
        <f t="shared" ca="1" si="136"/>
        <v>0</v>
      </c>
      <c r="Z192" s="50">
        <f t="shared" ca="1" si="136"/>
        <v>0</v>
      </c>
      <c r="AA192" s="50">
        <f t="shared" ca="1" si="136"/>
        <v>0</v>
      </c>
      <c r="AB192" s="50">
        <f t="shared" ca="1" si="136"/>
        <v>0</v>
      </c>
      <c r="AC192" s="50">
        <f t="shared" ca="1" si="136"/>
        <v>0</v>
      </c>
      <c r="AD192" s="50">
        <f t="shared" ca="1" si="136"/>
        <v>0</v>
      </c>
      <c r="AE192" s="50">
        <f t="shared" ca="1" si="136"/>
        <v>0</v>
      </c>
      <c r="AF192" s="50">
        <f t="shared" ca="1" si="136"/>
        <v>0</v>
      </c>
      <c r="AG192" s="50">
        <f t="shared" ca="1" si="136"/>
        <v>0</v>
      </c>
      <c r="AH192" s="50">
        <f t="shared" ca="1" si="136"/>
        <v>0</v>
      </c>
      <c r="AI192" s="50">
        <f t="shared" ca="1" si="136"/>
        <v>0</v>
      </c>
      <c r="AJ192" s="50">
        <f t="shared" ca="1" si="136"/>
        <v>0</v>
      </c>
      <c r="AK192" s="50">
        <f t="shared" ca="1" si="136"/>
        <v>0</v>
      </c>
      <c r="AL192" s="50">
        <f t="shared" si="136"/>
        <v>0</v>
      </c>
      <c r="AM192" s="50">
        <f t="shared" si="136"/>
        <v>0</v>
      </c>
      <c r="AN192" s="50">
        <f t="shared" si="136"/>
        <v>0</v>
      </c>
      <c r="AO192" s="50">
        <f t="shared" si="136"/>
        <v>0</v>
      </c>
      <c r="AP192" s="50">
        <f t="shared" si="136"/>
        <v>0</v>
      </c>
      <c r="AQ192" s="50">
        <f t="shared" si="136"/>
        <v>0</v>
      </c>
      <c r="AR192" s="50">
        <f t="shared" si="136"/>
        <v>0</v>
      </c>
      <c r="AS192" s="50">
        <f t="shared" si="136"/>
        <v>0</v>
      </c>
      <c r="AT192" s="50">
        <f t="shared" si="136"/>
        <v>0</v>
      </c>
      <c r="AU192" s="50">
        <f t="shared" si="136"/>
        <v>0</v>
      </c>
    </row>
    <row r="193" spans="1:47">
      <c r="A193" s="38" t="str">
        <f t="shared" si="129"/>
        <v>3Y-</v>
      </c>
      <c r="B193" s="38" t="s">
        <v>273</v>
      </c>
      <c r="C193" s="38" t="str">
        <f>C191</f>
        <v>Cake Storage</v>
      </c>
      <c r="D193" s="186">
        <f>LaborEsc</f>
        <v>0.02</v>
      </c>
      <c r="E193" s="325"/>
      <c r="G193" s="36" t="s">
        <v>291</v>
      </c>
      <c r="I193" s="39"/>
      <c r="K193" s="39"/>
      <c r="L193" s="43" t="str">
        <f>"["&amp;CostBaseYr&amp;" $]"</f>
        <v>[2013 $]</v>
      </c>
      <c r="N193" s="70">
        <f ca="1">SUMIFS(OFFSET(Assumptions!$I$90,0,MATCH($A193,Configurations,0)-1,COUNT(Assumptions!$A$90:$A$183),1),Assumptions!$D$90:$D$183,$B193&amp;$C193)</f>
        <v>0</v>
      </c>
      <c r="O193" s="313"/>
      <c r="P193" s="323"/>
      <c r="Q193" s="313"/>
      <c r="R193" s="50">
        <f t="shared" ref="R193:AU193" ca="1" si="137">IF(OR(R$99&lt;InServiceYr,R$99&gt;(InServiceYr+analysis_period-1)),0,IF($P193=0,$N193,$P193)*(1+$D193)^(R$99-CostBaseYr))*R$509</f>
        <v>0</v>
      </c>
      <c r="S193" s="50">
        <f t="shared" ca="1" si="137"/>
        <v>0</v>
      </c>
      <c r="T193" s="50">
        <f t="shared" ca="1" si="137"/>
        <v>0</v>
      </c>
      <c r="U193" s="50">
        <f t="shared" ca="1" si="137"/>
        <v>0</v>
      </c>
      <c r="V193" s="50">
        <f t="shared" ca="1" si="137"/>
        <v>0</v>
      </c>
      <c r="W193" s="50">
        <f t="shared" ca="1" si="137"/>
        <v>0</v>
      </c>
      <c r="X193" s="50">
        <f t="shared" ca="1" si="137"/>
        <v>0</v>
      </c>
      <c r="Y193" s="50">
        <f t="shared" ca="1" si="137"/>
        <v>0</v>
      </c>
      <c r="Z193" s="50">
        <f t="shared" ca="1" si="137"/>
        <v>0</v>
      </c>
      <c r="AA193" s="50">
        <f t="shared" ca="1" si="137"/>
        <v>0</v>
      </c>
      <c r="AB193" s="50">
        <f t="shared" ca="1" si="137"/>
        <v>0</v>
      </c>
      <c r="AC193" s="50">
        <f t="shared" ca="1" si="137"/>
        <v>0</v>
      </c>
      <c r="AD193" s="50">
        <f t="shared" ca="1" si="137"/>
        <v>0</v>
      </c>
      <c r="AE193" s="50">
        <f t="shared" ca="1" si="137"/>
        <v>0</v>
      </c>
      <c r="AF193" s="50">
        <f t="shared" ca="1" si="137"/>
        <v>0</v>
      </c>
      <c r="AG193" s="50">
        <f t="shared" ca="1" si="137"/>
        <v>0</v>
      </c>
      <c r="AH193" s="50">
        <f t="shared" ca="1" si="137"/>
        <v>0</v>
      </c>
      <c r="AI193" s="50">
        <f t="shared" ca="1" si="137"/>
        <v>0</v>
      </c>
      <c r="AJ193" s="50">
        <f t="shared" ca="1" si="137"/>
        <v>0</v>
      </c>
      <c r="AK193" s="50">
        <f t="shared" ca="1" si="137"/>
        <v>0</v>
      </c>
      <c r="AL193" s="50">
        <f t="shared" si="137"/>
        <v>0</v>
      </c>
      <c r="AM193" s="50">
        <f t="shared" si="137"/>
        <v>0</v>
      </c>
      <c r="AN193" s="50">
        <f t="shared" si="137"/>
        <v>0</v>
      </c>
      <c r="AO193" s="50">
        <f t="shared" si="137"/>
        <v>0</v>
      </c>
      <c r="AP193" s="50">
        <f t="shared" si="137"/>
        <v>0</v>
      </c>
      <c r="AQ193" s="50">
        <f t="shared" si="137"/>
        <v>0</v>
      </c>
      <c r="AR193" s="50">
        <f t="shared" si="137"/>
        <v>0</v>
      </c>
      <c r="AS193" s="50">
        <f t="shared" si="137"/>
        <v>0</v>
      </c>
      <c r="AT193" s="50">
        <f t="shared" si="137"/>
        <v>0</v>
      </c>
      <c r="AU193" s="50">
        <f t="shared" si="137"/>
        <v>0</v>
      </c>
    </row>
    <row r="194" spans="1:47">
      <c r="D194" s="186"/>
      <c r="E194" s="325"/>
      <c r="G194" s="39" t="s">
        <v>304</v>
      </c>
      <c r="I194" s="39"/>
      <c r="K194" s="39"/>
      <c r="L194" s="43"/>
      <c r="N194" s="70"/>
      <c r="O194" s="313"/>
      <c r="P194" s="70"/>
      <c r="Q194" s="313"/>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row>
    <row r="195" spans="1:47">
      <c r="A195" s="38" t="str">
        <f>$J$4&amp;"-"</f>
        <v>3Y-</v>
      </c>
      <c r="B195" s="38" t="s">
        <v>265</v>
      </c>
      <c r="C195" s="38" t="str">
        <f>C186</f>
        <v>Cake Storage</v>
      </c>
      <c r="D195" s="186"/>
      <c r="E195" s="325"/>
      <c r="G195" s="36" t="s">
        <v>108</v>
      </c>
      <c r="I195" s="39"/>
      <c r="K195" s="39"/>
      <c r="L195" s="43" t="s">
        <v>293</v>
      </c>
      <c r="N195" s="70">
        <f ca="1">SUMIFS(OFFSET(Assumptions!$I$90,0,MATCH($A195,Configurations,0)-1,COUNT(Assumptions!$A$90:$A$183),1),Assumptions!$D$90:$D$183,$B195&amp;$C195)</f>
        <v>0</v>
      </c>
      <c r="O195" s="313"/>
      <c r="P195" s="323"/>
      <c r="Q195" s="313"/>
      <c r="R195" s="50">
        <f t="shared" ref="R195:AU195" ca="1" si="138">IF(OR(R$99&lt;InServiceYr,R$99&gt;(InServiceYr+analysis_period-1)),0,IF($P195=0,$N195,$P195)*R$501)</f>
        <v>0</v>
      </c>
      <c r="S195" s="50">
        <f t="shared" ca="1" si="138"/>
        <v>0</v>
      </c>
      <c r="T195" s="50">
        <f t="shared" ca="1" si="138"/>
        <v>0</v>
      </c>
      <c r="U195" s="50">
        <f t="shared" ca="1" si="138"/>
        <v>0</v>
      </c>
      <c r="V195" s="50">
        <f t="shared" ca="1" si="138"/>
        <v>0</v>
      </c>
      <c r="W195" s="50">
        <f t="shared" ca="1" si="138"/>
        <v>0</v>
      </c>
      <c r="X195" s="50">
        <f t="shared" ca="1" si="138"/>
        <v>0</v>
      </c>
      <c r="Y195" s="50">
        <f t="shared" ca="1" si="138"/>
        <v>0</v>
      </c>
      <c r="Z195" s="50">
        <f t="shared" ca="1" si="138"/>
        <v>0</v>
      </c>
      <c r="AA195" s="50">
        <f t="shared" ca="1" si="138"/>
        <v>0</v>
      </c>
      <c r="AB195" s="50">
        <f t="shared" ca="1" si="138"/>
        <v>0</v>
      </c>
      <c r="AC195" s="50">
        <f t="shared" ca="1" si="138"/>
        <v>0</v>
      </c>
      <c r="AD195" s="50">
        <f t="shared" ca="1" si="138"/>
        <v>0</v>
      </c>
      <c r="AE195" s="50">
        <f t="shared" ca="1" si="138"/>
        <v>0</v>
      </c>
      <c r="AF195" s="50">
        <f t="shared" ca="1" si="138"/>
        <v>0</v>
      </c>
      <c r="AG195" s="50">
        <f t="shared" ca="1" si="138"/>
        <v>0</v>
      </c>
      <c r="AH195" s="50">
        <f t="shared" ca="1" si="138"/>
        <v>0</v>
      </c>
      <c r="AI195" s="50">
        <f t="shared" ca="1" si="138"/>
        <v>0</v>
      </c>
      <c r="AJ195" s="50">
        <f t="shared" ca="1" si="138"/>
        <v>0</v>
      </c>
      <c r="AK195" s="50">
        <f t="shared" ca="1" si="138"/>
        <v>0</v>
      </c>
      <c r="AL195" s="50">
        <f t="shared" si="138"/>
        <v>0</v>
      </c>
      <c r="AM195" s="50">
        <f t="shared" si="138"/>
        <v>0</v>
      </c>
      <c r="AN195" s="50">
        <f t="shared" si="138"/>
        <v>0</v>
      </c>
      <c r="AO195" s="50">
        <f t="shared" si="138"/>
        <v>0</v>
      </c>
      <c r="AP195" s="50">
        <f t="shared" si="138"/>
        <v>0</v>
      </c>
      <c r="AQ195" s="50">
        <f t="shared" si="138"/>
        <v>0</v>
      </c>
      <c r="AR195" s="50">
        <f t="shared" si="138"/>
        <v>0</v>
      </c>
      <c r="AS195" s="50">
        <f t="shared" si="138"/>
        <v>0</v>
      </c>
      <c r="AT195" s="50">
        <f t="shared" si="138"/>
        <v>0</v>
      </c>
      <c r="AU195" s="50">
        <f t="shared" si="138"/>
        <v>0</v>
      </c>
    </row>
    <row r="196" spans="1:47">
      <c r="A196" s="38" t="str">
        <f>$J$4&amp;"-"</f>
        <v>3Y-</v>
      </c>
      <c r="B196" s="38" t="s">
        <v>289</v>
      </c>
      <c r="C196" s="38" t="str">
        <f>C186</f>
        <v>Cake Storage</v>
      </c>
      <c r="D196" s="186">
        <f>LaborEsc</f>
        <v>0.02</v>
      </c>
      <c r="E196" s="325"/>
      <c r="G196" s="36" t="s">
        <v>292</v>
      </c>
      <c r="I196" s="39"/>
      <c r="K196" s="39"/>
      <c r="L196" s="43" t="str">
        <f>"["&amp;CostBaseYr&amp;" $]"</f>
        <v>[2013 $]</v>
      </c>
      <c r="N196" s="70">
        <f ca="1">SUMIFS(OFFSET(Assumptions!$I$90,0,MATCH($A196,Configurations,0)-1,COUNT(Assumptions!$A$90:$A$183),1),Assumptions!$D$90:$D$183,$B196&amp;$C196)</f>
        <v>0</v>
      </c>
      <c r="O196" s="313"/>
      <c r="P196" s="323"/>
      <c r="Q196" s="313"/>
      <c r="R196" s="50">
        <f t="shared" ref="R196:AU196" ca="1" si="139">IF(OR(R$99&lt;InServiceYr,R$99&gt;(InServiceYr+analysis_period-1)),0,IF($P196=0,$N196,$P196)*(1+$D196)^(R$99-CostBaseYr))</f>
        <v>0</v>
      </c>
      <c r="S196" s="50">
        <f t="shared" ca="1" si="139"/>
        <v>0</v>
      </c>
      <c r="T196" s="50">
        <f t="shared" ca="1" si="139"/>
        <v>0</v>
      </c>
      <c r="U196" s="50">
        <f t="shared" ca="1" si="139"/>
        <v>0</v>
      </c>
      <c r="V196" s="50">
        <f t="shared" ca="1" si="139"/>
        <v>0</v>
      </c>
      <c r="W196" s="50">
        <f t="shared" ca="1" si="139"/>
        <v>0</v>
      </c>
      <c r="X196" s="50">
        <f t="shared" ca="1" si="139"/>
        <v>0</v>
      </c>
      <c r="Y196" s="50">
        <f t="shared" ca="1" si="139"/>
        <v>0</v>
      </c>
      <c r="Z196" s="50">
        <f t="shared" ca="1" si="139"/>
        <v>0</v>
      </c>
      <c r="AA196" s="50">
        <f t="shared" ca="1" si="139"/>
        <v>0</v>
      </c>
      <c r="AB196" s="50">
        <f t="shared" ca="1" si="139"/>
        <v>0</v>
      </c>
      <c r="AC196" s="50">
        <f t="shared" ca="1" si="139"/>
        <v>0</v>
      </c>
      <c r="AD196" s="50">
        <f t="shared" ca="1" si="139"/>
        <v>0</v>
      </c>
      <c r="AE196" s="50">
        <f t="shared" ca="1" si="139"/>
        <v>0</v>
      </c>
      <c r="AF196" s="50">
        <f t="shared" ca="1" si="139"/>
        <v>0</v>
      </c>
      <c r="AG196" s="50">
        <f t="shared" ca="1" si="139"/>
        <v>0</v>
      </c>
      <c r="AH196" s="50">
        <f t="shared" ca="1" si="139"/>
        <v>0</v>
      </c>
      <c r="AI196" s="50">
        <f t="shared" ca="1" si="139"/>
        <v>0</v>
      </c>
      <c r="AJ196" s="50">
        <f t="shared" ca="1" si="139"/>
        <v>0</v>
      </c>
      <c r="AK196" s="50">
        <f t="shared" ca="1" si="139"/>
        <v>0</v>
      </c>
      <c r="AL196" s="50">
        <f t="shared" si="139"/>
        <v>0</v>
      </c>
      <c r="AM196" s="50">
        <f t="shared" si="139"/>
        <v>0</v>
      </c>
      <c r="AN196" s="50">
        <f t="shared" si="139"/>
        <v>0</v>
      </c>
      <c r="AO196" s="50">
        <f t="shared" si="139"/>
        <v>0</v>
      </c>
      <c r="AP196" s="50">
        <f t="shared" si="139"/>
        <v>0</v>
      </c>
      <c r="AQ196" s="50">
        <f t="shared" si="139"/>
        <v>0</v>
      </c>
      <c r="AR196" s="50">
        <f t="shared" si="139"/>
        <v>0</v>
      </c>
      <c r="AS196" s="50">
        <f t="shared" si="139"/>
        <v>0</v>
      </c>
      <c r="AT196" s="50">
        <f t="shared" si="139"/>
        <v>0</v>
      </c>
      <c r="AU196" s="50">
        <f t="shared" si="139"/>
        <v>0</v>
      </c>
    </row>
    <row r="197" spans="1:47" s="60" customFormat="1">
      <c r="D197" s="187"/>
      <c r="E197" s="325"/>
      <c r="G197" s="39" t="s">
        <v>305</v>
      </c>
      <c r="I197" s="39"/>
      <c r="K197" s="39"/>
      <c r="L197" s="174"/>
      <c r="N197" s="188"/>
      <c r="O197" s="314"/>
      <c r="P197" s="185"/>
      <c r="Q197" s="314"/>
      <c r="R197" s="185">
        <f ca="1">SUM(R186:R193)-SUM(R195:R196)</f>
        <v>2121.5041166621049</v>
      </c>
      <c r="S197" s="185">
        <f t="shared" ref="S197:AU197" ca="1" si="140">SUM(S186:S193)-SUM(S195:S196)</f>
        <v>2134.7285789349235</v>
      </c>
      <c r="T197" s="185">
        <f t="shared" ca="1" si="140"/>
        <v>2226.7566030856242</v>
      </c>
      <c r="U197" s="185">
        <f t="shared" ca="1" si="140"/>
        <v>2293.5537290575717</v>
      </c>
      <c r="V197" s="185">
        <f t="shared" ca="1" si="140"/>
        <v>2348.8997271444578</v>
      </c>
      <c r="W197" s="185">
        <f t="shared" ca="1" si="140"/>
        <v>2378.949865646357</v>
      </c>
      <c r="X197" s="185">
        <f t="shared" ca="1" si="140"/>
        <v>2417.6612636404284</v>
      </c>
      <c r="Y197" s="185">
        <f t="shared" ca="1" si="140"/>
        <v>2477.2275130840158</v>
      </c>
      <c r="Z197" s="185">
        <f t="shared" ca="1" si="140"/>
        <v>2536.5340289050928</v>
      </c>
      <c r="AA197" s="185">
        <f t="shared" ca="1" si="140"/>
        <v>2599.9536097625855</v>
      </c>
      <c r="AB197" s="185">
        <f t="shared" ca="1" si="140"/>
        <v>2656.2680928144764</v>
      </c>
      <c r="AC197" s="185">
        <f t="shared" ca="1" si="140"/>
        <v>2707.4181440707871</v>
      </c>
      <c r="AD197" s="185">
        <f t="shared" ca="1" si="140"/>
        <v>2769.9589539053318</v>
      </c>
      <c r="AE197" s="185">
        <f t="shared" ca="1" si="140"/>
        <v>2833.0909125366024</v>
      </c>
      <c r="AF197" s="185">
        <f t="shared" ca="1" si="140"/>
        <v>2900.4521947209632</v>
      </c>
      <c r="AG197" s="185">
        <f t="shared" ca="1" si="140"/>
        <v>2975.9127082311493</v>
      </c>
      <c r="AH197" s="185">
        <f t="shared" ca="1" si="140"/>
        <v>3048.8447670073251</v>
      </c>
      <c r="AI197" s="185">
        <f t="shared" ca="1" si="140"/>
        <v>3127.9366231259764</v>
      </c>
      <c r="AJ197" s="185">
        <f t="shared" ca="1" si="140"/>
        <v>3211.6668356521409</v>
      </c>
      <c r="AK197" s="185">
        <f t="shared" ca="1" si="140"/>
        <v>3299.0346629225437</v>
      </c>
      <c r="AL197" s="185">
        <f t="shared" si="140"/>
        <v>0</v>
      </c>
      <c r="AM197" s="185">
        <f t="shared" si="140"/>
        <v>0</v>
      </c>
      <c r="AN197" s="185">
        <f t="shared" si="140"/>
        <v>0</v>
      </c>
      <c r="AO197" s="185">
        <f t="shared" si="140"/>
        <v>0</v>
      </c>
      <c r="AP197" s="185">
        <f t="shared" si="140"/>
        <v>0</v>
      </c>
      <c r="AQ197" s="185">
        <f t="shared" si="140"/>
        <v>0</v>
      </c>
      <c r="AR197" s="185">
        <f t="shared" si="140"/>
        <v>0</v>
      </c>
      <c r="AS197" s="185">
        <f t="shared" si="140"/>
        <v>0</v>
      </c>
      <c r="AT197" s="185">
        <f t="shared" si="140"/>
        <v>0</v>
      </c>
      <c r="AU197" s="185">
        <f t="shared" si="140"/>
        <v>0</v>
      </c>
    </row>
    <row r="198" spans="1:47">
      <c r="G198" s="28"/>
      <c r="H198" s="28"/>
      <c r="I198" s="28"/>
      <c r="J198" s="28"/>
      <c r="K198" s="28"/>
      <c r="L198" s="409"/>
      <c r="M198" s="46"/>
      <c r="N198" s="46"/>
      <c r="O198" s="315"/>
      <c r="P198" s="46"/>
      <c r="Q198" s="315"/>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row>
    <row r="199" spans="1:47">
      <c r="E199" s="327"/>
      <c r="F199" s="28"/>
      <c r="G199" s="324" t="str">
        <f>C201&amp;" Capital Costs"</f>
        <v>CHP Capital Costs</v>
      </c>
      <c r="H199" s="324"/>
      <c r="I199" s="324"/>
      <c r="J199" s="324"/>
      <c r="K199" s="324"/>
      <c r="L199" s="405" t="s">
        <v>79</v>
      </c>
      <c r="M199" s="256"/>
      <c r="N199" s="325" t="s">
        <v>490</v>
      </c>
      <c r="O199" s="311"/>
      <c r="P199" s="325" t="s">
        <v>491</v>
      </c>
      <c r="Q199" s="310"/>
      <c r="R199" s="325">
        <f>R$8</f>
        <v>2014</v>
      </c>
      <c r="S199" s="325">
        <f t="shared" ref="S199:AU199" si="141">S$8</f>
        <v>2015</v>
      </c>
      <c r="T199" s="325">
        <f t="shared" si="141"/>
        <v>2016</v>
      </c>
      <c r="U199" s="325">
        <f t="shared" si="141"/>
        <v>2017</v>
      </c>
      <c r="V199" s="325">
        <f t="shared" si="141"/>
        <v>2018</v>
      </c>
      <c r="W199" s="325">
        <f t="shared" si="141"/>
        <v>2019</v>
      </c>
      <c r="X199" s="325">
        <f t="shared" si="141"/>
        <v>2020</v>
      </c>
      <c r="Y199" s="325">
        <f t="shared" si="141"/>
        <v>2021</v>
      </c>
      <c r="Z199" s="325">
        <f t="shared" si="141"/>
        <v>2022</v>
      </c>
      <c r="AA199" s="325">
        <f t="shared" si="141"/>
        <v>2023</v>
      </c>
      <c r="AB199" s="325">
        <f t="shared" si="141"/>
        <v>2024</v>
      </c>
      <c r="AC199" s="325">
        <f t="shared" si="141"/>
        <v>2025</v>
      </c>
      <c r="AD199" s="325">
        <f t="shared" si="141"/>
        <v>2026</v>
      </c>
      <c r="AE199" s="325">
        <f t="shared" si="141"/>
        <v>2027</v>
      </c>
      <c r="AF199" s="325">
        <f t="shared" si="141"/>
        <v>2028</v>
      </c>
      <c r="AG199" s="325">
        <f t="shared" si="141"/>
        <v>2029</v>
      </c>
      <c r="AH199" s="325">
        <f t="shared" si="141"/>
        <v>2030</v>
      </c>
      <c r="AI199" s="325">
        <f t="shared" si="141"/>
        <v>2031</v>
      </c>
      <c r="AJ199" s="325">
        <f t="shared" si="141"/>
        <v>2032</v>
      </c>
      <c r="AK199" s="325">
        <f t="shared" si="141"/>
        <v>2033</v>
      </c>
      <c r="AL199" s="325">
        <f t="shared" si="141"/>
        <v>2034</v>
      </c>
      <c r="AM199" s="325">
        <f t="shared" si="141"/>
        <v>2035</v>
      </c>
      <c r="AN199" s="325">
        <f t="shared" si="141"/>
        <v>2036</v>
      </c>
      <c r="AO199" s="325">
        <f t="shared" si="141"/>
        <v>2037</v>
      </c>
      <c r="AP199" s="325">
        <f t="shared" si="141"/>
        <v>2038</v>
      </c>
      <c r="AQ199" s="325">
        <f t="shared" si="141"/>
        <v>2039</v>
      </c>
      <c r="AR199" s="325">
        <f t="shared" si="141"/>
        <v>2040</v>
      </c>
      <c r="AS199" s="325">
        <f t="shared" si="141"/>
        <v>2041</v>
      </c>
      <c r="AT199" s="325">
        <f t="shared" si="141"/>
        <v>2042</v>
      </c>
      <c r="AU199" s="325">
        <f t="shared" si="141"/>
        <v>2043</v>
      </c>
    </row>
    <row r="200" spans="1:47">
      <c r="E200" s="325"/>
      <c r="G200" s="39"/>
      <c r="H200" s="39"/>
      <c r="I200" s="39"/>
      <c r="J200" s="39"/>
      <c r="K200" s="39"/>
    </row>
    <row r="201" spans="1:47">
      <c r="A201" s="38" t="str">
        <f>$J$4&amp;"-"</f>
        <v>3Y-</v>
      </c>
      <c r="B201" s="38" t="s">
        <v>306</v>
      </c>
      <c r="C201" s="38" t="s">
        <v>318</v>
      </c>
      <c r="D201" s="186">
        <f>CapExEsc</f>
        <v>0.03</v>
      </c>
      <c r="E201" s="325"/>
      <c r="G201" s="36" t="s">
        <v>8</v>
      </c>
      <c r="H201" s="39"/>
      <c r="I201" s="39"/>
      <c r="J201" s="70"/>
      <c r="K201" s="39"/>
      <c r="L201" s="43" t="str">
        <f>"["&amp;CostBaseYr&amp;" $]"</f>
        <v>[2013 $]</v>
      </c>
      <c r="N201" s="52">
        <f ca="1">SUMIFS(OFFSET(Assumptions!$I$65,0,MATCH($A201,Configurations,0)-1,COUNT(Assumptions!$A$65:$A$84),1),Assumptions!$E$65:$E$84,$C201)</f>
        <v>0</v>
      </c>
      <c r="O201" s="52"/>
      <c r="P201" s="322"/>
      <c r="Q201" s="52"/>
      <c r="R201" s="52">
        <f t="shared" ref="R201:AU201" ca="1" si="142">R202*IF($P201=0,$N201,$P201)*(1+$D201)^(R$8-CostBaseYr)</f>
        <v>0</v>
      </c>
      <c r="S201" s="52">
        <f t="shared" ca="1" si="142"/>
        <v>0</v>
      </c>
      <c r="T201" s="52">
        <f t="shared" ca="1" si="142"/>
        <v>0</v>
      </c>
      <c r="U201" s="52">
        <f t="shared" ca="1" si="142"/>
        <v>0</v>
      </c>
      <c r="V201" s="52">
        <f t="shared" ca="1" si="142"/>
        <v>0</v>
      </c>
      <c r="W201" s="52">
        <f t="shared" ca="1" si="142"/>
        <v>0</v>
      </c>
      <c r="X201" s="52">
        <f t="shared" ca="1" si="142"/>
        <v>0</v>
      </c>
      <c r="Y201" s="52">
        <f t="shared" ca="1" si="142"/>
        <v>0</v>
      </c>
      <c r="Z201" s="52">
        <f t="shared" ca="1" si="142"/>
        <v>0</v>
      </c>
      <c r="AA201" s="52">
        <f t="shared" ca="1" si="142"/>
        <v>0</v>
      </c>
      <c r="AB201" s="52">
        <f t="shared" ca="1" si="142"/>
        <v>0</v>
      </c>
      <c r="AC201" s="52">
        <f t="shared" ca="1" si="142"/>
        <v>0</v>
      </c>
      <c r="AD201" s="52">
        <f t="shared" ca="1" si="142"/>
        <v>0</v>
      </c>
      <c r="AE201" s="52">
        <f t="shared" ca="1" si="142"/>
        <v>0</v>
      </c>
      <c r="AF201" s="52">
        <f t="shared" ca="1" si="142"/>
        <v>0</v>
      </c>
      <c r="AG201" s="52">
        <f t="shared" ca="1" si="142"/>
        <v>0</v>
      </c>
      <c r="AH201" s="52">
        <f t="shared" ca="1" si="142"/>
        <v>0</v>
      </c>
      <c r="AI201" s="52">
        <f t="shared" ca="1" si="142"/>
        <v>0</v>
      </c>
      <c r="AJ201" s="52">
        <f t="shared" ca="1" si="142"/>
        <v>0</v>
      </c>
      <c r="AK201" s="52">
        <f t="shared" ca="1" si="142"/>
        <v>0</v>
      </c>
      <c r="AL201" s="52">
        <f t="shared" ca="1" si="142"/>
        <v>0</v>
      </c>
      <c r="AM201" s="52">
        <f t="shared" ca="1" si="142"/>
        <v>0</v>
      </c>
      <c r="AN201" s="52">
        <f t="shared" ca="1" si="142"/>
        <v>0</v>
      </c>
      <c r="AO201" s="52">
        <f t="shared" ca="1" si="142"/>
        <v>0</v>
      </c>
      <c r="AP201" s="52">
        <f t="shared" ca="1" si="142"/>
        <v>0</v>
      </c>
      <c r="AQ201" s="52">
        <f t="shared" ca="1" si="142"/>
        <v>0</v>
      </c>
      <c r="AR201" s="52">
        <f t="shared" ca="1" si="142"/>
        <v>0</v>
      </c>
      <c r="AS201" s="52">
        <f t="shared" ca="1" si="142"/>
        <v>0</v>
      </c>
      <c r="AT201" s="52">
        <f t="shared" ca="1" si="142"/>
        <v>0</v>
      </c>
      <c r="AU201" s="52">
        <f t="shared" ca="1" si="142"/>
        <v>0</v>
      </c>
    </row>
    <row r="202" spans="1:47">
      <c r="E202" s="325"/>
      <c r="G202" s="36" t="s">
        <v>10</v>
      </c>
      <c r="H202" s="39"/>
      <c r="I202" s="39"/>
      <c r="J202" s="39"/>
      <c r="K202" s="39"/>
      <c r="L202" s="43"/>
      <c r="R202" s="54">
        <f>Assumptions!M$60</f>
        <v>1</v>
      </c>
      <c r="S202" s="54">
        <f>Assumptions!N$60</f>
        <v>0</v>
      </c>
      <c r="T202" s="54">
        <f>Assumptions!O$60</f>
        <v>0</v>
      </c>
      <c r="U202" s="54">
        <f>Assumptions!P$60</f>
        <v>0</v>
      </c>
      <c r="V202" s="54">
        <f>Assumptions!Q$60</f>
        <v>0</v>
      </c>
      <c r="W202" s="54">
        <f>Assumptions!R$60</f>
        <v>0</v>
      </c>
      <c r="X202" s="54">
        <f>Assumptions!S$60</f>
        <v>0</v>
      </c>
      <c r="Y202" s="54">
        <f>Assumptions!T$60</f>
        <v>0</v>
      </c>
      <c r="Z202" s="54">
        <f>Assumptions!U$60</f>
        <v>0</v>
      </c>
      <c r="AA202" s="54">
        <f>Assumptions!V$60</f>
        <v>0</v>
      </c>
      <c r="AB202" s="54">
        <f>Assumptions!W$60</f>
        <v>0</v>
      </c>
      <c r="AC202" s="54">
        <f>Assumptions!X$60</f>
        <v>0</v>
      </c>
      <c r="AD202" s="54">
        <f>Assumptions!Y$60</f>
        <v>0</v>
      </c>
      <c r="AE202" s="54">
        <f>Assumptions!Z$60</f>
        <v>0</v>
      </c>
      <c r="AF202" s="54">
        <f>Assumptions!AA$60</f>
        <v>0</v>
      </c>
      <c r="AG202" s="54">
        <f>Assumptions!AB$60</f>
        <v>0</v>
      </c>
      <c r="AH202" s="54">
        <f>Assumptions!AC$60</f>
        <v>0</v>
      </c>
      <c r="AI202" s="54">
        <f>Assumptions!AD$60</f>
        <v>0</v>
      </c>
      <c r="AJ202" s="54">
        <f>Assumptions!AE$60</f>
        <v>0</v>
      </c>
      <c r="AK202" s="54">
        <f>Assumptions!AF$60</f>
        <v>0</v>
      </c>
      <c r="AL202" s="54">
        <f>Assumptions!AG$60</f>
        <v>0</v>
      </c>
      <c r="AM202" s="54">
        <f>Assumptions!AH$60</f>
        <v>0</v>
      </c>
      <c r="AN202" s="54">
        <f>Assumptions!AI$60</f>
        <v>0</v>
      </c>
      <c r="AO202" s="54">
        <f>Assumptions!AJ$60</f>
        <v>0</v>
      </c>
      <c r="AP202" s="54">
        <f>Assumptions!AK$60</f>
        <v>0</v>
      </c>
      <c r="AQ202" s="54">
        <f>Assumptions!AL$60</f>
        <v>0</v>
      </c>
      <c r="AR202" s="54">
        <f>Assumptions!AM$60</f>
        <v>0</v>
      </c>
      <c r="AS202" s="54">
        <f>Assumptions!AN$60</f>
        <v>0</v>
      </c>
      <c r="AT202" s="54">
        <f>Assumptions!AO$60</f>
        <v>0</v>
      </c>
      <c r="AU202" s="54">
        <f>Assumptions!AP$60</f>
        <v>0</v>
      </c>
    </row>
    <row r="203" spans="1:47">
      <c r="E203" s="326"/>
      <c r="G203" s="39"/>
      <c r="H203" s="39"/>
      <c r="I203" s="39"/>
      <c r="J203" s="39"/>
      <c r="K203" s="39"/>
    </row>
    <row r="204" spans="1:47">
      <c r="E204" s="327"/>
      <c r="F204" s="28"/>
      <c r="G204" s="324" t="str">
        <f>C201&amp;" O&amp;M"</f>
        <v>CHP O&amp;M</v>
      </c>
      <c r="H204" s="324"/>
      <c r="I204" s="324"/>
      <c r="J204" s="324"/>
      <c r="K204" s="324"/>
      <c r="L204" s="405" t="s">
        <v>79</v>
      </c>
      <c r="M204" s="256"/>
      <c r="N204" s="325" t="s">
        <v>490</v>
      </c>
      <c r="O204" s="311"/>
      <c r="P204" s="325" t="s">
        <v>491</v>
      </c>
      <c r="Q204" s="310"/>
      <c r="R204" s="325">
        <f>R$8</f>
        <v>2014</v>
      </c>
      <c r="S204" s="325">
        <f t="shared" ref="S204:AU204" si="143">S$8</f>
        <v>2015</v>
      </c>
      <c r="T204" s="325">
        <f t="shared" si="143"/>
        <v>2016</v>
      </c>
      <c r="U204" s="325">
        <f t="shared" si="143"/>
        <v>2017</v>
      </c>
      <c r="V204" s="325">
        <f t="shared" si="143"/>
        <v>2018</v>
      </c>
      <c r="W204" s="325">
        <f t="shared" si="143"/>
        <v>2019</v>
      </c>
      <c r="X204" s="325">
        <f t="shared" si="143"/>
        <v>2020</v>
      </c>
      <c r="Y204" s="325">
        <f t="shared" si="143"/>
        <v>2021</v>
      </c>
      <c r="Z204" s="325">
        <f t="shared" si="143"/>
        <v>2022</v>
      </c>
      <c r="AA204" s="325">
        <f t="shared" si="143"/>
        <v>2023</v>
      </c>
      <c r="AB204" s="325">
        <f t="shared" si="143"/>
        <v>2024</v>
      </c>
      <c r="AC204" s="325">
        <f t="shared" si="143"/>
        <v>2025</v>
      </c>
      <c r="AD204" s="325">
        <f t="shared" si="143"/>
        <v>2026</v>
      </c>
      <c r="AE204" s="325">
        <f t="shared" si="143"/>
        <v>2027</v>
      </c>
      <c r="AF204" s="325">
        <f t="shared" si="143"/>
        <v>2028</v>
      </c>
      <c r="AG204" s="325">
        <f t="shared" si="143"/>
        <v>2029</v>
      </c>
      <c r="AH204" s="325">
        <f t="shared" si="143"/>
        <v>2030</v>
      </c>
      <c r="AI204" s="325">
        <f t="shared" si="143"/>
        <v>2031</v>
      </c>
      <c r="AJ204" s="325">
        <f t="shared" si="143"/>
        <v>2032</v>
      </c>
      <c r="AK204" s="325">
        <f t="shared" si="143"/>
        <v>2033</v>
      </c>
      <c r="AL204" s="325">
        <f t="shared" si="143"/>
        <v>2034</v>
      </c>
      <c r="AM204" s="325">
        <f t="shared" si="143"/>
        <v>2035</v>
      </c>
      <c r="AN204" s="325">
        <f t="shared" si="143"/>
        <v>2036</v>
      </c>
      <c r="AO204" s="325">
        <f t="shared" si="143"/>
        <v>2037</v>
      </c>
      <c r="AP204" s="325">
        <f t="shared" si="143"/>
        <v>2038</v>
      </c>
      <c r="AQ204" s="325">
        <f t="shared" si="143"/>
        <v>2039</v>
      </c>
      <c r="AR204" s="325">
        <f t="shared" si="143"/>
        <v>2040</v>
      </c>
      <c r="AS204" s="325">
        <f t="shared" si="143"/>
        <v>2041</v>
      </c>
      <c r="AT204" s="325">
        <f t="shared" si="143"/>
        <v>2042</v>
      </c>
      <c r="AU204" s="325">
        <f t="shared" si="143"/>
        <v>2043</v>
      </c>
    </row>
    <row r="205" spans="1:47">
      <c r="E205" s="325"/>
      <c r="G205" s="39"/>
      <c r="H205" s="39"/>
      <c r="I205" s="39"/>
      <c r="J205" s="39"/>
      <c r="K205" s="39"/>
    </row>
    <row r="206" spans="1:47">
      <c r="E206" s="325"/>
      <c r="G206" s="39" t="s">
        <v>23</v>
      </c>
      <c r="H206" s="39"/>
      <c r="I206" s="39"/>
      <c r="J206" s="39"/>
      <c r="K206" s="39"/>
    </row>
    <row r="207" spans="1:47">
      <c r="A207" s="38" t="str">
        <f t="shared" ref="A207:A214" si="144">$J$4&amp;"-"</f>
        <v>3Y-</v>
      </c>
      <c r="B207" s="38" t="s">
        <v>262</v>
      </c>
      <c r="C207" s="38" t="str">
        <f>C201</f>
        <v>CHP</v>
      </c>
      <c r="D207" s="186">
        <f>LaborEsc</f>
        <v>0.02</v>
      </c>
      <c r="E207" s="325"/>
      <c r="G207" s="36" t="s">
        <v>125</v>
      </c>
      <c r="I207" s="39"/>
      <c r="K207" s="39"/>
      <c r="L207" s="43" t="s">
        <v>266</v>
      </c>
      <c r="N207" s="70">
        <f ca="1">SUMIFS(OFFSET(Assumptions!$I$90,0,MATCH($A207,Configurations,0)-1,COUNT(Assumptions!$A$90:$A$183),1),Assumptions!$D$90:$D$183,$B207&amp;$C207)</f>
        <v>0</v>
      </c>
      <c r="O207" s="313"/>
      <c r="P207" s="323"/>
      <c r="Q207" s="313"/>
      <c r="R207" s="50">
        <f t="shared" ref="R207:AU207" ca="1" si="145">IF(OR(R$99&lt;InServiceYr,R$99&gt;(InServiceYr+analysis_period-1)),0,IF($P207=0,$N207,$P207)*LaborCost*(1+$D207)^(R$99-CostBaseYr))</f>
        <v>0</v>
      </c>
      <c r="S207" s="50">
        <f t="shared" ca="1" si="145"/>
        <v>0</v>
      </c>
      <c r="T207" s="50">
        <f t="shared" ca="1" si="145"/>
        <v>0</v>
      </c>
      <c r="U207" s="50">
        <f t="shared" ca="1" si="145"/>
        <v>0</v>
      </c>
      <c r="V207" s="50">
        <f t="shared" ca="1" si="145"/>
        <v>0</v>
      </c>
      <c r="W207" s="50">
        <f t="shared" ca="1" si="145"/>
        <v>0</v>
      </c>
      <c r="X207" s="50">
        <f t="shared" ca="1" si="145"/>
        <v>0</v>
      </c>
      <c r="Y207" s="50">
        <f t="shared" ca="1" si="145"/>
        <v>0</v>
      </c>
      <c r="Z207" s="50">
        <f t="shared" ca="1" si="145"/>
        <v>0</v>
      </c>
      <c r="AA207" s="50">
        <f t="shared" ca="1" si="145"/>
        <v>0</v>
      </c>
      <c r="AB207" s="50">
        <f t="shared" ca="1" si="145"/>
        <v>0</v>
      </c>
      <c r="AC207" s="50">
        <f t="shared" ca="1" si="145"/>
        <v>0</v>
      </c>
      <c r="AD207" s="50">
        <f t="shared" ca="1" si="145"/>
        <v>0</v>
      </c>
      <c r="AE207" s="50">
        <f t="shared" ca="1" si="145"/>
        <v>0</v>
      </c>
      <c r="AF207" s="50">
        <f t="shared" ca="1" si="145"/>
        <v>0</v>
      </c>
      <c r="AG207" s="50">
        <f t="shared" ca="1" si="145"/>
        <v>0</v>
      </c>
      <c r="AH207" s="50">
        <f t="shared" ca="1" si="145"/>
        <v>0</v>
      </c>
      <c r="AI207" s="50">
        <f t="shared" ca="1" si="145"/>
        <v>0</v>
      </c>
      <c r="AJ207" s="50">
        <f t="shared" ca="1" si="145"/>
        <v>0</v>
      </c>
      <c r="AK207" s="50">
        <f t="shared" ca="1" si="145"/>
        <v>0</v>
      </c>
      <c r="AL207" s="50">
        <f t="shared" si="145"/>
        <v>0</v>
      </c>
      <c r="AM207" s="50">
        <f t="shared" si="145"/>
        <v>0</v>
      </c>
      <c r="AN207" s="50">
        <f t="shared" si="145"/>
        <v>0</v>
      </c>
      <c r="AO207" s="50">
        <f t="shared" si="145"/>
        <v>0</v>
      </c>
      <c r="AP207" s="50">
        <f t="shared" si="145"/>
        <v>0</v>
      </c>
      <c r="AQ207" s="50">
        <f t="shared" si="145"/>
        <v>0</v>
      </c>
      <c r="AR207" s="50">
        <f t="shared" si="145"/>
        <v>0</v>
      </c>
      <c r="AS207" s="50">
        <f t="shared" si="145"/>
        <v>0</v>
      </c>
      <c r="AT207" s="50">
        <f t="shared" si="145"/>
        <v>0</v>
      </c>
      <c r="AU207" s="50">
        <f t="shared" si="145"/>
        <v>0</v>
      </c>
    </row>
    <row r="208" spans="1:47">
      <c r="A208" s="38" t="str">
        <f t="shared" si="144"/>
        <v>3Y-</v>
      </c>
      <c r="B208" s="38" t="s">
        <v>270</v>
      </c>
      <c r="C208" s="38" t="str">
        <f>C207</f>
        <v>CHP</v>
      </c>
      <c r="D208" s="186">
        <f>OMEsc</f>
        <v>0.02</v>
      </c>
      <c r="E208" s="325"/>
      <c r="G208" s="36" t="s">
        <v>126</v>
      </c>
      <c r="I208" s="39"/>
      <c r="K208" s="39"/>
      <c r="L208" s="43" t="str">
        <f>"["&amp;CostBaseYr&amp;" $]"</f>
        <v>[2013 $]</v>
      </c>
      <c r="N208" s="70">
        <f ca="1">SUMIFS(OFFSET(Assumptions!$I$90,0,MATCH($A208,Configurations,0)-1,COUNT(Assumptions!$A$90:$A$183),1),Assumptions!$D$90:$D$183,$B208&amp;$C208)</f>
        <v>0</v>
      </c>
      <c r="O208" s="313"/>
      <c r="P208" s="323"/>
      <c r="Q208" s="313"/>
      <c r="R208" s="50">
        <f t="shared" ref="R208:AG210" ca="1" si="146">IF(OR(R$99&lt;InServiceYr,R$99&gt;(InServiceYr+analysis_period-1)),0,IF($P208=0,$N208,$P208)*(1+$D208)^(R$99-CostBaseYr))</f>
        <v>0</v>
      </c>
      <c r="S208" s="50">
        <f t="shared" ca="1" si="146"/>
        <v>0</v>
      </c>
      <c r="T208" s="50">
        <f t="shared" ca="1" si="146"/>
        <v>0</v>
      </c>
      <c r="U208" s="50">
        <f t="shared" ca="1" si="146"/>
        <v>0</v>
      </c>
      <c r="V208" s="50">
        <f t="shared" ca="1" si="146"/>
        <v>0</v>
      </c>
      <c r="W208" s="50">
        <f t="shared" ca="1" si="146"/>
        <v>0</v>
      </c>
      <c r="X208" s="50">
        <f t="shared" ca="1" si="146"/>
        <v>0</v>
      </c>
      <c r="Y208" s="50">
        <f t="shared" ca="1" si="146"/>
        <v>0</v>
      </c>
      <c r="Z208" s="50">
        <f t="shared" ca="1" si="146"/>
        <v>0</v>
      </c>
      <c r="AA208" s="50">
        <f t="shared" ca="1" si="146"/>
        <v>0</v>
      </c>
      <c r="AB208" s="50">
        <f t="shared" ca="1" si="146"/>
        <v>0</v>
      </c>
      <c r="AC208" s="50">
        <f t="shared" ca="1" si="146"/>
        <v>0</v>
      </c>
      <c r="AD208" s="50">
        <f t="shared" ca="1" si="146"/>
        <v>0</v>
      </c>
      <c r="AE208" s="50">
        <f t="shared" ca="1" si="146"/>
        <v>0</v>
      </c>
      <c r="AF208" s="50">
        <f t="shared" ca="1" si="146"/>
        <v>0</v>
      </c>
      <c r="AG208" s="50">
        <f t="shared" ca="1" si="146"/>
        <v>0</v>
      </c>
      <c r="AH208" s="50">
        <f t="shared" ref="S208:AU210" ca="1" si="147">IF(OR(AH$99&lt;InServiceYr,AH$99&gt;(InServiceYr+analysis_period-1)),0,IF($P208=0,$N208,$P208)*(1+$D208)^(AH$99-CostBaseYr))</f>
        <v>0</v>
      </c>
      <c r="AI208" s="50">
        <f t="shared" ca="1" si="147"/>
        <v>0</v>
      </c>
      <c r="AJ208" s="50">
        <f t="shared" ca="1" si="147"/>
        <v>0</v>
      </c>
      <c r="AK208" s="50">
        <f t="shared" ca="1" si="147"/>
        <v>0</v>
      </c>
      <c r="AL208" s="50">
        <f t="shared" si="147"/>
        <v>0</v>
      </c>
      <c r="AM208" s="50">
        <f t="shared" si="147"/>
        <v>0</v>
      </c>
      <c r="AN208" s="50">
        <f t="shared" si="147"/>
        <v>0</v>
      </c>
      <c r="AO208" s="50">
        <f t="shared" si="147"/>
        <v>0</v>
      </c>
      <c r="AP208" s="50">
        <f t="shared" si="147"/>
        <v>0</v>
      </c>
      <c r="AQ208" s="50">
        <f t="shared" si="147"/>
        <v>0</v>
      </c>
      <c r="AR208" s="50">
        <f t="shared" si="147"/>
        <v>0</v>
      </c>
      <c r="AS208" s="50">
        <f t="shared" si="147"/>
        <v>0</v>
      </c>
      <c r="AT208" s="50">
        <f t="shared" si="147"/>
        <v>0</v>
      </c>
      <c r="AU208" s="50">
        <f t="shared" si="147"/>
        <v>0</v>
      </c>
    </row>
    <row r="209" spans="1:47">
      <c r="A209" s="38" t="str">
        <f t="shared" si="144"/>
        <v>3Y-</v>
      </c>
      <c r="B209" s="38" t="s">
        <v>263</v>
      </c>
      <c r="C209" s="38" t="str">
        <f t="shared" ref="C209:C213" si="148">C208</f>
        <v>CHP</v>
      </c>
      <c r="D209" s="186">
        <f>OMEsc</f>
        <v>0.02</v>
      </c>
      <c r="E209" s="325"/>
      <c r="G209" s="36" t="s">
        <v>127</v>
      </c>
      <c r="I209" s="39"/>
      <c r="K209" s="39"/>
      <c r="L209" s="43" t="str">
        <f>"["&amp;CostBaseYr&amp;" $]"</f>
        <v>[2013 $]</v>
      </c>
      <c r="N209" s="70">
        <f ca="1">SUMIFS(OFFSET(Assumptions!$I$90,0,MATCH($A209,Configurations,0)-1,COUNT(Assumptions!$A$90:$A$183),1),Assumptions!$D$90:$D$183,$B209&amp;$C209)</f>
        <v>0</v>
      </c>
      <c r="O209" s="313"/>
      <c r="P209" s="323"/>
      <c r="Q209" s="313"/>
      <c r="R209" s="50">
        <f t="shared" ca="1" si="146"/>
        <v>0</v>
      </c>
      <c r="S209" s="50">
        <f t="shared" ca="1" si="147"/>
        <v>0</v>
      </c>
      <c r="T209" s="50">
        <f t="shared" ca="1" si="147"/>
        <v>0</v>
      </c>
      <c r="U209" s="50">
        <f t="shared" ca="1" si="147"/>
        <v>0</v>
      </c>
      <c r="V209" s="50">
        <f t="shared" ca="1" si="147"/>
        <v>0</v>
      </c>
      <c r="W209" s="50">
        <f t="shared" ca="1" si="147"/>
        <v>0</v>
      </c>
      <c r="X209" s="50">
        <f t="shared" ca="1" si="147"/>
        <v>0</v>
      </c>
      <c r="Y209" s="50">
        <f t="shared" ca="1" si="147"/>
        <v>0</v>
      </c>
      <c r="Z209" s="50">
        <f t="shared" ca="1" si="147"/>
        <v>0</v>
      </c>
      <c r="AA209" s="50">
        <f t="shared" ca="1" si="147"/>
        <v>0</v>
      </c>
      <c r="AB209" s="50">
        <f t="shared" ca="1" si="147"/>
        <v>0</v>
      </c>
      <c r="AC209" s="50">
        <f t="shared" ca="1" si="147"/>
        <v>0</v>
      </c>
      <c r="AD209" s="50">
        <f t="shared" ca="1" si="147"/>
        <v>0</v>
      </c>
      <c r="AE209" s="50">
        <f t="shared" ca="1" si="147"/>
        <v>0</v>
      </c>
      <c r="AF209" s="50">
        <f t="shared" ca="1" si="147"/>
        <v>0</v>
      </c>
      <c r="AG209" s="50">
        <f t="shared" ca="1" si="147"/>
        <v>0</v>
      </c>
      <c r="AH209" s="50">
        <f t="shared" ca="1" si="147"/>
        <v>0</v>
      </c>
      <c r="AI209" s="50">
        <f t="shared" ca="1" si="147"/>
        <v>0</v>
      </c>
      <c r="AJ209" s="50">
        <f t="shared" ca="1" si="147"/>
        <v>0</v>
      </c>
      <c r="AK209" s="50">
        <f t="shared" ca="1" si="147"/>
        <v>0</v>
      </c>
      <c r="AL209" s="50">
        <f t="shared" si="147"/>
        <v>0</v>
      </c>
      <c r="AM209" s="50">
        <f t="shared" si="147"/>
        <v>0</v>
      </c>
      <c r="AN209" s="50">
        <f t="shared" si="147"/>
        <v>0</v>
      </c>
      <c r="AO209" s="50">
        <f t="shared" si="147"/>
        <v>0</v>
      </c>
      <c r="AP209" s="50">
        <f t="shared" si="147"/>
        <v>0</v>
      </c>
      <c r="AQ209" s="50">
        <f t="shared" si="147"/>
        <v>0</v>
      </c>
      <c r="AR209" s="50">
        <f t="shared" si="147"/>
        <v>0</v>
      </c>
      <c r="AS209" s="50">
        <f t="shared" si="147"/>
        <v>0</v>
      </c>
      <c r="AT209" s="50">
        <f t="shared" si="147"/>
        <v>0</v>
      </c>
      <c r="AU209" s="50">
        <f t="shared" si="147"/>
        <v>0</v>
      </c>
    </row>
    <row r="210" spans="1:47">
      <c r="A210" s="38" t="str">
        <f t="shared" si="144"/>
        <v>3Y-</v>
      </c>
      <c r="B210" s="38" t="s">
        <v>277</v>
      </c>
      <c r="C210" s="38" t="str">
        <f t="shared" si="148"/>
        <v>CHP</v>
      </c>
      <c r="D210" s="186">
        <f>OMEsc</f>
        <v>0.02</v>
      </c>
      <c r="E210" s="325"/>
      <c r="G210" s="36" t="s">
        <v>276</v>
      </c>
      <c r="I210" s="39"/>
      <c r="K210" s="39"/>
      <c r="L210" s="43" t="str">
        <f>"["&amp;CostBaseYr&amp;" $]"</f>
        <v>[2013 $]</v>
      </c>
      <c r="N210" s="70">
        <f ca="1">SUMIFS(OFFSET(Assumptions!$I$90,0,MATCH($A210,Configurations,0)-1,COUNT(Assumptions!$A$90:$A$183),1),Assumptions!$D$90:$D$183,$B210&amp;$C210)</f>
        <v>0</v>
      </c>
      <c r="O210" s="313"/>
      <c r="P210" s="323"/>
      <c r="Q210" s="313"/>
      <c r="R210" s="50">
        <f t="shared" ca="1" si="146"/>
        <v>0</v>
      </c>
      <c r="S210" s="50">
        <f t="shared" ca="1" si="147"/>
        <v>0</v>
      </c>
      <c r="T210" s="50">
        <f t="shared" ca="1" si="147"/>
        <v>0</v>
      </c>
      <c r="U210" s="50">
        <f t="shared" ca="1" si="147"/>
        <v>0</v>
      </c>
      <c r="V210" s="50">
        <f t="shared" ca="1" si="147"/>
        <v>0</v>
      </c>
      <c r="W210" s="50">
        <f t="shared" ca="1" si="147"/>
        <v>0</v>
      </c>
      <c r="X210" s="50">
        <f t="shared" ca="1" si="147"/>
        <v>0</v>
      </c>
      <c r="Y210" s="50">
        <f t="shared" ca="1" si="147"/>
        <v>0</v>
      </c>
      <c r="Z210" s="50">
        <f t="shared" ca="1" si="147"/>
        <v>0</v>
      </c>
      <c r="AA210" s="50">
        <f t="shared" ca="1" si="147"/>
        <v>0</v>
      </c>
      <c r="AB210" s="50">
        <f t="shared" ca="1" si="147"/>
        <v>0</v>
      </c>
      <c r="AC210" s="50">
        <f t="shared" ca="1" si="147"/>
        <v>0</v>
      </c>
      <c r="AD210" s="50">
        <f t="shared" ca="1" si="147"/>
        <v>0</v>
      </c>
      <c r="AE210" s="50">
        <f t="shared" ca="1" si="147"/>
        <v>0</v>
      </c>
      <c r="AF210" s="50">
        <f t="shared" ca="1" si="147"/>
        <v>0</v>
      </c>
      <c r="AG210" s="50">
        <f t="shared" ca="1" si="147"/>
        <v>0</v>
      </c>
      <c r="AH210" s="50">
        <f t="shared" ca="1" si="147"/>
        <v>0</v>
      </c>
      <c r="AI210" s="50">
        <f t="shared" ca="1" si="147"/>
        <v>0</v>
      </c>
      <c r="AJ210" s="50">
        <f t="shared" ca="1" si="147"/>
        <v>0</v>
      </c>
      <c r="AK210" s="50">
        <f t="shared" ca="1" si="147"/>
        <v>0</v>
      </c>
      <c r="AL210" s="50">
        <f t="shared" si="147"/>
        <v>0</v>
      </c>
      <c r="AM210" s="50">
        <f t="shared" si="147"/>
        <v>0</v>
      </c>
      <c r="AN210" s="50">
        <f t="shared" si="147"/>
        <v>0</v>
      </c>
      <c r="AO210" s="50">
        <f t="shared" si="147"/>
        <v>0</v>
      </c>
      <c r="AP210" s="50">
        <f t="shared" si="147"/>
        <v>0</v>
      </c>
      <c r="AQ210" s="50">
        <f t="shared" si="147"/>
        <v>0</v>
      </c>
      <c r="AR210" s="50">
        <f t="shared" si="147"/>
        <v>0</v>
      </c>
      <c r="AS210" s="50">
        <f t="shared" si="147"/>
        <v>0</v>
      </c>
      <c r="AT210" s="50">
        <f t="shared" si="147"/>
        <v>0</v>
      </c>
      <c r="AU210" s="50">
        <f t="shared" si="147"/>
        <v>0</v>
      </c>
    </row>
    <row r="211" spans="1:47">
      <c r="A211" s="38" t="str">
        <f t="shared" si="144"/>
        <v>3Y-</v>
      </c>
      <c r="B211" s="38" t="s">
        <v>274</v>
      </c>
      <c r="C211" s="38" t="str">
        <f t="shared" si="148"/>
        <v>CHP</v>
      </c>
      <c r="D211" s="186"/>
      <c r="E211" s="325"/>
      <c r="G211" s="36" t="s">
        <v>16</v>
      </c>
      <c r="I211" s="39"/>
      <c r="K211" s="39"/>
      <c r="L211" s="43" t="s">
        <v>275</v>
      </c>
      <c r="N211" s="70">
        <f ca="1">SUMIFS(OFFSET(Assumptions!$I$90,0,MATCH($A211,Configurations,0)-1,COUNT(Assumptions!$A$90:$A$183),1),Assumptions!$D$90:$D$183,$B211&amp;$C211)</f>
        <v>0</v>
      </c>
      <c r="O211" s="313"/>
      <c r="P211" s="323"/>
      <c r="Q211" s="313"/>
      <c r="R211" s="50">
        <f t="shared" ref="R211:AU211" ca="1" si="149">IF(OR(R$99&lt;InServiceYr,R$99&gt;(InServiceYr+analysis_period-1)),0,IF($P211=0,$N211,$P211)*R$505)</f>
        <v>0</v>
      </c>
      <c r="S211" s="50">
        <f t="shared" ca="1" si="149"/>
        <v>0</v>
      </c>
      <c r="T211" s="50">
        <f t="shared" ca="1" si="149"/>
        <v>0</v>
      </c>
      <c r="U211" s="50">
        <f t="shared" ca="1" si="149"/>
        <v>0</v>
      </c>
      <c r="V211" s="50">
        <f t="shared" ca="1" si="149"/>
        <v>0</v>
      </c>
      <c r="W211" s="50">
        <f t="shared" ca="1" si="149"/>
        <v>0</v>
      </c>
      <c r="X211" s="50">
        <f t="shared" ca="1" si="149"/>
        <v>0</v>
      </c>
      <c r="Y211" s="50">
        <f t="shared" ca="1" si="149"/>
        <v>0</v>
      </c>
      <c r="Z211" s="50">
        <f t="shared" ca="1" si="149"/>
        <v>0</v>
      </c>
      <c r="AA211" s="50">
        <f t="shared" ca="1" si="149"/>
        <v>0</v>
      </c>
      <c r="AB211" s="50">
        <f t="shared" ca="1" si="149"/>
        <v>0</v>
      </c>
      <c r="AC211" s="50">
        <f t="shared" ca="1" si="149"/>
        <v>0</v>
      </c>
      <c r="AD211" s="50">
        <f t="shared" ca="1" si="149"/>
        <v>0</v>
      </c>
      <c r="AE211" s="50">
        <f t="shared" ca="1" si="149"/>
        <v>0</v>
      </c>
      <c r="AF211" s="50">
        <f t="shared" ca="1" si="149"/>
        <v>0</v>
      </c>
      <c r="AG211" s="50">
        <f t="shared" ca="1" si="149"/>
        <v>0</v>
      </c>
      <c r="AH211" s="50">
        <f t="shared" ca="1" si="149"/>
        <v>0</v>
      </c>
      <c r="AI211" s="50">
        <f t="shared" ca="1" si="149"/>
        <v>0</v>
      </c>
      <c r="AJ211" s="50">
        <f t="shared" ca="1" si="149"/>
        <v>0</v>
      </c>
      <c r="AK211" s="50">
        <f t="shared" ca="1" si="149"/>
        <v>0</v>
      </c>
      <c r="AL211" s="50">
        <f t="shared" si="149"/>
        <v>0</v>
      </c>
      <c r="AM211" s="50">
        <f t="shared" si="149"/>
        <v>0</v>
      </c>
      <c r="AN211" s="50">
        <f t="shared" si="149"/>
        <v>0</v>
      </c>
      <c r="AO211" s="50">
        <f t="shared" si="149"/>
        <v>0</v>
      </c>
      <c r="AP211" s="50">
        <f t="shared" si="149"/>
        <v>0</v>
      </c>
      <c r="AQ211" s="50">
        <f t="shared" si="149"/>
        <v>0</v>
      </c>
      <c r="AR211" s="50">
        <f t="shared" si="149"/>
        <v>0</v>
      </c>
      <c r="AS211" s="50">
        <f t="shared" si="149"/>
        <v>0</v>
      </c>
      <c r="AT211" s="50">
        <f t="shared" si="149"/>
        <v>0</v>
      </c>
      <c r="AU211" s="50">
        <f t="shared" si="149"/>
        <v>0</v>
      </c>
    </row>
    <row r="212" spans="1:47">
      <c r="A212" s="38" t="str">
        <f t="shared" si="144"/>
        <v>3Y-</v>
      </c>
      <c r="B212" s="38" t="s">
        <v>257</v>
      </c>
      <c r="C212" s="38" t="str">
        <f t="shared" si="148"/>
        <v>CHP</v>
      </c>
      <c r="D212" s="186"/>
      <c r="E212" s="325"/>
      <c r="G212" s="36" t="s">
        <v>284</v>
      </c>
      <c r="I212" s="39"/>
      <c r="K212" s="39"/>
      <c r="L212" s="43" t="s">
        <v>293</v>
      </c>
      <c r="N212" s="70">
        <f ca="1">SUMIFS(OFFSET(Assumptions!$I$90,0,MATCH($A212,Configurations,0)-1,COUNT(Assumptions!$A$90:$A$183),1),Assumptions!$D$90:$D$183,$B212&amp;$C212)</f>
        <v>0</v>
      </c>
      <c r="O212" s="313"/>
      <c r="P212" s="323"/>
      <c r="Q212" s="313"/>
      <c r="R212" s="50">
        <f t="shared" ref="R212:AU212" ca="1" si="150">IF(OR(R$99&lt;InServiceYr,R$99&gt;(InServiceYr+analysis_period-1)),0,IF($P212=0,$N212,$P212)*R$501)</f>
        <v>0</v>
      </c>
      <c r="S212" s="50">
        <f t="shared" ca="1" si="150"/>
        <v>0</v>
      </c>
      <c r="T212" s="50">
        <f t="shared" ca="1" si="150"/>
        <v>0</v>
      </c>
      <c r="U212" s="50">
        <f t="shared" ca="1" si="150"/>
        <v>0</v>
      </c>
      <c r="V212" s="50">
        <f t="shared" ca="1" si="150"/>
        <v>0</v>
      </c>
      <c r="W212" s="50">
        <f t="shared" ca="1" si="150"/>
        <v>0</v>
      </c>
      <c r="X212" s="50">
        <f t="shared" ca="1" si="150"/>
        <v>0</v>
      </c>
      <c r="Y212" s="50">
        <f t="shared" ca="1" si="150"/>
        <v>0</v>
      </c>
      <c r="Z212" s="50">
        <f t="shared" ca="1" si="150"/>
        <v>0</v>
      </c>
      <c r="AA212" s="50">
        <f t="shared" ca="1" si="150"/>
        <v>0</v>
      </c>
      <c r="AB212" s="50">
        <f t="shared" ca="1" si="150"/>
        <v>0</v>
      </c>
      <c r="AC212" s="50">
        <f t="shared" ca="1" si="150"/>
        <v>0</v>
      </c>
      <c r="AD212" s="50">
        <f t="shared" ca="1" si="150"/>
        <v>0</v>
      </c>
      <c r="AE212" s="50">
        <f t="shared" ca="1" si="150"/>
        <v>0</v>
      </c>
      <c r="AF212" s="50">
        <f t="shared" ca="1" si="150"/>
        <v>0</v>
      </c>
      <c r="AG212" s="50">
        <f t="shared" ca="1" si="150"/>
        <v>0</v>
      </c>
      <c r="AH212" s="50">
        <f t="shared" ca="1" si="150"/>
        <v>0</v>
      </c>
      <c r="AI212" s="50">
        <f t="shared" ca="1" si="150"/>
        <v>0</v>
      </c>
      <c r="AJ212" s="50">
        <f t="shared" ca="1" si="150"/>
        <v>0</v>
      </c>
      <c r="AK212" s="50">
        <f t="shared" ca="1" si="150"/>
        <v>0</v>
      </c>
      <c r="AL212" s="50">
        <f t="shared" si="150"/>
        <v>0</v>
      </c>
      <c r="AM212" s="50">
        <f t="shared" si="150"/>
        <v>0</v>
      </c>
      <c r="AN212" s="50">
        <f t="shared" si="150"/>
        <v>0</v>
      </c>
      <c r="AO212" s="50">
        <f t="shared" si="150"/>
        <v>0</v>
      </c>
      <c r="AP212" s="50">
        <f t="shared" si="150"/>
        <v>0</v>
      </c>
      <c r="AQ212" s="50">
        <f t="shared" si="150"/>
        <v>0</v>
      </c>
      <c r="AR212" s="50">
        <f t="shared" si="150"/>
        <v>0</v>
      </c>
      <c r="AS212" s="50">
        <f t="shared" si="150"/>
        <v>0</v>
      </c>
      <c r="AT212" s="50">
        <f t="shared" si="150"/>
        <v>0</v>
      </c>
      <c r="AU212" s="50">
        <f t="shared" si="150"/>
        <v>0</v>
      </c>
    </row>
    <row r="213" spans="1:47">
      <c r="A213" s="38" t="str">
        <f t="shared" si="144"/>
        <v>3Y-</v>
      </c>
      <c r="B213" s="38" t="s">
        <v>864</v>
      </c>
      <c r="C213" s="38" t="str">
        <f t="shared" si="148"/>
        <v>CHP</v>
      </c>
      <c r="D213" s="186">
        <f>GHGEsc</f>
        <v>0.02</v>
      </c>
      <c r="E213" s="325"/>
      <c r="G213" s="36" t="s">
        <v>865</v>
      </c>
      <c r="I213" s="39"/>
      <c r="K213" s="39"/>
      <c r="L213" s="43" t="s">
        <v>866</v>
      </c>
      <c r="N213" s="70">
        <f ca="1">SUMIFS(OFFSET(Assumptions!$I$90,0,MATCH($A213,Configurations,0)-1,COUNT(Assumptions!$A$90:$A$183),1),Assumptions!$D$90:$D$183,$B213&amp;$C213)</f>
        <v>0</v>
      </c>
      <c r="O213" s="313"/>
      <c r="P213" s="323"/>
      <c r="Q213" s="313"/>
      <c r="R213" s="50">
        <f t="shared" ref="R213:AU213" ca="1" si="151">IF(OR(R$99&lt;InServiceYr,R$99&gt;(InServiceYr+analysis_period-1)),0,IF($P213=0,$N213,$P213)*R$513)</f>
        <v>0</v>
      </c>
      <c r="S213" s="50">
        <f t="shared" ca="1" si="151"/>
        <v>0</v>
      </c>
      <c r="T213" s="50">
        <f t="shared" ca="1" si="151"/>
        <v>0</v>
      </c>
      <c r="U213" s="50">
        <f t="shared" ca="1" si="151"/>
        <v>0</v>
      </c>
      <c r="V213" s="50">
        <f t="shared" ca="1" si="151"/>
        <v>0</v>
      </c>
      <c r="W213" s="50">
        <f t="shared" ca="1" si="151"/>
        <v>0</v>
      </c>
      <c r="X213" s="50">
        <f t="shared" ca="1" si="151"/>
        <v>0</v>
      </c>
      <c r="Y213" s="50">
        <f t="shared" ca="1" si="151"/>
        <v>0</v>
      </c>
      <c r="Z213" s="50">
        <f t="shared" ca="1" si="151"/>
        <v>0</v>
      </c>
      <c r="AA213" s="50">
        <f t="shared" ca="1" si="151"/>
        <v>0</v>
      </c>
      <c r="AB213" s="50">
        <f t="shared" ca="1" si="151"/>
        <v>0</v>
      </c>
      <c r="AC213" s="50">
        <f t="shared" ca="1" si="151"/>
        <v>0</v>
      </c>
      <c r="AD213" s="50">
        <f t="shared" ca="1" si="151"/>
        <v>0</v>
      </c>
      <c r="AE213" s="50">
        <f t="shared" ca="1" si="151"/>
        <v>0</v>
      </c>
      <c r="AF213" s="50">
        <f t="shared" ca="1" si="151"/>
        <v>0</v>
      </c>
      <c r="AG213" s="50">
        <f t="shared" ca="1" si="151"/>
        <v>0</v>
      </c>
      <c r="AH213" s="50">
        <f t="shared" ca="1" si="151"/>
        <v>0</v>
      </c>
      <c r="AI213" s="50">
        <f t="shared" ca="1" si="151"/>
        <v>0</v>
      </c>
      <c r="AJ213" s="50">
        <f t="shared" ca="1" si="151"/>
        <v>0</v>
      </c>
      <c r="AK213" s="50">
        <f t="shared" ca="1" si="151"/>
        <v>0</v>
      </c>
      <c r="AL213" s="50">
        <f t="shared" si="151"/>
        <v>0</v>
      </c>
      <c r="AM213" s="50">
        <f t="shared" si="151"/>
        <v>0</v>
      </c>
      <c r="AN213" s="50">
        <f t="shared" si="151"/>
        <v>0</v>
      </c>
      <c r="AO213" s="50">
        <f t="shared" si="151"/>
        <v>0</v>
      </c>
      <c r="AP213" s="50">
        <f t="shared" si="151"/>
        <v>0</v>
      </c>
      <c r="AQ213" s="50">
        <f t="shared" si="151"/>
        <v>0</v>
      </c>
      <c r="AR213" s="50">
        <f t="shared" si="151"/>
        <v>0</v>
      </c>
      <c r="AS213" s="50">
        <f t="shared" si="151"/>
        <v>0</v>
      </c>
      <c r="AT213" s="50">
        <f t="shared" si="151"/>
        <v>0</v>
      </c>
      <c r="AU213" s="50">
        <f t="shared" si="151"/>
        <v>0</v>
      </c>
    </row>
    <row r="214" spans="1:47">
      <c r="A214" s="38" t="str">
        <f t="shared" si="144"/>
        <v>3Y-</v>
      </c>
      <c r="B214" s="38" t="s">
        <v>273</v>
      </c>
      <c r="C214" s="38" t="str">
        <f>C212</f>
        <v>CHP</v>
      </c>
      <c r="D214" s="186">
        <f>LaborEsc</f>
        <v>0.02</v>
      </c>
      <c r="E214" s="325"/>
      <c r="G214" s="36" t="s">
        <v>291</v>
      </c>
      <c r="I214" s="39"/>
      <c r="K214" s="39"/>
      <c r="L214" s="43" t="str">
        <f>"["&amp;CostBaseYr&amp;" $]"</f>
        <v>[2013 $]</v>
      </c>
      <c r="N214" s="70">
        <f ca="1">SUMIFS(OFFSET(Assumptions!$I$90,0,MATCH($A214,Configurations,0)-1,COUNT(Assumptions!$A$90:$A$183),1),Assumptions!$D$90:$D$183,$B214&amp;$C214)</f>
        <v>0</v>
      </c>
      <c r="O214" s="313"/>
      <c r="P214" s="323"/>
      <c r="Q214" s="313"/>
      <c r="R214" s="50">
        <f t="shared" ref="R214:AU214" ca="1" si="152">IF(OR(R$99&lt;InServiceYr,R$99&gt;(InServiceYr+analysis_period-1)),0,IF($P214=0,$N214,$P214)*(1+$D214)^(R$99-CostBaseYr))*R$509</f>
        <v>0</v>
      </c>
      <c r="S214" s="50">
        <f t="shared" ca="1" si="152"/>
        <v>0</v>
      </c>
      <c r="T214" s="50">
        <f t="shared" ca="1" si="152"/>
        <v>0</v>
      </c>
      <c r="U214" s="50">
        <f t="shared" ca="1" si="152"/>
        <v>0</v>
      </c>
      <c r="V214" s="50">
        <f t="shared" ca="1" si="152"/>
        <v>0</v>
      </c>
      <c r="W214" s="50">
        <f t="shared" ca="1" si="152"/>
        <v>0</v>
      </c>
      <c r="X214" s="50">
        <f t="shared" ca="1" si="152"/>
        <v>0</v>
      </c>
      <c r="Y214" s="50">
        <f t="shared" ca="1" si="152"/>
        <v>0</v>
      </c>
      <c r="Z214" s="50">
        <f t="shared" ca="1" si="152"/>
        <v>0</v>
      </c>
      <c r="AA214" s="50">
        <f t="shared" ca="1" si="152"/>
        <v>0</v>
      </c>
      <c r="AB214" s="50">
        <f t="shared" ca="1" si="152"/>
        <v>0</v>
      </c>
      <c r="AC214" s="50">
        <f t="shared" ca="1" si="152"/>
        <v>0</v>
      </c>
      <c r="AD214" s="50">
        <f t="shared" ca="1" si="152"/>
        <v>0</v>
      </c>
      <c r="AE214" s="50">
        <f t="shared" ca="1" si="152"/>
        <v>0</v>
      </c>
      <c r="AF214" s="50">
        <f t="shared" ca="1" si="152"/>
        <v>0</v>
      </c>
      <c r="AG214" s="50">
        <f t="shared" ca="1" si="152"/>
        <v>0</v>
      </c>
      <c r="AH214" s="50">
        <f t="shared" ca="1" si="152"/>
        <v>0</v>
      </c>
      <c r="AI214" s="50">
        <f t="shared" ca="1" si="152"/>
        <v>0</v>
      </c>
      <c r="AJ214" s="50">
        <f t="shared" ca="1" si="152"/>
        <v>0</v>
      </c>
      <c r="AK214" s="50">
        <f t="shared" ca="1" si="152"/>
        <v>0</v>
      </c>
      <c r="AL214" s="50">
        <f t="shared" si="152"/>
        <v>0</v>
      </c>
      <c r="AM214" s="50">
        <f t="shared" si="152"/>
        <v>0</v>
      </c>
      <c r="AN214" s="50">
        <f t="shared" si="152"/>
        <v>0</v>
      </c>
      <c r="AO214" s="50">
        <f t="shared" si="152"/>
        <v>0</v>
      </c>
      <c r="AP214" s="50">
        <f t="shared" si="152"/>
        <v>0</v>
      </c>
      <c r="AQ214" s="50">
        <f t="shared" si="152"/>
        <v>0</v>
      </c>
      <c r="AR214" s="50">
        <f t="shared" si="152"/>
        <v>0</v>
      </c>
      <c r="AS214" s="50">
        <f t="shared" si="152"/>
        <v>0</v>
      </c>
      <c r="AT214" s="50">
        <f t="shared" si="152"/>
        <v>0</v>
      </c>
      <c r="AU214" s="50">
        <f t="shared" si="152"/>
        <v>0</v>
      </c>
    </row>
    <row r="215" spans="1:47">
      <c r="D215" s="186"/>
      <c r="E215" s="325"/>
      <c r="G215" s="39" t="s">
        <v>304</v>
      </c>
      <c r="I215" s="39"/>
      <c r="K215" s="39"/>
      <c r="L215" s="43"/>
      <c r="N215" s="70"/>
      <c r="O215" s="313"/>
      <c r="P215" s="70"/>
      <c r="Q215" s="313"/>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row>
    <row r="216" spans="1:47">
      <c r="A216" s="38" t="str">
        <f>$J$4&amp;"-"</f>
        <v>3Y-</v>
      </c>
      <c r="B216" s="38" t="s">
        <v>265</v>
      </c>
      <c r="C216" s="38" t="str">
        <f>C207</f>
        <v>CHP</v>
      </c>
      <c r="D216" s="186"/>
      <c r="E216" s="325"/>
      <c r="G216" s="36" t="s">
        <v>108</v>
      </c>
      <c r="I216" s="39"/>
      <c r="K216" s="39"/>
      <c r="L216" s="43" t="s">
        <v>293</v>
      </c>
      <c r="N216" s="70">
        <f ca="1">SUMIFS(OFFSET(Assumptions!$I$90,0,MATCH($A216,Configurations,0)-1,COUNT(Assumptions!$A$90:$A$183),1),Assumptions!$D$90:$D$183,$B216&amp;$C216)</f>
        <v>0</v>
      </c>
      <c r="O216" s="313"/>
      <c r="P216" s="323"/>
      <c r="Q216" s="313"/>
      <c r="R216" s="50">
        <f t="shared" ref="R216:AU216" ca="1" si="153">IF(OR(R$99&lt;InServiceYr,R$99&gt;(InServiceYr+analysis_period-1)),0,IF($P216=0,$N216,$P216)*R$501)</f>
        <v>0</v>
      </c>
      <c r="S216" s="50">
        <f t="shared" ca="1" si="153"/>
        <v>0</v>
      </c>
      <c r="T216" s="50">
        <f t="shared" ca="1" si="153"/>
        <v>0</v>
      </c>
      <c r="U216" s="50">
        <f t="shared" ca="1" si="153"/>
        <v>0</v>
      </c>
      <c r="V216" s="50">
        <f t="shared" ca="1" si="153"/>
        <v>0</v>
      </c>
      <c r="W216" s="50">
        <f t="shared" ca="1" si="153"/>
        <v>0</v>
      </c>
      <c r="X216" s="50">
        <f t="shared" ca="1" si="153"/>
        <v>0</v>
      </c>
      <c r="Y216" s="50">
        <f t="shared" ca="1" si="153"/>
        <v>0</v>
      </c>
      <c r="Z216" s="50">
        <f t="shared" ca="1" si="153"/>
        <v>0</v>
      </c>
      <c r="AA216" s="50">
        <f t="shared" ca="1" si="153"/>
        <v>0</v>
      </c>
      <c r="AB216" s="50">
        <f t="shared" ca="1" si="153"/>
        <v>0</v>
      </c>
      <c r="AC216" s="50">
        <f t="shared" ca="1" si="153"/>
        <v>0</v>
      </c>
      <c r="AD216" s="50">
        <f t="shared" ca="1" si="153"/>
        <v>0</v>
      </c>
      <c r="AE216" s="50">
        <f t="shared" ca="1" si="153"/>
        <v>0</v>
      </c>
      <c r="AF216" s="50">
        <f t="shared" ca="1" si="153"/>
        <v>0</v>
      </c>
      <c r="AG216" s="50">
        <f t="shared" ca="1" si="153"/>
        <v>0</v>
      </c>
      <c r="AH216" s="50">
        <f t="shared" ca="1" si="153"/>
        <v>0</v>
      </c>
      <c r="AI216" s="50">
        <f t="shared" ca="1" si="153"/>
        <v>0</v>
      </c>
      <c r="AJ216" s="50">
        <f t="shared" ca="1" si="153"/>
        <v>0</v>
      </c>
      <c r="AK216" s="50">
        <f t="shared" ca="1" si="153"/>
        <v>0</v>
      </c>
      <c r="AL216" s="50">
        <f t="shared" si="153"/>
        <v>0</v>
      </c>
      <c r="AM216" s="50">
        <f t="shared" si="153"/>
        <v>0</v>
      </c>
      <c r="AN216" s="50">
        <f t="shared" si="153"/>
        <v>0</v>
      </c>
      <c r="AO216" s="50">
        <f t="shared" si="153"/>
        <v>0</v>
      </c>
      <c r="AP216" s="50">
        <f t="shared" si="153"/>
        <v>0</v>
      </c>
      <c r="AQ216" s="50">
        <f t="shared" si="153"/>
        <v>0</v>
      </c>
      <c r="AR216" s="50">
        <f t="shared" si="153"/>
        <v>0</v>
      </c>
      <c r="AS216" s="50">
        <f t="shared" si="153"/>
        <v>0</v>
      </c>
      <c r="AT216" s="50">
        <f t="shared" si="153"/>
        <v>0</v>
      </c>
      <c r="AU216" s="50">
        <f t="shared" si="153"/>
        <v>0</v>
      </c>
    </row>
    <row r="217" spans="1:47">
      <c r="A217" s="38" t="str">
        <f>$J$4&amp;"-"</f>
        <v>3Y-</v>
      </c>
      <c r="B217" s="38" t="s">
        <v>289</v>
      </c>
      <c r="C217" s="38" t="str">
        <f>C207</f>
        <v>CHP</v>
      </c>
      <c r="D217" s="186">
        <f>LaborEsc</f>
        <v>0.02</v>
      </c>
      <c r="E217" s="325"/>
      <c r="G217" s="36" t="s">
        <v>292</v>
      </c>
      <c r="I217" s="39"/>
      <c r="K217" s="39"/>
      <c r="L217" s="43" t="str">
        <f>"["&amp;CostBaseYr&amp;" $]"</f>
        <v>[2013 $]</v>
      </c>
      <c r="N217" s="70">
        <f ca="1">SUMIFS(OFFSET(Assumptions!$I$90,0,MATCH($A217,Configurations,0)-1,COUNT(Assumptions!$A$90:$A$183),1),Assumptions!$D$90:$D$183,$B217&amp;$C217)</f>
        <v>0</v>
      </c>
      <c r="O217" s="313"/>
      <c r="P217" s="323"/>
      <c r="Q217" s="313"/>
      <c r="R217" s="50">
        <f t="shared" ref="R217:AU217" ca="1" si="154">IF(OR(R$99&lt;InServiceYr,R$99&gt;(InServiceYr+analysis_period-1)),0,IF($P217=0,$N217,$P217)*(1+$D217)^(R$99-CostBaseYr))</f>
        <v>0</v>
      </c>
      <c r="S217" s="50">
        <f t="shared" ca="1" si="154"/>
        <v>0</v>
      </c>
      <c r="T217" s="50">
        <f t="shared" ca="1" si="154"/>
        <v>0</v>
      </c>
      <c r="U217" s="50">
        <f t="shared" ca="1" si="154"/>
        <v>0</v>
      </c>
      <c r="V217" s="50">
        <f t="shared" ca="1" si="154"/>
        <v>0</v>
      </c>
      <c r="W217" s="50">
        <f t="shared" ca="1" si="154"/>
        <v>0</v>
      </c>
      <c r="X217" s="50">
        <f t="shared" ca="1" si="154"/>
        <v>0</v>
      </c>
      <c r="Y217" s="50">
        <f t="shared" ca="1" si="154"/>
        <v>0</v>
      </c>
      <c r="Z217" s="50">
        <f t="shared" ca="1" si="154"/>
        <v>0</v>
      </c>
      <c r="AA217" s="50">
        <f t="shared" ca="1" si="154"/>
        <v>0</v>
      </c>
      <c r="AB217" s="50">
        <f t="shared" ca="1" si="154"/>
        <v>0</v>
      </c>
      <c r="AC217" s="50">
        <f t="shared" ca="1" si="154"/>
        <v>0</v>
      </c>
      <c r="AD217" s="50">
        <f t="shared" ca="1" si="154"/>
        <v>0</v>
      </c>
      <c r="AE217" s="50">
        <f t="shared" ca="1" si="154"/>
        <v>0</v>
      </c>
      <c r="AF217" s="50">
        <f t="shared" ca="1" si="154"/>
        <v>0</v>
      </c>
      <c r="AG217" s="50">
        <f t="shared" ca="1" si="154"/>
        <v>0</v>
      </c>
      <c r="AH217" s="50">
        <f t="shared" ca="1" si="154"/>
        <v>0</v>
      </c>
      <c r="AI217" s="50">
        <f t="shared" ca="1" si="154"/>
        <v>0</v>
      </c>
      <c r="AJ217" s="50">
        <f t="shared" ca="1" si="154"/>
        <v>0</v>
      </c>
      <c r="AK217" s="50">
        <f t="shared" ca="1" si="154"/>
        <v>0</v>
      </c>
      <c r="AL217" s="50">
        <f t="shared" si="154"/>
        <v>0</v>
      </c>
      <c r="AM217" s="50">
        <f t="shared" si="154"/>
        <v>0</v>
      </c>
      <c r="AN217" s="50">
        <f t="shared" si="154"/>
        <v>0</v>
      </c>
      <c r="AO217" s="50">
        <f t="shared" si="154"/>
        <v>0</v>
      </c>
      <c r="AP217" s="50">
        <f t="shared" si="154"/>
        <v>0</v>
      </c>
      <c r="AQ217" s="50">
        <f t="shared" si="154"/>
        <v>0</v>
      </c>
      <c r="AR217" s="50">
        <f t="shared" si="154"/>
        <v>0</v>
      </c>
      <c r="AS217" s="50">
        <f t="shared" si="154"/>
        <v>0</v>
      </c>
      <c r="AT217" s="50">
        <f t="shared" si="154"/>
        <v>0</v>
      </c>
      <c r="AU217" s="50">
        <f t="shared" si="154"/>
        <v>0</v>
      </c>
    </row>
    <row r="218" spans="1:47" s="60" customFormat="1">
      <c r="D218" s="187"/>
      <c r="E218" s="325"/>
      <c r="G218" s="39" t="s">
        <v>305</v>
      </c>
      <c r="I218" s="39"/>
      <c r="K218" s="39"/>
      <c r="L218" s="174"/>
      <c r="N218" s="188"/>
      <c r="O218" s="314"/>
      <c r="P218" s="185"/>
      <c r="Q218" s="314"/>
      <c r="R218" s="185">
        <f ca="1">SUM(R207:R214)-SUM(R216:R217)</f>
        <v>0</v>
      </c>
      <c r="S218" s="185">
        <f t="shared" ref="S218:AU218" ca="1" si="155">SUM(S207:S214)-SUM(S216:S217)</f>
        <v>0</v>
      </c>
      <c r="T218" s="185">
        <f t="shared" ca="1" si="155"/>
        <v>0</v>
      </c>
      <c r="U218" s="185">
        <f t="shared" ca="1" si="155"/>
        <v>0</v>
      </c>
      <c r="V218" s="185">
        <f t="shared" ca="1" si="155"/>
        <v>0</v>
      </c>
      <c r="W218" s="185">
        <f t="shared" ca="1" si="155"/>
        <v>0</v>
      </c>
      <c r="X218" s="185">
        <f t="shared" ca="1" si="155"/>
        <v>0</v>
      </c>
      <c r="Y218" s="185">
        <f t="shared" ca="1" si="155"/>
        <v>0</v>
      </c>
      <c r="Z218" s="185">
        <f t="shared" ca="1" si="155"/>
        <v>0</v>
      </c>
      <c r="AA218" s="185">
        <f t="shared" ca="1" si="155"/>
        <v>0</v>
      </c>
      <c r="AB218" s="185">
        <f t="shared" ca="1" si="155"/>
        <v>0</v>
      </c>
      <c r="AC218" s="185">
        <f t="shared" ca="1" si="155"/>
        <v>0</v>
      </c>
      <c r="AD218" s="185">
        <f t="shared" ca="1" si="155"/>
        <v>0</v>
      </c>
      <c r="AE218" s="185">
        <f t="shared" ca="1" si="155"/>
        <v>0</v>
      </c>
      <c r="AF218" s="185">
        <f t="shared" ca="1" si="155"/>
        <v>0</v>
      </c>
      <c r="AG218" s="185">
        <f t="shared" ca="1" si="155"/>
        <v>0</v>
      </c>
      <c r="AH218" s="185">
        <f t="shared" ca="1" si="155"/>
        <v>0</v>
      </c>
      <c r="AI218" s="185">
        <f t="shared" ca="1" si="155"/>
        <v>0</v>
      </c>
      <c r="AJ218" s="185">
        <f t="shared" ca="1" si="155"/>
        <v>0</v>
      </c>
      <c r="AK218" s="185">
        <f t="shared" ca="1" si="155"/>
        <v>0</v>
      </c>
      <c r="AL218" s="185">
        <f t="shared" si="155"/>
        <v>0</v>
      </c>
      <c r="AM218" s="185">
        <f t="shared" si="155"/>
        <v>0</v>
      </c>
      <c r="AN218" s="185">
        <f t="shared" si="155"/>
        <v>0</v>
      </c>
      <c r="AO218" s="185">
        <f t="shared" si="155"/>
        <v>0</v>
      </c>
      <c r="AP218" s="185">
        <f t="shared" si="155"/>
        <v>0</v>
      </c>
      <c r="AQ218" s="185">
        <f t="shared" si="155"/>
        <v>0</v>
      </c>
      <c r="AR218" s="185">
        <f t="shared" si="155"/>
        <v>0</v>
      </c>
      <c r="AS218" s="185">
        <f t="shared" si="155"/>
        <v>0</v>
      </c>
      <c r="AT218" s="185">
        <f t="shared" si="155"/>
        <v>0</v>
      </c>
      <c r="AU218" s="185">
        <f t="shared" si="155"/>
        <v>0</v>
      </c>
    </row>
    <row r="219" spans="1:47">
      <c r="E219" s="36"/>
      <c r="G219" s="39"/>
      <c r="H219" s="39"/>
      <c r="I219" s="39"/>
      <c r="J219" s="39"/>
      <c r="K219" s="39"/>
    </row>
    <row r="220" spans="1:47">
      <c r="E220" s="327"/>
      <c r="F220" s="28"/>
      <c r="G220" s="324" t="str">
        <f>C222&amp;" Capital Costs"</f>
        <v>Dewatering Capital Costs</v>
      </c>
      <c r="H220" s="324"/>
      <c r="I220" s="324"/>
      <c r="J220" s="324"/>
      <c r="K220" s="324"/>
      <c r="L220" s="405" t="s">
        <v>79</v>
      </c>
      <c r="M220" s="256"/>
      <c r="N220" s="325" t="s">
        <v>490</v>
      </c>
      <c r="O220" s="311"/>
      <c r="P220" s="325" t="s">
        <v>491</v>
      </c>
      <c r="Q220" s="310"/>
      <c r="R220" s="325">
        <f>R$8</f>
        <v>2014</v>
      </c>
      <c r="S220" s="325">
        <f t="shared" ref="S220:AU220" si="156">S$8</f>
        <v>2015</v>
      </c>
      <c r="T220" s="325">
        <f t="shared" si="156"/>
        <v>2016</v>
      </c>
      <c r="U220" s="325">
        <f t="shared" si="156"/>
        <v>2017</v>
      </c>
      <c r="V220" s="325">
        <f t="shared" si="156"/>
        <v>2018</v>
      </c>
      <c r="W220" s="325">
        <f t="shared" si="156"/>
        <v>2019</v>
      </c>
      <c r="X220" s="325">
        <f t="shared" si="156"/>
        <v>2020</v>
      </c>
      <c r="Y220" s="325">
        <f t="shared" si="156"/>
        <v>2021</v>
      </c>
      <c r="Z220" s="325">
        <f t="shared" si="156"/>
        <v>2022</v>
      </c>
      <c r="AA220" s="325">
        <f t="shared" si="156"/>
        <v>2023</v>
      </c>
      <c r="AB220" s="325">
        <f t="shared" si="156"/>
        <v>2024</v>
      </c>
      <c r="AC220" s="325">
        <f t="shared" si="156"/>
        <v>2025</v>
      </c>
      <c r="AD220" s="325">
        <f t="shared" si="156"/>
        <v>2026</v>
      </c>
      <c r="AE220" s="325">
        <f t="shared" si="156"/>
        <v>2027</v>
      </c>
      <c r="AF220" s="325">
        <f t="shared" si="156"/>
        <v>2028</v>
      </c>
      <c r="AG220" s="325">
        <f t="shared" si="156"/>
        <v>2029</v>
      </c>
      <c r="AH220" s="325">
        <f t="shared" si="156"/>
        <v>2030</v>
      </c>
      <c r="AI220" s="325">
        <f t="shared" si="156"/>
        <v>2031</v>
      </c>
      <c r="AJ220" s="325">
        <f t="shared" si="156"/>
        <v>2032</v>
      </c>
      <c r="AK220" s="325">
        <f t="shared" si="156"/>
        <v>2033</v>
      </c>
      <c r="AL220" s="325">
        <f t="shared" si="156"/>
        <v>2034</v>
      </c>
      <c r="AM220" s="325">
        <f t="shared" si="156"/>
        <v>2035</v>
      </c>
      <c r="AN220" s="325">
        <f t="shared" si="156"/>
        <v>2036</v>
      </c>
      <c r="AO220" s="325">
        <f t="shared" si="156"/>
        <v>2037</v>
      </c>
      <c r="AP220" s="325">
        <f t="shared" si="156"/>
        <v>2038</v>
      </c>
      <c r="AQ220" s="325">
        <f t="shared" si="156"/>
        <v>2039</v>
      </c>
      <c r="AR220" s="325">
        <f t="shared" si="156"/>
        <v>2040</v>
      </c>
      <c r="AS220" s="325">
        <f t="shared" si="156"/>
        <v>2041</v>
      </c>
      <c r="AT220" s="325">
        <f t="shared" si="156"/>
        <v>2042</v>
      </c>
      <c r="AU220" s="325">
        <f t="shared" si="156"/>
        <v>2043</v>
      </c>
    </row>
    <row r="221" spans="1:47">
      <c r="E221" s="325"/>
      <c r="G221" s="39"/>
      <c r="H221" s="39"/>
      <c r="I221" s="39"/>
      <c r="J221" s="39"/>
      <c r="K221" s="39"/>
    </row>
    <row r="222" spans="1:47">
      <c r="A222" s="38" t="str">
        <f>$J$4&amp;"-"</f>
        <v>3Y-</v>
      </c>
      <c r="B222" s="38" t="s">
        <v>306</v>
      </c>
      <c r="C222" s="38" t="s">
        <v>319</v>
      </c>
      <c r="D222" s="186">
        <f>CapExEsc</f>
        <v>0.03</v>
      </c>
      <c r="E222" s="325"/>
      <c r="G222" s="36" t="s">
        <v>8</v>
      </c>
      <c r="H222" s="39"/>
      <c r="I222" s="39"/>
      <c r="J222" s="70"/>
      <c r="K222" s="39"/>
      <c r="L222" s="43" t="str">
        <f>"["&amp;CostBaseYr&amp;" $]"</f>
        <v>[2013 $]</v>
      </c>
      <c r="N222" s="52">
        <f ca="1">SUMIFS(OFFSET(Assumptions!$I$65,0,MATCH($A222,Configurations,0)-1,COUNT(Assumptions!$A$65:$A$84),1),Assumptions!$E$65:$E$84,$C222)</f>
        <v>4827000</v>
      </c>
      <c r="O222" s="52"/>
      <c r="P222" s="322"/>
      <c r="Q222" s="52"/>
      <c r="R222" s="52">
        <f t="shared" ref="R222:AU222" ca="1" si="157">R223*IF($P222=0,$N222,$P222)*(1+$D222)^(R$8-CostBaseYr)</f>
        <v>4971810</v>
      </c>
      <c r="S222" s="52">
        <f t="shared" ca="1" si="157"/>
        <v>0</v>
      </c>
      <c r="T222" s="52">
        <f t="shared" ca="1" si="157"/>
        <v>0</v>
      </c>
      <c r="U222" s="52">
        <f t="shared" ca="1" si="157"/>
        <v>0</v>
      </c>
      <c r="V222" s="52">
        <f t="shared" ca="1" si="157"/>
        <v>0</v>
      </c>
      <c r="W222" s="52">
        <f t="shared" ca="1" si="157"/>
        <v>0</v>
      </c>
      <c r="X222" s="52">
        <f t="shared" ca="1" si="157"/>
        <v>0</v>
      </c>
      <c r="Y222" s="52">
        <f t="shared" ca="1" si="157"/>
        <v>0</v>
      </c>
      <c r="Z222" s="52">
        <f t="shared" ca="1" si="157"/>
        <v>0</v>
      </c>
      <c r="AA222" s="52">
        <f t="shared" ca="1" si="157"/>
        <v>0</v>
      </c>
      <c r="AB222" s="52">
        <f t="shared" ca="1" si="157"/>
        <v>0</v>
      </c>
      <c r="AC222" s="52">
        <f t="shared" ca="1" si="157"/>
        <v>0</v>
      </c>
      <c r="AD222" s="52">
        <f t="shared" ca="1" si="157"/>
        <v>0</v>
      </c>
      <c r="AE222" s="52">
        <f t="shared" ca="1" si="157"/>
        <v>0</v>
      </c>
      <c r="AF222" s="52">
        <f t="shared" ca="1" si="157"/>
        <v>0</v>
      </c>
      <c r="AG222" s="52">
        <f t="shared" ca="1" si="157"/>
        <v>0</v>
      </c>
      <c r="AH222" s="52">
        <f t="shared" ca="1" si="157"/>
        <v>0</v>
      </c>
      <c r="AI222" s="52">
        <f t="shared" ca="1" si="157"/>
        <v>0</v>
      </c>
      <c r="AJ222" s="52">
        <f t="shared" ca="1" si="157"/>
        <v>0</v>
      </c>
      <c r="AK222" s="52">
        <f t="shared" ca="1" si="157"/>
        <v>0</v>
      </c>
      <c r="AL222" s="52">
        <f t="shared" ca="1" si="157"/>
        <v>0</v>
      </c>
      <c r="AM222" s="52">
        <f t="shared" ca="1" si="157"/>
        <v>0</v>
      </c>
      <c r="AN222" s="52">
        <f t="shared" ca="1" si="157"/>
        <v>0</v>
      </c>
      <c r="AO222" s="52">
        <f t="shared" ca="1" si="157"/>
        <v>0</v>
      </c>
      <c r="AP222" s="52">
        <f t="shared" ca="1" si="157"/>
        <v>0</v>
      </c>
      <c r="AQ222" s="52">
        <f t="shared" ca="1" si="157"/>
        <v>0</v>
      </c>
      <c r="AR222" s="52">
        <f t="shared" ca="1" si="157"/>
        <v>0</v>
      </c>
      <c r="AS222" s="52">
        <f t="shared" ca="1" si="157"/>
        <v>0</v>
      </c>
      <c r="AT222" s="52">
        <f t="shared" ca="1" si="157"/>
        <v>0</v>
      </c>
      <c r="AU222" s="52">
        <f t="shared" ca="1" si="157"/>
        <v>0</v>
      </c>
    </row>
    <row r="223" spans="1:47">
      <c r="E223" s="325"/>
      <c r="G223" s="36" t="s">
        <v>10</v>
      </c>
      <c r="H223" s="39"/>
      <c r="I223" s="39"/>
      <c r="J223" s="39"/>
      <c r="K223" s="39"/>
      <c r="L223" s="43"/>
      <c r="R223" s="54">
        <f>Assumptions!M$60</f>
        <v>1</v>
      </c>
      <c r="S223" s="54">
        <f>Assumptions!N$60</f>
        <v>0</v>
      </c>
      <c r="T223" s="54">
        <f>Assumptions!O$60</f>
        <v>0</v>
      </c>
      <c r="U223" s="54">
        <f>Assumptions!P$60</f>
        <v>0</v>
      </c>
      <c r="V223" s="54">
        <f>Assumptions!Q$60</f>
        <v>0</v>
      </c>
      <c r="W223" s="54">
        <f>Assumptions!R$60</f>
        <v>0</v>
      </c>
      <c r="X223" s="54">
        <f>Assumptions!S$60</f>
        <v>0</v>
      </c>
      <c r="Y223" s="54">
        <f>Assumptions!T$60</f>
        <v>0</v>
      </c>
      <c r="Z223" s="54">
        <f>Assumptions!U$60</f>
        <v>0</v>
      </c>
      <c r="AA223" s="54">
        <f>Assumptions!V$60</f>
        <v>0</v>
      </c>
      <c r="AB223" s="54">
        <f>Assumptions!W$60</f>
        <v>0</v>
      </c>
      <c r="AC223" s="54">
        <f>Assumptions!X$60</f>
        <v>0</v>
      </c>
      <c r="AD223" s="54">
        <f>Assumptions!Y$60</f>
        <v>0</v>
      </c>
      <c r="AE223" s="54">
        <f>Assumptions!Z$60</f>
        <v>0</v>
      </c>
      <c r="AF223" s="54">
        <f>Assumptions!AA$60</f>
        <v>0</v>
      </c>
      <c r="AG223" s="54">
        <f>Assumptions!AB$60</f>
        <v>0</v>
      </c>
      <c r="AH223" s="54">
        <f>Assumptions!AC$60</f>
        <v>0</v>
      </c>
      <c r="AI223" s="54">
        <f>Assumptions!AD$60</f>
        <v>0</v>
      </c>
      <c r="AJ223" s="54">
        <f>Assumptions!AE$60</f>
        <v>0</v>
      </c>
      <c r="AK223" s="54">
        <f>Assumptions!AF$60</f>
        <v>0</v>
      </c>
      <c r="AL223" s="54">
        <f>Assumptions!AG$60</f>
        <v>0</v>
      </c>
      <c r="AM223" s="54">
        <f>Assumptions!AH$60</f>
        <v>0</v>
      </c>
      <c r="AN223" s="54">
        <f>Assumptions!AI$60</f>
        <v>0</v>
      </c>
      <c r="AO223" s="54">
        <f>Assumptions!AJ$60</f>
        <v>0</v>
      </c>
      <c r="AP223" s="54">
        <f>Assumptions!AK$60</f>
        <v>0</v>
      </c>
      <c r="AQ223" s="54">
        <f>Assumptions!AL$60</f>
        <v>0</v>
      </c>
      <c r="AR223" s="54">
        <f>Assumptions!AM$60</f>
        <v>0</v>
      </c>
      <c r="AS223" s="54">
        <f>Assumptions!AN$60</f>
        <v>0</v>
      </c>
      <c r="AT223" s="54">
        <f>Assumptions!AO$60</f>
        <v>0</v>
      </c>
      <c r="AU223" s="54">
        <f>Assumptions!AP$60</f>
        <v>0</v>
      </c>
    </row>
    <row r="224" spans="1:47">
      <c r="E224" s="326"/>
      <c r="G224" s="39"/>
      <c r="H224" s="39"/>
      <c r="I224" s="39"/>
      <c r="J224" s="39"/>
      <c r="K224" s="39"/>
    </row>
    <row r="225" spans="1:47">
      <c r="E225" s="327"/>
      <c r="F225" s="28"/>
      <c r="G225" s="324" t="str">
        <f>C222&amp;" O&amp;M"</f>
        <v>Dewatering O&amp;M</v>
      </c>
      <c r="H225" s="324"/>
      <c r="I225" s="324"/>
      <c r="J225" s="324"/>
      <c r="K225" s="324"/>
      <c r="L225" s="405" t="s">
        <v>79</v>
      </c>
      <c r="M225" s="256"/>
      <c r="N225" s="325" t="s">
        <v>490</v>
      </c>
      <c r="O225" s="311"/>
      <c r="P225" s="325" t="s">
        <v>491</v>
      </c>
      <c r="Q225" s="310"/>
      <c r="R225" s="325">
        <f>R$8</f>
        <v>2014</v>
      </c>
      <c r="S225" s="325">
        <f t="shared" ref="S225:AU225" si="158">S$8</f>
        <v>2015</v>
      </c>
      <c r="T225" s="325">
        <f t="shared" si="158"/>
        <v>2016</v>
      </c>
      <c r="U225" s="325">
        <f t="shared" si="158"/>
        <v>2017</v>
      </c>
      <c r="V225" s="325">
        <f t="shared" si="158"/>
        <v>2018</v>
      </c>
      <c r="W225" s="325">
        <f t="shared" si="158"/>
        <v>2019</v>
      </c>
      <c r="X225" s="325">
        <f t="shared" si="158"/>
        <v>2020</v>
      </c>
      <c r="Y225" s="325">
        <f t="shared" si="158"/>
        <v>2021</v>
      </c>
      <c r="Z225" s="325">
        <f t="shared" si="158"/>
        <v>2022</v>
      </c>
      <c r="AA225" s="325">
        <f t="shared" si="158"/>
        <v>2023</v>
      </c>
      <c r="AB225" s="325">
        <f t="shared" si="158"/>
        <v>2024</v>
      </c>
      <c r="AC225" s="325">
        <f t="shared" si="158"/>
        <v>2025</v>
      </c>
      <c r="AD225" s="325">
        <f t="shared" si="158"/>
        <v>2026</v>
      </c>
      <c r="AE225" s="325">
        <f t="shared" si="158"/>
        <v>2027</v>
      </c>
      <c r="AF225" s="325">
        <f t="shared" si="158"/>
        <v>2028</v>
      </c>
      <c r="AG225" s="325">
        <f t="shared" si="158"/>
        <v>2029</v>
      </c>
      <c r="AH225" s="325">
        <f t="shared" si="158"/>
        <v>2030</v>
      </c>
      <c r="AI225" s="325">
        <f t="shared" si="158"/>
        <v>2031</v>
      </c>
      <c r="AJ225" s="325">
        <f t="shared" si="158"/>
        <v>2032</v>
      </c>
      <c r="AK225" s="325">
        <f t="shared" si="158"/>
        <v>2033</v>
      </c>
      <c r="AL225" s="325">
        <f t="shared" si="158"/>
        <v>2034</v>
      </c>
      <c r="AM225" s="325">
        <f t="shared" si="158"/>
        <v>2035</v>
      </c>
      <c r="AN225" s="325">
        <f t="shared" si="158"/>
        <v>2036</v>
      </c>
      <c r="AO225" s="325">
        <f t="shared" si="158"/>
        <v>2037</v>
      </c>
      <c r="AP225" s="325">
        <f t="shared" si="158"/>
        <v>2038</v>
      </c>
      <c r="AQ225" s="325">
        <f t="shared" si="158"/>
        <v>2039</v>
      </c>
      <c r="AR225" s="325">
        <f t="shared" si="158"/>
        <v>2040</v>
      </c>
      <c r="AS225" s="325">
        <f t="shared" si="158"/>
        <v>2041</v>
      </c>
      <c r="AT225" s="325">
        <f t="shared" si="158"/>
        <v>2042</v>
      </c>
      <c r="AU225" s="325">
        <f t="shared" si="158"/>
        <v>2043</v>
      </c>
    </row>
    <row r="226" spans="1:47">
      <c r="E226" s="325"/>
      <c r="G226" s="39"/>
      <c r="H226" s="39"/>
      <c r="I226" s="39"/>
      <c r="J226" s="39"/>
      <c r="K226" s="39"/>
    </row>
    <row r="227" spans="1:47">
      <c r="E227" s="325"/>
      <c r="G227" s="39" t="s">
        <v>23</v>
      </c>
      <c r="H227" s="39"/>
      <c r="I227" s="39"/>
      <c r="J227" s="39"/>
      <c r="K227" s="39"/>
    </row>
    <row r="228" spans="1:47">
      <c r="A228" s="38" t="str">
        <f t="shared" ref="A228:A235" si="159">$J$4&amp;"-"</f>
        <v>3Y-</v>
      </c>
      <c r="B228" s="38" t="s">
        <v>262</v>
      </c>
      <c r="C228" s="38" t="str">
        <f>C222</f>
        <v>Dewatering</v>
      </c>
      <c r="D228" s="186">
        <f>LaborEsc</f>
        <v>0.02</v>
      </c>
      <c r="E228" s="325"/>
      <c r="G228" s="36" t="s">
        <v>125</v>
      </c>
      <c r="I228" s="39"/>
      <c r="K228" s="39"/>
      <c r="L228" s="43" t="s">
        <v>266</v>
      </c>
      <c r="N228" s="70">
        <f ca="1">SUMIFS(OFFSET(Assumptions!$I$90,0,MATCH($A228,Configurations,0)-1,COUNT(Assumptions!$A$90:$A$183),1),Assumptions!$D$90:$D$183,$B228&amp;$C228)</f>
        <v>0</v>
      </c>
      <c r="O228" s="313"/>
      <c r="P228" s="323"/>
      <c r="Q228" s="313"/>
      <c r="R228" s="50">
        <f t="shared" ref="R228:AU228" ca="1" si="160">IF(OR(R$99&lt;InServiceYr,R$99&gt;(InServiceYr+analysis_period-1)),0,IF($P228=0,$N228,$P228)*LaborCost*(1+$D228)^(R$99-CostBaseYr))</f>
        <v>0</v>
      </c>
      <c r="S228" s="50">
        <f t="shared" ca="1" si="160"/>
        <v>0</v>
      </c>
      <c r="T228" s="50">
        <f t="shared" ca="1" si="160"/>
        <v>0</v>
      </c>
      <c r="U228" s="50">
        <f t="shared" ca="1" si="160"/>
        <v>0</v>
      </c>
      <c r="V228" s="50">
        <f t="shared" ca="1" si="160"/>
        <v>0</v>
      </c>
      <c r="W228" s="50">
        <f t="shared" ca="1" si="160"/>
        <v>0</v>
      </c>
      <c r="X228" s="50">
        <f t="shared" ca="1" si="160"/>
        <v>0</v>
      </c>
      <c r="Y228" s="50">
        <f t="shared" ca="1" si="160"/>
        <v>0</v>
      </c>
      <c r="Z228" s="50">
        <f t="shared" ca="1" si="160"/>
        <v>0</v>
      </c>
      <c r="AA228" s="50">
        <f t="shared" ca="1" si="160"/>
        <v>0</v>
      </c>
      <c r="AB228" s="50">
        <f t="shared" ca="1" si="160"/>
        <v>0</v>
      </c>
      <c r="AC228" s="50">
        <f t="shared" ca="1" si="160"/>
        <v>0</v>
      </c>
      <c r="AD228" s="50">
        <f t="shared" ca="1" si="160"/>
        <v>0</v>
      </c>
      <c r="AE228" s="50">
        <f t="shared" ca="1" si="160"/>
        <v>0</v>
      </c>
      <c r="AF228" s="50">
        <f t="shared" ca="1" si="160"/>
        <v>0</v>
      </c>
      <c r="AG228" s="50">
        <f t="shared" ca="1" si="160"/>
        <v>0</v>
      </c>
      <c r="AH228" s="50">
        <f t="shared" ca="1" si="160"/>
        <v>0</v>
      </c>
      <c r="AI228" s="50">
        <f t="shared" ca="1" si="160"/>
        <v>0</v>
      </c>
      <c r="AJ228" s="50">
        <f t="shared" ca="1" si="160"/>
        <v>0</v>
      </c>
      <c r="AK228" s="50">
        <f t="shared" ca="1" si="160"/>
        <v>0</v>
      </c>
      <c r="AL228" s="50">
        <f t="shared" si="160"/>
        <v>0</v>
      </c>
      <c r="AM228" s="50">
        <f t="shared" si="160"/>
        <v>0</v>
      </c>
      <c r="AN228" s="50">
        <f t="shared" si="160"/>
        <v>0</v>
      </c>
      <c r="AO228" s="50">
        <f t="shared" si="160"/>
        <v>0</v>
      </c>
      <c r="AP228" s="50">
        <f t="shared" si="160"/>
        <v>0</v>
      </c>
      <c r="AQ228" s="50">
        <f t="shared" si="160"/>
        <v>0</v>
      </c>
      <c r="AR228" s="50">
        <f t="shared" si="160"/>
        <v>0</v>
      </c>
      <c r="AS228" s="50">
        <f t="shared" si="160"/>
        <v>0</v>
      </c>
      <c r="AT228" s="50">
        <f t="shared" si="160"/>
        <v>0</v>
      </c>
      <c r="AU228" s="50">
        <f t="shared" si="160"/>
        <v>0</v>
      </c>
    </row>
    <row r="229" spans="1:47">
      <c r="A229" s="38" t="str">
        <f t="shared" si="159"/>
        <v>3Y-</v>
      </c>
      <c r="B229" s="38" t="s">
        <v>270</v>
      </c>
      <c r="C229" s="38" t="str">
        <f>C228</f>
        <v>Dewatering</v>
      </c>
      <c r="D229" s="186">
        <f>OMEsc</f>
        <v>0.02</v>
      </c>
      <c r="E229" s="325"/>
      <c r="G229" s="36" t="s">
        <v>126</v>
      </c>
      <c r="I229" s="39"/>
      <c r="K229" s="39"/>
      <c r="L229" s="43" t="str">
        <f>"["&amp;CostBaseYr&amp;" $]"</f>
        <v>[2013 $]</v>
      </c>
      <c r="N229" s="70">
        <f ca="1">SUMIFS(OFFSET(Assumptions!$I$90,0,MATCH($A229,Configurations,0)-1,COUNT(Assumptions!$A$90:$A$183),1),Assumptions!$D$90:$D$183,$B229&amp;$C229)</f>
        <v>0</v>
      </c>
      <c r="O229" s="313"/>
      <c r="P229" s="323"/>
      <c r="Q229" s="313"/>
      <c r="R229" s="50">
        <f t="shared" ref="R229:AG231" ca="1" si="161">IF(OR(R$99&lt;InServiceYr,R$99&gt;(InServiceYr+analysis_period-1)),0,IF($P229=0,$N229,$P229)*(1+$D229)^(R$99-CostBaseYr))</f>
        <v>0</v>
      </c>
      <c r="S229" s="50">
        <f t="shared" ca="1" si="161"/>
        <v>0</v>
      </c>
      <c r="T229" s="50">
        <f t="shared" ca="1" si="161"/>
        <v>0</v>
      </c>
      <c r="U229" s="50">
        <f t="shared" ca="1" si="161"/>
        <v>0</v>
      </c>
      <c r="V229" s="50">
        <f t="shared" ca="1" si="161"/>
        <v>0</v>
      </c>
      <c r="W229" s="50">
        <f t="shared" ca="1" si="161"/>
        <v>0</v>
      </c>
      <c r="X229" s="50">
        <f t="shared" ca="1" si="161"/>
        <v>0</v>
      </c>
      <c r="Y229" s="50">
        <f t="shared" ca="1" si="161"/>
        <v>0</v>
      </c>
      <c r="Z229" s="50">
        <f t="shared" ca="1" si="161"/>
        <v>0</v>
      </c>
      <c r="AA229" s="50">
        <f t="shared" ca="1" si="161"/>
        <v>0</v>
      </c>
      <c r="AB229" s="50">
        <f t="shared" ca="1" si="161"/>
        <v>0</v>
      </c>
      <c r="AC229" s="50">
        <f t="shared" ca="1" si="161"/>
        <v>0</v>
      </c>
      <c r="AD229" s="50">
        <f t="shared" ca="1" si="161"/>
        <v>0</v>
      </c>
      <c r="AE229" s="50">
        <f t="shared" ca="1" si="161"/>
        <v>0</v>
      </c>
      <c r="AF229" s="50">
        <f t="shared" ca="1" si="161"/>
        <v>0</v>
      </c>
      <c r="AG229" s="50">
        <f t="shared" ca="1" si="161"/>
        <v>0</v>
      </c>
      <c r="AH229" s="50">
        <f t="shared" ref="S229:AU231" ca="1" si="162">IF(OR(AH$99&lt;InServiceYr,AH$99&gt;(InServiceYr+analysis_period-1)),0,IF($P229=0,$N229,$P229)*(1+$D229)^(AH$99-CostBaseYr))</f>
        <v>0</v>
      </c>
      <c r="AI229" s="50">
        <f t="shared" ca="1" si="162"/>
        <v>0</v>
      </c>
      <c r="AJ229" s="50">
        <f t="shared" ca="1" si="162"/>
        <v>0</v>
      </c>
      <c r="AK229" s="50">
        <f t="shared" ca="1" si="162"/>
        <v>0</v>
      </c>
      <c r="AL229" s="50">
        <f t="shared" si="162"/>
        <v>0</v>
      </c>
      <c r="AM229" s="50">
        <f t="shared" si="162"/>
        <v>0</v>
      </c>
      <c r="AN229" s="50">
        <f t="shared" si="162"/>
        <v>0</v>
      </c>
      <c r="AO229" s="50">
        <f t="shared" si="162"/>
        <v>0</v>
      </c>
      <c r="AP229" s="50">
        <f t="shared" si="162"/>
        <v>0</v>
      </c>
      <c r="AQ229" s="50">
        <f t="shared" si="162"/>
        <v>0</v>
      </c>
      <c r="AR229" s="50">
        <f t="shared" si="162"/>
        <v>0</v>
      </c>
      <c r="AS229" s="50">
        <f t="shared" si="162"/>
        <v>0</v>
      </c>
      <c r="AT229" s="50">
        <f t="shared" si="162"/>
        <v>0</v>
      </c>
      <c r="AU229" s="50">
        <f t="shared" si="162"/>
        <v>0</v>
      </c>
    </row>
    <row r="230" spans="1:47">
      <c r="A230" s="38" t="str">
        <f t="shared" si="159"/>
        <v>3Y-</v>
      </c>
      <c r="B230" s="38" t="s">
        <v>263</v>
      </c>
      <c r="C230" s="38" t="str">
        <f t="shared" ref="C230:C234" si="163">C229</f>
        <v>Dewatering</v>
      </c>
      <c r="D230" s="186">
        <f>OMEsc</f>
        <v>0.02</v>
      </c>
      <c r="E230" s="325"/>
      <c r="G230" s="36" t="s">
        <v>127</v>
      </c>
      <c r="I230" s="39"/>
      <c r="K230" s="39"/>
      <c r="L230" s="43" t="str">
        <f>"["&amp;CostBaseYr&amp;" $]"</f>
        <v>[2013 $]</v>
      </c>
      <c r="N230" s="70">
        <f ca="1">SUMIFS(OFFSET(Assumptions!$I$90,0,MATCH($A230,Configurations,0)-1,COUNT(Assumptions!$A$90:$A$183),1),Assumptions!$D$90:$D$183,$B230&amp;$C230)</f>
        <v>0</v>
      </c>
      <c r="O230" s="313"/>
      <c r="P230" s="323"/>
      <c r="Q230" s="313"/>
      <c r="R230" s="50">
        <f t="shared" ca="1" si="161"/>
        <v>0</v>
      </c>
      <c r="S230" s="50">
        <f t="shared" ca="1" si="162"/>
        <v>0</v>
      </c>
      <c r="T230" s="50">
        <f t="shared" ca="1" si="162"/>
        <v>0</v>
      </c>
      <c r="U230" s="50">
        <f t="shared" ca="1" si="162"/>
        <v>0</v>
      </c>
      <c r="V230" s="50">
        <f t="shared" ca="1" si="162"/>
        <v>0</v>
      </c>
      <c r="W230" s="50">
        <f t="shared" ca="1" si="162"/>
        <v>0</v>
      </c>
      <c r="X230" s="50">
        <f t="shared" ca="1" si="162"/>
        <v>0</v>
      </c>
      <c r="Y230" s="50">
        <f t="shared" ca="1" si="162"/>
        <v>0</v>
      </c>
      <c r="Z230" s="50">
        <f t="shared" ca="1" si="162"/>
        <v>0</v>
      </c>
      <c r="AA230" s="50">
        <f t="shared" ca="1" si="162"/>
        <v>0</v>
      </c>
      <c r="AB230" s="50">
        <f t="shared" ca="1" si="162"/>
        <v>0</v>
      </c>
      <c r="AC230" s="50">
        <f t="shared" ca="1" si="162"/>
        <v>0</v>
      </c>
      <c r="AD230" s="50">
        <f t="shared" ca="1" si="162"/>
        <v>0</v>
      </c>
      <c r="AE230" s="50">
        <f t="shared" ca="1" si="162"/>
        <v>0</v>
      </c>
      <c r="AF230" s="50">
        <f t="shared" ca="1" si="162"/>
        <v>0</v>
      </c>
      <c r="AG230" s="50">
        <f t="shared" ca="1" si="162"/>
        <v>0</v>
      </c>
      <c r="AH230" s="50">
        <f t="shared" ca="1" si="162"/>
        <v>0</v>
      </c>
      <c r="AI230" s="50">
        <f t="shared" ca="1" si="162"/>
        <v>0</v>
      </c>
      <c r="AJ230" s="50">
        <f t="shared" ca="1" si="162"/>
        <v>0</v>
      </c>
      <c r="AK230" s="50">
        <f t="shared" ca="1" si="162"/>
        <v>0</v>
      </c>
      <c r="AL230" s="50">
        <f t="shared" si="162"/>
        <v>0</v>
      </c>
      <c r="AM230" s="50">
        <f t="shared" si="162"/>
        <v>0</v>
      </c>
      <c r="AN230" s="50">
        <f t="shared" si="162"/>
        <v>0</v>
      </c>
      <c r="AO230" s="50">
        <f t="shared" si="162"/>
        <v>0</v>
      </c>
      <c r="AP230" s="50">
        <f t="shared" si="162"/>
        <v>0</v>
      </c>
      <c r="AQ230" s="50">
        <f t="shared" si="162"/>
        <v>0</v>
      </c>
      <c r="AR230" s="50">
        <f t="shared" si="162"/>
        <v>0</v>
      </c>
      <c r="AS230" s="50">
        <f t="shared" si="162"/>
        <v>0</v>
      </c>
      <c r="AT230" s="50">
        <f t="shared" si="162"/>
        <v>0</v>
      </c>
      <c r="AU230" s="50">
        <f t="shared" si="162"/>
        <v>0</v>
      </c>
    </row>
    <row r="231" spans="1:47">
      <c r="A231" s="38" t="str">
        <f t="shared" si="159"/>
        <v>3Y-</v>
      </c>
      <c r="B231" s="38" t="s">
        <v>277</v>
      </c>
      <c r="C231" s="38" t="str">
        <f t="shared" si="163"/>
        <v>Dewatering</v>
      </c>
      <c r="D231" s="186">
        <f>OMEsc</f>
        <v>0.02</v>
      </c>
      <c r="E231" s="325"/>
      <c r="G231" s="36" t="s">
        <v>276</v>
      </c>
      <c r="I231" s="39"/>
      <c r="K231" s="39"/>
      <c r="L231" s="43" t="str">
        <f>"["&amp;CostBaseYr&amp;" $]"</f>
        <v>[2013 $]</v>
      </c>
      <c r="N231" s="70">
        <f ca="1">SUMIFS(OFFSET(Assumptions!$I$90,0,MATCH($A231,Configurations,0)-1,COUNT(Assumptions!$A$90:$A$183),1),Assumptions!$D$90:$D$183,$B231&amp;$C231)</f>
        <v>0</v>
      </c>
      <c r="O231" s="313"/>
      <c r="P231" s="323"/>
      <c r="Q231" s="313"/>
      <c r="R231" s="50">
        <f t="shared" ca="1" si="161"/>
        <v>0</v>
      </c>
      <c r="S231" s="50">
        <f t="shared" ca="1" si="162"/>
        <v>0</v>
      </c>
      <c r="T231" s="50">
        <f t="shared" ca="1" si="162"/>
        <v>0</v>
      </c>
      <c r="U231" s="50">
        <f t="shared" ca="1" si="162"/>
        <v>0</v>
      </c>
      <c r="V231" s="50">
        <f t="shared" ca="1" si="162"/>
        <v>0</v>
      </c>
      <c r="W231" s="50">
        <f t="shared" ca="1" si="162"/>
        <v>0</v>
      </c>
      <c r="X231" s="50">
        <f t="shared" ca="1" si="162"/>
        <v>0</v>
      </c>
      <c r="Y231" s="50">
        <f t="shared" ca="1" si="162"/>
        <v>0</v>
      </c>
      <c r="Z231" s="50">
        <f t="shared" ca="1" si="162"/>
        <v>0</v>
      </c>
      <c r="AA231" s="50">
        <f t="shared" ca="1" si="162"/>
        <v>0</v>
      </c>
      <c r="AB231" s="50">
        <f t="shared" ca="1" si="162"/>
        <v>0</v>
      </c>
      <c r="AC231" s="50">
        <f t="shared" ca="1" si="162"/>
        <v>0</v>
      </c>
      <c r="AD231" s="50">
        <f t="shared" ca="1" si="162"/>
        <v>0</v>
      </c>
      <c r="AE231" s="50">
        <f t="shared" ca="1" si="162"/>
        <v>0</v>
      </c>
      <c r="AF231" s="50">
        <f t="shared" ca="1" si="162"/>
        <v>0</v>
      </c>
      <c r="AG231" s="50">
        <f t="shared" ca="1" si="162"/>
        <v>0</v>
      </c>
      <c r="AH231" s="50">
        <f t="shared" ca="1" si="162"/>
        <v>0</v>
      </c>
      <c r="AI231" s="50">
        <f t="shared" ca="1" si="162"/>
        <v>0</v>
      </c>
      <c r="AJ231" s="50">
        <f t="shared" ca="1" si="162"/>
        <v>0</v>
      </c>
      <c r="AK231" s="50">
        <f t="shared" ca="1" si="162"/>
        <v>0</v>
      </c>
      <c r="AL231" s="50">
        <f t="shared" si="162"/>
        <v>0</v>
      </c>
      <c r="AM231" s="50">
        <f t="shared" si="162"/>
        <v>0</v>
      </c>
      <c r="AN231" s="50">
        <f t="shared" si="162"/>
        <v>0</v>
      </c>
      <c r="AO231" s="50">
        <f t="shared" si="162"/>
        <v>0</v>
      </c>
      <c r="AP231" s="50">
        <f t="shared" si="162"/>
        <v>0</v>
      </c>
      <c r="AQ231" s="50">
        <f t="shared" si="162"/>
        <v>0</v>
      </c>
      <c r="AR231" s="50">
        <f t="shared" si="162"/>
        <v>0</v>
      </c>
      <c r="AS231" s="50">
        <f t="shared" si="162"/>
        <v>0</v>
      </c>
      <c r="AT231" s="50">
        <f t="shared" si="162"/>
        <v>0</v>
      </c>
      <c r="AU231" s="50">
        <f t="shared" si="162"/>
        <v>0</v>
      </c>
    </row>
    <row r="232" spans="1:47">
      <c r="A232" s="38" t="str">
        <f t="shared" si="159"/>
        <v>3Y-</v>
      </c>
      <c r="B232" s="38" t="s">
        <v>274</v>
      </c>
      <c r="C232" s="38" t="str">
        <f t="shared" si="163"/>
        <v>Dewatering</v>
      </c>
      <c r="D232" s="186"/>
      <c r="E232" s="325"/>
      <c r="G232" s="36" t="s">
        <v>16</v>
      </c>
      <c r="I232" s="39"/>
      <c r="K232" s="39"/>
      <c r="L232" s="43" t="s">
        <v>275</v>
      </c>
      <c r="N232" s="70">
        <f ca="1">SUMIFS(OFFSET(Assumptions!$I$90,0,MATCH($A232,Configurations,0)-1,COUNT(Assumptions!$A$90:$A$183),1),Assumptions!$D$90:$D$183,$B232&amp;$C232)</f>
        <v>2281250</v>
      </c>
      <c r="O232" s="313"/>
      <c r="P232" s="323"/>
      <c r="Q232" s="313"/>
      <c r="R232" s="50">
        <f t="shared" ref="R232:AU232" ca="1" si="164">IF(OR(R$99&lt;InServiceYr,R$99&gt;(InServiceYr+analysis_period-1)),0,IF($P232=0,$N232,$P232)*R$505)</f>
        <v>9921.5265018420814</v>
      </c>
      <c r="S232" s="50">
        <f t="shared" ca="1" si="164"/>
        <v>10182.921666493032</v>
      </c>
      <c r="T232" s="50">
        <f t="shared" ca="1" si="164"/>
        <v>11379.377196056334</v>
      </c>
      <c r="U232" s="50">
        <f t="shared" ca="1" si="164"/>
        <v>12031.40242169964</v>
      </c>
      <c r="V232" s="50">
        <f t="shared" ca="1" si="164"/>
        <v>12836.491145927053</v>
      </c>
      <c r="W232" s="50">
        <f t="shared" ca="1" si="164"/>
        <v>13354.554212403043</v>
      </c>
      <c r="X232" s="50">
        <f t="shared" ca="1" si="164"/>
        <v>13775.16393471734</v>
      </c>
      <c r="Y232" s="50">
        <f t="shared" ca="1" si="164"/>
        <v>14296.14589153968</v>
      </c>
      <c r="Z232" s="50">
        <f t="shared" ca="1" si="164"/>
        <v>15038.468750887891</v>
      </c>
      <c r="AA232" s="50">
        <f t="shared" ca="1" si="164"/>
        <v>15791.499249434113</v>
      </c>
      <c r="AB232" s="50">
        <f t="shared" ca="1" si="164"/>
        <v>16341.09756646178</v>
      </c>
      <c r="AC232" s="50">
        <f t="shared" ca="1" si="164"/>
        <v>16747.776123007567</v>
      </c>
      <c r="AD232" s="50">
        <f t="shared" ca="1" si="164"/>
        <v>17342.382821748888</v>
      </c>
      <c r="AE232" s="50">
        <f t="shared" ca="1" si="164"/>
        <v>17767.432454989721</v>
      </c>
      <c r="AF232" s="50">
        <f t="shared" ca="1" si="164"/>
        <v>18384.984094869633</v>
      </c>
      <c r="AG232" s="50">
        <f t="shared" ca="1" si="164"/>
        <v>18987.297441919934</v>
      </c>
      <c r="AH232" s="50">
        <f t="shared" ca="1" si="164"/>
        <v>19562.550017994639</v>
      </c>
      <c r="AI232" s="50">
        <f t="shared" ca="1" si="164"/>
        <v>20277.784019339502</v>
      </c>
      <c r="AJ232" s="50">
        <f t="shared" ca="1" si="164"/>
        <v>20943.969428054588</v>
      </c>
      <c r="AK232" s="50">
        <f t="shared" ca="1" si="164"/>
        <v>21783.194693712292</v>
      </c>
      <c r="AL232" s="50">
        <f t="shared" si="164"/>
        <v>0</v>
      </c>
      <c r="AM232" s="50">
        <f t="shared" si="164"/>
        <v>0</v>
      </c>
      <c r="AN232" s="50">
        <f t="shared" si="164"/>
        <v>0</v>
      </c>
      <c r="AO232" s="50">
        <f t="shared" si="164"/>
        <v>0</v>
      </c>
      <c r="AP232" s="50">
        <f t="shared" si="164"/>
        <v>0</v>
      </c>
      <c r="AQ232" s="50">
        <f t="shared" si="164"/>
        <v>0</v>
      </c>
      <c r="AR232" s="50">
        <f t="shared" si="164"/>
        <v>0</v>
      </c>
      <c r="AS232" s="50">
        <f t="shared" si="164"/>
        <v>0</v>
      </c>
      <c r="AT232" s="50">
        <f t="shared" si="164"/>
        <v>0</v>
      </c>
      <c r="AU232" s="50">
        <f t="shared" si="164"/>
        <v>0</v>
      </c>
    </row>
    <row r="233" spans="1:47">
      <c r="A233" s="38" t="str">
        <f t="shared" si="159"/>
        <v>3Y-</v>
      </c>
      <c r="B233" s="38" t="s">
        <v>257</v>
      </c>
      <c r="C233" s="38" t="str">
        <f t="shared" si="163"/>
        <v>Dewatering</v>
      </c>
      <c r="D233" s="186"/>
      <c r="E233" s="325"/>
      <c r="G233" s="36" t="s">
        <v>284</v>
      </c>
      <c r="I233" s="39"/>
      <c r="K233" s="39"/>
      <c r="L233" s="43" t="s">
        <v>293</v>
      </c>
      <c r="N233" s="70">
        <f ca="1">SUMIFS(OFFSET(Assumptions!$I$90,0,MATCH($A233,Configurations,0)-1,COUNT(Assumptions!$A$90:$A$183),1),Assumptions!$D$90:$D$183,$B233&amp;$C233)</f>
        <v>0</v>
      </c>
      <c r="O233" s="313"/>
      <c r="P233" s="323"/>
      <c r="Q233" s="313"/>
      <c r="R233" s="50">
        <f t="shared" ref="R233:AU233" ca="1" si="165">IF(OR(R$99&lt;InServiceYr,R$99&gt;(InServiceYr+analysis_period-1)),0,IF($P233=0,$N233,$P233)*R$501)</f>
        <v>0</v>
      </c>
      <c r="S233" s="50">
        <f t="shared" ca="1" si="165"/>
        <v>0</v>
      </c>
      <c r="T233" s="50">
        <f t="shared" ca="1" si="165"/>
        <v>0</v>
      </c>
      <c r="U233" s="50">
        <f t="shared" ca="1" si="165"/>
        <v>0</v>
      </c>
      <c r="V233" s="50">
        <f t="shared" ca="1" si="165"/>
        <v>0</v>
      </c>
      <c r="W233" s="50">
        <f t="shared" ca="1" si="165"/>
        <v>0</v>
      </c>
      <c r="X233" s="50">
        <f t="shared" ca="1" si="165"/>
        <v>0</v>
      </c>
      <c r="Y233" s="50">
        <f t="shared" ca="1" si="165"/>
        <v>0</v>
      </c>
      <c r="Z233" s="50">
        <f t="shared" ca="1" si="165"/>
        <v>0</v>
      </c>
      <c r="AA233" s="50">
        <f t="shared" ca="1" si="165"/>
        <v>0</v>
      </c>
      <c r="AB233" s="50">
        <f t="shared" ca="1" si="165"/>
        <v>0</v>
      </c>
      <c r="AC233" s="50">
        <f t="shared" ca="1" si="165"/>
        <v>0</v>
      </c>
      <c r="AD233" s="50">
        <f t="shared" ca="1" si="165"/>
        <v>0</v>
      </c>
      <c r="AE233" s="50">
        <f t="shared" ca="1" si="165"/>
        <v>0</v>
      </c>
      <c r="AF233" s="50">
        <f t="shared" ca="1" si="165"/>
        <v>0</v>
      </c>
      <c r="AG233" s="50">
        <f t="shared" ca="1" si="165"/>
        <v>0</v>
      </c>
      <c r="AH233" s="50">
        <f t="shared" ca="1" si="165"/>
        <v>0</v>
      </c>
      <c r="AI233" s="50">
        <f t="shared" ca="1" si="165"/>
        <v>0</v>
      </c>
      <c r="AJ233" s="50">
        <f t="shared" ca="1" si="165"/>
        <v>0</v>
      </c>
      <c r="AK233" s="50">
        <f t="shared" ca="1" si="165"/>
        <v>0</v>
      </c>
      <c r="AL233" s="50">
        <f t="shared" si="165"/>
        <v>0</v>
      </c>
      <c r="AM233" s="50">
        <f t="shared" si="165"/>
        <v>0</v>
      </c>
      <c r="AN233" s="50">
        <f t="shared" si="165"/>
        <v>0</v>
      </c>
      <c r="AO233" s="50">
        <f t="shared" si="165"/>
        <v>0</v>
      </c>
      <c r="AP233" s="50">
        <f t="shared" si="165"/>
        <v>0</v>
      </c>
      <c r="AQ233" s="50">
        <f t="shared" si="165"/>
        <v>0</v>
      </c>
      <c r="AR233" s="50">
        <f t="shared" si="165"/>
        <v>0</v>
      </c>
      <c r="AS233" s="50">
        <f t="shared" si="165"/>
        <v>0</v>
      </c>
      <c r="AT233" s="50">
        <f t="shared" si="165"/>
        <v>0</v>
      </c>
      <c r="AU233" s="50">
        <f t="shared" si="165"/>
        <v>0</v>
      </c>
    </row>
    <row r="234" spans="1:47">
      <c r="A234" s="38" t="str">
        <f t="shared" si="159"/>
        <v>3Y-</v>
      </c>
      <c r="B234" s="38" t="s">
        <v>864</v>
      </c>
      <c r="C234" s="38" t="str">
        <f t="shared" si="163"/>
        <v>Dewatering</v>
      </c>
      <c r="D234" s="186">
        <f>GHGEsc</f>
        <v>0.02</v>
      </c>
      <c r="E234" s="325"/>
      <c r="G234" s="36" t="s">
        <v>865</v>
      </c>
      <c r="I234" s="39"/>
      <c r="K234" s="39"/>
      <c r="L234" s="43" t="s">
        <v>866</v>
      </c>
      <c r="N234" s="70">
        <f ca="1">SUMIFS(OFFSET(Assumptions!$I$90,0,MATCH($A234,Configurations,0)-1,COUNT(Assumptions!$A$90:$A$183),1),Assumptions!$D$90:$D$183,$B234&amp;$C234)</f>
        <v>0</v>
      </c>
      <c r="O234" s="313"/>
      <c r="P234" s="323"/>
      <c r="Q234" s="313"/>
      <c r="R234" s="50">
        <f t="shared" ref="R234:AU234" ca="1" si="166">IF(OR(R$99&lt;InServiceYr,R$99&gt;(InServiceYr+analysis_period-1)),0,IF($P234=0,$N234,$P234)*R$513)</f>
        <v>0</v>
      </c>
      <c r="S234" s="50">
        <f t="shared" ca="1" si="166"/>
        <v>0</v>
      </c>
      <c r="T234" s="50">
        <f t="shared" ca="1" si="166"/>
        <v>0</v>
      </c>
      <c r="U234" s="50">
        <f t="shared" ca="1" si="166"/>
        <v>0</v>
      </c>
      <c r="V234" s="50">
        <f t="shared" ca="1" si="166"/>
        <v>0</v>
      </c>
      <c r="W234" s="50">
        <f t="shared" ca="1" si="166"/>
        <v>0</v>
      </c>
      <c r="X234" s="50">
        <f t="shared" ca="1" si="166"/>
        <v>0</v>
      </c>
      <c r="Y234" s="50">
        <f t="shared" ca="1" si="166"/>
        <v>0</v>
      </c>
      <c r="Z234" s="50">
        <f t="shared" ca="1" si="166"/>
        <v>0</v>
      </c>
      <c r="AA234" s="50">
        <f t="shared" ca="1" si="166"/>
        <v>0</v>
      </c>
      <c r="AB234" s="50">
        <f t="shared" ca="1" si="166"/>
        <v>0</v>
      </c>
      <c r="AC234" s="50">
        <f t="shared" ca="1" si="166"/>
        <v>0</v>
      </c>
      <c r="AD234" s="50">
        <f t="shared" ca="1" si="166"/>
        <v>0</v>
      </c>
      <c r="AE234" s="50">
        <f t="shared" ca="1" si="166"/>
        <v>0</v>
      </c>
      <c r="AF234" s="50">
        <f t="shared" ca="1" si="166"/>
        <v>0</v>
      </c>
      <c r="AG234" s="50">
        <f t="shared" ca="1" si="166"/>
        <v>0</v>
      </c>
      <c r="AH234" s="50">
        <f t="shared" ca="1" si="166"/>
        <v>0</v>
      </c>
      <c r="AI234" s="50">
        <f t="shared" ca="1" si="166"/>
        <v>0</v>
      </c>
      <c r="AJ234" s="50">
        <f t="shared" ca="1" si="166"/>
        <v>0</v>
      </c>
      <c r="AK234" s="50">
        <f t="shared" ca="1" si="166"/>
        <v>0</v>
      </c>
      <c r="AL234" s="50">
        <f t="shared" si="166"/>
        <v>0</v>
      </c>
      <c r="AM234" s="50">
        <f t="shared" si="166"/>
        <v>0</v>
      </c>
      <c r="AN234" s="50">
        <f t="shared" si="166"/>
        <v>0</v>
      </c>
      <c r="AO234" s="50">
        <f t="shared" si="166"/>
        <v>0</v>
      </c>
      <c r="AP234" s="50">
        <f t="shared" si="166"/>
        <v>0</v>
      </c>
      <c r="AQ234" s="50">
        <f t="shared" si="166"/>
        <v>0</v>
      </c>
      <c r="AR234" s="50">
        <f t="shared" si="166"/>
        <v>0</v>
      </c>
      <c r="AS234" s="50">
        <f t="shared" si="166"/>
        <v>0</v>
      </c>
      <c r="AT234" s="50">
        <f t="shared" si="166"/>
        <v>0</v>
      </c>
      <c r="AU234" s="50">
        <f t="shared" si="166"/>
        <v>0</v>
      </c>
    </row>
    <row r="235" spans="1:47">
      <c r="A235" s="38" t="str">
        <f t="shared" si="159"/>
        <v>3Y-</v>
      </c>
      <c r="B235" s="38" t="s">
        <v>273</v>
      </c>
      <c r="C235" s="38" t="str">
        <f>C233</f>
        <v>Dewatering</v>
      </c>
      <c r="D235" s="186">
        <f>LaborEsc</f>
        <v>0.02</v>
      </c>
      <c r="E235" s="325"/>
      <c r="G235" s="36" t="s">
        <v>291</v>
      </c>
      <c r="I235" s="39"/>
      <c r="K235" s="39"/>
      <c r="L235" s="43" t="str">
        <f>"["&amp;CostBaseYr&amp;" $]"</f>
        <v>[2013 $]</v>
      </c>
      <c r="N235" s="70">
        <f ca="1">SUMIFS(OFFSET(Assumptions!$I$90,0,MATCH($A235,Configurations,0)-1,COUNT(Assumptions!$A$90:$A$183),1),Assumptions!$D$90:$D$183,$B235&amp;$C235)</f>
        <v>0</v>
      </c>
      <c r="O235" s="313"/>
      <c r="P235" s="323"/>
      <c r="Q235" s="313"/>
      <c r="R235" s="50">
        <f t="shared" ref="R235:AU235" ca="1" si="167">IF(OR(R$99&lt;InServiceYr,R$99&gt;(InServiceYr+analysis_period-1)),0,IF($P235=0,$N235,$P235)*(1+$D235)^(R$99-CostBaseYr))*R$509</f>
        <v>0</v>
      </c>
      <c r="S235" s="50">
        <f t="shared" ca="1" si="167"/>
        <v>0</v>
      </c>
      <c r="T235" s="50">
        <f t="shared" ca="1" si="167"/>
        <v>0</v>
      </c>
      <c r="U235" s="50">
        <f t="shared" ca="1" si="167"/>
        <v>0</v>
      </c>
      <c r="V235" s="50">
        <f t="shared" ca="1" si="167"/>
        <v>0</v>
      </c>
      <c r="W235" s="50">
        <f t="shared" ca="1" si="167"/>
        <v>0</v>
      </c>
      <c r="X235" s="50">
        <f t="shared" ca="1" si="167"/>
        <v>0</v>
      </c>
      <c r="Y235" s="50">
        <f t="shared" ca="1" si="167"/>
        <v>0</v>
      </c>
      <c r="Z235" s="50">
        <f t="shared" ca="1" si="167"/>
        <v>0</v>
      </c>
      <c r="AA235" s="50">
        <f t="shared" ca="1" si="167"/>
        <v>0</v>
      </c>
      <c r="AB235" s="50">
        <f t="shared" ca="1" si="167"/>
        <v>0</v>
      </c>
      <c r="AC235" s="50">
        <f t="shared" ca="1" si="167"/>
        <v>0</v>
      </c>
      <c r="AD235" s="50">
        <f t="shared" ca="1" si="167"/>
        <v>0</v>
      </c>
      <c r="AE235" s="50">
        <f t="shared" ca="1" si="167"/>
        <v>0</v>
      </c>
      <c r="AF235" s="50">
        <f t="shared" ca="1" si="167"/>
        <v>0</v>
      </c>
      <c r="AG235" s="50">
        <f t="shared" ca="1" si="167"/>
        <v>0</v>
      </c>
      <c r="AH235" s="50">
        <f t="shared" ca="1" si="167"/>
        <v>0</v>
      </c>
      <c r="AI235" s="50">
        <f t="shared" ca="1" si="167"/>
        <v>0</v>
      </c>
      <c r="AJ235" s="50">
        <f t="shared" ca="1" si="167"/>
        <v>0</v>
      </c>
      <c r="AK235" s="50">
        <f t="shared" ca="1" si="167"/>
        <v>0</v>
      </c>
      <c r="AL235" s="50">
        <f t="shared" si="167"/>
        <v>0</v>
      </c>
      <c r="AM235" s="50">
        <f t="shared" si="167"/>
        <v>0</v>
      </c>
      <c r="AN235" s="50">
        <f t="shared" si="167"/>
        <v>0</v>
      </c>
      <c r="AO235" s="50">
        <f t="shared" si="167"/>
        <v>0</v>
      </c>
      <c r="AP235" s="50">
        <f t="shared" si="167"/>
        <v>0</v>
      </c>
      <c r="AQ235" s="50">
        <f t="shared" si="167"/>
        <v>0</v>
      </c>
      <c r="AR235" s="50">
        <f t="shared" si="167"/>
        <v>0</v>
      </c>
      <c r="AS235" s="50">
        <f t="shared" si="167"/>
        <v>0</v>
      </c>
      <c r="AT235" s="50">
        <f t="shared" si="167"/>
        <v>0</v>
      </c>
      <c r="AU235" s="50">
        <f t="shared" si="167"/>
        <v>0</v>
      </c>
    </row>
    <row r="236" spans="1:47">
      <c r="D236" s="186"/>
      <c r="E236" s="325"/>
      <c r="G236" s="39" t="s">
        <v>304</v>
      </c>
      <c r="I236" s="39"/>
      <c r="K236" s="39"/>
      <c r="L236" s="43"/>
      <c r="N236" s="70"/>
      <c r="O236" s="313"/>
      <c r="P236" s="70"/>
      <c r="Q236" s="313"/>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row>
    <row r="237" spans="1:47">
      <c r="A237" s="38" t="str">
        <f>$J$4&amp;"-"</f>
        <v>3Y-</v>
      </c>
      <c r="B237" s="38" t="s">
        <v>265</v>
      </c>
      <c r="C237" s="38" t="str">
        <f>C228</f>
        <v>Dewatering</v>
      </c>
      <c r="D237" s="186"/>
      <c r="E237" s="325"/>
      <c r="G237" s="36" t="s">
        <v>108</v>
      </c>
      <c r="I237" s="39"/>
      <c r="K237" s="39"/>
      <c r="L237" s="43" t="s">
        <v>293</v>
      </c>
      <c r="N237" s="70">
        <f ca="1">SUMIFS(OFFSET(Assumptions!$I$90,0,MATCH($A237,Configurations,0)-1,COUNT(Assumptions!$A$90:$A$183),1),Assumptions!$D$90:$D$183,$B237&amp;$C237)</f>
        <v>0</v>
      </c>
      <c r="O237" s="313"/>
      <c r="P237" s="323"/>
      <c r="Q237" s="313"/>
      <c r="R237" s="50">
        <f t="shared" ref="R237:AU237" ca="1" si="168">IF(OR(R$99&lt;InServiceYr,R$99&gt;(InServiceYr+analysis_period-1)),0,IF($P237=0,$N237,$P237)*R$501)</f>
        <v>0</v>
      </c>
      <c r="S237" s="50">
        <f t="shared" ca="1" si="168"/>
        <v>0</v>
      </c>
      <c r="T237" s="50">
        <f t="shared" ca="1" si="168"/>
        <v>0</v>
      </c>
      <c r="U237" s="50">
        <f t="shared" ca="1" si="168"/>
        <v>0</v>
      </c>
      <c r="V237" s="50">
        <f t="shared" ca="1" si="168"/>
        <v>0</v>
      </c>
      <c r="W237" s="50">
        <f t="shared" ca="1" si="168"/>
        <v>0</v>
      </c>
      <c r="X237" s="50">
        <f t="shared" ca="1" si="168"/>
        <v>0</v>
      </c>
      <c r="Y237" s="50">
        <f t="shared" ca="1" si="168"/>
        <v>0</v>
      </c>
      <c r="Z237" s="50">
        <f t="shared" ca="1" si="168"/>
        <v>0</v>
      </c>
      <c r="AA237" s="50">
        <f t="shared" ca="1" si="168"/>
        <v>0</v>
      </c>
      <c r="AB237" s="50">
        <f t="shared" ca="1" si="168"/>
        <v>0</v>
      </c>
      <c r="AC237" s="50">
        <f t="shared" ca="1" si="168"/>
        <v>0</v>
      </c>
      <c r="AD237" s="50">
        <f t="shared" ca="1" si="168"/>
        <v>0</v>
      </c>
      <c r="AE237" s="50">
        <f t="shared" ca="1" si="168"/>
        <v>0</v>
      </c>
      <c r="AF237" s="50">
        <f t="shared" ca="1" si="168"/>
        <v>0</v>
      </c>
      <c r="AG237" s="50">
        <f t="shared" ca="1" si="168"/>
        <v>0</v>
      </c>
      <c r="AH237" s="50">
        <f t="shared" ca="1" si="168"/>
        <v>0</v>
      </c>
      <c r="AI237" s="50">
        <f t="shared" ca="1" si="168"/>
        <v>0</v>
      </c>
      <c r="AJ237" s="50">
        <f t="shared" ca="1" si="168"/>
        <v>0</v>
      </c>
      <c r="AK237" s="50">
        <f t="shared" ca="1" si="168"/>
        <v>0</v>
      </c>
      <c r="AL237" s="50">
        <f t="shared" si="168"/>
        <v>0</v>
      </c>
      <c r="AM237" s="50">
        <f t="shared" si="168"/>
        <v>0</v>
      </c>
      <c r="AN237" s="50">
        <f t="shared" si="168"/>
        <v>0</v>
      </c>
      <c r="AO237" s="50">
        <f t="shared" si="168"/>
        <v>0</v>
      </c>
      <c r="AP237" s="50">
        <f t="shared" si="168"/>
        <v>0</v>
      </c>
      <c r="AQ237" s="50">
        <f t="shared" si="168"/>
        <v>0</v>
      </c>
      <c r="AR237" s="50">
        <f t="shared" si="168"/>
        <v>0</v>
      </c>
      <c r="AS237" s="50">
        <f t="shared" si="168"/>
        <v>0</v>
      </c>
      <c r="AT237" s="50">
        <f t="shared" si="168"/>
        <v>0</v>
      </c>
      <c r="AU237" s="50">
        <f t="shared" si="168"/>
        <v>0</v>
      </c>
    </row>
    <row r="238" spans="1:47">
      <c r="A238" s="38" t="str">
        <f>$J$4&amp;"-"</f>
        <v>3Y-</v>
      </c>
      <c r="B238" s="38" t="s">
        <v>289</v>
      </c>
      <c r="C238" s="38" t="str">
        <f>C228</f>
        <v>Dewatering</v>
      </c>
      <c r="D238" s="186">
        <f>LaborEsc</f>
        <v>0.02</v>
      </c>
      <c r="E238" s="325"/>
      <c r="G238" s="36" t="s">
        <v>292</v>
      </c>
      <c r="I238" s="39"/>
      <c r="K238" s="39"/>
      <c r="L238" s="43" t="str">
        <f>"["&amp;CostBaseYr&amp;" $]"</f>
        <v>[2013 $]</v>
      </c>
      <c r="N238" s="70">
        <f ca="1">SUMIFS(OFFSET(Assumptions!$I$90,0,MATCH($A238,Configurations,0)-1,COUNT(Assumptions!$A$90:$A$183),1),Assumptions!$D$90:$D$183,$B238&amp;$C238)</f>
        <v>0</v>
      </c>
      <c r="O238" s="313"/>
      <c r="P238" s="323"/>
      <c r="Q238" s="313"/>
      <c r="R238" s="50">
        <f t="shared" ref="R238:AU238" ca="1" si="169">IF(OR(R$99&lt;InServiceYr,R$99&gt;(InServiceYr+analysis_period-1)),0,IF($P238=0,$N238,$P238)*(1+$D238)^(R$99-CostBaseYr))</f>
        <v>0</v>
      </c>
      <c r="S238" s="50">
        <f t="shared" ca="1" si="169"/>
        <v>0</v>
      </c>
      <c r="T238" s="50">
        <f t="shared" ca="1" si="169"/>
        <v>0</v>
      </c>
      <c r="U238" s="50">
        <f t="shared" ca="1" si="169"/>
        <v>0</v>
      </c>
      <c r="V238" s="50">
        <f t="shared" ca="1" si="169"/>
        <v>0</v>
      </c>
      <c r="W238" s="50">
        <f t="shared" ca="1" si="169"/>
        <v>0</v>
      </c>
      <c r="X238" s="50">
        <f t="shared" ca="1" si="169"/>
        <v>0</v>
      </c>
      <c r="Y238" s="50">
        <f t="shared" ca="1" si="169"/>
        <v>0</v>
      </c>
      <c r="Z238" s="50">
        <f t="shared" ca="1" si="169"/>
        <v>0</v>
      </c>
      <c r="AA238" s="50">
        <f t="shared" ca="1" si="169"/>
        <v>0</v>
      </c>
      <c r="AB238" s="50">
        <f t="shared" ca="1" si="169"/>
        <v>0</v>
      </c>
      <c r="AC238" s="50">
        <f t="shared" ca="1" si="169"/>
        <v>0</v>
      </c>
      <c r="AD238" s="50">
        <f t="shared" ca="1" si="169"/>
        <v>0</v>
      </c>
      <c r="AE238" s="50">
        <f t="shared" ca="1" si="169"/>
        <v>0</v>
      </c>
      <c r="AF238" s="50">
        <f t="shared" ca="1" si="169"/>
        <v>0</v>
      </c>
      <c r="AG238" s="50">
        <f t="shared" ca="1" si="169"/>
        <v>0</v>
      </c>
      <c r="AH238" s="50">
        <f t="shared" ca="1" si="169"/>
        <v>0</v>
      </c>
      <c r="AI238" s="50">
        <f t="shared" ca="1" si="169"/>
        <v>0</v>
      </c>
      <c r="AJ238" s="50">
        <f t="shared" ca="1" si="169"/>
        <v>0</v>
      </c>
      <c r="AK238" s="50">
        <f t="shared" ca="1" si="169"/>
        <v>0</v>
      </c>
      <c r="AL238" s="50">
        <f t="shared" si="169"/>
        <v>0</v>
      </c>
      <c r="AM238" s="50">
        <f t="shared" si="169"/>
        <v>0</v>
      </c>
      <c r="AN238" s="50">
        <f t="shared" si="169"/>
        <v>0</v>
      </c>
      <c r="AO238" s="50">
        <f t="shared" si="169"/>
        <v>0</v>
      </c>
      <c r="AP238" s="50">
        <f t="shared" si="169"/>
        <v>0</v>
      </c>
      <c r="AQ238" s="50">
        <f t="shared" si="169"/>
        <v>0</v>
      </c>
      <c r="AR238" s="50">
        <f t="shared" si="169"/>
        <v>0</v>
      </c>
      <c r="AS238" s="50">
        <f t="shared" si="169"/>
        <v>0</v>
      </c>
      <c r="AT238" s="50">
        <f t="shared" si="169"/>
        <v>0</v>
      </c>
      <c r="AU238" s="50">
        <f t="shared" si="169"/>
        <v>0</v>
      </c>
    </row>
    <row r="239" spans="1:47" s="60" customFormat="1">
      <c r="D239" s="187"/>
      <c r="E239" s="325"/>
      <c r="G239" s="39" t="s">
        <v>305</v>
      </c>
      <c r="I239" s="39"/>
      <c r="K239" s="39"/>
      <c r="L239" s="174"/>
      <c r="N239" s="188"/>
      <c r="O239" s="314"/>
      <c r="P239" s="185"/>
      <c r="Q239" s="314"/>
      <c r="R239" s="185">
        <f ca="1">SUM(R228:R235)-SUM(R237:R238)</f>
        <v>9921.5265018420814</v>
      </c>
      <c r="S239" s="185">
        <f t="shared" ref="S239:AU239" ca="1" si="170">SUM(S228:S235)-SUM(S237:S238)</f>
        <v>10182.921666493032</v>
      </c>
      <c r="T239" s="185">
        <f t="shared" ca="1" si="170"/>
        <v>11379.377196056334</v>
      </c>
      <c r="U239" s="185">
        <f t="shared" ca="1" si="170"/>
        <v>12031.40242169964</v>
      </c>
      <c r="V239" s="185">
        <f t="shared" ca="1" si="170"/>
        <v>12836.491145927053</v>
      </c>
      <c r="W239" s="185">
        <f t="shared" ca="1" si="170"/>
        <v>13354.554212403043</v>
      </c>
      <c r="X239" s="185">
        <f t="shared" ca="1" si="170"/>
        <v>13775.16393471734</v>
      </c>
      <c r="Y239" s="185">
        <f t="shared" ca="1" si="170"/>
        <v>14296.14589153968</v>
      </c>
      <c r="Z239" s="185">
        <f t="shared" ca="1" si="170"/>
        <v>15038.468750887891</v>
      </c>
      <c r="AA239" s="185">
        <f t="shared" ca="1" si="170"/>
        <v>15791.499249434113</v>
      </c>
      <c r="AB239" s="185">
        <f t="shared" ca="1" si="170"/>
        <v>16341.09756646178</v>
      </c>
      <c r="AC239" s="185">
        <f t="shared" ca="1" si="170"/>
        <v>16747.776123007567</v>
      </c>
      <c r="AD239" s="185">
        <f t="shared" ca="1" si="170"/>
        <v>17342.382821748888</v>
      </c>
      <c r="AE239" s="185">
        <f t="shared" ca="1" si="170"/>
        <v>17767.432454989721</v>
      </c>
      <c r="AF239" s="185">
        <f t="shared" ca="1" si="170"/>
        <v>18384.984094869633</v>
      </c>
      <c r="AG239" s="185">
        <f t="shared" ca="1" si="170"/>
        <v>18987.297441919934</v>
      </c>
      <c r="AH239" s="185">
        <f t="shared" ca="1" si="170"/>
        <v>19562.550017994639</v>
      </c>
      <c r="AI239" s="185">
        <f t="shared" ca="1" si="170"/>
        <v>20277.784019339502</v>
      </c>
      <c r="AJ239" s="185">
        <f t="shared" ca="1" si="170"/>
        <v>20943.969428054588</v>
      </c>
      <c r="AK239" s="185">
        <f t="shared" ca="1" si="170"/>
        <v>21783.194693712292</v>
      </c>
      <c r="AL239" s="185">
        <f t="shared" si="170"/>
        <v>0</v>
      </c>
      <c r="AM239" s="185">
        <f t="shared" si="170"/>
        <v>0</v>
      </c>
      <c r="AN239" s="185">
        <f t="shared" si="170"/>
        <v>0</v>
      </c>
      <c r="AO239" s="185">
        <f t="shared" si="170"/>
        <v>0</v>
      </c>
      <c r="AP239" s="185">
        <f t="shared" si="170"/>
        <v>0</v>
      </c>
      <c r="AQ239" s="185">
        <f t="shared" si="170"/>
        <v>0</v>
      </c>
      <c r="AR239" s="185">
        <f t="shared" si="170"/>
        <v>0</v>
      </c>
      <c r="AS239" s="185">
        <f t="shared" si="170"/>
        <v>0</v>
      </c>
      <c r="AT239" s="185">
        <f t="shared" si="170"/>
        <v>0</v>
      </c>
      <c r="AU239" s="185">
        <f t="shared" si="170"/>
        <v>0</v>
      </c>
    </row>
    <row r="240" spans="1:47">
      <c r="E240" s="36"/>
      <c r="G240" s="39"/>
      <c r="H240" s="39"/>
      <c r="I240" s="39"/>
      <c r="J240" s="39"/>
      <c r="K240" s="39"/>
    </row>
    <row r="241" spans="1:47">
      <c r="E241" s="327"/>
      <c r="F241" s="28"/>
      <c r="G241" s="324" t="str">
        <f>C243&amp;" Capital Costs"</f>
        <v>Drying/Gasification/Energy Recovery Capital Costs</v>
      </c>
      <c r="H241" s="324"/>
      <c r="I241" s="324"/>
      <c r="J241" s="324"/>
      <c r="K241" s="324"/>
      <c r="L241" s="405" t="s">
        <v>79</v>
      </c>
      <c r="M241" s="256"/>
      <c r="N241" s="325" t="s">
        <v>490</v>
      </c>
      <c r="O241" s="311"/>
      <c r="P241" s="325" t="s">
        <v>491</v>
      </c>
      <c r="Q241" s="310"/>
      <c r="R241" s="325">
        <f>R$8</f>
        <v>2014</v>
      </c>
      <c r="S241" s="325">
        <f t="shared" ref="S241:AU241" si="171">S$8</f>
        <v>2015</v>
      </c>
      <c r="T241" s="325">
        <f t="shared" si="171"/>
        <v>2016</v>
      </c>
      <c r="U241" s="325">
        <f t="shared" si="171"/>
        <v>2017</v>
      </c>
      <c r="V241" s="325">
        <f t="shared" si="171"/>
        <v>2018</v>
      </c>
      <c r="W241" s="325">
        <f t="shared" si="171"/>
        <v>2019</v>
      </c>
      <c r="X241" s="325">
        <f t="shared" si="171"/>
        <v>2020</v>
      </c>
      <c r="Y241" s="325">
        <f t="shared" si="171"/>
        <v>2021</v>
      </c>
      <c r="Z241" s="325">
        <f t="shared" si="171"/>
        <v>2022</v>
      </c>
      <c r="AA241" s="325">
        <f t="shared" si="171"/>
        <v>2023</v>
      </c>
      <c r="AB241" s="325">
        <f t="shared" si="171"/>
        <v>2024</v>
      </c>
      <c r="AC241" s="325">
        <f t="shared" si="171"/>
        <v>2025</v>
      </c>
      <c r="AD241" s="325">
        <f t="shared" si="171"/>
        <v>2026</v>
      </c>
      <c r="AE241" s="325">
        <f t="shared" si="171"/>
        <v>2027</v>
      </c>
      <c r="AF241" s="325">
        <f t="shared" si="171"/>
        <v>2028</v>
      </c>
      <c r="AG241" s="325">
        <f t="shared" si="171"/>
        <v>2029</v>
      </c>
      <c r="AH241" s="325">
        <f t="shared" si="171"/>
        <v>2030</v>
      </c>
      <c r="AI241" s="325">
        <f t="shared" si="171"/>
        <v>2031</v>
      </c>
      <c r="AJ241" s="325">
        <f t="shared" si="171"/>
        <v>2032</v>
      </c>
      <c r="AK241" s="325">
        <f t="shared" si="171"/>
        <v>2033</v>
      </c>
      <c r="AL241" s="325">
        <f t="shared" si="171"/>
        <v>2034</v>
      </c>
      <c r="AM241" s="325">
        <f t="shared" si="171"/>
        <v>2035</v>
      </c>
      <c r="AN241" s="325">
        <f t="shared" si="171"/>
        <v>2036</v>
      </c>
      <c r="AO241" s="325">
        <f t="shared" si="171"/>
        <v>2037</v>
      </c>
      <c r="AP241" s="325">
        <f t="shared" si="171"/>
        <v>2038</v>
      </c>
      <c r="AQ241" s="325">
        <f t="shared" si="171"/>
        <v>2039</v>
      </c>
      <c r="AR241" s="325">
        <f t="shared" si="171"/>
        <v>2040</v>
      </c>
      <c r="AS241" s="325">
        <f t="shared" si="171"/>
        <v>2041</v>
      </c>
      <c r="AT241" s="325">
        <f t="shared" si="171"/>
        <v>2042</v>
      </c>
      <c r="AU241" s="325">
        <f t="shared" si="171"/>
        <v>2043</v>
      </c>
    </row>
    <row r="242" spans="1:47">
      <c r="E242" s="325"/>
      <c r="G242" s="39"/>
      <c r="H242" s="39"/>
      <c r="I242" s="39"/>
      <c r="J242" s="39"/>
      <c r="K242" s="39"/>
    </row>
    <row r="243" spans="1:47">
      <c r="A243" s="38" t="str">
        <f>$J$4&amp;"-"</f>
        <v>3Y-</v>
      </c>
      <c r="B243" s="38" t="s">
        <v>306</v>
      </c>
      <c r="C243" s="38" t="s">
        <v>320</v>
      </c>
      <c r="D243" s="186">
        <f>CapExEsc</f>
        <v>0.03</v>
      </c>
      <c r="E243" s="325"/>
      <c r="G243" s="36" t="s">
        <v>8</v>
      </c>
      <c r="H243" s="39"/>
      <c r="I243" s="39"/>
      <c r="J243" s="70"/>
      <c r="K243" s="39"/>
      <c r="L243" s="43" t="str">
        <f>"["&amp;CostBaseYr&amp;" $]"</f>
        <v>[2013 $]</v>
      </c>
      <c r="N243" s="52">
        <f ca="1">SUMIFS(OFFSET(Assumptions!$I$65,0,MATCH($A243,Configurations,0)-1,COUNT(Assumptions!$A$65:$A$84),1),Assumptions!$E$65:$E$84,$C243)</f>
        <v>0</v>
      </c>
      <c r="O243" s="52"/>
      <c r="P243" s="322"/>
      <c r="Q243" s="52"/>
      <c r="R243" s="52">
        <f t="shared" ref="R243:AU243" ca="1" si="172">R244*IF($P243=0,$N243,$P243)*(1+$D243)^(R$8-CostBaseYr)</f>
        <v>0</v>
      </c>
      <c r="S243" s="52">
        <f t="shared" ca="1" si="172"/>
        <v>0</v>
      </c>
      <c r="T243" s="52">
        <f t="shared" ca="1" si="172"/>
        <v>0</v>
      </c>
      <c r="U243" s="52">
        <f t="shared" ca="1" si="172"/>
        <v>0</v>
      </c>
      <c r="V243" s="52">
        <f t="shared" ca="1" si="172"/>
        <v>0</v>
      </c>
      <c r="W243" s="52">
        <f t="shared" ca="1" si="172"/>
        <v>0</v>
      </c>
      <c r="X243" s="52">
        <f t="shared" ca="1" si="172"/>
        <v>0</v>
      </c>
      <c r="Y243" s="52">
        <f t="shared" ca="1" si="172"/>
        <v>0</v>
      </c>
      <c r="Z243" s="52">
        <f t="shared" ca="1" si="172"/>
        <v>0</v>
      </c>
      <c r="AA243" s="52">
        <f t="shared" ca="1" si="172"/>
        <v>0</v>
      </c>
      <c r="AB243" s="52">
        <f t="shared" ca="1" si="172"/>
        <v>0</v>
      </c>
      <c r="AC243" s="52">
        <f t="shared" ca="1" si="172"/>
        <v>0</v>
      </c>
      <c r="AD243" s="52">
        <f t="shared" ca="1" si="172"/>
        <v>0</v>
      </c>
      <c r="AE243" s="52">
        <f t="shared" ca="1" si="172"/>
        <v>0</v>
      </c>
      <c r="AF243" s="52">
        <f t="shared" ca="1" si="172"/>
        <v>0</v>
      </c>
      <c r="AG243" s="52">
        <f t="shared" ca="1" si="172"/>
        <v>0</v>
      </c>
      <c r="AH243" s="52">
        <f t="shared" ca="1" si="172"/>
        <v>0</v>
      </c>
      <c r="AI243" s="52">
        <f t="shared" ca="1" si="172"/>
        <v>0</v>
      </c>
      <c r="AJ243" s="52">
        <f t="shared" ca="1" si="172"/>
        <v>0</v>
      </c>
      <c r="AK243" s="52">
        <f t="shared" ca="1" si="172"/>
        <v>0</v>
      </c>
      <c r="AL243" s="52">
        <f t="shared" ca="1" si="172"/>
        <v>0</v>
      </c>
      <c r="AM243" s="52">
        <f t="shared" ca="1" si="172"/>
        <v>0</v>
      </c>
      <c r="AN243" s="52">
        <f t="shared" ca="1" si="172"/>
        <v>0</v>
      </c>
      <c r="AO243" s="52">
        <f t="shared" ca="1" si="172"/>
        <v>0</v>
      </c>
      <c r="AP243" s="52">
        <f t="shared" ca="1" si="172"/>
        <v>0</v>
      </c>
      <c r="AQ243" s="52">
        <f t="shared" ca="1" si="172"/>
        <v>0</v>
      </c>
      <c r="AR243" s="52">
        <f t="shared" ca="1" si="172"/>
        <v>0</v>
      </c>
      <c r="AS243" s="52">
        <f t="shared" ca="1" si="172"/>
        <v>0</v>
      </c>
      <c r="AT243" s="52">
        <f t="shared" ca="1" si="172"/>
        <v>0</v>
      </c>
      <c r="AU243" s="52">
        <f t="shared" ca="1" si="172"/>
        <v>0</v>
      </c>
    </row>
    <row r="244" spans="1:47">
      <c r="E244" s="325"/>
      <c r="G244" s="36" t="s">
        <v>10</v>
      </c>
      <c r="H244" s="39"/>
      <c r="I244" s="39"/>
      <c r="J244" s="39"/>
      <c r="K244" s="39"/>
      <c r="L244" s="43"/>
      <c r="R244" s="54">
        <f>Assumptions!M$60</f>
        <v>1</v>
      </c>
      <c r="S244" s="54">
        <f>Assumptions!N$60</f>
        <v>0</v>
      </c>
      <c r="T244" s="54">
        <f>Assumptions!O$60</f>
        <v>0</v>
      </c>
      <c r="U244" s="54">
        <f>Assumptions!P$60</f>
        <v>0</v>
      </c>
      <c r="V244" s="54">
        <f>Assumptions!Q$60</f>
        <v>0</v>
      </c>
      <c r="W244" s="54">
        <f>Assumptions!R$60</f>
        <v>0</v>
      </c>
      <c r="X244" s="54">
        <f>Assumptions!S$60</f>
        <v>0</v>
      </c>
      <c r="Y244" s="54">
        <f>Assumptions!T$60</f>
        <v>0</v>
      </c>
      <c r="Z244" s="54">
        <f>Assumptions!U$60</f>
        <v>0</v>
      </c>
      <c r="AA244" s="54">
        <f>Assumptions!V$60</f>
        <v>0</v>
      </c>
      <c r="AB244" s="54">
        <f>Assumptions!W$60</f>
        <v>0</v>
      </c>
      <c r="AC244" s="54">
        <f>Assumptions!X$60</f>
        <v>0</v>
      </c>
      <c r="AD244" s="54">
        <f>Assumptions!Y$60</f>
        <v>0</v>
      </c>
      <c r="AE244" s="54">
        <f>Assumptions!Z$60</f>
        <v>0</v>
      </c>
      <c r="AF244" s="54">
        <f>Assumptions!AA$60</f>
        <v>0</v>
      </c>
      <c r="AG244" s="54">
        <f>Assumptions!AB$60</f>
        <v>0</v>
      </c>
      <c r="AH244" s="54">
        <f>Assumptions!AC$60</f>
        <v>0</v>
      </c>
      <c r="AI244" s="54">
        <f>Assumptions!AD$60</f>
        <v>0</v>
      </c>
      <c r="AJ244" s="54">
        <f>Assumptions!AE$60</f>
        <v>0</v>
      </c>
      <c r="AK244" s="54">
        <f>Assumptions!AF$60</f>
        <v>0</v>
      </c>
      <c r="AL244" s="54">
        <f>Assumptions!AG$60</f>
        <v>0</v>
      </c>
      <c r="AM244" s="54">
        <f>Assumptions!AH$60</f>
        <v>0</v>
      </c>
      <c r="AN244" s="54">
        <f>Assumptions!AI$60</f>
        <v>0</v>
      </c>
      <c r="AO244" s="54">
        <f>Assumptions!AJ$60</f>
        <v>0</v>
      </c>
      <c r="AP244" s="54">
        <f>Assumptions!AK$60</f>
        <v>0</v>
      </c>
      <c r="AQ244" s="54">
        <f>Assumptions!AL$60</f>
        <v>0</v>
      </c>
      <c r="AR244" s="54">
        <f>Assumptions!AM$60</f>
        <v>0</v>
      </c>
      <c r="AS244" s="54">
        <f>Assumptions!AN$60</f>
        <v>0</v>
      </c>
      <c r="AT244" s="54">
        <f>Assumptions!AO$60</f>
        <v>0</v>
      </c>
      <c r="AU244" s="54">
        <f>Assumptions!AP$60</f>
        <v>0</v>
      </c>
    </row>
    <row r="245" spans="1:47">
      <c r="E245" s="326"/>
      <c r="G245" s="39"/>
      <c r="H245" s="39"/>
      <c r="I245" s="39"/>
      <c r="J245" s="39"/>
      <c r="K245" s="39"/>
    </row>
    <row r="246" spans="1:47">
      <c r="E246" s="327"/>
      <c r="F246" s="28"/>
      <c r="G246" s="324" t="str">
        <f>C243&amp;" O&amp;M"</f>
        <v>Drying/Gasification/Energy Recovery O&amp;M</v>
      </c>
      <c r="H246" s="324"/>
      <c r="I246" s="324"/>
      <c r="J246" s="324"/>
      <c r="K246" s="324"/>
      <c r="L246" s="405" t="s">
        <v>79</v>
      </c>
      <c r="M246" s="256"/>
      <c r="N246" s="325" t="s">
        <v>490</v>
      </c>
      <c r="O246" s="311"/>
      <c r="P246" s="325" t="s">
        <v>491</v>
      </c>
      <c r="Q246" s="310"/>
      <c r="R246" s="325">
        <f>R$8</f>
        <v>2014</v>
      </c>
      <c r="S246" s="325">
        <f t="shared" ref="S246:AU246" si="173">S$8</f>
        <v>2015</v>
      </c>
      <c r="T246" s="325">
        <f t="shared" si="173"/>
        <v>2016</v>
      </c>
      <c r="U246" s="325">
        <f t="shared" si="173"/>
        <v>2017</v>
      </c>
      <c r="V246" s="325">
        <f t="shared" si="173"/>
        <v>2018</v>
      </c>
      <c r="W246" s="325">
        <f t="shared" si="173"/>
        <v>2019</v>
      </c>
      <c r="X246" s="325">
        <f t="shared" si="173"/>
        <v>2020</v>
      </c>
      <c r="Y246" s="325">
        <f t="shared" si="173"/>
        <v>2021</v>
      </c>
      <c r="Z246" s="325">
        <f t="shared" si="173"/>
        <v>2022</v>
      </c>
      <c r="AA246" s="325">
        <f t="shared" si="173"/>
        <v>2023</v>
      </c>
      <c r="AB246" s="325">
        <f t="shared" si="173"/>
        <v>2024</v>
      </c>
      <c r="AC246" s="325">
        <f t="shared" si="173"/>
        <v>2025</v>
      </c>
      <c r="AD246" s="325">
        <f t="shared" si="173"/>
        <v>2026</v>
      </c>
      <c r="AE246" s="325">
        <f t="shared" si="173"/>
        <v>2027</v>
      </c>
      <c r="AF246" s="325">
        <f t="shared" si="173"/>
        <v>2028</v>
      </c>
      <c r="AG246" s="325">
        <f t="shared" si="173"/>
        <v>2029</v>
      </c>
      <c r="AH246" s="325">
        <f t="shared" si="173"/>
        <v>2030</v>
      </c>
      <c r="AI246" s="325">
        <f t="shared" si="173"/>
        <v>2031</v>
      </c>
      <c r="AJ246" s="325">
        <f t="shared" si="173"/>
        <v>2032</v>
      </c>
      <c r="AK246" s="325">
        <f t="shared" si="173"/>
        <v>2033</v>
      </c>
      <c r="AL246" s="325">
        <f t="shared" si="173"/>
        <v>2034</v>
      </c>
      <c r="AM246" s="325">
        <f t="shared" si="173"/>
        <v>2035</v>
      </c>
      <c r="AN246" s="325">
        <f t="shared" si="173"/>
        <v>2036</v>
      </c>
      <c r="AO246" s="325">
        <f t="shared" si="173"/>
        <v>2037</v>
      </c>
      <c r="AP246" s="325">
        <f t="shared" si="173"/>
        <v>2038</v>
      </c>
      <c r="AQ246" s="325">
        <f t="shared" si="173"/>
        <v>2039</v>
      </c>
      <c r="AR246" s="325">
        <f t="shared" si="173"/>
        <v>2040</v>
      </c>
      <c r="AS246" s="325">
        <f t="shared" si="173"/>
        <v>2041</v>
      </c>
      <c r="AT246" s="325">
        <f t="shared" si="173"/>
        <v>2042</v>
      </c>
      <c r="AU246" s="325">
        <f t="shared" si="173"/>
        <v>2043</v>
      </c>
    </row>
    <row r="247" spans="1:47">
      <c r="E247" s="325"/>
      <c r="G247" s="39"/>
      <c r="H247" s="39"/>
      <c r="I247" s="39"/>
      <c r="J247" s="39"/>
      <c r="K247" s="39"/>
    </row>
    <row r="248" spans="1:47">
      <c r="E248" s="325"/>
      <c r="G248" s="39" t="s">
        <v>23</v>
      </c>
      <c r="H248" s="39"/>
      <c r="I248" s="39"/>
      <c r="J248" s="39"/>
      <c r="K248" s="39"/>
    </row>
    <row r="249" spans="1:47">
      <c r="A249" s="38" t="str">
        <f t="shared" ref="A249:A256" si="174">$J$4&amp;"-"</f>
        <v>3Y-</v>
      </c>
      <c r="B249" s="38" t="s">
        <v>262</v>
      </c>
      <c r="C249" s="38" t="str">
        <f>C243</f>
        <v>Drying/Gasification/Energy Recovery</v>
      </c>
      <c r="D249" s="186">
        <f>LaborEsc</f>
        <v>0.02</v>
      </c>
      <c r="E249" s="325"/>
      <c r="G249" s="36" t="s">
        <v>125</v>
      </c>
      <c r="I249" s="39"/>
      <c r="K249" s="39"/>
      <c r="L249" s="43" t="s">
        <v>266</v>
      </c>
      <c r="N249" s="70">
        <f ca="1">SUMIFS(OFFSET(Assumptions!$I$90,0,MATCH($A249,Configurations,0)-1,COUNT(Assumptions!$A$90:$A$183),1),Assumptions!$D$90:$D$183,$B249&amp;$C249)</f>
        <v>0</v>
      </c>
      <c r="O249" s="313"/>
      <c r="P249" s="323"/>
      <c r="Q249" s="313"/>
      <c r="R249" s="50">
        <f t="shared" ref="R249:AU249" ca="1" si="175">IF(OR(R$99&lt;InServiceYr,R$99&gt;(InServiceYr+analysis_period-1)),0,IF($P249=0,$N249,$P249)*LaborCost*(1+$D249)^(R$99-CostBaseYr))</f>
        <v>0</v>
      </c>
      <c r="S249" s="50">
        <f t="shared" ca="1" si="175"/>
        <v>0</v>
      </c>
      <c r="T249" s="50">
        <f t="shared" ca="1" si="175"/>
        <v>0</v>
      </c>
      <c r="U249" s="50">
        <f t="shared" ca="1" si="175"/>
        <v>0</v>
      </c>
      <c r="V249" s="50">
        <f t="shared" ca="1" si="175"/>
        <v>0</v>
      </c>
      <c r="W249" s="50">
        <f t="shared" ca="1" si="175"/>
        <v>0</v>
      </c>
      <c r="X249" s="50">
        <f t="shared" ca="1" si="175"/>
        <v>0</v>
      </c>
      <c r="Y249" s="50">
        <f t="shared" ca="1" si="175"/>
        <v>0</v>
      </c>
      <c r="Z249" s="50">
        <f t="shared" ca="1" si="175"/>
        <v>0</v>
      </c>
      <c r="AA249" s="50">
        <f t="shared" ca="1" si="175"/>
        <v>0</v>
      </c>
      <c r="AB249" s="50">
        <f t="shared" ca="1" si="175"/>
        <v>0</v>
      </c>
      <c r="AC249" s="50">
        <f t="shared" ca="1" si="175"/>
        <v>0</v>
      </c>
      <c r="AD249" s="50">
        <f t="shared" ca="1" si="175"/>
        <v>0</v>
      </c>
      <c r="AE249" s="50">
        <f t="shared" ca="1" si="175"/>
        <v>0</v>
      </c>
      <c r="AF249" s="50">
        <f t="shared" ca="1" si="175"/>
        <v>0</v>
      </c>
      <c r="AG249" s="50">
        <f t="shared" ca="1" si="175"/>
        <v>0</v>
      </c>
      <c r="AH249" s="50">
        <f t="shared" ca="1" si="175"/>
        <v>0</v>
      </c>
      <c r="AI249" s="50">
        <f t="shared" ca="1" si="175"/>
        <v>0</v>
      </c>
      <c r="AJ249" s="50">
        <f t="shared" ca="1" si="175"/>
        <v>0</v>
      </c>
      <c r="AK249" s="50">
        <f t="shared" ca="1" si="175"/>
        <v>0</v>
      </c>
      <c r="AL249" s="50">
        <f t="shared" si="175"/>
        <v>0</v>
      </c>
      <c r="AM249" s="50">
        <f t="shared" si="175"/>
        <v>0</v>
      </c>
      <c r="AN249" s="50">
        <f t="shared" si="175"/>
        <v>0</v>
      </c>
      <c r="AO249" s="50">
        <f t="shared" si="175"/>
        <v>0</v>
      </c>
      <c r="AP249" s="50">
        <f t="shared" si="175"/>
        <v>0</v>
      </c>
      <c r="AQ249" s="50">
        <f t="shared" si="175"/>
        <v>0</v>
      </c>
      <c r="AR249" s="50">
        <f t="shared" si="175"/>
        <v>0</v>
      </c>
      <c r="AS249" s="50">
        <f t="shared" si="175"/>
        <v>0</v>
      </c>
      <c r="AT249" s="50">
        <f t="shared" si="175"/>
        <v>0</v>
      </c>
      <c r="AU249" s="50">
        <f t="shared" si="175"/>
        <v>0</v>
      </c>
    </row>
    <row r="250" spans="1:47">
      <c r="A250" s="38" t="str">
        <f t="shared" si="174"/>
        <v>3Y-</v>
      </c>
      <c r="B250" s="38" t="s">
        <v>270</v>
      </c>
      <c r="C250" s="38" t="str">
        <f>C249</f>
        <v>Drying/Gasification/Energy Recovery</v>
      </c>
      <c r="D250" s="186">
        <f>OMEsc</f>
        <v>0.02</v>
      </c>
      <c r="E250" s="325"/>
      <c r="G250" s="36" t="s">
        <v>126</v>
      </c>
      <c r="I250" s="39"/>
      <c r="K250" s="39"/>
      <c r="L250" s="43" t="str">
        <f>"["&amp;CostBaseYr&amp;" $]"</f>
        <v>[2013 $]</v>
      </c>
      <c r="N250" s="70">
        <f ca="1">SUMIFS(OFFSET(Assumptions!$I$90,0,MATCH($A250,Configurations,0)-1,COUNT(Assumptions!$A$90:$A$183),1),Assumptions!$D$90:$D$183,$B250&amp;$C250)</f>
        <v>0</v>
      </c>
      <c r="O250" s="313"/>
      <c r="P250" s="323"/>
      <c r="Q250" s="313"/>
      <c r="R250" s="50">
        <f t="shared" ref="R250:AG252" ca="1" si="176">IF(OR(R$99&lt;InServiceYr,R$99&gt;(InServiceYr+analysis_period-1)),0,IF($P250=0,$N250,$P250)*(1+$D250)^(R$99-CostBaseYr))</f>
        <v>0</v>
      </c>
      <c r="S250" s="50">
        <f t="shared" ca="1" si="176"/>
        <v>0</v>
      </c>
      <c r="T250" s="50">
        <f t="shared" ca="1" si="176"/>
        <v>0</v>
      </c>
      <c r="U250" s="50">
        <f t="shared" ca="1" si="176"/>
        <v>0</v>
      </c>
      <c r="V250" s="50">
        <f t="shared" ca="1" si="176"/>
        <v>0</v>
      </c>
      <c r="W250" s="50">
        <f t="shared" ca="1" si="176"/>
        <v>0</v>
      </c>
      <c r="X250" s="50">
        <f t="shared" ca="1" si="176"/>
        <v>0</v>
      </c>
      <c r="Y250" s="50">
        <f t="shared" ca="1" si="176"/>
        <v>0</v>
      </c>
      <c r="Z250" s="50">
        <f t="shared" ca="1" si="176"/>
        <v>0</v>
      </c>
      <c r="AA250" s="50">
        <f t="shared" ca="1" si="176"/>
        <v>0</v>
      </c>
      <c r="AB250" s="50">
        <f t="shared" ca="1" si="176"/>
        <v>0</v>
      </c>
      <c r="AC250" s="50">
        <f t="shared" ca="1" si="176"/>
        <v>0</v>
      </c>
      <c r="AD250" s="50">
        <f t="shared" ca="1" si="176"/>
        <v>0</v>
      </c>
      <c r="AE250" s="50">
        <f t="shared" ca="1" si="176"/>
        <v>0</v>
      </c>
      <c r="AF250" s="50">
        <f t="shared" ca="1" si="176"/>
        <v>0</v>
      </c>
      <c r="AG250" s="50">
        <f t="shared" ca="1" si="176"/>
        <v>0</v>
      </c>
      <c r="AH250" s="50">
        <f t="shared" ref="S250:AU252" ca="1" si="177">IF(OR(AH$99&lt;InServiceYr,AH$99&gt;(InServiceYr+analysis_period-1)),0,IF($P250=0,$N250,$P250)*(1+$D250)^(AH$99-CostBaseYr))</f>
        <v>0</v>
      </c>
      <c r="AI250" s="50">
        <f t="shared" ca="1" si="177"/>
        <v>0</v>
      </c>
      <c r="AJ250" s="50">
        <f t="shared" ca="1" si="177"/>
        <v>0</v>
      </c>
      <c r="AK250" s="50">
        <f t="shared" ca="1" si="177"/>
        <v>0</v>
      </c>
      <c r="AL250" s="50">
        <f t="shared" si="177"/>
        <v>0</v>
      </c>
      <c r="AM250" s="50">
        <f t="shared" si="177"/>
        <v>0</v>
      </c>
      <c r="AN250" s="50">
        <f t="shared" si="177"/>
        <v>0</v>
      </c>
      <c r="AO250" s="50">
        <f t="shared" si="177"/>
        <v>0</v>
      </c>
      <c r="AP250" s="50">
        <f t="shared" si="177"/>
        <v>0</v>
      </c>
      <c r="AQ250" s="50">
        <f t="shared" si="177"/>
        <v>0</v>
      </c>
      <c r="AR250" s="50">
        <f t="shared" si="177"/>
        <v>0</v>
      </c>
      <c r="AS250" s="50">
        <f t="shared" si="177"/>
        <v>0</v>
      </c>
      <c r="AT250" s="50">
        <f t="shared" si="177"/>
        <v>0</v>
      </c>
      <c r="AU250" s="50">
        <f t="shared" si="177"/>
        <v>0</v>
      </c>
    </row>
    <row r="251" spans="1:47">
      <c r="A251" s="38" t="str">
        <f t="shared" si="174"/>
        <v>3Y-</v>
      </c>
      <c r="B251" s="38" t="s">
        <v>263</v>
      </c>
      <c r="C251" s="38" t="str">
        <f t="shared" ref="C251:C255" si="178">C250</f>
        <v>Drying/Gasification/Energy Recovery</v>
      </c>
      <c r="D251" s="186">
        <f>OMEsc</f>
        <v>0.02</v>
      </c>
      <c r="E251" s="325"/>
      <c r="G251" s="36" t="s">
        <v>127</v>
      </c>
      <c r="I251" s="39"/>
      <c r="K251" s="39"/>
      <c r="L251" s="43" t="str">
        <f>"["&amp;CostBaseYr&amp;" $]"</f>
        <v>[2013 $]</v>
      </c>
      <c r="N251" s="70">
        <f ca="1">SUMIFS(OFFSET(Assumptions!$I$90,0,MATCH($A251,Configurations,0)-1,COUNT(Assumptions!$A$90:$A$183),1),Assumptions!$D$90:$D$183,$B251&amp;$C251)</f>
        <v>0</v>
      </c>
      <c r="O251" s="313"/>
      <c r="P251" s="323"/>
      <c r="Q251" s="313"/>
      <c r="R251" s="50">
        <f t="shared" ca="1" si="176"/>
        <v>0</v>
      </c>
      <c r="S251" s="50">
        <f t="shared" ca="1" si="177"/>
        <v>0</v>
      </c>
      <c r="T251" s="50">
        <f t="shared" ca="1" si="177"/>
        <v>0</v>
      </c>
      <c r="U251" s="50">
        <f t="shared" ca="1" si="177"/>
        <v>0</v>
      </c>
      <c r="V251" s="50">
        <f t="shared" ca="1" si="177"/>
        <v>0</v>
      </c>
      <c r="W251" s="50">
        <f t="shared" ca="1" si="177"/>
        <v>0</v>
      </c>
      <c r="X251" s="50">
        <f t="shared" ca="1" si="177"/>
        <v>0</v>
      </c>
      <c r="Y251" s="50">
        <f t="shared" ca="1" si="177"/>
        <v>0</v>
      </c>
      <c r="Z251" s="50">
        <f t="shared" ca="1" si="177"/>
        <v>0</v>
      </c>
      <c r="AA251" s="50">
        <f t="shared" ca="1" si="177"/>
        <v>0</v>
      </c>
      <c r="AB251" s="50">
        <f t="shared" ca="1" si="177"/>
        <v>0</v>
      </c>
      <c r="AC251" s="50">
        <f t="shared" ca="1" si="177"/>
        <v>0</v>
      </c>
      <c r="AD251" s="50">
        <f t="shared" ca="1" si="177"/>
        <v>0</v>
      </c>
      <c r="AE251" s="50">
        <f t="shared" ca="1" si="177"/>
        <v>0</v>
      </c>
      <c r="AF251" s="50">
        <f t="shared" ca="1" si="177"/>
        <v>0</v>
      </c>
      <c r="AG251" s="50">
        <f t="shared" ca="1" si="177"/>
        <v>0</v>
      </c>
      <c r="AH251" s="50">
        <f t="shared" ca="1" si="177"/>
        <v>0</v>
      </c>
      <c r="AI251" s="50">
        <f t="shared" ca="1" si="177"/>
        <v>0</v>
      </c>
      <c r="AJ251" s="50">
        <f t="shared" ca="1" si="177"/>
        <v>0</v>
      </c>
      <c r="AK251" s="50">
        <f t="shared" ca="1" si="177"/>
        <v>0</v>
      </c>
      <c r="AL251" s="50">
        <f t="shared" si="177"/>
        <v>0</v>
      </c>
      <c r="AM251" s="50">
        <f t="shared" si="177"/>
        <v>0</v>
      </c>
      <c r="AN251" s="50">
        <f t="shared" si="177"/>
        <v>0</v>
      </c>
      <c r="AO251" s="50">
        <f t="shared" si="177"/>
        <v>0</v>
      </c>
      <c r="AP251" s="50">
        <f t="shared" si="177"/>
        <v>0</v>
      </c>
      <c r="AQ251" s="50">
        <f t="shared" si="177"/>
        <v>0</v>
      </c>
      <c r="AR251" s="50">
        <f t="shared" si="177"/>
        <v>0</v>
      </c>
      <c r="AS251" s="50">
        <f t="shared" si="177"/>
        <v>0</v>
      </c>
      <c r="AT251" s="50">
        <f t="shared" si="177"/>
        <v>0</v>
      </c>
      <c r="AU251" s="50">
        <f t="shared" si="177"/>
        <v>0</v>
      </c>
    </row>
    <row r="252" spans="1:47">
      <c r="A252" s="38" t="str">
        <f t="shared" si="174"/>
        <v>3Y-</v>
      </c>
      <c r="B252" s="38" t="s">
        <v>277</v>
      </c>
      <c r="C252" s="38" t="str">
        <f t="shared" si="178"/>
        <v>Drying/Gasification/Energy Recovery</v>
      </c>
      <c r="D252" s="186">
        <f>OMEsc</f>
        <v>0.02</v>
      </c>
      <c r="E252" s="325"/>
      <c r="G252" s="36" t="s">
        <v>276</v>
      </c>
      <c r="I252" s="39"/>
      <c r="K252" s="39"/>
      <c r="L252" s="43" t="str">
        <f>"["&amp;CostBaseYr&amp;" $]"</f>
        <v>[2013 $]</v>
      </c>
      <c r="N252" s="70">
        <f ca="1">SUMIFS(OFFSET(Assumptions!$I$90,0,MATCH($A252,Configurations,0)-1,COUNT(Assumptions!$A$90:$A$183),1),Assumptions!$D$90:$D$183,$B252&amp;$C252)</f>
        <v>0</v>
      </c>
      <c r="O252" s="313"/>
      <c r="P252" s="323"/>
      <c r="Q252" s="313"/>
      <c r="R252" s="50">
        <f t="shared" ca="1" si="176"/>
        <v>0</v>
      </c>
      <c r="S252" s="50">
        <f t="shared" ca="1" si="177"/>
        <v>0</v>
      </c>
      <c r="T252" s="50">
        <f t="shared" ca="1" si="177"/>
        <v>0</v>
      </c>
      <c r="U252" s="50">
        <f t="shared" ca="1" si="177"/>
        <v>0</v>
      </c>
      <c r="V252" s="50">
        <f t="shared" ca="1" si="177"/>
        <v>0</v>
      </c>
      <c r="W252" s="50">
        <f t="shared" ca="1" si="177"/>
        <v>0</v>
      </c>
      <c r="X252" s="50">
        <f t="shared" ca="1" si="177"/>
        <v>0</v>
      </c>
      <c r="Y252" s="50">
        <f t="shared" ca="1" si="177"/>
        <v>0</v>
      </c>
      <c r="Z252" s="50">
        <f t="shared" ca="1" si="177"/>
        <v>0</v>
      </c>
      <c r="AA252" s="50">
        <f t="shared" ca="1" si="177"/>
        <v>0</v>
      </c>
      <c r="AB252" s="50">
        <f t="shared" ca="1" si="177"/>
        <v>0</v>
      </c>
      <c r="AC252" s="50">
        <f t="shared" ca="1" si="177"/>
        <v>0</v>
      </c>
      <c r="AD252" s="50">
        <f t="shared" ca="1" si="177"/>
        <v>0</v>
      </c>
      <c r="AE252" s="50">
        <f t="shared" ca="1" si="177"/>
        <v>0</v>
      </c>
      <c r="AF252" s="50">
        <f t="shared" ca="1" si="177"/>
        <v>0</v>
      </c>
      <c r="AG252" s="50">
        <f t="shared" ca="1" si="177"/>
        <v>0</v>
      </c>
      <c r="AH252" s="50">
        <f t="shared" ca="1" si="177"/>
        <v>0</v>
      </c>
      <c r="AI252" s="50">
        <f t="shared" ca="1" si="177"/>
        <v>0</v>
      </c>
      <c r="AJ252" s="50">
        <f t="shared" ca="1" si="177"/>
        <v>0</v>
      </c>
      <c r="AK252" s="50">
        <f t="shared" ca="1" si="177"/>
        <v>0</v>
      </c>
      <c r="AL252" s="50">
        <f t="shared" si="177"/>
        <v>0</v>
      </c>
      <c r="AM252" s="50">
        <f t="shared" si="177"/>
        <v>0</v>
      </c>
      <c r="AN252" s="50">
        <f t="shared" si="177"/>
        <v>0</v>
      </c>
      <c r="AO252" s="50">
        <f t="shared" si="177"/>
        <v>0</v>
      </c>
      <c r="AP252" s="50">
        <f t="shared" si="177"/>
        <v>0</v>
      </c>
      <c r="AQ252" s="50">
        <f t="shared" si="177"/>
        <v>0</v>
      </c>
      <c r="AR252" s="50">
        <f t="shared" si="177"/>
        <v>0</v>
      </c>
      <c r="AS252" s="50">
        <f t="shared" si="177"/>
        <v>0</v>
      </c>
      <c r="AT252" s="50">
        <f t="shared" si="177"/>
        <v>0</v>
      </c>
      <c r="AU252" s="50">
        <f t="shared" si="177"/>
        <v>0</v>
      </c>
    </row>
    <row r="253" spans="1:47">
      <c r="A253" s="38" t="str">
        <f t="shared" si="174"/>
        <v>3Y-</v>
      </c>
      <c r="B253" s="38" t="s">
        <v>274</v>
      </c>
      <c r="C253" s="38" t="str">
        <f t="shared" si="178"/>
        <v>Drying/Gasification/Energy Recovery</v>
      </c>
      <c r="D253" s="186"/>
      <c r="E253" s="325"/>
      <c r="G253" s="36" t="s">
        <v>16</v>
      </c>
      <c r="I253" s="39"/>
      <c r="K253" s="39"/>
      <c r="L253" s="43" t="s">
        <v>275</v>
      </c>
      <c r="N253" s="70">
        <f ca="1">SUMIFS(OFFSET(Assumptions!$I$90,0,MATCH($A253,Configurations,0)-1,COUNT(Assumptions!$A$90:$A$183),1),Assumptions!$D$90:$D$183,$B253&amp;$C253)</f>
        <v>0</v>
      </c>
      <c r="O253" s="313"/>
      <c r="P253" s="323"/>
      <c r="Q253" s="313"/>
      <c r="R253" s="50">
        <f t="shared" ref="R253:AU253" ca="1" si="179">IF(OR(R$99&lt;InServiceYr,R$99&gt;(InServiceYr+analysis_period-1)),0,IF($P253=0,$N253,$P253)*R$505)</f>
        <v>0</v>
      </c>
      <c r="S253" s="50">
        <f t="shared" ca="1" si="179"/>
        <v>0</v>
      </c>
      <c r="T253" s="50">
        <f t="shared" ca="1" si="179"/>
        <v>0</v>
      </c>
      <c r="U253" s="50">
        <f t="shared" ca="1" si="179"/>
        <v>0</v>
      </c>
      <c r="V253" s="50">
        <f t="shared" ca="1" si="179"/>
        <v>0</v>
      </c>
      <c r="W253" s="50">
        <f t="shared" ca="1" si="179"/>
        <v>0</v>
      </c>
      <c r="X253" s="50">
        <f t="shared" ca="1" si="179"/>
        <v>0</v>
      </c>
      <c r="Y253" s="50">
        <f t="shared" ca="1" si="179"/>
        <v>0</v>
      </c>
      <c r="Z253" s="50">
        <f t="shared" ca="1" si="179"/>
        <v>0</v>
      </c>
      <c r="AA253" s="50">
        <f t="shared" ca="1" si="179"/>
        <v>0</v>
      </c>
      <c r="AB253" s="50">
        <f t="shared" ca="1" si="179"/>
        <v>0</v>
      </c>
      <c r="AC253" s="50">
        <f t="shared" ca="1" si="179"/>
        <v>0</v>
      </c>
      <c r="AD253" s="50">
        <f t="shared" ca="1" si="179"/>
        <v>0</v>
      </c>
      <c r="AE253" s="50">
        <f t="shared" ca="1" si="179"/>
        <v>0</v>
      </c>
      <c r="AF253" s="50">
        <f t="shared" ca="1" si="179"/>
        <v>0</v>
      </c>
      <c r="AG253" s="50">
        <f t="shared" ca="1" si="179"/>
        <v>0</v>
      </c>
      <c r="AH253" s="50">
        <f t="shared" ca="1" si="179"/>
        <v>0</v>
      </c>
      <c r="AI253" s="50">
        <f t="shared" ca="1" si="179"/>
        <v>0</v>
      </c>
      <c r="AJ253" s="50">
        <f t="shared" ca="1" si="179"/>
        <v>0</v>
      </c>
      <c r="AK253" s="50">
        <f t="shared" ca="1" si="179"/>
        <v>0</v>
      </c>
      <c r="AL253" s="50">
        <f t="shared" si="179"/>
        <v>0</v>
      </c>
      <c r="AM253" s="50">
        <f t="shared" si="179"/>
        <v>0</v>
      </c>
      <c r="AN253" s="50">
        <f t="shared" si="179"/>
        <v>0</v>
      </c>
      <c r="AO253" s="50">
        <f t="shared" si="179"/>
        <v>0</v>
      </c>
      <c r="AP253" s="50">
        <f t="shared" si="179"/>
        <v>0</v>
      </c>
      <c r="AQ253" s="50">
        <f t="shared" si="179"/>
        <v>0</v>
      </c>
      <c r="AR253" s="50">
        <f t="shared" si="179"/>
        <v>0</v>
      </c>
      <c r="AS253" s="50">
        <f t="shared" si="179"/>
        <v>0</v>
      </c>
      <c r="AT253" s="50">
        <f t="shared" si="179"/>
        <v>0</v>
      </c>
      <c r="AU253" s="50">
        <f t="shared" si="179"/>
        <v>0</v>
      </c>
    </row>
    <row r="254" spans="1:47">
      <c r="A254" s="38" t="str">
        <f t="shared" si="174"/>
        <v>3Y-</v>
      </c>
      <c r="B254" s="38" t="s">
        <v>257</v>
      </c>
      <c r="C254" s="38" t="str">
        <f t="shared" si="178"/>
        <v>Drying/Gasification/Energy Recovery</v>
      </c>
      <c r="D254" s="186"/>
      <c r="E254" s="325"/>
      <c r="G254" s="36" t="s">
        <v>284</v>
      </c>
      <c r="I254" s="39"/>
      <c r="K254" s="39"/>
      <c r="L254" s="43" t="s">
        <v>293</v>
      </c>
      <c r="N254" s="70">
        <f ca="1">SUMIFS(OFFSET(Assumptions!$I$90,0,MATCH($A254,Configurations,0)-1,COUNT(Assumptions!$A$90:$A$183),1),Assumptions!$D$90:$D$183,$B254&amp;$C254)</f>
        <v>0</v>
      </c>
      <c r="O254" s="313"/>
      <c r="P254" s="323"/>
      <c r="Q254" s="313"/>
      <c r="R254" s="50">
        <f t="shared" ref="R254:AU254" ca="1" si="180">IF(OR(R$99&lt;InServiceYr,R$99&gt;(InServiceYr+analysis_period-1)),0,IF($P254=0,$N254,$P254)*R$501)</f>
        <v>0</v>
      </c>
      <c r="S254" s="50">
        <f t="shared" ca="1" si="180"/>
        <v>0</v>
      </c>
      <c r="T254" s="50">
        <f t="shared" ca="1" si="180"/>
        <v>0</v>
      </c>
      <c r="U254" s="50">
        <f t="shared" ca="1" si="180"/>
        <v>0</v>
      </c>
      <c r="V254" s="50">
        <f t="shared" ca="1" si="180"/>
        <v>0</v>
      </c>
      <c r="W254" s="50">
        <f t="shared" ca="1" si="180"/>
        <v>0</v>
      </c>
      <c r="X254" s="50">
        <f t="shared" ca="1" si="180"/>
        <v>0</v>
      </c>
      <c r="Y254" s="50">
        <f t="shared" ca="1" si="180"/>
        <v>0</v>
      </c>
      <c r="Z254" s="50">
        <f t="shared" ca="1" si="180"/>
        <v>0</v>
      </c>
      <c r="AA254" s="50">
        <f t="shared" ca="1" si="180"/>
        <v>0</v>
      </c>
      <c r="AB254" s="50">
        <f t="shared" ca="1" si="180"/>
        <v>0</v>
      </c>
      <c r="AC254" s="50">
        <f t="shared" ca="1" si="180"/>
        <v>0</v>
      </c>
      <c r="AD254" s="50">
        <f t="shared" ca="1" si="180"/>
        <v>0</v>
      </c>
      <c r="AE254" s="50">
        <f t="shared" ca="1" si="180"/>
        <v>0</v>
      </c>
      <c r="AF254" s="50">
        <f t="shared" ca="1" si="180"/>
        <v>0</v>
      </c>
      <c r="AG254" s="50">
        <f t="shared" ca="1" si="180"/>
        <v>0</v>
      </c>
      <c r="AH254" s="50">
        <f t="shared" ca="1" si="180"/>
        <v>0</v>
      </c>
      <c r="AI254" s="50">
        <f t="shared" ca="1" si="180"/>
        <v>0</v>
      </c>
      <c r="AJ254" s="50">
        <f t="shared" ca="1" si="180"/>
        <v>0</v>
      </c>
      <c r="AK254" s="50">
        <f t="shared" ca="1" si="180"/>
        <v>0</v>
      </c>
      <c r="AL254" s="50">
        <f t="shared" si="180"/>
        <v>0</v>
      </c>
      <c r="AM254" s="50">
        <f t="shared" si="180"/>
        <v>0</v>
      </c>
      <c r="AN254" s="50">
        <f t="shared" si="180"/>
        <v>0</v>
      </c>
      <c r="AO254" s="50">
        <f t="shared" si="180"/>
        <v>0</v>
      </c>
      <c r="AP254" s="50">
        <f t="shared" si="180"/>
        <v>0</v>
      </c>
      <c r="AQ254" s="50">
        <f t="shared" si="180"/>
        <v>0</v>
      </c>
      <c r="AR254" s="50">
        <f t="shared" si="180"/>
        <v>0</v>
      </c>
      <c r="AS254" s="50">
        <f t="shared" si="180"/>
        <v>0</v>
      </c>
      <c r="AT254" s="50">
        <f t="shared" si="180"/>
        <v>0</v>
      </c>
      <c r="AU254" s="50">
        <f t="shared" si="180"/>
        <v>0</v>
      </c>
    </row>
    <row r="255" spans="1:47">
      <c r="A255" s="38" t="str">
        <f t="shared" si="174"/>
        <v>3Y-</v>
      </c>
      <c r="B255" s="38" t="s">
        <v>864</v>
      </c>
      <c r="C255" s="38" t="str">
        <f t="shared" si="178"/>
        <v>Drying/Gasification/Energy Recovery</v>
      </c>
      <c r="D255" s="186">
        <f>GHGEsc</f>
        <v>0.02</v>
      </c>
      <c r="E255" s="325"/>
      <c r="G255" s="36" t="s">
        <v>865</v>
      </c>
      <c r="I255" s="39"/>
      <c r="K255" s="39"/>
      <c r="L255" s="43" t="s">
        <v>866</v>
      </c>
      <c r="N255" s="70">
        <f ca="1">SUMIFS(OFFSET(Assumptions!$I$90,0,MATCH($A255,Configurations,0)-1,COUNT(Assumptions!$A$90:$A$183),1),Assumptions!$D$90:$D$183,$B255&amp;$C255)</f>
        <v>0</v>
      </c>
      <c r="O255" s="313"/>
      <c r="P255" s="323"/>
      <c r="Q255" s="313"/>
      <c r="R255" s="50">
        <f t="shared" ref="R255:AU255" ca="1" si="181">IF(OR(R$99&lt;InServiceYr,R$99&gt;(InServiceYr+analysis_period-1)),0,IF($P255=0,$N255,$P255)*R$513)</f>
        <v>0</v>
      </c>
      <c r="S255" s="50">
        <f t="shared" ca="1" si="181"/>
        <v>0</v>
      </c>
      <c r="T255" s="50">
        <f t="shared" ca="1" si="181"/>
        <v>0</v>
      </c>
      <c r="U255" s="50">
        <f t="shared" ca="1" si="181"/>
        <v>0</v>
      </c>
      <c r="V255" s="50">
        <f t="shared" ca="1" si="181"/>
        <v>0</v>
      </c>
      <c r="W255" s="50">
        <f t="shared" ca="1" si="181"/>
        <v>0</v>
      </c>
      <c r="X255" s="50">
        <f t="shared" ca="1" si="181"/>
        <v>0</v>
      </c>
      <c r="Y255" s="50">
        <f t="shared" ca="1" si="181"/>
        <v>0</v>
      </c>
      <c r="Z255" s="50">
        <f t="shared" ca="1" si="181"/>
        <v>0</v>
      </c>
      <c r="AA255" s="50">
        <f t="shared" ca="1" si="181"/>
        <v>0</v>
      </c>
      <c r="AB255" s="50">
        <f t="shared" ca="1" si="181"/>
        <v>0</v>
      </c>
      <c r="AC255" s="50">
        <f t="shared" ca="1" si="181"/>
        <v>0</v>
      </c>
      <c r="AD255" s="50">
        <f t="shared" ca="1" si="181"/>
        <v>0</v>
      </c>
      <c r="AE255" s="50">
        <f t="shared" ca="1" si="181"/>
        <v>0</v>
      </c>
      <c r="AF255" s="50">
        <f t="shared" ca="1" si="181"/>
        <v>0</v>
      </c>
      <c r="AG255" s="50">
        <f t="shared" ca="1" si="181"/>
        <v>0</v>
      </c>
      <c r="AH255" s="50">
        <f t="shared" ca="1" si="181"/>
        <v>0</v>
      </c>
      <c r="AI255" s="50">
        <f t="shared" ca="1" si="181"/>
        <v>0</v>
      </c>
      <c r="AJ255" s="50">
        <f t="shared" ca="1" si="181"/>
        <v>0</v>
      </c>
      <c r="AK255" s="50">
        <f t="shared" ca="1" si="181"/>
        <v>0</v>
      </c>
      <c r="AL255" s="50">
        <f t="shared" si="181"/>
        <v>0</v>
      </c>
      <c r="AM255" s="50">
        <f t="shared" si="181"/>
        <v>0</v>
      </c>
      <c r="AN255" s="50">
        <f t="shared" si="181"/>
        <v>0</v>
      </c>
      <c r="AO255" s="50">
        <f t="shared" si="181"/>
        <v>0</v>
      </c>
      <c r="AP255" s="50">
        <f t="shared" si="181"/>
        <v>0</v>
      </c>
      <c r="AQ255" s="50">
        <f t="shared" si="181"/>
        <v>0</v>
      </c>
      <c r="AR255" s="50">
        <f t="shared" si="181"/>
        <v>0</v>
      </c>
      <c r="AS255" s="50">
        <f t="shared" si="181"/>
        <v>0</v>
      </c>
      <c r="AT255" s="50">
        <f t="shared" si="181"/>
        <v>0</v>
      </c>
      <c r="AU255" s="50">
        <f t="shared" si="181"/>
        <v>0</v>
      </c>
    </row>
    <row r="256" spans="1:47">
      <c r="A256" s="38" t="str">
        <f t="shared" si="174"/>
        <v>3Y-</v>
      </c>
      <c r="B256" s="38" t="s">
        <v>273</v>
      </c>
      <c r="C256" s="38" t="str">
        <f>C254</f>
        <v>Drying/Gasification/Energy Recovery</v>
      </c>
      <c r="D256" s="186">
        <f>LaborEsc</f>
        <v>0.02</v>
      </c>
      <c r="E256" s="325"/>
      <c r="G256" s="36" t="s">
        <v>291</v>
      </c>
      <c r="I256" s="39"/>
      <c r="K256" s="39"/>
      <c r="L256" s="43" t="str">
        <f>"["&amp;CostBaseYr&amp;" $]"</f>
        <v>[2013 $]</v>
      </c>
      <c r="N256" s="70">
        <f ca="1">SUMIFS(OFFSET(Assumptions!$I$90,0,MATCH($A256,Configurations,0)-1,COUNT(Assumptions!$A$90:$A$183),1),Assumptions!$D$90:$D$183,$B256&amp;$C256)</f>
        <v>0</v>
      </c>
      <c r="O256" s="313"/>
      <c r="P256" s="323"/>
      <c r="Q256" s="313"/>
      <c r="R256" s="50">
        <f t="shared" ref="R256:AU256" ca="1" si="182">IF(OR(R$99&lt;InServiceYr,R$99&gt;(InServiceYr+analysis_period-1)),0,IF($P256=0,$N256,$P256)*(1+$D256)^(R$99-CostBaseYr))*R$509</f>
        <v>0</v>
      </c>
      <c r="S256" s="50">
        <f t="shared" ca="1" si="182"/>
        <v>0</v>
      </c>
      <c r="T256" s="50">
        <f t="shared" ca="1" si="182"/>
        <v>0</v>
      </c>
      <c r="U256" s="50">
        <f t="shared" ca="1" si="182"/>
        <v>0</v>
      </c>
      <c r="V256" s="50">
        <f t="shared" ca="1" si="182"/>
        <v>0</v>
      </c>
      <c r="W256" s="50">
        <f t="shared" ca="1" si="182"/>
        <v>0</v>
      </c>
      <c r="X256" s="50">
        <f t="shared" ca="1" si="182"/>
        <v>0</v>
      </c>
      <c r="Y256" s="50">
        <f t="shared" ca="1" si="182"/>
        <v>0</v>
      </c>
      <c r="Z256" s="50">
        <f t="shared" ca="1" si="182"/>
        <v>0</v>
      </c>
      <c r="AA256" s="50">
        <f t="shared" ca="1" si="182"/>
        <v>0</v>
      </c>
      <c r="AB256" s="50">
        <f t="shared" ca="1" si="182"/>
        <v>0</v>
      </c>
      <c r="AC256" s="50">
        <f t="shared" ca="1" si="182"/>
        <v>0</v>
      </c>
      <c r="AD256" s="50">
        <f t="shared" ca="1" si="182"/>
        <v>0</v>
      </c>
      <c r="AE256" s="50">
        <f t="shared" ca="1" si="182"/>
        <v>0</v>
      </c>
      <c r="AF256" s="50">
        <f t="shared" ca="1" si="182"/>
        <v>0</v>
      </c>
      <c r="AG256" s="50">
        <f t="shared" ca="1" si="182"/>
        <v>0</v>
      </c>
      <c r="AH256" s="50">
        <f t="shared" ca="1" si="182"/>
        <v>0</v>
      </c>
      <c r="AI256" s="50">
        <f t="shared" ca="1" si="182"/>
        <v>0</v>
      </c>
      <c r="AJ256" s="50">
        <f t="shared" ca="1" si="182"/>
        <v>0</v>
      </c>
      <c r="AK256" s="50">
        <f t="shared" ca="1" si="182"/>
        <v>0</v>
      </c>
      <c r="AL256" s="50">
        <f t="shared" si="182"/>
        <v>0</v>
      </c>
      <c r="AM256" s="50">
        <f t="shared" si="182"/>
        <v>0</v>
      </c>
      <c r="AN256" s="50">
        <f t="shared" si="182"/>
        <v>0</v>
      </c>
      <c r="AO256" s="50">
        <f t="shared" si="182"/>
        <v>0</v>
      </c>
      <c r="AP256" s="50">
        <f t="shared" si="182"/>
        <v>0</v>
      </c>
      <c r="AQ256" s="50">
        <f t="shared" si="182"/>
        <v>0</v>
      </c>
      <c r="AR256" s="50">
        <f t="shared" si="182"/>
        <v>0</v>
      </c>
      <c r="AS256" s="50">
        <f t="shared" si="182"/>
        <v>0</v>
      </c>
      <c r="AT256" s="50">
        <f t="shared" si="182"/>
        <v>0</v>
      </c>
      <c r="AU256" s="50">
        <f t="shared" si="182"/>
        <v>0</v>
      </c>
    </row>
    <row r="257" spans="1:47">
      <c r="D257" s="186"/>
      <c r="E257" s="325"/>
      <c r="G257" s="39" t="s">
        <v>304</v>
      </c>
      <c r="I257" s="39"/>
      <c r="K257" s="39"/>
      <c r="L257" s="43"/>
      <c r="N257" s="70"/>
      <c r="O257" s="313"/>
      <c r="P257" s="70"/>
      <c r="Q257" s="313"/>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row>
    <row r="258" spans="1:47">
      <c r="A258" s="38" t="str">
        <f>$J$4&amp;"-"</f>
        <v>3Y-</v>
      </c>
      <c r="B258" s="38" t="s">
        <v>265</v>
      </c>
      <c r="C258" s="38" t="str">
        <f>C249</f>
        <v>Drying/Gasification/Energy Recovery</v>
      </c>
      <c r="D258" s="186"/>
      <c r="E258" s="325"/>
      <c r="G258" s="36" t="s">
        <v>108</v>
      </c>
      <c r="I258" s="39"/>
      <c r="K258" s="39"/>
      <c r="L258" s="43" t="s">
        <v>293</v>
      </c>
      <c r="N258" s="70">
        <f ca="1">SUMIFS(OFFSET(Assumptions!$I$90,0,MATCH($A258,Configurations,0)-1,COUNT(Assumptions!$A$90:$A$183),1),Assumptions!$D$90:$D$183,$B258&amp;$C258)</f>
        <v>0</v>
      </c>
      <c r="O258" s="313"/>
      <c r="P258" s="323"/>
      <c r="Q258" s="313"/>
      <c r="R258" s="50">
        <f t="shared" ref="R258:AU258" ca="1" si="183">IF(OR(R$99&lt;InServiceYr,R$99&gt;(InServiceYr+analysis_period-1)),0,IF($P258=0,$N258,$P258)*R$501)</f>
        <v>0</v>
      </c>
      <c r="S258" s="50">
        <f t="shared" ca="1" si="183"/>
        <v>0</v>
      </c>
      <c r="T258" s="50">
        <f t="shared" ca="1" si="183"/>
        <v>0</v>
      </c>
      <c r="U258" s="50">
        <f t="shared" ca="1" si="183"/>
        <v>0</v>
      </c>
      <c r="V258" s="50">
        <f t="shared" ca="1" si="183"/>
        <v>0</v>
      </c>
      <c r="W258" s="50">
        <f t="shared" ca="1" si="183"/>
        <v>0</v>
      </c>
      <c r="X258" s="50">
        <f t="shared" ca="1" si="183"/>
        <v>0</v>
      </c>
      <c r="Y258" s="50">
        <f t="shared" ca="1" si="183"/>
        <v>0</v>
      </c>
      <c r="Z258" s="50">
        <f t="shared" ca="1" si="183"/>
        <v>0</v>
      </c>
      <c r="AA258" s="50">
        <f t="shared" ca="1" si="183"/>
        <v>0</v>
      </c>
      <c r="AB258" s="50">
        <f t="shared" ca="1" si="183"/>
        <v>0</v>
      </c>
      <c r="AC258" s="50">
        <f t="shared" ca="1" si="183"/>
        <v>0</v>
      </c>
      <c r="AD258" s="50">
        <f t="shared" ca="1" si="183"/>
        <v>0</v>
      </c>
      <c r="AE258" s="50">
        <f t="shared" ca="1" si="183"/>
        <v>0</v>
      </c>
      <c r="AF258" s="50">
        <f t="shared" ca="1" si="183"/>
        <v>0</v>
      </c>
      <c r="AG258" s="50">
        <f t="shared" ca="1" si="183"/>
        <v>0</v>
      </c>
      <c r="AH258" s="50">
        <f t="shared" ca="1" si="183"/>
        <v>0</v>
      </c>
      <c r="AI258" s="50">
        <f t="shared" ca="1" si="183"/>
        <v>0</v>
      </c>
      <c r="AJ258" s="50">
        <f t="shared" ca="1" si="183"/>
        <v>0</v>
      </c>
      <c r="AK258" s="50">
        <f t="shared" ca="1" si="183"/>
        <v>0</v>
      </c>
      <c r="AL258" s="50">
        <f t="shared" si="183"/>
        <v>0</v>
      </c>
      <c r="AM258" s="50">
        <f t="shared" si="183"/>
        <v>0</v>
      </c>
      <c r="AN258" s="50">
        <f t="shared" si="183"/>
        <v>0</v>
      </c>
      <c r="AO258" s="50">
        <f t="shared" si="183"/>
        <v>0</v>
      </c>
      <c r="AP258" s="50">
        <f t="shared" si="183"/>
        <v>0</v>
      </c>
      <c r="AQ258" s="50">
        <f t="shared" si="183"/>
        <v>0</v>
      </c>
      <c r="AR258" s="50">
        <f t="shared" si="183"/>
        <v>0</v>
      </c>
      <c r="AS258" s="50">
        <f t="shared" si="183"/>
        <v>0</v>
      </c>
      <c r="AT258" s="50">
        <f t="shared" si="183"/>
        <v>0</v>
      </c>
      <c r="AU258" s="50">
        <f t="shared" si="183"/>
        <v>0</v>
      </c>
    </row>
    <row r="259" spans="1:47">
      <c r="A259" s="38" t="str">
        <f>$J$4&amp;"-"</f>
        <v>3Y-</v>
      </c>
      <c r="B259" s="38" t="s">
        <v>289</v>
      </c>
      <c r="C259" s="38" t="str">
        <f>C249</f>
        <v>Drying/Gasification/Energy Recovery</v>
      </c>
      <c r="D259" s="186">
        <f>LaborEsc</f>
        <v>0.02</v>
      </c>
      <c r="E259" s="325"/>
      <c r="G259" s="36" t="s">
        <v>292</v>
      </c>
      <c r="I259" s="39"/>
      <c r="K259" s="39"/>
      <c r="L259" s="43" t="str">
        <f>"["&amp;CostBaseYr&amp;" $]"</f>
        <v>[2013 $]</v>
      </c>
      <c r="N259" s="70">
        <f ca="1">SUMIFS(OFFSET(Assumptions!$I$90,0,MATCH($A259,Configurations,0)-1,COUNT(Assumptions!$A$90:$A$183),1),Assumptions!$D$90:$D$183,$B259&amp;$C259)</f>
        <v>0</v>
      </c>
      <c r="O259" s="313"/>
      <c r="P259" s="323"/>
      <c r="Q259" s="313"/>
      <c r="R259" s="50">
        <f t="shared" ref="R259:AU259" ca="1" si="184">IF(OR(R$99&lt;InServiceYr,R$99&gt;(InServiceYr+analysis_period-1)),0,IF($P259=0,$N259,$P259)*(1+$D259)^(R$99-CostBaseYr))</f>
        <v>0</v>
      </c>
      <c r="S259" s="50">
        <f t="shared" ca="1" si="184"/>
        <v>0</v>
      </c>
      <c r="T259" s="50">
        <f t="shared" ca="1" si="184"/>
        <v>0</v>
      </c>
      <c r="U259" s="50">
        <f t="shared" ca="1" si="184"/>
        <v>0</v>
      </c>
      <c r="V259" s="50">
        <f t="shared" ca="1" si="184"/>
        <v>0</v>
      </c>
      <c r="W259" s="50">
        <f t="shared" ca="1" si="184"/>
        <v>0</v>
      </c>
      <c r="X259" s="50">
        <f t="shared" ca="1" si="184"/>
        <v>0</v>
      </c>
      <c r="Y259" s="50">
        <f t="shared" ca="1" si="184"/>
        <v>0</v>
      </c>
      <c r="Z259" s="50">
        <f t="shared" ca="1" si="184"/>
        <v>0</v>
      </c>
      <c r="AA259" s="50">
        <f t="shared" ca="1" si="184"/>
        <v>0</v>
      </c>
      <c r="AB259" s="50">
        <f t="shared" ca="1" si="184"/>
        <v>0</v>
      </c>
      <c r="AC259" s="50">
        <f t="shared" ca="1" si="184"/>
        <v>0</v>
      </c>
      <c r="AD259" s="50">
        <f t="shared" ca="1" si="184"/>
        <v>0</v>
      </c>
      <c r="AE259" s="50">
        <f t="shared" ca="1" si="184"/>
        <v>0</v>
      </c>
      <c r="AF259" s="50">
        <f t="shared" ca="1" si="184"/>
        <v>0</v>
      </c>
      <c r="AG259" s="50">
        <f t="shared" ca="1" si="184"/>
        <v>0</v>
      </c>
      <c r="AH259" s="50">
        <f t="shared" ca="1" si="184"/>
        <v>0</v>
      </c>
      <c r="AI259" s="50">
        <f t="shared" ca="1" si="184"/>
        <v>0</v>
      </c>
      <c r="AJ259" s="50">
        <f t="shared" ca="1" si="184"/>
        <v>0</v>
      </c>
      <c r="AK259" s="50">
        <f t="shared" ca="1" si="184"/>
        <v>0</v>
      </c>
      <c r="AL259" s="50">
        <f t="shared" si="184"/>
        <v>0</v>
      </c>
      <c r="AM259" s="50">
        <f t="shared" si="184"/>
        <v>0</v>
      </c>
      <c r="AN259" s="50">
        <f t="shared" si="184"/>
        <v>0</v>
      </c>
      <c r="AO259" s="50">
        <f t="shared" si="184"/>
        <v>0</v>
      </c>
      <c r="AP259" s="50">
        <f t="shared" si="184"/>
        <v>0</v>
      </c>
      <c r="AQ259" s="50">
        <f t="shared" si="184"/>
        <v>0</v>
      </c>
      <c r="AR259" s="50">
        <f t="shared" si="184"/>
        <v>0</v>
      </c>
      <c r="AS259" s="50">
        <f t="shared" si="184"/>
        <v>0</v>
      </c>
      <c r="AT259" s="50">
        <f t="shared" si="184"/>
        <v>0</v>
      </c>
      <c r="AU259" s="50">
        <f t="shared" si="184"/>
        <v>0</v>
      </c>
    </row>
    <row r="260" spans="1:47" s="60" customFormat="1">
      <c r="D260" s="187"/>
      <c r="E260" s="325"/>
      <c r="G260" s="39" t="s">
        <v>305</v>
      </c>
      <c r="I260" s="39"/>
      <c r="K260" s="39"/>
      <c r="L260" s="174"/>
      <c r="N260" s="188"/>
      <c r="O260" s="314"/>
      <c r="P260" s="185"/>
      <c r="Q260" s="314"/>
      <c r="R260" s="185">
        <f ca="1">SUM(R249:R256)-SUM(R258:R259)</f>
        <v>0</v>
      </c>
      <c r="S260" s="185">
        <f t="shared" ref="S260:AU260" ca="1" si="185">SUM(S249:S256)-SUM(S258:S259)</f>
        <v>0</v>
      </c>
      <c r="T260" s="185">
        <f t="shared" ca="1" si="185"/>
        <v>0</v>
      </c>
      <c r="U260" s="185">
        <f t="shared" ca="1" si="185"/>
        <v>0</v>
      </c>
      <c r="V260" s="185">
        <f t="shared" ca="1" si="185"/>
        <v>0</v>
      </c>
      <c r="W260" s="185">
        <f t="shared" ca="1" si="185"/>
        <v>0</v>
      </c>
      <c r="X260" s="185">
        <f t="shared" ca="1" si="185"/>
        <v>0</v>
      </c>
      <c r="Y260" s="185">
        <f t="shared" ca="1" si="185"/>
        <v>0</v>
      </c>
      <c r="Z260" s="185">
        <f t="shared" ca="1" si="185"/>
        <v>0</v>
      </c>
      <c r="AA260" s="185">
        <f t="shared" ca="1" si="185"/>
        <v>0</v>
      </c>
      <c r="AB260" s="185">
        <f t="shared" ca="1" si="185"/>
        <v>0</v>
      </c>
      <c r="AC260" s="185">
        <f t="shared" ca="1" si="185"/>
        <v>0</v>
      </c>
      <c r="AD260" s="185">
        <f t="shared" ca="1" si="185"/>
        <v>0</v>
      </c>
      <c r="AE260" s="185">
        <f t="shared" ca="1" si="185"/>
        <v>0</v>
      </c>
      <c r="AF260" s="185">
        <f t="shared" ca="1" si="185"/>
        <v>0</v>
      </c>
      <c r="AG260" s="185">
        <f t="shared" ca="1" si="185"/>
        <v>0</v>
      </c>
      <c r="AH260" s="185">
        <f t="shared" ca="1" si="185"/>
        <v>0</v>
      </c>
      <c r="AI260" s="185">
        <f t="shared" ca="1" si="185"/>
        <v>0</v>
      </c>
      <c r="AJ260" s="185">
        <f t="shared" ca="1" si="185"/>
        <v>0</v>
      </c>
      <c r="AK260" s="185">
        <f t="shared" ca="1" si="185"/>
        <v>0</v>
      </c>
      <c r="AL260" s="185">
        <f t="shared" si="185"/>
        <v>0</v>
      </c>
      <c r="AM260" s="185">
        <f t="shared" si="185"/>
        <v>0</v>
      </c>
      <c r="AN260" s="185">
        <f t="shared" si="185"/>
        <v>0</v>
      </c>
      <c r="AO260" s="185">
        <f t="shared" si="185"/>
        <v>0</v>
      </c>
      <c r="AP260" s="185">
        <f t="shared" si="185"/>
        <v>0</v>
      </c>
      <c r="AQ260" s="185">
        <f t="shared" si="185"/>
        <v>0</v>
      </c>
      <c r="AR260" s="185">
        <f t="shared" si="185"/>
        <v>0</v>
      </c>
      <c r="AS260" s="185">
        <f t="shared" si="185"/>
        <v>0</v>
      </c>
      <c r="AT260" s="185">
        <f t="shared" si="185"/>
        <v>0</v>
      </c>
      <c r="AU260" s="185">
        <f t="shared" si="185"/>
        <v>0</v>
      </c>
    </row>
    <row r="261" spans="1:47">
      <c r="E261" s="36"/>
      <c r="G261" s="39"/>
      <c r="H261" s="39"/>
      <c r="I261" s="39"/>
      <c r="J261" s="39"/>
      <c r="K261" s="39"/>
    </row>
    <row r="262" spans="1:47">
      <c r="E262" s="327"/>
      <c r="F262" s="28"/>
      <c r="G262" s="324" t="str">
        <f>C264&amp;" Capital Costs"</f>
        <v>Energy Recovery Capital Costs</v>
      </c>
      <c r="H262" s="324"/>
      <c r="I262" s="324"/>
      <c r="J262" s="324"/>
      <c r="K262" s="324"/>
      <c r="L262" s="405" t="s">
        <v>79</v>
      </c>
      <c r="M262" s="256"/>
      <c r="N262" s="325" t="s">
        <v>490</v>
      </c>
      <c r="O262" s="311"/>
      <c r="P262" s="325" t="s">
        <v>491</v>
      </c>
      <c r="Q262" s="310"/>
      <c r="R262" s="325">
        <f>R$8</f>
        <v>2014</v>
      </c>
      <c r="S262" s="325">
        <f t="shared" ref="S262:AU262" si="186">S$8</f>
        <v>2015</v>
      </c>
      <c r="T262" s="325">
        <f t="shared" si="186"/>
        <v>2016</v>
      </c>
      <c r="U262" s="325">
        <f t="shared" si="186"/>
        <v>2017</v>
      </c>
      <c r="V262" s="325">
        <f t="shared" si="186"/>
        <v>2018</v>
      </c>
      <c r="W262" s="325">
        <f t="shared" si="186"/>
        <v>2019</v>
      </c>
      <c r="X262" s="325">
        <f t="shared" si="186"/>
        <v>2020</v>
      </c>
      <c r="Y262" s="325">
        <f t="shared" si="186"/>
        <v>2021</v>
      </c>
      <c r="Z262" s="325">
        <f t="shared" si="186"/>
        <v>2022</v>
      </c>
      <c r="AA262" s="325">
        <f t="shared" si="186"/>
        <v>2023</v>
      </c>
      <c r="AB262" s="325">
        <f t="shared" si="186"/>
        <v>2024</v>
      </c>
      <c r="AC262" s="325">
        <f t="shared" si="186"/>
        <v>2025</v>
      </c>
      <c r="AD262" s="325">
        <f t="shared" si="186"/>
        <v>2026</v>
      </c>
      <c r="AE262" s="325">
        <f t="shared" si="186"/>
        <v>2027</v>
      </c>
      <c r="AF262" s="325">
        <f t="shared" si="186"/>
        <v>2028</v>
      </c>
      <c r="AG262" s="325">
        <f t="shared" si="186"/>
        <v>2029</v>
      </c>
      <c r="AH262" s="325">
        <f t="shared" si="186"/>
        <v>2030</v>
      </c>
      <c r="AI262" s="325">
        <f t="shared" si="186"/>
        <v>2031</v>
      </c>
      <c r="AJ262" s="325">
        <f t="shared" si="186"/>
        <v>2032</v>
      </c>
      <c r="AK262" s="325">
        <f t="shared" si="186"/>
        <v>2033</v>
      </c>
      <c r="AL262" s="325">
        <f t="shared" si="186"/>
        <v>2034</v>
      </c>
      <c r="AM262" s="325">
        <f t="shared" si="186"/>
        <v>2035</v>
      </c>
      <c r="AN262" s="325">
        <f t="shared" si="186"/>
        <v>2036</v>
      </c>
      <c r="AO262" s="325">
        <f t="shared" si="186"/>
        <v>2037</v>
      </c>
      <c r="AP262" s="325">
        <f t="shared" si="186"/>
        <v>2038</v>
      </c>
      <c r="AQ262" s="325">
        <f t="shared" si="186"/>
        <v>2039</v>
      </c>
      <c r="AR262" s="325">
        <f t="shared" si="186"/>
        <v>2040</v>
      </c>
      <c r="AS262" s="325">
        <f t="shared" si="186"/>
        <v>2041</v>
      </c>
      <c r="AT262" s="325">
        <f t="shared" si="186"/>
        <v>2042</v>
      </c>
      <c r="AU262" s="325">
        <f t="shared" si="186"/>
        <v>2043</v>
      </c>
    </row>
    <row r="263" spans="1:47">
      <c r="E263" s="325"/>
      <c r="G263" s="39"/>
      <c r="H263" s="39"/>
      <c r="I263" s="39"/>
      <c r="J263" s="39"/>
      <c r="K263" s="39"/>
    </row>
    <row r="264" spans="1:47">
      <c r="A264" s="38" t="str">
        <f>$J$4&amp;"-"</f>
        <v>3Y-</v>
      </c>
      <c r="B264" s="38" t="s">
        <v>306</v>
      </c>
      <c r="C264" s="38" t="s">
        <v>321</v>
      </c>
      <c r="D264" s="186">
        <f>CapExEsc</f>
        <v>0.03</v>
      </c>
      <c r="E264" s="325"/>
      <c r="G264" s="36" t="s">
        <v>8</v>
      </c>
      <c r="H264" s="39"/>
      <c r="I264" s="39"/>
      <c r="J264" s="70"/>
      <c r="K264" s="39"/>
      <c r="L264" s="43" t="str">
        <f>"["&amp;CostBaseYr&amp;" $]"</f>
        <v>[2013 $]</v>
      </c>
      <c r="N264" s="52">
        <f ca="1">SUMIFS(OFFSET(Assumptions!$I$65,0,MATCH($A264,Configurations,0)-1,COUNT(Assumptions!$A$65:$A$84),1),Assumptions!$E$65:$E$84,$C264)</f>
        <v>940000</v>
      </c>
      <c r="O264" s="52"/>
      <c r="P264" s="322"/>
      <c r="Q264" s="52"/>
      <c r="R264" s="52">
        <f t="shared" ref="R264:AU264" ca="1" si="187">R265*IF($P264=0,$N264,$P264)*(1+$D264)^(R$8-CostBaseYr)</f>
        <v>968200</v>
      </c>
      <c r="S264" s="52">
        <f t="shared" ca="1" si="187"/>
        <v>0</v>
      </c>
      <c r="T264" s="52">
        <f t="shared" ca="1" si="187"/>
        <v>0</v>
      </c>
      <c r="U264" s="52">
        <f t="shared" ca="1" si="187"/>
        <v>0</v>
      </c>
      <c r="V264" s="52">
        <f t="shared" ca="1" si="187"/>
        <v>0</v>
      </c>
      <c r="W264" s="52">
        <f t="shared" ca="1" si="187"/>
        <v>0</v>
      </c>
      <c r="X264" s="52">
        <f t="shared" ca="1" si="187"/>
        <v>0</v>
      </c>
      <c r="Y264" s="52">
        <f t="shared" ca="1" si="187"/>
        <v>0</v>
      </c>
      <c r="Z264" s="52">
        <f t="shared" ca="1" si="187"/>
        <v>0</v>
      </c>
      <c r="AA264" s="52">
        <f t="shared" ca="1" si="187"/>
        <v>0</v>
      </c>
      <c r="AB264" s="52">
        <f t="shared" ca="1" si="187"/>
        <v>0</v>
      </c>
      <c r="AC264" s="52">
        <f t="shared" ca="1" si="187"/>
        <v>0</v>
      </c>
      <c r="AD264" s="52">
        <f t="shared" ca="1" si="187"/>
        <v>0</v>
      </c>
      <c r="AE264" s="52">
        <f t="shared" ca="1" si="187"/>
        <v>0</v>
      </c>
      <c r="AF264" s="52">
        <f t="shared" ca="1" si="187"/>
        <v>0</v>
      </c>
      <c r="AG264" s="52">
        <f t="shared" ca="1" si="187"/>
        <v>0</v>
      </c>
      <c r="AH264" s="52">
        <f t="shared" ca="1" si="187"/>
        <v>0</v>
      </c>
      <c r="AI264" s="52">
        <f t="shared" ca="1" si="187"/>
        <v>0</v>
      </c>
      <c r="AJ264" s="52">
        <f t="shared" ca="1" si="187"/>
        <v>0</v>
      </c>
      <c r="AK264" s="52">
        <f t="shared" ca="1" si="187"/>
        <v>0</v>
      </c>
      <c r="AL264" s="52">
        <f t="shared" ca="1" si="187"/>
        <v>0</v>
      </c>
      <c r="AM264" s="52">
        <f t="shared" ca="1" si="187"/>
        <v>0</v>
      </c>
      <c r="AN264" s="52">
        <f t="shared" ca="1" si="187"/>
        <v>0</v>
      </c>
      <c r="AO264" s="52">
        <f t="shared" ca="1" si="187"/>
        <v>0</v>
      </c>
      <c r="AP264" s="52">
        <f t="shared" ca="1" si="187"/>
        <v>0</v>
      </c>
      <c r="AQ264" s="52">
        <f t="shared" ca="1" si="187"/>
        <v>0</v>
      </c>
      <c r="AR264" s="52">
        <f t="shared" ca="1" si="187"/>
        <v>0</v>
      </c>
      <c r="AS264" s="52">
        <f t="shared" ca="1" si="187"/>
        <v>0</v>
      </c>
      <c r="AT264" s="52">
        <f t="shared" ca="1" si="187"/>
        <v>0</v>
      </c>
      <c r="AU264" s="52">
        <f t="shared" ca="1" si="187"/>
        <v>0</v>
      </c>
    </row>
    <row r="265" spans="1:47">
      <c r="E265" s="325"/>
      <c r="G265" s="36" t="s">
        <v>10</v>
      </c>
      <c r="H265" s="39"/>
      <c r="I265" s="39"/>
      <c r="J265" s="39"/>
      <c r="K265" s="39"/>
      <c r="L265" s="43"/>
      <c r="R265" s="54">
        <f>Assumptions!M$60</f>
        <v>1</v>
      </c>
      <c r="S265" s="54">
        <f>Assumptions!N$60</f>
        <v>0</v>
      </c>
      <c r="T265" s="54">
        <f>Assumptions!O$60</f>
        <v>0</v>
      </c>
      <c r="U265" s="54">
        <f>Assumptions!P$60</f>
        <v>0</v>
      </c>
      <c r="V265" s="54">
        <f>Assumptions!Q$60</f>
        <v>0</v>
      </c>
      <c r="W265" s="54">
        <f>Assumptions!R$60</f>
        <v>0</v>
      </c>
      <c r="X265" s="54">
        <f>Assumptions!S$60</f>
        <v>0</v>
      </c>
      <c r="Y265" s="54">
        <f>Assumptions!T$60</f>
        <v>0</v>
      </c>
      <c r="Z265" s="54">
        <f>Assumptions!U$60</f>
        <v>0</v>
      </c>
      <c r="AA265" s="54">
        <f>Assumptions!V$60</f>
        <v>0</v>
      </c>
      <c r="AB265" s="54">
        <f>Assumptions!W$60</f>
        <v>0</v>
      </c>
      <c r="AC265" s="54">
        <f>Assumptions!X$60</f>
        <v>0</v>
      </c>
      <c r="AD265" s="54">
        <f>Assumptions!Y$60</f>
        <v>0</v>
      </c>
      <c r="AE265" s="54">
        <f>Assumptions!Z$60</f>
        <v>0</v>
      </c>
      <c r="AF265" s="54">
        <f>Assumptions!AA$60</f>
        <v>0</v>
      </c>
      <c r="AG265" s="54">
        <f>Assumptions!AB$60</f>
        <v>0</v>
      </c>
      <c r="AH265" s="54">
        <f>Assumptions!AC$60</f>
        <v>0</v>
      </c>
      <c r="AI265" s="54">
        <f>Assumptions!AD$60</f>
        <v>0</v>
      </c>
      <c r="AJ265" s="54">
        <f>Assumptions!AE$60</f>
        <v>0</v>
      </c>
      <c r="AK265" s="54">
        <f>Assumptions!AF$60</f>
        <v>0</v>
      </c>
      <c r="AL265" s="54">
        <f>Assumptions!AG$60</f>
        <v>0</v>
      </c>
      <c r="AM265" s="54">
        <f>Assumptions!AH$60</f>
        <v>0</v>
      </c>
      <c r="AN265" s="54">
        <f>Assumptions!AI$60</f>
        <v>0</v>
      </c>
      <c r="AO265" s="54">
        <f>Assumptions!AJ$60</f>
        <v>0</v>
      </c>
      <c r="AP265" s="54">
        <f>Assumptions!AK$60</f>
        <v>0</v>
      </c>
      <c r="AQ265" s="54">
        <f>Assumptions!AL$60</f>
        <v>0</v>
      </c>
      <c r="AR265" s="54">
        <f>Assumptions!AM$60</f>
        <v>0</v>
      </c>
      <c r="AS265" s="54">
        <f>Assumptions!AN$60</f>
        <v>0</v>
      </c>
      <c r="AT265" s="54">
        <f>Assumptions!AO$60</f>
        <v>0</v>
      </c>
      <c r="AU265" s="54">
        <f>Assumptions!AP$60</f>
        <v>0</v>
      </c>
    </row>
    <row r="266" spans="1:47">
      <c r="E266" s="326"/>
      <c r="G266" s="39"/>
      <c r="H266" s="39"/>
      <c r="I266" s="39"/>
      <c r="J266" s="39"/>
      <c r="K266" s="39"/>
    </row>
    <row r="267" spans="1:47">
      <c r="E267" s="327"/>
      <c r="F267" s="28"/>
      <c r="G267" s="324" t="str">
        <f>C264&amp;" O&amp;M"</f>
        <v>Energy Recovery O&amp;M</v>
      </c>
      <c r="H267" s="324"/>
      <c r="I267" s="324"/>
      <c r="J267" s="324"/>
      <c r="K267" s="324"/>
      <c r="L267" s="405" t="s">
        <v>79</v>
      </c>
      <c r="M267" s="256"/>
      <c r="N267" s="325" t="s">
        <v>490</v>
      </c>
      <c r="O267" s="311"/>
      <c r="P267" s="325" t="s">
        <v>491</v>
      </c>
      <c r="Q267" s="310"/>
      <c r="R267" s="325">
        <f>R$8</f>
        <v>2014</v>
      </c>
      <c r="S267" s="325">
        <f t="shared" ref="S267:AU267" si="188">S$8</f>
        <v>2015</v>
      </c>
      <c r="T267" s="325">
        <f t="shared" si="188"/>
        <v>2016</v>
      </c>
      <c r="U267" s="325">
        <f t="shared" si="188"/>
        <v>2017</v>
      </c>
      <c r="V267" s="325">
        <f t="shared" si="188"/>
        <v>2018</v>
      </c>
      <c r="W267" s="325">
        <f t="shared" si="188"/>
        <v>2019</v>
      </c>
      <c r="X267" s="325">
        <f t="shared" si="188"/>
        <v>2020</v>
      </c>
      <c r="Y267" s="325">
        <f t="shared" si="188"/>
        <v>2021</v>
      </c>
      <c r="Z267" s="325">
        <f t="shared" si="188"/>
        <v>2022</v>
      </c>
      <c r="AA267" s="325">
        <f t="shared" si="188"/>
        <v>2023</v>
      </c>
      <c r="AB267" s="325">
        <f t="shared" si="188"/>
        <v>2024</v>
      </c>
      <c r="AC267" s="325">
        <f t="shared" si="188"/>
        <v>2025</v>
      </c>
      <c r="AD267" s="325">
        <f t="shared" si="188"/>
        <v>2026</v>
      </c>
      <c r="AE267" s="325">
        <f t="shared" si="188"/>
        <v>2027</v>
      </c>
      <c r="AF267" s="325">
        <f t="shared" si="188"/>
        <v>2028</v>
      </c>
      <c r="AG267" s="325">
        <f t="shared" si="188"/>
        <v>2029</v>
      </c>
      <c r="AH267" s="325">
        <f t="shared" si="188"/>
        <v>2030</v>
      </c>
      <c r="AI267" s="325">
        <f t="shared" si="188"/>
        <v>2031</v>
      </c>
      <c r="AJ267" s="325">
        <f t="shared" si="188"/>
        <v>2032</v>
      </c>
      <c r="AK267" s="325">
        <f t="shared" si="188"/>
        <v>2033</v>
      </c>
      <c r="AL267" s="325">
        <f t="shared" si="188"/>
        <v>2034</v>
      </c>
      <c r="AM267" s="325">
        <f t="shared" si="188"/>
        <v>2035</v>
      </c>
      <c r="AN267" s="325">
        <f t="shared" si="188"/>
        <v>2036</v>
      </c>
      <c r="AO267" s="325">
        <f t="shared" si="188"/>
        <v>2037</v>
      </c>
      <c r="AP267" s="325">
        <f t="shared" si="188"/>
        <v>2038</v>
      </c>
      <c r="AQ267" s="325">
        <f t="shared" si="188"/>
        <v>2039</v>
      </c>
      <c r="AR267" s="325">
        <f t="shared" si="188"/>
        <v>2040</v>
      </c>
      <c r="AS267" s="325">
        <f t="shared" si="188"/>
        <v>2041</v>
      </c>
      <c r="AT267" s="325">
        <f t="shared" si="188"/>
        <v>2042</v>
      </c>
      <c r="AU267" s="325">
        <f t="shared" si="188"/>
        <v>2043</v>
      </c>
    </row>
    <row r="268" spans="1:47">
      <c r="E268" s="325"/>
      <c r="G268" s="39"/>
      <c r="H268" s="39"/>
      <c r="I268" s="39"/>
      <c r="J268" s="39"/>
      <c r="K268" s="39"/>
    </row>
    <row r="269" spans="1:47">
      <c r="E269" s="325"/>
      <c r="G269" s="39" t="s">
        <v>23</v>
      </c>
      <c r="H269" s="39"/>
      <c r="I269" s="39"/>
      <c r="J269" s="39"/>
      <c r="K269" s="39"/>
    </row>
    <row r="270" spans="1:47">
      <c r="A270" s="38" t="str">
        <f t="shared" ref="A270:A277" si="189">$J$4&amp;"-"</f>
        <v>3Y-</v>
      </c>
      <c r="B270" s="38" t="s">
        <v>262</v>
      </c>
      <c r="C270" s="38" t="str">
        <f>C264</f>
        <v>Energy Recovery</v>
      </c>
      <c r="D270" s="186">
        <f>LaborEsc</f>
        <v>0.02</v>
      </c>
      <c r="E270" s="325"/>
      <c r="G270" s="36" t="s">
        <v>125</v>
      </c>
      <c r="I270" s="39"/>
      <c r="K270" s="39"/>
      <c r="L270" s="43" t="s">
        <v>266</v>
      </c>
      <c r="N270" s="70">
        <f ca="1">SUMIFS(OFFSET(Assumptions!$I$90,0,MATCH($A270,Configurations,0)-1,COUNT(Assumptions!$A$90:$A$183),1),Assumptions!$D$90:$D$183,$B270&amp;$C270)</f>
        <v>2920</v>
      </c>
      <c r="O270" s="313"/>
      <c r="P270" s="323"/>
      <c r="Q270" s="313"/>
      <c r="R270" s="50">
        <f t="shared" ref="R270:AU270" ca="1" si="190">IF(OR(R$99&lt;InServiceYr,R$99&gt;(InServiceYr+analysis_period-1)),0,IF($P270=0,$N270,$P270)*LaborCost*(1+$D270)^(R$99-CostBaseYr))</f>
        <v>104244</v>
      </c>
      <c r="S270" s="50">
        <f t="shared" ca="1" si="190"/>
        <v>106328.88</v>
      </c>
      <c r="T270" s="50">
        <f t="shared" ca="1" si="190"/>
        <v>108455.45759999999</v>
      </c>
      <c r="U270" s="50">
        <f t="shared" ca="1" si="190"/>
        <v>110624.566752</v>
      </c>
      <c r="V270" s="50">
        <f t="shared" ca="1" si="190"/>
        <v>112837.05808704</v>
      </c>
      <c r="W270" s="50">
        <f t="shared" ca="1" si="190"/>
        <v>115093.79924878081</v>
      </c>
      <c r="X270" s="50">
        <f t="shared" ca="1" si="190"/>
        <v>117395.6752337564</v>
      </c>
      <c r="Y270" s="50">
        <f t="shared" ca="1" si="190"/>
        <v>119743.58873843154</v>
      </c>
      <c r="Z270" s="50">
        <f t="shared" ca="1" si="190"/>
        <v>122138.46051320017</v>
      </c>
      <c r="AA270" s="50">
        <f t="shared" ca="1" si="190"/>
        <v>124581.22972346417</v>
      </c>
      <c r="AB270" s="50">
        <f t="shared" ca="1" si="190"/>
        <v>127072.85431793344</v>
      </c>
      <c r="AC270" s="50">
        <f t="shared" ca="1" si="190"/>
        <v>129614.31140429212</v>
      </c>
      <c r="AD270" s="50">
        <f t="shared" ca="1" si="190"/>
        <v>132206.59763237796</v>
      </c>
      <c r="AE270" s="50">
        <f t="shared" ca="1" si="190"/>
        <v>134850.72958502555</v>
      </c>
      <c r="AF270" s="50">
        <f t="shared" ca="1" si="190"/>
        <v>137547.744176726</v>
      </c>
      <c r="AG270" s="50">
        <f t="shared" ca="1" si="190"/>
        <v>140298.69906026055</v>
      </c>
      <c r="AH270" s="50">
        <f t="shared" ca="1" si="190"/>
        <v>143104.67304146578</v>
      </c>
      <c r="AI270" s="50">
        <f t="shared" ca="1" si="190"/>
        <v>145966.76650229507</v>
      </c>
      <c r="AJ270" s="50">
        <f t="shared" ca="1" si="190"/>
        <v>148886.10183234097</v>
      </c>
      <c r="AK270" s="50">
        <f t="shared" ca="1" si="190"/>
        <v>151863.82386898779</v>
      </c>
      <c r="AL270" s="50">
        <f t="shared" si="190"/>
        <v>0</v>
      </c>
      <c r="AM270" s="50">
        <f t="shared" si="190"/>
        <v>0</v>
      </c>
      <c r="AN270" s="50">
        <f t="shared" si="190"/>
        <v>0</v>
      </c>
      <c r="AO270" s="50">
        <f t="shared" si="190"/>
        <v>0</v>
      </c>
      <c r="AP270" s="50">
        <f t="shared" si="190"/>
        <v>0</v>
      </c>
      <c r="AQ270" s="50">
        <f t="shared" si="190"/>
        <v>0</v>
      </c>
      <c r="AR270" s="50">
        <f t="shared" si="190"/>
        <v>0</v>
      </c>
      <c r="AS270" s="50">
        <f t="shared" si="190"/>
        <v>0</v>
      </c>
      <c r="AT270" s="50">
        <f t="shared" si="190"/>
        <v>0</v>
      </c>
      <c r="AU270" s="50">
        <f t="shared" si="190"/>
        <v>0</v>
      </c>
    </row>
    <row r="271" spans="1:47">
      <c r="A271" s="38" t="str">
        <f t="shared" si="189"/>
        <v>3Y-</v>
      </c>
      <c r="B271" s="38" t="s">
        <v>270</v>
      </c>
      <c r="C271" s="38" t="str">
        <f>C270</f>
        <v>Energy Recovery</v>
      </c>
      <c r="D271" s="186">
        <f>OMEsc</f>
        <v>0.02</v>
      </c>
      <c r="E271" s="325"/>
      <c r="G271" s="36" t="s">
        <v>126</v>
      </c>
      <c r="I271" s="39"/>
      <c r="K271" s="39"/>
      <c r="L271" s="43" t="str">
        <f>"["&amp;CostBaseYr&amp;" $]"</f>
        <v>[2013 $]</v>
      </c>
      <c r="N271" s="70">
        <f ca="1">SUMIFS(OFFSET(Assumptions!$I$90,0,MATCH($A271,Configurations,0)-1,COUNT(Assumptions!$A$90:$A$183),1),Assumptions!$D$90:$D$183,$B271&amp;$C271)</f>
        <v>19000</v>
      </c>
      <c r="O271" s="313"/>
      <c r="P271" s="323"/>
      <c r="Q271" s="313"/>
      <c r="R271" s="50">
        <f t="shared" ref="R271:AG273" ca="1" si="191">IF(OR(R$99&lt;InServiceYr,R$99&gt;(InServiceYr+analysis_period-1)),0,IF($P271=0,$N271,$P271)*(1+$D271)^(R$99-CostBaseYr))</f>
        <v>19380</v>
      </c>
      <c r="S271" s="50">
        <f t="shared" ca="1" si="191"/>
        <v>19767.599999999999</v>
      </c>
      <c r="T271" s="50">
        <f t="shared" ca="1" si="191"/>
        <v>20162.951999999997</v>
      </c>
      <c r="U271" s="50">
        <f t="shared" ca="1" si="191"/>
        <v>20566.211039999998</v>
      </c>
      <c r="V271" s="50">
        <f t="shared" ca="1" si="191"/>
        <v>20977.535260799999</v>
      </c>
      <c r="W271" s="50">
        <f t="shared" ca="1" si="191"/>
        <v>21397.085966016002</v>
      </c>
      <c r="X271" s="50">
        <f t="shared" ca="1" si="191"/>
        <v>21825.027685336318</v>
      </c>
      <c r="Y271" s="50">
        <f t="shared" ca="1" si="191"/>
        <v>22261.528239043044</v>
      </c>
      <c r="Z271" s="50">
        <f t="shared" ca="1" si="191"/>
        <v>22706.758803823905</v>
      </c>
      <c r="AA271" s="50">
        <f t="shared" ca="1" si="191"/>
        <v>23160.893979900386</v>
      </c>
      <c r="AB271" s="50">
        <f t="shared" ca="1" si="191"/>
        <v>23624.111859498389</v>
      </c>
      <c r="AC271" s="50">
        <f t="shared" ca="1" si="191"/>
        <v>24096.594096688361</v>
      </c>
      <c r="AD271" s="50">
        <f t="shared" ca="1" si="191"/>
        <v>24578.525978622125</v>
      </c>
      <c r="AE271" s="50">
        <f t="shared" ca="1" si="191"/>
        <v>25070.096498194573</v>
      </c>
      <c r="AF271" s="50">
        <f t="shared" ca="1" si="191"/>
        <v>25571.498428158455</v>
      </c>
      <c r="AG271" s="50">
        <f t="shared" ca="1" si="191"/>
        <v>26082.928396721629</v>
      </c>
      <c r="AH271" s="50">
        <f t="shared" ref="S271:AU273" ca="1" si="192">IF(OR(AH$99&lt;InServiceYr,AH$99&gt;(InServiceYr+analysis_period-1)),0,IF($P271=0,$N271,$P271)*(1+$D271)^(AH$99-CostBaseYr))</f>
        <v>26604.586964656064</v>
      </c>
      <c r="AI271" s="50">
        <f t="shared" ca="1" si="192"/>
        <v>27136.678703949183</v>
      </c>
      <c r="AJ271" s="50">
        <f t="shared" ca="1" si="192"/>
        <v>27679.412278028165</v>
      </c>
      <c r="AK271" s="50">
        <f t="shared" ca="1" si="192"/>
        <v>28233.000523588729</v>
      </c>
      <c r="AL271" s="50">
        <f t="shared" si="192"/>
        <v>0</v>
      </c>
      <c r="AM271" s="50">
        <f t="shared" si="192"/>
        <v>0</v>
      </c>
      <c r="AN271" s="50">
        <f t="shared" si="192"/>
        <v>0</v>
      </c>
      <c r="AO271" s="50">
        <f t="shared" si="192"/>
        <v>0</v>
      </c>
      <c r="AP271" s="50">
        <f t="shared" si="192"/>
        <v>0</v>
      </c>
      <c r="AQ271" s="50">
        <f t="shared" si="192"/>
        <v>0</v>
      </c>
      <c r="AR271" s="50">
        <f t="shared" si="192"/>
        <v>0</v>
      </c>
      <c r="AS271" s="50">
        <f t="shared" si="192"/>
        <v>0</v>
      </c>
      <c r="AT271" s="50">
        <f t="shared" si="192"/>
        <v>0</v>
      </c>
      <c r="AU271" s="50">
        <f t="shared" si="192"/>
        <v>0</v>
      </c>
    </row>
    <row r="272" spans="1:47">
      <c r="A272" s="38" t="str">
        <f t="shared" si="189"/>
        <v>3Y-</v>
      </c>
      <c r="B272" s="38" t="s">
        <v>263</v>
      </c>
      <c r="C272" s="38" t="str">
        <f t="shared" ref="C272:C276" si="193">C271</f>
        <v>Energy Recovery</v>
      </c>
      <c r="D272" s="186">
        <f>OMEsc</f>
        <v>0.02</v>
      </c>
      <c r="E272" s="325"/>
      <c r="G272" s="36" t="s">
        <v>127</v>
      </c>
      <c r="I272" s="39"/>
      <c r="K272" s="39"/>
      <c r="L272" s="43" t="str">
        <f>"["&amp;CostBaseYr&amp;" $]"</f>
        <v>[2013 $]</v>
      </c>
      <c r="N272" s="70">
        <f ca="1">SUMIFS(OFFSET(Assumptions!$I$90,0,MATCH($A272,Configurations,0)-1,COUNT(Assumptions!$A$90:$A$183),1),Assumptions!$D$90:$D$183,$B272&amp;$C272)</f>
        <v>0</v>
      </c>
      <c r="O272" s="313"/>
      <c r="P272" s="323"/>
      <c r="Q272" s="313"/>
      <c r="R272" s="50">
        <f t="shared" ca="1" si="191"/>
        <v>0</v>
      </c>
      <c r="S272" s="50">
        <f t="shared" ca="1" si="192"/>
        <v>0</v>
      </c>
      <c r="T272" s="50">
        <f t="shared" ca="1" si="192"/>
        <v>0</v>
      </c>
      <c r="U272" s="50">
        <f t="shared" ca="1" si="192"/>
        <v>0</v>
      </c>
      <c r="V272" s="50">
        <f t="shared" ca="1" si="192"/>
        <v>0</v>
      </c>
      <c r="W272" s="50">
        <f t="shared" ca="1" si="192"/>
        <v>0</v>
      </c>
      <c r="X272" s="50">
        <f t="shared" ca="1" si="192"/>
        <v>0</v>
      </c>
      <c r="Y272" s="50">
        <f t="shared" ca="1" si="192"/>
        <v>0</v>
      </c>
      <c r="Z272" s="50">
        <f t="shared" ca="1" si="192"/>
        <v>0</v>
      </c>
      <c r="AA272" s="50">
        <f t="shared" ca="1" si="192"/>
        <v>0</v>
      </c>
      <c r="AB272" s="50">
        <f t="shared" ca="1" si="192"/>
        <v>0</v>
      </c>
      <c r="AC272" s="50">
        <f t="shared" ca="1" si="192"/>
        <v>0</v>
      </c>
      <c r="AD272" s="50">
        <f t="shared" ca="1" si="192"/>
        <v>0</v>
      </c>
      <c r="AE272" s="50">
        <f t="shared" ca="1" si="192"/>
        <v>0</v>
      </c>
      <c r="AF272" s="50">
        <f t="shared" ca="1" si="192"/>
        <v>0</v>
      </c>
      <c r="AG272" s="50">
        <f t="shared" ca="1" si="192"/>
        <v>0</v>
      </c>
      <c r="AH272" s="50">
        <f t="shared" ca="1" si="192"/>
        <v>0</v>
      </c>
      <c r="AI272" s="50">
        <f t="shared" ca="1" si="192"/>
        <v>0</v>
      </c>
      <c r="AJ272" s="50">
        <f t="shared" ca="1" si="192"/>
        <v>0</v>
      </c>
      <c r="AK272" s="50">
        <f t="shared" ca="1" si="192"/>
        <v>0</v>
      </c>
      <c r="AL272" s="50">
        <f t="shared" si="192"/>
        <v>0</v>
      </c>
      <c r="AM272" s="50">
        <f t="shared" si="192"/>
        <v>0</v>
      </c>
      <c r="AN272" s="50">
        <f t="shared" si="192"/>
        <v>0</v>
      </c>
      <c r="AO272" s="50">
        <f t="shared" si="192"/>
        <v>0</v>
      </c>
      <c r="AP272" s="50">
        <f t="shared" si="192"/>
        <v>0</v>
      </c>
      <c r="AQ272" s="50">
        <f t="shared" si="192"/>
        <v>0</v>
      </c>
      <c r="AR272" s="50">
        <f t="shared" si="192"/>
        <v>0</v>
      </c>
      <c r="AS272" s="50">
        <f t="shared" si="192"/>
        <v>0</v>
      </c>
      <c r="AT272" s="50">
        <f t="shared" si="192"/>
        <v>0</v>
      </c>
      <c r="AU272" s="50">
        <f t="shared" si="192"/>
        <v>0</v>
      </c>
    </row>
    <row r="273" spans="1:47">
      <c r="A273" s="38" t="str">
        <f t="shared" si="189"/>
        <v>3Y-</v>
      </c>
      <c r="B273" s="38" t="s">
        <v>277</v>
      </c>
      <c r="C273" s="38" t="str">
        <f t="shared" si="193"/>
        <v>Energy Recovery</v>
      </c>
      <c r="D273" s="186">
        <f>OMEsc</f>
        <v>0.02</v>
      </c>
      <c r="E273" s="325"/>
      <c r="G273" s="36" t="s">
        <v>276</v>
      </c>
      <c r="I273" s="39"/>
      <c r="K273" s="39"/>
      <c r="L273" s="43" t="str">
        <f>"["&amp;CostBaseYr&amp;" $]"</f>
        <v>[2013 $]</v>
      </c>
      <c r="N273" s="70">
        <f ca="1">SUMIFS(OFFSET(Assumptions!$I$90,0,MATCH($A273,Configurations,0)-1,COUNT(Assumptions!$A$90:$A$183),1),Assumptions!$D$90:$D$183,$B273&amp;$C273)</f>
        <v>0</v>
      </c>
      <c r="O273" s="313"/>
      <c r="P273" s="323"/>
      <c r="Q273" s="313"/>
      <c r="R273" s="50">
        <f t="shared" ca="1" si="191"/>
        <v>0</v>
      </c>
      <c r="S273" s="50">
        <f t="shared" ca="1" si="192"/>
        <v>0</v>
      </c>
      <c r="T273" s="50">
        <f t="shared" ca="1" si="192"/>
        <v>0</v>
      </c>
      <c r="U273" s="50">
        <f t="shared" ca="1" si="192"/>
        <v>0</v>
      </c>
      <c r="V273" s="50">
        <f t="shared" ca="1" si="192"/>
        <v>0</v>
      </c>
      <c r="W273" s="50">
        <f t="shared" ca="1" si="192"/>
        <v>0</v>
      </c>
      <c r="X273" s="50">
        <f t="shared" ca="1" si="192"/>
        <v>0</v>
      </c>
      <c r="Y273" s="50">
        <f t="shared" ca="1" si="192"/>
        <v>0</v>
      </c>
      <c r="Z273" s="50">
        <f t="shared" ca="1" si="192"/>
        <v>0</v>
      </c>
      <c r="AA273" s="50">
        <f t="shared" ca="1" si="192"/>
        <v>0</v>
      </c>
      <c r="AB273" s="50">
        <f t="shared" ca="1" si="192"/>
        <v>0</v>
      </c>
      <c r="AC273" s="50">
        <f t="shared" ca="1" si="192"/>
        <v>0</v>
      </c>
      <c r="AD273" s="50">
        <f t="shared" ca="1" si="192"/>
        <v>0</v>
      </c>
      <c r="AE273" s="50">
        <f t="shared" ca="1" si="192"/>
        <v>0</v>
      </c>
      <c r="AF273" s="50">
        <f t="shared" ca="1" si="192"/>
        <v>0</v>
      </c>
      <c r="AG273" s="50">
        <f t="shared" ca="1" si="192"/>
        <v>0</v>
      </c>
      <c r="AH273" s="50">
        <f t="shared" ca="1" si="192"/>
        <v>0</v>
      </c>
      <c r="AI273" s="50">
        <f t="shared" ca="1" si="192"/>
        <v>0</v>
      </c>
      <c r="AJ273" s="50">
        <f t="shared" ca="1" si="192"/>
        <v>0</v>
      </c>
      <c r="AK273" s="50">
        <f t="shared" ca="1" si="192"/>
        <v>0</v>
      </c>
      <c r="AL273" s="50">
        <f t="shared" si="192"/>
        <v>0</v>
      </c>
      <c r="AM273" s="50">
        <f t="shared" si="192"/>
        <v>0</v>
      </c>
      <c r="AN273" s="50">
        <f t="shared" si="192"/>
        <v>0</v>
      </c>
      <c r="AO273" s="50">
        <f t="shared" si="192"/>
        <v>0</v>
      </c>
      <c r="AP273" s="50">
        <f t="shared" si="192"/>
        <v>0</v>
      </c>
      <c r="AQ273" s="50">
        <f t="shared" si="192"/>
        <v>0</v>
      </c>
      <c r="AR273" s="50">
        <f t="shared" si="192"/>
        <v>0</v>
      </c>
      <c r="AS273" s="50">
        <f t="shared" si="192"/>
        <v>0</v>
      </c>
      <c r="AT273" s="50">
        <f t="shared" si="192"/>
        <v>0</v>
      </c>
      <c r="AU273" s="50">
        <f t="shared" si="192"/>
        <v>0</v>
      </c>
    </row>
    <row r="274" spans="1:47">
      <c r="A274" s="38" t="str">
        <f t="shared" si="189"/>
        <v>3Y-</v>
      </c>
      <c r="B274" s="38" t="s">
        <v>274</v>
      </c>
      <c r="C274" s="38" t="str">
        <f t="shared" si="193"/>
        <v>Energy Recovery</v>
      </c>
      <c r="D274" s="186"/>
      <c r="E274" s="325"/>
      <c r="G274" s="36" t="s">
        <v>16</v>
      </c>
      <c r="I274" s="39"/>
      <c r="K274" s="39"/>
      <c r="L274" s="43" t="s">
        <v>275</v>
      </c>
      <c r="N274" s="70">
        <f ca="1">SUMIFS(OFFSET(Assumptions!$I$90,0,MATCH($A274,Configurations,0)-1,COUNT(Assumptions!$A$90:$A$183),1),Assumptions!$D$90:$D$183,$B274&amp;$C274)</f>
        <v>0</v>
      </c>
      <c r="O274" s="313"/>
      <c r="P274" s="323"/>
      <c r="Q274" s="313"/>
      <c r="R274" s="50">
        <f t="shared" ref="R274:AU274" ca="1" si="194">IF(OR(R$99&lt;InServiceYr,R$99&gt;(InServiceYr+analysis_period-1)),0,IF($P274=0,$N274,$P274)*R$505)</f>
        <v>0</v>
      </c>
      <c r="S274" s="50">
        <f t="shared" ca="1" si="194"/>
        <v>0</v>
      </c>
      <c r="T274" s="50">
        <f t="shared" ca="1" si="194"/>
        <v>0</v>
      </c>
      <c r="U274" s="50">
        <f t="shared" ca="1" si="194"/>
        <v>0</v>
      </c>
      <c r="V274" s="50">
        <f t="shared" ca="1" si="194"/>
        <v>0</v>
      </c>
      <c r="W274" s="50">
        <f t="shared" ca="1" si="194"/>
        <v>0</v>
      </c>
      <c r="X274" s="50">
        <f t="shared" ca="1" si="194"/>
        <v>0</v>
      </c>
      <c r="Y274" s="50">
        <f t="shared" ca="1" si="194"/>
        <v>0</v>
      </c>
      <c r="Z274" s="50">
        <f t="shared" ca="1" si="194"/>
        <v>0</v>
      </c>
      <c r="AA274" s="50">
        <f t="shared" ca="1" si="194"/>
        <v>0</v>
      </c>
      <c r="AB274" s="50">
        <f t="shared" ca="1" si="194"/>
        <v>0</v>
      </c>
      <c r="AC274" s="50">
        <f t="shared" ca="1" si="194"/>
        <v>0</v>
      </c>
      <c r="AD274" s="50">
        <f t="shared" ca="1" si="194"/>
        <v>0</v>
      </c>
      <c r="AE274" s="50">
        <f t="shared" ca="1" si="194"/>
        <v>0</v>
      </c>
      <c r="AF274" s="50">
        <f t="shared" ca="1" si="194"/>
        <v>0</v>
      </c>
      <c r="AG274" s="50">
        <f t="shared" ca="1" si="194"/>
        <v>0</v>
      </c>
      <c r="AH274" s="50">
        <f t="shared" ca="1" si="194"/>
        <v>0</v>
      </c>
      <c r="AI274" s="50">
        <f t="shared" ca="1" si="194"/>
        <v>0</v>
      </c>
      <c r="AJ274" s="50">
        <f t="shared" ca="1" si="194"/>
        <v>0</v>
      </c>
      <c r="AK274" s="50">
        <f t="shared" ca="1" si="194"/>
        <v>0</v>
      </c>
      <c r="AL274" s="50">
        <f t="shared" si="194"/>
        <v>0</v>
      </c>
      <c r="AM274" s="50">
        <f t="shared" si="194"/>
        <v>0</v>
      </c>
      <c r="AN274" s="50">
        <f t="shared" si="194"/>
        <v>0</v>
      </c>
      <c r="AO274" s="50">
        <f t="shared" si="194"/>
        <v>0</v>
      </c>
      <c r="AP274" s="50">
        <f t="shared" si="194"/>
        <v>0</v>
      </c>
      <c r="AQ274" s="50">
        <f t="shared" si="194"/>
        <v>0</v>
      </c>
      <c r="AR274" s="50">
        <f t="shared" si="194"/>
        <v>0</v>
      </c>
      <c r="AS274" s="50">
        <f t="shared" si="194"/>
        <v>0</v>
      </c>
      <c r="AT274" s="50">
        <f t="shared" si="194"/>
        <v>0</v>
      </c>
      <c r="AU274" s="50">
        <f t="shared" si="194"/>
        <v>0</v>
      </c>
    </row>
    <row r="275" spans="1:47">
      <c r="A275" s="38" t="str">
        <f t="shared" si="189"/>
        <v>3Y-</v>
      </c>
      <c r="B275" s="38" t="s">
        <v>257</v>
      </c>
      <c r="C275" s="38" t="str">
        <f t="shared" si="193"/>
        <v>Energy Recovery</v>
      </c>
      <c r="D275" s="186"/>
      <c r="E275" s="325"/>
      <c r="G275" s="36" t="s">
        <v>284</v>
      </c>
      <c r="I275" s="39"/>
      <c r="K275" s="39"/>
      <c r="L275" s="43" t="s">
        <v>293</v>
      </c>
      <c r="N275" s="70">
        <f ca="1">SUMIFS(OFFSET(Assumptions!$I$90,0,MATCH($A275,Configurations,0)-1,COUNT(Assumptions!$A$90:$A$183),1),Assumptions!$D$90:$D$183,$B275&amp;$C275)</f>
        <v>0</v>
      </c>
      <c r="O275" s="313"/>
      <c r="P275" s="323"/>
      <c r="Q275" s="313"/>
      <c r="R275" s="50">
        <f t="shared" ref="R275:AU275" ca="1" si="195">IF(OR(R$99&lt;InServiceYr,R$99&gt;(InServiceYr+analysis_period-1)),0,IF($P275=0,$N275,$P275)*R$501)</f>
        <v>0</v>
      </c>
      <c r="S275" s="50">
        <f t="shared" ca="1" si="195"/>
        <v>0</v>
      </c>
      <c r="T275" s="50">
        <f t="shared" ca="1" si="195"/>
        <v>0</v>
      </c>
      <c r="U275" s="50">
        <f t="shared" ca="1" si="195"/>
        <v>0</v>
      </c>
      <c r="V275" s="50">
        <f t="shared" ca="1" si="195"/>
        <v>0</v>
      </c>
      <c r="W275" s="50">
        <f t="shared" ca="1" si="195"/>
        <v>0</v>
      </c>
      <c r="X275" s="50">
        <f t="shared" ca="1" si="195"/>
        <v>0</v>
      </c>
      <c r="Y275" s="50">
        <f t="shared" ca="1" si="195"/>
        <v>0</v>
      </c>
      <c r="Z275" s="50">
        <f t="shared" ca="1" si="195"/>
        <v>0</v>
      </c>
      <c r="AA275" s="50">
        <f t="shared" ca="1" si="195"/>
        <v>0</v>
      </c>
      <c r="AB275" s="50">
        <f t="shared" ca="1" si="195"/>
        <v>0</v>
      </c>
      <c r="AC275" s="50">
        <f t="shared" ca="1" si="195"/>
        <v>0</v>
      </c>
      <c r="AD275" s="50">
        <f t="shared" ca="1" si="195"/>
        <v>0</v>
      </c>
      <c r="AE275" s="50">
        <f t="shared" ca="1" si="195"/>
        <v>0</v>
      </c>
      <c r="AF275" s="50">
        <f t="shared" ca="1" si="195"/>
        <v>0</v>
      </c>
      <c r="AG275" s="50">
        <f t="shared" ca="1" si="195"/>
        <v>0</v>
      </c>
      <c r="AH275" s="50">
        <f t="shared" ca="1" si="195"/>
        <v>0</v>
      </c>
      <c r="AI275" s="50">
        <f t="shared" ca="1" si="195"/>
        <v>0</v>
      </c>
      <c r="AJ275" s="50">
        <f t="shared" ca="1" si="195"/>
        <v>0</v>
      </c>
      <c r="AK275" s="50">
        <f t="shared" ca="1" si="195"/>
        <v>0</v>
      </c>
      <c r="AL275" s="50">
        <f t="shared" si="195"/>
        <v>0</v>
      </c>
      <c r="AM275" s="50">
        <f t="shared" si="195"/>
        <v>0</v>
      </c>
      <c r="AN275" s="50">
        <f t="shared" si="195"/>
        <v>0</v>
      </c>
      <c r="AO275" s="50">
        <f t="shared" si="195"/>
        <v>0</v>
      </c>
      <c r="AP275" s="50">
        <f t="shared" si="195"/>
        <v>0</v>
      </c>
      <c r="AQ275" s="50">
        <f t="shared" si="195"/>
        <v>0</v>
      </c>
      <c r="AR275" s="50">
        <f t="shared" si="195"/>
        <v>0</v>
      </c>
      <c r="AS275" s="50">
        <f t="shared" si="195"/>
        <v>0</v>
      </c>
      <c r="AT275" s="50">
        <f t="shared" si="195"/>
        <v>0</v>
      </c>
      <c r="AU275" s="50">
        <f t="shared" si="195"/>
        <v>0</v>
      </c>
    </row>
    <row r="276" spans="1:47">
      <c r="A276" s="38" t="str">
        <f t="shared" si="189"/>
        <v>3Y-</v>
      </c>
      <c r="B276" s="38" t="s">
        <v>864</v>
      </c>
      <c r="C276" s="38" t="str">
        <f t="shared" si="193"/>
        <v>Energy Recovery</v>
      </c>
      <c r="D276" s="186">
        <f>GHGEsc</f>
        <v>0.02</v>
      </c>
      <c r="E276" s="325"/>
      <c r="G276" s="36" t="s">
        <v>865</v>
      </c>
      <c r="I276" s="39"/>
      <c r="K276" s="39"/>
      <c r="L276" s="43" t="s">
        <v>866</v>
      </c>
      <c r="N276" s="70">
        <f ca="1">SUMIFS(OFFSET(Assumptions!$I$90,0,MATCH($A276,Configurations,0)-1,COUNT(Assumptions!$A$90:$A$183),1),Assumptions!$D$90:$D$183,$B276&amp;$C276)</f>
        <v>0</v>
      </c>
      <c r="O276" s="313"/>
      <c r="P276" s="323"/>
      <c r="Q276" s="313"/>
      <c r="R276" s="50">
        <f t="shared" ref="R276:AU276" ca="1" si="196">IF(OR(R$99&lt;InServiceYr,R$99&gt;(InServiceYr+analysis_period-1)),0,IF($P276=0,$N276,$P276)*R$513)</f>
        <v>0</v>
      </c>
      <c r="S276" s="50">
        <f t="shared" ca="1" si="196"/>
        <v>0</v>
      </c>
      <c r="T276" s="50">
        <f t="shared" ca="1" si="196"/>
        <v>0</v>
      </c>
      <c r="U276" s="50">
        <f t="shared" ca="1" si="196"/>
        <v>0</v>
      </c>
      <c r="V276" s="50">
        <f t="shared" ca="1" si="196"/>
        <v>0</v>
      </c>
      <c r="W276" s="50">
        <f t="shared" ca="1" si="196"/>
        <v>0</v>
      </c>
      <c r="X276" s="50">
        <f t="shared" ca="1" si="196"/>
        <v>0</v>
      </c>
      <c r="Y276" s="50">
        <f t="shared" ca="1" si="196"/>
        <v>0</v>
      </c>
      <c r="Z276" s="50">
        <f t="shared" ca="1" si="196"/>
        <v>0</v>
      </c>
      <c r="AA276" s="50">
        <f t="shared" ca="1" si="196"/>
        <v>0</v>
      </c>
      <c r="AB276" s="50">
        <f t="shared" ca="1" si="196"/>
        <v>0</v>
      </c>
      <c r="AC276" s="50">
        <f t="shared" ca="1" si="196"/>
        <v>0</v>
      </c>
      <c r="AD276" s="50">
        <f t="shared" ca="1" si="196"/>
        <v>0</v>
      </c>
      <c r="AE276" s="50">
        <f t="shared" ca="1" si="196"/>
        <v>0</v>
      </c>
      <c r="AF276" s="50">
        <f t="shared" ca="1" si="196"/>
        <v>0</v>
      </c>
      <c r="AG276" s="50">
        <f t="shared" ca="1" si="196"/>
        <v>0</v>
      </c>
      <c r="AH276" s="50">
        <f t="shared" ca="1" si="196"/>
        <v>0</v>
      </c>
      <c r="AI276" s="50">
        <f t="shared" ca="1" si="196"/>
        <v>0</v>
      </c>
      <c r="AJ276" s="50">
        <f t="shared" ca="1" si="196"/>
        <v>0</v>
      </c>
      <c r="AK276" s="50">
        <f t="shared" ca="1" si="196"/>
        <v>0</v>
      </c>
      <c r="AL276" s="50">
        <f t="shared" si="196"/>
        <v>0</v>
      </c>
      <c r="AM276" s="50">
        <f t="shared" si="196"/>
        <v>0</v>
      </c>
      <c r="AN276" s="50">
        <f t="shared" si="196"/>
        <v>0</v>
      </c>
      <c r="AO276" s="50">
        <f t="shared" si="196"/>
        <v>0</v>
      </c>
      <c r="AP276" s="50">
        <f t="shared" si="196"/>
        <v>0</v>
      </c>
      <c r="AQ276" s="50">
        <f t="shared" si="196"/>
        <v>0</v>
      </c>
      <c r="AR276" s="50">
        <f t="shared" si="196"/>
        <v>0</v>
      </c>
      <c r="AS276" s="50">
        <f t="shared" si="196"/>
        <v>0</v>
      </c>
      <c r="AT276" s="50">
        <f t="shared" si="196"/>
        <v>0</v>
      </c>
      <c r="AU276" s="50">
        <f t="shared" si="196"/>
        <v>0</v>
      </c>
    </row>
    <row r="277" spans="1:47">
      <c r="A277" s="38" t="str">
        <f t="shared" si="189"/>
        <v>3Y-</v>
      </c>
      <c r="B277" s="38" t="s">
        <v>273</v>
      </c>
      <c r="C277" s="38" t="str">
        <f>C275</f>
        <v>Energy Recovery</v>
      </c>
      <c r="D277" s="186">
        <f>LaborEsc</f>
        <v>0.02</v>
      </c>
      <c r="E277" s="325"/>
      <c r="G277" s="36" t="s">
        <v>291</v>
      </c>
      <c r="I277" s="39"/>
      <c r="K277" s="39"/>
      <c r="L277" s="43" t="str">
        <f>"["&amp;CostBaseYr&amp;" $]"</f>
        <v>[2013 $]</v>
      </c>
      <c r="N277" s="70">
        <f ca="1">SUMIFS(OFFSET(Assumptions!$I$90,0,MATCH($A277,Configurations,0)-1,COUNT(Assumptions!$A$90:$A$183),1),Assumptions!$D$90:$D$183,$B277&amp;$C277)</f>
        <v>0</v>
      </c>
      <c r="O277" s="313"/>
      <c r="P277" s="323"/>
      <c r="Q277" s="313"/>
      <c r="R277" s="50">
        <f t="shared" ref="R277:AU277" ca="1" si="197">IF(OR(R$99&lt;InServiceYr,R$99&gt;(InServiceYr+analysis_period-1)),0,IF($P277=0,$N277,$P277)*(1+$D277)^(R$99-CostBaseYr))*R$509</f>
        <v>0</v>
      </c>
      <c r="S277" s="50">
        <f t="shared" ca="1" si="197"/>
        <v>0</v>
      </c>
      <c r="T277" s="50">
        <f t="shared" ca="1" si="197"/>
        <v>0</v>
      </c>
      <c r="U277" s="50">
        <f t="shared" ca="1" si="197"/>
        <v>0</v>
      </c>
      <c r="V277" s="50">
        <f t="shared" ca="1" si="197"/>
        <v>0</v>
      </c>
      <c r="W277" s="50">
        <f t="shared" ca="1" si="197"/>
        <v>0</v>
      </c>
      <c r="X277" s="50">
        <f t="shared" ca="1" si="197"/>
        <v>0</v>
      </c>
      <c r="Y277" s="50">
        <f t="shared" ca="1" si="197"/>
        <v>0</v>
      </c>
      <c r="Z277" s="50">
        <f t="shared" ca="1" si="197"/>
        <v>0</v>
      </c>
      <c r="AA277" s="50">
        <f t="shared" ca="1" si="197"/>
        <v>0</v>
      </c>
      <c r="AB277" s="50">
        <f t="shared" ca="1" si="197"/>
        <v>0</v>
      </c>
      <c r="AC277" s="50">
        <f t="shared" ca="1" si="197"/>
        <v>0</v>
      </c>
      <c r="AD277" s="50">
        <f t="shared" ca="1" si="197"/>
        <v>0</v>
      </c>
      <c r="AE277" s="50">
        <f t="shared" ca="1" si="197"/>
        <v>0</v>
      </c>
      <c r="AF277" s="50">
        <f t="shared" ca="1" si="197"/>
        <v>0</v>
      </c>
      <c r="AG277" s="50">
        <f t="shared" ca="1" si="197"/>
        <v>0</v>
      </c>
      <c r="AH277" s="50">
        <f t="shared" ca="1" si="197"/>
        <v>0</v>
      </c>
      <c r="AI277" s="50">
        <f t="shared" ca="1" si="197"/>
        <v>0</v>
      </c>
      <c r="AJ277" s="50">
        <f t="shared" ca="1" si="197"/>
        <v>0</v>
      </c>
      <c r="AK277" s="50">
        <f t="shared" ca="1" si="197"/>
        <v>0</v>
      </c>
      <c r="AL277" s="50">
        <f t="shared" si="197"/>
        <v>0</v>
      </c>
      <c r="AM277" s="50">
        <f t="shared" si="197"/>
        <v>0</v>
      </c>
      <c r="AN277" s="50">
        <f t="shared" si="197"/>
        <v>0</v>
      </c>
      <c r="AO277" s="50">
        <f t="shared" si="197"/>
        <v>0</v>
      </c>
      <c r="AP277" s="50">
        <f t="shared" si="197"/>
        <v>0</v>
      </c>
      <c r="AQ277" s="50">
        <f t="shared" si="197"/>
        <v>0</v>
      </c>
      <c r="AR277" s="50">
        <f t="shared" si="197"/>
        <v>0</v>
      </c>
      <c r="AS277" s="50">
        <f t="shared" si="197"/>
        <v>0</v>
      </c>
      <c r="AT277" s="50">
        <f t="shared" si="197"/>
        <v>0</v>
      </c>
      <c r="AU277" s="50">
        <f t="shared" si="197"/>
        <v>0</v>
      </c>
    </row>
    <row r="278" spans="1:47">
      <c r="D278" s="186"/>
      <c r="E278" s="325"/>
      <c r="G278" s="39" t="s">
        <v>304</v>
      </c>
      <c r="I278" s="39"/>
      <c r="K278" s="39"/>
      <c r="L278" s="43"/>
      <c r="N278" s="70"/>
      <c r="O278" s="313"/>
      <c r="P278" s="70"/>
      <c r="Q278" s="313"/>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row>
    <row r="279" spans="1:47">
      <c r="A279" s="38" t="str">
        <f>$J$4&amp;"-"</f>
        <v>3Y-</v>
      </c>
      <c r="B279" s="38" t="s">
        <v>265</v>
      </c>
      <c r="C279" s="38" t="str">
        <f>C270</f>
        <v>Energy Recovery</v>
      </c>
      <c r="D279" s="186"/>
      <c r="E279" s="325"/>
      <c r="G279" s="36" t="s">
        <v>108</v>
      </c>
      <c r="I279" s="39"/>
      <c r="K279" s="39"/>
      <c r="L279" s="43" t="s">
        <v>293</v>
      </c>
      <c r="N279" s="70">
        <f ca="1">SUMIFS(OFFSET(Assumptions!$I$90,0,MATCH($A279,Configurations,0)-1,COUNT(Assumptions!$A$90:$A$183),1),Assumptions!$D$90:$D$183,$B279&amp;$C279)</f>
        <v>0</v>
      </c>
      <c r="O279" s="313"/>
      <c r="P279" s="323"/>
      <c r="Q279" s="313"/>
      <c r="R279" s="50">
        <f t="shared" ref="R279:AU279" ca="1" si="198">IF(OR(R$99&lt;InServiceYr,R$99&gt;(InServiceYr+analysis_period-1)),0,IF($P279=0,$N279,$P279)*R$501)</f>
        <v>0</v>
      </c>
      <c r="S279" s="50">
        <f t="shared" ca="1" si="198"/>
        <v>0</v>
      </c>
      <c r="T279" s="50">
        <f t="shared" ca="1" si="198"/>
        <v>0</v>
      </c>
      <c r="U279" s="50">
        <f t="shared" ca="1" si="198"/>
        <v>0</v>
      </c>
      <c r="V279" s="50">
        <f t="shared" ca="1" si="198"/>
        <v>0</v>
      </c>
      <c r="W279" s="50">
        <f t="shared" ca="1" si="198"/>
        <v>0</v>
      </c>
      <c r="X279" s="50">
        <f t="shared" ca="1" si="198"/>
        <v>0</v>
      </c>
      <c r="Y279" s="50">
        <f t="shared" ca="1" si="198"/>
        <v>0</v>
      </c>
      <c r="Z279" s="50">
        <f t="shared" ca="1" si="198"/>
        <v>0</v>
      </c>
      <c r="AA279" s="50">
        <f t="shared" ca="1" si="198"/>
        <v>0</v>
      </c>
      <c r="AB279" s="50">
        <f t="shared" ca="1" si="198"/>
        <v>0</v>
      </c>
      <c r="AC279" s="50">
        <f t="shared" ca="1" si="198"/>
        <v>0</v>
      </c>
      <c r="AD279" s="50">
        <f t="shared" ca="1" si="198"/>
        <v>0</v>
      </c>
      <c r="AE279" s="50">
        <f t="shared" ca="1" si="198"/>
        <v>0</v>
      </c>
      <c r="AF279" s="50">
        <f t="shared" ca="1" si="198"/>
        <v>0</v>
      </c>
      <c r="AG279" s="50">
        <f t="shared" ca="1" si="198"/>
        <v>0</v>
      </c>
      <c r="AH279" s="50">
        <f t="shared" ca="1" si="198"/>
        <v>0</v>
      </c>
      <c r="AI279" s="50">
        <f t="shared" ca="1" si="198"/>
        <v>0</v>
      </c>
      <c r="AJ279" s="50">
        <f t="shared" ca="1" si="198"/>
        <v>0</v>
      </c>
      <c r="AK279" s="50">
        <f t="shared" ca="1" si="198"/>
        <v>0</v>
      </c>
      <c r="AL279" s="50">
        <f t="shared" si="198"/>
        <v>0</v>
      </c>
      <c r="AM279" s="50">
        <f t="shared" si="198"/>
        <v>0</v>
      </c>
      <c r="AN279" s="50">
        <f t="shared" si="198"/>
        <v>0</v>
      </c>
      <c r="AO279" s="50">
        <f t="shared" si="198"/>
        <v>0</v>
      </c>
      <c r="AP279" s="50">
        <f t="shared" si="198"/>
        <v>0</v>
      </c>
      <c r="AQ279" s="50">
        <f t="shared" si="198"/>
        <v>0</v>
      </c>
      <c r="AR279" s="50">
        <f t="shared" si="198"/>
        <v>0</v>
      </c>
      <c r="AS279" s="50">
        <f t="shared" si="198"/>
        <v>0</v>
      </c>
      <c r="AT279" s="50">
        <f t="shared" si="198"/>
        <v>0</v>
      </c>
      <c r="AU279" s="50">
        <f t="shared" si="198"/>
        <v>0</v>
      </c>
    </row>
    <row r="280" spans="1:47">
      <c r="A280" s="38" t="str">
        <f>$J$4&amp;"-"</f>
        <v>3Y-</v>
      </c>
      <c r="B280" s="38" t="s">
        <v>289</v>
      </c>
      <c r="C280" s="38" t="str">
        <f>C270</f>
        <v>Energy Recovery</v>
      </c>
      <c r="D280" s="186">
        <f>LaborEsc</f>
        <v>0.02</v>
      </c>
      <c r="E280" s="325"/>
      <c r="G280" s="36" t="s">
        <v>292</v>
      </c>
      <c r="I280" s="39"/>
      <c r="K280" s="39"/>
      <c r="L280" s="43" t="str">
        <f>"["&amp;CostBaseYr&amp;" $]"</f>
        <v>[2013 $]</v>
      </c>
      <c r="N280" s="70">
        <f ca="1">SUMIFS(OFFSET(Assumptions!$I$90,0,MATCH($A280,Configurations,0)-1,COUNT(Assumptions!$A$90:$A$183),1),Assumptions!$D$90:$D$183,$B280&amp;$C280)</f>
        <v>0</v>
      </c>
      <c r="O280" s="313"/>
      <c r="P280" s="323"/>
      <c r="Q280" s="313"/>
      <c r="R280" s="50">
        <f t="shared" ref="R280:AU280" ca="1" si="199">IF(OR(R$99&lt;InServiceYr,R$99&gt;(InServiceYr+analysis_period-1)),0,IF($P280=0,$N280,$P280)*(1+$D280)^(R$99-CostBaseYr))</f>
        <v>0</v>
      </c>
      <c r="S280" s="50">
        <f t="shared" ca="1" si="199"/>
        <v>0</v>
      </c>
      <c r="T280" s="50">
        <f t="shared" ca="1" si="199"/>
        <v>0</v>
      </c>
      <c r="U280" s="50">
        <f t="shared" ca="1" si="199"/>
        <v>0</v>
      </c>
      <c r="V280" s="50">
        <f t="shared" ca="1" si="199"/>
        <v>0</v>
      </c>
      <c r="W280" s="50">
        <f t="shared" ca="1" si="199"/>
        <v>0</v>
      </c>
      <c r="X280" s="50">
        <f t="shared" ca="1" si="199"/>
        <v>0</v>
      </c>
      <c r="Y280" s="50">
        <f t="shared" ca="1" si="199"/>
        <v>0</v>
      </c>
      <c r="Z280" s="50">
        <f t="shared" ca="1" si="199"/>
        <v>0</v>
      </c>
      <c r="AA280" s="50">
        <f t="shared" ca="1" si="199"/>
        <v>0</v>
      </c>
      <c r="AB280" s="50">
        <f t="shared" ca="1" si="199"/>
        <v>0</v>
      </c>
      <c r="AC280" s="50">
        <f t="shared" ca="1" si="199"/>
        <v>0</v>
      </c>
      <c r="AD280" s="50">
        <f t="shared" ca="1" si="199"/>
        <v>0</v>
      </c>
      <c r="AE280" s="50">
        <f t="shared" ca="1" si="199"/>
        <v>0</v>
      </c>
      <c r="AF280" s="50">
        <f t="shared" ca="1" si="199"/>
        <v>0</v>
      </c>
      <c r="AG280" s="50">
        <f t="shared" ca="1" si="199"/>
        <v>0</v>
      </c>
      <c r="AH280" s="50">
        <f t="shared" ca="1" si="199"/>
        <v>0</v>
      </c>
      <c r="AI280" s="50">
        <f t="shared" ca="1" si="199"/>
        <v>0</v>
      </c>
      <c r="AJ280" s="50">
        <f t="shared" ca="1" si="199"/>
        <v>0</v>
      </c>
      <c r="AK280" s="50">
        <f t="shared" ca="1" si="199"/>
        <v>0</v>
      </c>
      <c r="AL280" s="50">
        <f t="shared" si="199"/>
        <v>0</v>
      </c>
      <c r="AM280" s="50">
        <f t="shared" si="199"/>
        <v>0</v>
      </c>
      <c r="AN280" s="50">
        <f t="shared" si="199"/>
        <v>0</v>
      </c>
      <c r="AO280" s="50">
        <f t="shared" si="199"/>
        <v>0</v>
      </c>
      <c r="AP280" s="50">
        <f t="shared" si="199"/>
        <v>0</v>
      </c>
      <c r="AQ280" s="50">
        <f t="shared" si="199"/>
        <v>0</v>
      </c>
      <c r="AR280" s="50">
        <f t="shared" si="199"/>
        <v>0</v>
      </c>
      <c r="AS280" s="50">
        <f t="shared" si="199"/>
        <v>0</v>
      </c>
      <c r="AT280" s="50">
        <f t="shared" si="199"/>
        <v>0</v>
      </c>
      <c r="AU280" s="50">
        <f t="shared" si="199"/>
        <v>0</v>
      </c>
    </row>
    <row r="281" spans="1:47" s="60" customFormat="1">
      <c r="D281" s="187"/>
      <c r="E281" s="325"/>
      <c r="G281" s="39" t="s">
        <v>305</v>
      </c>
      <c r="I281" s="39"/>
      <c r="K281" s="39"/>
      <c r="L281" s="174"/>
      <c r="N281" s="188"/>
      <c r="O281" s="314"/>
      <c r="P281" s="185"/>
      <c r="Q281" s="314"/>
      <c r="R281" s="185">
        <f ca="1">SUM(R270:R277)-SUM(R279:R280)</f>
        <v>123624</v>
      </c>
      <c r="S281" s="185">
        <f t="shared" ref="S281:AU281" ca="1" si="200">SUM(S270:S277)-SUM(S279:S280)</f>
        <v>126096.48000000001</v>
      </c>
      <c r="T281" s="185">
        <f t="shared" ca="1" si="200"/>
        <v>128618.40959999998</v>
      </c>
      <c r="U281" s="185">
        <f t="shared" ca="1" si="200"/>
        <v>131190.77779200001</v>
      </c>
      <c r="V281" s="185">
        <f t="shared" ca="1" si="200"/>
        <v>133814.59334784001</v>
      </c>
      <c r="W281" s="185">
        <f t="shared" ca="1" si="200"/>
        <v>136490.88521479681</v>
      </c>
      <c r="X281" s="185">
        <f t="shared" ca="1" si="200"/>
        <v>139220.70291909273</v>
      </c>
      <c r="Y281" s="185">
        <f t="shared" ca="1" si="200"/>
        <v>142005.11697747459</v>
      </c>
      <c r="Z281" s="185">
        <f t="shared" ca="1" si="200"/>
        <v>144845.21931702408</v>
      </c>
      <c r="AA281" s="185">
        <f t="shared" ca="1" si="200"/>
        <v>147742.12370336457</v>
      </c>
      <c r="AB281" s="185">
        <f t="shared" ca="1" si="200"/>
        <v>150696.96617743184</v>
      </c>
      <c r="AC281" s="185">
        <f t="shared" ca="1" si="200"/>
        <v>153710.90550098047</v>
      </c>
      <c r="AD281" s="185">
        <f t="shared" ca="1" si="200"/>
        <v>156785.12361100008</v>
      </c>
      <c r="AE281" s="185">
        <f t="shared" ca="1" si="200"/>
        <v>159920.82608322013</v>
      </c>
      <c r="AF281" s="185">
        <f t="shared" ca="1" si="200"/>
        <v>163119.24260488446</v>
      </c>
      <c r="AG281" s="185">
        <f t="shared" ca="1" si="200"/>
        <v>166381.62745698218</v>
      </c>
      <c r="AH281" s="185">
        <f t="shared" ca="1" si="200"/>
        <v>169709.26000612185</v>
      </c>
      <c r="AI281" s="185">
        <f t="shared" ca="1" si="200"/>
        <v>173103.44520624424</v>
      </c>
      <c r="AJ281" s="185">
        <f t="shared" ca="1" si="200"/>
        <v>176565.51411036914</v>
      </c>
      <c r="AK281" s="185">
        <f t="shared" ca="1" si="200"/>
        <v>180096.82439257653</v>
      </c>
      <c r="AL281" s="185">
        <f t="shared" si="200"/>
        <v>0</v>
      </c>
      <c r="AM281" s="185">
        <f t="shared" si="200"/>
        <v>0</v>
      </c>
      <c r="AN281" s="185">
        <f t="shared" si="200"/>
        <v>0</v>
      </c>
      <c r="AO281" s="185">
        <f t="shared" si="200"/>
        <v>0</v>
      </c>
      <c r="AP281" s="185">
        <f t="shared" si="200"/>
        <v>0</v>
      </c>
      <c r="AQ281" s="185">
        <f t="shared" si="200"/>
        <v>0</v>
      </c>
      <c r="AR281" s="185">
        <f t="shared" si="200"/>
        <v>0</v>
      </c>
      <c r="AS281" s="185">
        <f t="shared" si="200"/>
        <v>0</v>
      </c>
      <c r="AT281" s="185">
        <f t="shared" si="200"/>
        <v>0</v>
      </c>
      <c r="AU281" s="185">
        <f t="shared" si="200"/>
        <v>0</v>
      </c>
    </row>
    <row r="282" spans="1:47">
      <c r="E282" s="36"/>
      <c r="G282" s="39"/>
      <c r="H282" s="39"/>
      <c r="I282" s="39"/>
      <c r="J282" s="39"/>
      <c r="K282" s="39"/>
    </row>
    <row r="283" spans="1:47">
      <c r="E283" s="327"/>
      <c r="F283" s="28"/>
      <c r="G283" s="324" t="str">
        <f>C285&amp;" Capital Costs"</f>
        <v>Fluid Bed Incineration Capital Costs</v>
      </c>
      <c r="H283" s="324"/>
      <c r="I283" s="324"/>
      <c r="J283" s="324"/>
      <c r="K283" s="324"/>
      <c r="L283" s="405" t="s">
        <v>79</v>
      </c>
      <c r="M283" s="256"/>
      <c r="N283" s="325" t="s">
        <v>490</v>
      </c>
      <c r="O283" s="311"/>
      <c r="P283" s="325" t="s">
        <v>491</v>
      </c>
      <c r="Q283" s="310"/>
      <c r="R283" s="325">
        <f>R$8</f>
        <v>2014</v>
      </c>
      <c r="S283" s="325">
        <f t="shared" ref="S283:AU283" si="201">S$8</f>
        <v>2015</v>
      </c>
      <c r="T283" s="325">
        <f t="shared" si="201"/>
        <v>2016</v>
      </c>
      <c r="U283" s="325">
        <f t="shared" si="201"/>
        <v>2017</v>
      </c>
      <c r="V283" s="325">
        <f t="shared" si="201"/>
        <v>2018</v>
      </c>
      <c r="W283" s="325">
        <f t="shared" si="201"/>
        <v>2019</v>
      </c>
      <c r="X283" s="325">
        <f t="shared" si="201"/>
        <v>2020</v>
      </c>
      <c r="Y283" s="325">
        <f t="shared" si="201"/>
        <v>2021</v>
      </c>
      <c r="Z283" s="325">
        <f t="shared" si="201"/>
        <v>2022</v>
      </c>
      <c r="AA283" s="325">
        <f t="shared" si="201"/>
        <v>2023</v>
      </c>
      <c r="AB283" s="325">
        <f t="shared" si="201"/>
        <v>2024</v>
      </c>
      <c r="AC283" s="325">
        <f t="shared" si="201"/>
        <v>2025</v>
      </c>
      <c r="AD283" s="325">
        <f t="shared" si="201"/>
        <v>2026</v>
      </c>
      <c r="AE283" s="325">
        <f t="shared" si="201"/>
        <v>2027</v>
      </c>
      <c r="AF283" s="325">
        <f t="shared" si="201"/>
        <v>2028</v>
      </c>
      <c r="AG283" s="325">
        <f t="shared" si="201"/>
        <v>2029</v>
      </c>
      <c r="AH283" s="325">
        <f t="shared" si="201"/>
        <v>2030</v>
      </c>
      <c r="AI283" s="325">
        <f t="shared" si="201"/>
        <v>2031</v>
      </c>
      <c r="AJ283" s="325">
        <f t="shared" si="201"/>
        <v>2032</v>
      </c>
      <c r="AK283" s="325">
        <f t="shared" si="201"/>
        <v>2033</v>
      </c>
      <c r="AL283" s="325">
        <f t="shared" si="201"/>
        <v>2034</v>
      </c>
      <c r="AM283" s="325">
        <f t="shared" si="201"/>
        <v>2035</v>
      </c>
      <c r="AN283" s="325">
        <f t="shared" si="201"/>
        <v>2036</v>
      </c>
      <c r="AO283" s="325">
        <f t="shared" si="201"/>
        <v>2037</v>
      </c>
      <c r="AP283" s="325">
        <f t="shared" si="201"/>
        <v>2038</v>
      </c>
      <c r="AQ283" s="325">
        <f t="shared" si="201"/>
        <v>2039</v>
      </c>
      <c r="AR283" s="325">
        <f t="shared" si="201"/>
        <v>2040</v>
      </c>
      <c r="AS283" s="325">
        <f t="shared" si="201"/>
        <v>2041</v>
      </c>
      <c r="AT283" s="325">
        <f t="shared" si="201"/>
        <v>2042</v>
      </c>
      <c r="AU283" s="325">
        <f t="shared" si="201"/>
        <v>2043</v>
      </c>
    </row>
    <row r="284" spans="1:47">
      <c r="E284" s="325"/>
      <c r="G284" s="39"/>
      <c r="H284" s="39"/>
      <c r="I284" s="39"/>
      <c r="J284" s="39"/>
      <c r="K284" s="39"/>
    </row>
    <row r="285" spans="1:47">
      <c r="A285" s="38" t="str">
        <f>$J$4&amp;"-"</f>
        <v>3Y-</v>
      </c>
      <c r="B285" s="38" t="s">
        <v>306</v>
      </c>
      <c r="C285" s="38" t="s">
        <v>160</v>
      </c>
      <c r="D285" s="186">
        <f>CapExEsc</f>
        <v>0.03</v>
      </c>
      <c r="E285" s="325"/>
      <c r="G285" s="36" t="s">
        <v>8</v>
      </c>
      <c r="H285" s="39"/>
      <c r="I285" s="39"/>
      <c r="J285" s="70"/>
      <c r="K285" s="39"/>
      <c r="L285" s="43" t="str">
        <f>"["&amp;CostBaseYr&amp;" $]"</f>
        <v>[2013 $]</v>
      </c>
      <c r="N285" s="52">
        <f ca="1">SUMIFS(OFFSET(Assumptions!$I$65,0,MATCH($A285,Configurations,0)-1,COUNT(Assumptions!$A$65:$A$84),1),Assumptions!$E$65:$E$84,$C285)</f>
        <v>4440000</v>
      </c>
      <c r="O285" s="52"/>
      <c r="P285" s="322"/>
      <c r="Q285" s="52"/>
      <c r="R285" s="52">
        <f t="shared" ref="R285:AU285" ca="1" si="202">R286*IF($P285=0,$N285,$P285)*(1+$D285)^(R$8-CostBaseYr)</f>
        <v>4573200</v>
      </c>
      <c r="S285" s="52">
        <f t="shared" ca="1" si="202"/>
        <v>0</v>
      </c>
      <c r="T285" s="52">
        <f t="shared" ca="1" si="202"/>
        <v>0</v>
      </c>
      <c r="U285" s="52">
        <f t="shared" ca="1" si="202"/>
        <v>0</v>
      </c>
      <c r="V285" s="52">
        <f t="shared" ca="1" si="202"/>
        <v>0</v>
      </c>
      <c r="W285" s="52">
        <f t="shared" ca="1" si="202"/>
        <v>0</v>
      </c>
      <c r="X285" s="52">
        <f t="shared" ca="1" si="202"/>
        <v>0</v>
      </c>
      <c r="Y285" s="52">
        <f t="shared" ca="1" si="202"/>
        <v>0</v>
      </c>
      <c r="Z285" s="52">
        <f t="shared" ca="1" si="202"/>
        <v>0</v>
      </c>
      <c r="AA285" s="52">
        <f t="shared" ca="1" si="202"/>
        <v>0</v>
      </c>
      <c r="AB285" s="52">
        <f t="shared" ca="1" si="202"/>
        <v>0</v>
      </c>
      <c r="AC285" s="52">
        <f t="shared" ca="1" si="202"/>
        <v>0</v>
      </c>
      <c r="AD285" s="52">
        <f t="shared" ca="1" si="202"/>
        <v>0</v>
      </c>
      <c r="AE285" s="52">
        <f t="shared" ca="1" si="202"/>
        <v>0</v>
      </c>
      <c r="AF285" s="52">
        <f t="shared" ca="1" si="202"/>
        <v>0</v>
      </c>
      <c r="AG285" s="52">
        <f t="shared" ca="1" si="202"/>
        <v>0</v>
      </c>
      <c r="AH285" s="52">
        <f t="shared" ca="1" si="202"/>
        <v>0</v>
      </c>
      <c r="AI285" s="52">
        <f t="shared" ca="1" si="202"/>
        <v>0</v>
      </c>
      <c r="AJ285" s="52">
        <f t="shared" ca="1" si="202"/>
        <v>0</v>
      </c>
      <c r="AK285" s="52">
        <f t="shared" ca="1" si="202"/>
        <v>0</v>
      </c>
      <c r="AL285" s="52">
        <f t="shared" ca="1" si="202"/>
        <v>0</v>
      </c>
      <c r="AM285" s="52">
        <f t="shared" ca="1" si="202"/>
        <v>0</v>
      </c>
      <c r="AN285" s="52">
        <f t="shared" ca="1" si="202"/>
        <v>0</v>
      </c>
      <c r="AO285" s="52">
        <f t="shared" ca="1" si="202"/>
        <v>0</v>
      </c>
      <c r="AP285" s="52">
        <f t="shared" ca="1" si="202"/>
        <v>0</v>
      </c>
      <c r="AQ285" s="52">
        <f t="shared" ca="1" si="202"/>
        <v>0</v>
      </c>
      <c r="AR285" s="52">
        <f t="shared" ca="1" si="202"/>
        <v>0</v>
      </c>
      <c r="AS285" s="52">
        <f t="shared" ca="1" si="202"/>
        <v>0</v>
      </c>
      <c r="AT285" s="52">
        <f t="shared" ca="1" si="202"/>
        <v>0</v>
      </c>
      <c r="AU285" s="52">
        <f t="shared" ca="1" si="202"/>
        <v>0</v>
      </c>
    </row>
    <row r="286" spans="1:47">
      <c r="E286" s="325"/>
      <c r="G286" s="36" t="s">
        <v>10</v>
      </c>
      <c r="H286" s="39"/>
      <c r="I286" s="39"/>
      <c r="J286" s="39"/>
      <c r="K286" s="39"/>
      <c r="L286" s="43"/>
      <c r="R286" s="54">
        <f>Assumptions!M$60</f>
        <v>1</v>
      </c>
      <c r="S286" s="54">
        <f>Assumptions!N$60</f>
        <v>0</v>
      </c>
      <c r="T286" s="54">
        <f>Assumptions!O$60</f>
        <v>0</v>
      </c>
      <c r="U286" s="54">
        <f>Assumptions!P$60</f>
        <v>0</v>
      </c>
      <c r="V286" s="54">
        <f>Assumptions!Q$60</f>
        <v>0</v>
      </c>
      <c r="W286" s="54">
        <f>Assumptions!R$60</f>
        <v>0</v>
      </c>
      <c r="X286" s="54">
        <f>Assumptions!S$60</f>
        <v>0</v>
      </c>
      <c r="Y286" s="54">
        <f>Assumptions!T$60</f>
        <v>0</v>
      </c>
      <c r="Z286" s="54">
        <f>Assumptions!U$60</f>
        <v>0</v>
      </c>
      <c r="AA286" s="54">
        <f>Assumptions!V$60</f>
        <v>0</v>
      </c>
      <c r="AB286" s="54">
        <f>Assumptions!W$60</f>
        <v>0</v>
      </c>
      <c r="AC286" s="54">
        <f>Assumptions!X$60</f>
        <v>0</v>
      </c>
      <c r="AD286" s="54">
        <f>Assumptions!Y$60</f>
        <v>0</v>
      </c>
      <c r="AE286" s="54">
        <f>Assumptions!Z$60</f>
        <v>0</v>
      </c>
      <c r="AF286" s="54">
        <f>Assumptions!AA$60</f>
        <v>0</v>
      </c>
      <c r="AG286" s="54">
        <f>Assumptions!AB$60</f>
        <v>0</v>
      </c>
      <c r="AH286" s="54">
        <f>Assumptions!AC$60</f>
        <v>0</v>
      </c>
      <c r="AI286" s="54">
        <f>Assumptions!AD$60</f>
        <v>0</v>
      </c>
      <c r="AJ286" s="54">
        <f>Assumptions!AE$60</f>
        <v>0</v>
      </c>
      <c r="AK286" s="54">
        <f>Assumptions!AF$60</f>
        <v>0</v>
      </c>
      <c r="AL286" s="54">
        <f>Assumptions!AG$60</f>
        <v>0</v>
      </c>
      <c r="AM286" s="54">
        <f>Assumptions!AH$60</f>
        <v>0</v>
      </c>
      <c r="AN286" s="54">
        <f>Assumptions!AI$60</f>
        <v>0</v>
      </c>
      <c r="AO286" s="54">
        <f>Assumptions!AJ$60</f>
        <v>0</v>
      </c>
      <c r="AP286" s="54">
        <f>Assumptions!AK$60</f>
        <v>0</v>
      </c>
      <c r="AQ286" s="54">
        <f>Assumptions!AL$60</f>
        <v>0</v>
      </c>
      <c r="AR286" s="54">
        <f>Assumptions!AM$60</f>
        <v>0</v>
      </c>
      <c r="AS286" s="54">
        <f>Assumptions!AN$60</f>
        <v>0</v>
      </c>
      <c r="AT286" s="54">
        <f>Assumptions!AO$60</f>
        <v>0</v>
      </c>
      <c r="AU286" s="54">
        <f>Assumptions!AP$60</f>
        <v>0</v>
      </c>
    </row>
    <row r="287" spans="1:47">
      <c r="E287" s="326"/>
      <c r="G287" s="39"/>
      <c r="H287" s="39"/>
      <c r="I287" s="39"/>
      <c r="J287" s="39"/>
      <c r="K287" s="39"/>
    </row>
    <row r="288" spans="1:47">
      <c r="E288" s="327"/>
      <c r="F288" s="28"/>
      <c r="G288" s="324" t="str">
        <f>C285&amp;" O&amp;M"</f>
        <v>Fluid Bed Incineration O&amp;M</v>
      </c>
      <c r="H288" s="324"/>
      <c r="I288" s="324"/>
      <c r="J288" s="324"/>
      <c r="K288" s="324"/>
      <c r="L288" s="405" t="s">
        <v>79</v>
      </c>
      <c r="M288" s="256"/>
      <c r="N288" s="325" t="s">
        <v>490</v>
      </c>
      <c r="O288" s="311"/>
      <c r="P288" s="325" t="s">
        <v>491</v>
      </c>
      <c r="Q288" s="310"/>
      <c r="R288" s="325">
        <f>R$8</f>
        <v>2014</v>
      </c>
      <c r="S288" s="325">
        <f t="shared" ref="S288:AU288" si="203">S$8</f>
        <v>2015</v>
      </c>
      <c r="T288" s="325">
        <f t="shared" si="203"/>
        <v>2016</v>
      </c>
      <c r="U288" s="325">
        <f t="shared" si="203"/>
        <v>2017</v>
      </c>
      <c r="V288" s="325">
        <f t="shared" si="203"/>
        <v>2018</v>
      </c>
      <c r="W288" s="325">
        <f t="shared" si="203"/>
        <v>2019</v>
      </c>
      <c r="X288" s="325">
        <f t="shared" si="203"/>
        <v>2020</v>
      </c>
      <c r="Y288" s="325">
        <f t="shared" si="203"/>
        <v>2021</v>
      </c>
      <c r="Z288" s="325">
        <f t="shared" si="203"/>
        <v>2022</v>
      </c>
      <c r="AA288" s="325">
        <f t="shared" si="203"/>
        <v>2023</v>
      </c>
      <c r="AB288" s="325">
        <f t="shared" si="203"/>
        <v>2024</v>
      </c>
      <c r="AC288" s="325">
        <f t="shared" si="203"/>
        <v>2025</v>
      </c>
      <c r="AD288" s="325">
        <f t="shared" si="203"/>
        <v>2026</v>
      </c>
      <c r="AE288" s="325">
        <f t="shared" si="203"/>
        <v>2027</v>
      </c>
      <c r="AF288" s="325">
        <f t="shared" si="203"/>
        <v>2028</v>
      </c>
      <c r="AG288" s="325">
        <f t="shared" si="203"/>
        <v>2029</v>
      </c>
      <c r="AH288" s="325">
        <f t="shared" si="203"/>
        <v>2030</v>
      </c>
      <c r="AI288" s="325">
        <f t="shared" si="203"/>
        <v>2031</v>
      </c>
      <c r="AJ288" s="325">
        <f t="shared" si="203"/>
        <v>2032</v>
      </c>
      <c r="AK288" s="325">
        <f t="shared" si="203"/>
        <v>2033</v>
      </c>
      <c r="AL288" s="325">
        <f t="shared" si="203"/>
        <v>2034</v>
      </c>
      <c r="AM288" s="325">
        <f t="shared" si="203"/>
        <v>2035</v>
      </c>
      <c r="AN288" s="325">
        <f t="shared" si="203"/>
        <v>2036</v>
      </c>
      <c r="AO288" s="325">
        <f t="shared" si="203"/>
        <v>2037</v>
      </c>
      <c r="AP288" s="325">
        <f t="shared" si="203"/>
        <v>2038</v>
      </c>
      <c r="AQ288" s="325">
        <f t="shared" si="203"/>
        <v>2039</v>
      </c>
      <c r="AR288" s="325">
        <f t="shared" si="203"/>
        <v>2040</v>
      </c>
      <c r="AS288" s="325">
        <f t="shared" si="203"/>
        <v>2041</v>
      </c>
      <c r="AT288" s="325">
        <f t="shared" si="203"/>
        <v>2042</v>
      </c>
      <c r="AU288" s="325">
        <f t="shared" si="203"/>
        <v>2043</v>
      </c>
    </row>
    <row r="289" spans="1:47">
      <c r="E289" s="325"/>
      <c r="G289" s="39"/>
      <c r="H289" s="39"/>
      <c r="I289" s="39"/>
      <c r="J289" s="39"/>
      <c r="K289" s="39"/>
    </row>
    <row r="290" spans="1:47">
      <c r="E290" s="325"/>
      <c r="G290" s="39" t="s">
        <v>23</v>
      </c>
      <c r="H290" s="39"/>
      <c r="I290" s="39"/>
      <c r="J290" s="39"/>
      <c r="K290" s="39"/>
    </row>
    <row r="291" spans="1:47">
      <c r="A291" s="38" t="str">
        <f t="shared" ref="A291:A298" si="204">$J$4&amp;"-"</f>
        <v>3Y-</v>
      </c>
      <c r="B291" s="38" t="s">
        <v>262</v>
      </c>
      <c r="C291" s="38" t="str">
        <f>C285</f>
        <v>Fluid Bed Incineration</v>
      </c>
      <c r="D291" s="186">
        <f>LaborEsc</f>
        <v>0.02</v>
      </c>
      <c r="E291" s="325"/>
      <c r="G291" s="36" t="s">
        <v>125</v>
      </c>
      <c r="I291" s="39"/>
      <c r="K291" s="39"/>
      <c r="L291" s="43" t="s">
        <v>266</v>
      </c>
      <c r="N291" s="70">
        <f ca="1">SUMIFS(OFFSET(Assumptions!$I$90,0,MATCH($A291,Configurations,0)-1,COUNT(Assumptions!$A$90:$A$183),1),Assumptions!$D$90:$D$183,$B291&amp;$C291)</f>
        <v>3890</v>
      </c>
      <c r="O291" s="313"/>
      <c r="P291" s="323"/>
      <c r="Q291" s="313"/>
      <c r="R291" s="50">
        <f t="shared" ref="R291:AU291" ca="1" si="205">IF(OR(R$99&lt;InServiceYr,R$99&gt;(InServiceYr+analysis_period-1)),0,IF($P291=0,$N291,$P291)*LaborCost*(1+$D291)^(R$99-CostBaseYr))</f>
        <v>138873</v>
      </c>
      <c r="S291" s="50">
        <f t="shared" ca="1" si="205"/>
        <v>141650.46</v>
      </c>
      <c r="T291" s="50">
        <f t="shared" ca="1" si="205"/>
        <v>144483.46919999999</v>
      </c>
      <c r="U291" s="50">
        <f t="shared" ca="1" si="205"/>
        <v>147373.138584</v>
      </c>
      <c r="V291" s="50">
        <f t="shared" ca="1" si="205"/>
        <v>150320.60135568</v>
      </c>
      <c r="W291" s="50">
        <f t="shared" ca="1" si="205"/>
        <v>153327.01338279361</v>
      </c>
      <c r="X291" s="50">
        <f t="shared" ca="1" si="205"/>
        <v>156393.55365044944</v>
      </c>
      <c r="Y291" s="50">
        <f t="shared" ca="1" si="205"/>
        <v>159521.42472345845</v>
      </c>
      <c r="Z291" s="50">
        <f t="shared" ca="1" si="205"/>
        <v>162711.85321792762</v>
      </c>
      <c r="AA291" s="50">
        <f t="shared" ca="1" si="205"/>
        <v>165966.09028228617</v>
      </c>
      <c r="AB291" s="50">
        <f t="shared" ca="1" si="205"/>
        <v>169285.41208793188</v>
      </c>
      <c r="AC291" s="50">
        <f t="shared" ca="1" si="205"/>
        <v>172671.12032969054</v>
      </c>
      <c r="AD291" s="50">
        <f t="shared" ca="1" si="205"/>
        <v>176124.54273628435</v>
      </c>
      <c r="AE291" s="50">
        <f t="shared" ca="1" si="205"/>
        <v>179647.03359101005</v>
      </c>
      <c r="AF291" s="50">
        <f t="shared" ca="1" si="205"/>
        <v>183239.97426283019</v>
      </c>
      <c r="AG291" s="50">
        <f t="shared" ca="1" si="205"/>
        <v>186904.77374808682</v>
      </c>
      <c r="AH291" s="50">
        <f t="shared" ca="1" si="205"/>
        <v>190642.86922304859</v>
      </c>
      <c r="AI291" s="50">
        <f t="shared" ca="1" si="205"/>
        <v>194455.72660750954</v>
      </c>
      <c r="AJ291" s="50">
        <f t="shared" ca="1" si="205"/>
        <v>198344.84113965972</v>
      </c>
      <c r="AK291" s="50">
        <f t="shared" ca="1" si="205"/>
        <v>202311.73796245293</v>
      </c>
      <c r="AL291" s="50">
        <f t="shared" si="205"/>
        <v>0</v>
      </c>
      <c r="AM291" s="50">
        <f t="shared" si="205"/>
        <v>0</v>
      </c>
      <c r="AN291" s="50">
        <f t="shared" si="205"/>
        <v>0</v>
      </c>
      <c r="AO291" s="50">
        <f t="shared" si="205"/>
        <v>0</v>
      </c>
      <c r="AP291" s="50">
        <f t="shared" si="205"/>
        <v>0</v>
      </c>
      <c r="AQ291" s="50">
        <f t="shared" si="205"/>
        <v>0</v>
      </c>
      <c r="AR291" s="50">
        <f t="shared" si="205"/>
        <v>0</v>
      </c>
      <c r="AS291" s="50">
        <f t="shared" si="205"/>
        <v>0</v>
      </c>
      <c r="AT291" s="50">
        <f t="shared" si="205"/>
        <v>0</v>
      </c>
      <c r="AU291" s="50">
        <f t="shared" si="205"/>
        <v>0</v>
      </c>
    </row>
    <row r="292" spans="1:47">
      <c r="A292" s="38" t="str">
        <f t="shared" si="204"/>
        <v>3Y-</v>
      </c>
      <c r="B292" s="38" t="s">
        <v>270</v>
      </c>
      <c r="C292" s="38" t="str">
        <f>C291</f>
        <v>Fluid Bed Incineration</v>
      </c>
      <c r="D292" s="186">
        <f>OMEsc</f>
        <v>0.02</v>
      </c>
      <c r="E292" s="325"/>
      <c r="G292" s="36" t="s">
        <v>126</v>
      </c>
      <c r="I292" s="39"/>
      <c r="K292" s="39"/>
      <c r="L292" s="43" t="str">
        <f>"["&amp;CostBaseYr&amp;" $]"</f>
        <v>[2013 $]</v>
      </c>
      <c r="N292" s="70">
        <f ca="1">SUMIFS(OFFSET(Assumptions!$I$90,0,MATCH($A292,Configurations,0)-1,COUNT(Assumptions!$A$90:$A$183),1),Assumptions!$D$90:$D$183,$B292&amp;$C292)</f>
        <v>60000</v>
      </c>
      <c r="O292" s="313"/>
      <c r="P292" s="323"/>
      <c r="Q292" s="313"/>
      <c r="R292" s="50">
        <f t="shared" ref="R292:AG294" ca="1" si="206">IF(OR(R$99&lt;InServiceYr,R$99&gt;(InServiceYr+analysis_period-1)),0,IF($P292=0,$N292,$P292)*(1+$D292)^(R$99-CostBaseYr))</f>
        <v>61200</v>
      </c>
      <c r="S292" s="50">
        <f t="shared" ca="1" si="206"/>
        <v>62424</v>
      </c>
      <c r="T292" s="50">
        <f t="shared" ca="1" si="206"/>
        <v>63672.479999999996</v>
      </c>
      <c r="U292" s="50">
        <f t="shared" ca="1" si="206"/>
        <v>64945.929599999996</v>
      </c>
      <c r="V292" s="50">
        <f t="shared" ca="1" si="206"/>
        <v>66244.848192000005</v>
      </c>
      <c r="W292" s="50">
        <f t="shared" ca="1" si="206"/>
        <v>67569.745155840006</v>
      </c>
      <c r="X292" s="50">
        <f t="shared" ca="1" si="206"/>
        <v>68921.140058956793</v>
      </c>
      <c r="Y292" s="50">
        <f t="shared" ca="1" si="206"/>
        <v>70299.562860135935</v>
      </c>
      <c r="Z292" s="50">
        <f t="shared" ca="1" si="206"/>
        <v>71705.554117338645</v>
      </c>
      <c r="AA292" s="50">
        <f t="shared" ca="1" si="206"/>
        <v>73139.66519968542</v>
      </c>
      <c r="AB292" s="50">
        <f t="shared" ca="1" si="206"/>
        <v>74602.458503679125</v>
      </c>
      <c r="AC292" s="50">
        <f t="shared" ca="1" si="206"/>
        <v>76094.507673752712</v>
      </c>
      <c r="AD292" s="50">
        <f t="shared" ca="1" si="206"/>
        <v>77616.39782722776</v>
      </c>
      <c r="AE292" s="50">
        <f t="shared" ca="1" si="206"/>
        <v>79168.72578377233</v>
      </c>
      <c r="AF292" s="50">
        <f t="shared" ca="1" si="206"/>
        <v>80752.10029944776</v>
      </c>
      <c r="AG292" s="50">
        <f t="shared" ca="1" si="206"/>
        <v>82367.142305436719</v>
      </c>
      <c r="AH292" s="50">
        <f t="shared" ref="S292:AU294" ca="1" si="207">IF(OR(AH$99&lt;InServiceYr,AH$99&gt;(InServiceYr+analysis_period-1)),0,IF($P292=0,$N292,$P292)*(1+$D292)^(AH$99-CostBaseYr))</f>
        <v>84014.485151545465</v>
      </c>
      <c r="AI292" s="50">
        <f t="shared" ca="1" si="207"/>
        <v>85694.774854576361</v>
      </c>
      <c r="AJ292" s="50">
        <f t="shared" ca="1" si="207"/>
        <v>87408.670351667883</v>
      </c>
      <c r="AK292" s="50">
        <f t="shared" ca="1" si="207"/>
        <v>89156.84375870126</v>
      </c>
      <c r="AL292" s="50">
        <f t="shared" si="207"/>
        <v>0</v>
      </c>
      <c r="AM292" s="50">
        <f t="shared" si="207"/>
        <v>0</v>
      </c>
      <c r="AN292" s="50">
        <f t="shared" si="207"/>
        <v>0</v>
      </c>
      <c r="AO292" s="50">
        <f t="shared" si="207"/>
        <v>0</v>
      </c>
      <c r="AP292" s="50">
        <f t="shared" si="207"/>
        <v>0</v>
      </c>
      <c r="AQ292" s="50">
        <f t="shared" si="207"/>
        <v>0</v>
      </c>
      <c r="AR292" s="50">
        <f t="shared" si="207"/>
        <v>0</v>
      </c>
      <c r="AS292" s="50">
        <f t="shared" si="207"/>
        <v>0</v>
      </c>
      <c r="AT292" s="50">
        <f t="shared" si="207"/>
        <v>0</v>
      </c>
      <c r="AU292" s="50">
        <f t="shared" si="207"/>
        <v>0</v>
      </c>
    </row>
    <row r="293" spans="1:47">
      <c r="A293" s="38" t="str">
        <f t="shared" si="204"/>
        <v>3Y-</v>
      </c>
      <c r="B293" s="38" t="s">
        <v>263</v>
      </c>
      <c r="C293" s="38" t="str">
        <f t="shared" ref="C293:C297" si="208">C292</f>
        <v>Fluid Bed Incineration</v>
      </c>
      <c r="D293" s="186">
        <f>OMEsc</f>
        <v>0.02</v>
      </c>
      <c r="E293" s="325"/>
      <c r="G293" s="36" t="s">
        <v>127</v>
      </c>
      <c r="I293" s="39"/>
      <c r="K293" s="39"/>
      <c r="L293" s="43" t="str">
        <f>"["&amp;CostBaseYr&amp;" $]"</f>
        <v>[2013 $]</v>
      </c>
      <c r="N293" s="70">
        <f ca="1">SUMIFS(OFFSET(Assumptions!$I$90,0,MATCH($A293,Configurations,0)-1,COUNT(Assumptions!$A$90:$A$183),1),Assumptions!$D$90:$D$183,$B293&amp;$C293)</f>
        <v>28000</v>
      </c>
      <c r="O293" s="313"/>
      <c r="P293" s="323"/>
      <c r="Q293" s="313"/>
      <c r="R293" s="50">
        <f t="shared" ca="1" si="206"/>
        <v>28560</v>
      </c>
      <c r="S293" s="50">
        <f t="shared" ca="1" si="207"/>
        <v>29131.200000000001</v>
      </c>
      <c r="T293" s="50">
        <f t="shared" ca="1" si="207"/>
        <v>29713.823999999997</v>
      </c>
      <c r="U293" s="50">
        <f t="shared" ca="1" si="207"/>
        <v>30308.100480000001</v>
      </c>
      <c r="V293" s="50">
        <f t="shared" ca="1" si="207"/>
        <v>30914.262489600002</v>
      </c>
      <c r="W293" s="50">
        <f t="shared" ca="1" si="207"/>
        <v>31532.547739392001</v>
      </c>
      <c r="X293" s="50">
        <f t="shared" ca="1" si="207"/>
        <v>32163.198694179835</v>
      </c>
      <c r="Y293" s="50">
        <f t="shared" ca="1" si="207"/>
        <v>32806.462668063432</v>
      </c>
      <c r="Z293" s="50">
        <f t="shared" ca="1" si="207"/>
        <v>33462.591921424704</v>
      </c>
      <c r="AA293" s="50">
        <f t="shared" ca="1" si="207"/>
        <v>34131.843759853196</v>
      </c>
      <c r="AB293" s="50">
        <f t="shared" ca="1" si="207"/>
        <v>34814.480635050255</v>
      </c>
      <c r="AC293" s="50">
        <f t="shared" ca="1" si="207"/>
        <v>35510.770247751265</v>
      </c>
      <c r="AD293" s="50">
        <f t="shared" ca="1" si="207"/>
        <v>36220.985652706288</v>
      </c>
      <c r="AE293" s="50">
        <f t="shared" ca="1" si="207"/>
        <v>36945.405365760424</v>
      </c>
      <c r="AF293" s="50">
        <f t="shared" ca="1" si="207"/>
        <v>37684.313473075621</v>
      </c>
      <c r="AG293" s="50">
        <f t="shared" ca="1" si="207"/>
        <v>38437.99974253714</v>
      </c>
      <c r="AH293" s="50">
        <f t="shared" ca="1" si="207"/>
        <v>39206.759737387882</v>
      </c>
      <c r="AI293" s="50">
        <f t="shared" ca="1" si="207"/>
        <v>39990.894932135634</v>
      </c>
      <c r="AJ293" s="50">
        <f t="shared" ca="1" si="207"/>
        <v>40790.71283077835</v>
      </c>
      <c r="AK293" s="50">
        <f t="shared" ca="1" si="207"/>
        <v>41606.527087393915</v>
      </c>
      <c r="AL293" s="50">
        <f t="shared" si="207"/>
        <v>0</v>
      </c>
      <c r="AM293" s="50">
        <f t="shared" si="207"/>
        <v>0</v>
      </c>
      <c r="AN293" s="50">
        <f t="shared" si="207"/>
        <v>0</v>
      </c>
      <c r="AO293" s="50">
        <f t="shared" si="207"/>
        <v>0</v>
      </c>
      <c r="AP293" s="50">
        <f t="shared" si="207"/>
        <v>0</v>
      </c>
      <c r="AQ293" s="50">
        <f t="shared" si="207"/>
        <v>0</v>
      </c>
      <c r="AR293" s="50">
        <f t="shared" si="207"/>
        <v>0</v>
      </c>
      <c r="AS293" s="50">
        <f t="shared" si="207"/>
        <v>0</v>
      </c>
      <c r="AT293" s="50">
        <f t="shared" si="207"/>
        <v>0</v>
      </c>
      <c r="AU293" s="50">
        <f t="shared" si="207"/>
        <v>0</v>
      </c>
    </row>
    <row r="294" spans="1:47">
      <c r="A294" s="38" t="str">
        <f t="shared" si="204"/>
        <v>3Y-</v>
      </c>
      <c r="B294" s="38" t="s">
        <v>277</v>
      </c>
      <c r="C294" s="38" t="str">
        <f t="shared" si="208"/>
        <v>Fluid Bed Incineration</v>
      </c>
      <c r="D294" s="186">
        <f>OMEsc</f>
        <v>0.02</v>
      </c>
      <c r="E294" s="325"/>
      <c r="G294" s="36" t="s">
        <v>276</v>
      </c>
      <c r="I294" s="39"/>
      <c r="K294" s="39"/>
      <c r="L294" s="43" t="str">
        <f>"["&amp;CostBaseYr&amp;" $]"</f>
        <v>[2013 $]</v>
      </c>
      <c r="N294" s="70">
        <f ca="1">SUMIFS(OFFSET(Assumptions!$I$90,0,MATCH($A294,Configurations,0)-1,COUNT(Assumptions!$A$90:$A$183),1),Assumptions!$D$90:$D$183,$B294&amp;$C294)</f>
        <v>247000</v>
      </c>
      <c r="O294" s="313"/>
      <c r="P294" s="323"/>
      <c r="Q294" s="313"/>
      <c r="R294" s="50">
        <f t="shared" ca="1" si="206"/>
        <v>251940</v>
      </c>
      <c r="S294" s="50">
        <f t="shared" ca="1" si="207"/>
        <v>256978.8</v>
      </c>
      <c r="T294" s="50">
        <f t="shared" ca="1" si="207"/>
        <v>262118.37599999999</v>
      </c>
      <c r="U294" s="50">
        <f t="shared" ca="1" si="207"/>
        <v>267360.74352000002</v>
      </c>
      <c r="V294" s="50">
        <f t="shared" ca="1" si="207"/>
        <v>272707.95839039999</v>
      </c>
      <c r="W294" s="50">
        <f t="shared" ca="1" si="207"/>
        <v>278162.117558208</v>
      </c>
      <c r="X294" s="50">
        <f t="shared" ca="1" si="207"/>
        <v>283725.35990937211</v>
      </c>
      <c r="Y294" s="50">
        <f t="shared" ca="1" si="207"/>
        <v>289399.86710755958</v>
      </c>
      <c r="Z294" s="50">
        <f t="shared" ca="1" si="207"/>
        <v>295187.86444971076</v>
      </c>
      <c r="AA294" s="50">
        <f t="shared" ca="1" si="207"/>
        <v>301091.62173870503</v>
      </c>
      <c r="AB294" s="50">
        <f t="shared" ca="1" si="207"/>
        <v>307113.45417347905</v>
      </c>
      <c r="AC294" s="50">
        <f t="shared" ca="1" si="207"/>
        <v>313255.7232569487</v>
      </c>
      <c r="AD294" s="50">
        <f t="shared" ca="1" si="207"/>
        <v>319520.83772208763</v>
      </c>
      <c r="AE294" s="50">
        <f t="shared" ca="1" si="207"/>
        <v>325911.25447652943</v>
      </c>
      <c r="AF294" s="50">
        <f t="shared" ca="1" si="207"/>
        <v>332429.47956605989</v>
      </c>
      <c r="AG294" s="50">
        <f t="shared" ca="1" si="207"/>
        <v>339078.06915738119</v>
      </c>
      <c r="AH294" s="50">
        <f t="shared" ca="1" si="207"/>
        <v>345859.6305405288</v>
      </c>
      <c r="AI294" s="50">
        <f t="shared" ca="1" si="207"/>
        <v>352776.82315133937</v>
      </c>
      <c r="AJ294" s="50">
        <f t="shared" ca="1" si="207"/>
        <v>359832.35961436614</v>
      </c>
      <c r="AK294" s="50">
        <f t="shared" ca="1" si="207"/>
        <v>367029.00680665352</v>
      </c>
      <c r="AL294" s="50">
        <f t="shared" si="207"/>
        <v>0</v>
      </c>
      <c r="AM294" s="50">
        <f t="shared" si="207"/>
        <v>0</v>
      </c>
      <c r="AN294" s="50">
        <f t="shared" si="207"/>
        <v>0</v>
      </c>
      <c r="AO294" s="50">
        <f t="shared" si="207"/>
        <v>0</v>
      </c>
      <c r="AP294" s="50">
        <f t="shared" si="207"/>
        <v>0</v>
      </c>
      <c r="AQ294" s="50">
        <f t="shared" si="207"/>
        <v>0</v>
      </c>
      <c r="AR294" s="50">
        <f t="shared" si="207"/>
        <v>0</v>
      </c>
      <c r="AS294" s="50">
        <f t="shared" si="207"/>
        <v>0</v>
      </c>
      <c r="AT294" s="50">
        <f t="shared" si="207"/>
        <v>0</v>
      </c>
      <c r="AU294" s="50">
        <f t="shared" si="207"/>
        <v>0</v>
      </c>
    </row>
    <row r="295" spans="1:47">
      <c r="A295" s="38" t="str">
        <f t="shared" si="204"/>
        <v>3Y-</v>
      </c>
      <c r="B295" s="38" t="s">
        <v>274</v>
      </c>
      <c r="C295" s="38" t="str">
        <f t="shared" si="208"/>
        <v>Fluid Bed Incineration</v>
      </c>
      <c r="D295" s="186"/>
      <c r="E295" s="325"/>
      <c r="G295" s="36" t="s">
        <v>16</v>
      </c>
      <c r="I295" s="39"/>
      <c r="K295" s="39"/>
      <c r="L295" s="43" t="s">
        <v>275</v>
      </c>
      <c r="N295" s="70">
        <f ca="1">SUMIFS(OFFSET(Assumptions!$I$90,0,MATCH($A295,Configurations,0)-1,COUNT(Assumptions!$A$90:$A$183),1),Assumptions!$D$90:$D$183,$B295&amp;$C295)</f>
        <v>7175540</v>
      </c>
      <c r="O295" s="313"/>
      <c r="P295" s="323"/>
      <c r="Q295" s="313"/>
      <c r="R295" s="50">
        <f t="shared" ref="R295:AU295" ca="1" si="209">IF(OR(R$99&lt;InServiceYr,R$99&gt;(InServiceYr+analysis_period-1)),0,IF($P295=0,$N295,$P295)*R$505)</f>
        <v>31207.588065765671</v>
      </c>
      <c r="S295" s="50">
        <f t="shared" ca="1" si="209"/>
        <v>32029.791445386265</v>
      </c>
      <c r="T295" s="50">
        <f t="shared" ca="1" si="209"/>
        <v>35793.173148664137</v>
      </c>
      <c r="U295" s="50">
        <f t="shared" ca="1" si="209"/>
        <v>37844.080803508004</v>
      </c>
      <c r="V295" s="50">
        <f t="shared" ca="1" si="209"/>
        <v>40376.44084481991</v>
      </c>
      <c r="W295" s="50">
        <f t="shared" ca="1" si="209"/>
        <v>42005.978272116838</v>
      </c>
      <c r="X295" s="50">
        <f t="shared" ca="1" si="209"/>
        <v>43328.981838957443</v>
      </c>
      <c r="Y295" s="50">
        <f t="shared" ca="1" si="209"/>
        <v>44967.700467102957</v>
      </c>
      <c r="Z295" s="50">
        <f t="shared" ca="1" si="209"/>
        <v>47302.634108820203</v>
      </c>
      <c r="AA295" s="50">
        <f t="shared" ca="1" si="209"/>
        <v>49671.248010645242</v>
      </c>
      <c r="AB295" s="50">
        <f t="shared" ca="1" si="209"/>
        <v>51399.9777455558</v>
      </c>
      <c r="AC295" s="50">
        <f t="shared" ca="1" si="209"/>
        <v>52679.161635807432</v>
      </c>
      <c r="AD295" s="50">
        <f t="shared" ca="1" si="209"/>
        <v>54549.462633543895</v>
      </c>
      <c r="AE295" s="50">
        <f t="shared" ca="1" si="209"/>
        <v>55886.431683540577</v>
      </c>
      <c r="AF295" s="50">
        <f t="shared" ca="1" si="209"/>
        <v>57828.90466722229</v>
      </c>
      <c r="AG295" s="50">
        <f t="shared" ca="1" si="209"/>
        <v>59723.446481707026</v>
      </c>
      <c r="AH295" s="50">
        <f t="shared" ca="1" si="209"/>
        <v>61532.870205423016</v>
      </c>
      <c r="AI295" s="50">
        <f t="shared" ca="1" si="209"/>
        <v>63782.597410249371</v>
      </c>
      <c r="AJ295" s="50">
        <f t="shared" ca="1" si="209"/>
        <v>65878.045102370554</v>
      </c>
      <c r="AK295" s="50">
        <f t="shared" ca="1" si="209"/>
        <v>68517.779661378765</v>
      </c>
      <c r="AL295" s="50">
        <f t="shared" si="209"/>
        <v>0</v>
      </c>
      <c r="AM295" s="50">
        <f t="shared" si="209"/>
        <v>0</v>
      </c>
      <c r="AN295" s="50">
        <f t="shared" si="209"/>
        <v>0</v>
      </c>
      <c r="AO295" s="50">
        <f t="shared" si="209"/>
        <v>0</v>
      </c>
      <c r="AP295" s="50">
        <f t="shared" si="209"/>
        <v>0</v>
      </c>
      <c r="AQ295" s="50">
        <f t="shared" si="209"/>
        <v>0</v>
      </c>
      <c r="AR295" s="50">
        <f t="shared" si="209"/>
        <v>0</v>
      </c>
      <c r="AS295" s="50">
        <f t="shared" si="209"/>
        <v>0</v>
      </c>
      <c r="AT295" s="50">
        <f t="shared" si="209"/>
        <v>0</v>
      </c>
      <c r="AU295" s="50">
        <f t="shared" si="209"/>
        <v>0</v>
      </c>
    </row>
    <row r="296" spans="1:47">
      <c r="A296" s="38" t="str">
        <f t="shared" si="204"/>
        <v>3Y-</v>
      </c>
      <c r="B296" s="38" t="s">
        <v>257</v>
      </c>
      <c r="C296" s="38" t="str">
        <f t="shared" si="208"/>
        <v>Fluid Bed Incineration</v>
      </c>
      <c r="D296" s="186"/>
      <c r="E296" s="325"/>
      <c r="G296" s="36" t="s">
        <v>284</v>
      </c>
      <c r="I296" s="39"/>
      <c r="K296" s="39"/>
      <c r="L296" s="43" t="s">
        <v>293</v>
      </c>
      <c r="N296" s="70">
        <f ca="1">SUMIFS(OFFSET(Assumptions!$I$90,0,MATCH($A296,Configurations,0)-1,COUNT(Assumptions!$A$90:$A$183),1),Assumptions!$D$90:$D$183,$B296&amp;$C296)</f>
        <v>0</v>
      </c>
      <c r="O296" s="313"/>
      <c r="P296" s="323"/>
      <c r="Q296" s="313"/>
      <c r="R296" s="50">
        <f t="shared" ref="R296:AU296" ca="1" si="210">IF(OR(R$99&lt;InServiceYr,R$99&gt;(InServiceYr+analysis_period-1)),0,IF($P296=0,$N296,$P296)*R$501)</f>
        <v>0</v>
      </c>
      <c r="S296" s="50">
        <f t="shared" ca="1" si="210"/>
        <v>0</v>
      </c>
      <c r="T296" s="50">
        <f t="shared" ca="1" si="210"/>
        <v>0</v>
      </c>
      <c r="U296" s="50">
        <f t="shared" ca="1" si="210"/>
        <v>0</v>
      </c>
      <c r="V296" s="50">
        <f t="shared" ca="1" si="210"/>
        <v>0</v>
      </c>
      <c r="W296" s="50">
        <f t="shared" ca="1" si="210"/>
        <v>0</v>
      </c>
      <c r="X296" s="50">
        <f t="shared" ca="1" si="210"/>
        <v>0</v>
      </c>
      <c r="Y296" s="50">
        <f t="shared" ca="1" si="210"/>
        <v>0</v>
      </c>
      <c r="Z296" s="50">
        <f t="shared" ca="1" si="210"/>
        <v>0</v>
      </c>
      <c r="AA296" s="50">
        <f t="shared" ca="1" si="210"/>
        <v>0</v>
      </c>
      <c r="AB296" s="50">
        <f t="shared" ca="1" si="210"/>
        <v>0</v>
      </c>
      <c r="AC296" s="50">
        <f t="shared" ca="1" si="210"/>
        <v>0</v>
      </c>
      <c r="AD296" s="50">
        <f t="shared" ca="1" si="210"/>
        <v>0</v>
      </c>
      <c r="AE296" s="50">
        <f t="shared" ca="1" si="210"/>
        <v>0</v>
      </c>
      <c r="AF296" s="50">
        <f t="shared" ca="1" si="210"/>
        <v>0</v>
      </c>
      <c r="AG296" s="50">
        <f t="shared" ca="1" si="210"/>
        <v>0</v>
      </c>
      <c r="AH296" s="50">
        <f t="shared" ca="1" si="210"/>
        <v>0</v>
      </c>
      <c r="AI296" s="50">
        <f t="shared" ca="1" si="210"/>
        <v>0</v>
      </c>
      <c r="AJ296" s="50">
        <f t="shared" ca="1" si="210"/>
        <v>0</v>
      </c>
      <c r="AK296" s="50">
        <f t="shared" ca="1" si="210"/>
        <v>0</v>
      </c>
      <c r="AL296" s="50">
        <f t="shared" si="210"/>
        <v>0</v>
      </c>
      <c r="AM296" s="50">
        <f t="shared" si="210"/>
        <v>0</v>
      </c>
      <c r="AN296" s="50">
        <f t="shared" si="210"/>
        <v>0</v>
      </c>
      <c r="AO296" s="50">
        <f t="shared" si="210"/>
        <v>0</v>
      </c>
      <c r="AP296" s="50">
        <f t="shared" si="210"/>
        <v>0</v>
      </c>
      <c r="AQ296" s="50">
        <f t="shared" si="210"/>
        <v>0</v>
      </c>
      <c r="AR296" s="50">
        <f t="shared" si="210"/>
        <v>0</v>
      </c>
      <c r="AS296" s="50">
        <f t="shared" si="210"/>
        <v>0</v>
      </c>
      <c r="AT296" s="50">
        <f t="shared" si="210"/>
        <v>0</v>
      </c>
      <c r="AU296" s="50">
        <f t="shared" si="210"/>
        <v>0</v>
      </c>
    </row>
    <row r="297" spans="1:47">
      <c r="A297" s="38" t="str">
        <f t="shared" si="204"/>
        <v>3Y-</v>
      </c>
      <c r="B297" s="38" t="s">
        <v>864</v>
      </c>
      <c r="C297" s="38" t="str">
        <f t="shared" si="208"/>
        <v>Fluid Bed Incineration</v>
      </c>
      <c r="D297" s="186">
        <f>GHGEsc</f>
        <v>0.02</v>
      </c>
      <c r="E297" s="325"/>
      <c r="G297" s="36" t="s">
        <v>865</v>
      </c>
      <c r="I297" s="39"/>
      <c r="K297" s="39"/>
      <c r="L297" s="43" t="s">
        <v>866</v>
      </c>
      <c r="N297" s="70">
        <f ca="1">SUMIFS(OFFSET(Assumptions!$I$90,0,MATCH($A297,Configurations,0)-1,COUNT(Assumptions!$A$90:$A$183),1),Assumptions!$D$90:$D$183,$B297&amp;$C297)</f>
        <v>2227.2222222222222</v>
      </c>
      <c r="O297" s="313"/>
      <c r="P297" s="323"/>
      <c r="Q297" s="313"/>
      <c r="R297" s="50">
        <f t="shared" ref="R297:AU297" ca="1" si="211">IF(OR(R$99&lt;InServiceYr,R$99&gt;(InServiceYr+analysis_period-1)),0,IF($P297=0,$N297,$P297)*R$513)</f>
        <v>0</v>
      </c>
      <c r="S297" s="50">
        <f t="shared" ca="1" si="211"/>
        <v>0</v>
      </c>
      <c r="T297" s="50">
        <f t="shared" ca="1" si="211"/>
        <v>0</v>
      </c>
      <c r="U297" s="50">
        <f t="shared" ca="1" si="211"/>
        <v>0</v>
      </c>
      <c r="V297" s="50">
        <f t="shared" ca="1" si="211"/>
        <v>0</v>
      </c>
      <c r="W297" s="50">
        <f t="shared" ca="1" si="211"/>
        <v>0</v>
      </c>
      <c r="X297" s="50">
        <f t="shared" ca="1" si="211"/>
        <v>0</v>
      </c>
      <c r="Y297" s="50">
        <f t="shared" ca="1" si="211"/>
        <v>0</v>
      </c>
      <c r="Z297" s="50">
        <f t="shared" ca="1" si="211"/>
        <v>0</v>
      </c>
      <c r="AA297" s="50">
        <f t="shared" ca="1" si="211"/>
        <v>0</v>
      </c>
      <c r="AB297" s="50">
        <f t="shared" ca="1" si="211"/>
        <v>0</v>
      </c>
      <c r="AC297" s="50">
        <f t="shared" ca="1" si="211"/>
        <v>0</v>
      </c>
      <c r="AD297" s="50">
        <f t="shared" ca="1" si="211"/>
        <v>0</v>
      </c>
      <c r="AE297" s="50">
        <f t="shared" ca="1" si="211"/>
        <v>0</v>
      </c>
      <c r="AF297" s="50">
        <f t="shared" ca="1" si="211"/>
        <v>0</v>
      </c>
      <c r="AG297" s="50">
        <f t="shared" ca="1" si="211"/>
        <v>0</v>
      </c>
      <c r="AH297" s="50">
        <f t="shared" ca="1" si="211"/>
        <v>0</v>
      </c>
      <c r="AI297" s="50">
        <f t="shared" ca="1" si="211"/>
        <v>0</v>
      </c>
      <c r="AJ297" s="50">
        <f t="shared" ca="1" si="211"/>
        <v>0</v>
      </c>
      <c r="AK297" s="50">
        <f t="shared" ca="1" si="211"/>
        <v>0</v>
      </c>
      <c r="AL297" s="50">
        <f t="shared" si="211"/>
        <v>0</v>
      </c>
      <c r="AM297" s="50">
        <f t="shared" si="211"/>
        <v>0</v>
      </c>
      <c r="AN297" s="50">
        <f t="shared" si="211"/>
        <v>0</v>
      </c>
      <c r="AO297" s="50">
        <f t="shared" si="211"/>
        <v>0</v>
      </c>
      <c r="AP297" s="50">
        <f t="shared" si="211"/>
        <v>0</v>
      </c>
      <c r="AQ297" s="50">
        <f t="shared" si="211"/>
        <v>0</v>
      </c>
      <c r="AR297" s="50">
        <f t="shared" si="211"/>
        <v>0</v>
      </c>
      <c r="AS297" s="50">
        <f t="shared" si="211"/>
        <v>0</v>
      </c>
      <c r="AT297" s="50">
        <f t="shared" si="211"/>
        <v>0</v>
      </c>
      <c r="AU297" s="50">
        <f t="shared" si="211"/>
        <v>0</v>
      </c>
    </row>
    <row r="298" spans="1:47">
      <c r="A298" s="38" t="str">
        <f t="shared" si="204"/>
        <v>3Y-</v>
      </c>
      <c r="B298" s="38" t="s">
        <v>273</v>
      </c>
      <c r="C298" s="38" t="str">
        <f>C296</f>
        <v>Fluid Bed Incineration</v>
      </c>
      <c r="D298" s="186">
        <f>LaborEsc</f>
        <v>0.02</v>
      </c>
      <c r="E298" s="325"/>
      <c r="G298" s="36" t="s">
        <v>291</v>
      </c>
      <c r="I298" s="39"/>
      <c r="K298" s="39"/>
      <c r="L298" s="43" t="str">
        <f>"["&amp;CostBaseYr&amp;" $]"</f>
        <v>[2013 $]</v>
      </c>
      <c r="N298" s="70">
        <f ca="1">SUMIFS(OFFSET(Assumptions!$I$90,0,MATCH($A298,Configurations,0)-1,COUNT(Assumptions!$A$90:$A$183),1),Assumptions!$D$90:$D$183,$B298&amp;$C298)</f>
        <v>0</v>
      </c>
      <c r="O298" s="313"/>
      <c r="P298" s="323"/>
      <c r="Q298" s="313"/>
      <c r="R298" s="50">
        <f t="shared" ref="R298:AU298" ca="1" si="212">IF(OR(R$99&lt;InServiceYr,R$99&gt;(InServiceYr+analysis_period-1)),0,IF($P298=0,$N298,$P298)*(1+$D298)^(R$99-CostBaseYr))*R$509</f>
        <v>0</v>
      </c>
      <c r="S298" s="50">
        <f t="shared" ca="1" si="212"/>
        <v>0</v>
      </c>
      <c r="T298" s="50">
        <f t="shared" ca="1" si="212"/>
        <v>0</v>
      </c>
      <c r="U298" s="50">
        <f t="shared" ca="1" si="212"/>
        <v>0</v>
      </c>
      <c r="V298" s="50">
        <f t="shared" ca="1" si="212"/>
        <v>0</v>
      </c>
      <c r="W298" s="50">
        <f t="shared" ca="1" si="212"/>
        <v>0</v>
      </c>
      <c r="X298" s="50">
        <f t="shared" ca="1" si="212"/>
        <v>0</v>
      </c>
      <c r="Y298" s="50">
        <f t="shared" ca="1" si="212"/>
        <v>0</v>
      </c>
      <c r="Z298" s="50">
        <f t="shared" ca="1" si="212"/>
        <v>0</v>
      </c>
      <c r="AA298" s="50">
        <f t="shared" ca="1" si="212"/>
        <v>0</v>
      </c>
      <c r="AB298" s="50">
        <f t="shared" ca="1" si="212"/>
        <v>0</v>
      </c>
      <c r="AC298" s="50">
        <f t="shared" ca="1" si="212"/>
        <v>0</v>
      </c>
      <c r="AD298" s="50">
        <f t="shared" ca="1" si="212"/>
        <v>0</v>
      </c>
      <c r="AE298" s="50">
        <f t="shared" ca="1" si="212"/>
        <v>0</v>
      </c>
      <c r="AF298" s="50">
        <f t="shared" ca="1" si="212"/>
        <v>0</v>
      </c>
      <c r="AG298" s="50">
        <f t="shared" ca="1" si="212"/>
        <v>0</v>
      </c>
      <c r="AH298" s="50">
        <f t="shared" ca="1" si="212"/>
        <v>0</v>
      </c>
      <c r="AI298" s="50">
        <f t="shared" ca="1" si="212"/>
        <v>0</v>
      </c>
      <c r="AJ298" s="50">
        <f t="shared" ca="1" si="212"/>
        <v>0</v>
      </c>
      <c r="AK298" s="50">
        <f t="shared" ca="1" si="212"/>
        <v>0</v>
      </c>
      <c r="AL298" s="50">
        <f t="shared" si="212"/>
        <v>0</v>
      </c>
      <c r="AM298" s="50">
        <f t="shared" si="212"/>
        <v>0</v>
      </c>
      <c r="AN298" s="50">
        <f t="shared" si="212"/>
        <v>0</v>
      </c>
      <c r="AO298" s="50">
        <f t="shared" si="212"/>
        <v>0</v>
      </c>
      <c r="AP298" s="50">
        <f t="shared" si="212"/>
        <v>0</v>
      </c>
      <c r="AQ298" s="50">
        <f t="shared" si="212"/>
        <v>0</v>
      </c>
      <c r="AR298" s="50">
        <f t="shared" si="212"/>
        <v>0</v>
      </c>
      <c r="AS298" s="50">
        <f t="shared" si="212"/>
        <v>0</v>
      </c>
      <c r="AT298" s="50">
        <f t="shared" si="212"/>
        <v>0</v>
      </c>
      <c r="AU298" s="50">
        <f t="shared" si="212"/>
        <v>0</v>
      </c>
    </row>
    <row r="299" spans="1:47">
      <c r="D299" s="186"/>
      <c r="E299" s="325"/>
      <c r="G299" s="39" t="s">
        <v>304</v>
      </c>
      <c r="I299" s="39"/>
      <c r="K299" s="39"/>
      <c r="L299" s="43"/>
      <c r="N299" s="70"/>
      <c r="O299" s="313"/>
      <c r="P299" s="70"/>
      <c r="Q299" s="313"/>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row>
    <row r="300" spans="1:47">
      <c r="A300" s="38" t="str">
        <f>$J$4&amp;"-"</f>
        <v>3Y-</v>
      </c>
      <c r="B300" s="38" t="s">
        <v>265</v>
      </c>
      <c r="C300" s="38" t="str">
        <f>C291</f>
        <v>Fluid Bed Incineration</v>
      </c>
      <c r="D300" s="186"/>
      <c r="E300" s="325"/>
      <c r="G300" s="36" t="s">
        <v>108</v>
      </c>
      <c r="I300" s="39"/>
      <c r="K300" s="39"/>
      <c r="L300" s="43" t="s">
        <v>293</v>
      </c>
      <c r="N300" s="70">
        <f ca="1">SUMIFS(OFFSET(Assumptions!$I$90,0,MATCH($A300,Configurations,0)-1,COUNT(Assumptions!$A$90:$A$183),1),Assumptions!$D$90:$D$183,$B300&amp;$C300)</f>
        <v>839500</v>
      </c>
      <c r="O300" s="313"/>
      <c r="P300" s="323"/>
      <c r="Q300" s="313"/>
      <c r="R300" s="50">
        <f t="shared" ref="R300:AU300" ca="1" si="213">IF(OR(R$99&lt;InServiceYr,R$99&gt;(InServiceYr+analysis_period-1)),0,IF($P300=0,$N300,$P300)*R$501)</f>
        <v>54216.216314698242</v>
      </c>
      <c r="S300" s="50">
        <f t="shared" ca="1" si="213"/>
        <v>54554.174795003593</v>
      </c>
      <c r="T300" s="50">
        <f t="shared" ca="1" si="213"/>
        <v>56906.002078854835</v>
      </c>
      <c r="U300" s="50">
        <f t="shared" ca="1" si="213"/>
        <v>58613.03974258239</v>
      </c>
      <c r="V300" s="50">
        <f t="shared" ca="1" si="213"/>
        <v>60027.437471469479</v>
      </c>
      <c r="W300" s="50">
        <f t="shared" ca="1" si="213"/>
        <v>60795.385455406904</v>
      </c>
      <c r="X300" s="50">
        <f t="shared" ca="1" si="213"/>
        <v>61784.676737477617</v>
      </c>
      <c r="Y300" s="50">
        <f t="shared" ca="1" si="213"/>
        <v>63306.925334369298</v>
      </c>
      <c r="Z300" s="50">
        <f t="shared" ca="1" si="213"/>
        <v>64822.536294241254</v>
      </c>
      <c r="AA300" s="50">
        <f t="shared" ca="1" si="213"/>
        <v>66443.258916154955</v>
      </c>
      <c r="AB300" s="50">
        <f t="shared" ca="1" si="213"/>
        <v>67882.406816369956</v>
      </c>
      <c r="AC300" s="50">
        <f t="shared" ca="1" si="213"/>
        <v>69189.574792920117</v>
      </c>
      <c r="AD300" s="50">
        <f t="shared" ca="1" si="213"/>
        <v>70787.839933136245</v>
      </c>
      <c r="AE300" s="50">
        <f t="shared" ca="1" si="213"/>
        <v>72401.212209268735</v>
      </c>
      <c r="AF300" s="50">
        <f t="shared" ca="1" si="213"/>
        <v>74122.66719842462</v>
      </c>
      <c r="AG300" s="50">
        <f t="shared" ca="1" si="213"/>
        <v>76051.10254368493</v>
      </c>
      <c r="AH300" s="50">
        <f t="shared" ca="1" si="213"/>
        <v>77914.921823520534</v>
      </c>
      <c r="AI300" s="50">
        <f t="shared" ca="1" si="213"/>
        <v>79936.158146552727</v>
      </c>
      <c r="AJ300" s="50">
        <f t="shared" ca="1" si="213"/>
        <v>82075.930244443603</v>
      </c>
      <c r="AK300" s="50">
        <f t="shared" ca="1" si="213"/>
        <v>84308.663608020564</v>
      </c>
      <c r="AL300" s="50">
        <f t="shared" si="213"/>
        <v>0</v>
      </c>
      <c r="AM300" s="50">
        <f t="shared" si="213"/>
        <v>0</v>
      </c>
      <c r="AN300" s="50">
        <f t="shared" si="213"/>
        <v>0</v>
      </c>
      <c r="AO300" s="50">
        <f t="shared" si="213"/>
        <v>0</v>
      </c>
      <c r="AP300" s="50">
        <f t="shared" si="213"/>
        <v>0</v>
      </c>
      <c r="AQ300" s="50">
        <f t="shared" si="213"/>
        <v>0</v>
      </c>
      <c r="AR300" s="50">
        <f t="shared" si="213"/>
        <v>0</v>
      </c>
      <c r="AS300" s="50">
        <f t="shared" si="213"/>
        <v>0</v>
      </c>
      <c r="AT300" s="50">
        <f t="shared" si="213"/>
        <v>0</v>
      </c>
      <c r="AU300" s="50">
        <f t="shared" si="213"/>
        <v>0</v>
      </c>
    </row>
    <row r="301" spans="1:47">
      <c r="A301" s="38" t="str">
        <f>$J$4&amp;"-"</f>
        <v>3Y-</v>
      </c>
      <c r="B301" s="38" t="s">
        <v>289</v>
      </c>
      <c r="C301" s="38" t="str">
        <f>C291</f>
        <v>Fluid Bed Incineration</v>
      </c>
      <c r="D301" s="186">
        <f>LaborEsc</f>
        <v>0.02</v>
      </c>
      <c r="E301" s="325"/>
      <c r="G301" s="36" t="s">
        <v>292</v>
      </c>
      <c r="I301" s="39"/>
      <c r="K301" s="39"/>
      <c r="L301" s="43" t="str">
        <f>"["&amp;CostBaseYr&amp;" $]"</f>
        <v>[2013 $]</v>
      </c>
      <c r="N301" s="70">
        <f ca="1">SUMIFS(OFFSET(Assumptions!$I$90,0,MATCH($A301,Configurations,0)-1,COUNT(Assumptions!$A$90:$A$183),1),Assumptions!$D$90:$D$183,$B301&amp;$C301)</f>
        <v>0</v>
      </c>
      <c r="O301" s="313"/>
      <c r="P301" s="323"/>
      <c r="Q301" s="313"/>
      <c r="R301" s="50">
        <f t="shared" ref="R301:AU301" ca="1" si="214">IF(OR(R$99&lt;InServiceYr,R$99&gt;(InServiceYr+analysis_period-1)),0,IF($P301=0,$N301,$P301)*(1+$D301)^(R$99-CostBaseYr))</f>
        <v>0</v>
      </c>
      <c r="S301" s="50">
        <f t="shared" ca="1" si="214"/>
        <v>0</v>
      </c>
      <c r="T301" s="50">
        <f t="shared" ca="1" si="214"/>
        <v>0</v>
      </c>
      <c r="U301" s="50">
        <f t="shared" ca="1" si="214"/>
        <v>0</v>
      </c>
      <c r="V301" s="50">
        <f t="shared" ca="1" si="214"/>
        <v>0</v>
      </c>
      <c r="W301" s="50">
        <f t="shared" ca="1" si="214"/>
        <v>0</v>
      </c>
      <c r="X301" s="50">
        <f t="shared" ca="1" si="214"/>
        <v>0</v>
      </c>
      <c r="Y301" s="50">
        <f t="shared" ca="1" si="214"/>
        <v>0</v>
      </c>
      <c r="Z301" s="50">
        <f t="shared" ca="1" si="214"/>
        <v>0</v>
      </c>
      <c r="AA301" s="50">
        <f t="shared" ca="1" si="214"/>
        <v>0</v>
      </c>
      <c r="AB301" s="50">
        <f t="shared" ca="1" si="214"/>
        <v>0</v>
      </c>
      <c r="AC301" s="50">
        <f t="shared" ca="1" si="214"/>
        <v>0</v>
      </c>
      <c r="AD301" s="50">
        <f t="shared" ca="1" si="214"/>
        <v>0</v>
      </c>
      <c r="AE301" s="50">
        <f t="shared" ca="1" si="214"/>
        <v>0</v>
      </c>
      <c r="AF301" s="50">
        <f t="shared" ca="1" si="214"/>
        <v>0</v>
      </c>
      <c r="AG301" s="50">
        <f t="shared" ca="1" si="214"/>
        <v>0</v>
      </c>
      <c r="AH301" s="50">
        <f t="shared" ca="1" si="214"/>
        <v>0</v>
      </c>
      <c r="AI301" s="50">
        <f t="shared" ca="1" si="214"/>
        <v>0</v>
      </c>
      <c r="AJ301" s="50">
        <f t="shared" ca="1" si="214"/>
        <v>0</v>
      </c>
      <c r="AK301" s="50">
        <f t="shared" ca="1" si="214"/>
        <v>0</v>
      </c>
      <c r="AL301" s="50">
        <f t="shared" si="214"/>
        <v>0</v>
      </c>
      <c r="AM301" s="50">
        <f t="shared" si="214"/>
        <v>0</v>
      </c>
      <c r="AN301" s="50">
        <f t="shared" si="214"/>
        <v>0</v>
      </c>
      <c r="AO301" s="50">
        <f t="shared" si="214"/>
        <v>0</v>
      </c>
      <c r="AP301" s="50">
        <f t="shared" si="214"/>
        <v>0</v>
      </c>
      <c r="AQ301" s="50">
        <f t="shared" si="214"/>
        <v>0</v>
      </c>
      <c r="AR301" s="50">
        <f t="shared" si="214"/>
        <v>0</v>
      </c>
      <c r="AS301" s="50">
        <f t="shared" si="214"/>
        <v>0</v>
      </c>
      <c r="AT301" s="50">
        <f t="shared" si="214"/>
        <v>0</v>
      </c>
      <c r="AU301" s="50">
        <f t="shared" si="214"/>
        <v>0</v>
      </c>
    </row>
    <row r="302" spans="1:47" s="60" customFormat="1">
      <c r="D302" s="187"/>
      <c r="E302" s="325"/>
      <c r="G302" s="39" t="s">
        <v>305</v>
      </c>
      <c r="I302" s="39"/>
      <c r="K302" s="39"/>
      <c r="L302" s="174"/>
      <c r="N302" s="188"/>
      <c r="O302" s="314"/>
      <c r="P302" s="185"/>
      <c r="Q302" s="314"/>
      <c r="R302" s="185">
        <f ca="1">SUM(R291:R298)-SUM(R300:R301)</f>
        <v>457564.37175106746</v>
      </c>
      <c r="S302" s="185">
        <f t="shared" ref="S302:AU302" ca="1" si="215">SUM(S291:S298)-SUM(S300:S301)</f>
        <v>467660.0766503826</v>
      </c>
      <c r="T302" s="185">
        <f t="shared" ca="1" si="215"/>
        <v>478875.32026980934</v>
      </c>
      <c r="U302" s="185">
        <f t="shared" ca="1" si="215"/>
        <v>489218.95324492571</v>
      </c>
      <c r="V302" s="185">
        <f t="shared" ca="1" si="215"/>
        <v>500536.67380103044</v>
      </c>
      <c r="W302" s="185">
        <f t="shared" ca="1" si="215"/>
        <v>511802.01665294351</v>
      </c>
      <c r="X302" s="185">
        <f t="shared" ca="1" si="215"/>
        <v>522747.55741443805</v>
      </c>
      <c r="Y302" s="185">
        <f t="shared" ca="1" si="215"/>
        <v>533688.09249195107</v>
      </c>
      <c r="Z302" s="185">
        <f t="shared" ca="1" si="215"/>
        <v>545547.96152098081</v>
      </c>
      <c r="AA302" s="185">
        <f t="shared" ca="1" si="215"/>
        <v>557557.21007502021</v>
      </c>
      <c r="AB302" s="185">
        <f t="shared" ca="1" si="215"/>
        <v>569333.37632932619</v>
      </c>
      <c r="AC302" s="185">
        <f t="shared" ca="1" si="215"/>
        <v>581021.70835103048</v>
      </c>
      <c r="AD302" s="185">
        <f t="shared" ca="1" si="215"/>
        <v>593244.38663871365</v>
      </c>
      <c r="AE302" s="185">
        <f t="shared" ca="1" si="215"/>
        <v>605157.63869134407</v>
      </c>
      <c r="AF302" s="185">
        <f t="shared" ca="1" si="215"/>
        <v>617812.10507021123</v>
      </c>
      <c r="AG302" s="185">
        <f t="shared" ca="1" si="215"/>
        <v>630460.32889146404</v>
      </c>
      <c r="AH302" s="185">
        <f t="shared" ca="1" si="215"/>
        <v>643341.69303441315</v>
      </c>
      <c r="AI302" s="185">
        <f t="shared" ca="1" si="215"/>
        <v>656764.65880925755</v>
      </c>
      <c r="AJ302" s="185">
        <f t="shared" ca="1" si="215"/>
        <v>670178.69879439904</v>
      </c>
      <c r="AK302" s="185">
        <f t="shared" ca="1" si="215"/>
        <v>684313.23166855995</v>
      </c>
      <c r="AL302" s="185">
        <f t="shared" si="215"/>
        <v>0</v>
      </c>
      <c r="AM302" s="185">
        <f t="shared" si="215"/>
        <v>0</v>
      </c>
      <c r="AN302" s="185">
        <f t="shared" si="215"/>
        <v>0</v>
      </c>
      <c r="AO302" s="185">
        <f t="shared" si="215"/>
        <v>0</v>
      </c>
      <c r="AP302" s="185">
        <f t="shared" si="215"/>
        <v>0</v>
      </c>
      <c r="AQ302" s="185">
        <f t="shared" si="215"/>
        <v>0</v>
      </c>
      <c r="AR302" s="185">
        <f t="shared" si="215"/>
        <v>0</v>
      </c>
      <c r="AS302" s="185">
        <f t="shared" si="215"/>
        <v>0</v>
      </c>
      <c r="AT302" s="185">
        <f t="shared" si="215"/>
        <v>0</v>
      </c>
      <c r="AU302" s="185">
        <f t="shared" si="215"/>
        <v>0</v>
      </c>
    </row>
    <row r="303" spans="1:47">
      <c r="E303" s="36"/>
      <c r="G303" s="39"/>
      <c r="H303" s="39"/>
      <c r="I303" s="39"/>
      <c r="J303" s="39"/>
      <c r="K303" s="39"/>
    </row>
    <row r="304" spans="1:47">
      <c r="E304" s="327"/>
      <c r="F304" s="28"/>
      <c r="G304" s="324" t="str">
        <f>C306&amp;" Capital Costs"</f>
        <v>FOG Receiving Capital Costs</v>
      </c>
      <c r="H304" s="324"/>
      <c r="I304" s="324"/>
      <c r="J304" s="324"/>
      <c r="K304" s="324"/>
      <c r="L304" s="405" t="s">
        <v>79</v>
      </c>
      <c r="M304" s="256"/>
      <c r="N304" s="325" t="s">
        <v>490</v>
      </c>
      <c r="O304" s="311"/>
      <c r="P304" s="325" t="s">
        <v>491</v>
      </c>
      <c r="Q304" s="310"/>
      <c r="R304" s="325">
        <f>R$8</f>
        <v>2014</v>
      </c>
      <c r="S304" s="325">
        <f t="shared" ref="S304:AU304" si="216">S$8</f>
        <v>2015</v>
      </c>
      <c r="T304" s="325">
        <f t="shared" si="216"/>
        <v>2016</v>
      </c>
      <c r="U304" s="325">
        <f t="shared" si="216"/>
        <v>2017</v>
      </c>
      <c r="V304" s="325">
        <f t="shared" si="216"/>
        <v>2018</v>
      </c>
      <c r="W304" s="325">
        <f t="shared" si="216"/>
        <v>2019</v>
      </c>
      <c r="X304" s="325">
        <f t="shared" si="216"/>
        <v>2020</v>
      </c>
      <c r="Y304" s="325">
        <f t="shared" si="216"/>
        <v>2021</v>
      </c>
      <c r="Z304" s="325">
        <f t="shared" si="216"/>
        <v>2022</v>
      </c>
      <c r="AA304" s="325">
        <f t="shared" si="216"/>
        <v>2023</v>
      </c>
      <c r="AB304" s="325">
        <f t="shared" si="216"/>
        <v>2024</v>
      </c>
      <c r="AC304" s="325">
        <f t="shared" si="216"/>
        <v>2025</v>
      </c>
      <c r="AD304" s="325">
        <f t="shared" si="216"/>
        <v>2026</v>
      </c>
      <c r="AE304" s="325">
        <f t="shared" si="216"/>
        <v>2027</v>
      </c>
      <c r="AF304" s="325">
        <f t="shared" si="216"/>
        <v>2028</v>
      </c>
      <c r="AG304" s="325">
        <f t="shared" si="216"/>
        <v>2029</v>
      </c>
      <c r="AH304" s="325">
        <f t="shared" si="216"/>
        <v>2030</v>
      </c>
      <c r="AI304" s="325">
        <f t="shared" si="216"/>
        <v>2031</v>
      </c>
      <c r="AJ304" s="325">
        <f t="shared" si="216"/>
        <v>2032</v>
      </c>
      <c r="AK304" s="325">
        <f t="shared" si="216"/>
        <v>2033</v>
      </c>
      <c r="AL304" s="325">
        <f t="shared" si="216"/>
        <v>2034</v>
      </c>
      <c r="AM304" s="325">
        <f t="shared" si="216"/>
        <v>2035</v>
      </c>
      <c r="AN304" s="325">
        <f t="shared" si="216"/>
        <v>2036</v>
      </c>
      <c r="AO304" s="325">
        <f t="shared" si="216"/>
        <v>2037</v>
      </c>
      <c r="AP304" s="325">
        <f t="shared" si="216"/>
        <v>2038</v>
      </c>
      <c r="AQ304" s="325">
        <f t="shared" si="216"/>
        <v>2039</v>
      </c>
      <c r="AR304" s="325">
        <f t="shared" si="216"/>
        <v>2040</v>
      </c>
      <c r="AS304" s="325">
        <f t="shared" si="216"/>
        <v>2041</v>
      </c>
      <c r="AT304" s="325">
        <f t="shared" si="216"/>
        <v>2042</v>
      </c>
      <c r="AU304" s="325">
        <f t="shared" si="216"/>
        <v>2043</v>
      </c>
    </row>
    <row r="305" spans="1:47">
      <c r="E305" s="325"/>
      <c r="G305" s="39"/>
      <c r="H305" s="39"/>
      <c r="I305" s="39"/>
      <c r="J305" s="39"/>
      <c r="K305" s="39"/>
    </row>
    <row r="306" spans="1:47">
      <c r="A306" s="38" t="str">
        <f>$J$4&amp;"-"</f>
        <v>3Y-</v>
      </c>
      <c r="B306" s="38" t="s">
        <v>306</v>
      </c>
      <c r="C306" s="38" t="s">
        <v>161</v>
      </c>
      <c r="D306" s="186">
        <f>CapExEsc</f>
        <v>0.03</v>
      </c>
      <c r="E306" s="325"/>
      <c r="G306" s="36" t="s">
        <v>8</v>
      </c>
      <c r="H306" s="39"/>
      <c r="I306" s="39"/>
      <c r="J306" s="70"/>
      <c r="K306" s="39"/>
      <c r="L306" s="43" t="str">
        <f>"["&amp;CostBaseYr&amp;" $]"</f>
        <v>[2013 $]</v>
      </c>
      <c r="N306" s="52">
        <f ca="1">SUMIFS(OFFSET(Assumptions!$I$65,0,MATCH($A306,Configurations,0)-1,COUNT(Assumptions!$A$65:$A$84),1),Assumptions!$E$65:$E$84,$C306)</f>
        <v>0</v>
      </c>
      <c r="O306" s="52"/>
      <c r="P306" s="322"/>
      <c r="Q306" s="52"/>
      <c r="R306" s="52">
        <f t="shared" ref="R306:AU306" ca="1" si="217">R307*IF($P306=0,$N306,$P306)*(1+$D306)^(R$8-CostBaseYr)</f>
        <v>0</v>
      </c>
      <c r="S306" s="52">
        <f t="shared" ca="1" si="217"/>
        <v>0</v>
      </c>
      <c r="T306" s="52">
        <f t="shared" ca="1" si="217"/>
        <v>0</v>
      </c>
      <c r="U306" s="52">
        <f t="shared" ca="1" si="217"/>
        <v>0</v>
      </c>
      <c r="V306" s="52">
        <f t="shared" ca="1" si="217"/>
        <v>0</v>
      </c>
      <c r="W306" s="52">
        <f t="shared" ca="1" si="217"/>
        <v>0</v>
      </c>
      <c r="X306" s="52">
        <f t="shared" ca="1" si="217"/>
        <v>0</v>
      </c>
      <c r="Y306" s="52">
        <f t="shared" ca="1" si="217"/>
        <v>0</v>
      </c>
      <c r="Z306" s="52">
        <f t="shared" ca="1" si="217"/>
        <v>0</v>
      </c>
      <c r="AA306" s="52">
        <f t="shared" ca="1" si="217"/>
        <v>0</v>
      </c>
      <c r="AB306" s="52">
        <f t="shared" ca="1" si="217"/>
        <v>0</v>
      </c>
      <c r="AC306" s="52">
        <f t="shared" ca="1" si="217"/>
        <v>0</v>
      </c>
      <c r="AD306" s="52">
        <f t="shared" ca="1" si="217"/>
        <v>0</v>
      </c>
      <c r="AE306" s="52">
        <f t="shared" ca="1" si="217"/>
        <v>0</v>
      </c>
      <c r="AF306" s="52">
        <f t="shared" ca="1" si="217"/>
        <v>0</v>
      </c>
      <c r="AG306" s="52">
        <f t="shared" ca="1" si="217"/>
        <v>0</v>
      </c>
      <c r="AH306" s="52">
        <f t="shared" ca="1" si="217"/>
        <v>0</v>
      </c>
      <c r="AI306" s="52">
        <f t="shared" ca="1" si="217"/>
        <v>0</v>
      </c>
      <c r="AJ306" s="52">
        <f t="shared" ca="1" si="217"/>
        <v>0</v>
      </c>
      <c r="AK306" s="52">
        <f t="shared" ca="1" si="217"/>
        <v>0</v>
      </c>
      <c r="AL306" s="52">
        <f t="shared" ca="1" si="217"/>
        <v>0</v>
      </c>
      <c r="AM306" s="52">
        <f t="shared" ca="1" si="217"/>
        <v>0</v>
      </c>
      <c r="AN306" s="52">
        <f t="shared" ca="1" si="217"/>
        <v>0</v>
      </c>
      <c r="AO306" s="52">
        <f t="shared" ca="1" si="217"/>
        <v>0</v>
      </c>
      <c r="AP306" s="52">
        <f t="shared" ca="1" si="217"/>
        <v>0</v>
      </c>
      <c r="AQ306" s="52">
        <f t="shared" ca="1" si="217"/>
        <v>0</v>
      </c>
      <c r="AR306" s="52">
        <f t="shared" ca="1" si="217"/>
        <v>0</v>
      </c>
      <c r="AS306" s="52">
        <f t="shared" ca="1" si="217"/>
        <v>0</v>
      </c>
      <c r="AT306" s="52">
        <f t="shared" ca="1" si="217"/>
        <v>0</v>
      </c>
      <c r="AU306" s="52">
        <f t="shared" ca="1" si="217"/>
        <v>0</v>
      </c>
    </row>
    <row r="307" spans="1:47">
      <c r="E307" s="325"/>
      <c r="G307" s="36" t="s">
        <v>10</v>
      </c>
      <c r="H307" s="39"/>
      <c r="I307" s="39"/>
      <c r="J307" s="39"/>
      <c r="K307" s="39"/>
      <c r="L307" s="43"/>
      <c r="R307" s="54">
        <f>Assumptions!M$60</f>
        <v>1</v>
      </c>
      <c r="S307" s="54">
        <f>Assumptions!N$60</f>
        <v>0</v>
      </c>
      <c r="T307" s="54">
        <f>Assumptions!O$60</f>
        <v>0</v>
      </c>
      <c r="U307" s="54">
        <f>Assumptions!P$60</f>
        <v>0</v>
      </c>
      <c r="V307" s="54">
        <f>Assumptions!Q$60</f>
        <v>0</v>
      </c>
      <c r="W307" s="54">
        <f>Assumptions!R$60</f>
        <v>0</v>
      </c>
      <c r="X307" s="54">
        <f>Assumptions!S$60</f>
        <v>0</v>
      </c>
      <c r="Y307" s="54">
        <f>Assumptions!T$60</f>
        <v>0</v>
      </c>
      <c r="Z307" s="54">
        <f>Assumptions!U$60</f>
        <v>0</v>
      </c>
      <c r="AA307" s="54">
        <f>Assumptions!V$60</f>
        <v>0</v>
      </c>
      <c r="AB307" s="54">
        <f>Assumptions!W$60</f>
        <v>0</v>
      </c>
      <c r="AC307" s="54">
        <f>Assumptions!X$60</f>
        <v>0</v>
      </c>
      <c r="AD307" s="54">
        <f>Assumptions!Y$60</f>
        <v>0</v>
      </c>
      <c r="AE307" s="54">
        <f>Assumptions!Z$60</f>
        <v>0</v>
      </c>
      <c r="AF307" s="54">
        <f>Assumptions!AA$60</f>
        <v>0</v>
      </c>
      <c r="AG307" s="54">
        <f>Assumptions!AB$60</f>
        <v>0</v>
      </c>
      <c r="AH307" s="54">
        <f>Assumptions!AC$60</f>
        <v>0</v>
      </c>
      <c r="AI307" s="54">
        <f>Assumptions!AD$60</f>
        <v>0</v>
      </c>
      <c r="AJ307" s="54">
        <f>Assumptions!AE$60</f>
        <v>0</v>
      </c>
      <c r="AK307" s="54">
        <f>Assumptions!AF$60</f>
        <v>0</v>
      </c>
      <c r="AL307" s="54">
        <f>Assumptions!AG$60</f>
        <v>0</v>
      </c>
      <c r="AM307" s="54">
        <f>Assumptions!AH$60</f>
        <v>0</v>
      </c>
      <c r="AN307" s="54">
        <f>Assumptions!AI$60</f>
        <v>0</v>
      </c>
      <c r="AO307" s="54">
        <f>Assumptions!AJ$60</f>
        <v>0</v>
      </c>
      <c r="AP307" s="54">
        <f>Assumptions!AK$60</f>
        <v>0</v>
      </c>
      <c r="AQ307" s="54">
        <f>Assumptions!AL$60</f>
        <v>0</v>
      </c>
      <c r="AR307" s="54">
        <f>Assumptions!AM$60</f>
        <v>0</v>
      </c>
      <c r="AS307" s="54">
        <f>Assumptions!AN$60</f>
        <v>0</v>
      </c>
      <c r="AT307" s="54">
        <f>Assumptions!AO$60</f>
        <v>0</v>
      </c>
      <c r="AU307" s="54">
        <f>Assumptions!AP$60</f>
        <v>0</v>
      </c>
    </row>
    <row r="308" spans="1:47">
      <c r="E308" s="326"/>
      <c r="G308" s="39"/>
      <c r="H308" s="39"/>
      <c r="I308" s="39"/>
      <c r="J308" s="39"/>
      <c r="K308" s="39"/>
    </row>
    <row r="309" spans="1:47">
      <c r="E309" s="327"/>
      <c r="F309" s="28"/>
      <c r="G309" s="324" t="str">
        <f>C306&amp;" O&amp;M"</f>
        <v>FOG Receiving O&amp;M</v>
      </c>
      <c r="H309" s="324"/>
      <c r="I309" s="324"/>
      <c r="J309" s="324"/>
      <c r="K309" s="324"/>
      <c r="L309" s="405" t="s">
        <v>79</v>
      </c>
      <c r="M309" s="256"/>
      <c r="N309" s="325" t="s">
        <v>490</v>
      </c>
      <c r="O309" s="311"/>
      <c r="P309" s="325" t="s">
        <v>491</v>
      </c>
      <c r="Q309" s="310"/>
      <c r="R309" s="325">
        <f>R$8</f>
        <v>2014</v>
      </c>
      <c r="S309" s="325">
        <f t="shared" ref="S309:AU309" si="218">S$8</f>
        <v>2015</v>
      </c>
      <c r="T309" s="325">
        <f t="shared" si="218"/>
        <v>2016</v>
      </c>
      <c r="U309" s="325">
        <f t="shared" si="218"/>
        <v>2017</v>
      </c>
      <c r="V309" s="325">
        <f t="shared" si="218"/>
        <v>2018</v>
      </c>
      <c r="W309" s="325">
        <f t="shared" si="218"/>
        <v>2019</v>
      </c>
      <c r="X309" s="325">
        <f t="shared" si="218"/>
        <v>2020</v>
      </c>
      <c r="Y309" s="325">
        <f t="shared" si="218"/>
        <v>2021</v>
      </c>
      <c r="Z309" s="325">
        <f t="shared" si="218"/>
        <v>2022</v>
      </c>
      <c r="AA309" s="325">
        <f t="shared" si="218"/>
        <v>2023</v>
      </c>
      <c r="AB309" s="325">
        <f t="shared" si="218"/>
        <v>2024</v>
      </c>
      <c r="AC309" s="325">
        <f t="shared" si="218"/>
        <v>2025</v>
      </c>
      <c r="AD309" s="325">
        <f t="shared" si="218"/>
        <v>2026</v>
      </c>
      <c r="AE309" s="325">
        <f t="shared" si="218"/>
        <v>2027</v>
      </c>
      <c r="AF309" s="325">
        <f t="shared" si="218"/>
        <v>2028</v>
      </c>
      <c r="AG309" s="325">
        <f t="shared" si="218"/>
        <v>2029</v>
      </c>
      <c r="AH309" s="325">
        <f t="shared" si="218"/>
        <v>2030</v>
      </c>
      <c r="AI309" s="325">
        <f t="shared" si="218"/>
        <v>2031</v>
      </c>
      <c r="AJ309" s="325">
        <f t="shared" si="218"/>
        <v>2032</v>
      </c>
      <c r="AK309" s="325">
        <f t="shared" si="218"/>
        <v>2033</v>
      </c>
      <c r="AL309" s="325">
        <f t="shared" si="218"/>
        <v>2034</v>
      </c>
      <c r="AM309" s="325">
        <f t="shared" si="218"/>
        <v>2035</v>
      </c>
      <c r="AN309" s="325">
        <f t="shared" si="218"/>
        <v>2036</v>
      </c>
      <c r="AO309" s="325">
        <f t="shared" si="218"/>
        <v>2037</v>
      </c>
      <c r="AP309" s="325">
        <f t="shared" si="218"/>
        <v>2038</v>
      </c>
      <c r="AQ309" s="325">
        <f t="shared" si="218"/>
        <v>2039</v>
      </c>
      <c r="AR309" s="325">
        <f t="shared" si="218"/>
        <v>2040</v>
      </c>
      <c r="AS309" s="325">
        <f t="shared" si="218"/>
        <v>2041</v>
      </c>
      <c r="AT309" s="325">
        <f t="shared" si="218"/>
        <v>2042</v>
      </c>
      <c r="AU309" s="325">
        <f t="shared" si="218"/>
        <v>2043</v>
      </c>
    </row>
    <row r="310" spans="1:47">
      <c r="E310" s="325"/>
      <c r="G310" s="39"/>
      <c r="H310" s="39"/>
      <c r="I310" s="39"/>
      <c r="J310" s="39"/>
      <c r="K310" s="39"/>
    </row>
    <row r="311" spans="1:47">
      <c r="E311" s="325"/>
      <c r="G311" s="39" t="s">
        <v>23</v>
      </c>
      <c r="H311" s="39"/>
      <c r="I311" s="39"/>
      <c r="J311" s="39"/>
      <c r="K311" s="39"/>
    </row>
    <row r="312" spans="1:47">
      <c r="A312" s="38" t="str">
        <f t="shared" ref="A312:A319" si="219">$J$4&amp;"-"</f>
        <v>3Y-</v>
      </c>
      <c r="B312" s="38" t="s">
        <v>262</v>
      </c>
      <c r="C312" s="38" t="str">
        <f>C306</f>
        <v>FOG Receiving</v>
      </c>
      <c r="D312" s="186">
        <f>LaborEsc</f>
        <v>0.02</v>
      </c>
      <c r="E312" s="325"/>
      <c r="G312" s="36" t="s">
        <v>125</v>
      </c>
      <c r="I312" s="39"/>
      <c r="K312" s="39"/>
      <c r="L312" s="43" t="s">
        <v>266</v>
      </c>
      <c r="N312" s="70">
        <f ca="1">SUMIFS(OFFSET(Assumptions!$I$90,0,MATCH($A312,Configurations,0)-1,COUNT(Assumptions!$A$90:$A$183),1),Assumptions!$D$90:$D$183,$B312&amp;$C312)</f>
        <v>0</v>
      </c>
      <c r="O312" s="313"/>
      <c r="P312" s="323"/>
      <c r="Q312" s="313"/>
      <c r="R312" s="50">
        <f t="shared" ref="R312:AU312" ca="1" si="220">IF(OR(R$99&lt;InServiceYr,R$99&gt;(InServiceYr+analysis_period-1)),0,IF($P312=0,$N312,$P312)*LaborCost*(1+$D312)^(R$99-CostBaseYr))</f>
        <v>0</v>
      </c>
      <c r="S312" s="50">
        <f t="shared" ca="1" si="220"/>
        <v>0</v>
      </c>
      <c r="T312" s="50">
        <f t="shared" ca="1" si="220"/>
        <v>0</v>
      </c>
      <c r="U312" s="50">
        <f t="shared" ca="1" si="220"/>
        <v>0</v>
      </c>
      <c r="V312" s="50">
        <f t="shared" ca="1" si="220"/>
        <v>0</v>
      </c>
      <c r="W312" s="50">
        <f t="shared" ca="1" si="220"/>
        <v>0</v>
      </c>
      <c r="X312" s="50">
        <f t="shared" ca="1" si="220"/>
        <v>0</v>
      </c>
      <c r="Y312" s="50">
        <f t="shared" ca="1" si="220"/>
        <v>0</v>
      </c>
      <c r="Z312" s="50">
        <f t="shared" ca="1" si="220"/>
        <v>0</v>
      </c>
      <c r="AA312" s="50">
        <f t="shared" ca="1" si="220"/>
        <v>0</v>
      </c>
      <c r="AB312" s="50">
        <f t="shared" ca="1" si="220"/>
        <v>0</v>
      </c>
      <c r="AC312" s="50">
        <f t="shared" ca="1" si="220"/>
        <v>0</v>
      </c>
      <c r="AD312" s="50">
        <f t="shared" ca="1" si="220"/>
        <v>0</v>
      </c>
      <c r="AE312" s="50">
        <f t="shared" ca="1" si="220"/>
        <v>0</v>
      </c>
      <c r="AF312" s="50">
        <f t="shared" ca="1" si="220"/>
        <v>0</v>
      </c>
      <c r="AG312" s="50">
        <f t="shared" ca="1" si="220"/>
        <v>0</v>
      </c>
      <c r="AH312" s="50">
        <f t="shared" ca="1" si="220"/>
        <v>0</v>
      </c>
      <c r="AI312" s="50">
        <f t="shared" ca="1" si="220"/>
        <v>0</v>
      </c>
      <c r="AJ312" s="50">
        <f t="shared" ca="1" si="220"/>
        <v>0</v>
      </c>
      <c r="AK312" s="50">
        <f t="shared" ca="1" si="220"/>
        <v>0</v>
      </c>
      <c r="AL312" s="50">
        <f t="shared" si="220"/>
        <v>0</v>
      </c>
      <c r="AM312" s="50">
        <f t="shared" si="220"/>
        <v>0</v>
      </c>
      <c r="AN312" s="50">
        <f t="shared" si="220"/>
        <v>0</v>
      </c>
      <c r="AO312" s="50">
        <f t="shared" si="220"/>
        <v>0</v>
      </c>
      <c r="AP312" s="50">
        <f t="shared" si="220"/>
        <v>0</v>
      </c>
      <c r="AQ312" s="50">
        <f t="shared" si="220"/>
        <v>0</v>
      </c>
      <c r="AR312" s="50">
        <f t="shared" si="220"/>
        <v>0</v>
      </c>
      <c r="AS312" s="50">
        <f t="shared" si="220"/>
        <v>0</v>
      </c>
      <c r="AT312" s="50">
        <f t="shared" si="220"/>
        <v>0</v>
      </c>
      <c r="AU312" s="50">
        <f t="shared" si="220"/>
        <v>0</v>
      </c>
    </row>
    <row r="313" spans="1:47">
      <c r="A313" s="38" t="str">
        <f t="shared" si="219"/>
        <v>3Y-</v>
      </c>
      <c r="B313" s="38" t="s">
        <v>270</v>
      </c>
      <c r="C313" s="38" t="str">
        <f>C312</f>
        <v>FOG Receiving</v>
      </c>
      <c r="D313" s="186">
        <f>OMEsc</f>
        <v>0.02</v>
      </c>
      <c r="E313" s="325"/>
      <c r="G313" s="36" t="s">
        <v>126</v>
      </c>
      <c r="I313" s="39"/>
      <c r="K313" s="39"/>
      <c r="L313" s="43" t="str">
        <f>"["&amp;CostBaseYr&amp;" $]"</f>
        <v>[2013 $]</v>
      </c>
      <c r="N313" s="70">
        <f ca="1">SUMIFS(OFFSET(Assumptions!$I$90,0,MATCH($A313,Configurations,0)-1,COUNT(Assumptions!$A$90:$A$183),1),Assumptions!$D$90:$D$183,$B313&amp;$C313)</f>
        <v>0</v>
      </c>
      <c r="O313" s="313"/>
      <c r="P313" s="323"/>
      <c r="Q313" s="313"/>
      <c r="R313" s="50">
        <f t="shared" ref="R313:AG315" ca="1" si="221">IF(OR(R$99&lt;InServiceYr,R$99&gt;(InServiceYr+analysis_period-1)),0,IF($P313=0,$N313,$P313)*(1+$D313)^(R$99-CostBaseYr))</f>
        <v>0</v>
      </c>
      <c r="S313" s="50">
        <f t="shared" ca="1" si="221"/>
        <v>0</v>
      </c>
      <c r="T313" s="50">
        <f t="shared" ca="1" si="221"/>
        <v>0</v>
      </c>
      <c r="U313" s="50">
        <f t="shared" ca="1" si="221"/>
        <v>0</v>
      </c>
      <c r="V313" s="50">
        <f t="shared" ca="1" si="221"/>
        <v>0</v>
      </c>
      <c r="W313" s="50">
        <f t="shared" ca="1" si="221"/>
        <v>0</v>
      </c>
      <c r="X313" s="50">
        <f t="shared" ca="1" si="221"/>
        <v>0</v>
      </c>
      <c r="Y313" s="50">
        <f t="shared" ca="1" si="221"/>
        <v>0</v>
      </c>
      <c r="Z313" s="50">
        <f t="shared" ca="1" si="221"/>
        <v>0</v>
      </c>
      <c r="AA313" s="50">
        <f t="shared" ca="1" si="221"/>
        <v>0</v>
      </c>
      <c r="AB313" s="50">
        <f t="shared" ca="1" si="221"/>
        <v>0</v>
      </c>
      <c r="AC313" s="50">
        <f t="shared" ca="1" si="221"/>
        <v>0</v>
      </c>
      <c r="AD313" s="50">
        <f t="shared" ca="1" si="221"/>
        <v>0</v>
      </c>
      <c r="AE313" s="50">
        <f t="shared" ca="1" si="221"/>
        <v>0</v>
      </c>
      <c r="AF313" s="50">
        <f t="shared" ca="1" si="221"/>
        <v>0</v>
      </c>
      <c r="AG313" s="50">
        <f t="shared" ca="1" si="221"/>
        <v>0</v>
      </c>
      <c r="AH313" s="50">
        <f t="shared" ref="S313:AU315" ca="1" si="222">IF(OR(AH$99&lt;InServiceYr,AH$99&gt;(InServiceYr+analysis_period-1)),0,IF($P313=0,$N313,$P313)*(1+$D313)^(AH$99-CostBaseYr))</f>
        <v>0</v>
      </c>
      <c r="AI313" s="50">
        <f t="shared" ca="1" si="222"/>
        <v>0</v>
      </c>
      <c r="AJ313" s="50">
        <f t="shared" ca="1" si="222"/>
        <v>0</v>
      </c>
      <c r="AK313" s="50">
        <f t="shared" ca="1" si="222"/>
        <v>0</v>
      </c>
      <c r="AL313" s="50">
        <f t="shared" si="222"/>
        <v>0</v>
      </c>
      <c r="AM313" s="50">
        <f t="shared" si="222"/>
        <v>0</v>
      </c>
      <c r="AN313" s="50">
        <f t="shared" si="222"/>
        <v>0</v>
      </c>
      <c r="AO313" s="50">
        <f t="shared" si="222"/>
        <v>0</v>
      </c>
      <c r="AP313" s="50">
        <f t="shared" si="222"/>
        <v>0</v>
      </c>
      <c r="AQ313" s="50">
        <f t="shared" si="222"/>
        <v>0</v>
      </c>
      <c r="AR313" s="50">
        <f t="shared" si="222"/>
        <v>0</v>
      </c>
      <c r="AS313" s="50">
        <f t="shared" si="222"/>
        <v>0</v>
      </c>
      <c r="AT313" s="50">
        <f t="shared" si="222"/>
        <v>0</v>
      </c>
      <c r="AU313" s="50">
        <f t="shared" si="222"/>
        <v>0</v>
      </c>
    </row>
    <row r="314" spans="1:47">
      <c r="A314" s="38" t="str">
        <f t="shared" si="219"/>
        <v>3Y-</v>
      </c>
      <c r="B314" s="38" t="s">
        <v>263</v>
      </c>
      <c r="C314" s="38" t="str">
        <f t="shared" ref="C314:C318" si="223">C313</f>
        <v>FOG Receiving</v>
      </c>
      <c r="D314" s="186">
        <f>OMEsc</f>
        <v>0.02</v>
      </c>
      <c r="E314" s="325"/>
      <c r="G314" s="36" t="s">
        <v>127</v>
      </c>
      <c r="I314" s="39"/>
      <c r="K314" s="39"/>
      <c r="L314" s="43" t="str">
        <f>"["&amp;CostBaseYr&amp;" $]"</f>
        <v>[2013 $]</v>
      </c>
      <c r="N314" s="70">
        <f ca="1">SUMIFS(OFFSET(Assumptions!$I$90,0,MATCH($A314,Configurations,0)-1,COUNT(Assumptions!$A$90:$A$183),1),Assumptions!$D$90:$D$183,$B314&amp;$C314)</f>
        <v>0</v>
      </c>
      <c r="O314" s="313"/>
      <c r="P314" s="323"/>
      <c r="Q314" s="313"/>
      <c r="R314" s="50">
        <f t="shared" ca="1" si="221"/>
        <v>0</v>
      </c>
      <c r="S314" s="50">
        <f t="shared" ca="1" si="222"/>
        <v>0</v>
      </c>
      <c r="T314" s="50">
        <f t="shared" ca="1" si="222"/>
        <v>0</v>
      </c>
      <c r="U314" s="50">
        <f t="shared" ca="1" si="222"/>
        <v>0</v>
      </c>
      <c r="V314" s="50">
        <f t="shared" ca="1" si="222"/>
        <v>0</v>
      </c>
      <c r="W314" s="50">
        <f t="shared" ca="1" si="222"/>
        <v>0</v>
      </c>
      <c r="X314" s="50">
        <f t="shared" ca="1" si="222"/>
        <v>0</v>
      </c>
      <c r="Y314" s="50">
        <f t="shared" ca="1" si="222"/>
        <v>0</v>
      </c>
      <c r="Z314" s="50">
        <f t="shared" ca="1" si="222"/>
        <v>0</v>
      </c>
      <c r="AA314" s="50">
        <f t="shared" ca="1" si="222"/>
        <v>0</v>
      </c>
      <c r="AB314" s="50">
        <f t="shared" ca="1" si="222"/>
        <v>0</v>
      </c>
      <c r="AC314" s="50">
        <f t="shared" ca="1" si="222"/>
        <v>0</v>
      </c>
      <c r="AD314" s="50">
        <f t="shared" ca="1" si="222"/>
        <v>0</v>
      </c>
      <c r="AE314" s="50">
        <f t="shared" ca="1" si="222"/>
        <v>0</v>
      </c>
      <c r="AF314" s="50">
        <f t="shared" ca="1" si="222"/>
        <v>0</v>
      </c>
      <c r="AG314" s="50">
        <f t="shared" ca="1" si="222"/>
        <v>0</v>
      </c>
      <c r="AH314" s="50">
        <f t="shared" ca="1" si="222"/>
        <v>0</v>
      </c>
      <c r="AI314" s="50">
        <f t="shared" ca="1" si="222"/>
        <v>0</v>
      </c>
      <c r="AJ314" s="50">
        <f t="shared" ca="1" si="222"/>
        <v>0</v>
      </c>
      <c r="AK314" s="50">
        <f t="shared" ca="1" si="222"/>
        <v>0</v>
      </c>
      <c r="AL314" s="50">
        <f t="shared" si="222"/>
        <v>0</v>
      </c>
      <c r="AM314" s="50">
        <f t="shared" si="222"/>
        <v>0</v>
      </c>
      <c r="AN314" s="50">
        <f t="shared" si="222"/>
        <v>0</v>
      </c>
      <c r="AO314" s="50">
        <f t="shared" si="222"/>
        <v>0</v>
      </c>
      <c r="AP314" s="50">
        <f t="shared" si="222"/>
        <v>0</v>
      </c>
      <c r="AQ314" s="50">
        <f t="shared" si="222"/>
        <v>0</v>
      </c>
      <c r="AR314" s="50">
        <f t="shared" si="222"/>
        <v>0</v>
      </c>
      <c r="AS314" s="50">
        <f t="shared" si="222"/>
        <v>0</v>
      </c>
      <c r="AT314" s="50">
        <f t="shared" si="222"/>
        <v>0</v>
      </c>
      <c r="AU314" s="50">
        <f t="shared" si="222"/>
        <v>0</v>
      </c>
    </row>
    <row r="315" spans="1:47">
      <c r="A315" s="38" t="str">
        <f t="shared" si="219"/>
        <v>3Y-</v>
      </c>
      <c r="B315" s="38" t="s">
        <v>277</v>
      </c>
      <c r="C315" s="38" t="str">
        <f t="shared" si="223"/>
        <v>FOG Receiving</v>
      </c>
      <c r="D315" s="186">
        <f>OMEsc</f>
        <v>0.02</v>
      </c>
      <c r="E315" s="325"/>
      <c r="G315" s="36" t="s">
        <v>276</v>
      </c>
      <c r="I315" s="39"/>
      <c r="K315" s="39"/>
      <c r="L315" s="43" t="str">
        <f>"["&amp;CostBaseYr&amp;" $]"</f>
        <v>[2013 $]</v>
      </c>
      <c r="N315" s="70">
        <f ca="1">SUMIFS(OFFSET(Assumptions!$I$90,0,MATCH($A315,Configurations,0)-1,COUNT(Assumptions!$A$90:$A$183),1),Assumptions!$D$90:$D$183,$B315&amp;$C315)</f>
        <v>0</v>
      </c>
      <c r="O315" s="313"/>
      <c r="P315" s="323"/>
      <c r="Q315" s="313"/>
      <c r="R315" s="50">
        <f t="shared" ca="1" si="221"/>
        <v>0</v>
      </c>
      <c r="S315" s="50">
        <f t="shared" ca="1" si="222"/>
        <v>0</v>
      </c>
      <c r="T315" s="50">
        <f t="shared" ca="1" si="222"/>
        <v>0</v>
      </c>
      <c r="U315" s="50">
        <f t="shared" ca="1" si="222"/>
        <v>0</v>
      </c>
      <c r="V315" s="50">
        <f t="shared" ca="1" si="222"/>
        <v>0</v>
      </c>
      <c r="W315" s="50">
        <f t="shared" ca="1" si="222"/>
        <v>0</v>
      </c>
      <c r="X315" s="50">
        <f t="shared" ca="1" si="222"/>
        <v>0</v>
      </c>
      <c r="Y315" s="50">
        <f t="shared" ca="1" si="222"/>
        <v>0</v>
      </c>
      <c r="Z315" s="50">
        <f t="shared" ca="1" si="222"/>
        <v>0</v>
      </c>
      <c r="AA315" s="50">
        <f t="shared" ca="1" si="222"/>
        <v>0</v>
      </c>
      <c r="AB315" s="50">
        <f t="shared" ca="1" si="222"/>
        <v>0</v>
      </c>
      <c r="AC315" s="50">
        <f t="shared" ca="1" si="222"/>
        <v>0</v>
      </c>
      <c r="AD315" s="50">
        <f t="shared" ca="1" si="222"/>
        <v>0</v>
      </c>
      <c r="AE315" s="50">
        <f t="shared" ca="1" si="222"/>
        <v>0</v>
      </c>
      <c r="AF315" s="50">
        <f t="shared" ca="1" si="222"/>
        <v>0</v>
      </c>
      <c r="AG315" s="50">
        <f t="shared" ca="1" si="222"/>
        <v>0</v>
      </c>
      <c r="AH315" s="50">
        <f t="shared" ca="1" si="222"/>
        <v>0</v>
      </c>
      <c r="AI315" s="50">
        <f t="shared" ca="1" si="222"/>
        <v>0</v>
      </c>
      <c r="AJ315" s="50">
        <f t="shared" ca="1" si="222"/>
        <v>0</v>
      </c>
      <c r="AK315" s="50">
        <f t="shared" ca="1" si="222"/>
        <v>0</v>
      </c>
      <c r="AL315" s="50">
        <f t="shared" si="222"/>
        <v>0</v>
      </c>
      <c r="AM315" s="50">
        <f t="shared" si="222"/>
        <v>0</v>
      </c>
      <c r="AN315" s="50">
        <f t="shared" si="222"/>
        <v>0</v>
      </c>
      <c r="AO315" s="50">
        <f t="shared" si="222"/>
        <v>0</v>
      </c>
      <c r="AP315" s="50">
        <f t="shared" si="222"/>
        <v>0</v>
      </c>
      <c r="AQ315" s="50">
        <f t="shared" si="222"/>
        <v>0</v>
      </c>
      <c r="AR315" s="50">
        <f t="shared" si="222"/>
        <v>0</v>
      </c>
      <c r="AS315" s="50">
        <f t="shared" si="222"/>
        <v>0</v>
      </c>
      <c r="AT315" s="50">
        <f t="shared" si="222"/>
        <v>0</v>
      </c>
      <c r="AU315" s="50">
        <f t="shared" si="222"/>
        <v>0</v>
      </c>
    </row>
    <row r="316" spans="1:47">
      <c r="A316" s="38" t="str">
        <f t="shared" si="219"/>
        <v>3Y-</v>
      </c>
      <c r="B316" s="38" t="s">
        <v>274</v>
      </c>
      <c r="C316" s="38" t="str">
        <f t="shared" si="223"/>
        <v>FOG Receiving</v>
      </c>
      <c r="D316" s="186"/>
      <c r="E316" s="325"/>
      <c r="G316" s="36" t="s">
        <v>16</v>
      </c>
      <c r="I316" s="39"/>
      <c r="K316" s="39"/>
      <c r="L316" s="43" t="s">
        <v>275</v>
      </c>
      <c r="N316" s="70">
        <f ca="1">SUMIFS(OFFSET(Assumptions!$I$90,0,MATCH($A316,Configurations,0)-1,COUNT(Assumptions!$A$90:$A$183),1),Assumptions!$D$90:$D$183,$B316&amp;$C316)</f>
        <v>0</v>
      </c>
      <c r="O316" s="313"/>
      <c r="P316" s="323"/>
      <c r="Q316" s="313"/>
      <c r="R316" s="50">
        <f t="shared" ref="R316:AU316" ca="1" si="224">IF(OR(R$99&lt;InServiceYr,R$99&gt;(InServiceYr+analysis_period-1)),0,IF($P316=0,$N316,$P316)*R$505)</f>
        <v>0</v>
      </c>
      <c r="S316" s="50">
        <f t="shared" ca="1" si="224"/>
        <v>0</v>
      </c>
      <c r="T316" s="50">
        <f t="shared" ca="1" si="224"/>
        <v>0</v>
      </c>
      <c r="U316" s="50">
        <f t="shared" ca="1" si="224"/>
        <v>0</v>
      </c>
      <c r="V316" s="50">
        <f t="shared" ca="1" si="224"/>
        <v>0</v>
      </c>
      <c r="W316" s="50">
        <f t="shared" ca="1" si="224"/>
        <v>0</v>
      </c>
      <c r="X316" s="50">
        <f t="shared" ca="1" si="224"/>
        <v>0</v>
      </c>
      <c r="Y316" s="50">
        <f t="shared" ca="1" si="224"/>
        <v>0</v>
      </c>
      <c r="Z316" s="50">
        <f t="shared" ca="1" si="224"/>
        <v>0</v>
      </c>
      <c r="AA316" s="50">
        <f t="shared" ca="1" si="224"/>
        <v>0</v>
      </c>
      <c r="AB316" s="50">
        <f t="shared" ca="1" si="224"/>
        <v>0</v>
      </c>
      <c r="AC316" s="50">
        <f t="shared" ca="1" si="224"/>
        <v>0</v>
      </c>
      <c r="AD316" s="50">
        <f t="shared" ca="1" si="224"/>
        <v>0</v>
      </c>
      <c r="AE316" s="50">
        <f t="shared" ca="1" si="224"/>
        <v>0</v>
      </c>
      <c r="AF316" s="50">
        <f t="shared" ca="1" si="224"/>
        <v>0</v>
      </c>
      <c r="AG316" s="50">
        <f t="shared" ca="1" si="224"/>
        <v>0</v>
      </c>
      <c r="AH316" s="50">
        <f t="shared" ca="1" si="224"/>
        <v>0</v>
      </c>
      <c r="AI316" s="50">
        <f t="shared" ca="1" si="224"/>
        <v>0</v>
      </c>
      <c r="AJ316" s="50">
        <f t="shared" ca="1" si="224"/>
        <v>0</v>
      </c>
      <c r="AK316" s="50">
        <f t="shared" ca="1" si="224"/>
        <v>0</v>
      </c>
      <c r="AL316" s="50">
        <f t="shared" si="224"/>
        <v>0</v>
      </c>
      <c r="AM316" s="50">
        <f t="shared" si="224"/>
        <v>0</v>
      </c>
      <c r="AN316" s="50">
        <f t="shared" si="224"/>
        <v>0</v>
      </c>
      <c r="AO316" s="50">
        <f t="shared" si="224"/>
        <v>0</v>
      </c>
      <c r="AP316" s="50">
        <f t="shared" si="224"/>
        <v>0</v>
      </c>
      <c r="AQ316" s="50">
        <f t="shared" si="224"/>
        <v>0</v>
      </c>
      <c r="AR316" s="50">
        <f t="shared" si="224"/>
        <v>0</v>
      </c>
      <c r="AS316" s="50">
        <f t="shared" si="224"/>
        <v>0</v>
      </c>
      <c r="AT316" s="50">
        <f t="shared" si="224"/>
        <v>0</v>
      </c>
      <c r="AU316" s="50">
        <f t="shared" si="224"/>
        <v>0</v>
      </c>
    </row>
    <row r="317" spans="1:47">
      <c r="A317" s="38" t="str">
        <f t="shared" si="219"/>
        <v>3Y-</v>
      </c>
      <c r="B317" s="38" t="s">
        <v>257</v>
      </c>
      <c r="C317" s="38" t="str">
        <f t="shared" si="223"/>
        <v>FOG Receiving</v>
      </c>
      <c r="D317" s="186"/>
      <c r="E317" s="325"/>
      <c r="G317" s="36" t="s">
        <v>284</v>
      </c>
      <c r="I317" s="39"/>
      <c r="K317" s="39"/>
      <c r="L317" s="43" t="s">
        <v>293</v>
      </c>
      <c r="N317" s="70">
        <f ca="1">SUMIFS(OFFSET(Assumptions!$I$90,0,MATCH($A317,Configurations,0)-1,COUNT(Assumptions!$A$90:$A$183),1),Assumptions!$D$90:$D$183,$B317&amp;$C317)</f>
        <v>0</v>
      </c>
      <c r="O317" s="313"/>
      <c r="P317" s="323"/>
      <c r="Q317" s="313"/>
      <c r="R317" s="50">
        <f t="shared" ref="R317:AU317" ca="1" si="225">IF(OR(R$99&lt;InServiceYr,R$99&gt;(InServiceYr+analysis_period-1)),0,IF($P317=0,$N317,$P317)*R$501)</f>
        <v>0</v>
      </c>
      <c r="S317" s="50">
        <f t="shared" ca="1" si="225"/>
        <v>0</v>
      </c>
      <c r="T317" s="50">
        <f t="shared" ca="1" si="225"/>
        <v>0</v>
      </c>
      <c r="U317" s="50">
        <f t="shared" ca="1" si="225"/>
        <v>0</v>
      </c>
      <c r="V317" s="50">
        <f t="shared" ca="1" si="225"/>
        <v>0</v>
      </c>
      <c r="W317" s="50">
        <f t="shared" ca="1" si="225"/>
        <v>0</v>
      </c>
      <c r="X317" s="50">
        <f t="shared" ca="1" si="225"/>
        <v>0</v>
      </c>
      <c r="Y317" s="50">
        <f t="shared" ca="1" si="225"/>
        <v>0</v>
      </c>
      <c r="Z317" s="50">
        <f t="shared" ca="1" si="225"/>
        <v>0</v>
      </c>
      <c r="AA317" s="50">
        <f t="shared" ca="1" si="225"/>
        <v>0</v>
      </c>
      <c r="AB317" s="50">
        <f t="shared" ca="1" si="225"/>
        <v>0</v>
      </c>
      <c r="AC317" s="50">
        <f t="shared" ca="1" si="225"/>
        <v>0</v>
      </c>
      <c r="AD317" s="50">
        <f t="shared" ca="1" si="225"/>
        <v>0</v>
      </c>
      <c r="AE317" s="50">
        <f t="shared" ca="1" si="225"/>
        <v>0</v>
      </c>
      <c r="AF317" s="50">
        <f t="shared" ca="1" si="225"/>
        <v>0</v>
      </c>
      <c r="AG317" s="50">
        <f t="shared" ca="1" si="225"/>
        <v>0</v>
      </c>
      <c r="AH317" s="50">
        <f t="shared" ca="1" si="225"/>
        <v>0</v>
      </c>
      <c r="AI317" s="50">
        <f t="shared" ca="1" si="225"/>
        <v>0</v>
      </c>
      <c r="AJ317" s="50">
        <f t="shared" ca="1" si="225"/>
        <v>0</v>
      </c>
      <c r="AK317" s="50">
        <f t="shared" ca="1" si="225"/>
        <v>0</v>
      </c>
      <c r="AL317" s="50">
        <f t="shared" si="225"/>
        <v>0</v>
      </c>
      <c r="AM317" s="50">
        <f t="shared" si="225"/>
        <v>0</v>
      </c>
      <c r="AN317" s="50">
        <f t="shared" si="225"/>
        <v>0</v>
      </c>
      <c r="AO317" s="50">
        <f t="shared" si="225"/>
        <v>0</v>
      </c>
      <c r="AP317" s="50">
        <f t="shared" si="225"/>
        <v>0</v>
      </c>
      <c r="AQ317" s="50">
        <f t="shared" si="225"/>
        <v>0</v>
      </c>
      <c r="AR317" s="50">
        <f t="shared" si="225"/>
        <v>0</v>
      </c>
      <c r="AS317" s="50">
        <f t="shared" si="225"/>
        <v>0</v>
      </c>
      <c r="AT317" s="50">
        <f t="shared" si="225"/>
        <v>0</v>
      </c>
      <c r="AU317" s="50">
        <f t="shared" si="225"/>
        <v>0</v>
      </c>
    </row>
    <row r="318" spans="1:47">
      <c r="A318" s="38" t="str">
        <f t="shared" si="219"/>
        <v>3Y-</v>
      </c>
      <c r="B318" s="38" t="s">
        <v>864</v>
      </c>
      <c r="C318" s="38" t="str">
        <f t="shared" si="223"/>
        <v>FOG Receiving</v>
      </c>
      <c r="D318" s="186">
        <f>GHGEsc</f>
        <v>0.02</v>
      </c>
      <c r="E318" s="325"/>
      <c r="G318" s="36" t="s">
        <v>865</v>
      </c>
      <c r="I318" s="39"/>
      <c r="K318" s="39"/>
      <c r="L318" s="43" t="s">
        <v>866</v>
      </c>
      <c r="N318" s="70">
        <f ca="1">SUMIFS(OFFSET(Assumptions!$I$90,0,MATCH($A318,Configurations,0)-1,COUNT(Assumptions!$A$90:$A$183),1),Assumptions!$D$90:$D$183,$B318&amp;$C318)</f>
        <v>0</v>
      </c>
      <c r="O318" s="313"/>
      <c r="P318" s="323"/>
      <c r="Q318" s="313"/>
      <c r="R318" s="50">
        <f t="shared" ref="R318:AU318" ca="1" si="226">IF(OR(R$99&lt;InServiceYr,R$99&gt;(InServiceYr+analysis_period-1)),0,IF($P318=0,$N318,$P318)*R$513)</f>
        <v>0</v>
      </c>
      <c r="S318" s="50">
        <f t="shared" ca="1" si="226"/>
        <v>0</v>
      </c>
      <c r="T318" s="50">
        <f t="shared" ca="1" si="226"/>
        <v>0</v>
      </c>
      <c r="U318" s="50">
        <f t="shared" ca="1" si="226"/>
        <v>0</v>
      </c>
      <c r="V318" s="50">
        <f t="shared" ca="1" si="226"/>
        <v>0</v>
      </c>
      <c r="W318" s="50">
        <f t="shared" ca="1" si="226"/>
        <v>0</v>
      </c>
      <c r="X318" s="50">
        <f t="shared" ca="1" si="226"/>
        <v>0</v>
      </c>
      <c r="Y318" s="50">
        <f t="shared" ca="1" si="226"/>
        <v>0</v>
      </c>
      <c r="Z318" s="50">
        <f t="shared" ca="1" si="226"/>
        <v>0</v>
      </c>
      <c r="AA318" s="50">
        <f t="shared" ca="1" si="226"/>
        <v>0</v>
      </c>
      <c r="AB318" s="50">
        <f t="shared" ca="1" si="226"/>
        <v>0</v>
      </c>
      <c r="AC318" s="50">
        <f t="shared" ca="1" si="226"/>
        <v>0</v>
      </c>
      <c r="AD318" s="50">
        <f t="shared" ca="1" si="226"/>
        <v>0</v>
      </c>
      <c r="AE318" s="50">
        <f t="shared" ca="1" si="226"/>
        <v>0</v>
      </c>
      <c r="AF318" s="50">
        <f t="shared" ca="1" si="226"/>
        <v>0</v>
      </c>
      <c r="AG318" s="50">
        <f t="shared" ca="1" si="226"/>
        <v>0</v>
      </c>
      <c r="AH318" s="50">
        <f t="shared" ca="1" si="226"/>
        <v>0</v>
      </c>
      <c r="AI318" s="50">
        <f t="shared" ca="1" si="226"/>
        <v>0</v>
      </c>
      <c r="AJ318" s="50">
        <f t="shared" ca="1" si="226"/>
        <v>0</v>
      </c>
      <c r="AK318" s="50">
        <f t="shared" ca="1" si="226"/>
        <v>0</v>
      </c>
      <c r="AL318" s="50">
        <f t="shared" si="226"/>
        <v>0</v>
      </c>
      <c r="AM318" s="50">
        <f t="shared" si="226"/>
        <v>0</v>
      </c>
      <c r="AN318" s="50">
        <f t="shared" si="226"/>
        <v>0</v>
      </c>
      <c r="AO318" s="50">
        <f t="shared" si="226"/>
        <v>0</v>
      </c>
      <c r="AP318" s="50">
        <f t="shared" si="226"/>
        <v>0</v>
      </c>
      <c r="AQ318" s="50">
        <f t="shared" si="226"/>
        <v>0</v>
      </c>
      <c r="AR318" s="50">
        <f t="shared" si="226"/>
        <v>0</v>
      </c>
      <c r="AS318" s="50">
        <f t="shared" si="226"/>
        <v>0</v>
      </c>
      <c r="AT318" s="50">
        <f t="shared" si="226"/>
        <v>0</v>
      </c>
      <c r="AU318" s="50">
        <f t="shared" si="226"/>
        <v>0</v>
      </c>
    </row>
    <row r="319" spans="1:47">
      <c r="A319" s="38" t="str">
        <f t="shared" si="219"/>
        <v>3Y-</v>
      </c>
      <c r="B319" s="38" t="s">
        <v>273</v>
      </c>
      <c r="C319" s="38" t="str">
        <f>C317</f>
        <v>FOG Receiving</v>
      </c>
      <c r="D319" s="186">
        <f>LaborEsc</f>
        <v>0.02</v>
      </c>
      <c r="E319" s="325"/>
      <c r="G319" s="36" t="s">
        <v>291</v>
      </c>
      <c r="I319" s="39"/>
      <c r="K319" s="39"/>
      <c r="L319" s="43" t="str">
        <f>"["&amp;CostBaseYr&amp;" $]"</f>
        <v>[2013 $]</v>
      </c>
      <c r="N319" s="70">
        <f ca="1">SUMIFS(OFFSET(Assumptions!$I$90,0,MATCH($A319,Configurations,0)-1,COUNT(Assumptions!$A$90:$A$183),1),Assumptions!$D$90:$D$183,$B319&amp;$C319)</f>
        <v>0</v>
      </c>
      <c r="O319" s="313"/>
      <c r="P319" s="323"/>
      <c r="Q319" s="313"/>
      <c r="R319" s="50">
        <f t="shared" ref="R319:AU319" ca="1" si="227">IF(OR(R$99&lt;InServiceYr,R$99&gt;(InServiceYr+analysis_period-1)),0,IF($P319=0,$N319,$P319)*(1+$D319)^(R$99-CostBaseYr))*R$509</f>
        <v>0</v>
      </c>
      <c r="S319" s="50">
        <f t="shared" ca="1" si="227"/>
        <v>0</v>
      </c>
      <c r="T319" s="50">
        <f t="shared" ca="1" si="227"/>
        <v>0</v>
      </c>
      <c r="U319" s="50">
        <f t="shared" ca="1" si="227"/>
        <v>0</v>
      </c>
      <c r="V319" s="50">
        <f t="shared" ca="1" si="227"/>
        <v>0</v>
      </c>
      <c r="W319" s="50">
        <f t="shared" ca="1" si="227"/>
        <v>0</v>
      </c>
      <c r="X319" s="50">
        <f t="shared" ca="1" si="227"/>
        <v>0</v>
      </c>
      <c r="Y319" s="50">
        <f t="shared" ca="1" si="227"/>
        <v>0</v>
      </c>
      <c r="Z319" s="50">
        <f t="shared" ca="1" si="227"/>
        <v>0</v>
      </c>
      <c r="AA319" s="50">
        <f t="shared" ca="1" si="227"/>
        <v>0</v>
      </c>
      <c r="AB319" s="50">
        <f t="shared" ca="1" si="227"/>
        <v>0</v>
      </c>
      <c r="AC319" s="50">
        <f t="shared" ca="1" si="227"/>
        <v>0</v>
      </c>
      <c r="AD319" s="50">
        <f t="shared" ca="1" si="227"/>
        <v>0</v>
      </c>
      <c r="AE319" s="50">
        <f t="shared" ca="1" si="227"/>
        <v>0</v>
      </c>
      <c r="AF319" s="50">
        <f t="shared" ca="1" si="227"/>
        <v>0</v>
      </c>
      <c r="AG319" s="50">
        <f t="shared" ca="1" si="227"/>
        <v>0</v>
      </c>
      <c r="AH319" s="50">
        <f t="shared" ca="1" si="227"/>
        <v>0</v>
      </c>
      <c r="AI319" s="50">
        <f t="shared" ca="1" si="227"/>
        <v>0</v>
      </c>
      <c r="AJ319" s="50">
        <f t="shared" ca="1" si="227"/>
        <v>0</v>
      </c>
      <c r="AK319" s="50">
        <f t="shared" ca="1" si="227"/>
        <v>0</v>
      </c>
      <c r="AL319" s="50">
        <f t="shared" si="227"/>
        <v>0</v>
      </c>
      <c r="AM319" s="50">
        <f t="shared" si="227"/>
        <v>0</v>
      </c>
      <c r="AN319" s="50">
        <f t="shared" si="227"/>
        <v>0</v>
      </c>
      <c r="AO319" s="50">
        <f t="shared" si="227"/>
        <v>0</v>
      </c>
      <c r="AP319" s="50">
        <f t="shared" si="227"/>
        <v>0</v>
      </c>
      <c r="AQ319" s="50">
        <f t="shared" si="227"/>
        <v>0</v>
      </c>
      <c r="AR319" s="50">
        <f t="shared" si="227"/>
        <v>0</v>
      </c>
      <c r="AS319" s="50">
        <f t="shared" si="227"/>
        <v>0</v>
      </c>
      <c r="AT319" s="50">
        <f t="shared" si="227"/>
        <v>0</v>
      </c>
      <c r="AU319" s="50">
        <f t="shared" si="227"/>
        <v>0</v>
      </c>
    </row>
    <row r="320" spans="1:47">
      <c r="D320" s="186"/>
      <c r="E320" s="325"/>
      <c r="G320" s="39" t="s">
        <v>304</v>
      </c>
      <c r="I320" s="39"/>
      <c r="K320" s="39"/>
      <c r="L320" s="43"/>
      <c r="N320" s="70"/>
      <c r="O320" s="313"/>
      <c r="P320" s="70"/>
      <c r="Q320" s="313"/>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row>
    <row r="321" spans="1:47">
      <c r="A321" s="38" t="str">
        <f>$J$4&amp;"-"</f>
        <v>3Y-</v>
      </c>
      <c r="B321" s="38" t="s">
        <v>265</v>
      </c>
      <c r="C321" s="38" t="str">
        <f>C312</f>
        <v>FOG Receiving</v>
      </c>
      <c r="D321" s="186"/>
      <c r="E321" s="325"/>
      <c r="G321" s="36" t="s">
        <v>108</v>
      </c>
      <c r="I321" s="39"/>
      <c r="K321" s="39"/>
      <c r="L321" s="43" t="s">
        <v>293</v>
      </c>
      <c r="N321" s="70">
        <f ca="1">SUMIFS(OFFSET(Assumptions!$I$90,0,MATCH($A321,Configurations,0)-1,COUNT(Assumptions!$A$90:$A$183),1),Assumptions!$D$90:$D$183,$B321&amp;$C321)</f>
        <v>0</v>
      </c>
      <c r="O321" s="313"/>
      <c r="P321" s="323"/>
      <c r="Q321" s="313"/>
      <c r="R321" s="50">
        <f t="shared" ref="R321:AU321" ca="1" si="228">IF(OR(R$99&lt;InServiceYr,R$99&gt;(InServiceYr+analysis_period-1)),0,IF($P321=0,$N321,$P321)*R$501)</f>
        <v>0</v>
      </c>
      <c r="S321" s="50">
        <f t="shared" ca="1" si="228"/>
        <v>0</v>
      </c>
      <c r="T321" s="50">
        <f t="shared" ca="1" si="228"/>
        <v>0</v>
      </c>
      <c r="U321" s="50">
        <f t="shared" ca="1" si="228"/>
        <v>0</v>
      </c>
      <c r="V321" s="50">
        <f t="shared" ca="1" si="228"/>
        <v>0</v>
      </c>
      <c r="W321" s="50">
        <f t="shared" ca="1" si="228"/>
        <v>0</v>
      </c>
      <c r="X321" s="50">
        <f t="shared" ca="1" si="228"/>
        <v>0</v>
      </c>
      <c r="Y321" s="50">
        <f t="shared" ca="1" si="228"/>
        <v>0</v>
      </c>
      <c r="Z321" s="50">
        <f t="shared" ca="1" si="228"/>
        <v>0</v>
      </c>
      <c r="AA321" s="50">
        <f t="shared" ca="1" si="228"/>
        <v>0</v>
      </c>
      <c r="AB321" s="50">
        <f t="shared" ca="1" si="228"/>
        <v>0</v>
      </c>
      <c r="AC321" s="50">
        <f t="shared" ca="1" si="228"/>
        <v>0</v>
      </c>
      <c r="AD321" s="50">
        <f t="shared" ca="1" si="228"/>
        <v>0</v>
      </c>
      <c r="AE321" s="50">
        <f t="shared" ca="1" si="228"/>
        <v>0</v>
      </c>
      <c r="AF321" s="50">
        <f t="shared" ca="1" si="228"/>
        <v>0</v>
      </c>
      <c r="AG321" s="50">
        <f t="shared" ca="1" si="228"/>
        <v>0</v>
      </c>
      <c r="AH321" s="50">
        <f t="shared" ca="1" si="228"/>
        <v>0</v>
      </c>
      <c r="AI321" s="50">
        <f t="shared" ca="1" si="228"/>
        <v>0</v>
      </c>
      <c r="AJ321" s="50">
        <f t="shared" ca="1" si="228"/>
        <v>0</v>
      </c>
      <c r="AK321" s="50">
        <f t="shared" ca="1" si="228"/>
        <v>0</v>
      </c>
      <c r="AL321" s="50">
        <f t="shared" si="228"/>
        <v>0</v>
      </c>
      <c r="AM321" s="50">
        <f t="shared" si="228"/>
        <v>0</v>
      </c>
      <c r="AN321" s="50">
        <f t="shared" si="228"/>
        <v>0</v>
      </c>
      <c r="AO321" s="50">
        <f t="shared" si="228"/>
        <v>0</v>
      </c>
      <c r="AP321" s="50">
        <f t="shared" si="228"/>
        <v>0</v>
      </c>
      <c r="AQ321" s="50">
        <f t="shared" si="228"/>
        <v>0</v>
      </c>
      <c r="AR321" s="50">
        <f t="shared" si="228"/>
        <v>0</v>
      </c>
      <c r="AS321" s="50">
        <f t="shared" si="228"/>
        <v>0</v>
      </c>
      <c r="AT321" s="50">
        <f t="shared" si="228"/>
        <v>0</v>
      </c>
      <c r="AU321" s="50">
        <f t="shared" si="228"/>
        <v>0</v>
      </c>
    </row>
    <row r="322" spans="1:47">
      <c r="A322" s="38" t="str">
        <f>$J$4&amp;"-"</f>
        <v>3Y-</v>
      </c>
      <c r="B322" s="38" t="s">
        <v>289</v>
      </c>
      <c r="C322" s="38" t="str">
        <f>C312</f>
        <v>FOG Receiving</v>
      </c>
      <c r="D322" s="186">
        <f>LaborEsc</f>
        <v>0.02</v>
      </c>
      <c r="E322" s="325"/>
      <c r="G322" s="36" t="s">
        <v>292</v>
      </c>
      <c r="I322" s="39"/>
      <c r="K322" s="39"/>
      <c r="L322" s="43" t="str">
        <f>"["&amp;CostBaseYr&amp;" $]"</f>
        <v>[2013 $]</v>
      </c>
      <c r="N322" s="70">
        <f ca="1">SUMIFS(OFFSET(Assumptions!$I$90,0,MATCH($A322,Configurations,0)-1,COUNT(Assumptions!$A$90:$A$183),1),Assumptions!$D$90:$D$183,$B322&amp;$C322)</f>
        <v>0</v>
      </c>
      <c r="O322" s="313"/>
      <c r="P322" s="323"/>
      <c r="Q322" s="313"/>
      <c r="R322" s="50">
        <f t="shared" ref="R322:AU322" ca="1" si="229">IF(OR(R$99&lt;InServiceYr,R$99&gt;(InServiceYr+analysis_period-1)),0,IF($P322=0,$N322,$P322)*(1+$D322)^(R$99-CostBaseYr))</f>
        <v>0</v>
      </c>
      <c r="S322" s="50">
        <f t="shared" ca="1" si="229"/>
        <v>0</v>
      </c>
      <c r="T322" s="50">
        <f t="shared" ca="1" si="229"/>
        <v>0</v>
      </c>
      <c r="U322" s="50">
        <f t="shared" ca="1" si="229"/>
        <v>0</v>
      </c>
      <c r="V322" s="50">
        <f t="shared" ca="1" si="229"/>
        <v>0</v>
      </c>
      <c r="W322" s="50">
        <f t="shared" ca="1" si="229"/>
        <v>0</v>
      </c>
      <c r="X322" s="50">
        <f t="shared" ca="1" si="229"/>
        <v>0</v>
      </c>
      <c r="Y322" s="50">
        <f t="shared" ca="1" si="229"/>
        <v>0</v>
      </c>
      <c r="Z322" s="50">
        <f t="shared" ca="1" si="229"/>
        <v>0</v>
      </c>
      <c r="AA322" s="50">
        <f t="shared" ca="1" si="229"/>
        <v>0</v>
      </c>
      <c r="AB322" s="50">
        <f t="shared" ca="1" si="229"/>
        <v>0</v>
      </c>
      <c r="AC322" s="50">
        <f t="shared" ca="1" si="229"/>
        <v>0</v>
      </c>
      <c r="AD322" s="50">
        <f t="shared" ca="1" si="229"/>
        <v>0</v>
      </c>
      <c r="AE322" s="50">
        <f t="shared" ca="1" si="229"/>
        <v>0</v>
      </c>
      <c r="AF322" s="50">
        <f t="shared" ca="1" si="229"/>
        <v>0</v>
      </c>
      <c r="AG322" s="50">
        <f t="shared" ca="1" si="229"/>
        <v>0</v>
      </c>
      <c r="AH322" s="50">
        <f t="shared" ca="1" si="229"/>
        <v>0</v>
      </c>
      <c r="AI322" s="50">
        <f t="shared" ca="1" si="229"/>
        <v>0</v>
      </c>
      <c r="AJ322" s="50">
        <f t="shared" ca="1" si="229"/>
        <v>0</v>
      </c>
      <c r="AK322" s="50">
        <f t="shared" ca="1" si="229"/>
        <v>0</v>
      </c>
      <c r="AL322" s="50">
        <f t="shared" si="229"/>
        <v>0</v>
      </c>
      <c r="AM322" s="50">
        <f t="shared" si="229"/>
        <v>0</v>
      </c>
      <c r="AN322" s="50">
        <f t="shared" si="229"/>
        <v>0</v>
      </c>
      <c r="AO322" s="50">
        <f t="shared" si="229"/>
        <v>0</v>
      </c>
      <c r="AP322" s="50">
        <f t="shared" si="229"/>
        <v>0</v>
      </c>
      <c r="AQ322" s="50">
        <f t="shared" si="229"/>
        <v>0</v>
      </c>
      <c r="AR322" s="50">
        <f t="shared" si="229"/>
        <v>0</v>
      </c>
      <c r="AS322" s="50">
        <f t="shared" si="229"/>
        <v>0</v>
      </c>
      <c r="AT322" s="50">
        <f t="shared" si="229"/>
        <v>0</v>
      </c>
      <c r="AU322" s="50">
        <f t="shared" si="229"/>
        <v>0</v>
      </c>
    </row>
    <row r="323" spans="1:47" s="60" customFormat="1">
      <c r="D323" s="187"/>
      <c r="E323" s="325"/>
      <c r="G323" s="39" t="s">
        <v>305</v>
      </c>
      <c r="I323" s="39"/>
      <c r="K323" s="39"/>
      <c r="L323" s="174"/>
      <c r="N323" s="188"/>
      <c r="O323" s="314"/>
      <c r="P323" s="185"/>
      <c r="Q323" s="314"/>
      <c r="R323" s="185">
        <f ca="1">SUM(R312:R319)-SUM(R321:R322)</f>
        <v>0</v>
      </c>
      <c r="S323" s="185">
        <f t="shared" ref="S323:AU323" ca="1" si="230">SUM(S312:S319)-SUM(S321:S322)</f>
        <v>0</v>
      </c>
      <c r="T323" s="185">
        <f t="shared" ca="1" si="230"/>
        <v>0</v>
      </c>
      <c r="U323" s="185">
        <f t="shared" ca="1" si="230"/>
        <v>0</v>
      </c>
      <c r="V323" s="185">
        <f t="shared" ca="1" si="230"/>
        <v>0</v>
      </c>
      <c r="W323" s="185">
        <f t="shared" ca="1" si="230"/>
        <v>0</v>
      </c>
      <c r="X323" s="185">
        <f t="shared" ca="1" si="230"/>
        <v>0</v>
      </c>
      <c r="Y323" s="185">
        <f t="shared" ca="1" si="230"/>
        <v>0</v>
      </c>
      <c r="Z323" s="185">
        <f t="shared" ca="1" si="230"/>
        <v>0</v>
      </c>
      <c r="AA323" s="185">
        <f t="shared" ca="1" si="230"/>
        <v>0</v>
      </c>
      <c r="AB323" s="185">
        <f t="shared" ca="1" si="230"/>
        <v>0</v>
      </c>
      <c r="AC323" s="185">
        <f t="shared" ca="1" si="230"/>
        <v>0</v>
      </c>
      <c r="AD323" s="185">
        <f t="shared" ca="1" si="230"/>
        <v>0</v>
      </c>
      <c r="AE323" s="185">
        <f t="shared" ca="1" si="230"/>
        <v>0</v>
      </c>
      <c r="AF323" s="185">
        <f t="shared" ca="1" si="230"/>
        <v>0</v>
      </c>
      <c r="AG323" s="185">
        <f t="shared" ca="1" si="230"/>
        <v>0</v>
      </c>
      <c r="AH323" s="185">
        <f t="shared" ca="1" si="230"/>
        <v>0</v>
      </c>
      <c r="AI323" s="185">
        <f t="shared" ca="1" si="230"/>
        <v>0</v>
      </c>
      <c r="AJ323" s="185">
        <f t="shared" ca="1" si="230"/>
        <v>0</v>
      </c>
      <c r="AK323" s="185">
        <f t="shared" ca="1" si="230"/>
        <v>0</v>
      </c>
      <c r="AL323" s="185">
        <f t="shared" si="230"/>
        <v>0</v>
      </c>
      <c r="AM323" s="185">
        <f t="shared" si="230"/>
        <v>0</v>
      </c>
      <c r="AN323" s="185">
        <f t="shared" si="230"/>
        <v>0</v>
      </c>
      <c r="AO323" s="185">
        <f t="shared" si="230"/>
        <v>0</v>
      </c>
      <c r="AP323" s="185">
        <f t="shared" si="230"/>
        <v>0</v>
      </c>
      <c r="AQ323" s="185">
        <f t="shared" si="230"/>
        <v>0</v>
      </c>
      <c r="AR323" s="185">
        <f t="shared" si="230"/>
        <v>0</v>
      </c>
      <c r="AS323" s="185">
        <f t="shared" si="230"/>
        <v>0</v>
      </c>
      <c r="AT323" s="185">
        <f t="shared" si="230"/>
        <v>0</v>
      </c>
      <c r="AU323" s="185">
        <f t="shared" si="230"/>
        <v>0</v>
      </c>
    </row>
    <row r="324" spans="1:47">
      <c r="E324" s="36"/>
      <c r="G324" s="39"/>
      <c r="H324" s="39"/>
      <c r="I324" s="39"/>
      <c r="J324" s="39"/>
      <c r="K324" s="39"/>
    </row>
    <row r="325" spans="1:47">
      <c r="E325" s="327"/>
      <c r="F325" s="28"/>
      <c r="G325" s="324" t="str">
        <f>C327&amp;" Capital Costs"</f>
        <v>Gas Cleaning Capital Costs</v>
      </c>
      <c r="H325" s="324"/>
      <c r="I325" s="324"/>
      <c r="J325" s="324"/>
      <c r="K325" s="324"/>
      <c r="L325" s="405" t="s">
        <v>79</v>
      </c>
      <c r="M325" s="256"/>
      <c r="N325" s="325" t="s">
        <v>490</v>
      </c>
      <c r="O325" s="311"/>
      <c r="P325" s="325" t="s">
        <v>491</v>
      </c>
      <c r="Q325" s="310"/>
      <c r="R325" s="325">
        <f>R$8</f>
        <v>2014</v>
      </c>
      <c r="S325" s="325">
        <f t="shared" ref="S325:AU325" si="231">S$8</f>
        <v>2015</v>
      </c>
      <c r="T325" s="325">
        <f t="shared" si="231"/>
        <v>2016</v>
      </c>
      <c r="U325" s="325">
        <f t="shared" si="231"/>
        <v>2017</v>
      </c>
      <c r="V325" s="325">
        <f t="shared" si="231"/>
        <v>2018</v>
      </c>
      <c r="W325" s="325">
        <f t="shared" si="231"/>
        <v>2019</v>
      </c>
      <c r="X325" s="325">
        <f t="shared" si="231"/>
        <v>2020</v>
      </c>
      <c r="Y325" s="325">
        <f t="shared" si="231"/>
        <v>2021</v>
      </c>
      <c r="Z325" s="325">
        <f t="shared" si="231"/>
        <v>2022</v>
      </c>
      <c r="AA325" s="325">
        <f t="shared" si="231"/>
        <v>2023</v>
      </c>
      <c r="AB325" s="325">
        <f t="shared" si="231"/>
        <v>2024</v>
      </c>
      <c r="AC325" s="325">
        <f t="shared" si="231"/>
        <v>2025</v>
      </c>
      <c r="AD325" s="325">
        <f t="shared" si="231"/>
        <v>2026</v>
      </c>
      <c r="AE325" s="325">
        <f t="shared" si="231"/>
        <v>2027</v>
      </c>
      <c r="AF325" s="325">
        <f t="shared" si="231"/>
        <v>2028</v>
      </c>
      <c r="AG325" s="325">
        <f t="shared" si="231"/>
        <v>2029</v>
      </c>
      <c r="AH325" s="325">
        <f t="shared" si="231"/>
        <v>2030</v>
      </c>
      <c r="AI325" s="325">
        <f t="shared" si="231"/>
        <v>2031</v>
      </c>
      <c r="AJ325" s="325">
        <f t="shared" si="231"/>
        <v>2032</v>
      </c>
      <c r="AK325" s="325">
        <f t="shared" si="231"/>
        <v>2033</v>
      </c>
      <c r="AL325" s="325">
        <f t="shared" si="231"/>
        <v>2034</v>
      </c>
      <c r="AM325" s="325">
        <f t="shared" si="231"/>
        <v>2035</v>
      </c>
      <c r="AN325" s="325">
        <f t="shared" si="231"/>
        <v>2036</v>
      </c>
      <c r="AO325" s="325">
        <f t="shared" si="231"/>
        <v>2037</v>
      </c>
      <c r="AP325" s="325">
        <f t="shared" si="231"/>
        <v>2038</v>
      </c>
      <c r="AQ325" s="325">
        <f t="shared" si="231"/>
        <v>2039</v>
      </c>
      <c r="AR325" s="325">
        <f t="shared" si="231"/>
        <v>2040</v>
      </c>
      <c r="AS325" s="325">
        <f t="shared" si="231"/>
        <v>2041</v>
      </c>
      <c r="AT325" s="325">
        <f t="shared" si="231"/>
        <v>2042</v>
      </c>
      <c r="AU325" s="325">
        <f t="shared" si="231"/>
        <v>2043</v>
      </c>
    </row>
    <row r="326" spans="1:47">
      <c r="E326" s="325"/>
      <c r="G326" s="39"/>
      <c r="H326" s="39"/>
      <c r="I326" s="39"/>
      <c r="J326" s="39"/>
      <c r="K326" s="39"/>
    </row>
    <row r="327" spans="1:47">
      <c r="A327" s="38" t="str">
        <f>$J$4&amp;"-"</f>
        <v>3Y-</v>
      </c>
      <c r="B327" s="38" t="s">
        <v>306</v>
      </c>
      <c r="C327" s="38" t="s">
        <v>162</v>
      </c>
      <c r="D327" s="186">
        <f>CapExEsc</f>
        <v>0.03</v>
      </c>
      <c r="E327" s="325"/>
      <c r="G327" s="36" t="s">
        <v>8</v>
      </c>
      <c r="H327" s="39"/>
      <c r="I327" s="39"/>
      <c r="J327" s="70"/>
      <c r="K327" s="39"/>
      <c r="L327" s="43" t="str">
        <f>"["&amp;CostBaseYr&amp;" $]"</f>
        <v>[2013 $]</v>
      </c>
      <c r="N327" s="52">
        <f ca="1">SUMIFS(OFFSET(Assumptions!$I$65,0,MATCH($A327,Configurations,0)-1,COUNT(Assumptions!$A$65:$A$84),1),Assumptions!$E$65:$E$84,$C327)</f>
        <v>0</v>
      </c>
      <c r="O327" s="52"/>
      <c r="P327" s="322"/>
      <c r="Q327" s="52"/>
      <c r="R327" s="52">
        <f t="shared" ref="R327:AU327" ca="1" si="232">R328*IF($P327=0,$N327,$P327)*(1+$D327)^(R$8-CostBaseYr)</f>
        <v>0</v>
      </c>
      <c r="S327" s="52">
        <f t="shared" ca="1" si="232"/>
        <v>0</v>
      </c>
      <c r="T327" s="52">
        <f t="shared" ca="1" si="232"/>
        <v>0</v>
      </c>
      <c r="U327" s="52">
        <f t="shared" ca="1" si="232"/>
        <v>0</v>
      </c>
      <c r="V327" s="52">
        <f t="shared" ca="1" si="232"/>
        <v>0</v>
      </c>
      <c r="W327" s="52">
        <f t="shared" ca="1" si="232"/>
        <v>0</v>
      </c>
      <c r="X327" s="52">
        <f t="shared" ca="1" si="232"/>
        <v>0</v>
      </c>
      <c r="Y327" s="52">
        <f t="shared" ca="1" si="232"/>
        <v>0</v>
      </c>
      <c r="Z327" s="52">
        <f t="shared" ca="1" si="232"/>
        <v>0</v>
      </c>
      <c r="AA327" s="52">
        <f t="shared" ca="1" si="232"/>
        <v>0</v>
      </c>
      <c r="AB327" s="52">
        <f t="shared" ca="1" si="232"/>
        <v>0</v>
      </c>
      <c r="AC327" s="52">
        <f t="shared" ca="1" si="232"/>
        <v>0</v>
      </c>
      <c r="AD327" s="52">
        <f t="shared" ca="1" si="232"/>
        <v>0</v>
      </c>
      <c r="AE327" s="52">
        <f t="shared" ca="1" si="232"/>
        <v>0</v>
      </c>
      <c r="AF327" s="52">
        <f t="shared" ca="1" si="232"/>
        <v>0</v>
      </c>
      <c r="AG327" s="52">
        <f t="shared" ca="1" si="232"/>
        <v>0</v>
      </c>
      <c r="AH327" s="52">
        <f t="shared" ca="1" si="232"/>
        <v>0</v>
      </c>
      <c r="AI327" s="52">
        <f t="shared" ca="1" si="232"/>
        <v>0</v>
      </c>
      <c r="AJ327" s="52">
        <f t="shared" ca="1" si="232"/>
        <v>0</v>
      </c>
      <c r="AK327" s="52">
        <f t="shared" ca="1" si="232"/>
        <v>0</v>
      </c>
      <c r="AL327" s="52">
        <f t="shared" ca="1" si="232"/>
        <v>0</v>
      </c>
      <c r="AM327" s="52">
        <f t="shared" ca="1" si="232"/>
        <v>0</v>
      </c>
      <c r="AN327" s="52">
        <f t="shared" ca="1" si="232"/>
        <v>0</v>
      </c>
      <c r="AO327" s="52">
        <f t="shared" ca="1" si="232"/>
        <v>0</v>
      </c>
      <c r="AP327" s="52">
        <f t="shared" ca="1" si="232"/>
        <v>0</v>
      </c>
      <c r="AQ327" s="52">
        <f t="shared" ca="1" si="232"/>
        <v>0</v>
      </c>
      <c r="AR327" s="52">
        <f t="shared" ca="1" si="232"/>
        <v>0</v>
      </c>
      <c r="AS327" s="52">
        <f t="shared" ca="1" si="232"/>
        <v>0</v>
      </c>
      <c r="AT327" s="52">
        <f t="shared" ca="1" si="232"/>
        <v>0</v>
      </c>
      <c r="AU327" s="52">
        <f t="shared" ca="1" si="232"/>
        <v>0</v>
      </c>
    </row>
    <row r="328" spans="1:47">
      <c r="E328" s="325"/>
      <c r="G328" s="36" t="s">
        <v>10</v>
      </c>
      <c r="H328" s="39"/>
      <c r="I328" s="39"/>
      <c r="J328" s="39"/>
      <c r="K328" s="39"/>
      <c r="L328" s="43"/>
      <c r="R328" s="54">
        <f>Assumptions!M$60</f>
        <v>1</v>
      </c>
      <c r="S328" s="54">
        <f>Assumptions!N$60</f>
        <v>0</v>
      </c>
      <c r="T328" s="54">
        <f>Assumptions!O$60</f>
        <v>0</v>
      </c>
      <c r="U328" s="54">
        <f>Assumptions!P$60</f>
        <v>0</v>
      </c>
      <c r="V328" s="54">
        <f>Assumptions!Q$60</f>
        <v>0</v>
      </c>
      <c r="W328" s="54">
        <f>Assumptions!R$60</f>
        <v>0</v>
      </c>
      <c r="X328" s="54">
        <f>Assumptions!S$60</f>
        <v>0</v>
      </c>
      <c r="Y328" s="54">
        <f>Assumptions!T$60</f>
        <v>0</v>
      </c>
      <c r="Z328" s="54">
        <f>Assumptions!U$60</f>
        <v>0</v>
      </c>
      <c r="AA328" s="54">
        <f>Assumptions!V$60</f>
        <v>0</v>
      </c>
      <c r="AB328" s="54">
        <f>Assumptions!W$60</f>
        <v>0</v>
      </c>
      <c r="AC328" s="54">
        <f>Assumptions!X$60</f>
        <v>0</v>
      </c>
      <c r="AD328" s="54">
        <f>Assumptions!Y$60</f>
        <v>0</v>
      </c>
      <c r="AE328" s="54">
        <f>Assumptions!Z$60</f>
        <v>0</v>
      </c>
      <c r="AF328" s="54">
        <f>Assumptions!AA$60</f>
        <v>0</v>
      </c>
      <c r="AG328" s="54">
        <f>Assumptions!AB$60</f>
        <v>0</v>
      </c>
      <c r="AH328" s="54">
        <f>Assumptions!AC$60</f>
        <v>0</v>
      </c>
      <c r="AI328" s="54">
        <f>Assumptions!AD$60</f>
        <v>0</v>
      </c>
      <c r="AJ328" s="54">
        <f>Assumptions!AE$60</f>
        <v>0</v>
      </c>
      <c r="AK328" s="54">
        <f>Assumptions!AF$60</f>
        <v>0</v>
      </c>
      <c r="AL328" s="54">
        <f>Assumptions!AG$60</f>
        <v>0</v>
      </c>
      <c r="AM328" s="54">
        <f>Assumptions!AH$60</f>
        <v>0</v>
      </c>
      <c r="AN328" s="54">
        <f>Assumptions!AI$60</f>
        <v>0</v>
      </c>
      <c r="AO328" s="54">
        <f>Assumptions!AJ$60</f>
        <v>0</v>
      </c>
      <c r="AP328" s="54">
        <f>Assumptions!AK$60</f>
        <v>0</v>
      </c>
      <c r="AQ328" s="54">
        <f>Assumptions!AL$60</f>
        <v>0</v>
      </c>
      <c r="AR328" s="54">
        <f>Assumptions!AM$60</f>
        <v>0</v>
      </c>
      <c r="AS328" s="54">
        <f>Assumptions!AN$60</f>
        <v>0</v>
      </c>
      <c r="AT328" s="54">
        <f>Assumptions!AO$60</f>
        <v>0</v>
      </c>
      <c r="AU328" s="54">
        <f>Assumptions!AP$60</f>
        <v>0</v>
      </c>
    </row>
    <row r="329" spans="1:47">
      <c r="E329" s="326"/>
      <c r="G329" s="39"/>
      <c r="H329" s="39"/>
      <c r="I329" s="39"/>
      <c r="J329" s="39"/>
      <c r="K329" s="39"/>
    </row>
    <row r="330" spans="1:47">
      <c r="E330" s="327"/>
      <c r="F330" s="28"/>
      <c r="G330" s="324" t="str">
        <f>C327&amp;" O&amp;M"</f>
        <v>Gas Cleaning O&amp;M</v>
      </c>
      <c r="H330" s="324"/>
      <c r="I330" s="324"/>
      <c r="J330" s="324"/>
      <c r="K330" s="324"/>
      <c r="L330" s="405" t="s">
        <v>79</v>
      </c>
      <c r="M330" s="256"/>
      <c r="N330" s="325" t="s">
        <v>490</v>
      </c>
      <c r="O330" s="311"/>
      <c r="P330" s="325" t="s">
        <v>491</v>
      </c>
      <c r="Q330" s="310"/>
      <c r="R330" s="325">
        <f>R$8</f>
        <v>2014</v>
      </c>
      <c r="S330" s="325">
        <f t="shared" ref="S330:AU330" si="233">S$8</f>
        <v>2015</v>
      </c>
      <c r="T330" s="325">
        <f t="shared" si="233"/>
        <v>2016</v>
      </c>
      <c r="U330" s="325">
        <f t="shared" si="233"/>
        <v>2017</v>
      </c>
      <c r="V330" s="325">
        <f t="shared" si="233"/>
        <v>2018</v>
      </c>
      <c r="W330" s="325">
        <f t="shared" si="233"/>
        <v>2019</v>
      </c>
      <c r="X330" s="325">
        <f t="shared" si="233"/>
        <v>2020</v>
      </c>
      <c r="Y330" s="325">
        <f t="shared" si="233"/>
        <v>2021</v>
      </c>
      <c r="Z330" s="325">
        <f t="shared" si="233"/>
        <v>2022</v>
      </c>
      <c r="AA330" s="325">
        <f t="shared" si="233"/>
        <v>2023</v>
      </c>
      <c r="AB330" s="325">
        <f t="shared" si="233"/>
        <v>2024</v>
      </c>
      <c r="AC330" s="325">
        <f t="shared" si="233"/>
        <v>2025</v>
      </c>
      <c r="AD330" s="325">
        <f t="shared" si="233"/>
        <v>2026</v>
      </c>
      <c r="AE330" s="325">
        <f t="shared" si="233"/>
        <v>2027</v>
      </c>
      <c r="AF330" s="325">
        <f t="shared" si="233"/>
        <v>2028</v>
      </c>
      <c r="AG330" s="325">
        <f t="shared" si="233"/>
        <v>2029</v>
      </c>
      <c r="AH330" s="325">
        <f t="shared" si="233"/>
        <v>2030</v>
      </c>
      <c r="AI330" s="325">
        <f t="shared" si="233"/>
        <v>2031</v>
      </c>
      <c r="AJ330" s="325">
        <f t="shared" si="233"/>
        <v>2032</v>
      </c>
      <c r="AK330" s="325">
        <f t="shared" si="233"/>
        <v>2033</v>
      </c>
      <c r="AL330" s="325">
        <f t="shared" si="233"/>
        <v>2034</v>
      </c>
      <c r="AM330" s="325">
        <f t="shared" si="233"/>
        <v>2035</v>
      </c>
      <c r="AN330" s="325">
        <f t="shared" si="233"/>
        <v>2036</v>
      </c>
      <c r="AO330" s="325">
        <f t="shared" si="233"/>
        <v>2037</v>
      </c>
      <c r="AP330" s="325">
        <f t="shared" si="233"/>
        <v>2038</v>
      </c>
      <c r="AQ330" s="325">
        <f t="shared" si="233"/>
        <v>2039</v>
      </c>
      <c r="AR330" s="325">
        <f t="shared" si="233"/>
        <v>2040</v>
      </c>
      <c r="AS330" s="325">
        <f t="shared" si="233"/>
        <v>2041</v>
      </c>
      <c r="AT330" s="325">
        <f t="shared" si="233"/>
        <v>2042</v>
      </c>
      <c r="AU330" s="325">
        <f t="shared" si="233"/>
        <v>2043</v>
      </c>
    </row>
    <row r="331" spans="1:47">
      <c r="E331" s="325"/>
      <c r="G331" s="39"/>
      <c r="H331" s="39"/>
      <c r="I331" s="39"/>
      <c r="J331" s="39"/>
      <c r="K331" s="39"/>
    </row>
    <row r="332" spans="1:47">
      <c r="E332" s="325"/>
      <c r="G332" s="39" t="s">
        <v>23</v>
      </c>
      <c r="H332" s="39"/>
      <c r="I332" s="39"/>
      <c r="J332" s="39"/>
      <c r="K332" s="39"/>
    </row>
    <row r="333" spans="1:47">
      <c r="A333" s="38" t="str">
        <f t="shared" ref="A333:A340" si="234">$J$4&amp;"-"</f>
        <v>3Y-</v>
      </c>
      <c r="B333" s="38" t="s">
        <v>262</v>
      </c>
      <c r="C333" s="38" t="str">
        <f>C327</f>
        <v>Gas Cleaning</v>
      </c>
      <c r="D333" s="186">
        <f>LaborEsc</f>
        <v>0.02</v>
      </c>
      <c r="E333" s="325"/>
      <c r="G333" s="36" t="s">
        <v>125</v>
      </c>
      <c r="I333" s="39"/>
      <c r="K333" s="39"/>
      <c r="L333" s="43" t="s">
        <v>266</v>
      </c>
      <c r="N333" s="70">
        <f ca="1">SUMIFS(OFFSET(Assumptions!$I$90,0,MATCH($A333,Configurations,0)-1,COUNT(Assumptions!$A$90:$A$183),1),Assumptions!$D$90:$D$183,$B333&amp;$C333)</f>
        <v>0</v>
      </c>
      <c r="O333" s="313"/>
      <c r="P333" s="323"/>
      <c r="Q333" s="313"/>
      <c r="R333" s="50">
        <f t="shared" ref="R333:AU333" ca="1" si="235">IF(OR(R$99&lt;InServiceYr,R$99&gt;(InServiceYr+analysis_period-1)),0,IF($P333=0,$N333,$P333)*LaborCost*(1+$D333)^(R$99-CostBaseYr))</f>
        <v>0</v>
      </c>
      <c r="S333" s="50">
        <f t="shared" ca="1" si="235"/>
        <v>0</v>
      </c>
      <c r="T333" s="50">
        <f t="shared" ca="1" si="235"/>
        <v>0</v>
      </c>
      <c r="U333" s="50">
        <f t="shared" ca="1" si="235"/>
        <v>0</v>
      </c>
      <c r="V333" s="50">
        <f t="shared" ca="1" si="235"/>
        <v>0</v>
      </c>
      <c r="W333" s="50">
        <f t="shared" ca="1" si="235"/>
        <v>0</v>
      </c>
      <c r="X333" s="50">
        <f t="shared" ca="1" si="235"/>
        <v>0</v>
      </c>
      <c r="Y333" s="50">
        <f t="shared" ca="1" si="235"/>
        <v>0</v>
      </c>
      <c r="Z333" s="50">
        <f t="shared" ca="1" si="235"/>
        <v>0</v>
      </c>
      <c r="AA333" s="50">
        <f t="shared" ca="1" si="235"/>
        <v>0</v>
      </c>
      <c r="AB333" s="50">
        <f t="shared" ca="1" si="235"/>
        <v>0</v>
      </c>
      <c r="AC333" s="50">
        <f t="shared" ca="1" si="235"/>
        <v>0</v>
      </c>
      <c r="AD333" s="50">
        <f t="shared" ca="1" si="235"/>
        <v>0</v>
      </c>
      <c r="AE333" s="50">
        <f t="shared" ca="1" si="235"/>
        <v>0</v>
      </c>
      <c r="AF333" s="50">
        <f t="shared" ca="1" si="235"/>
        <v>0</v>
      </c>
      <c r="AG333" s="50">
        <f t="shared" ca="1" si="235"/>
        <v>0</v>
      </c>
      <c r="AH333" s="50">
        <f t="shared" ca="1" si="235"/>
        <v>0</v>
      </c>
      <c r="AI333" s="50">
        <f t="shared" ca="1" si="235"/>
        <v>0</v>
      </c>
      <c r="AJ333" s="50">
        <f t="shared" ca="1" si="235"/>
        <v>0</v>
      </c>
      <c r="AK333" s="50">
        <f t="shared" ca="1" si="235"/>
        <v>0</v>
      </c>
      <c r="AL333" s="50">
        <f t="shared" si="235"/>
        <v>0</v>
      </c>
      <c r="AM333" s="50">
        <f t="shared" si="235"/>
        <v>0</v>
      </c>
      <c r="AN333" s="50">
        <f t="shared" si="235"/>
        <v>0</v>
      </c>
      <c r="AO333" s="50">
        <f t="shared" si="235"/>
        <v>0</v>
      </c>
      <c r="AP333" s="50">
        <f t="shared" si="235"/>
        <v>0</v>
      </c>
      <c r="AQ333" s="50">
        <f t="shared" si="235"/>
        <v>0</v>
      </c>
      <c r="AR333" s="50">
        <f t="shared" si="235"/>
        <v>0</v>
      </c>
      <c r="AS333" s="50">
        <f t="shared" si="235"/>
        <v>0</v>
      </c>
      <c r="AT333" s="50">
        <f t="shared" si="235"/>
        <v>0</v>
      </c>
      <c r="AU333" s="50">
        <f t="shared" si="235"/>
        <v>0</v>
      </c>
    </row>
    <row r="334" spans="1:47">
      <c r="A334" s="38" t="str">
        <f t="shared" si="234"/>
        <v>3Y-</v>
      </c>
      <c r="B334" s="38" t="s">
        <v>270</v>
      </c>
      <c r="C334" s="38" t="str">
        <f>C333</f>
        <v>Gas Cleaning</v>
      </c>
      <c r="D334" s="186">
        <f>OMEsc</f>
        <v>0.02</v>
      </c>
      <c r="E334" s="325"/>
      <c r="G334" s="36" t="s">
        <v>126</v>
      </c>
      <c r="I334" s="39"/>
      <c r="K334" s="39"/>
      <c r="L334" s="43" t="str">
        <f>"["&amp;CostBaseYr&amp;" $]"</f>
        <v>[2013 $]</v>
      </c>
      <c r="N334" s="70">
        <f ca="1">SUMIFS(OFFSET(Assumptions!$I$90,0,MATCH($A334,Configurations,0)-1,COUNT(Assumptions!$A$90:$A$183),1),Assumptions!$D$90:$D$183,$B334&amp;$C334)</f>
        <v>0</v>
      </c>
      <c r="O334" s="313"/>
      <c r="P334" s="323"/>
      <c r="Q334" s="313"/>
      <c r="R334" s="50">
        <f t="shared" ref="R334:AG336" ca="1" si="236">IF(OR(R$99&lt;InServiceYr,R$99&gt;(InServiceYr+analysis_period-1)),0,IF($P334=0,$N334,$P334)*(1+$D334)^(R$99-CostBaseYr))</f>
        <v>0</v>
      </c>
      <c r="S334" s="50">
        <f t="shared" ca="1" si="236"/>
        <v>0</v>
      </c>
      <c r="T334" s="50">
        <f t="shared" ca="1" si="236"/>
        <v>0</v>
      </c>
      <c r="U334" s="50">
        <f t="shared" ca="1" si="236"/>
        <v>0</v>
      </c>
      <c r="V334" s="50">
        <f t="shared" ca="1" si="236"/>
        <v>0</v>
      </c>
      <c r="W334" s="50">
        <f t="shared" ca="1" si="236"/>
        <v>0</v>
      </c>
      <c r="X334" s="50">
        <f t="shared" ca="1" si="236"/>
        <v>0</v>
      </c>
      <c r="Y334" s="50">
        <f t="shared" ca="1" si="236"/>
        <v>0</v>
      </c>
      <c r="Z334" s="50">
        <f t="shared" ca="1" si="236"/>
        <v>0</v>
      </c>
      <c r="AA334" s="50">
        <f t="shared" ca="1" si="236"/>
        <v>0</v>
      </c>
      <c r="AB334" s="50">
        <f t="shared" ca="1" si="236"/>
        <v>0</v>
      </c>
      <c r="AC334" s="50">
        <f t="shared" ca="1" si="236"/>
        <v>0</v>
      </c>
      <c r="AD334" s="50">
        <f t="shared" ca="1" si="236"/>
        <v>0</v>
      </c>
      <c r="AE334" s="50">
        <f t="shared" ca="1" si="236"/>
        <v>0</v>
      </c>
      <c r="AF334" s="50">
        <f t="shared" ca="1" si="236"/>
        <v>0</v>
      </c>
      <c r="AG334" s="50">
        <f t="shared" ca="1" si="236"/>
        <v>0</v>
      </c>
      <c r="AH334" s="50">
        <f t="shared" ref="S334:AU336" ca="1" si="237">IF(OR(AH$99&lt;InServiceYr,AH$99&gt;(InServiceYr+analysis_period-1)),0,IF($P334=0,$N334,$P334)*(1+$D334)^(AH$99-CostBaseYr))</f>
        <v>0</v>
      </c>
      <c r="AI334" s="50">
        <f t="shared" ca="1" si="237"/>
        <v>0</v>
      </c>
      <c r="AJ334" s="50">
        <f t="shared" ca="1" si="237"/>
        <v>0</v>
      </c>
      <c r="AK334" s="50">
        <f t="shared" ca="1" si="237"/>
        <v>0</v>
      </c>
      <c r="AL334" s="50">
        <f t="shared" si="237"/>
        <v>0</v>
      </c>
      <c r="AM334" s="50">
        <f t="shared" si="237"/>
        <v>0</v>
      </c>
      <c r="AN334" s="50">
        <f t="shared" si="237"/>
        <v>0</v>
      </c>
      <c r="AO334" s="50">
        <f t="shared" si="237"/>
        <v>0</v>
      </c>
      <c r="AP334" s="50">
        <f t="shared" si="237"/>
        <v>0</v>
      </c>
      <c r="AQ334" s="50">
        <f t="shared" si="237"/>
        <v>0</v>
      </c>
      <c r="AR334" s="50">
        <f t="shared" si="237"/>
        <v>0</v>
      </c>
      <c r="AS334" s="50">
        <f t="shared" si="237"/>
        <v>0</v>
      </c>
      <c r="AT334" s="50">
        <f t="shared" si="237"/>
        <v>0</v>
      </c>
      <c r="AU334" s="50">
        <f t="shared" si="237"/>
        <v>0</v>
      </c>
    </row>
    <row r="335" spans="1:47">
      <c r="A335" s="38" t="str">
        <f t="shared" si="234"/>
        <v>3Y-</v>
      </c>
      <c r="B335" s="38" t="s">
        <v>263</v>
      </c>
      <c r="C335" s="38" t="str">
        <f t="shared" ref="C335:C339" si="238">C334</f>
        <v>Gas Cleaning</v>
      </c>
      <c r="D335" s="186">
        <f>OMEsc</f>
        <v>0.02</v>
      </c>
      <c r="E335" s="325"/>
      <c r="G335" s="36" t="s">
        <v>127</v>
      </c>
      <c r="I335" s="39"/>
      <c r="K335" s="39"/>
      <c r="L335" s="43" t="str">
        <f>"["&amp;CostBaseYr&amp;" $]"</f>
        <v>[2013 $]</v>
      </c>
      <c r="N335" s="70">
        <f ca="1">SUMIFS(OFFSET(Assumptions!$I$90,0,MATCH($A335,Configurations,0)-1,COUNT(Assumptions!$A$90:$A$183),1),Assumptions!$D$90:$D$183,$B335&amp;$C335)</f>
        <v>0</v>
      </c>
      <c r="O335" s="313"/>
      <c r="P335" s="323"/>
      <c r="Q335" s="313"/>
      <c r="R335" s="50">
        <f t="shared" ca="1" si="236"/>
        <v>0</v>
      </c>
      <c r="S335" s="50">
        <f t="shared" ca="1" si="237"/>
        <v>0</v>
      </c>
      <c r="T335" s="50">
        <f t="shared" ca="1" si="237"/>
        <v>0</v>
      </c>
      <c r="U335" s="50">
        <f t="shared" ca="1" si="237"/>
        <v>0</v>
      </c>
      <c r="V335" s="50">
        <f t="shared" ca="1" si="237"/>
        <v>0</v>
      </c>
      <c r="W335" s="50">
        <f t="shared" ca="1" si="237"/>
        <v>0</v>
      </c>
      <c r="X335" s="50">
        <f t="shared" ca="1" si="237"/>
        <v>0</v>
      </c>
      <c r="Y335" s="50">
        <f t="shared" ca="1" si="237"/>
        <v>0</v>
      </c>
      <c r="Z335" s="50">
        <f t="shared" ca="1" si="237"/>
        <v>0</v>
      </c>
      <c r="AA335" s="50">
        <f t="shared" ca="1" si="237"/>
        <v>0</v>
      </c>
      <c r="AB335" s="50">
        <f t="shared" ca="1" si="237"/>
        <v>0</v>
      </c>
      <c r="AC335" s="50">
        <f t="shared" ca="1" si="237"/>
        <v>0</v>
      </c>
      <c r="AD335" s="50">
        <f t="shared" ca="1" si="237"/>
        <v>0</v>
      </c>
      <c r="AE335" s="50">
        <f t="shared" ca="1" si="237"/>
        <v>0</v>
      </c>
      <c r="AF335" s="50">
        <f t="shared" ca="1" si="237"/>
        <v>0</v>
      </c>
      <c r="AG335" s="50">
        <f t="shared" ca="1" si="237"/>
        <v>0</v>
      </c>
      <c r="AH335" s="50">
        <f t="shared" ca="1" si="237"/>
        <v>0</v>
      </c>
      <c r="AI335" s="50">
        <f t="shared" ca="1" si="237"/>
        <v>0</v>
      </c>
      <c r="AJ335" s="50">
        <f t="shared" ca="1" si="237"/>
        <v>0</v>
      </c>
      <c r="AK335" s="50">
        <f t="shared" ca="1" si="237"/>
        <v>0</v>
      </c>
      <c r="AL335" s="50">
        <f t="shared" si="237"/>
        <v>0</v>
      </c>
      <c r="AM335" s="50">
        <f t="shared" si="237"/>
        <v>0</v>
      </c>
      <c r="AN335" s="50">
        <f t="shared" si="237"/>
        <v>0</v>
      </c>
      <c r="AO335" s="50">
        <f t="shared" si="237"/>
        <v>0</v>
      </c>
      <c r="AP335" s="50">
        <f t="shared" si="237"/>
        <v>0</v>
      </c>
      <c r="AQ335" s="50">
        <f t="shared" si="237"/>
        <v>0</v>
      </c>
      <c r="AR335" s="50">
        <f t="shared" si="237"/>
        <v>0</v>
      </c>
      <c r="AS335" s="50">
        <f t="shared" si="237"/>
        <v>0</v>
      </c>
      <c r="AT335" s="50">
        <f t="shared" si="237"/>
        <v>0</v>
      </c>
      <c r="AU335" s="50">
        <f t="shared" si="237"/>
        <v>0</v>
      </c>
    </row>
    <row r="336" spans="1:47">
      <c r="A336" s="38" t="str">
        <f t="shared" si="234"/>
        <v>3Y-</v>
      </c>
      <c r="B336" s="38" t="s">
        <v>277</v>
      </c>
      <c r="C336" s="38" t="str">
        <f t="shared" si="238"/>
        <v>Gas Cleaning</v>
      </c>
      <c r="D336" s="186">
        <f>OMEsc</f>
        <v>0.02</v>
      </c>
      <c r="E336" s="325"/>
      <c r="G336" s="36" t="s">
        <v>276</v>
      </c>
      <c r="I336" s="39"/>
      <c r="K336" s="39"/>
      <c r="L336" s="43" t="str">
        <f>"["&amp;CostBaseYr&amp;" $]"</f>
        <v>[2013 $]</v>
      </c>
      <c r="N336" s="70">
        <f ca="1">SUMIFS(OFFSET(Assumptions!$I$90,0,MATCH($A336,Configurations,0)-1,COUNT(Assumptions!$A$90:$A$183),1),Assumptions!$D$90:$D$183,$B336&amp;$C336)</f>
        <v>0</v>
      </c>
      <c r="O336" s="313"/>
      <c r="P336" s="323"/>
      <c r="Q336" s="313"/>
      <c r="R336" s="50">
        <f t="shared" ca="1" si="236"/>
        <v>0</v>
      </c>
      <c r="S336" s="50">
        <f t="shared" ca="1" si="237"/>
        <v>0</v>
      </c>
      <c r="T336" s="50">
        <f t="shared" ca="1" si="237"/>
        <v>0</v>
      </c>
      <c r="U336" s="50">
        <f t="shared" ca="1" si="237"/>
        <v>0</v>
      </c>
      <c r="V336" s="50">
        <f t="shared" ca="1" si="237"/>
        <v>0</v>
      </c>
      <c r="W336" s="50">
        <f t="shared" ca="1" si="237"/>
        <v>0</v>
      </c>
      <c r="X336" s="50">
        <f t="shared" ca="1" si="237"/>
        <v>0</v>
      </c>
      <c r="Y336" s="50">
        <f t="shared" ca="1" si="237"/>
        <v>0</v>
      </c>
      <c r="Z336" s="50">
        <f t="shared" ca="1" si="237"/>
        <v>0</v>
      </c>
      <c r="AA336" s="50">
        <f t="shared" ca="1" si="237"/>
        <v>0</v>
      </c>
      <c r="AB336" s="50">
        <f t="shared" ca="1" si="237"/>
        <v>0</v>
      </c>
      <c r="AC336" s="50">
        <f t="shared" ca="1" si="237"/>
        <v>0</v>
      </c>
      <c r="AD336" s="50">
        <f t="shared" ca="1" si="237"/>
        <v>0</v>
      </c>
      <c r="AE336" s="50">
        <f t="shared" ca="1" si="237"/>
        <v>0</v>
      </c>
      <c r="AF336" s="50">
        <f t="shared" ca="1" si="237"/>
        <v>0</v>
      </c>
      <c r="AG336" s="50">
        <f t="shared" ca="1" si="237"/>
        <v>0</v>
      </c>
      <c r="AH336" s="50">
        <f t="shared" ca="1" si="237"/>
        <v>0</v>
      </c>
      <c r="AI336" s="50">
        <f t="shared" ca="1" si="237"/>
        <v>0</v>
      </c>
      <c r="AJ336" s="50">
        <f t="shared" ca="1" si="237"/>
        <v>0</v>
      </c>
      <c r="AK336" s="50">
        <f t="shared" ca="1" si="237"/>
        <v>0</v>
      </c>
      <c r="AL336" s="50">
        <f t="shared" si="237"/>
        <v>0</v>
      </c>
      <c r="AM336" s="50">
        <f t="shared" si="237"/>
        <v>0</v>
      </c>
      <c r="AN336" s="50">
        <f t="shared" si="237"/>
        <v>0</v>
      </c>
      <c r="AO336" s="50">
        <f t="shared" si="237"/>
        <v>0</v>
      </c>
      <c r="AP336" s="50">
        <f t="shared" si="237"/>
        <v>0</v>
      </c>
      <c r="AQ336" s="50">
        <f t="shared" si="237"/>
        <v>0</v>
      </c>
      <c r="AR336" s="50">
        <f t="shared" si="237"/>
        <v>0</v>
      </c>
      <c r="AS336" s="50">
        <f t="shared" si="237"/>
        <v>0</v>
      </c>
      <c r="AT336" s="50">
        <f t="shared" si="237"/>
        <v>0</v>
      </c>
      <c r="AU336" s="50">
        <f t="shared" si="237"/>
        <v>0</v>
      </c>
    </row>
    <row r="337" spans="1:47">
      <c r="A337" s="38" t="str">
        <f t="shared" si="234"/>
        <v>3Y-</v>
      </c>
      <c r="B337" s="38" t="s">
        <v>274</v>
      </c>
      <c r="C337" s="38" t="str">
        <f t="shared" si="238"/>
        <v>Gas Cleaning</v>
      </c>
      <c r="D337" s="186"/>
      <c r="E337" s="325"/>
      <c r="G337" s="36" t="s">
        <v>16</v>
      </c>
      <c r="I337" s="39"/>
      <c r="K337" s="39"/>
      <c r="L337" s="43" t="s">
        <v>275</v>
      </c>
      <c r="N337" s="70">
        <f ca="1">SUMIFS(OFFSET(Assumptions!$I$90,0,MATCH($A337,Configurations,0)-1,COUNT(Assumptions!$A$90:$A$183),1),Assumptions!$D$90:$D$183,$B337&amp;$C337)</f>
        <v>0</v>
      </c>
      <c r="O337" s="313"/>
      <c r="P337" s="323"/>
      <c r="Q337" s="313"/>
      <c r="R337" s="50">
        <f t="shared" ref="R337:AU337" ca="1" si="239">IF(OR(R$99&lt;InServiceYr,R$99&gt;(InServiceYr+analysis_period-1)),0,IF($P337=0,$N337,$P337)*R$505)</f>
        <v>0</v>
      </c>
      <c r="S337" s="50">
        <f t="shared" ca="1" si="239"/>
        <v>0</v>
      </c>
      <c r="T337" s="50">
        <f t="shared" ca="1" si="239"/>
        <v>0</v>
      </c>
      <c r="U337" s="50">
        <f t="shared" ca="1" si="239"/>
        <v>0</v>
      </c>
      <c r="V337" s="50">
        <f t="shared" ca="1" si="239"/>
        <v>0</v>
      </c>
      <c r="W337" s="50">
        <f t="shared" ca="1" si="239"/>
        <v>0</v>
      </c>
      <c r="X337" s="50">
        <f t="shared" ca="1" si="239"/>
        <v>0</v>
      </c>
      <c r="Y337" s="50">
        <f t="shared" ca="1" si="239"/>
        <v>0</v>
      </c>
      <c r="Z337" s="50">
        <f t="shared" ca="1" si="239"/>
        <v>0</v>
      </c>
      <c r="AA337" s="50">
        <f t="shared" ca="1" si="239"/>
        <v>0</v>
      </c>
      <c r="AB337" s="50">
        <f t="shared" ca="1" si="239"/>
        <v>0</v>
      </c>
      <c r="AC337" s="50">
        <f t="shared" ca="1" si="239"/>
        <v>0</v>
      </c>
      <c r="AD337" s="50">
        <f t="shared" ca="1" si="239"/>
        <v>0</v>
      </c>
      <c r="AE337" s="50">
        <f t="shared" ca="1" si="239"/>
        <v>0</v>
      </c>
      <c r="AF337" s="50">
        <f t="shared" ca="1" si="239"/>
        <v>0</v>
      </c>
      <c r="AG337" s="50">
        <f t="shared" ca="1" si="239"/>
        <v>0</v>
      </c>
      <c r="AH337" s="50">
        <f t="shared" ca="1" si="239"/>
        <v>0</v>
      </c>
      <c r="AI337" s="50">
        <f t="shared" ca="1" si="239"/>
        <v>0</v>
      </c>
      <c r="AJ337" s="50">
        <f t="shared" ca="1" si="239"/>
        <v>0</v>
      </c>
      <c r="AK337" s="50">
        <f t="shared" ca="1" si="239"/>
        <v>0</v>
      </c>
      <c r="AL337" s="50">
        <f t="shared" si="239"/>
        <v>0</v>
      </c>
      <c r="AM337" s="50">
        <f t="shared" si="239"/>
        <v>0</v>
      </c>
      <c r="AN337" s="50">
        <f t="shared" si="239"/>
        <v>0</v>
      </c>
      <c r="AO337" s="50">
        <f t="shared" si="239"/>
        <v>0</v>
      </c>
      <c r="AP337" s="50">
        <f t="shared" si="239"/>
        <v>0</v>
      </c>
      <c r="AQ337" s="50">
        <f t="shared" si="239"/>
        <v>0</v>
      </c>
      <c r="AR337" s="50">
        <f t="shared" si="239"/>
        <v>0</v>
      </c>
      <c r="AS337" s="50">
        <f t="shared" si="239"/>
        <v>0</v>
      </c>
      <c r="AT337" s="50">
        <f t="shared" si="239"/>
        <v>0</v>
      </c>
      <c r="AU337" s="50">
        <f t="shared" si="239"/>
        <v>0</v>
      </c>
    </row>
    <row r="338" spans="1:47">
      <c r="A338" s="38" t="str">
        <f t="shared" si="234"/>
        <v>3Y-</v>
      </c>
      <c r="B338" s="38" t="s">
        <v>257</v>
      </c>
      <c r="C338" s="38" t="str">
        <f t="shared" si="238"/>
        <v>Gas Cleaning</v>
      </c>
      <c r="D338" s="186"/>
      <c r="E338" s="325"/>
      <c r="G338" s="36" t="s">
        <v>284</v>
      </c>
      <c r="I338" s="39"/>
      <c r="K338" s="39"/>
      <c r="L338" s="43" t="s">
        <v>293</v>
      </c>
      <c r="N338" s="70">
        <f ca="1">SUMIFS(OFFSET(Assumptions!$I$90,0,MATCH($A338,Configurations,0)-1,COUNT(Assumptions!$A$90:$A$183),1),Assumptions!$D$90:$D$183,$B338&amp;$C338)</f>
        <v>0</v>
      </c>
      <c r="O338" s="313"/>
      <c r="P338" s="323"/>
      <c r="Q338" s="313"/>
      <c r="R338" s="50">
        <f t="shared" ref="R338:AU338" ca="1" si="240">IF(OR(R$99&lt;InServiceYr,R$99&gt;(InServiceYr+analysis_period-1)),0,IF($P338=0,$N338,$P338)*R$501)</f>
        <v>0</v>
      </c>
      <c r="S338" s="50">
        <f t="shared" ca="1" si="240"/>
        <v>0</v>
      </c>
      <c r="T338" s="50">
        <f t="shared" ca="1" si="240"/>
        <v>0</v>
      </c>
      <c r="U338" s="50">
        <f t="shared" ca="1" si="240"/>
        <v>0</v>
      </c>
      <c r="V338" s="50">
        <f t="shared" ca="1" si="240"/>
        <v>0</v>
      </c>
      <c r="W338" s="50">
        <f t="shared" ca="1" si="240"/>
        <v>0</v>
      </c>
      <c r="X338" s="50">
        <f t="shared" ca="1" si="240"/>
        <v>0</v>
      </c>
      <c r="Y338" s="50">
        <f t="shared" ca="1" si="240"/>
        <v>0</v>
      </c>
      <c r="Z338" s="50">
        <f t="shared" ca="1" si="240"/>
        <v>0</v>
      </c>
      <c r="AA338" s="50">
        <f t="shared" ca="1" si="240"/>
        <v>0</v>
      </c>
      <c r="AB338" s="50">
        <f t="shared" ca="1" si="240"/>
        <v>0</v>
      </c>
      <c r="AC338" s="50">
        <f t="shared" ca="1" si="240"/>
        <v>0</v>
      </c>
      <c r="AD338" s="50">
        <f t="shared" ca="1" si="240"/>
        <v>0</v>
      </c>
      <c r="AE338" s="50">
        <f t="shared" ca="1" si="240"/>
        <v>0</v>
      </c>
      <c r="AF338" s="50">
        <f t="shared" ca="1" si="240"/>
        <v>0</v>
      </c>
      <c r="AG338" s="50">
        <f t="shared" ca="1" si="240"/>
        <v>0</v>
      </c>
      <c r="AH338" s="50">
        <f t="shared" ca="1" si="240"/>
        <v>0</v>
      </c>
      <c r="AI338" s="50">
        <f t="shared" ca="1" si="240"/>
        <v>0</v>
      </c>
      <c r="AJ338" s="50">
        <f t="shared" ca="1" si="240"/>
        <v>0</v>
      </c>
      <c r="AK338" s="50">
        <f t="shared" ca="1" si="240"/>
        <v>0</v>
      </c>
      <c r="AL338" s="50">
        <f t="shared" si="240"/>
        <v>0</v>
      </c>
      <c r="AM338" s="50">
        <f t="shared" si="240"/>
        <v>0</v>
      </c>
      <c r="AN338" s="50">
        <f t="shared" si="240"/>
        <v>0</v>
      </c>
      <c r="AO338" s="50">
        <f t="shared" si="240"/>
        <v>0</v>
      </c>
      <c r="AP338" s="50">
        <f t="shared" si="240"/>
        <v>0</v>
      </c>
      <c r="AQ338" s="50">
        <f t="shared" si="240"/>
        <v>0</v>
      </c>
      <c r="AR338" s="50">
        <f t="shared" si="240"/>
        <v>0</v>
      </c>
      <c r="AS338" s="50">
        <f t="shared" si="240"/>
        <v>0</v>
      </c>
      <c r="AT338" s="50">
        <f t="shared" si="240"/>
        <v>0</v>
      </c>
      <c r="AU338" s="50">
        <f t="shared" si="240"/>
        <v>0</v>
      </c>
    </row>
    <row r="339" spans="1:47">
      <c r="A339" s="38" t="str">
        <f t="shared" si="234"/>
        <v>3Y-</v>
      </c>
      <c r="B339" s="38" t="s">
        <v>864</v>
      </c>
      <c r="C339" s="38" t="str">
        <f t="shared" si="238"/>
        <v>Gas Cleaning</v>
      </c>
      <c r="D339" s="186">
        <f>GHGEsc</f>
        <v>0.02</v>
      </c>
      <c r="E339" s="325"/>
      <c r="G339" s="36" t="s">
        <v>865</v>
      </c>
      <c r="I339" s="39"/>
      <c r="K339" s="39"/>
      <c r="L339" s="43" t="s">
        <v>866</v>
      </c>
      <c r="N339" s="70">
        <f ca="1">SUMIFS(OFFSET(Assumptions!$I$90,0,MATCH($A339,Configurations,0)-1,COUNT(Assumptions!$A$90:$A$183),1),Assumptions!$D$90:$D$183,$B339&amp;$C339)</f>
        <v>0</v>
      </c>
      <c r="O339" s="313"/>
      <c r="P339" s="323"/>
      <c r="Q339" s="313"/>
      <c r="R339" s="50">
        <f t="shared" ref="R339:AU339" ca="1" si="241">IF(OR(R$99&lt;InServiceYr,R$99&gt;(InServiceYr+analysis_period-1)),0,IF($P339=0,$N339,$P339)*R$513)</f>
        <v>0</v>
      </c>
      <c r="S339" s="50">
        <f t="shared" ca="1" si="241"/>
        <v>0</v>
      </c>
      <c r="T339" s="50">
        <f t="shared" ca="1" si="241"/>
        <v>0</v>
      </c>
      <c r="U339" s="50">
        <f t="shared" ca="1" si="241"/>
        <v>0</v>
      </c>
      <c r="V339" s="50">
        <f t="shared" ca="1" si="241"/>
        <v>0</v>
      </c>
      <c r="W339" s="50">
        <f t="shared" ca="1" si="241"/>
        <v>0</v>
      </c>
      <c r="X339" s="50">
        <f t="shared" ca="1" si="241"/>
        <v>0</v>
      </c>
      <c r="Y339" s="50">
        <f t="shared" ca="1" si="241"/>
        <v>0</v>
      </c>
      <c r="Z339" s="50">
        <f t="shared" ca="1" si="241"/>
        <v>0</v>
      </c>
      <c r="AA339" s="50">
        <f t="shared" ca="1" si="241"/>
        <v>0</v>
      </c>
      <c r="AB339" s="50">
        <f t="shared" ca="1" si="241"/>
        <v>0</v>
      </c>
      <c r="AC339" s="50">
        <f t="shared" ca="1" si="241"/>
        <v>0</v>
      </c>
      <c r="AD339" s="50">
        <f t="shared" ca="1" si="241"/>
        <v>0</v>
      </c>
      <c r="AE339" s="50">
        <f t="shared" ca="1" si="241"/>
        <v>0</v>
      </c>
      <c r="AF339" s="50">
        <f t="shared" ca="1" si="241"/>
        <v>0</v>
      </c>
      <c r="AG339" s="50">
        <f t="shared" ca="1" si="241"/>
        <v>0</v>
      </c>
      <c r="AH339" s="50">
        <f t="shared" ca="1" si="241"/>
        <v>0</v>
      </c>
      <c r="AI339" s="50">
        <f t="shared" ca="1" si="241"/>
        <v>0</v>
      </c>
      <c r="AJ339" s="50">
        <f t="shared" ca="1" si="241"/>
        <v>0</v>
      </c>
      <c r="AK339" s="50">
        <f t="shared" ca="1" si="241"/>
        <v>0</v>
      </c>
      <c r="AL339" s="50">
        <f t="shared" si="241"/>
        <v>0</v>
      </c>
      <c r="AM339" s="50">
        <f t="shared" si="241"/>
        <v>0</v>
      </c>
      <c r="AN339" s="50">
        <f t="shared" si="241"/>
        <v>0</v>
      </c>
      <c r="AO339" s="50">
        <f t="shared" si="241"/>
        <v>0</v>
      </c>
      <c r="AP339" s="50">
        <f t="shared" si="241"/>
        <v>0</v>
      </c>
      <c r="AQ339" s="50">
        <f t="shared" si="241"/>
        <v>0</v>
      </c>
      <c r="AR339" s="50">
        <f t="shared" si="241"/>
        <v>0</v>
      </c>
      <c r="AS339" s="50">
        <f t="shared" si="241"/>
        <v>0</v>
      </c>
      <c r="AT339" s="50">
        <f t="shared" si="241"/>
        <v>0</v>
      </c>
      <c r="AU339" s="50">
        <f t="shared" si="241"/>
        <v>0</v>
      </c>
    </row>
    <row r="340" spans="1:47">
      <c r="A340" s="38" t="str">
        <f t="shared" si="234"/>
        <v>3Y-</v>
      </c>
      <c r="B340" s="38" t="s">
        <v>273</v>
      </c>
      <c r="C340" s="38" t="str">
        <f>C338</f>
        <v>Gas Cleaning</v>
      </c>
      <c r="D340" s="186">
        <f>LaborEsc</f>
        <v>0.02</v>
      </c>
      <c r="E340" s="325"/>
      <c r="G340" s="36" t="s">
        <v>291</v>
      </c>
      <c r="I340" s="39"/>
      <c r="K340" s="39"/>
      <c r="L340" s="43" t="str">
        <f>"["&amp;CostBaseYr&amp;" $]"</f>
        <v>[2013 $]</v>
      </c>
      <c r="N340" s="70">
        <f ca="1">SUMIFS(OFFSET(Assumptions!$I$90,0,MATCH($A340,Configurations,0)-1,COUNT(Assumptions!$A$90:$A$183),1),Assumptions!$D$90:$D$183,$B340&amp;$C340)</f>
        <v>0</v>
      </c>
      <c r="O340" s="313"/>
      <c r="P340" s="323"/>
      <c r="Q340" s="313"/>
      <c r="R340" s="50">
        <f t="shared" ref="R340:AU340" ca="1" si="242">IF(OR(R$99&lt;InServiceYr,R$99&gt;(InServiceYr+analysis_period-1)),0,IF($P340=0,$N340,$P340)*(1+$D340)^(R$99-CostBaseYr))*R$509</f>
        <v>0</v>
      </c>
      <c r="S340" s="50">
        <f t="shared" ca="1" si="242"/>
        <v>0</v>
      </c>
      <c r="T340" s="50">
        <f t="shared" ca="1" si="242"/>
        <v>0</v>
      </c>
      <c r="U340" s="50">
        <f t="shared" ca="1" si="242"/>
        <v>0</v>
      </c>
      <c r="V340" s="50">
        <f t="shared" ca="1" si="242"/>
        <v>0</v>
      </c>
      <c r="W340" s="50">
        <f t="shared" ca="1" si="242"/>
        <v>0</v>
      </c>
      <c r="X340" s="50">
        <f t="shared" ca="1" si="242"/>
        <v>0</v>
      </c>
      <c r="Y340" s="50">
        <f t="shared" ca="1" si="242"/>
        <v>0</v>
      </c>
      <c r="Z340" s="50">
        <f t="shared" ca="1" si="242"/>
        <v>0</v>
      </c>
      <c r="AA340" s="50">
        <f t="shared" ca="1" si="242"/>
        <v>0</v>
      </c>
      <c r="AB340" s="50">
        <f t="shared" ca="1" si="242"/>
        <v>0</v>
      </c>
      <c r="AC340" s="50">
        <f t="shared" ca="1" si="242"/>
        <v>0</v>
      </c>
      <c r="AD340" s="50">
        <f t="shared" ca="1" si="242"/>
        <v>0</v>
      </c>
      <c r="AE340" s="50">
        <f t="shared" ca="1" si="242"/>
        <v>0</v>
      </c>
      <c r="AF340" s="50">
        <f t="shared" ca="1" si="242"/>
        <v>0</v>
      </c>
      <c r="AG340" s="50">
        <f t="shared" ca="1" si="242"/>
        <v>0</v>
      </c>
      <c r="AH340" s="50">
        <f t="shared" ca="1" si="242"/>
        <v>0</v>
      </c>
      <c r="AI340" s="50">
        <f t="shared" ca="1" si="242"/>
        <v>0</v>
      </c>
      <c r="AJ340" s="50">
        <f t="shared" ca="1" si="242"/>
        <v>0</v>
      </c>
      <c r="AK340" s="50">
        <f t="shared" ca="1" si="242"/>
        <v>0</v>
      </c>
      <c r="AL340" s="50">
        <f t="shared" si="242"/>
        <v>0</v>
      </c>
      <c r="AM340" s="50">
        <f t="shared" si="242"/>
        <v>0</v>
      </c>
      <c r="AN340" s="50">
        <f t="shared" si="242"/>
        <v>0</v>
      </c>
      <c r="AO340" s="50">
        <f t="shared" si="242"/>
        <v>0</v>
      </c>
      <c r="AP340" s="50">
        <f t="shared" si="242"/>
        <v>0</v>
      </c>
      <c r="AQ340" s="50">
        <f t="shared" si="242"/>
        <v>0</v>
      </c>
      <c r="AR340" s="50">
        <f t="shared" si="242"/>
        <v>0</v>
      </c>
      <c r="AS340" s="50">
        <f t="shared" si="242"/>
        <v>0</v>
      </c>
      <c r="AT340" s="50">
        <f t="shared" si="242"/>
        <v>0</v>
      </c>
      <c r="AU340" s="50">
        <f t="shared" si="242"/>
        <v>0</v>
      </c>
    </row>
    <row r="341" spans="1:47">
      <c r="D341" s="186"/>
      <c r="E341" s="325"/>
      <c r="G341" s="39" t="s">
        <v>304</v>
      </c>
      <c r="I341" s="39"/>
      <c r="K341" s="39"/>
      <c r="L341" s="43"/>
      <c r="N341" s="70"/>
      <c r="O341" s="313"/>
      <c r="P341" s="70"/>
      <c r="Q341" s="313"/>
      <c r="R341" s="50"/>
      <c r="S341" s="50"/>
      <c r="T341" s="50"/>
      <c r="U341" s="50"/>
      <c r="V341" s="50"/>
      <c r="W341" s="50"/>
      <c r="X341" s="50"/>
      <c r="Y341" s="50"/>
      <c r="Z341" s="50"/>
      <c r="AA341" s="50"/>
      <c r="AB341" s="50"/>
      <c r="AC341" s="50"/>
      <c r="AD341" s="50"/>
      <c r="AE341" s="50"/>
      <c r="AF341" s="50"/>
      <c r="AG341" s="50"/>
      <c r="AH341" s="50"/>
      <c r="AI341" s="50"/>
      <c r="AJ341" s="50"/>
      <c r="AK341" s="50"/>
      <c r="AL341" s="50"/>
      <c r="AM341" s="50"/>
      <c r="AN341" s="50"/>
      <c r="AO341" s="50"/>
      <c r="AP341" s="50"/>
      <c r="AQ341" s="50"/>
      <c r="AR341" s="50"/>
      <c r="AS341" s="50"/>
      <c r="AT341" s="50"/>
      <c r="AU341" s="50"/>
    </row>
    <row r="342" spans="1:47">
      <c r="A342" s="38" t="str">
        <f>$J$4&amp;"-"</f>
        <v>3Y-</v>
      </c>
      <c r="B342" s="38" t="s">
        <v>265</v>
      </c>
      <c r="C342" s="38" t="str">
        <f>C333</f>
        <v>Gas Cleaning</v>
      </c>
      <c r="D342" s="186"/>
      <c r="E342" s="325"/>
      <c r="G342" s="36" t="s">
        <v>108</v>
      </c>
      <c r="I342" s="39"/>
      <c r="K342" s="39"/>
      <c r="L342" s="43" t="s">
        <v>293</v>
      </c>
      <c r="N342" s="70">
        <f ca="1">SUMIFS(OFFSET(Assumptions!$I$90,0,MATCH($A342,Configurations,0)-1,COUNT(Assumptions!$A$90:$A$183),1),Assumptions!$D$90:$D$183,$B342&amp;$C342)</f>
        <v>0</v>
      </c>
      <c r="O342" s="313"/>
      <c r="P342" s="323"/>
      <c r="Q342" s="313"/>
      <c r="R342" s="50">
        <f t="shared" ref="R342:AU342" ca="1" si="243">IF(OR(R$99&lt;InServiceYr,R$99&gt;(InServiceYr+analysis_period-1)),0,IF($P342=0,$N342,$P342)*R$501)</f>
        <v>0</v>
      </c>
      <c r="S342" s="50">
        <f t="shared" ca="1" si="243"/>
        <v>0</v>
      </c>
      <c r="T342" s="50">
        <f t="shared" ca="1" si="243"/>
        <v>0</v>
      </c>
      <c r="U342" s="50">
        <f t="shared" ca="1" si="243"/>
        <v>0</v>
      </c>
      <c r="V342" s="50">
        <f t="shared" ca="1" si="243"/>
        <v>0</v>
      </c>
      <c r="W342" s="50">
        <f t="shared" ca="1" si="243"/>
        <v>0</v>
      </c>
      <c r="X342" s="50">
        <f t="shared" ca="1" si="243"/>
        <v>0</v>
      </c>
      <c r="Y342" s="50">
        <f t="shared" ca="1" si="243"/>
        <v>0</v>
      </c>
      <c r="Z342" s="50">
        <f t="shared" ca="1" si="243"/>
        <v>0</v>
      </c>
      <c r="AA342" s="50">
        <f t="shared" ca="1" si="243"/>
        <v>0</v>
      </c>
      <c r="AB342" s="50">
        <f t="shared" ca="1" si="243"/>
        <v>0</v>
      </c>
      <c r="AC342" s="50">
        <f t="shared" ca="1" si="243"/>
        <v>0</v>
      </c>
      <c r="AD342" s="50">
        <f t="shared" ca="1" si="243"/>
        <v>0</v>
      </c>
      <c r="AE342" s="50">
        <f t="shared" ca="1" si="243"/>
        <v>0</v>
      </c>
      <c r="AF342" s="50">
        <f t="shared" ca="1" si="243"/>
        <v>0</v>
      </c>
      <c r="AG342" s="50">
        <f t="shared" ca="1" si="243"/>
        <v>0</v>
      </c>
      <c r="AH342" s="50">
        <f t="shared" ca="1" si="243"/>
        <v>0</v>
      </c>
      <c r="AI342" s="50">
        <f t="shared" ca="1" si="243"/>
        <v>0</v>
      </c>
      <c r="AJ342" s="50">
        <f t="shared" ca="1" si="243"/>
        <v>0</v>
      </c>
      <c r="AK342" s="50">
        <f t="shared" ca="1" si="243"/>
        <v>0</v>
      </c>
      <c r="AL342" s="50">
        <f t="shared" si="243"/>
        <v>0</v>
      </c>
      <c r="AM342" s="50">
        <f t="shared" si="243"/>
        <v>0</v>
      </c>
      <c r="AN342" s="50">
        <f t="shared" si="243"/>
        <v>0</v>
      </c>
      <c r="AO342" s="50">
        <f t="shared" si="243"/>
        <v>0</v>
      </c>
      <c r="AP342" s="50">
        <f t="shared" si="243"/>
        <v>0</v>
      </c>
      <c r="AQ342" s="50">
        <f t="shared" si="243"/>
        <v>0</v>
      </c>
      <c r="AR342" s="50">
        <f t="shared" si="243"/>
        <v>0</v>
      </c>
      <c r="AS342" s="50">
        <f t="shared" si="243"/>
        <v>0</v>
      </c>
      <c r="AT342" s="50">
        <f t="shared" si="243"/>
        <v>0</v>
      </c>
      <c r="AU342" s="50">
        <f t="shared" si="243"/>
        <v>0</v>
      </c>
    </row>
    <row r="343" spans="1:47">
      <c r="A343" s="38" t="str">
        <f>$J$4&amp;"-"</f>
        <v>3Y-</v>
      </c>
      <c r="B343" s="38" t="s">
        <v>289</v>
      </c>
      <c r="C343" s="38" t="str">
        <f>C333</f>
        <v>Gas Cleaning</v>
      </c>
      <c r="D343" s="186">
        <f>LaborEsc</f>
        <v>0.02</v>
      </c>
      <c r="E343" s="325"/>
      <c r="G343" s="36" t="s">
        <v>292</v>
      </c>
      <c r="I343" s="39"/>
      <c r="K343" s="39"/>
      <c r="L343" s="43" t="str">
        <f>"["&amp;CostBaseYr&amp;" $]"</f>
        <v>[2013 $]</v>
      </c>
      <c r="N343" s="70">
        <f ca="1">SUMIFS(OFFSET(Assumptions!$I$90,0,MATCH($A343,Configurations,0)-1,COUNT(Assumptions!$A$90:$A$183),1),Assumptions!$D$90:$D$183,$B343&amp;$C343)</f>
        <v>0</v>
      </c>
      <c r="O343" s="313"/>
      <c r="P343" s="323"/>
      <c r="Q343" s="313"/>
      <c r="R343" s="50">
        <f t="shared" ref="R343:AU343" ca="1" si="244">IF(OR(R$99&lt;InServiceYr,R$99&gt;(InServiceYr+analysis_period-1)),0,IF($P343=0,$N343,$P343)*(1+$D343)^(R$99-CostBaseYr))</f>
        <v>0</v>
      </c>
      <c r="S343" s="50">
        <f t="shared" ca="1" si="244"/>
        <v>0</v>
      </c>
      <c r="T343" s="50">
        <f t="shared" ca="1" si="244"/>
        <v>0</v>
      </c>
      <c r="U343" s="50">
        <f t="shared" ca="1" si="244"/>
        <v>0</v>
      </c>
      <c r="V343" s="50">
        <f t="shared" ca="1" si="244"/>
        <v>0</v>
      </c>
      <c r="W343" s="50">
        <f t="shared" ca="1" si="244"/>
        <v>0</v>
      </c>
      <c r="X343" s="50">
        <f t="shared" ca="1" si="244"/>
        <v>0</v>
      </c>
      <c r="Y343" s="50">
        <f t="shared" ca="1" si="244"/>
        <v>0</v>
      </c>
      <c r="Z343" s="50">
        <f t="shared" ca="1" si="244"/>
        <v>0</v>
      </c>
      <c r="AA343" s="50">
        <f t="shared" ca="1" si="244"/>
        <v>0</v>
      </c>
      <c r="AB343" s="50">
        <f t="shared" ca="1" si="244"/>
        <v>0</v>
      </c>
      <c r="AC343" s="50">
        <f t="shared" ca="1" si="244"/>
        <v>0</v>
      </c>
      <c r="AD343" s="50">
        <f t="shared" ca="1" si="244"/>
        <v>0</v>
      </c>
      <c r="AE343" s="50">
        <f t="shared" ca="1" si="244"/>
        <v>0</v>
      </c>
      <c r="AF343" s="50">
        <f t="shared" ca="1" si="244"/>
        <v>0</v>
      </c>
      <c r="AG343" s="50">
        <f t="shared" ca="1" si="244"/>
        <v>0</v>
      </c>
      <c r="AH343" s="50">
        <f t="shared" ca="1" si="244"/>
        <v>0</v>
      </c>
      <c r="AI343" s="50">
        <f t="shared" ca="1" si="244"/>
        <v>0</v>
      </c>
      <c r="AJ343" s="50">
        <f t="shared" ca="1" si="244"/>
        <v>0</v>
      </c>
      <c r="AK343" s="50">
        <f t="shared" ca="1" si="244"/>
        <v>0</v>
      </c>
      <c r="AL343" s="50">
        <f t="shared" si="244"/>
        <v>0</v>
      </c>
      <c r="AM343" s="50">
        <f t="shared" si="244"/>
        <v>0</v>
      </c>
      <c r="AN343" s="50">
        <f t="shared" si="244"/>
        <v>0</v>
      </c>
      <c r="AO343" s="50">
        <f t="shared" si="244"/>
        <v>0</v>
      </c>
      <c r="AP343" s="50">
        <f t="shared" si="244"/>
        <v>0</v>
      </c>
      <c r="AQ343" s="50">
        <f t="shared" si="244"/>
        <v>0</v>
      </c>
      <c r="AR343" s="50">
        <f t="shared" si="244"/>
        <v>0</v>
      </c>
      <c r="AS343" s="50">
        <f t="shared" si="244"/>
        <v>0</v>
      </c>
      <c r="AT343" s="50">
        <f t="shared" si="244"/>
        <v>0</v>
      </c>
      <c r="AU343" s="50">
        <f t="shared" si="244"/>
        <v>0</v>
      </c>
    </row>
    <row r="344" spans="1:47" s="60" customFormat="1">
      <c r="D344" s="187"/>
      <c r="E344" s="325"/>
      <c r="G344" s="39" t="s">
        <v>305</v>
      </c>
      <c r="I344" s="39"/>
      <c r="K344" s="39"/>
      <c r="L344" s="174"/>
      <c r="N344" s="188"/>
      <c r="O344" s="314"/>
      <c r="P344" s="185"/>
      <c r="Q344" s="314"/>
      <c r="R344" s="185">
        <f ca="1">SUM(R333:R340)-SUM(R342:R343)</f>
        <v>0</v>
      </c>
      <c r="S344" s="185">
        <f t="shared" ref="S344:AU344" ca="1" si="245">SUM(S333:S340)-SUM(S342:S343)</f>
        <v>0</v>
      </c>
      <c r="T344" s="185">
        <f t="shared" ca="1" si="245"/>
        <v>0</v>
      </c>
      <c r="U344" s="185">
        <f t="shared" ca="1" si="245"/>
        <v>0</v>
      </c>
      <c r="V344" s="185">
        <f t="shared" ca="1" si="245"/>
        <v>0</v>
      </c>
      <c r="W344" s="185">
        <f t="shared" ca="1" si="245"/>
        <v>0</v>
      </c>
      <c r="X344" s="185">
        <f t="shared" ca="1" si="245"/>
        <v>0</v>
      </c>
      <c r="Y344" s="185">
        <f t="shared" ca="1" si="245"/>
        <v>0</v>
      </c>
      <c r="Z344" s="185">
        <f t="shared" ca="1" si="245"/>
        <v>0</v>
      </c>
      <c r="AA344" s="185">
        <f t="shared" ca="1" si="245"/>
        <v>0</v>
      </c>
      <c r="AB344" s="185">
        <f t="shared" ca="1" si="245"/>
        <v>0</v>
      </c>
      <c r="AC344" s="185">
        <f t="shared" ca="1" si="245"/>
        <v>0</v>
      </c>
      <c r="AD344" s="185">
        <f t="shared" ca="1" si="245"/>
        <v>0</v>
      </c>
      <c r="AE344" s="185">
        <f t="shared" ca="1" si="245"/>
        <v>0</v>
      </c>
      <c r="AF344" s="185">
        <f t="shared" ca="1" si="245"/>
        <v>0</v>
      </c>
      <c r="AG344" s="185">
        <f t="shared" ca="1" si="245"/>
        <v>0</v>
      </c>
      <c r="AH344" s="185">
        <f t="shared" ca="1" si="245"/>
        <v>0</v>
      </c>
      <c r="AI344" s="185">
        <f t="shared" ca="1" si="245"/>
        <v>0</v>
      </c>
      <c r="AJ344" s="185">
        <f t="shared" ca="1" si="245"/>
        <v>0</v>
      </c>
      <c r="AK344" s="185">
        <f t="shared" ca="1" si="245"/>
        <v>0</v>
      </c>
      <c r="AL344" s="185">
        <f t="shared" si="245"/>
        <v>0</v>
      </c>
      <c r="AM344" s="185">
        <f t="shared" si="245"/>
        <v>0</v>
      </c>
      <c r="AN344" s="185">
        <f t="shared" si="245"/>
        <v>0</v>
      </c>
      <c r="AO344" s="185">
        <f t="shared" si="245"/>
        <v>0</v>
      </c>
      <c r="AP344" s="185">
        <f t="shared" si="245"/>
        <v>0</v>
      </c>
      <c r="AQ344" s="185">
        <f t="shared" si="245"/>
        <v>0</v>
      </c>
      <c r="AR344" s="185">
        <f t="shared" si="245"/>
        <v>0</v>
      </c>
      <c r="AS344" s="185">
        <f t="shared" si="245"/>
        <v>0</v>
      </c>
      <c r="AT344" s="185">
        <f t="shared" si="245"/>
        <v>0</v>
      </c>
      <c r="AU344" s="185">
        <f t="shared" si="245"/>
        <v>0</v>
      </c>
    </row>
    <row r="345" spans="1:47">
      <c r="E345" s="36"/>
      <c r="G345" s="39"/>
      <c r="H345" s="39"/>
      <c r="I345" s="39"/>
      <c r="J345" s="39"/>
      <c r="K345" s="39"/>
    </row>
    <row r="346" spans="1:47">
      <c r="E346" s="327"/>
      <c r="F346" s="28"/>
      <c r="G346" s="324" t="str">
        <f>C348&amp;" Capital Costs"</f>
        <v>Gravity Belt Thickener Capital Costs</v>
      </c>
      <c r="H346" s="324"/>
      <c r="I346" s="324"/>
      <c r="J346" s="324"/>
      <c r="K346" s="324"/>
      <c r="L346" s="405" t="s">
        <v>79</v>
      </c>
      <c r="M346" s="256"/>
      <c r="N346" s="325" t="s">
        <v>490</v>
      </c>
      <c r="O346" s="311"/>
      <c r="P346" s="325" t="s">
        <v>491</v>
      </c>
      <c r="Q346" s="310"/>
      <c r="R346" s="325">
        <f>R$8</f>
        <v>2014</v>
      </c>
      <c r="S346" s="325">
        <f t="shared" ref="S346:AU346" si="246">S$8</f>
        <v>2015</v>
      </c>
      <c r="T346" s="325">
        <f t="shared" si="246"/>
        <v>2016</v>
      </c>
      <c r="U346" s="325">
        <f t="shared" si="246"/>
        <v>2017</v>
      </c>
      <c r="V346" s="325">
        <f t="shared" si="246"/>
        <v>2018</v>
      </c>
      <c r="W346" s="325">
        <f t="shared" si="246"/>
        <v>2019</v>
      </c>
      <c r="X346" s="325">
        <f t="shared" si="246"/>
        <v>2020</v>
      </c>
      <c r="Y346" s="325">
        <f t="shared" si="246"/>
        <v>2021</v>
      </c>
      <c r="Z346" s="325">
        <f t="shared" si="246"/>
        <v>2022</v>
      </c>
      <c r="AA346" s="325">
        <f t="shared" si="246"/>
        <v>2023</v>
      </c>
      <c r="AB346" s="325">
        <f t="shared" si="246"/>
        <v>2024</v>
      </c>
      <c r="AC346" s="325">
        <f t="shared" si="246"/>
        <v>2025</v>
      </c>
      <c r="AD346" s="325">
        <f t="shared" si="246"/>
        <v>2026</v>
      </c>
      <c r="AE346" s="325">
        <f t="shared" si="246"/>
        <v>2027</v>
      </c>
      <c r="AF346" s="325">
        <f t="shared" si="246"/>
        <v>2028</v>
      </c>
      <c r="AG346" s="325">
        <f t="shared" si="246"/>
        <v>2029</v>
      </c>
      <c r="AH346" s="325">
        <f t="shared" si="246"/>
        <v>2030</v>
      </c>
      <c r="AI346" s="325">
        <f t="shared" si="246"/>
        <v>2031</v>
      </c>
      <c r="AJ346" s="325">
        <f t="shared" si="246"/>
        <v>2032</v>
      </c>
      <c r="AK346" s="325">
        <f t="shared" si="246"/>
        <v>2033</v>
      </c>
      <c r="AL346" s="325">
        <f t="shared" si="246"/>
        <v>2034</v>
      </c>
      <c r="AM346" s="325">
        <f t="shared" si="246"/>
        <v>2035</v>
      </c>
      <c r="AN346" s="325">
        <f t="shared" si="246"/>
        <v>2036</v>
      </c>
      <c r="AO346" s="325">
        <f t="shared" si="246"/>
        <v>2037</v>
      </c>
      <c r="AP346" s="325">
        <f t="shared" si="246"/>
        <v>2038</v>
      </c>
      <c r="AQ346" s="325">
        <f t="shared" si="246"/>
        <v>2039</v>
      </c>
      <c r="AR346" s="325">
        <f t="shared" si="246"/>
        <v>2040</v>
      </c>
      <c r="AS346" s="325">
        <f t="shared" si="246"/>
        <v>2041</v>
      </c>
      <c r="AT346" s="325">
        <f t="shared" si="246"/>
        <v>2042</v>
      </c>
      <c r="AU346" s="325">
        <f t="shared" si="246"/>
        <v>2043</v>
      </c>
    </row>
    <row r="347" spans="1:47">
      <c r="E347" s="325"/>
      <c r="G347" s="39"/>
      <c r="H347" s="39"/>
      <c r="I347" s="39"/>
      <c r="J347" s="39"/>
      <c r="K347" s="39"/>
    </row>
    <row r="348" spans="1:47">
      <c r="A348" s="38" t="str">
        <f>$J$4&amp;"-"</f>
        <v>3Y-</v>
      </c>
      <c r="B348" s="38" t="s">
        <v>306</v>
      </c>
      <c r="C348" s="38" t="s">
        <v>135</v>
      </c>
      <c r="D348" s="186">
        <f>CapExEsc</f>
        <v>0.03</v>
      </c>
      <c r="E348" s="325"/>
      <c r="G348" s="36" t="s">
        <v>8</v>
      </c>
      <c r="H348" s="39"/>
      <c r="I348" s="39"/>
      <c r="J348" s="70"/>
      <c r="K348" s="39"/>
      <c r="L348" s="43" t="str">
        <f>"["&amp;CostBaseYr&amp;" $]"</f>
        <v>[2013 $]</v>
      </c>
      <c r="N348" s="52">
        <f ca="1">SUMIFS(OFFSET(Assumptions!$I$65,0,MATCH($A348,Configurations,0)-1,COUNT(Assumptions!$A$65:$A$84),1),Assumptions!$E$65:$E$84,$C348)</f>
        <v>2050000</v>
      </c>
      <c r="O348" s="52"/>
      <c r="P348" s="322"/>
      <c r="Q348" s="52"/>
      <c r="R348" s="52">
        <f t="shared" ref="R348:AU348" ca="1" si="247">R349*IF($P348=0,$N348,$P348)*(1+$D348)^(R$8-CostBaseYr)</f>
        <v>2111500</v>
      </c>
      <c r="S348" s="52">
        <f t="shared" ca="1" si="247"/>
        <v>0</v>
      </c>
      <c r="T348" s="52">
        <f t="shared" ca="1" si="247"/>
        <v>0</v>
      </c>
      <c r="U348" s="52">
        <f t="shared" ca="1" si="247"/>
        <v>0</v>
      </c>
      <c r="V348" s="52">
        <f t="shared" ca="1" si="247"/>
        <v>0</v>
      </c>
      <c r="W348" s="52">
        <f t="shared" ca="1" si="247"/>
        <v>0</v>
      </c>
      <c r="X348" s="52">
        <f t="shared" ca="1" si="247"/>
        <v>0</v>
      </c>
      <c r="Y348" s="52">
        <f t="shared" ca="1" si="247"/>
        <v>0</v>
      </c>
      <c r="Z348" s="52">
        <f t="shared" ca="1" si="247"/>
        <v>0</v>
      </c>
      <c r="AA348" s="52">
        <f t="shared" ca="1" si="247"/>
        <v>0</v>
      </c>
      <c r="AB348" s="52">
        <f t="shared" ca="1" si="247"/>
        <v>0</v>
      </c>
      <c r="AC348" s="52">
        <f t="shared" ca="1" si="247"/>
        <v>0</v>
      </c>
      <c r="AD348" s="52">
        <f t="shared" ca="1" si="247"/>
        <v>0</v>
      </c>
      <c r="AE348" s="52">
        <f t="shared" ca="1" si="247"/>
        <v>0</v>
      </c>
      <c r="AF348" s="52">
        <f t="shared" ca="1" si="247"/>
        <v>0</v>
      </c>
      <c r="AG348" s="52">
        <f t="shared" ca="1" si="247"/>
        <v>0</v>
      </c>
      <c r="AH348" s="52">
        <f t="shared" ca="1" si="247"/>
        <v>0</v>
      </c>
      <c r="AI348" s="52">
        <f t="shared" ca="1" si="247"/>
        <v>0</v>
      </c>
      <c r="AJ348" s="52">
        <f t="shared" ca="1" si="247"/>
        <v>0</v>
      </c>
      <c r="AK348" s="52">
        <f t="shared" ca="1" si="247"/>
        <v>0</v>
      </c>
      <c r="AL348" s="52">
        <f t="shared" ca="1" si="247"/>
        <v>0</v>
      </c>
      <c r="AM348" s="52">
        <f t="shared" ca="1" si="247"/>
        <v>0</v>
      </c>
      <c r="AN348" s="52">
        <f t="shared" ca="1" si="247"/>
        <v>0</v>
      </c>
      <c r="AO348" s="52">
        <f t="shared" ca="1" si="247"/>
        <v>0</v>
      </c>
      <c r="AP348" s="52">
        <f t="shared" ca="1" si="247"/>
        <v>0</v>
      </c>
      <c r="AQ348" s="52">
        <f t="shared" ca="1" si="247"/>
        <v>0</v>
      </c>
      <c r="AR348" s="52">
        <f t="shared" ca="1" si="247"/>
        <v>0</v>
      </c>
      <c r="AS348" s="52">
        <f t="shared" ca="1" si="247"/>
        <v>0</v>
      </c>
      <c r="AT348" s="52">
        <f t="shared" ca="1" si="247"/>
        <v>0</v>
      </c>
      <c r="AU348" s="52">
        <f t="shared" ca="1" si="247"/>
        <v>0</v>
      </c>
    </row>
    <row r="349" spans="1:47">
      <c r="E349" s="325"/>
      <c r="G349" s="36" t="s">
        <v>10</v>
      </c>
      <c r="H349" s="39"/>
      <c r="I349" s="39"/>
      <c r="J349" s="39"/>
      <c r="K349" s="39"/>
      <c r="L349" s="43"/>
      <c r="R349" s="54">
        <f>Assumptions!M$60</f>
        <v>1</v>
      </c>
      <c r="S349" s="54">
        <f>Assumptions!N$60</f>
        <v>0</v>
      </c>
      <c r="T349" s="54">
        <f>Assumptions!O$60</f>
        <v>0</v>
      </c>
      <c r="U349" s="54">
        <f>Assumptions!P$60</f>
        <v>0</v>
      </c>
      <c r="V349" s="54">
        <f>Assumptions!Q$60</f>
        <v>0</v>
      </c>
      <c r="W349" s="54">
        <f>Assumptions!R$60</f>
        <v>0</v>
      </c>
      <c r="X349" s="54">
        <f>Assumptions!S$60</f>
        <v>0</v>
      </c>
      <c r="Y349" s="54">
        <f>Assumptions!T$60</f>
        <v>0</v>
      </c>
      <c r="Z349" s="54">
        <f>Assumptions!U$60</f>
        <v>0</v>
      </c>
      <c r="AA349" s="54">
        <f>Assumptions!V$60</f>
        <v>0</v>
      </c>
      <c r="AB349" s="54">
        <f>Assumptions!W$60</f>
        <v>0</v>
      </c>
      <c r="AC349" s="54">
        <f>Assumptions!X$60</f>
        <v>0</v>
      </c>
      <c r="AD349" s="54">
        <f>Assumptions!Y$60</f>
        <v>0</v>
      </c>
      <c r="AE349" s="54">
        <f>Assumptions!Z$60</f>
        <v>0</v>
      </c>
      <c r="AF349" s="54">
        <f>Assumptions!AA$60</f>
        <v>0</v>
      </c>
      <c r="AG349" s="54">
        <f>Assumptions!AB$60</f>
        <v>0</v>
      </c>
      <c r="AH349" s="54">
        <f>Assumptions!AC$60</f>
        <v>0</v>
      </c>
      <c r="AI349" s="54">
        <f>Assumptions!AD$60</f>
        <v>0</v>
      </c>
      <c r="AJ349" s="54">
        <f>Assumptions!AE$60</f>
        <v>0</v>
      </c>
      <c r="AK349" s="54">
        <f>Assumptions!AF$60</f>
        <v>0</v>
      </c>
      <c r="AL349" s="54">
        <f>Assumptions!AG$60</f>
        <v>0</v>
      </c>
      <c r="AM349" s="54">
        <f>Assumptions!AH$60</f>
        <v>0</v>
      </c>
      <c r="AN349" s="54">
        <f>Assumptions!AI$60</f>
        <v>0</v>
      </c>
      <c r="AO349" s="54">
        <f>Assumptions!AJ$60</f>
        <v>0</v>
      </c>
      <c r="AP349" s="54">
        <f>Assumptions!AK$60</f>
        <v>0</v>
      </c>
      <c r="AQ349" s="54">
        <f>Assumptions!AL$60</f>
        <v>0</v>
      </c>
      <c r="AR349" s="54">
        <f>Assumptions!AM$60</f>
        <v>0</v>
      </c>
      <c r="AS349" s="54">
        <f>Assumptions!AN$60</f>
        <v>0</v>
      </c>
      <c r="AT349" s="54">
        <f>Assumptions!AO$60</f>
        <v>0</v>
      </c>
      <c r="AU349" s="54">
        <f>Assumptions!AP$60</f>
        <v>0</v>
      </c>
    </row>
    <row r="350" spans="1:47">
      <c r="E350" s="326"/>
      <c r="G350" s="39"/>
      <c r="H350" s="39"/>
      <c r="I350" s="39"/>
      <c r="J350" s="39"/>
      <c r="K350" s="39"/>
    </row>
    <row r="351" spans="1:47">
      <c r="E351" s="327"/>
      <c r="F351" s="28"/>
      <c r="G351" s="324" t="str">
        <f>C348&amp;" O&amp;M"</f>
        <v>Gravity Belt Thickener O&amp;M</v>
      </c>
      <c r="H351" s="324"/>
      <c r="I351" s="324"/>
      <c r="J351" s="324"/>
      <c r="K351" s="324"/>
      <c r="L351" s="405" t="s">
        <v>79</v>
      </c>
      <c r="M351" s="256"/>
      <c r="N351" s="325" t="s">
        <v>490</v>
      </c>
      <c r="O351" s="311"/>
      <c r="P351" s="325" t="s">
        <v>491</v>
      </c>
      <c r="Q351" s="310"/>
      <c r="R351" s="325">
        <f>R$8</f>
        <v>2014</v>
      </c>
      <c r="S351" s="325">
        <f t="shared" ref="S351:AU351" si="248">S$8</f>
        <v>2015</v>
      </c>
      <c r="T351" s="325">
        <f t="shared" si="248"/>
        <v>2016</v>
      </c>
      <c r="U351" s="325">
        <f t="shared" si="248"/>
        <v>2017</v>
      </c>
      <c r="V351" s="325">
        <f t="shared" si="248"/>
        <v>2018</v>
      </c>
      <c r="W351" s="325">
        <f t="shared" si="248"/>
        <v>2019</v>
      </c>
      <c r="X351" s="325">
        <f t="shared" si="248"/>
        <v>2020</v>
      </c>
      <c r="Y351" s="325">
        <f t="shared" si="248"/>
        <v>2021</v>
      </c>
      <c r="Z351" s="325">
        <f t="shared" si="248"/>
        <v>2022</v>
      </c>
      <c r="AA351" s="325">
        <f t="shared" si="248"/>
        <v>2023</v>
      </c>
      <c r="AB351" s="325">
        <f t="shared" si="248"/>
        <v>2024</v>
      </c>
      <c r="AC351" s="325">
        <f t="shared" si="248"/>
        <v>2025</v>
      </c>
      <c r="AD351" s="325">
        <f t="shared" si="248"/>
        <v>2026</v>
      </c>
      <c r="AE351" s="325">
        <f t="shared" si="248"/>
        <v>2027</v>
      </c>
      <c r="AF351" s="325">
        <f t="shared" si="248"/>
        <v>2028</v>
      </c>
      <c r="AG351" s="325">
        <f t="shared" si="248"/>
        <v>2029</v>
      </c>
      <c r="AH351" s="325">
        <f t="shared" si="248"/>
        <v>2030</v>
      </c>
      <c r="AI351" s="325">
        <f t="shared" si="248"/>
        <v>2031</v>
      </c>
      <c r="AJ351" s="325">
        <f t="shared" si="248"/>
        <v>2032</v>
      </c>
      <c r="AK351" s="325">
        <f t="shared" si="248"/>
        <v>2033</v>
      </c>
      <c r="AL351" s="325">
        <f t="shared" si="248"/>
        <v>2034</v>
      </c>
      <c r="AM351" s="325">
        <f t="shared" si="248"/>
        <v>2035</v>
      </c>
      <c r="AN351" s="325">
        <f t="shared" si="248"/>
        <v>2036</v>
      </c>
      <c r="AO351" s="325">
        <f t="shared" si="248"/>
        <v>2037</v>
      </c>
      <c r="AP351" s="325">
        <f t="shared" si="248"/>
        <v>2038</v>
      </c>
      <c r="AQ351" s="325">
        <f t="shared" si="248"/>
        <v>2039</v>
      </c>
      <c r="AR351" s="325">
        <f t="shared" si="248"/>
        <v>2040</v>
      </c>
      <c r="AS351" s="325">
        <f t="shared" si="248"/>
        <v>2041</v>
      </c>
      <c r="AT351" s="325">
        <f t="shared" si="248"/>
        <v>2042</v>
      </c>
      <c r="AU351" s="325">
        <f t="shared" si="248"/>
        <v>2043</v>
      </c>
    </row>
    <row r="352" spans="1:47">
      <c r="E352" s="325"/>
      <c r="G352" s="39"/>
      <c r="H352" s="39"/>
      <c r="I352" s="39"/>
      <c r="J352" s="39"/>
      <c r="K352" s="39"/>
    </row>
    <row r="353" spans="1:47">
      <c r="E353" s="325"/>
      <c r="G353" s="39" t="s">
        <v>23</v>
      </c>
      <c r="H353" s="39"/>
      <c r="I353" s="39"/>
      <c r="J353" s="39"/>
      <c r="K353" s="39"/>
    </row>
    <row r="354" spans="1:47">
      <c r="A354" s="38" t="str">
        <f t="shared" ref="A354:A361" si="249">$J$4&amp;"-"</f>
        <v>3Y-</v>
      </c>
      <c r="B354" s="38" t="s">
        <v>262</v>
      </c>
      <c r="C354" s="38" t="str">
        <f>C348</f>
        <v>Gravity Belt Thickener</v>
      </c>
      <c r="D354" s="186">
        <f>LaborEsc</f>
        <v>0.02</v>
      </c>
      <c r="E354" s="325"/>
      <c r="G354" s="36" t="s">
        <v>125</v>
      </c>
      <c r="I354" s="39"/>
      <c r="K354" s="39"/>
      <c r="L354" s="43" t="s">
        <v>266</v>
      </c>
      <c r="N354" s="70">
        <f ca="1">SUMIFS(OFFSET(Assumptions!$I$90,0,MATCH($A354,Configurations,0)-1,COUNT(Assumptions!$A$90:$A$183),1),Assumptions!$D$90:$D$183,$B354&amp;$C354)</f>
        <v>5110</v>
      </c>
      <c r="O354" s="313"/>
      <c r="P354" s="323"/>
      <c r="Q354" s="313"/>
      <c r="R354" s="50">
        <f t="shared" ref="R354:AU354" ca="1" si="250">IF(OR(R$99&lt;InServiceYr,R$99&gt;(InServiceYr+analysis_period-1)),0,IF($P354=0,$N354,$P354)*LaborCost*(1+$D354)^(R$99-CostBaseYr))</f>
        <v>182427</v>
      </c>
      <c r="S354" s="50">
        <f t="shared" ca="1" si="250"/>
        <v>186075.54</v>
      </c>
      <c r="T354" s="50">
        <f t="shared" ca="1" si="250"/>
        <v>189797.0508</v>
      </c>
      <c r="U354" s="50">
        <f t="shared" ca="1" si="250"/>
        <v>193592.99181599999</v>
      </c>
      <c r="V354" s="50">
        <f t="shared" ca="1" si="250"/>
        <v>197464.85165232001</v>
      </c>
      <c r="W354" s="50">
        <f t="shared" ca="1" si="250"/>
        <v>201414.14868536641</v>
      </c>
      <c r="X354" s="50">
        <f t="shared" ca="1" si="250"/>
        <v>205442.43165907369</v>
      </c>
      <c r="Y354" s="50">
        <f t="shared" ca="1" si="250"/>
        <v>209551.28029225519</v>
      </c>
      <c r="Z354" s="50">
        <f t="shared" ca="1" si="250"/>
        <v>213742.30589810028</v>
      </c>
      <c r="AA354" s="50">
        <f t="shared" ca="1" si="250"/>
        <v>218017.15201606232</v>
      </c>
      <c r="AB354" s="50">
        <f t="shared" ca="1" si="250"/>
        <v>222377.49505638352</v>
      </c>
      <c r="AC354" s="50">
        <f t="shared" ca="1" si="250"/>
        <v>226825.04495751121</v>
      </c>
      <c r="AD354" s="50">
        <f t="shared" ca="1" si="250"/>
        <v>231361.54585666143</v>
      </c>
      <c r="AE354" s="50">
        <f t="shared" ca="1" si="250"/>
        <v>235988.77677379467</v>
      </c>
      <c r="AF354" s="50">
        <f t="shared" ca="1" si="250"/>
        <v>240708.55230927051</v>
      </c>
      <c r="AG354" s="50">
        <f t="shared" ca="1" si="250"/>
        <v>245522.72335545596</v>
      </c>
      <c r="AH354" s="50">
        <f t="shared" ca="1" si="250"/>
        <v>250433.17782256511</v>
      </c>
      <c r="AI354" s="50">
        <f t="shared" ca="1" si="250"/>
        <v>255441.84137901638</v>
      </c>
      <c r="AJ354" s="50">
        <f t="shared" ca="1" si="250"/>
        <v>260550.6782065967</v>
      </c>
      <c r="AK354" s="50">
        <f t="shared" ca="1" si="250"/>
        <v>265761.69177072868</v>
      </c>
      <c r="AL354" s="50">
        <f t="shared" si="250"/>
        <v>0</v>
      </c>
      <c r="AM354" s="50">
        <f t="shared" si="250"/>
        <v>0</v>
      </c>
      <c r="AN354" s="50">
        <f t="shared" si="250"/>
        <v>0</v>
      </c>
      <c r="AO354" s="50">
        <f t="shared" si="250"/>
        <v>0</v>
      </c>
      <c r="AP354" s="50">
        <f t="shared" si="250"/>
        <v>0</v>
      </c>
      <c r="AQ354" s="50">
        <f t="shared" si="250"/>
        <v>0</v>
      </c>
      <c r="AR354" s="50">
        <f t="shared" si="250"/>
        <v>0</v>
      </c>
      <c r="AS354" s="50">
        <f t="shared" si="250"/>
        <v>0</v>
      </c>
      <c r="AT354" s="50">
        <f t="shared" si="250"/>
        <v>0</v>
      </c>
      <c r="AU354" s="50">
        <f t="shared" si="250"/>
        <v>0</v>
      </c>
    </row>
    <row r="355" spans="1:47">
      <c r="A355" s="38" t="str">
        <f t="shared" si="249"/>
        <v>3Y-</v>
      </c>
      <c r="B355" s="38" t="s">
        <v>270</v>
      </c>
      <c r="C355" s="38" t="str">
        <f>C354</f>
        <v>Gravity Belt Thickener</v>
      </c>
      <c r="D355" s="186">
        <f>OMEsc</f>
        <v>0.02</v>
      </c>
      <c r="E355" s="325"/>
      <c r="G355" s="36" t="s">
        <v>126</v>
      </c>
      <c r="I355" s="39"/>
      <c r="K355" s="39"/>
      <c r="L355" s="43" t="str">
        <f>"["&amp;CostBaseYr&amp;" $]"</f>
        <v>[2013 $]</v>
      </c>
      <c r="N355" s="70">
        <f ca="1">SUMIFS(OFFSET(Assumptions!$I$90,0,MATCH($A355,Configurations,0)-1,COUNT(Assumptions!$A$90:$A$183),1),Assumptions!$D$90:$D$183,$B355&amp;$C355)</f>
        <v>25000</v>
      </c>
      <c r="O355" s="313"/>
      <c r="P355" s="323"/>
      <c r="Q355" s="313"/>
      <c r="R355" s="50">
        <f t="shared" ref="R355:AG357" ca="1" si="251">IF(OR(R$99&lt;InServiceYr,R$99&gt;(InServiceYr+analysis_period-1)),0,IF($P355=0,$N355,$P355)*(1+$D355)^(R$99-CostBaseYr))</f>
        <v>25500</v>
      </c>
      <c r="S355" s="50">
        <f t="shared" ca="1" si="251"/>
        <v>26010</v>
      </c>
      <c r="T355" s="50">
        <f t="shared" ca="1" si="251"/>
        <v>26530.199999999997</v>
      </c>
      <c r="U355" s="50">
        <f t="shared" ca="1" si="251"/>
        <v>27060.804</v>
      </c>
      <c r="V355" s="50">
        <f t="shared" ca="1" si="251"/>
        <v>27602.020080000002</v>
      </c>
      <c r="W355" s="50">
        <f t="shared" ca="1" si="251"/>
        <v>28154.060481600001</v>
      </c>
      <c r="X355" s="50">
        <f t="shared" ca="1" si="251"/>
        <v>28717.141691231995</v>
      </c>
      <c r="Y355" s="50">
        <f t="shared" ca="1" si="251"/>
        <v>29291.48452505664</v>
      </c>
      <c r="Z355" s="50">
        <f t="shared" ca="1" si="251"/>
        <v>29877.31421555777</v>
      </c>
      <c r="AA355" s="50">
        <f t="shared" ca="1" si="251"/>
        <v>30474.860499868926</v>
      </c>
      <c r="AB355" s="50">
        <f t="shared" ca="1" si="251"/>
        <v>31084.357709866301</v>
      </c>
      <c r="AC355" s="50">
        <f t="shared" ca="1" si="251"/>
        <v>31706.044864063631</v>
      </c>
      <c r="AD355" s="50">
        <f t="shared" ca="1" si="251"/>
        <v>32340.165761344902</v>
      </c>
      <c r="AE355" s="50">
        <f t="shared" ca="1" si="251"/>
        <v>32986.969076571804</v>
      </c>
      <c r="AF355" s="50">
        <f t="shared" ca="1" si="251"/>
        <v>33646.708458103232</v>
      </c>
      <c r="AG355" s="50">
        <f t="shared" ca="1" si="251"/>
        <v>34319.642627265304</v>
      </c>
      <c r="AH355" s="50">
        <f t="shared" ref="S355:AU357" ca="1" si="252">IF(OR(AH$99&lt;InServiceYr,AH$99&gt;(InServiceYr+analysis_period-1)),0,IF($P355=0,$N355,$P355)*(1+$D355)^(AH$99-CostBaseYr))</f>
        <v>35006.035479810613</v>
      </c>
      <c r="AI355" s="50">
        <f t="shared" ca="1" si="252"/>
        <v>35706.156189406815</v>
      </c>
      <c r="AJ355" s="50">
        <f t="shared" ca="1" si="252"/>
        <v>36420.279313194951</v>
      </c>
      <c r="AK355" s="50">
        <f t="shared" ca="1" si="252"/>
        <v>37148.684899458858</v>
      </c>
      <c r="AL355" s="50">
        <f t="shared" si="252"/>
        <v>0</v>
      </c>
      <c r="AM355" s="50">
        <f t="shared" si="252"/>
        <v>0</v>
      </c>
      <c r="AN355" s="50">
        <f t="shared" si="252"/>
        <v>0</v>
      </c>
      <c r="AO355" s="50">
        <f t="shared" si="252"/>
        <v>0</v>
      </c>
      <c r="AP355" s="50">
        <f t="shared" si="252"/>
        <v>0</v>
      </c>
      <c r="AQ355" s="50">
        <f t="shared" si="252"/>
        <v>0</v>
      </c>
      <c r="AR355" s="50">
        <f t="shared" si="252"/>
        <v>0</v>
      </c>
      <c r="AS355" s="50">
        <f t="shared" si="252"/>
        <v>0</v>
      </c>
      <c r="AT355" s="50">
        <f t="shared" si="252"/>
        <v>0</v>
      </c>
      <c r="AU355" s="50">
        <f t="shared" si="252"/>
        <v>0</v>
      </c>
    </row>
    <row r="356" spans="1:47">
      <c r="A356" s="38" t="str">
        <f t="shared" si="249"/>
        <v>3Y-</v>
      </c>
      <c r="B356" s="38" t="s">
        <v>263</v>
      </c>
      <c r="C356" s="38" t="str">
        <f t="shared" ref="C356:C360" si="253">C355</f>
        <v>Gravity Belt Thickener</v>
      </c>
      <c r="D356" s="186">
        <f>OMEsc</f>
        <v>0.02</v>
      </c>
      <c r="E356" s="325"/>
      <c r="G356" s="36" t="s">
        <v>127</v>
      </c>
      <c r="I356" s="39"/>
      <c r="K356" s="39"/>
      <c r="L356" s="43" t="str">
        <f>"["&amp;CostBaseYr&amp;" $]"</f>
        <v>[2013 $]</v>
      </c>
      <c r="N356" s="70">
        <f ca="1">SUMIFS(OFFSET(Assumptions!$I$90,0,MATCH($A356,Configurations,0)-1,COUNT(Assumptions!$A$90:$A$183),1),Assumptions!$D$90:$D$183,$B356&amp;$C356)</f>
        <v>25000</v>
      </c>
      <c r="O356" s="313"/>
      <c r="P356" s="323"/>
      <c r="Q356" s="313"/>
      <c r="R356" s="50">
        <f t="shared" ca="1" si="251"/>
        <v>25500</v>
      </c>
      <c r="S356" s="50">
        <f t="shared" ca="1" si="252"/>
        <v>26010</v>
      </c>
      <c r="T356" s="50">
        <f t="shared" ca="1" si="252"/>
        <v>26530.199999999997</v>
      </c>
      <c r="U356" s="50">
        <f t="shared" ca="1" si="252"/>
        <v>27060.804</v>
      </c>
      <c r="V356" s="50">
        <f t="shared" ca="1" si="252"/>
        <v>27602.020080000002</v>
      </c>
      <c r="W356" s="50">
        <f t="shared" ca="1" si="252"/>
        <v>28154.060481600001</v>
      </c>
      <c r="X356" s="50">
        <f t="shared" ca="1" si="252"/>
        <v>28717.141691231995</v>
      </c>
      <c r="Y356" s="50">
        <f t="shared" ca="1" si="252"/>
        <v>29291.48452505664</v>
      </c>
      <c r="Z356" s="50">
        <f t="shared" ca="1" si="252"/>
        <v>29877.31421555777</v>
      </c>
      <c r="AA356" s="50">
        <f t="shared" ca="1" si="252"/>
        <v>30474.860499868926</v>
      </c>
      <c r="AB356" s="50">
        <f t="shared" ca="1" si="252"/>
        <v>31084.357709866301</v>
      </c>
      <c r="AC356" s="50">
        <f t="shared" ca="1" si="252"/>
        <v>31706.044864063631</v>
      </c>
      <c r="AD356" s="50">
        <f t="shared" ca="1" si="252"/>
        <v>32340.165761344902</v>
      </c>
      <c r="AE356" s="50">
        <f t="shared" ca="1" si="252"/>
        <v>32986.969076571804</v>
      </c>
      <c r="AF356" s="50">
        <f t="shared" ca="1" si="252"/>
        <v>33646.708458103232</v>
      </c>
      <c r="AG356" s="50">
        <f t="shared" ca="1" si="252"/>
        <v>34319.642627265304</v>
      </c>
      <c r="AH356" s="50">
        <f t="shared" ca="1" si="252"/>
        <v>35006.035479810613</v>
      </c>
      <c r="AI356" s="50">
        <f t="shared" ca="1" si="252"/>
        <v>35706.156189406815</v>
      </c>
      <c r="AJ356" s="50">
        <f t="shared" ca="1" si="252"/>
        <v>36420.279313194951</v>
      </c>
      <c r="AK356" s="50">
        <f t="shared" ca="1" si="252"/>
        <v>37148.684899458858</v>
      </c>
      <c r="AL356" s="50">
        <f t="shared" si="252"/>
        <v>0</v>
      </c>
      <c r="AM356" s="50">
        <f t="shared" si="252"/>
        <v>0</v>
      </c>
      <c r="AN356" s="50">
        <f t="shared" si="252"/>
        <v>0</v>
      </c>
      <c r="AO356" s="50">
        <f t="shared" si="252"/>
        <v>0</v>
      </c>
      <c r="AP356" s="50">
        <f t="shared" si="252"/>
        <v>0</v>
      </c>
      <c r="AQ356" s="50">
        <f t="shared" si="252"/>
        <v>0</v>
      </c>
      <c r="AR356" s="50">
        <f t="shared" si="252"/>
        <v>0</v>
      </c>
      <c r="AS356" s="50">
        <f t="shared" si="252"/>
        <v>0</v>
      </c>
      <c r="AT356" s="50">
        <f t="shared" si="252"/>
        <v>0</v>
      </c>
      <c r="AU356" s="50">
        <f t="shared" si="252"/>
        <v>0</v>
      </c>
    </row>
    <row r="357" spans="1:47">
      <c r="A357" s="38" t="str">
        <f t="shared" si="249"/>
        <v>3Y-</v>
      </c>
      <c r="B357" s="38" t="s">
        <v>277</v>
      </c>
      <c r="C357" s="38" t="str">
        <f t="shared" si="253"/>
        <v>Gravity Belt Thickener</v>
      </c>
      <c r="D357" s="186">
        <f>OMEsc</f>
        <v>0.02</v>
      </c>
      <c r="E357" s="325"/>
      <c r="G357" s="36" t="s">
        <v>276</v>
      </c>
      <c r="I357" s="39"/>
      <c r="K357" s="39"/>
      <c r="L357" s="43" t="str">
        <f>"["&amp;CostBaseYr&amp;" $]"</f>
        <v>[2013 $]</v>
      </c>
      <c r="N357" s="70">
        <f ca="1">SUMIFS(OFFSET(Assumptions!$I$90,0,MATCH($A357,Configurations,0)-1,COUNT(Assumptions!$A$90:$A$183),1),Assumptions!$D$90:$D$183,$B357&amp;$C357)</f>
        <v>0</v>
      </c>
      <c r="O357" s="313"/>
      <c r="P357" s="323"/>
      <c r="Q357" s="313"/>
      <c r="R357" s="50">
        <f t="shared" ca="1" si="251"/>
        <v>0</v>
      </c>
      <c r="S357" s="50">
        <f t="shared" ca="1" si="252"/>
        <v>0</v>
      </c>
      <c r="T357" s="50">
        <f t="shared" ca="1" si="252"/>
        <v>0</v>
      </c>
      <c r="U357" s="50">
        <f t="shared" ca="1" si="252"/>
        <v>0</v>
      </c>
      <c r="V357" s="50">
        <f t="shared" ca="1" si="252"/>
        <v>0</v>
      </c>
      <c r="W357" s="50">
        <f t="shared" ca="1" si="252"/>
        <v>0</v>
      </c>
      <c r="X357" s="50">
        <f t="shared" ca="1" si="252"/>
        <v>0</v>
      </c>
      <c r="Y357" s="50">
        <f t="shared" ca="1" si="252"/>
        <v>0</v>
      </c>
      <c r="Z357" s="50">
        <f t="shared" ca="1" si="252"/>
        <v>0</v>
      </c>
      <c r="AA357" s="50">
        <f t="shared" ca="1" si="252"/>
        <v>0</v>
      </c>
      <c r="AB357" s="50">
        <f t="shared" ca="1" si="252"/>
        <v>0</v>
      </c>
      <c r="AC357" s="50">
        <f t="shared" ca="1" si="252"/>
        <v>0</v>
      </c>
      <c r="AD357" s="50">
        <f t="shared" ca="1" si="252"/>
        <v>0</v>
      </c>
      <c r="AE357" s="50">
        <f t="shared" ca="1" si="252"/>
        <v>0</v>
      </c>
      <c r="AF357" s="50">
        <f t="shared" ca="1" si="252"/>
        <v>0</v>
      </c>
      <c r="AG357" s="50">
        <f t="shared" ca="1" si="252"/>
        <v>0</v>
      </c>
      <c r="AH357" s="50">
        <f t="shared" ca="1" si="252"/>
        <v>0</v>
      </c>
      <c r="AI357" s="50">
        <f t="shared" ca="1" si="252"/>
        <v>0</v>
      </c>
      <c r="AJ357" s="50">
        <f t="shared" ca="1" si="252"/>
        <v>0</v>
      </c>
      <c r="AK357" s="50">
        <f t="shared" ca="1" si="252"/>
        <v>0</v>
      </c>
      <c r="AL357" s="50">
        <f t="shared" si="252"/>
        <v>0</v>
      </c>
      <c r="AM357" s="50">
        <f t="shared" si="252"/>
        <v>0</v>
      </c>
      <c r="AN357" s="50">
        <f t="shared" si="252"/>
        <v>0</v>
      </c>
      <c r="AO357" s="50">
        <f t="shared" si="252"/>
        <v>0</v>
      </c>
      <c r="AP357" s="50">
        <f t="shared" si="252"/>
        <v>0</v>
      </c>
      <c r="AQ357" s="50">
        <f t="shared" si="252"/>
        <v>0</v>
      </c>
      <c r="AR357" s="50">
        <f t="shared" si="252"/>
        <v>0</v>
      </c>
      <c r="AS357" s="50">
        <f t="shared" si="252"/>
        <v>0</v>
      </c>
      <c r="AT357" s="50">
        <f t="shared" si="252"/>
        <v>0</v>
      </c>
      <c r="AU357" s="50">
        <f t="shared" si="252"/>
        <v>0</v>
      </c>
    </row>
    <row r="358" spans="1:47">
      <c r="A358" s="38" t="str">
        <f t="shared" si="249"/>
        <v>3Y-</v>
      </c>
      <c r="B358" s="38" t="s">
        <v>274</v>
      </c>
      <c r="C358" s="38" t="str">
        <f t="shared" si="253"/>
        <v>Gravity Belt Thickener</v>
      </c>
      <c r="D358" s="186"/>
      <c r="E358" s="325"/>
      <c r="G358" s="36" t="s">
        <v>16</v>
      </c>
      <c r="I358" s="39"/>
      <c r="K358" s="39"/>
      <c r="L358" s="43" t="s">
        <v>275</v>
      </c>
      <c r="N358" s="70">
        <f ca="1">SUMIFS(OFFSET(Assumptions!$I$90,0,MATCH($A358,Configurations,0)-1,COUNT(Assumptions!$A$90:$A$183),1),Assumptions!$D$90:$D$183,$B358&amp;$C358)</f>
        <v>0</v>
      </c>
      <c r="O358" s="313"/>
      <c r="P358" s="323"/>
      <c r="Q358" s="313"/>
      <c r="R358" s="50">
        <f t="shared" ref="R358:AU358" ca="1" si="254">IF(OR(R$99&lt;InServiceYr,R$99&gt;(InServiceYr+analysis_period-1)),0,IF($P358=0,$N358,$P358)*R$505)</f>
        <v>0</v>
      </c>
      <c r="S358" s="50">
        <f t="shared" ca="1" si="254"/>
        <v>0</v>
      </c>
      <c r="T358" s="50">
        <f t="shared" ca="1" si="254"/>
        <v>0</v>
      </c>
      <c r="U358" s="50">
        <f t="shared" ca="1" si="254"/>
        <v>0</v>
      </c>
      <c r="V358" s="50">
        <f t="shared" ca="1" si="254"/>
        <v>0</v>
      </c>
      <c r="W358" s="50">
        <f t="shared" ca="1" si="254"/>
        <v>0</v>
      </c>
      <c r="X358" s="50">
        <f t="shared" ca="1" si="254"/>
        <v>0</v>
      </c>
      <c r="Y358" s="50">
        <f t="shared" ca="1" si="254"/>
        <v>0</v>
      </c>
      <c r="Z358" s="50">
        <f t="shared" ca="1" si="254"/>
        <v>0</v>
      </c>
      <c r="AA358" s="50">
        <f t="shared" ca="1" si="254"/>
        <v>0</v>
      </c>
      <c r="AB358" s="50">
        <f t="shared" ca="1" si="254"/>
        <v>0</v>
      </c>
      <c r="AC358" s="50">
        <f t="shared" ca="1" si="254"/>
        <v>0</v>
      </c>
      <c r="AD358" s="50">
        <f t="shared" ca="1" si="254"/>
        <v>0</v>
      </c>
      <c r="AE358" s="50">
        <f t="shared" ca="1" si="254"/>
        <v>0</v>
      </c>
      <c r="AF358" s="50">
        <f t="shared" ca="1" si="254"/>
        <v>0</v>
      </c>
      <c r="AG358" s="50">
        <f t="shared" ca="1" si="254"/>
        <v>0</v>
      </c>
      <c r="AH358" s="50">
        <f t="shared" ca="1" si="254"/>
        <v>0</v>
      </c>
      <c r="AI358" s="50">
        <f t="shared" ca="1" si="254"/>
        <v>0</v>
      </c>
      <c r="AJ358" s="50">
        <f t="shared" ca="1" si="254"/>
        <v>0</v>
      </c>
      <c r="AK358" s="50">
        <f t="shared" ca="1" si="254"/>
        <v>0</v>
      </c>
      <c r="AL358" s="50">
        <f t="shared" si="254"/>
        <v>0</v>
      </c>
      <c r="AM358" s="50">
        <f t="shared" si="254"/>
        <v>0</v>
      </c>
      <c r="AN358" s="50">
        <f t="shared" si="254"/>
        <v>0</v>
      </c>
      <c r="AO358" s="50">
        <f t="shared" si="254"/>
        <v>0</v>
      </c>
      <c r="AP358" s="50">
        <f t="shared" si="254"/>
        <v>0</v>
      </c>
      <c r="AQ358" s="50">
        <f t="shared" si="254"/>
        <v>0</v>
      </c>
      <c r="AR358" s="50">
        <f t="shared" si="254"/>
        <v>0</v>
      </c>
      <c r="AS358" s="50">
        <f t="shared" si="254"/>
        <v>0</v>
      </c>
      <c r="AT358" s="50">
        <f t="shared" si="254"/>
        <v>0</v>
      </c>
      <c r="AU358" s="50">
        <f t="shared" si="254"/>
        <v>0</v>
      </c>
    </row>
    <row r="359" spans="1:47">
      <c r="A359" s="38" t="str">
        <f t="shared" si="249"/>
        <v>3Y-</v>
      </c>
      <c r="B359" s="38" t="s">
        <v>257</v>
      </c>
      <c r="C359" s="38" t="str">
        <f t="shared" si="253"/>
        <v>Gravity Belt Thickener</v>
      </c>
      <c r="D359" s="186"/>
      <c r="E359" s="325"/>
      <c r="G359" s="36" t="s">
        <v>284</v>
      </c>
      <c r="I359" s="39"/>
      <c r="K359" s="39"/>
      <c r="L359" s="43" t="s">
        <v>293</v>
      </c>
      <c r="N359" s="70">
        <f ca="1">SUMIFS(OFFSET(Assumptions!$I$90,0,MATCH($A359,Configurations,0)-1,COUNT(Assumptions!$A$90:$A$183),1),Assumptions!$D$90:$D$183,$B359&amp;$C359)</f>
        <v>57310</v>
      </c>
      <c r="O359" s="313"/>
      <c r="P359" s="323"/>
      <c r="Q359" s="313"/>
      <c r="R359" s="50">
        <f t="shared" ref="R359:AU359" ca="1" si="255">IF(OR(R$99&lt;InServiceYr,R$99&gt;(InServiceYr+analysis_period-1)),0,IF($P359=0,$N359,$P359)*R$501)</f>
        <v>3701.1689779575418</v>
      </c>
      <c r="S359" s="50">
        <f t="shared" ca="1" si="255"/>
        <v>3724.2403305558737</v>
      </c>
      <c r="T359" s="50">
        <f t="shared" ca="1" si="255"/>
        <v>3884.7921133283749</v>
      </c>
      <c r="U359" s="50">
        <f t="shared" ca="1" si="255"/>
        <v>4001.3261556252496</v>
      </c>
      <c r="V359" s="50">
        <f t="shared" ca="1" si="255"/>
        <v>4097.8825985585654</v>
      </c>
      <c r="W359" s="50">
        <f t="shared" ca="1" si="255"/>
        <v>4150.3079695644665</v>
      </c>
      <c r="X359" s="50">
        <f t="shared" ca="1" si="255"/>
        <v>4217.8437448777158</v>
      </c>
      <c r="Y359" s="50">
        <f t="shared" ca="1" si="255"/>
        <v>4321.7628241961929</v>
      </c>
      <c r="Z359" s="50">
        <f t="shared" ca="1" si="255"/>
        <v>4425.2287731065708</v>
      </c>
      <c r="AA359" s="50">
        <f t="shared" ca="1" si="255"/>
        <v>4535.8703615066597</v>
      </c>
      <c r="AB359" s="50">
        <f t="shared" ca="1" si="255"/>
        <v>4634.1164200668991</v>
      </c>
      <c r="AC359" s="50">
        <f t="shared" ca="1" si="255"/>
        <v>4723.3526282099483</v>
      </c>
      <c r="AD359" s="50">
        <f t="shared" ca="1" si="255"/>
        <v>4832.4611156260135</v>
      </c>
      <c r="AE359" s="50">
        <f t="shared" ca="1" si="255"/>
        <v>4942.6009192533538</v>
      </c>
      <c r="AF359" s="50">
        <f t="shared" ca="1" si="255"/>
        <v>5060.119186589297</v>
      </c>
      <c r="AG359" s="50">
        <f t="shared" ca="1" si="255"/>
        <v>5191.7673457755609</v>
      </c>
      <c r="AH359" s="50">
        <f t="shared" ca="1" si="255"/>
        <v>5319.0043712995375</v>
      </c>
      <c r="AI359" s="50">
        <f t="shared" ca="1" si="255"/>
        <v>5456.9877586407829</v>
      </c>
      <c r="AJ359" s="50">
        <f t="shared" ca="1" si="255"/>
        <v>5603.0632070387883</v>
      </c>
      <c r="AK359" s="50">
        <f t="shared" ca="1" si="255"/>
        <v>5755.4848259388427</v>
      </c>
      <c r="AL359" s="50">
        <f t="shared" si="255"/>
        <v>0</v>
      </c>
      <c r="AM359" s="50">
        <f t="shared" si="255"/>
        <v>0</v>
      </c>
      <c r="AN359" s="50">
        <f t="shared" si="255"/>
        <v>0</v>
      </c>
      <c r="AO359" s="50">
        <f t="shared" si="255"/>
        <v>0</v>
      </c>
      <c r="AP359" s="50">
        <f t="shared" si="255"/>
        <v>0</v>
      </c>
      <c r="AQ359" s="50">
        <f t="shared" si="255"/>
        <v>0</v>
      </c>
      <c r="AR359" s="50">
        <f t="shared" si="255"/>
        <v>0</v>
      </c>
      <c r="AS359" s="50">
        <f t="shared" si="255"/>
        <v>0</v>
      </c>
      <c r="AT359" s="50">
        <f t="shared" si="255"/>
        <v>0</v>
      </c>
      <c r="AU359" s="50">
        <f t="shared" si="255"/>
        <v>0</v>
      </c>
    </row>
    <row r="360" spans="1:47">
      <c r="A360" s="38" t="str">
        <f t="shared" si="249"/>
        <v>3Y-</v>
      </c>
      <c r="B360" s="38" t="s">
        <v>864</v>
      </c>
      <c r="C360" s="38" t="str">
        <f t="shared" si="253"/>
        <v>Gravity Belt Thickener</v>
      </c>
      <c r="D360" s="186">
        <f>GHGEsc</f>
        <v>0.02</v>
      </c>
      <c r="E360" s="325"/>
      <c r="G360" s="36" t="s">
        <v>865</v>
      </c>
      <c r="I360" s="39"/>
      <c r="K360" s="39"/>
      <c r="L360" s="43" t="s">
        <v>866</v>
      </c>
      <c r="N360" s="70">
        <f ca="1">SUMIFS(OFFSET(Assumptions!$I$90,0,MATCH($A360,Configurations,0)-1,COUNT(Assumptions!$A$90:$A$183),1),Assumptions!$D$90:$D$183,$B360&amp;$C360)</f>
        <v>0</v>
      </c>
      <c r="O360" s="313"/>
      <c r="P360" s="323"/>
      <c r="Q360" s="313"/>
      <c r="R360" s="50">
        <f t="shared" ref="R360:AU360" ca="1" si="256">IF(OR(R$99&lt;InServiceYr,R$99&gt;(InServiceYr+analysis_period-1)),0,IF($P360=0,$N360,$P360)*R$513)</f>
        <v>0</v>
      </c>
      <c r="S360" s="50">
        <f t="shared" ca="1" si="256"/>
        <v>0</v>
      </c>
      <c r="T360" s="50">
        <f t="shared" ca="1" si="256"/>
        <v>0</v>
      </c>
      <c r="U360" s="50">
        <f t="shared" ca="1" si="256"/>
        <v>0</v>
      </c>
      <c r="V360" s="50">
        <f t="shared" ca="1" si="256"/>
        <v>0</v>
      </c>
      <c r="W360" s="50">
        <f t="shared" ca="1" si="256"/>
        <v>0</v>
      </c>
      <c r="X360" s="50">
        <f t="shared" ca="1" si="256"/>
        <v>0</v>
      </c>
      <c r="Y360" s="50">
        <f t="shared" ca="1" si="256"/>
        <v>0</v>
      </c>
      <c r="Z360" s="50">
        <f t="shared" ca="1" si="256"/>
        <v>0</v>
      </c>
      <c r="AA360" s="50">
        <f t="shared" ca="1" si="256"/>
        <v>0</v>
      </c>
      <c r="AB360" s="50">
        <f t="shared" ca="1" si="256"/>
        <v>0</v>
      </c>
      <c r="AC360" s="50">
        <f t="shared" ca="1" si="256"/>
        <v>0</v>
      </c>
      <c r="AD360" s="50">
        <f t="shared" ca="1" si="256"/>
        <v>0</v>
      </c>
      <c r="AE360" s="50">
        <f t="shared" ca="1" si="256"/>
        <v>0</v>
      </c>
      <c r="AF360" s="50">
        <f t="shared" ca="1" si="256"/>
        <v>0</v>
      </c>
      <c r="AG360" s="50">
        <f t="shared" ca="1" si="256"/>
        <v>0</v>
      </c>
      <c r="AH360" s="50">
        <f t="shared" ca="1" si="256"/>
        <v>0</v>
      </c>
      <c r="AI360" s="50">
        <f t="shared" ca="1" si="256"/>
        <v>0</v>
      </c>
      <c r="AJ360" s="50">
        <f t="shared" ca="1" si="256"/>
        <v>0</v>
      </c>
      <c r="AK360" s="50">
        <f t="shared" ca="1" si="256"/>
        <v>0</v>
      </c>
      <c r="AL360" s="50">
        <f t="shared" si="256"/>
        <v>0</v>
      </c>
      <c r="AM360" s="50">
        <f t="shared" si="256"/>
        <v>0</v>
      </c>
      <c r="AN360" s="50">
        <f t="shared" si="256"/>
        <v>0</v>
      </c>
      <c r="AO360" s="50">
        <f t="shared" si="256"/>
        <v>0</v>
      </c>
      <c r="AP360" s="50">
        <f t="shared" si="256"/>
        <v>0</v>
      </c>
      <c r="AQ360" s="50">
        <f t="shared" si="256"/>
        <v>0</v>
      </c>
      <c r="AR360" s="50">
        <f t="shared" si="256"/>
        <v>0</v>
      </c>
      <c r="AS360" s="50">
        <f t="shared" si="256"/>
        <v>0</v>
      </c>
      <c r="AT360" s="50">
        <f t="shared" si="256"/>
        <v>0</v>
      </c>
      <c r="AU360" s="50">
        <f t="shared" si="256"/>
        <v>0</v>
      </c>
    </row>
    <row r="361" spans="1:47">
      <c r="A361" s="38" t="str">
        <f t="shared" si="249"/>
        <v>3Y-</v>
      </c>
      <c r="B361" s="38" t="s">
        <v>273</v>
      </c>
      <c r="C361" s="38" t="str">
        <f>C359</f>
        <v>Gravity Belt Thickener</v>
      </c>
      <c r="D361" s="186">
        <f>LaborEsc</f>
        <v>0.02</v>
      </c>
      <c r="E361" s="325"/>
      <c r="G361" s="36" t="s">
        <v>291</v>
      </c>
      <c r="I361" s="39"/>
      <c r="K361" s="39"/>
      <c r="L361" s="43" t="str">
        <f>"["&amp;CostBaseYr&amp;" $]"</f>
        <v>[2013 $]</v>
      </c>
      <c r="N361" s="70">
        <f ca="1">SUMIFS(OFFSET(Assumptions!$I$90,0,MATCH($A361,Configurations,0)-1,COUNT(Assumptions!$A$90:$A$183),1),Assumptions!$D$90:$D$183,$B361&amp;$C361)</f>
        <v>0</v>
      </c>
      <c r="O361" s="313"/>
      <c r="P361" s="323"/>
      <c r="Q361" s="313"/>
      <c r="R361" s="50">
        <f t="shared" ref="R361:AU361" ca="1" si="257">IF(OR(R$99&lt;InServiceYr,R$99&gt;(InServiceYr+analysis_period-1)),0,IF($P361=0,$N361,$P361)*(1+$D361)^(R$99-CostBaseYr))*R$509</f>
        <v>0</v>
      </c>
      <c r="S361" s="50">
        <f t="shared" ca="1" si="257"/>
        <v>0</v>
      </c>
      <c r="T361" s="50">
        <f t="shared" ca="1" si="257"/>
        <v>0</v>
      </c>
      <c r="U361" s="50">
        <f t="shared" ca="1" si="257"/>
        <v>0</v>
      </c>
      <c r="V361" s="50">
        <f t="shared" ca="1" si="257"/>
        <v>0</v>
      </c>
      <c r="W361" s="50">
        <f t="shared" ca="1" si="257"/>
        <v>0</v>
      </c>
      <c r="X361" s="50">
        <f t="shared" ca="1" si="257"/>
        <v>0</v>
      </c>
      <c r="Y361" s="50">
        <f t="shared" ca="1" si="257"/>
        <v>0</v>
      </c>
      <c r="Z361" s="50">
        <f t="shared" ca="1" si="257"/>
        <v>0</v>
      </c>
      <c r="AA361" s="50">
        <f t="shared" ca="1" si="257"/>
        <v>0</v>
      </c>
      <c r="AB361" s="50">
        <f t="shared" ca="1" si="257"/>
        <v>0</v>
      </c>
      <c r="AC361" s="50">
        <f t="shared" ca="1" si="257"/>
        <v>0</v>
      </c>
      <c r="AD361" s="50">
        <f t="shared" ca="1" si="257"/>
        <v>0</v>
      </c>
      <c r="AE361" s="50">
        <f t="shared" ca="1" si="257"/>
        <v>0</v>
      </c>
      <c r="AF361" s="50">
        <f t="shared" ca="1" si="257"/>
        <v>0</v>
      </c>
      <c r="AG361" s="50">
        <f t="shared" ca="1" si="257"/>
        <v>0</v>
      </c>
      <c r="AH361" s="50">
        <f t="shared" ca="1" si="257"/>
        <v>0</v>
      </c>
      <c r="AI361" s="50">
        <f t="shared" ca="1" si="257"/>
        <v>0</v>
      </c>
      <c r="AJ361" s="50">
        <f t="shared" ca="1" si="257"/>
        <v>0</v>
      </c>
      <c r="AK361" s="50">
        <f t="shared" ca="1" si="257"/>
        <v>0</v>
      </c>
      <c r="AL361" s="50">
        <f t="shared" si="257"/>
        <v>0</v>
      </c>
      <c r="AM361" s="50">
        <f t="shared" si="257"/>
        <v>0</v>
      </c>
      <c r="AN361" s="50">
        <f t="shared" si="257"/>
        <v>0</v>
      </c>
      <c r="AO361" s="50">
        <f t="shared" si="257"/>
        <v>0</v>
      </c>
      <c r="AP361" s="50">
        <f t="shared" si="257"/>
        <v>0</v>
      </c>
      <c r="AQ361" s="50">
        <f t="shared" si="257"/>
        <v>0</v>
      </c>
      <c r="AR361" s="50">
        <f t="shared" si="257"/>
        <v>0</v>
      </c>
      <c r="AS361" s="50">
        <f t="shared" si="257"/>
        <v>0</v>
      </c>
      <c r="AT361" s="50">
        <f t="shared" si="257"/>
        <v>0</v>
      </c>
      <c r="AU361" s="50">
        <f t="shared" si="257"/>
        <v>0</v>
      </c>
    </row>
    <row r="362" spans="1:47">
      <c r="D362" s="186"/>
      <c r="E362" s="325"/>
      <c r="G362" s="39" t="s">
        <v>304</v>
      </c>
      <c r="I362" s="39"/>
      <c r="K362" s="39"/>
      <c r="L362" s="43"/>
      <c r="N362" s="70"/>
      <c r="O362" s="313"/>
      <c r="P362" s="70"/>
      <c r="Q362" s="313"/>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row>
    <row r="363" spans="1:47">
      <c r="A363" s="38" t="str">
        <f>$J$4&amp;"-"</f>
        <v>3Y-</v>
      </c>
      <c r="B363" s="38" t="s">
        <v>265</v>
      </c>
      <c r="C363" s="38" t="str">
        <f>C354</f>
        <v>Gravity Belt Thickener</v>
      </c>
      <c r="D363" s="186"/>
      <c r="E363" s="325"/>
      <c r="G363" s="36" t="s">
        <v>108</v>
      </c>
      <c r="I363" s="39"/>
      <c r="K363" s="39"/>
      <c r="L363" s="43" t="s">
        <v>293</v>
      </c>
      <c r="N363" s="70">
        <f ca="1">SUMIFS(OFFSET(Assumptions!$I$90,0,MATCH($A363,Configurations,0)-1,COUNT(Assumptions!$A$90:$A$183),1),Assumptions!$D$90:$D$183,$B363&amp;$C363)</f>
        <v>0</v>
      </c>
      <c r="O363" s="313"/>
      <c r="P363" s="323"/>
      <c r="Q363" s="313"/>
      <c r="R363" s="50">
        <f t="shared" ref="R363:AU363" ca="1" si="258">IF(OR(R$99&lt;InServiceYr,R$99&gt;(InServiceYr+analysis_period-1)),0,IF($P363=0,$N363,$P363)*R$501)</f>
        <v>0</v>
      </c>
      <c r="S363" s="50">
        <f t="shared" ca="1" si="258"/>
        <v>0</v>
      </c>
      <c r="T363" s="50">
        <f t="shared" ca="1" si="258"/>
        <v>0</v>
      </c>
      <c r="U363" s="50">
        <f t="shared" ca="1" si="258"/>
        <v>0</v>
      </c>
      <c r="V363" s="50">
        <f t="shared" ca="1" si="258"/>
        <v>0</v>
      </c>
      <c r="W363" s="50">
        <f t="shared" ca="1" si="258"/>
        <v>0</v>
      </c>
      <c r="X363" s="50">
        <f t="shared" ca="1" si="258"/>
        <v>0</v>
      </c>
      <c r="Y363" s="50">
        <f t="shared" ca="1" si="258"/>
        <v>0</v>
      </c>
      <c r="Z363" s="50">
        <f t="shared" ca="1" si="258"/>
        <v>0</v>
      </c>
      <c r="AA363" s="50">
        <f t="shared" ca="1" si="258"/>
        <v>0</v>
      </c>
      <c r="AB363" s="50">
        <f t="shared" ca="1" si="258"/>
        <v>0</v>
      </c>
      <c r="AC363" s="50">
        <f t="shared" ca="1" si="258"/>
        <v>0</v>
      </c>
      <c r="AD363" s="50">
        <f t="shared" ca="1" si="258"/>
        <v>0</v>
      </c>
      <c r="AE363" s="50">
        <f t="shared" ca="1" si="258"/>
        <v>0</v>
      </c>
      <c r="AF363" s="50">
        <f t="shared" ca="1" si="258"/>
        <v>0</v>
      </c>
      <c r="AG363" s="50">
        <f t="shared" ca="1" si="258"/>
        <v>0</v>
      </c>
      <c r="AH363" s="50">
        <f t="shared" ca="1" si="258"/>
        <v>0</v>
      </c>
      <c r="AI363" s="50">
        <f t="shared" ca="1" si="258"/>
        <v>0</v>
      </c>
      <c r="AJ363" s="50">
        <f t="shared" ca="1" si="258"/>
        <v>0</v>
      </c>
      <c r="AK363" s="50">
        <f t="shared" ca="1" si="258"/>
        <v>0</v>
      </c>
      <c r="AL363" s="50">
        <f t="shared" si="258"/>
        <v>0</v>
      </c>
      <c r="AM363" s="50">
        <f t="shared" si="258"/>
        <v>0</v>
      </c>
      <c r="AN363" s="50">
        <f t="shared" si="258"/>
        <v>0</v>
      </c>
      <c r="AO363" s="50">
        <f t="shared" si="258"/>
        <v>0</v>
      </c>
      <c r="AP363" s="50">
        <f t="shared" si="258"/>
        <v>0</v>
      </c>
      <c r="AQ363" s="50">
        <f t="shared" si="258"/>
        <v>0</v>
      </c>
      <c r="AR363" s="50">
        <f t="shared" si="258"/>
        <v>0</v>
      </c>
      <c r="AS363" s="50">
        <f t="shared" si="258"/>
        <v>0</v>
      </c>
      <c r="AT363" s="50">
        <f t="shared" si="258"/>
        <v>0</v>
      </c>
      <c r="AU363" s="50">
        <f t="shared" si="258"/>
        <v>0</v>
      </c>
    </row>
    <row r="364" spans="1:47">
      <c r="A364" s="38" t="str">
        <f>$J$4&amp;"-"</f>
        <v>3Y-</v>
      </c>
      <c r="B364" s="38" t="s">
        <v>289</v>
      </c>
      <c r="C364" s="38" t="str">
        <f>C354</f>
        <v>Gravity Belt Thickener</v>
      </c>
      <c r="D364" s="186">
        <f>LaborEsc</f>
        <v>0.02</v>
      </c>
      <c r="E364" s="325"/>
      <c r="G364" s="36" t="s">
        <v>292</v>
      </c>
      <c r="I364" s="39"/>
      <c r="K364" s="39"/>
      <c r="L364" s="43" t="str">
        <f>"["&amp;CostBaseYr&amp;" $]"</f>
        <v>[2013 $]</v>
      </c>
      <c r="N364" s="70">
        <f ca="1">SUMIFS(OFFSET(Assumptions!$I$90,0,MATCH($A364,Configurations,0)-1,COUNT(Assumptions!$A$90:$A$183),1),Assumptions!$D$90:$D$183,$B364&amp;$C364)</f>
        <v>0</v>
      </c>
      <c r="O364" s="313"/>
      <c r="P364" s="323"/>
      <c r="Q364" s="313"/>
      <c r="R364" s="50">
        <f t="shared" ref="R364:AU364" ca="1" si="259">IF(OR(R$99&lt;InServiceYr,R$99&gt;(InServiceYr+analysis_period-1)),0,IF($P364=0,$N364,$P364)*(1+$D364)^(R$99-CostBaseYr))</f>
        <v>0</v>
      </c>
      <c r="S364" s="50">
        <f t="shared" ca="1" si="259"/>
        <v>0</v>
      </c>
      <c r="T364" s="50">
        <f t="shared" ca="1" si="259"/>
        <v>0</v>
      </c>
      <c r="U364" s="50">
        <f t="shared" ca="1" si="259"/>
        <v>0</v>
      </c>
      <c r="V364" s="50">
        <f t="shared" ca="1" si="259"/>
        <v>0</v>
      </c>
      <c r="W364" s="50">
        <f t="shared" ca="1" si="259"/>
        <v>0</v>
      </c>
      <c r="X364" s="50">
        <f t="shared" ca="1" si="259"/>
        <v>0</v>
      </c>
      <c r="Y364" s="50">
        <f t="shared" ca="1" si="259"/>
        <v>0</v>
      </c>
      <c r="Z364" s="50">
        <f t="shared" ca="1" si="259"/>
        <v>0</v>
      </c>
      <c r="AA364" s="50">
        <f t="shared" ca="1" si="259"/>
        <v>0</v>
      </c>
      <c r="AB364" s="50">
        <f t="shared" ca="1" si="259"/>
        <v>0</v>
      </c>
      <c r="AC364" s="50">
        <f t="shared" ca="1" si="259"/>
        <v>0</v>
      </c>
      <c r="AD364" s="50">
        <f t="shared" ca="1" si="259"/>
        <v>0</v>
      </c>
      <c r="AE364" s="50">
        <f t="shared" ca="1" si="259"/>
        <v>0</v>
      </c>
      <c r="AF364" s="50">
        <f t="shared" ca="1" si="259"/>
        <v>0</v>
      </c>
      <c r="AG364" s="50">
        <f t="shared" ca="1" si="259"/>
        <v>0</v>
      </c>
      <c r="AH364" s="50">
        <f t="shared" ca="1" si="259"/>
        <v>0</v>
      </c>
      <c r="AI364" s="50">
        <f t="shared" ca="1" si="259"/>
        <v>0</v>
      </c>
      <c r="AJ364" s="50">
        <f t="shared" ca="1" si="259"/>
        <v>0</v>
      </c>
      <c r="AK364" s="50">
        <f t="shared" ca="1" si="259"/>
        <v>0</v>
      </c>
      <c r="AL364" s="50">
        <f t="shared" si="259"/>
        <v>0</v>
      </c>
      <c r="AM364" s="50">
        <f t="shared" si="259"/>
        <v>0</v>
      </c>
      <c r="AN364" s="50">
        <f t="shared" si="259"/>
        <v>0</v>
      </c>
      <c r="AO364" s="50">
        <f t="shared" si="259"/>
        <v>0</v>
      </c>
      <c r="AP364" s="50">
        <f t="shared" si="259"/>
        <v>0</v>
      </c>
      <c r="AQ364" s="50">
        <f t="shared" si="259"/>
        <v>0</v>
      </c>
      <c r="AR364" s="50">
        <f t="shared" si="259"/>
        <v>0</v>
      </c>
      <c r="AS364" s="50">
        <f t="shared" si="259"/>
        <v>0</v>
      </c>
      <c r="AT364" s="50">
        <f t="shared" si="259"/>
        <v>0</v>
      </c>
      <c r="AU364" s="50">
        <f t="shared" si="259"/>
        <v>0</v>
      </c>
    </row>
    <row r="365" spans="1:47" s="60" customFormat="1">
      <c r="D365" s="187"/>
      <c r="E365" s="325"/>
      <c r="G365" s="39" t="s">
        <v>305</v>
      </c>
      <c r="I365" s="39"/>
      <c r="K365" s="39"/>
      <c r="L365" s="174"/>
      <c r="N365" s="188"/>
      <c r="O365" s="314"/>
      <c r="P365" s="185"/>
      <c r="Q365" s="314"/>
      <c r="R365" s="185">
        <f ca="1">SUM(R354:R361)-SUM(R363:R364)</f>
        <v>237128.16897795754</v>
      </c>
      <c r="S365" s="185">
        <f t="shared" ref="S365:AU365" ca="1" si="260">SUM(S354:S361)-SUM(S363:S364)</f>
        <v>241819.78033055589</v>
      </c>
      <c r="T365" s="185">
        <f t="shared" ca="1" si="260"/>
        <v>246742.24291332837</v>
      </c>
      <c r="U365" s="185">
        <f t="shared" ca="1" si="260"/>
        <v>251715.92597162526</v>
      </c>
      <c r="V365" s="185">
        <f t="shared" ca="1" si="260"/>
        <v>256766.77441087854</v>
      </c>
      <c r="W365" s="185">
        <f t="shared" ca="1" si="260"/>
        <v>261872.57761813086</v>
      </c>
      <c r="X365" s="185">
        <f t="shared" ca="1" si="260"/>
        <v>267094.55878641538</v>
      </c>
      <c r="Y365" s="185">
        <f t="shared" ca="1" si="260"/>
        <v>272456.01216656464</v>
      </c>
      <c r="Z365" s="185">
        <f t="shared" ca="1" si="260"/>
        <v>277922.16310232243</v>
      </c>
      <c r="AA365" s="185">
        <f t="shared" ca="1" si="260"/>
        <v>283502.74337730679</v>
      </c>
      <c r="AB365" s="185">
        <f t="shared" ca="1" si="260"/>
        <v>289180.32689618302</v>
      </c>
      <c r="AC365" s="185">
        <f t="shared" ca="1" si="260"/>
        <v>294960.48731384845</v>
      </c>
      <c r="AD365" s="185">
        <f t="shared" ca="1" si="260"/>
        <v>300874.33849497727</v>
      </c>
      <c r="AE365" s="185">
        <f t="shared" ca="1" si="260"/>
        <v>306905.31584619166</v>
      </c>
      <c r="AF365" s="185">
        <f t="shared" ca="1" si="260"/>
        <v>313062.08841206628</v>
      </c>
      <c r="AG365" s="185">
        <f t="shared" ca="1" si="260"/>
        <v>319353.77595576213</v>
      </c>
      <c r="AH365" s="185">
        <f t="shared" ca="1" si="260"/>
        <v>325764.25315348589</v>
      </c>
      <c r="AI365" s="185">
        <f t="shared" ca="1" si="260"/>
        <v>332311.14151647076</v>
      </c>
      <c r="AJ365" s="185">
        <f t="shared" ca="1" si="260"/>
        <v>338994.30004002544</v>
      </c>
      <c r="AK365" s="185">
        <f t="shared" ca="1" si="260"/>
        <v>345814.54639558517</v>
      </c>
      <c r="AL365" s="185">
        <f t="shared" si="260"/>
        <v>0</v>
      </c>
      <c r="AM365" s="185">
        <f t="shared" si="260"/>
        <v>0</v>
      </c>
      <c r="AN365" s="185">
        <f t="shared" si="260"/>
        <v>0</v>
      </c>
      <c r="AO365" s="185">
        <f t="shared" si="260"/>
        <v>0</v>
      </c>
      <c r="AP365" s="185">
        <f t="shared" si="260"/>
        <v>0</v>
      </c>
      <c r="AQ365" s="185">
        <f t="shared" si="260"/>
        <v>0</v>
      </c>
      <c r="AR365" s="185">
        <f t="shared" si="260"/>
        <v>0</v>
      </c>
      <c r="AS365" s="185">
        <f t="shared" si="260"/>
        <v>0</v>
      </c>
      <c r="AT365" s="185">
        <f t="shared" si="260"/>
        <v>0</v>
      </c>
      <c r="AU365" s="185">
        <f t="shared" si="260"/>
        <v>0</v>
      </c>
    </row>
    <row r="366" spans="1:47">
      <c r="E366" s="36"/>
      <c r="G366" s="39"/>
      <c r="H366" s="39"/>
      <c r="I366" s="39"/>
      <c r="J366" s="39"/>
      <c r="K366" s="39"/>
    </row>
    <row r="367" spans="1:47">
      <c r="E367" s="327"/>
      <c r="F367" s="28"/>
      <c r="G367" s="324" t="str">
        <f>C369&amp;" Capital Costs"</f>
        <v>Gravity Thickener Capital Costs</v>
      </c>
      <c r="H367" s="324"/>
      <c r="I367" s="324"/>
      <c r="J367" s="324"/>
      <c r="K367" s="324"/>
      <c r="L367" s="405" t="s">
        <v>79</v>
      </c>
      <c r="M367" s="256"/>
      <c r="N367" s="325" t="s">
        <v>490</v>
      </c>
      <c r="O367" s="311"/>
      <c r="P367" s="325" t="s">
        <v>491</v>
      </c>
      <c r="Q367" s="310"/>
      <c r="R367" s="325">
        <f>R$8</f>
        <v>2014</v>
      </c>
      <c r="S367" s="325">
        <f t="shared" ref="S367:AU367" si="261">S$8</f>
        <v>2015</v>
      </c>
      <c r="T367" s="325">
        <f t="shared" si="261"/>
        <v>2016</v>
      </c>
      <c r="U367" s="325">
        <f t="shared" si="261"/>
        <v>2017</v>
      </c>
      <c r="V367" s="325">
        <f t="shared" si="261"/>
        <v>2018</v>
      </c>
      <c r="W367" s="325">
        <f t="shared" si="261"/>
        <v>2019</v>
      </c>
      <c r="X367" s="325">
        <f t="shared" si="261"/>
        <v>2020</v>
      </c>
      <c r="Y367" s="325">
        <f t="shared" si="261"/>
        <v>2021</v>
      </c>
      <c r="Z367" s="325">
        <f t="shared" si="261"/>
        <v>2022</v>
      </c>
      <c r="AA367" s="325">
        <f t="shared" si="261"/>
        <v>2023</v>
      </c>
      <c r="AB367" s="325">
        <f t="shared" si="261"/>
        <v>2024</v>
      </c>
      <c r="AC367" s="325">
        <f t="shared" si="261"/>
        <v>2025</v>
      </c>
      <c r="AD367" s="325">
        <f t="shared" si="261"/>
        <v>2026</v>
      </c>
      <c r="AE367" s="325">
        <f t="shared" si="261"/>
        <v>2027</v>
      </c>
      <c r="AF367" s="325">
        <f t="shared" si="261"/>
        <v>2028</v>
      </c>
      <c r="AG367" s="325">
        <f t="shared" si="261"/>
        <v>2029</v>
      </c>
      <c r="AH367" s="325">
        <f t="shared" si="261"/>
        <v>2030</v>
      </c>
      <c r="AI367" s="325">
        <f t="shared" si="261"/>
        <v>2031</v>
      </c>
      <c r="AJ367" s="325">
        <f t="shared" si="261"/>
        <v>2032</v>
      </c>
      <c r="AK367" s="325">
        <f t="shared" si="261"/>
        <v>2033</v>
      </c>
      <c r="AL367" s="325">
        <f t="shared" si="261"/>
        <v>2034</v>
      </c>
      <c r="AM367" s="325">
        <f t="shared" si="261"/>
        <v>2035</v>
      </c>
      <c r="AN367" s="325">
        <f t="shared" si="261"/>
        <v>2036</v>
      </c>
      <c r="AO367" s="325">
        <f t="shared" si="261"/>
        <v>2037</v>
      </c>
      <c r="AP367" s="325">
        <f t="shared" si="261"/>
        <v>2038</v>
      </c>
      <c r="AQ367" s="325">
        <f t="shared" si="261"/>
        <v>2039</v>
      </c>
      <c r="AR367" s="325">
        <f t="shared" si="261"/>
        <v>2040</v>
      </c>
      <c r="AS367" s="325">
        <f t="shared" si="261"/>
        <v>2041</v>
      </c>
      <c r="AT367" s="325">
        <f t="shared" si="261"/>
        <v>2042</v>
      </c>
      <c r="AU367" s="325">
        <f t="shared" si="261"/>
        <v>2043</v>
      </c>
    </row>
    <row r="368" spans="1:47">
      <c r="E368" s="325"/>
      <c r="G368" s="39"/>
      <c r="H368" s="39"/>
      <c r="I368" s="39"/>
      <c r="J368" s="39"/>
      <c r="K368" s="39"/>
    </row>
    <row r="369" spans="1:47">
      <c r="A369" s="38" t="str">
        <f>$J$4&amp;"-"</f>
        <v>3Y-</v>
      </c>
      <c r="B369" s="38" t="s">
        <v>306</v>
      </c>
      <c r="C369" s="38" t="s">
        <v>29</v>
      </c>
      <c r="D369" s="186">
        <f>CapExEsc</f>
        <v>0.03</v>
      </c>
      <c r="E369" s="325"/>
      <c r="G369" s="36" t="s">
        <v>8</v>
      </c>
      <c r="H369" s="39"/>
      <c r="I369" s="39"/>
      <c r="J369" s="70"/>
      <c r="K369" s="39"/>
      <c r="L369" s="43" t="str">
        <f>"["&amp;CostBaseYr&amp;" $]"</f>
        <v>[2013 $]</v>
      </c>
      <c r="N369" s="52">
        <f ca="1">SUMIFS(OFFSET(Assumptions!$I$65,0,MATCH($A369,Configurations,0)-1,COUNT(Assumptions!$A$65:$A$84),1),Assumptions!$E$65:$E$84,$C369)</f>
        <v>1029000</v>
      </c>
      <c r="O369" s="52"/>
      <c r="P369" s="322"/>
      <c r="Q369" s="52"/>
      <c r="R369" s="52">
        <f t="shared" ref="R369:AU369" ca="1" si="262">R370*IF($P369=0,$N369,$P369)*(1+$D369)^(R$8-CostBaseYr)</f>
        <v>1059870</v>
      </c>
      <c r="S369" s="52">
        <f t="shared" ca="1" si="262"/>
        <v>0</v>
      </c>
      <c r="T369" s="52">
        <f t="shared" ca="1" si="262"/>
        <v>0</v>
      </c>
      <c r="U369" s="52">
        <f t="shared" ca="1" si="262"/>
        <v>0</v>
      </c>
      <c r="V369" s="52">
        <f t="shared" ca="1" si="262"/>
        <v>0</v>
      </c>
      <c r="W369" s="52">
        <f t="shared" ca="1" si="262"/>
        <v>0</v>
      </c>
      <c r="X369" s="52">
        <f t="shared" ca="1" si="262"/>
        <v>0</v>
      </c>
      <c r="Y369" s="52">
        <f t="shared" ca="1" si="262"/>
        <v>0</v>
      </c>
      <c r="Z369" s="52">
        <f t="shared" ca="1" si="262"/>
        <v>0</v>
      </c>
      <c r="AA369" s="52">
        <f t="shared" ca="1" si="262"/>
        <v>0</v>
      </c>
      <c r="AB369" s="52">
        <f t="shared" ca="1" si="262"/>
        <v>0</v>
      </c>
      <c r="AC369" s="52">
        <f t="shared" ca="1" si="262"/>
        <v>0</v>
      </c>
      <c r="AD369" s="52">
        <f t="shared" ca="1" si="262"/>
        <v>0</v>
      </c>
      <c r="AE369" s="52">
        <f t="shared" ca="1" si="262"/>
        <v>0</v>
      </c>
      <c r="AF369" s="52">
        <f t="shared" ca="1" si="262"/>
        <v>0</v>
      </c>
      <c r="AG369" s="52">
        <f t="shared" ca="1" si="262"/>
        <v>0</v>
      </c>
      <c r="AH369" s="52">
        <f t="shared" ca="1" si="262"/>
        <v>0</v>
      </c>
      <c r="AI369" s="52">
        <f t="shared" ca="1" si="262"/>
        <v>0</v>
      </c>
      <c r="AJ369" s="52">
        <f t="shared" ca="1" si="262"/>
        <v>0</v>
      </c>
      <c r="AK369" s="52">
        <f t="shared" ca="1" si="262"/>
        <v>0</v>
      </c>
      <c r="AL369" s="52">
        <f t="shared" ca="1" si="262"/>
        <v>0</v>
      </c>
      <c r="AM369" s="52">
        <f t="shared" ca="1" si="262"/>
        <v>0</v>
      </c>
      <c r="AN369" s="52">
        <f t="shared" ca="1" si="262"/>
        <v>0</v>
      </c>
      <c r="AO369" s="52">
        <f t="shared" ca="1" si="262"/>
        <v>0</v>
      </c>
      <c r="AP369" s="52">
        <f t="shared" ca="1" si="262"/>
        <v>0</v>
      </c>
      <c r="AQ369" s="52">
        <f t="shared" ca="1" si="262"/>
        <v>0</v>
      </c>
      <c r="AR369" s="52">
        <f t="shared" ca="1" si="262"/>
        <v>0</v>
      </c>
      <c r="AS369" s="52">
        <f t="shared" ca="1" si="262"/>
        <v>0</v>
      </c>
      <c r="AT369" s="52">
        <f t="shared" ca="1" si="262"/>
        <v>0</v>
      </c>
      <c r="AU369" s="52">
        <f t="shared" ca="1" si="262"/>
        <v>0</v>
      </c>
    </row>
    <row r="370" spans="1:47">
      <c r="E370" s="325"/>
      <c r="G370" s="36" t="s">
        <v>10</v>
      </c>
      <c r="H370" s="39"/>
      <c r="I370" s="39"/>
      <c r="J370" s="39"/>
      <c r="K370" s="39"/>
      <c r="L370" s="43"/>
      <c r="R370" s="54">
        <f>Assumptions!M$60</f>
        <v>1</v>
      </c>
      <c r="S370" s="54">
        <f>Assumptions!N$60</f>
        <v>0</v>
      </c>
      <c r="T370" s="54">
        <f>Assumptions!O$60</f>
        <v>0</v>
      </c>
      <c r="U370" s="54">
        <f>Assumptions!P$60</f>
        <v>0</v>
      </c>
      <c r="V370" s="54">
        <f>Assumptions!Q$60</f>
        <v>0</v>
      </c>
      <c r="W370" s="54">
        <f>Assumptions!R$60</f>
        <v>0</v>
      </c>
      <c r="X370" s="54">
        <f>Assumptions!S$60</f>
        <v>0</v>
      </c>
      <c r="Y370" s="54">
        <f>Assumptions!T$60</f>
        <v>0</v>
      </c>
      <c r="Z370" s="54">
        <f>Assumptions!U$60</f>
        <v>0</v>
      </c>
      <c r="AA370" s="54">
        <f>Assumptions!V$60</f>
        <v>0</v>
      </c>
      <c r="AB370" s="54">
        <f>Assumptions!W$60</f>
        <v>0</v>
      </c>
      <c r="AC370" s="54">
        <f>Assumptions!X$60</f>
        <v>0</v>
      </c>
      <c r="AD370" s="54">
        <f>Assumptions!Y$60</f>
        <v>0</v>
      </c>
      <c r="AE370" s="54">
        <f>Assumptions!Z$60</f>
        <v>0</v>
      </c>
      <c r="AF370" s="54">
        <f>Assumptions!AA$60</f>
        <v>0</v>
      </c>
      <c r="AG370" s="54">
        <f>Assumptions!AB$60</f>
        <v>0</v>
      </c>
      <c r="AH370" s="54">
        <f>Assumptions!AC$60</f>
        <v>0</v>
      </c>
      <c r="AI370" s="54">
        <f>Assumptions!AD$60</f>
        <v>0</v>
      </c>
      <c r="AJ370" s="54">
        <f>Assumptions!AE$60</f>
        <v>0</v>
      </c>
      <c r="AK370" s="54">
        <f>Assumptions!AF$60</f>
        <v>0</v>
      </c>
      <c r="AL370" s="54">
        <f>Assumptions!AG$60</f>
        <v>0</v>
      </c>
      <c r="AM370" s="54">
        <f>Assumptions!AH$60</f>
        <v>0</v>
      </c>
      <c r="AN370" s="54">
        <f>Assumptions!AI$60</f>
        <v>0</v>
      </c>
      <c r="AO370" s="54">
        <f>Assumptions!AJ$60</f>
        <v>0</v>
      </c>
      <c r="AP370" s="54">
        <f>Assumptions!AK$60</f>
        <v>0</v>
      </c>
      <c r="AQ370" s="54">
        <f>Assumptions!AL$60</f>
        <v>0</v>
      </c>
      <c r="AR370" s="54">
        <f>Assumptions!AM$60</f>
        <v>0</v>
      </c>
      <c r="AS370" s="54">
        <f>Assumptions!AN$60</f>
        <v>0</v>
      </c>
      <c r="AT370" s="54">
        <f>Assumptions!AO$60</f>
        <v>0</v>
      </c>
      <c r="AU370" s="54">
        <f>Assumptions!AP$60</f>
        <v>0</v>
      </c>
    </row>
    <row r="371" spans="1:47">
      <c r="E371" s="326"/>
      <c r="G371" s="39"/>
      <c r="H371" s="39"/>
      <c r="I371" s="39"/>
      <c r="J371" s="39"/>
      <c r="K371" s="39"/>
    </row>
    <row r="372" spans="1:47">
      <c r="E372" s="327"/>
      <c r="F372" s="28"/>
      <c r="G372" s="324" t="str">
        <f>C369&amp;" O&amp;M"</f>
        <v>Gravity Thickener O&amp;M</v>
      </c>
      <c r="H372" s="324"/>
      <c r="I372" s="324"/>
      <c r="J372" s="324"/>
      <c r="K372" s="324"/>
      <c r="L372" s="405" t="s">
        <v>79</v>
      </c>
      <c r="M372" s="256"/>
      <c r="N372" s="325" t="s">
        <v>490</v>
      </c>
      <c r="O372" s="311"/>
      <c r="P372" s="325" t="s">
        <v>491</v>
      </c>
      <c r="Q372" s="310"/>
      <c r="R372" s="325">
        <f>R$8</f>
        <v>2014</v>
      </c>
      <c r="S372" s="325">
        <f t="shared" ref="S372:AU372" si="263">S$8</f>
        <v>2015</v>
      </c>
      <c r="T372" s="325">
        <f t="shared" si="263"/>
        <v>2016</v>
      </c>
      <c r="U372" s="325">
        <f t="shared" si="263"/>
        <v>2017</v>
      </c>
      <c r="V372" s="325">
        <f t="shared" si="263"/>
        <v>2018</v>
      </c>
      <c r="W372" s="325">
        <f t="shared" si="263"/>
        <v>2019</v>
      </c>
      <c r="X372" s="325">
        <f t="shared" si="263"/>
        <v>2020</v>
      </c>
      <c r="Y372" s="325">
        <f t="shared" si="263"/>
        <v>2021</v>
      </c>
      <c r="Z372" s="325">
        <f t="shared" si="263"/>
        <v>2022</v>
      </c>
      <c r="AA372" s="325">
        <f t="shared" si="263"/>
        <v>2023</v>
      </c>
      <c r="AB372" s="325">
        <f t="shared" si="263"/>
        <v>2024</v>
      </c>
      <c r="AC372" s="325">
        <f t="shared" si="263"/>
        <v>2025</v>
      </c>
      <c r="AD372" s="325">
        <f t="shared" si="263"/>
        <v>2026</v>
      </c>
      <c r="AE372" s="325">
        <f t="shared" si="263"/>
        <v>2027</v>
      </c>
      <c r="AF372" s="325">
        <f t="shared" si="263"/>
        <v>2028</v>
      </c>
      <c r="AG372" s="325">
        <f t="shared" si="263"/>
        <v>2029</v>
      </c>
      <c r="AH372" s="325">
        <f t="shared" si="263"/>
        <v>2030</v>
      </c>
      <c r="AI372" s="325">
        <f t="shared" si="263"/>
        <v>2031</v>
      </c>
      <c r="AJ372" s="325">
        <f t="shared" si="263"/>
        <v>2032</v>
      </c>
      <c r="AK372" s="325">
        <f t="shared" si="263"/>
        <v>2033</v>
      </c>
      <c r="AL372" s="325">
        <f t="shared" si="263"/>
        <v>2034</v>
      </c>
      <c r="AM372" s="325">
        <f t="shared" si="263"/>
        <v>2035</v>
      </c>
      <c r="AN372" s="325">
        <f t="shared" si="263"/>
        <v>2036</v>
      </c>
      <c r="AO372" s="325">
        <f t="shared" si="263"/>
        <v>2037</v>
      </c>
      <c r="AP372" s="325">
        <f t="shared" si="263"/>
        <v>2038</v>
      </c>
      <c r="AQ372" s="325">
        <f t="shared" si="263"/>
        <v>2039</v>
      </c>
      <c r="AR372" s="325">
        <f t="shared" si="263"/>
        <v>2040</v>
      </c>
      <c r="AS372" s="325">
        <f t="shared" si="263"/>
        <v>2041</v>
      </c>
      <c r="AT372" s="325">
        <f t="shared" si="263"/>
        <v>2042</v>
      </c>
      <c r="AU372" s="325">
        <f t="shared" si="263"/>
        <v>2043</v>
      </c>
    </row>
    <row r="373" spans="1:47">
      <c r="E373" s="325"/>
      <c r="G373" s="39"/>
      <c r="H373" s="39"/>
      <c r="I373" s="39"/>
      <c r="J373" s="39"/>
      <c r="K373" s="39"/>
    </row>
    <row r="374" spans="1:47">
      <c r="E374" s="325"/>
      <c r="G374" s="39" t="s">
        <v>23</v>
      </c>
      <c r="H374" s="39"/>
      <c r="I374" s="39"/>
      <c r="J374" s="39"/>
      <c r="K374" s="39"/>
    </row>
    <row r="375" spans="1:47">
      <c r="A375" s="38" t="str">
        <f t="shared" ref="A375:A382" si="264">$J$4&amp;"-"</f>
        <v>3Y-</v>
      </c>
      <c r="B375" s="38" t="s">
        <v>262</v>
      </c>
      <c r="C375" s="38" t="str">
        <f>C369</f>
        <v>Gravity Thickener</v>
      </c>
      <c r="D375" s="186">
        <f>LaborEsc</f>
        <v>0.02</v>
      </c>
      <c r="E375" s="325"/>
      <c r="G375" s="36" t="s">
        <v>125</v>
      </c>
      <c r="I375" s="39"/>
      <c r="K375" s="39"/>
      <c r="L375" s="43" t="s">
        <v>266</v>
      </c>
      <c r="N375" s="70">
        <f ca="1">SUMIFS(OFFSET(Assumptions!$I$90,0,MATCH($A375,Configurations,0)-1,COUNT(Assumptions!$A$90:$A$183),1),Assumptions!$D$90:$D$183,$B375&amp;$C375)</f>
        <v>1460</v>
      </c>
      <c r="O375" s="313"/>
      <c r="P375" s="323"/>
      <c r="Q375" s="313"/>
      <c r="R375" s="50">
        <f t="shared" ref="R375:AU375" ca="1" si="265">IF(OR(R$99&lt;InServiceYr,R$99&gt;(InServiceYr+analysis_period-1)),0,IF($P375=0,$N375,$P375)*LaborCost*(1+$D375)^(R$99-CostBaseYr))</f>
        <v>52122</v>
      </c>
      <c r="S375" s="50">
        <f t="shared" ca="1" si="265"/>
        <v>53164.44</v>
      </c>
      <c r="T375" s="50">
        <f t="shared" ca="1" si="265"/>
        <v>54227.728799999997</v>
      </c>
      <c r="U375" s="50">
        <f t="shared" ca="1" si="265"/>
        <v>55312.283375999999</v>
      </c>
      <c r="V375" s="50">
        <f t="shared" ca="1" si="265"/>
        <v>56418.52904352</v>
      </c>
      <c r="W375" s="50">
        <f t="shared" ca="1" si="265"/>
        <v>57546.899624390404</v>
      </c>
      <c r="X375" s="50">
        <f t="shared" ca="1" si="265"/>
        <v>58697.837616878198</v>
      </c>
      <c r="Y375" s="50">
        <f t="shared" ca="1" si="265"/>
        <v>59871.794369215771</v>
      </c>
      <c r="Z375" s="50">
        <f t="shared" ca="1" si="265"/>
        <v>61069.230256600087</v>
      </c>
      <c r="AA375" s="50">
        <f t="shared" ca="1" si="265"/>
        <v>62290.614861732087</v>
      </c>
      <c r="AB375" s="50">
        <f t="shared" ca="1" si="265"/>
        <v>63536.427158966719</v>
      </c>
      <c r="AC375" s="50">
        <f t="shared" ca="1" si="265"/>
        <v>64807.155702146061</v>
      </c>
      <c r="AD375" s="50">
        <f t="shared" ca="1" si="265"/>
        <v>66103.298816188981</v>
      </c>
      <c r="AE375" s="50">
        <f t="shared" ca="1" si="265"/>
        <v>67425.364792512773</v>
      </c>
      <c r="AF375" s="50">
        <f t="shared" ca="1" si="265"/>
        <v>68773.872088363001</v>
      </c>
      <c r="AG375" s="50">
        <f t="shared" ca="1" si="265"/>
        <v>70149.349530130276</v>
      </c>
      <c r="AH375" s="50">
        <f t="shared" ca="1" si="265"/>
        <v>71552.33652073289</v>
      </c>
      <c r="AI375" s="50">
        <f t="shared" ca="1" si="265"/>
        <v>72983.383251147534</v>
      </c>
      <c r="AJ375" s="50">
        <f t="shared" ca="1" si="265"/>
        <v>74443.050916170483</v>
      </c>
      <c r="AK375" s="50">
        <f t="shared" ca="1" si="265"/>
        <v>75931.911934493895</v>
      </c>
      <c r="AL375" s="50">
        <f t="shared" si="265"/>
        <v>0</v>
      </c>
      <c r="AM375" s="50">
        <f t="shared" si="265"/>
        <v>0</v>
      </c>
      <c r="AN375" s="50">
        <f t="shared" si="265"/>
        <v>0</v>
      </c>
      <c r="AO375" s="50">
        <f t="shared" si="265"/>
        <v>0</v>
      </c>
      <c r="AP375" s="50">
        <f t="shared" si="265"/>
        <v>0</v>
      </c>
      <c r="AQ375" s="50">
        <f t="shared" si="265"/>
        <v>0</v>
      </c>
      <c r="AR375" s="50">
        <f t="shared" si="265"/>
        <v>0</v>
      </c>
      <c r="AS375" s="50">
        <f t="shared" si="265"/>
        <v>0</v>
      </c>
      <c r="AT375" s="50">
        <f t="shared" si="265"/>
        <v>0</v>
      </c>
      <c r="AU375" s="50">
        <f t="shared" si="265"/>
        <v>0</v>
      </c>
    </row>
    <row r="376" spans="1:47">
      <c r="A376" s="38" t="str">
        <f t="shared" si="264"/>
        <v>3Y-</v>
      </c>
      <c r="B376" s="38" t="s">
        <v>270</v>
      </c>
      <c r="C376" s="38" t="str">
        <f>C375</f>
        <v>Gravity Thickener</v>
      </c>
      <c r="D376" s="186">
        <f>OMEsc</f>
        <v>0.02</v>
      </c>
      <c r="E376" s="325"/>
      <c r="G376" s="36" t="s">
        <v>126</v>
      </c>
      <c r="I376" s="39"/>
      <c r="K376" s="39"/>
      <c r="L376" s="43" t="str">
        <f>"["&amp;CostBaseYr&amp;" $]"</f>
        <v>[2013 $]</v>
      </c>
      <c r="N376" s="70">
        <f ca="1">SUMIFS(OFFSET(Assumptions!$I$90,0,MATCH($A376,Configurations,0)-1,COUNT(Assumptions!$A$90:$A$183),1),Assumptions!$D$90:$D$183,$B376&amp;$C376)</f>
        <v>10000</v>
      </c>
      <c r="O376" s="313"/>
      <c r="P376" s="323"/>
      <c r="Q376" s="313"/>
      <c r="R376" s="50">
        <f t="shared" ref="R376:AG378" ca="1" si="266">IF(OR(R$99&lt;InServiceYr,R$99&gt;(InServiceYr+analysis_period-1)),0,IF($P376=0,$N376,$P376)*(1+$D376)^(R$99-CostBaseYr))</f>
        <v>10200</v>
      </c>
      <c r="S376" s="50">
        <f t="shared" ca="1" si="266"/>
        <v>10404</v>
      </c>
      <c r="T376" s="50">
        <f t="shared" ca="1" si="266"/>
        <v>10612.08</v>
      </c>
      <c r="U376" s="50">
        <f t="shared" ca="1" si="266"/>
        <v>10824.321599999999</v>
      </c>
      <c r="V376" s="50">
        <f t="shared" ca="1" si="266"/>
        <v>11040.808032000001</v>
      </c>
      <c r="W376" s="50">
        <f t="shared" ca="1" si="266"/>
        <v>11261.62419264</v>
      </c>
      <c r="X376" s="50">
        <f t="shared" ca="1" si="266"/>
        <v>11486.856676492798</v>
      </c>
      <c r="Y376" s="50">
        <f t="shared" ca="1" si="266"/>
        <v>11716.593810022656</v>
      </c>
      <c r="Z376" s="50">
        <f t="shared" ca="1" si="266"/>
        <v>11950.925686223109</v>
      </c>
      <c r="AA376" s="50">
        <f t="shared" ca="1" si="266"/>
        <v>12189.944199947571</v>
      </c>
      <c r="AB376" s="50">
        <f t="shared" ca="1" si="266"/>
        <v>12433.74308394652</v>
      </c>
      <c r="AC376" s="50">
        <f t="shared" ca="1" si="266"/>
        <v>12682.417945625453</v>
      </c>
      <c r="AD376" s="50">
        <f t="shared" ca="1" si="266"/>
        <v>12936.066304537961</v>
      </c>
      <c r="AE376" s="50">
        <f t="shared" ca="1" si="266"/>
        <v>13194.787630628722</v>
      </c>
      <c r="AF376" s="50">
        <f t="shared" ca="1" si="266"/>
        <v>13458.683383241292</v>
      </c>
      <c r="AG376" s="50">
        <f t="shared" ca="1" si="266"/>
        <v>13727.857050906121</v>
      </c>
      <c r="AH376" s="50">
        <f t="shared" ref="S376:AU378" ca="1" si="267">IF(OR(AH$99&lt;InServiceYr,AH$99&gt;(InServiceYr+analysis_period-1)),0,IF($P376=0,$N376,$P376)*(1+$D376)^(AH$99-CostBaseYr))</f>
        <v>14002.414191924245</v>
      </c>
      <c r="AI376" s="50">
        <f t="shared" ca="1" si="267"/>
        <v>14282.462475762728</v>
      </c>
      <c r="AJ376" s="50">
        <f t="shared" ca="1" si="267"/>
        <v>14568.11172527798</v>
      </c>
      <c r="AK376" s="50">
        <f t="shared" ca="1" si="267"/>
        <v>14859.473959783543</v>
      </c>
      <c r="AL376" s="50">
        <f t="shared" si="267"/>
        <v>0</v>
      </c>
      <c r="AM376" s="50">
        <f t="shared" si="267"/>
        <v>0</v>
      </c>
      <c r="AN376" s="50">
        <f t="shared" si="267"/>
        <v>0</v>
      </c>
      <c r="AO376" s="50">
        <f t="shared" si="267"/>
        <v>0</v>
      </c>
      <c r="AP376" s="50">
        <f t="shared" si="267"/>
        <v>0</v>
      </c>
      <c r="AQ376" s="50">
        <f t="shared" si="267"/>
        <v>0</v>
      </c>
      <c r="AR376" s="50">
        <f t="shared" si="267"/>
        <v>0</v>
      </c>
      <c r="AS376" s="50">
        <f t="shared" si="267"/>
        <v>0</v>
      </c>
      <c r="AT376" s="50">
        <f t="shared" si="267"/>
        <v>0</v>
      </c>
      <c r="AU376" s="50">
        <f t="shared" si="267"/>
        <v>0</v>
      </c>
    </row>
    <row r="377" spans="1:47">
      <c r="A377" s="38" t="str">
        <f t="shared" si="264"/>
        <v>3Y-</v>
      </c>
      <c r="B377" s="38" t="s">
        <v>263</v>
      </c>
      <c r="C377" s="38" t="str">
        <f t="shared" ref="C377:C381" si="268">C376</f>
        <v>Gravity Thickener</v>
      </c>
      <c r="D377" s="186">
        <f>OMEsc</f>
        <v>0.02</v>
      </c>
      <c r="E377" s="325"/>
      <c r="G377" s="36" t="s">
        <v>127</v>
      </c>
      <c r="I377" s="39"/>
      <c r="K377" s="39"/>
      <c r="L377" s="43" t="str">
        <f>"["&amp;CostBaseYr&amp;" $]"</f>
        <v>[2013 $]</v>
      </c>
      <c r="N377" s="70">
        <f ca="1">SUMIFS(OFFSET(Assumptions!$I$90,0,MATCH($A377,Configurations,0)-1,COUNT(Assumptions!$A$90:$A$183),1),Assumptions!$D$90:$D$183,$B377&amp;$C377)</f>
        <v>0</v>
      </c>
      <c r="O377" s="313"/>
      <c r="P377" s="323"/>
      <c r="Q377" s="313"/>
      <c r="R377" s="50">
        <f t="shared" ca="1" si="266"/>
        <v>0</v>
      </c>
      <c r="S377" s="50">
        <f t="shared" ca="1" si="267"/>
        <v>0</v>
      </c>
      <c r="T377" s="50">
        <f t="shared" ca="1" si="267"/>
        <v>0</v>
      </c>
      <c r="U377" s="50">
        <f t="shared" ca="1" si="267"/>
        <v>0</v>
      </c>
      <c r="V377" s="50">
        <f t="shared" ca="1" si="267"/>
        <v>0</v>
      </c>
      <c r="W377" s="50">
        <f t="shared" ca="1" si="267"/>
        <v>0</v>
      </c>
      <c r="X377" s="50">
        <f t="shared" ca="1" si="267"/>
        <v>0</v>
      </c>
      <c r="Y377" s="50">
        <f t="shared" ca="1" si="267"/>
        <v>0</v>
      </c>
      <c r="Z377" s="50">
        <f t="shared" ca="1" si="267"/>
        <v>0</v>
      </c>
      <c r="AA377" s="50">
        <f t="shared" ca="1" si="267"/>
        <v>0</v>
      </c>
      <c r="AB377" s="50">
        <f t="shared" ca="1" si="267"/>
        <v>0</v>
      </c>
      <c r="AC377" s="50">
        <f t="shared" ca="1" si="267"/>
        <v>0</v>
      </c>
      <c r="AD377" s="50">
        <f t="shared" ca="1" si="267"/>
        <v>0</v>
      </c>
      <c r="AE377" s="50">
        <f t="shared" ca="1" si="267"/>
        <v>0</v>
      </c>
      <c r="AF377" s="50">
        <f t="shared" ca="1" si="267"/>
        <v>0</v>
      </c>
      <c r="AG377" s="50">
        <f t="shared" ca="1" si="267"/>
        <v>0</v>
      </c>
      <c r="AH377" s="50">
        <f t="shared" ca="1" si="267"/>
        <v>0</v>
      </c>
      <c r="AI377" s="50">
        <f t="shared" ca="1" si="267"/>
        <v>0</v>
      </c>
      <c r="AJ377" s="50">
        <f t="shared" ca="1" si="267"/>
        <v>0</v>
      </c>
      <c r="AK377" s="50">
        <f t="shared" ca="1" si="267"/>
        <v>0</v>
      </c>
      <c r="AL377" s="50">
        <f t="shared" si="267"/>
        <v>0</v>
      </c>
      <c r="AM377" s="50">
        <f t="shared" si="267"/>
        <v>0</v>
      </c>
      <c r="AN377" s="50">
        <f t="shared" si="267"/>
        <v>0</v>
      </c>
      <c r="AO377" s="50">
        <f t="shared" si="267"/>
        <v>0</v>
      </c>
      <c r="AP377" s="50">
        <f t="shared" si="267"/>
        <v>0</v>
      </c>
      <c r="AQ377" s="50">
        <f t="shared" si="267"/>
        <v>0</v>
      </c>
      <c r="AR377" s="50">
        <f t="shared" si="267"/>
        <v>0</v>
      </c>
      <c r="AS377" s="50">
        <f t="shared" si="267"/>
        <v>0</v>
      </c>
      <c r="AT377" s="50">
        <f t="shared" si="267"/>
        <v>0</v>
      </c>
      <c r="AU377" s="50">
        <f t="shared" si="267"/>
        <v>0</v>
      </c>
    </row>
    <row r="378" spans="1:47">
      <c r="A378" s="38" t="str">
        <f t="shared" si="264"/>
        <v>3Y-</v>
      </c>
      <c r="B378" s="38" t="s">
        <v>277</v>
      </c>
      <c r="C378" s="38" t="str">
        <f t="shared" si="268"/>
        <v>Gravity Thickener</v>
      </c>
      <c r="D378" s="186">
        <f>OMEsc</f>
        <v>0.02</v>
      </c>
      <c r="E378" s="325"/>
      <c r="G378" s="36" t="s">
        <v>276</v>
      </c>
      <c r="I378" s="39"/>
      <c r="K378" s="39"/>
      <c r="L378" s="43" t="str">
        <f>"["&amp;CostBaseYr&amp;" $]"</f>
        <v>[2013 $]</v>
      </c>
      <c r="N378" s="70">
        <f ca="1">SUMIFS(OFFSET(Assumptions!$I$90,0,MATCH($A378,Configurations,0)-1,COUNT(Assumptions!$A$90:$A$183),1),Assumptions!$D$90:$D$183,$B378&amp;$C378)</f>
        <v>0</v>
      </c>
      <c r="O378" s="313"/>
      <c r="P378" s="323"/>
      <c r="Q378" s="313"/>
      <c r="R378" s="50">
        <f t="shared" ca="1" si="266"/>
        <v>0</v>
      </c>
      <c r="S378" s="50">
        <f t="shared" ca="1" si="267"/>
        <v>0</v>
      </c>
      <c r="T378" s="50">
        <f t="shared" ca="1" si="267"/>
        <v>0</v>
      </c>
      <c r="U378" s="50">
        <f t="shared" ca="1" si="267"/>
        <v>0</v>
      </c>
      <c r="V378" s="50">
        <f t="shared" ca="1" si="267"/>
        <v>0</v>
      </c>
      <c r="W378" s="50">
        <f t="shared" ca="1" si="267"/>
        <v>0</v>
      </c>
      <c r="X378" s="50">
        <f t="shared" ca="1" si="267"/>
        <v>0</v>
      </c>
      <c r="Y378" s="50">
        <f t="shared" ca="1" si="267"/>
        <v>0</v>
      </c>
      <c r="Z378" s="50">
        <f t="shared" ca="1" si="267"/>
        <v>0</v>
      </c>
      <c r="AA378" s="50">
        <f t="shared" ca="1" si="267"/>
        <v>0</v>
      </c>
      <c r="AB378" s="50">
        <f t="shared" ca="1" si="267"/>
        <v>0</v>
      </c>
      <c r="AC378" s="50">
        <f t="shared" ca="1" si="267"/>
        <v>0</v>
      </c>
      <c r="AD378" s="50">
        <f t="shared" ca="1" si="267"/>
        <v>0</v>
      </c>
      <c r="AE378" s="50">
        <f t="shared" ca="1" si="267"/>
        <v>0</v>
      </c>
      <c r="AF378" s="50">
        <f t="shared" ca="1" si="267"/>
        <v>0</v>
      </c>
      <c r="AG378" s="50">
        <f t="shared" ca="1" si="267"/>
        <v>0</v>
      </c>
      <c r="AH378" s="50">
        <f t="shared" ca="1" si="267"/>
        <v>0</v>
      </c>
      <c r="AI378" s="50">
        <f t="shared" ca="1" si="267"/>
        <v>0</v>
      </c>
      <c r="AJ378" s="50">
        <f t="shared" ca="1" si="267"/>
        <v>0</v>
      </c>
      <c r="AK378" s="50">
        <f t="shared" ca="1" si="267"/>
        <v>0</v>
      </c>
      <c r="AL378" s="50">
        <f t="shared" si="267"/>
        <v>0</v>
      </c>
      <c r="AM378" s="50">
        <f t="shared" si="267"/>
        <v>0</v>
      </c>
      <c r="AN378" s="50">
        <f t="shared" si="267"/>
        <v>0</v>
      </c>
      <c r="AO378" s="50">
        <f t="shared" si="267"/>
        <v>0</v>
      </c>
      <c r="AP378" s="50">
        <f t="shared" si="267"/>
        <v>0</v>
      </c>
      <c r="AQ378" s="50">
        <f t="shared" si="267"/>
        <v>0</v>
      </c>
      <c r="AR378" s="50">
        <f t="shared" si="267"/>
        <v>0</v>
      </c>
      <c r="AS378" s="50">
        <f t="shared" si="267"/>
        <v>0</v>
      </c>
      <c r="AT378" s="50">
        <f t="shared" si="267"/>
        <v>0</v>
      </c>
      <c r="AU378" s="50">
        <f t="shared" si="267"/>
        <v>0</v>
      </c>
    </row>
    <row r="379" spans="1:47">
      <c r="A379" s="38" t="str">
        <f t="shared" si="264"/>
        <v>3Y-</v>
      </c>
      <c r="B379" s="38" t="s">
        <v>274</v>
      </c>
      <c r="C379" s="38" t="str">
        <f t="shared" si="268"/>
        <v>Gravity Thickener</v>
      </c>
      <c r="D379" s="186"/>
      <c r="E379" s="325"/>
      <c r="G379" s="36" t="s">
        <v>16</v>
      </c>
      <c r="I379" s="39"/>
      <c r="K379" s="39"/>
      <c r="L379" s="43" t="s">
        <v>275</v>
      </c>
      <c r="N379" s="70">
        <f ca="1">SUMIFS(OFFSET(Assumptions!$I$90,0,MATCH($A379,Configurations,0)-1,COUNT(Assumptions!$A$90:$A$183),1),Assumptions!$D$90:$D$183,$B379&amp;$C379)</f>
        <v>0</v>
      </c>
      <c r="O379" s="313"/>
      <c r="P379" s="323"/>
      <c r="Q379" s="313"/>
      <c r="R379" s="50">
        <f t="shared" ref="R379:AU379" ca="1" si="269">IF(OR(R$99&lt;InServiceYr,R$99&gt;(InServiceYr+analysis_period-1)),0,IF($P379=0,$N379,$P379)*R$505)</f>
        <v>0</v>
      </c>
      <c r="S379" s="50">
        <f t="shared" ca="1" si="269"/>
        <v>0</v>
      </c>
      <c r="T379" s="50">
        <f t="shared" ca="1" si="269"/>
        <v>0</v>
      </c>
      <c r="U379" s="50">
        <f t="shared" ca="1" si="269"/>
        <v>0</v>
      </c>
      <c r="V379" s="50">
        <f t="shared" ca="1" si="269"/>
        <v>0</v>
      </c>
      <c r="W379" s="50">
        <f t="shared" ca="1" si="269"/>
        <v>0</v>
      </c>
      <c r="X379" s="50">
        <f t="shared" ca="1" si="269"/>
        <v>0</v>
      </c>
      <c r="Y379" s="50">
        <f t="shared" ca="1" si="269"/>
        <v>0</v>
      </c>
      <c r="Z379" s="50">
        <f t="shared" ca="1" si="269"/>
        <v>0</v>
      </c>
      <c r="AA379" s="50">
        <f t="shared" ca="1" si="269"/>
        <v>0</v>
      </c>
      <c r="AB379" s="50">
        <f t="shared" ca="1" si="269"/>
        <v>0</v>
      </c>
      <c r="AC379" s="50">
        <f t="shared" ca="1" si="269"/>
        <v>0</v>
      </c>
      <c r="AD379" s="50">
        <f t="shared" ca="1" si="269"/>
        <v>0</v>
      </c>
      <c r="AE379" s="50">
        <f t="shared" ca="1" si="269"/>
        <v>0</v>
      </c>
      <c r="AF379" s="50">
        <f t="shared" ca="1" si="269"/>
        <v>0</v>
      </c>
      <c r="AG379" s="50">
        <f t="shared" ca="1" si="269"/>
        <v>0</v>
      </c>
      <c r="AH379" s="50">
        <f t="shared" ca="1" si="269"/>
        <v>0</v>
      </c>
      <c r="AI379" s="50">
        <f t="shared" ca="1" si="269"/>
        <v>0</v>
      </c>
      <c r="AJ379" s="50">
        <f t="shared" ca="1" si="269"/>
        <v>0</v>
      </c>
      <c r="AK379" s="50">
        <f t="shared" ca="1" si="269"/>
        <v>0</v>
      </c>
      <c r="AL379" s="50">
        <f t="shared" si="269"/>
        <v>0</v>
      </c>
      <c r="AM379" s="50">
        <f t="shared" si="269"/>
        <v>0</v>
      </c>
      <c r="AN379" s="50">
        <f t="shared" si="269"/>
        <v>0</v>
      </c>
      <c r="AO379" s="50">
        <f t="shared" si="269"/>
        <v>0</v>
      </c>
      <c r="AP379" s="50">
        <f t="shared" si="269"/>
        <v>0</v>
      </c>
      <c r="AQ379" s="50">
        <f t="shared" si="269"/>
        <v>0</v>
      </c>
      <c r="AR379" s="50">
        <f t="shared" si="269"/>
        <v>0</v>
      </c>
      <c r="AS379" s="50">
        <f t="shared" si="269"/>
        <v>0</v>
      </c>
      <c r="AT379" s="50">
        <f t="shared" si="269"/>
        <v>0</v>
      </c>
      <c r="AU379" s="50">
        <f t="shared" si="269"/>
        <v>0</v>
      </c>
    </row>
    <row r="380" spans="1:47">
      <c r="A380" s="38" t="str">
        <f t="shared" si="264"/>
        <v>3Y-</v>
      </c>
      <c r="B380" s="38" t="s">
        <v>257</v>
      </c>
      <c r="C380" s="38" t="str">
        <f t="shared" si="268"/>
        <v>Gravity Thickener</v>
      </c>
      <c r="D380" s="186"/>
      <c r="E380" s="325"/>
      <c r="G380" s="36" t="s">
        <v>284</v>
      </c>
      <c r="I380" s="39"/>
      <c r="K380" s="39"/>
      <c r="L380" s="43" t="s">
        <v>293</v>
      </c>
      <c r="N380" s="70">
        <f ca="1">SUMIFS(OFFSET(Assumptions!$I$90,0,MATCH($A380,Configurations,0)-1,COUNT(Assumptions!$A$90:$A$183),1),Assumptions!$D$90:$D$183,$B380&amp;$C380)</f>
        <v>9130</v>
      </c>
      <c r="O380" s="313"/>
      <c r="P380" s="323"/>
      <c r="Q380" s="313"/>
      <c r="R380" s="50">
        <f t="shared" ref="R380:AU380" ca="1" si="270">IF(OR(R$99&lt;InServiceYr,R$99&gt;(InServiceYr+analysis_period-1)),0,IF($P380=0,$N380,$P380)*R$501)</f>
        <v>589.62960685312089</v>
      </c>
      <c r="S380" s="50">
        <f t="shared" ca="1" si="270"/>
        <v>593.30508145131967</v>
      </c>
      <c r="T380" s="50">
        <f t="shared" ca="1" si="270"/>
        <v>618.8824288027929</v>
      </c>
      <c r="U380" s="50">
        <f t="shared" ca="1" si="270"/>
        <v>637.44735300747732</v>
      </c>
      <c r="V380" s="50">
        <f t="shared" ca="1" si="270"/>
        <v>652.82966541336077</v>
      </c>
      <c r="W380" s="50">
        <f t="shared" ca="1" si="270"/>
        <v>661.18149994980945</v>
      </c>
      <c r="X380" s="50">
        <f t="shared" ca="1" si="270"/>
        <v>671.9405582050872</v>
      </c>
      <c r="Y380" s="50">
        <f t="shared" ca="1" si="270"/>
        <v>688.49580500630339</v>
      </c>
      <c r="Z380" s="50">
        <f t="shared" ca="1" si="270"/>
        <v>704.97886404576855</v>
      </c>
      <c r="AA380" s="50">
        <f t="shared" ca="1" si="270"/>
        <v>722.60506718820102</v>
      </c>
      <c r="AB380" s="50">
        <f t="shared" ca="1" si="270"/>
        <v>738.25655060566726</v>
      </c>
      <c r="AC380" s="50">
        <f t="shared" ca="1" si="270"/>
        <v>752.47268357279404</v>
      </c>
      <c r="AD380" s="50">
        <f t="shared" ca="1" si="270"/>
        <v>769.85464989819411</v>
      </c>
      <c r="AE380" s="50">
        <f t="shared" ca="1" si="270"/>
        <v>787.40091419967064</v>
      </c>
      <c r="AF380" s="50">
        <f t="shared" ca="1" si="270"/>
        <v>806.12263433188411</v>
      </c>
      <c r="AG380" s="50">
        <f t="shared" ca="1" si="270"/>
        <v>827.09537370320834</v>
      </c>
      <c r="AH380" s="50">
        <f t="shared" ca="1" si="270"/>
        <v>847.36537968879384</v>
      </c>
      <c r="AI380" s="50">
        <f t="shared" ca="1" si="270"/>
        <v>869.34737805601719</v>
      </c>
      <c r="AJ380" s="50">
        <f t="shared" ca="1" si="270"/>
        <v>892.61851474898162</v>
      </c>
      <c r="AK380" s="50">
        <f t="shared" ca="1" si="270"/>
        <v>916.90065365244516</v>
      </c>
      <c r="AL380" s="50">
        <f t="shared" si="270"/>
        <v>0</v>
      </c>
      <c r="AM380" s="50">
        <f t="shared" si="270"/>
        <v>0</v>
      </c>
      <c r="AN380" s="50">
        <f t="shared" si="270"/>
        <v>0</v>
      </c>
      <c r="AO380" s="50">
        <f t="shared" si="270"/>
        <v>0</v>
      </c>
      <c r="AP380" s="50">
        <f t="shared" si="270"/>
        <v>0</v>
      </c>
      <c r="AQ380" s="50">
        <f t="shared" si="270"/>
        <v>0</v>
      </c>
      <c r="AR380" s="50">
        <f t="shared" si="270"/>
        <v>0</v>
      </c>
      <c r="AS380" s="50">
        <f t="shared" si="270"/>
        <v>0</v>
      </c>
      <c r="AT380" s="50">
        <f t="shared" si="270"/>
        <v>0</v>
      </c>
      <c r="AU380" s="50">
        <f t="shared" si="270"/>
        <v>0</v>
      </c>
    </row>
    <row r="381" spans="1:47">
      <c r="A381" s="38" t="str">
        <f t="shared" si="264"/>
        <v>3Y-</v>
      </c>
      <c r="B381" s="38" t="s">
        <v>864</v>
      </c>
      <c r="C381" s="38" t="str">
        <f t="shared" si="268"/>
        <v>Gravity Thickener</v>
      </c>
      <c r="D381" s="186">
        <f>GHGEsc</f>
        <v>0.02</v>
      </c>
      <c r="E381" s="325"/>
      <c r="G381" s="36" t="s">
        <v>865</v>
      </c>
      <c r="I381" s="39"/>
      <c r="K381" s="39"/>
      <c r="L381" s="43" t="s">
        <v>866</v>
      </c>
      <c r="N381" s="70">
        <f ca="1">SUMIFS(OFFSET(Assumptions!$I$90,0,MATCH($A381,Configurations,0)-1,COUNT(Assumptions!$A$90:$A$183),1),Assumptions!$D$90:$D$183,$B381&amp;$C381)</f>
        <v>0</v>
      </c>
      <c r="O381" s="313"/>
      <c r="P381" s="323"/>
      <c r="Q381" s="313"/>
      <c r="R381" s="50">
        <f t="shared" ref="R381:AU381" ca="1" si="271">IF(OR(R$99&lt;InServiceYr,R$99&gt;(InServiceYr+analysis_period-1)),0,IF($P381=0,$N381,$P381)*R$513)</f>
        <v>0</v>
      </c>
      <c r="S381" s="50">
        <f t="shared" ca="1" si="271"/>
        <v>0</v>
      </c>
      <c r="T381" s="50">
        <f t="shared" ca="1" si="271"/>
        <v>0</v>
      </c>
      <c r="U381" s="50">
        <f t="shared" ca="1" si="271"/>
        <v>0</v>
      </c>
      <c r="V381" s="50">
        <f t="shared" ca="1" si="271"/>
        <v>0</v>
      </c>
      <c r="W381" s="50">
        <f t="shared" ca="1" si="271"/>
        <v>0</v>
      </c>
      <c r="X381" s="50">
        <f t="shared" ca="1" si="271"/>
        <v>0</v>
      </c>
      <c r="Y381" s="50">
        <f t="shared" ca="1" si="271"/>
        <v>0</v>
      </c>
      <c r="Z381" s="50">
        <f t="shared" ca="1" si="271"/>
        <v>0</v>
      </c>
      <c r="AA381" s="50">
        <f t="shared" ca="1" si="271"/>
        <v>0</v>
      </c>
      <c r="AB381" s="50">
        <f t="shared" ca="1" si="271"/>
        <v>0</v>
      </c>
      <c r="AC381" s="50">
        <f t="shared" ca="1" si="271"/>
        <v>0</v>
      </c>
      <c r="AD381" s="50">
        <f t="shared" ca="1" si="271"/>
        <v>0</v>
      </c>
      <c r="AE381" s="50">
        <f t="shared" ca="1" si="271"/>
        <v>0</v>
      </c>
      <c r="AF381" s="50">
        <f t="shared" ca="1" si="271"/>
        <v>0</v>
      </c>
      <c r="AG381" s="50">
        <f t="shared" ca="1" si="271"/>
        <v>0</v>
      </c>
      <c r="AH381" s="50">
        <f t="shared" ca="1" si="271"/>
        <v>0</v>
      </c>
      <c r="AI381" s="50">
        <f t="shared" ca="1" si="271"/>
        <v>0</v>
      </c>
      <c r="AJ381" s="50">
        <f t="shared" ca="1" si="271"/>
        <v>0</v>
      </c>
      <c r="AK381" s="50">
        <f t="shared" ca="1" si="271"/>
        <v>0</v>
      </c>
      <c r="AL381" s="50">
        <f t="shared" si="271"/>
        <v>0</v>
      </c>
      <c r="AM381" s="50">
        <f t="shared" si="271"/>
        <v>0</v>
      </c>
      <c r="AN381" s="50">
        <f t="shared" si="271"/>
        <v>0</v>
      </c>
      <c r="AO381" s="50">
        <f t="shared" si="271"/>
        <v>0</v>
      </c>
      <c r="AP381" s="50">
        <f t="shared" si="271"/>
        <v>0</v>
      </c>
      <c r="AQ381" s="50">
        <f t="shared" si="271"/>
        <v>0</v>
      </c>
      <c r="AR381" s="50">
        <f t="shared" si="271"/>
        <v>0</v>
      </c>
      <c r="AS381" s="50">
        <f t="shared" si="271"/>
        <v>0</v>
      </c>
      <c r="AT381" s="50">
        <f t="shared" si="271"/>
        <v>0</v>
      </c>
      <c r="AU381" s="50">
        <f t="shared" si="271"/>
        <v>0</v>
      </c>
    </row>
    <row r="382" spans="1:47">
      <c r="A382" s="38" t="str">
        <f t="shared" si="264"/>
        <v>3Y-</v>
      </c>
      <c r="B382" s="38" t="s">
        <v>273</v>
      </c>
      <c r="C382" s="38" t="str">
        <f>C380</f>
        <v>Gravity Thickener</v>
      </c>
      <c r="D382" s="186">
        <f>LaborEsc</f>
        <v>0.02</v>
      </c>
      <c r="E382" s="325"/>
      <c r="G382" s="36" t="s">
        <v>291</v>
      </c>
      <c r="I382" s="39"/>
      <c r="K382" s="39"/>
      <c r="L382" s="43" t="str">
        <f>"["&amp;CostBaseYr&amp;" $]"</f>
        <v>[2013 $]</v>
      </c>
      <c r="N382" s="70">
        <f ca="1">SUMIFS(OFFSET(Assumptions!$I$90,0,MATCH($A382,Configurations,0)-1,COUNT(Assumptions!$A$90:$A$183),1),Assumptions!$D$90:$D$183,$B382&amp;$C382)</f>
        <v>0</v>
      </c>
      <c r="O382" s="313"/>
      <c r="P382" s="323"/>
      <c r="Q382" s="313"/>
      <c r="R382" s="50">
        <f t="shared" ref="R382:AU382" ca="1" si="272">IF(OR(R$99&lt;InServiceYr,R$99&gt;(InServiceYr+analysis_period-1)),0,IF($P382=0,$N382,$P382)*(1+$D382)^(R$99-CostBaseYr))*R$509</f>
        <v>0</v>
      </c>
      <c r="S382" s="50">
        <f t="shared" ca="1" si="272"/>
        <v>0</v>
      </c>
      <c r="T382" s="50">
        <f t="shared" ca="1" si="272"/>
        <v>0</v>
      </c>
      <c r="U382" s="50">
        <f t="shared" ca="1" si="272"/>
        <v>0</v>
      </c>
      <c r="V382" s="50">
        <f t="shared" ca="1" si="272"/>
        <v>0</v>
      </c>
      <c r="W382" s="50">
        <f t="shared" ca="1" si="272"/>
        <v>0</v>
      </c>
      <c r="X382" s="50">
        <f t="shared" ca="1" si="272"/>
        <v>0</v>
      </c>
      <c r="Y382" s="50">
        <f t="shared" ca="1" si="272"/>
        <v>0</v>
      </c>
      <c r="Z382" s="50">
        <f t="shared" ca="1" si="272"/>
        <v>0</v>
      </c>
      <c r="AA382" s="50">
        <f t="shared" ca="1" si="272"/>
        <v>0</v>
      </c>
      <c r="AB382" s="50">
        <f t="shared" ca="1" si="272"/>
        <v>0</v>
      </c>
      <c r="AC382" s="50">
        <f t="shared" ca="1" si="272"/>
        <v>0</v>
      </c>
      <c r="AD382" s="50">
        <f t="shared" ca="1" si="272"/>
        <v>0</v>
      </c>
      <c r="AE382" s="50">
        <f t="shared" ca="1" si="272"/>
        <v>0</v>
      </c>
      <c r="AF382" s="50">
        <f t="shared" ca="1" si="272"/>
        <v>0</v>
      </c>
      <c r="AG382" s="50">
        <f t="shared" ca="1" si="272"/>
        <v>0</v>
      </c>
      <c r="AH382" s="50">
        <f t="shared" ca="1" si="272"/>
        <v>0</v>
      </c>
      <c r="AI382" s="50">
        <f t="shared" ca="1" si="272"/>
        <v>0</v>
      </c>
      <c r="AJ382" s="50">
        <f t="shared" ca="1" si="272"/>
        <v>0</v>
      </c>
      <c r="AK382" s="50">
        <f t="shared" ca="1" si="272"/>
        <v>0</v>
      </c>
      <c r="AL382" s="50">
        <f t="shared" si="272"/>
        <v>0</v>
      </c>
      <c r="AM382" s="50">
        <f t="shared" si="272"/>
        <v>0</v>
      </c>
      <c r="AN382" s="50">
        <f t="shared" si="272"/>
        <v>0</v>
      </c>
      <c r="AO382" s="50">
        <f t="shared" si="272"/>
        <v>0</v>
      </c>
      <c r="AP382" s="50">
        <f t="shared" si="272"/>
        <v>0</v>
      </c>
      <c r="AQ382" s="50">
        <f t="shared" si="272"/>
        <v>0</v>
      </c>
      <c r="AR382" s="50">
        <f t="shared" si="272"/>
        <v>0</v>
      </c>
      <c r="AS382" s="50">
        <f t="shared" si="272"/>
        <v>0</v>
      </c>
      <c r="AT382" s="50">
        <f t="shared" si="272"/>
        <v>0</v>
      </c>
      <c r="AU382" s="50">
        <f t="shared" si="272"/>
        <v>0</v>
      </c>
    </row>
    <row r="383" spans="1:47">
      <c r="D383" s="186"/>
      <c r="E383" s="325"/>
      <c r="G383" s="39" t="s">
        <v>304</v>
      </c>
      <c r="I383" s="39"/>
      <c r="K383" s="39"/>
      <c r="L383" s="43"/>
      <c r="N383" s="70"/>
      <c r="O383" s="313"/>
      <c r="P383" s="70"/>
      <c r="Q383" s="313"/>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row>
    <row r="384" spans="1:47">
      <c r="A384" s="38" t="str">
        <f>$J$4&amp;"-"</f>
        <v>3Y-</v>
      </c>
      <c r="B384" s="38" t="s">
        <v>265</v>
      </c>
      <c r="C384" s="38" t="str">
        <f>C375</f>
        <v>Gravity Thickener</v>
      </c>
      <c r="D384" s="186"/>
      <c r="E384" s="325"/>
      <c r="G384" s="36" t="s">
        <v>108</v>
      </c>
      <c r="I384" s="39"/>
      <c r="K384" s="39"/>
      <c r="L384" s="43" t="s">
        <v>293</v>
      </c>
      <c r="N384" s="70">
        <f ca="1">SUMIFS(OFFSET(Assumptions!$I$90,0,MATCH($A384,Configurations,0)-1,COUNT(Assumptions!$A$90:$A$183),1),Assumptions!$D$90:$D$183,$B384&amp;$C384)</f>
        <v>0</v>
      </c>
      <c r="O384" s="313"/>
      <c r="P384" s="323"/>
      <c r="Q384" s="313"/>
      <c r="R384" s="50">
        <f t="shared" ref="R384:AU384" ca="1" si="273">IF(OR(R$99&lt;InServiceYr,R$99&gt;(InServiceYr+analysis_period-1)),0,IF($P384=0,$N384,$P384)*R$501)</f>
        <v>0</v>
      </c>
      <c r="S384" s="50">
        <f t="shared" ca="1" si="273"/>
        <v>0</v>
      </c>
      <c r="T384" s="50">
        <f t="shared" ca="1" si="273"/>
        <v>0</v>
      </c>
      <c r="U384" s="50">
        <f t="shared" ca="1" si="273"/>
        <v>0</v>
      </c>
      <c r="V384" s="50">
        <f t="shared" ca="1" si="273"/>
        <v>0</v>
      </c>
      <c r="W384" s="50">
        <f t="shared" ca="1" si="273"/>
        <v>0</v>
      </c>
      <c r="X384" s="50">
        <f t="shared" ca="1" si="273"/>
        <v>0</v>
      </c>
      <c r="Y384" s="50">
        <f t="shared" ca="1" si="273"/>
        <v>0</v>
      </c>
      <c r="Z384" s="50">
        <f t="shared" ca="1" si="273"/>
        <v>0</v>
      </c>
      <c r="AA384" s="50">
        <f t="shared" ca="1" si="273"/>
        <v>0</v>
      </c>
      <c r="AB384" s="50">
        <f t="shared" ca="1" si="273"/>
        <v>0</v>
      </c>
      <c r="AC384" s="50">
        <f t="shared" ca="1" si="273"/>
        <v>0</v>
      </c>
      <c r="AD384" s="50">
        <f t="shared" ca="1" si="273"/>
        <v>0</v>
      </c>
      <c r="AE384" s="50">
        <f t="shared" ca="1" si="273"/>
        <v>0</v>
      </c>
      <c r="AF384" s="50">
        <f t="shared" ca="1" si="273"/>
        <v>0</v>
      </c>
      <c r="AG384" s="50">
        <f t="shared" ca="1" si="273"/>
        <v>0</v>
      </c>
      <c r="AH384" s="50">
        <f t="shared" ca="1" si="273"/>
        <v>0</v>
      </c>
      <c r="AI384" s="50">
        <f t="shared" ca="1" si="273"/>
        <v>0</v>
      </c>
      <c r="AJ384" s="50">
        <f t="shared" ca="1" si="273"/>
        <v>0</v>
      </c>
      <c r="AK384" s="50">
        <f t="shared" ca="1" si="273"/>
        <v>0</v>
      </c>
      <c r="AL384" s="50">
        <f t="shared" si="273"/>
        <v>0</v>
      </c>
      <c r="AM384" s="50">
        <f t="shared" si="273"/>
        <v>0</v>
      </c>
      <c r="AN384" s="50">
        <f t="shared" si="273"/>
        <v>0</v>
      </c>
      <c r="AO384" s="50">
        <f t="shared" si="273"/>
        <v>0</v>
      </c>
      <c r="AP384" s="50">
        <f t="shared" si="273"/>
        <v>0</v>
      </c>
      <c r="AQ384" s="50">
        <f t="shared" si="273"/>
        <v>0</v>
      </c>
      <c r="AR384" s="50">
        <f t="shared" si="273"/>
        <v>0</v>
      </c>
      <c r="AS384" s="50">
        <f t="shared" si="273"/>
        <v>0</v>
      </c>
      <c r="AT384" s="50">
        <f t="shared" si="273"/>
        <v>0</v>
      </c>
      <c r="AU384" s="50">
        <f t="shared" si="273"/>
        <v>0</v>
      </c>
    </row>
    <row r="385" spans="1:47">
      <c r="A385" s="38" t="str">
        <f>$J$4&amp;"-"</f>
        <v>3Y-</v>
      </c>
      <c r="B385" s="38" t="s">
        <v>289</v>
      </c>
      <c r="C385" s="38" t="str">
        <f>C375</f>
        <v>Gravity Thickener</v>
      </c>
      <c r="D385" s="186">
        <f>LaborEsc</f>
        <v>0.02</v>
      </c>
      <c r="E385" s="325"/>
      <c r="G385" s="36" t="s">
        <v>292</v>
      </c>
      <c r="I385" s="39"/>
      <c r="K385" s="39"/>
      <c r="L385" s="43" t="str">
        <f>"["&amp;CostBaseYr&amp;" $]"</f>
        <v>[2013 $]</v>
      </c>
      <c r="N385" s="70">
        <f ca="1">SUMIFS(OFFSET(Assumptions!$I$90,0,MATCH($A385,Configurations,0)-1,COUNT(Assumptions!$A$90:$A$183),1),Assumptions!$D$90:$D$183,$B385&amp;$C385)</f>
        <v>0</v>
      </c>
      <c r="O385" s="313"/>
      <c r="P385" s="323"/>
      <c r="Q385" s="313"/>
      <c r="R385" s="50">
        <f t="shared" ref="R385:AU385" ca="1" si="274">IF(OR(R$99&lt;InServiceYr,R$99&gt;(InServiceYr+analysis_period-1)),0,IF($P385=0,$N385,$P385)*(1+$D385)^(R$99-CostBaseYr))</f>
        <v>0</v>
      </c>
      <c r="S385" s="50">
        <f t="shared" ca="1" si="274"/>
        <v>0</v>
      </c>
      <c r="T385" s="50">
        <f t="shared" ca="1" si="274"/>
        <v>0</v>
      </c>
      <c r="U385" s="50">
        <f t="shared" ca="1" si="274"/>
        <v>0</v>
      </c>
      <c r="V385" s="50">
        <f t="shared" ca="1" si="274"/>
        <v>0</v>
      </c>
      <c r="W385" s="50">
        <f t="shared" ca="1" si="274"/>
        <v>0</v>
      </c>
      <c r="X385" s="50">
        <f t="shared" ca="1" si="274"/>
        <v>0</v>
      </c>
      <c r="Y385" s="50">
        <f t="shared" ca="1" si="274"/>
        <v>0</v>
      </c>
      <c r="Z385" s="50">
        <f t="shared" ca="1" si="274"/>
        <v>0</v>
      </c>
      <c r="AA385" s="50">
        <f t="shared" ca="1" si="274"/>
        <v>0</v>
      </c>
      <c r="AB385" s="50">
        <f t="shared" ca="1" si="274"/>
        <v>0</v>
      </c>
      <c r="AC385" s="50">
        <f t="shared" ca="1" si="274"/>
        <v>0</v>
      </c>
      <c r="AD385" s="50">
        <f t="shared" ca="1" si="274"/>
        <v>0</v>
      </c>
      <c r="AE385" s="50">
        <f t="shared" ca="1" si="274"/>
        <v>0</v>
      </c>
      <c r="AF385" s="50">
        <f t="shared" ca="1" si="274"/>
        <v>0</v>
      </c>
      <c r="AG385" s="50">
        <f t="shared" ca="1" si="274"/>
        <v>0</v>
      </c>
      <c r="AH385" s="50">
        <f t="shared" ca="1" si="274"/>
        <v>0</v>
      </c>
      <c r="AI385" s="50">
        <f t="shared" ca="1" si="274"/>
        <v>0</v>
      </c>
      <c r="AJ385" s="50">
        <f t="shared" ca="1" si="274"/>
        <v>0</v>
      </c>
      <c r="AK385" s="50">
        <f t="shared" ca="1" si="274"/>
        <v>0</v>
      </c>
      <c r="AL385" s="50">
        <f t="shared" si="274"/>
        <v>0</v>
      </c>
      <c r="AM385" s="50">
        <f t="shared" si="274"/>
        <v>0</v>
      </c>
      <c r="AN385" s="50">
        <f t="shared" si="274"/>
        <v>0</v>
      </c>
      <c r="AO385" s="50">
        <f t="shared" si="274"/>
        <v>0</v>
      </c>
      <c r="AP385" s="50">
        <f t="shared" si="274"/>
        <v>0</v>
      </c>
      <c r="AQ385" s="50">
        <f t="shared" si="274"/>
        <v>0</v>
      </c>
      <c r="AR385" s="50">
        <f t="shared" si="274"/>
        <v>0</v>
      </c>
      <c r="AS385" s="50">
        <f t="shared" si="274"/>
        <v>0</v>
      </c>
      <c r="AT385" s="50">
        <f t="shared" si="274"/>
        <v>0</v>
      </c>
      <c r="AU385" s="50">
        <f t="shared" si="274"/>
        <v>0</v>
      </c>
    </row>
    <row r="386" spans="1:47" s="60" customFormat="1">
      <c r="D386" s="187"/>
      <c r="E386" s="325"/>
      <c r="G386" s="39" t="s">
        <v>305</v>
      </c>
      <c r="I386" s="39"/>
      <c r="K386" s="39"/>
      <c r="L386" s="174"/>
      <c r="N386" s="188"/>
      <c r="O386" s="314"/>
      <c r="P386" s="185"/>
      <c r="Q386" s="314"/>
      <c r="R386" s="185">
        <f ca="1">SUM(R375:R382)-SUM(R384:R385)</f>
        <v>62911.629606853123</v>
      </c>
      <c r="S386" s="185">
        <f t="shared" ref="S386:AU386" ca="1" si="275">SUM(S375:S382)-SUM(S384:S385)</f>
        <v>64161.745081451321</v>
      </c>
      <c r="T386" s="185">
        <f t="shared" ca="1" si="275"/>
        <v>65458.691228802789</v>
      </c>
      <c r="U386" s="185">
        <f t="shared" ca="1" si="275"/>
        <v>66774.052329007478</v>
      </c>
      <c r="V386" s="185">
        <f t="shared" ca="1" si="275"/>
        <v>68112.16674093336</v>
      </c>
      <c r="W386" s="185">
        <f t="shared" ca="1" si="275"/>
        <v>69469.705316980224</v>
      </c>
      <c r="X386" s="185">
        <f t="shared" ca="1" si="275"/>
        <v>70856.634851576076</v>
      </c>
      <c r="Y386" s="185">
        <f t="shared" ca="1" si="275"/>
        <v>72276.88398424472</v>
      </c>
      <c r="Z386" s="185">
        <f t="shared" ca="1" si="275"/>
        <v>73725.134806868969</v>
      </c>
      <c r="AA386" s="185">
        <f t="shared" ca="1" si="275"/>
        <v>75203.164128867851</v>
      </c>
      <c r="AB386" s="185">
        <f t="shared" ca="1" si="275"/>
        <v>76708.426793518913</v>
      </c>
      <c r="AC386" s="185">
        <f t="shared" ca="1" si="275"/>
        <v>78242.046331344303</v>
      </c>
      <c r="AD386" s="185">
        <f t="shared" ca="1" si="275"/>
        <v>79809.219770625132</v>
      </c>
      <c r="AE386" s="185">
        <f t="shared" ca="1" si="275"/>
        <v>81407.55333734116</v>
      </c>
      <c r="AF386" s="185">
        <f t="shared" ca="1" si="275"/>
        <v>83038.678105936182</v>
      </c>
      <c r="AG386" s="185">
        <f t="shared" ca="1" si="275"/>
        <v>84704.301954739611</v>
      </c>
      <c r="AH386" s="185">
        <f t="shared" ca="1" si="275"/>
        <v>86402.116092345925</v>
      </c>
      <c r="AI386" s="185">
        <f t="shared" ca="1" si="275"/>
        <v>88135.193104966282</v>
      </c>
      <c r="AJ386" s="185">
        <f t="shared" ca="1" si="275"/>
        <v>89903.781156197452</v>
      </c>
      <c r="AK386" s="185">
        <f t="shared" ca="1" si="275"/>
        <v>91708.286547929878</v>
      </c>
      <c r="AL386" s="185">
        <f t="shared" si="275"/>
        <v>0</v>
      </c>
      <c r="AM386" s="185">
        <f t="shared" si="275"/>
        <v>0</v>
      </c>
      <c r="AN386" s="185">
        <f t="shared" si="275"/>
        <v>0</v>
      </c>
      <c r="AO386" s="185">
        <f t="shared" si="275"/>
        <v>0</v>
      </c>
      <c r="AP386" s="185">
        <f t="shared" si="275"/>
        <v>0</v>
      </c>
      <c r="AQ386" s="185">
        <f t="shared" si="275"/>
        <v>0</v>
      </c>
      <c r="AR386" s="185">
        <f t="shared" si="275"/>
        <v>0</v>
      </c>
      <c r="AS386" s="185">
        <f t="shared" si="275"/>
        <v>0</v>
      </c>
      <c r="AT386" s="185">
        <f t="shared" si="275"/>
        <v>0</v>
      </c>
      <c r="AU386" s="185">
        <f t="shared" si="275"/>
        <v>0</v>
      </c>
    </row>
    <row r="387" spans="1:47">
      <c r="E387" s="36"/>
      <c r="G387" s="39"/>
      <c r="H387" s="39"/>
      <c r="I387" s="39"/>
      <c r="J387" s="39"/>
      <c r="K387" s="39"/>
    </row>
    <row r="388" spans="1:47">
      <c r="E388" s="327"/>
      <c r="F388" s="28"/>
      <c r="G388" s="324" t="str">
        <f>C390&amp;" Capital Costs"</f>
        <v>Pre-Dewatering  Capital Costs</v>
      </c>
      <c r="H388" s="324"/>
      <c r="I388" s="324"/>
      <c r="J388" s="324"/>
      <c r="K388" s="324"/>
      <c r="L388" s="405" t="s">
        <v>79</v>
      </c>
      <c r="M388" s="256"/>
      <c r="N388" s="325" t="s">
        <v>490</v>
      </c>
      <c r="O388" s="311"/>
      <c r="P388" s="325" t="s">
        <v>491</v>
      </c>
      <c r="Q388" s="310"/>
      <c r="R388" s="325">
        <f>R$8</f>
        <v>2014</v>
      </c>
      <c r="S388" s="325">
        <f t="shared" ref="S388:AU388" si="276">S$8</f>
        <v>2015</v>
      </c>
      <c r="T388" s="325">
        <f t="shared" si="276"/>
        <v>2016</v>
      </c>
      <c r="U388" s="325">
        <f t="shared" si="276"/>
        <v>2017</v>
      </c>
      <c r="V388" s="325">
        <f t="shared" si="276"/>
        <v>2018</v>
      </c>
      <c r="W388" s="325">
        <f t="shared" si="276"/>
        <v>2019</v>
      </c>
      <c r="X388" s="325">
        <f t="shared" si="276"/>
        <v>2020</v>
      </c>
      <c r="Y388" s="325">
        <f t="shared" si="276"/>
        <v>2021</v>
      </c>
      <c r="Z388" s="325">
        <f t="shared" si="276"/>
        <v>2022</v>
      </c>
      <c r="AA388" s="325">
        <f t="shared" si="276"/>
        <v>2023</v>
      </c>
      <c r="AB388" s="325">
        <f t="shared" si="276"/>
        <v>2024</v>
      </c>
      <c r="AC388" s="325">
        <f t="shared" si="276"/>
        <v>2025</v>
      </c>
      <c r="AD388" s="325">
        <f t="shared" si="276"/>
        <v>2026</v>
      </c>
      <c r="AE388" s="325">
        <f t="shared" si="276"/>
        <v>2027</v>
      </c>
      <c r="AF388" s="325">
        <f t="shared" si="276"/>
        <v>2028</v>
      </c>
      <c r="AG388" s="325">
        <f t="shared" si="276"/>
        <v>2029</v>
      </c>
      <c r="AH388" s="325">
        <f t="shared" si="276"/>
        <v>2030</v>
      </c>
      <c r="AI388" s="325">
        <f t="shared" si="276"/>
        <v>2031</v>
      </c>
      <c r="AJ388" s="325">
        <f t="shared" si="276"/>
        <v>2032</v>
      </c>
      <c r="AK388" s="325">
        <f t="shared" si="276"/>
        <v>2033</v>
      </c>
      <c r="AL388" s="325">
        <f t="shared" si="276"/>
        <v>2034</v>
      </c>
      <c r="AM388" s="325">
        <f t="shared" si="276"/>
        <v>2035</v>
      </c>
      <c r="AN388" s="325">
        <f t="shared" si="276"/>
        <v>2036</v>
      </c>
      <c r="AO388" s="325">
        <f t="shared" si="276"/>
        <v>2037</v>
      </c>
      <c r="AP388" s="325">
        <f t="shared" si="276"/>
        <v>2038</v>
      </c>
      <c r="AQ388" s="325">
        <f t="shared" si="276"/>
        <v>2039</v>
      </c>
      <c r="AR388" s="325">
        <f t="shared" si="276"/>
        <v>2040</v>
      </c>
      <c r="AS388" s="325">
        <f t="shared" si="276"/>
        <v>2041</v>
      </c>
      <c r="AT388" s="325">
        <f t="shared" si="276"/>
        <v>2042</v>
      </c>
      <c r="AU388" s="325">
        <f t="shared" si="276"/>
        <v>2043</v>
      </c>
    </row>
    <row r="389" spans="1:47">
      <c r="E389" s="325"/>
      <c r="G389" s="39"/>
      <c r="H389" s="39"/>
      <c r="I389" s="39"/>
      <c r="J389" s="39"/>
      <c r="K389" s="39"/>
    </row>
    <row r="390" spans="1:47">
      <c r="A390" s="38" t="str">
        <f>$J$4&amp;"-"</f>
        <v>3Y-</v>
      </c>
      <c r="B390" s="38" t="s">
        <v>306</v>
      </c>
      <c r="C390" s="38" t="s">
        <v>163</v>
      </c>
      <c r="D390" s="186">
        <f>CapExEsc</f>
        <v>0.03</v>
      </c>
      <c r="E390" s="325"/>
      <c r="G390" s="36" t="s">
        <v>8</v>
      </c>
      <c r="H390" s="39"/>
      <c r="I390" s="39"/>
      <c r="J390" s="70"/>
      <c r="K390" s="39"/>
      <c r="L390" s="43" t="str">
        <f>"["&amp;CostBaseYr&amp;" $]"</f>
        <v>[2013 $]</v>
      </c>
      <c r="N390" s="52">
        <f ca="1">SUMIFS(OFFSET(Assumptions!$I$65,0,MATCH($A390,Configurations,0)-1,COUNT(Assumptions!$A$65:$A$84),1),Assumptions!$E$65:$E$84,$C390)</f>
        <v>0</v>
      </c>
      <c r="O390" s="52"/>
      <c r="P390" s="322"/>
      <c r="Q390" s="52"/>
      <c r="R390" s="52">
        <f t="shared" ref="R390:AU390" ca="1" si="277">R391*IF($P390=0,$N390,$P390)*(1+$D390)^(R$8-CostBaseYr)</f>
        <v>0</v>
      </c>
      <c r="S390" s="52">
        <f t="shared" ca="1" si="277"/>
        <v>0</v>
      </c>
      <c r="T390" s="52">
        <f t="shared" ca="1" si="277"/>
        <v>0</v>
      </c>
      <c r="U390" s="52">
        <f t="shared" ca="1" si="277"/>
        <v>0</v>
      </c>
      <c r="V390" s="52">
        <f t="shared" ca="1" si="277"/>
        <v>0</v>
      </c>
      <c r="W390" s="52">
        <f t="shared" ca="1" si="277"/>
        <v>0</v>
      </c>
      <c r="X390" s="52">
        <f t="shared" ca="1" si="277"/>
        <v>0</v>
      </c>
      <c r="Y390" s="52">
        <f t="shared" ca="1" si="277"/>
        <v>0</v>
      </c>
      <c r="Z390" s="52">
        <f t="shared" ca="1" si="277"/>
        <v>0</v>
      </c>
      <c r="AA390" s="52">
        <f t="shared" ca="1" si="277"/>
        <v>0</v>
      </c>
      <c r="AB390" s="52">
        <f t="shared" ca="1" si="277"/>
        <v>0</v>
      </c>
      <c r="AC390" s="52">
        <f t="shared" ca="1" si="277"/>
        <v>0</v>
      </c>
      <c r="AD390" s="52">
        <f t="shared" ca="1" si="277"/>
        <v>0</v>
      </c>
      <c r="AE390" s="52">
        <f t="shared" ca="1" si="277"/>
        <v>0</v>
      </c>
      <c r="AF390" s="52">
        <f t="shared" ca="1" si="277"/>
        <v>0</v>
      </c>
      <c r="AG390" s="52">
        <f t="shared" ca="1" si="277"/>
        <v>0</v>
      </c>
      <c r="AH390" s="52">
        <f t="shared" ca="1" si="277"/>
        <v>0</v>
      </c>
      <c r="AI390" s="52">
        <f t="shared" ca="1" si="277"/>
        <v>0</v>
      </c>
      <c r="AJ390" s="52">
        <f t="shared" ca="1" si="277"/>
        <v>0</v>
      </c>
      <c r="AK390" s="52">
        <f t="shared" ca="1" si="277"/>
        <v>0</v>
      </c>
      <c r="AL390" s="52">
        <f t="shared" ca="1" si="277"/>
        <v>0</v>
      </c>
      <c r="AM390" s="52">
        <f t="shared" ca="1" si="277"/>
        <v>0</v>
      </c>
      <c r="AN390" s="52">
        <f t="shared" ca="1" si="277"/>
        <v>0</v>
      </c>
      <c r="AO390" s="52">
        <f t="shared" ca="1" si="277"/>
        <v>0</v>
      </c>
      <c r="AP390" s="52">
        <f t="shared" ca="1" si="277"/>
        <v>0</v>
      </c>
      <c r="AQ390" s="52">
        <f t="shared" ca="1" si="277"/>
        <v>0</v>
      </c>
      <c r="AR390" s="52">
        <f t="shared" ca="1" si="277"/>
        <v>0</v>
      </c>
      <c r="AS390" s="52">
        <f t="shared" ca="1" si="277"/>
        <v>0</v>
      </c>
      <c r="AT390" s="52">
        <f t="shared" ca="1" si="277"/>
        <v>0</v>
      </c>
      <c r="AU390" s="52">
        <f t="shared" ca="1" si="277"/>
        <v>0</v>
      </c>
    </row>
    <row r="391" spans="1:47">
      <c r="E391" s="325"/>
      <c r="G391" s="36" t="s">
        <v>10</v>
      </c>
      <c r="H391" s="39"/>
      <c r="I391" s="39"/>
      <c r="J391" s="39"/>
      <c r="K391" s="39"/>
      <c r="L391" s="43"/>
      <c r="R391" s="54">
        <f>Assumptions!M$60</f>
        <v>1</v>
      </c>
      <c r="S391" s="54">
        <f>Assumptions!N$60</f>
        <v>0</v>
      </c>
      <c r="T391" s="54">
        <f>Assumptions!O$60</f>
        <v>0</v>
      </c>
      <c r="U391" s="54">
        <f>Assumptions!P$60</f>
        <v>0</v>
      </c>
      <c r="V391" s="54">
        <f>Assumptions!Q$60</f>
        <v>0</v>
      </c>
      <c r="W391" s="54">
        <f>Assumptions!R$60</f>
        <v>0</v>
      </c>
      <c r="X391" s="54">
        <f>Assumptions!S$60</f>
        <v>0</v>
      </c>
      <c r="Y391" s="54">
        <f>Assumptions!T$60</f>
        <v>0</v>
      </c>
      <c r="Z391" s="54">
        <f>Assumptions!U$60</f>
        <v>0</v>
      </c>
      <c r="AA391" s="54">
        <f>Assumptions!V$60</f>
        <v>0</v>
      </c>
      <c r="AB391" s="54">
        <f>Assumptions!W$60</f>
        <v>0</v>
      </c>
      <c r="AC391" s="54">
        <f>Assumptions!X$60</f>
        <v>0</v>
      </c>
      <c r="AD391" s="54">
        <f>Assumptions!Y$60</f>
        <v>0</v>
      </c>
      <c r="AE391" s="54">
        <f>Assumptions!Z$60</f>
        <v>0</v>
      </c>
      <c r="AF391" s="54">
        <f>Assumptions!AA$60</f>
        <v>0</v>
      </c>
      <c r="AG391" s="54">
        <f>Assumptions!AB$60</f>
        <v>0</v>
      </c>
      <c r="AH391" s="54">
        <f>Assumptions!AC$60</f>
        <v>0</v>
      </c>
      <c r="AI391" s="54">
        <f>Assumptions!AD$60</f>
        <v>0</v>
      </c>
      <c r="AJ391" s="54">
        <f>Assumptions!AE$60</f>
        <v>0</v>
      </c>
      <c r="AK391" s="54">
        <f>Assumptions!AF$60</f>
        <v>0</v>
      </c>
      <c r="AL391" s="54">
        <f>Assumptions!AG$60</f>
        <v>0</v>
      </c>
      <c r="AM391" s="54">
        <f>Assumptions!AH$60</f>
        <v>0</v>
      </c>
      <c r="AN391" s="54">
        <f>Assumptions!AI$60</f>
        <v>0</v>
      </c>
      <c r="AO391" s="54">
        <f>Assumptions!AJ$60</f>
        <v>0</v>
      </c>
      <c r="AP391" s="54">
        <f>Assumptions!AK$60</f>
        <v>0</v>
      </c>
      <c r="AQ391" s="54">
        <f>Assumptions!AL$60</f>
        <v>0</v>
      </c>
      <c r="AR391" s="54">
        <f>Assumptions!AM$60</f>
        <v>0</v>
      </c>
      <c r="AS391" s="54">
        <f>Assumptions!AN$60</f>
        <v>0</v>
      </c>
      <c r="AT391" s="54">
        <f>Assumptions!AO$60</f>
        <v>0</v>
      </c>
      <c r="AU391" s="54">
        <f>Assumptions!AP$60</f>
        <v>0</v>
      </c>
    </row>
    <row r="392" spans="1:47">
      <c r="E392" s="326"/>
      <c r="G392" s="39"/>
      <c r="H392" s="39"/>
      <c r="I392" s="39"/>
      <c r="J392" s="39"/>
      <c r="K392" s="39"/>
    </row>
    <row r="393" spans="1:47">
      <c r="E393" s="327"/>
      <c r="F393" s="28"/>
      <c r="G393" s="324" t="str">
        <f>C390&amp;" O&amp;M"</f>
        <v>Pre-Dewatering  O&amp;M</v>
      </c>
      <c r="H393" s="324"/>
      <c r="I393" s="324"/>
      <c r="J393" s="324"/>
      <c r="K393" s="324"/>
      <c r="L393" s="405" t="s">
        <v>79</v>
      </c>
      <c r="M393" s="256"/>
      <c r="N393" s="325" t="s">
        <v>490</v>
      </c>
      <c r="O393" s="311"/>
      <c r="P393" s="325" t="s">
        <v>491</v>
      </c>
      <c r="Q393" s="310"/>
      <c r="R393" s="325">
        <f>R$8</f>
        <v>2014</v>
      </c>
      <c r="S393" s="325">
        <f t="shared" ref="S393:AU393" si="278">S$8</f>
        <v>2015</v>
      </c>
      <c r="T393" s="325">
        <f t="shared" si="278"/>
        <v>2016</v>
      </c>
      <c r="U393" s="325">
        <f t="shared" si="278"/>
        <v>2017</v>
      </c>
      <c r="V393" s="325">
        <f t="shared" si="278"/>
        <v>2018</v>
      </c>
      <c r="W393" s="325">
        <f t="shared" si="278"/>
        <v>2019</v>
      </c>
      <c r="X393" s="325">
        <f t="shared" si="278"/>
        <v>2020</v>
      </c>
      <c r="Y393" s="325">
        <f t="shared" si="278"/>
        <v>2021</v>
      </c>
      <c r="Z393" s="325">
        <f t="shared" si="278"/>
        <v>2022</v>
      </c>
      <c r="AA393" s="325">
        <f t="shared" si="278"/>
        <v>2023</v>
      </c>
      <c r="AB393" s="325">
        <f t="shared" si="278"/>
        <v>2024</v>
      </c>
      <c r="AC393" s="325">
        <f t="shared" si="278"/>
        <v>2025</v>
      </c>
      <c r="AD393" s="325">
        <f t="shared" si="278"/>
        <v>2026</v>
      </c>
      <c r="AE393" s="325">
        <f t="shared" si="278"/>
        <v>2027</v>
      </c>
      <c r="AF393" s="325">
        <f t="shared" si="278"/>
        <v>2028</v>
      </c>
      <c r="AG393" s="325">
        <f t="shared" si="278"/>
        <v>2029</v>
      </c>
      <c r="AH393" s="325">
        <f t="shared" si="278"/>
        <v>2030</v>
      </c>
      <c r="AI393" s="325">
        <f t="shared" si="278"/>
        <v>2031</v>
      </c>
      <c r="AJ393" s="325">
        <f t="shared" si="278"/>
        <v>2032</v>
      </c>
      <c r="AK393" s="325">
        <f t="shared" si="278"/>
        <v>2033</v>
      </c>
      <c r="AL393" s="325">
        <f t="shared" si="278"/>
        <v>2034</v>
      </c>
      <c r="AM393" s="325">
        <f t="shared" si="278"/>
        <v>2035</v>
      </c>
      <c r="AN393" s="325">
        <f t="shared" si="278"/>
        <v>2036</v>
      </c>
      <c r="AO393" s="325">
        <f t="shared" si="278"/>
        <v>2037</v>
      </c>
      <c r="AP393" s="325">
        <f t="shared" si="278"/>
        <v>2038</v>
      </c>
      <c r="AQ393" s="325">
        <f t="shared" si="278"/>
        <v>2039</v>
      </c>
      <c r="AR393" s="325">
        <f t="shared" si="278"/>
        <v>2040</v>
      </c>
      <c r="AS393" s="325">
        <f t="shared" si="278"/>
        <v>2041</v>
      </c>
      <c r="AT393" s="325">
        <f t="shared" si="278"/>
        <v>2042</v>
      </c>
      <c r="AU393" s="325">
        <f t="shared" si="278"/>
        <v>2043</v>
      </c>
    </row>
    <row r="394" spans="1:47">
      <c r="E394" s="325"/>
      <c r="G394" s="39"/>
      <c r="H394" s="39"/>
      <c r="I394" s="39"/>
      <c r="J394" s="39"/>
      <c r="K394" s="39"/>
    </row>
    <row r="395" spans="1:47">
      <c r="E395" s="325"/>
      <c r="G395" s="39" t="s">
        <v>23</v>
      </c>
      <c r="H395" s="39"/>
      <c r="I395" s="39"/>
      <c r="J395" s="39"/>
      <c r="K395" s="39"/>
    </row>
    <row r="396" spans="1:47">
      <c r="A396" s="38" t="str">
        <f t="shared" ref="A396:A403" si="279">$J$4&amp;"-"</f>
        <v>3Y-</v>
      </c>
      <c r="B396" s="38" t="s">
        <v>262</v>
      </c>
      <c r="C396" s="38" t="str">
        <f>C390</f>
        <v xml:space="preserve">Pre-Dewatering </v>
      </c>
      <c r="D396" s="186">
        <f>LaborEsc</f>
        <v>0.02</v>
      </c>
      <c r="E396" s="325"/>
      <c r="G396" s="36" t="s">
        <v>125</v>
      </c>
      <c r="I396" s="39"/>
      <c r="K396" s="39"/>
      <c r="L396" s="43" t="s">
        <v>266</v>
      </c>
      <c r="N396" s="70">
        <f ca="1">SUMIFS(OFFSET(Assumptions!$I$90,0,MATCH($A396,Configurations,0)-1,COUNT(Assumptions!$A$90:$A$183),1),Assumptions!$D$90:$D$183,$B396&amp;$C396)</f>
        <v>0</v>
      </c>
      <c r="O396" s="313"/>
      <c r="P396" s="323"/>
      <c r="Q396" s="313"/>
      <c r="R396" s="50">
        <f t="shared" ref="R396:AU396" ca="1" si="280">IF(OR(R$99&lt;InServiceYr,R$99&gt;(InServiceYr+analysis_period-1)),0,IF($P396=0,$N396,$P396)*LaborCost*(1+$D396)^(R$99-CostBaseYr))</f>
        <v>0</v>
      </c>
      <c r="S396" s="50">
        <f t="shared" ca="1" si="280"/>
        <v>0</v>
      </c>
      <c r="T396" s="50">
        <f t="shared" ca="1" si="280"/>
        <v>0</v>
      </c>
      <c r="U396" s="50">
        <f t="shared" ca="1" si="280"/>
        <v>0</v>
      </c>
      <c r="V396" s="50">
        <f t="shared" ca="1" si="280"/>
        <v>0</v>
      </c>
      <c r="W396" s="50">
        <f t="shared" ca="1" si="280"/>
        <v>0</v>
      </c>
      <c r="X396" s="50">
        <f t="shared" ca="1" si="280"/>
        <v>0</v>
      </c>
      <c r="Y396" s="50">
        <f t="shared" ca="1" si="280"/>
        <v>0</v>
      </c>
      <c r="Z396" s="50">
        <f t="shared" ca="1" si="280"/>
        <v>0</v>
      </c>
      <c r="AA396" s="50">
        <f t="shared" ca="1" si="280"/>
        <v>0</v>
      </c>
      <c r="AB396" s="50">
        <f t="shared" ca="1" si="280"/>
        <v>0</v>
      </c>
      <c r="AC396" s="50">
        <f t="shared" ca="1" si="280"/>
        <v>0</v>
      </c>
      <c r="AD396" s="50">
        <f t="shared" ca="1" si="280"/>
        <v>0</v>
      </c>
      <c r="AE396" s="50">
        <f t="shared" ca="1" si="280"/>
        <v>0</v>
      </c>
      <c r="AF396" s="50">
        <f t="shared" ca="1" si="280"/>
        <v>0</v>
      </c>
      <c r="AG396" s="50">
        <f t="shared" ca="1" si="280"/>
        <v>0</v>
      </c>
      <c r="AH396" s="50">
        <f t="shared" ca="1" si="280"/>
        <v>0</v>
      </c>
      <c r="AI396" s="50">
        <f t="shared" ca="1" si="280"/>
        <v>0</v>
      </c>
      <c r="AJ396" s="50">
        <f t="shared" ca="1" si="280"/>
        <v>0</v>
      </c>
      <c r="AK396" s="50">
        <f t="shared" ca="1" si="280"/>
        <v>0</v>
      </c>
      <c r="AL396" s="50">
        <f t="shared" si="280"/>
        <v>0</v>
      </c>
      <c r="AM396" s="50">
        <f t="shared" si="280"/>
        <v>0</v>
      </c>
      <c r="AN396" s="50">
        <f t="shared" si="280"/>
        <v>0</v>
      </c>
      <c r="AO396" s="50">
        <f t="shared" si="280"/>
        <v>0</v>
      </c>
      <c r="AP396" s="50">
        <f t="shared" si="280"/>
        <v>0</v>
      </c>
      <c r="AQ396" s="50">
        <f t="shared" si="280"/>
        <v>0</v>
      </c>
      <c r="AR396" s="50">
        <f t="shared" si="280"/>
        <v>0</v>
      </c>
      <c r="AS396" s="50">
        <f t="shared" si="280"/>
        <v>0</v>
      </c>
      <c r="AT396" s="50">
        <f t="shared" si="280"/>
        <v>0</v>
      </c>
      <c r="AU396" s="50">
        <f t="shared" si="280"/>
        <v>0</v>
      </c>
    </row>
    <row r="397" spans="1:47">
      <c r="A397" s="38" t="str">
        <f t="shared" si="279"/>
        <v>3Y-</v>
      </c>
      <c r="B397" s="38" t="s">
        <v>270</v>
      </c>
      <c r="C397" s="38" t="str">
        <f>C396</f>
        <v xml:space="preserve">Pre-Dewatering </v>
      </c>
      <c r="D397" s="186">
        <f>OMEsc</f>
        <v>0.02</v>
      </c>
      <c r="E397" s="325"/>
      <c r="G397" s="36" t="s">
        <v>126</v>
      </c>
      <c r="I397" s="39"/>
      <c r="K397" s="39"/>
      <c r="L397" s="43" t="str">
        <f>"["&amp;CostBaseYr&amp;" $]"</f>
        <v>[2013 $]</v>
      </c>
      <c r="N397" s="70">
        <f ca="1">SUMIFS(OFFSET(Assumptions!$I$90,0,MATCH($A397,Configurations,0)-1,COUNT(Assumptions!$A$90:$A$183),1),Assumptions!$D$90:$D$183,$B397&amp;$C397)</f>
        <v>0</v>
      </c>
      <c r="O397" s="313"/>
      <c r="P397" s="323"/>
      <c r="Q397" s="313"/>
      <c r="R397" s="50">
        <f t="shared" ref="R397:AG399" ca="1" si="281">IF(OR(R$99&lt;InServiceYr,R$99&gt;(InServiceYr+analysis_period-1)),0,IF($P397=0,$N397,$P397)*(1+$D397)^(R$99-CostBaseYr))</f>
        <v>0</v>
      </c>
      <c r="S397" s="50">
        <f t="shared" ca="1" si="281"/>
        <v>0</v>
      </c>
      <c r="T397" s="50">
        <f t="shared" ca="1" si="281"/>
        <v>0</v>
      </c>
      <c r="U397" s="50">
        <f t="shared" ca="1" si="281"/>
        <v>0</v>
      </c>
      <c r="V397" s="50">
        <f t="shared" ca="1" si="281"/>
        <v>0</v>
      </c>
      <c r="W397" s="50">
        <f t="shared" ca="1" si="281"/>
        <v>0</v>
      </c>
      <c r="X397" s="50">
        <f t="shared" ca="1" si="281"/>
        <v>0</v>
      </c>
      <c r="Y397" s="50">
        <f t="shared" ca="1" si="281"/>
        <v>0</v>
      </c>
      <c r="Z397" s="50">
        <f t="shared" ca="1" si="281"/>
        <v>0</v>
      </c>
      <c r="AA397" s="50">
        <f t="shared" ca="1" si="281"/>
        <v>0</v>
      </c>
      <c r="AB397" s="50">
        <f t="shared" ca="1" si="281"/>
        <v>0</v>
      </c>
      <c r="AC397" s="50">
        <f t="shared" ca="1" si="281"/>
        <v>0</v>
      </c>
      <c r="AD397" s="50">
        <f t="shared" ca="1" si="281"/>
        <v>0</v>
      </c>
      <c r="AE397" s="50">
        <f t="shared" ca="1" si="281"/>
        <v>0</v>
      </c>
      <c r="AF397" s="50">
        <f t="shared" ca="1" si="281"/>
        <v>0</v>
      </c>
      <c r="AG397" s="50">
        <f t="shared" ca="1" si="281"/>
        <v>0</v>
      </c>
      <c r="AH397" s="50">
        <f t="shared" ref="S397:AU399" ca="1" si="282">IF(OR(AH$99&lt;InServiceYr,AH$99&gt;(InServiceYr+analysis_period-1)),0,IF($P397=0,$N397,$P397)*(1+$D397)^(AH$99-CostBaseYr))</f>
        <v>0</v>
      </c>
      <c r="AI397" s="50">
        <f t="shared" ca="1" si="282"/>
        <v>0</v>
      </c>
      <c r="AJ397" s="50">
        <f t="shared" ca="1" si="282"/>
        <v>0</v>
      </c>
      <c r="AK397" s="50">
        <f t="shared" ca="1" si="282"/>
        <v>0</v>
      </c>
      <c r="AL397" s="50">
        <f t="shared" si="282"/>
        <v>0</v>
      </c>
      <c r="AM397" s="50">
        <f t="shared" si="282"/>
        <v>0</v>
      </c>
      <c r="AN397" s="50">
        <f t="shared" si="282"/>
        <v>0</v>
      </c>
      <c r="AO397" s="50">
        <f t="shared" si="282"/>
        <v>0</v>
      </c>
      <c r="AP397" s="50">
        <f t="shared" si="282"/>
        <v>0</v>
      </c>
      <c r="AQ397" s="50">
        <f t="shared" si="282"/>
        <v>0</v>
      </c>
      <c r="AR397" s="50">
        <f t="shared" si="282"/>
        <v>0</v>
      </c>
      <c r="AS397" s="50">
        <f t="shared" si="282"/>
        <v>0</v>
      </c>
      <c r="AT397" s="50">
        <f t="shared" si="282"/>
        <v>0</v>
      </c>
      <c r="AU397" s="50">
        <f t="shared" si="282"/>
        <v>0</v>
      </c>
    </row>
    <row r="398" spans="1:47">
      <c r="A398" s="38" t="str">
        <f t="shared" si="279"/>
        <v>3Y-</v>
      </c>
      <c r="B398" s="38" t="s">
        <v>263</v>
      </c>
      <c r="C398" s="38" t="str">
        <f t="shared" ref="C398:C402" si="283">C397</f>
        <v xml:space="preserve">Pre-Dewatering </v>
      </c>
      <c r="D398" s="186">
        <f>OMEsc</f>
        <v>0.02</v>
      </c>
      <c r="E398" s="325"/>
      <c r="G398" s="36" t="s">
        <v>127</v>
      </c>
      <c r="I398" s="39"/>
      <c r="K398" s="39"/>
      <c r="L398" s="43" t="str">
        <f>"["&amp;CostBaseYr&amp;" $]"</f>
        <v>[2013 $]</v>
      </c>
      <c r="N398" s="70">
        <f ca="1">SUMIFS(OFFSET(Assumptions!$I$90,0,MATCH($A398,Configurations,0)-1,COUNT(Assumptions!$A$90:$A$183),1),Assumptions!$D$90:$D$183,$B398&amp;$C398)</f>
        <v>0</v>
      </c>
      <c r="O398" s="313"/>
      <c r="P398" s="323"/>
      <c r="Q398" s="313"/>
      <c r="R398" s="50">
        <f t="shared" ca="1" si="281"/>
        <v>0</v>
      </c>
      <c r="S398" s="50">
        <f t="shared" ca="1" si="282"/>
        <v>0</v>
      </c>
      <c r="T398" s="50">
        <f t="shared" ca="1" si="282"/>
        <v>0</v>
      </c>
      <c r="U398" s="50">
        <f t="shared" ca="1" si="282"/>
        <v>0</v>
      </c>
      <c r="V398" s="50">
        <f t="shared" ca="1" si="282"/>
        <v>0</v>
      </c>
      <c r="W398" s="50">
        <f t="shared" ca="1" si="282"/>
        <v>0</v>
      </c>
      <c r="X398" s="50">
        <f t="shared" ca="1" si="282"/>
        <v>0</v>
      </c>
      <c r="Y398" s="50">
        <f t="shared" ca="1" si="282"/>
        <v>0</v>
      </c>
      <c r="Z398" s="50">
        <f t="shared" ca="1" si="282"/>
        <v>0</v>
      </c>
      <c r="AA398" s="50">
        <f t="shared" ca="1" si="282"/>
        <v>0</v>
      </c>
      <c r="AB398" s="50">
        <f t="shared" ca="1" si="282"/>
        <v>0</v>
      </c>
      <c r="AC398" s="50">
        <f t="shared" ca="1" si="282"/>
        <v>0</v>
      </c>
      <c r="AD398" s="50">
        <f t="shared" ca="1" si="282"/>
        <v>0</v>
      </c>
      <c r="AE398" s="50">
        <f t="shared" ca="1" si="282"/>
        <v>0</v>
      </c>
      <c r="AF398" s="50">
        <f t="shared" ca="1" si="282"/>
        <v>0</v>
      </c>
      <c r="AG398" s="50">
        <f t="shared" ca="1" si="282"/>
        <v>0</v>
      </c>
      <c r="AH398" s="50">
        <f t="shared" ca="1" si="282"/>
        <v>0</v>
      </c>
      <c r="AI398" s="50">
        <f t="shared" ca="1" si="282"/>
        <v>0</v>
      </c>
      <c r="AJ398" s="50">
        <f t="shared" ca="1" si="282"/>
        <v>0</v>
      </c>
      <c r="AK398" s="50">
        <f t="shared" ca="1" si="282"/>
        <v>0</v>
      </c>
      <c r="AL398" s="50">
        <f t="shared" si="282"/>
        <v>0</v>
      </c>
      <c r="AM398" s="50">
        <f t="shared" si="282"/>
        <v>0</v>
      </c>
      <c r="AN398" s="50">
        <f t="shared" si="282"/>
        <v>0</v>
      </c>
      <c r="AO398" s="50">
        <f t="shared" si="282"/>
        <v>0</v>
      </c>
      <c r="AP398" s="50">
        <f t="shared" si="282"/>
        <v>0</v>
      </c>
      <c r="AQ398" s="50">
        <f t="shared" si="282"/>
        <v>0</v>
      </c>
      <c r="AR398" s="50">
        <f t="shared" si="282"/>
        <v>0</v>
      </c>
      <c r="AS398" s="50">
        <f t="shared" si="282"/>
        <v>0</v>
      </c>
      <c r="AT398" s="50">
        <f t="shared" si="282"/>
        <v>0</v>
      </c>
      <c r="AU398" s="50">
        <f t="shared" si="282"/>
        <v>0</v>
      </c>
    </row>
    <row r="399" spans="1:47">
      <c r="A399" s="38" t="str">
        <f t="shared" si="279"/>
        <v>3Y-</v>
      </c>
      <c r="B399" s="38" t="s">
        <v>277</v>
      </c>
      <c r="C399" s="38" t="str">
        <f t="shared" si="283"/>
        <v xml:space="preserve">Pre-Dewatering </v>
      </c>
      <c r="D399" s="186">
        <f>OMEsc</f>
        <v>0.02</v>
      </c>
      <c r="E399" s="325"/>
      <c r="G399" s="36" t="s">
        <v>276</v>
      </c>
      <c r="I399" s="39"/>
      <c r="K399" s="39"/>
      <c r="L399" s="43" t="str">
        <f>"["&amp;CostBaseYr&amp;" $]"</f>
        <v>[2013 $]</v>
      </c>
      <c r="N399" s="70">
        <f ca="1">SUMIFS(OFFSET(Assumptions!$I$90,0,MATCH($A399,Configurations,0)-1,COUNT(Assumptions!$A$90:$A$183),1),Assumptions!$D$90:$D$183,$B399&amp;$C399)</f>
        <v>0</v>
      </c>
      <c r="O399" s="313"/>
      <c r="P399" s="323"/>
      <c r="Q399" s="313"/>
      <c r="R399" s="50">
        <f t="shared" ca="1" si="281"/>
        <v>0</v>
      </c>
      <c r="S399" s="50">
        <f t="shared" ca="1" si="282"/>
        <v>0</v>
      </c>
      <c r="T399" s="50">
        <f t="shared" ca="1" si="282"/>
        <v>0</v>
      </c>
      <c r="U399" s="50">
        <f t="shared" ca="1" si="282"/>
        <v>0</v>
      </c>
      <c r="V399" s="50">
        <f t="shared" ca="1" si="282"/>
        <v>0</v>
      </c>
      <c r="W399" s="50">
        <f t="shared" ca="1" si="282"/>
        <v>0</v>
      </c>
      <c r="X399" s="50">
        <f t="shared" ca="1" si="282"/>
        <v>0</v>
      </c>
      <c r="Y399" s="50">
        <f t="shared" ca="1" si="282"/>
        <v>0</v>
      </c>
      <c r="Z399" s="50">
        <f t="shared" ca="1" si="282"/>
        <v>0</v>
      </c>
      <c r="AA399" s="50">
        <f t="shared" ca="1" si="282"/>
        <v>0</v>
      </c>
      <c r="AB399" s="50">
        <f t="shared" ca="1" si="282"/>
        <v>0</v>
      </c>
      <c r="AC399" s="50">
        <f t="shared" ca="1" si="282"/>
        <v>0</v>
      </c>
      <c r="AD399" s="50">
        <f t="shared" ca="1" si="282"/>
        <v>0</v>
      </c>
      <c r="AE399" s="50">
        <f t="shared" ca="1" si="282"/>
        <v>0</v>
      </c>
      <c r="AF399" s="50">
        <f t="shared" ca="1" si="282"/>
        <v>0</v>
      </c>
      <c r="AG399" s="50">
        <f t="shared" ca="1" si="282"/>
        <v>0</v>
      </c>
      <c r="AH399" s="50">
        <f t="shared" ca="1" si="282"/>
        <v>0</v>
      </c>
      <c r="AI399" s="50">
        <f t="shared" ca="1" si="282"/>
        <v>0</v>
      </c>
      <c r="AJ399" s="50">
        <f t="shared" ca="1" si="282"/>
        <v>0</v>
      </c>
      <c r="AK399" s="50">
        <f t="shared" ca="1" si="282"/>
        <v>0</v>
      </c>
      <c r="AL399" s="50">
        <f t="shared" si="282"/>
        <v>0</v>
      </c>
      <c r="AM399" s="50">
        <f t="shared" si="282"/>
        <v>0</v>
      </c>
      <c r="AN399" s="50">
        <f t="shared" si="282"/>
        <v>0</v>
      </c>
      <c r="AO399" s="50">
        <f t="shared" si="282"/>
        <v>0</v>
      </c>
      <c r="AP399" s="50">
        <f t="shared" si="282"/>
        <v>0</v>
      </c>
      <c r="AQ399" s="50">
        <f t="shared" si="282"/>
        <v>0</v>
      </c>
      <c r="AR399" s="50">
        <f t="shared" si="282"/>
        <v>0</v>
      </c>
      <c r="AS399" s="50">
        <f t="shared" si="282"/>
        <v>0</v>
      </c>
      <c r="AT399" s="50">
        <f t="shared" si="282"/>
        <v>0</v>
      </c>
      <c r="AU399" s="50">
        <f t="shared" si="282"/>
        <v>0</v>
      </c>
    </row>
    <row r="400" spans="1:47">
      <c r="A400" s="38" t="str">
        <f t="shared" si="279"/>
        <v>3Y-</v>
      </c>
      <c r="B400" s="38" t="s">
        <v>274</v>
      </c>
      <c r="C400" s="38" t="str">
        <f t="shared" si="283"/>
        <v xml:space="preserve">Pre-Dewatering </v>
      </c>
      <c r="D400" s="186"/>
      <c r="E400" s="325"/>
      <c r="G400" s="36" t="s">
        <v>16</v>
      </c>
      <c r="I400" s="39"/>
      <c r="K400" s="39"/>
      <c r="L400" s="43" t="s">
        <v>275</v>
      </c>
      <c r="N400" s="70">
        <f ca="1">SUMIFS(OFFSET(Assumptions!$I$90,0,MATCH($A400,Configurations,0)-1,COUNT(Assumptions!$A$90:$A$183),1),Assumptions!$D$90:$D$183,$B400&amp;$C400)</f>
        <v>0</v>
      </c>
      <c r="O400" s="313"/>
      <c r="P400" s="323"/>
      <c r="Q400" s="313"/>
      <c r="R400" s="50">
        <f t="shared" ref="R400:AU400" ca="1" si="284">IF(OR(R$99&lt;InServiceYr,R$99&gt;(InServiceYr+analysis_period-1)),0,IF($P400=0,$N400,$P400)*R$505)</f>
        <v>0</v>
      </c>
      <c r="S400" s="50">
        <f t="shared" ca="1" si="284"/>
        <v>0</v>
      </c>
      <c r="T400" s="50">
        <f t="shared" ca="1" si="284"/>
        <v>0</v>
      </c>
      <c r="U400" s="50">
        <f t="shared" ca="1" si="284"/>
        <v>0</v>
      </c>
      <c r="V400" s="50">
        <f t="shared" ca="1" si="284"/>
        <v>0</v>
      </c>
      <c r="W400" s="50">
        <f t="shared" ca="1" si="284"/>
        <v>0</v>
      </c>
      <c r="X400" s="50">
        <f t="shared" ca="1" si="284"/>
        <v>0</v>
      </c>
      <c r="Y400" s="50">
        <f t="shared" ca="1" si="284"/>
        <v>0</v>
      </c>
      <c r="Z400" s="50">
        <f t="shared" ca="1" si="284"/>
        <v>0</v>
      </c>
      <c r="AA400" s="50">
        <f t="shared" ca="1" si="284"/>
        <v>0</v>
      </c>
      <c r="AB400" s="50">
        <f t="shared" ca="1" si="284"/>
        <v>0</v>
      </c>
      <c r="AC400" s="50">
        <f t="shared" ca="1" si="284"/>
        <v>0</v>
      </c>
      <c r="AD400" s="50">
        <f t="shared" ca="1" si="284"/>
        <v>0</v>
      </c>
      <c r="AE400" s="50">
        <f t="shared" ca="1" si="284"/>
        <v>0</v>
      </c>
      <c r="AF400" s="50">
        <f t="shared" ca="1" si="284"/>
        <v>0</v>
      </c>
      <c r="AG400" s="50">
        <f t="shared" ca="1" si="284"/>
        <v>0</v>
      </c>
      <c r="AH400" s="50">
        <f t="shared" ca="1" si="284"/>
        <v>0</v>
      </c>
      <c r="AI400" s="50">
        <f t="shared" ca="1" si="284"/>
        <v>0</v>
      </c>
      <c r="AJ400" s="50">
        <f t="shared" ca="1" si="284"/>
        <v>0</v>
      </c>
      <c r="AK400" s="50">
        <f t="shared" ca="1" si="284"/>
        <v>0</v>
      </c>
      <c r="AL400" s="50">
        <f t="shared" si="284"/>
        <v>0</v>
      </c>
      <c r="AM400" s="50">
        <f t="shared" si="284"/>
        <v>0</v>
      </c>
      <c r="AN400" s="50">
        <f t="shared" si="284"/>
        <v>0</v>
      </c>
      <c r="AO400" s="50">
        <f t="shared" si="284"/>
        <v>0</v>
      </c>
      <c r="AP400" s="50">
        <f t="shared" si="284"/>
        <v>0</v>
      </c>
      <c r="AQ400" s="50">
        <f t="shared" si="284"/>
        <v>0</v>
      </c>
      <c r="AR400" s="50">
        <f t="shared" si="284"/>
        <v>0</v>
      </c>
      <c r="AS400" s="50">
        <f t="shared" si="284"/>
        <v>0</v>
      </c>
      <c r="AT400" s="50">
        <f t="shared" si="284"/>
        <v>0</v>
      </c>
      <c r="AU400" s="50">
        <f t="shared" si="284"/>
        <v>0</v>
      </c>
    </row>
    <row r="401" spans="1:47">
      <c r="A401" s="38" t="str">
        <f t="shared" si="279"/>
        <v>3Y-</v>
      </c>
      <c r="B401" s="38" t="s">
        <v>257</v>
      </c>
      <c r="C401" s="38" t="str">
        <f t="shared" si="283"/>
        <v xml:space="preserve">Pre-Dewatering </v>
      </c>
      <c r="D401" s="186"/>
      <c r="E401" s="325"/>
      <c r="G401" s="36" t="s">
        <v>284</v>
      </c>
      <c r="I401" s="39"/>
      <c r="K401" s="39"/>
      <c r="L401" s="43" t="s">
        <v>293</v>
      </c>
      <c r="N401" s="70">
        <f ca="1">SUMIFS(OFFSET(Assumptions!$I$90,0,MATCH($A401,Configurations,0)-1,COUNT(Assumptions!$A$90:$A$183),1),Assumptions!$D$90:$D$183,$B401&amp;$C401)</f>
        <v>0</v>
      </c>
      <c r="O401" s="313"/>
      <c r="P401" s="323"/>
      <c r="Q401" s="313"/>
      <c r="R401" s="50">
        <f t="shared" ref="R401:AU401" ca="1" si="285">IF(OR(R$99&lt;InServiceYr,R$99&gt;(InServiceYr+analysis_period-1)),0,IF($P401=0,$N401,$P401)*R$501)</f>
        <v>0</v>
      </c>
      <c r="S401" s="50">
        <f t="shared" ca="1" si="285"/>
        <v>0</v>
      </c>
      <c r="T401" s="50">
        <f t="shared" ca="1" si="285"/>
        <v>0</v>
      </c>
      <c r="U401" s="50">
        <f t="shared" ca="1" si="285"/>
        <v>0</v>
      </c>
      <c r="V401" s="50">
        <f t="shared" ca="1" si="285"/>
        <v>0</v>
      </c>
      <c r="W401" s="50">
        <f t="shared" ca="1" si="285"/>
        <v>0</v>
      </c>
      <c r="X401" s="50">
        <f t="shared" ca="1" si="285"/>
        <v>0</v>
      </c>
      <c r="Y401" s="50">
        <f t="shared" ca="1" si="285"/>
        <v>0</v>
      </c>
      <c r="Z401" s="50">
        <f t="shared" ca="1" si="285"/>
        <v>0</v>
      </c>
      <c r="AA401" s="50">
        <f t="shared" ca="1" si="285"/>
        <v>0</v>
      </c>
      <c r="AB401" s="50">
        <f t="shared" ca="1" si="285"/>
        <v>0</v>
      </c>
      <c r="AC401" s="50">
        <f t="shared" ca="1" si="285"/>
        <v>0</v>
      </c>
      <c r="AD401" s="50">
        <f t="shared" ca="1" si="285"/>
        <v>0</v>
      </c>
      <c r="AE401" s="50">
        <f t="shared" ca="1" si="285"/>
        <v>0</v>
      </c>
      <c r="AF401" s="50">
        <f t="shared" ca="1" si="285"/>
        <v>0</v>
      </c>
      <c r="AG401" s="50">
        <f t="shared" ca="1" si="285"/>
        <v>0</v>
      </c>
      <c r="AH401" s="50">
        <f t="shared" ca="1" si="285"/>
        <v>0</v>
      </c>
      <c r="AI401" s="50">
        <f t="shared" ca="1" si="285"/>
        <v>0</v>
      </c>
      <c r="AJ401" s="50">
        <f t="shared" ca="1" si="285"/>
        <v>0</v>
      </c>
      <c r="AK401" s="50">
        <f t="shared" ca="1" si="285"/>
        <v>0</v>
      </c>
      <c r="AL401" s="50">
        <f t="shared" si="285"/>
        <v>0</v>
      </c>
      <c r="AM401" s="50">
        <f t="shared" si="285"/>
        <v>0</v>
      </c>
      <c r="AN401" s="50">
        <f t="shared" si="285"/>
        <v>0</v>
      </c>
      <c r="AO401" s="50">
        <f t="shared" si="285"/>
        <v>0</v>
      </c>
      <c r="AP401" s="50">
        <f t="shared" si="285"/>
        <v>0</v>
      </c>
      <c r="AQ401" s="50">
        <f t="shared" si="285"/>
        <v>0</v>
      </c>
      <c r="AR401" s="50">
        <f t="shared" si="285"/>
        <v>0</v>
      </c>
      <c r="AS401" s="50">
        <f t="shared" si="285"/>
        <v>0</v>
      </c>
      <c r="AT401" s="50">
        <f t="shared" si="285"/>
        <v>0</v>
      </c>
      <c r="AU401" s="50">
        <f t="shared" si="285"/>
        <v>0</v>
      </c>
    </row>
    <row r="402" spans="1:47">
      <c r="A402" s="38" t="str">
        <f t="shared" si="279"/>
        <v>3Y-</v>
      </c>
      <c r="B402" s="38" t="s">
        <v>864</v>
      </c>
      <c r="C402" s="38" t="str">
        <f t="shared" si="283"/>
        <v xml:space="preserve">Pre-Dewatering </v>
      </c>
      <c r="D402" s="186">
        <f>GHGEsc</f>
        <v>0.02</v>
      </c>
      <c r="E402" s="325"/>
      <c r="G402" s="36" t="s">
        <v>865</v>
      </c>
      <c r="I402" s="39"/>
      <c r="K402" s="39"/>
      <c r="L402" s="43" t="s">
        <v>866</v>
      </c>
      <c r="N402" s="70">
        <f ca="1">SUMIFS(OFFSET(Assumptions!$I$90,0,MATCH($A402,Configurations,0)-1,COUNT(Assumptions!$A$90:$A$183),1),Assumptions!$D$90:$D$183,$B402&amp;$C402)</f>
        <v>0</v>
      </c>
      <c r="O402" s="313"/>
      <c r="P402" s="323"/>
      <c r="Q402" s="313"/>
      <c r="R402" s="50">
        <f t="shared" ref="R402:AU402" ca="1" si="286">IF(OR(R$99&lt;InServiceYr,R$99&gt;(InServiceYr+analysis_period-1)),0,IF($P402=0,$N402,$P402)*R$513)</f>
        <v>0</v>
      </c>
      <c r="S402" s="50">
        <f t="shared" ca="1" si="286"/>
        <v>0</v>
      </c>
      <c r="T402" s="50">
        <f t="shared" ca="1" si="286"/>
        <v>0</v>
      </c>
      <c r="U402" s="50">
        <f t="shared" ca="1" si="286"/>
        <v>0</v>
      </c>
      <c r="V402" s="50">
        <f t="shared" ca="1" si="286"/>
        <v>0</v>
      </c>
      <c r="W402" s="50">
        <f t="shared" ca="1" si="286"/>
        <v>0</v>
      </c>
      <c r="X402" s="50">
        <f t="shared" ca="1" si="286"/>
        <v>0</v>
      </c>
      <c r="Y402" s="50">
        <f t="shared" ca="1" si="286"/>
        <v>0</v>
      </c>
      <c r="Z402" s="50">
        <f t="shared" ca="1" si="286"/>
        <v>0</v>
      </c>
      <c r="AA402" s="50">
        <f t="shared" ca="1" si="286"/>
        <v>0</v>
      </c>
      <c r="AB402" s="50">
        <f t="shared" ca="1" si="286"/>
        <v>0</v>
      </c>
      <c r="AC402" s="50">
        <f t="shared" ca="1" si="286"/>
        <v>0</v>
      </c>
      <c r="AD402" s="50">
        <f t="shared" ca="1" si="286"/>
        <v>0</v>
      </c>
      <c r="AE402" s="50">
        <f t="shared" ca="1" si="286"/>
        <v>0</v>
      </c>
      <c r="AF402" s="50">
        <f t="shared" ca="1" si="286"/>
        <v>0</v>
      </c>
      <c r="AG402" s="50">
        <f t="shared" ca="1" si="286"/>
        <v>0</v>
      </c>
      <c r="AH402" s="50">
        <f t="shared" ca="1" si="286"/>
        <v>0</v>
      </c>
      <c r="AI402" s="50">
        <f t="shared" ca="1" si="286"/>
        <v>0</v>
      </c>
      <c r="AJ402" s="50">
        <f t="shared" ca="1" si="286"/>
        <v>0</v>
      </c>
      <c r="AK402" s="50">
        <f t="shared" ca="1" si="286"/>
        <v>0</v>
      </c>
      <c r="AL402" s="50">
        <f t="shared" si="286"/>
        <v>0</v>
      </c>
      <c r="AM402" s="50">
        <f t="shared" si="286"/>
        <v>0</v>
      </c>
      <c r="AN402" s="50">
        <f t="shared" si="286"/>
        <v>0</v>
      </c>
      <c r="AO402" s="50">
        <f t="shared" si="286"/>
        <v>0</v>
      </c>
      <c r="AP402" s="50">
        <f t="shared" si="286"/>
        <v>0</v>
      </c>
      <c r="AQ402" s="50">
        <f t="shared" si="286"/>
        <v>0</v>
      </c>
      <c r="AR402" s="50">
        <f t="shared" si="286"/>
        <v>0</v>
      </c>
      <c r="AS402" s="50">
        <f t="shared" si="286"/>
        <v>0</v>
      </c>
      <c r="AT402" s="50">
        <f t="shared" si="286"/>
        <v>0</v>
      </c>
      <c r="AU402" s="50">
        <f t="shared" si="286"/>
        <v>0</v>
      </c>
    </row>
    <row r="403" spans="1:47">
      <c r="A403" s="38" t="str">
        <f t="shared" si="279"/>
        <v>3Y-</v>
      </c>
      <c r="B403" s="38" t="s">
        <v>273</v>
      </c>
      <c r="C403" s="38" t="str">
        <f>C401</f>
        <v xml:space="preserve">Pre-Dewatering </v>
      </c>
      <c r="D403" s="186">
        <f>LaborEsc</f>
        <v>0.02</v>
      </c>
      <c r="E403" s="325"/>
      <c r="G403" s="36" t="s">
        <v>291</v>
      </c>
      <c r="I403" s="39"/>
      <c r="K403" s="39"/>
      <c r="L403" s="43" t="str">
        <f>"["&amp;CostBaseYr&amp;" $]"</f>
        <v>[2013 $]</v>
      </c>
      <c r="N403" s="70">
        <f ca="1">SUMIFS(OFFSET(Assumptions!$I$90,0,MATCH($A403,Configurations,0)-1,COUNT(Assumptions!$A$90:$A$183),1),Assumptions!$D$90:$D$183,$B403&amp;$C403)</f>
        <v>0</v>
      </c>
      <c r="O403" s="313"/>
      <c r="P403" s="323"/>
      <c r="Q403" s="313"/>
      <c r="R403" s="50">
        <f t="shared" ref="R403:AU403" ca="1" si="287">IF(OR(R$99&lt;InServiceYr,R$99&gt;(InServiceYr+analysis_period-1)),0,IF($P403=0,$N403,$P403)*(1+$D403)^(R$99-CostBaseYr))*R$509</f>
        <v>0</v>
      </c>
      <c r="S403" s="50">
        <f t="shared" ca="1" si="287"/>
        <v>0</v>
      </c>
      <c r="T403" s="50">
        <f t="shared" ca="1" si="287"/>
        <v>0</v>
      </c>
      <c r="U403" s="50">
        <f t="shared" ca="1" si="287"/>
        <v>0</v>
      </c>
      <c r="V403" s="50">
        <f t="shared" ca="1" si="287"/>
        <v>0</v>
      </c>
      <c r="W403" s="50">
        <f t="shared" ca="1" si="287"/>
        <v>0</v>
      </c>
      <c r="X403" s="50">
        <f t="shared" ca="1" si="287"/>
        <v>0</v>
      </c>
      <c r="Y403" s="50">
        <f t="shared" ca="1" si="287"/>
        <v>0</v>
      </c>
      <c r="Z403" s="50">
        <f t="shared" ca="1" si="287"/>
        <v>0</v>
      </c>
      <c r="AA403" s="50">
        <f t="shared" ca="1" si="287"/>
        <v>0</v>
      </c>
      <c r="AB403" s="50">
        <f t="shared" ca="1" si="287"/>
        <v>0</v>
      </c>
      <c r="AC403" s="50">
        <f t="shared" ca="1" si="287"/>
        <v>0</v>
      </c>
      <c r="AD403" s="50">
        <f t="shared" ca="1" si="287"/>
        <v>0</v>
      </c>
      <c r="AE403" s="50">
        <f t="shared" ca="1" si="287"/>
        <v>0</v>
      </c>
      <c r="AF403" s="50">
        <f t="shared" ca="1" si="287"/>
        <v>0</v>
      </c>
      <c r="AG403" s="50">
        <f t="shared" ca="1" si="287"/>
        <v>0</v>
      </c>
      <c r="AH403" s="50">
        <f t="shared" ca="1" si="287"/>
        <v>0</v>
      </c>
      <c r="AI403" s="50">
        <f t="shared" ca="1" si="287"/>
        <v>0</v>
      </c>
      <c r="AJ403" s="50">
        <f t="shared" ca="1" si="287"/>
        <v>0</v>
      </c>
      <c r="AK403" s="50">
        <f t="shared" ca="1" si="287"/>
        <v>0</v>
      </c>
      <c r="AL403" s="50">
        <f t="shared" si="287"/>
        <v>0</v>
      </c>
      <c r="AM403" s="50">
        <f t="shared" si="287"/>
        <v>0</v>
      </c>
      <c r="AN403" s="50">
        <f t="shared" si="287"/>
        <v>0</v>
      </c>
      <c r="AO403" s="50">
        <f t="shared" si="287"/>
        <v>0</v>
      </c>
      <c r="AP403" s="50">
        <f t="shared" si="287"/>
        <v>0</v>
      </c>
      <c r="AQ403" s="50">
        <f t="shared" si="287"/>
        <v>0</v>
      </c>
      <c r="AR403" s="50">
        <f t="shared" si="287"/>
        <v>0</v>
      </c>
      <c r="AS403" s="50">
        <f t="shared" si="287"/>
        <v>0</v>
      </c>
      <c r="AT403" s="50">
        <f t="shared" si="287"/>
        <v>0</v>
      </c>
      <c r="AU403" s="50">
        <f t="shared" si="287"/>
        <v>0</v>
      </c>
    </row>
    <row r="404" spans="1:47">
      <c r="D404" s="186"/>
      <c r="E404" s="325"/>
      <c r="G404" s="39" t="s">
        <v>304</v>
      </c>
      <c r="I404" s="39"/>
      <c r="K404" s="39"/>
      <c r="L404" s="43"/>
      <c r="N404" s="70"/>
      <c r="O404" s="313"/>
      <c r="P404" s="70"/>
      <c r="Q404" s="313"/>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row>
    <row r="405" spans="1:47">
      <c r="A405" s="38" t="str">
        <f>$J$4&amp;"-"</f>
        <v>3Y-</v>
      </c>
      <c r="B405" s="38" t="s">
        <v>265</v>
      </c>
      <c r="C405" s="38" t="str">
        <f>C396</f>
        <v xml:space="preserve">Pre-Dewatering </v>
      </c>
      <c r="D405" s="186"/>
      <c r="E405" s="325"/>
      <c r="G405" s="36" t="s">
        <v>108</v>
      </c>
      <c r="I405" s="39"/>
      <c r="K405" s="39"/>
      <c r="L405" s="43" t="s">
        <v>293</v>
      </c>
      <c r="N405" s="70">
        <f ca="1">SUMIFS(OFFSET(Assumptions!$I$90,0,MATCH($A405,Configurations,0)-1,COUNT(Assumptions!$A$90:$A$183),1),Assumptions!$D$90:$D$183,$B405&amp;$C405)</f>
        <v>0</v>
      </c>
      <c r="O405" s="313"/>
      <c r="P405" s="323"/>
      <c r="Q405" s="313"/>
      <c r="R405" s="50">
        <f t="shared" ref="R405:AU405" ca="1" si="288">IF(OR(R$99&lt;InServiceYr,R$99&gt;(InServiceYr+analysis_period-1)),0,IF($P405=0,$N405,$P405)*R$501)</f>
        <v>0</v>
      </c>
      <c r="S405" s="50">
        <f t="shared" ca="1" si="288"/>
        <v>0</v>
      </c>
      <c r="T405" s="50">
        <f t="shared" ca="1" si="288"/>
        <v>0</v>
      </c>
      <c r="U405" s="50">
        <f t="shared" ca="1" si="288"/>
        <v>0</v>
      </c>
      <c r="V405" s="50">
        <f t="shared" ca="1" si="288"/>
        <v>0</v>
      </c>
      <c r="W405" s="50">
        <f t="shared" ca="1" si="288"/>
        <v>0</v>
      </c>
      <c r="X405" s="50">
        <f t="shared" ca="1" si="288"/>
        <v>0</v>
      </c>
      <c r="Y405" s="50">
        <f t="shared" ca="1" si="288"/>
        <v>0</v>
      </c>
      <c r="Z405" s="50">
        <f t="shared" ca="1" si="288"/>
        <v>0</v>
      </c>
      <c r="AA405" s="50">
        <f t="shared" ca="1" si="288"/>
        <v>0</v>
      </c>
      <c r="AB405" s="50">
        <f t="shared" ca="1" si="288"/>
        <v>0</v>
      </c>
      <c r="AC405" s="50">
        <f t="shared" ca="1" si="288"/>
        <v>0</v>
      </c>
      <c r="AD405" s="50">
        <f t="shared" ca="1" si="288"/>
        <v>0</v>
      </c>
      <c r="AE405" s="50">
        <f t="shared" ca="1" si="288"/>
        <v>0</v>
      </c>
      <c r="AF405" s="50">
        <f t="shared" ca="1" si="288"/>
        <v>0</v>
      </c>
      <c r="AG405" s="50">
        <f t="shared" ca="1" si="288"/>
        <v>0</v>
      </c>
      <c r="AH405" s="50">
        <f t="shared" ca="1" si="288"/>
        <v>0</v>
      </c>
      <c r="AI405" s="50">
        <f t="shared" ca="1" si="288"/>
        <v>0</v>
      </c>
      <c r="AJ405" s="50">
        <f t="shared" ca="1" si="288"/>
        <v>0</v>
      </c>
      <c r="AK405" s="50">
        <f t="shared" ca="1" si="288"/>
        <v>0</v>
      </c>
      <c r="AL405" s="50">
        <f t="shared" si="288"/>
        <v>0</v>
      </c>
      <c r="AM405" s="50">
        <f t="shared" si="288"/>
        <v>0</v>
      </c>
      <c r="AN405" s="50">
        <f t="shared" si="288"/>
        <v>0</v>
      </c>
      <c r="AO405" s="50">
        <f t="shared" si="288"/>
        <v>0</v>
      </c>
      <c r="AP405" s="50">
        <f t="shared" si="288"/>
        <v>0</v>
      </c>
      <c r="AQ405" s="50">
        <f t="shared" si="288"/>
        <v>0</v>
      </c>
      <c r="AR405" s="50">
        <f t="shared" si="288"/>
        <v>0</v>
      </c>
      <c r="AS405" s="50">
        <f t="shared" si="288"/>
        <v>0</v>
      </c>
      <c r="AT405" s="50">
        <f t="shared" si="288"/>
        <v>0</v>
      </c>
      <c r="AU405" s="50">
        <f t="shared" si="288"/>
        <v>0</v>
      </c>
    </row>
    <row r="406" spans="1:47">
      <c r="A406" s="38" t="str">
        <f>$J$4&amp;"-"</f>
        <v>3Y-</v>
      </c>
      <c r="B406" s="38" t="s">
        <v>289</v>
      </c>
      <c r="C406" s="38" t="str">
        <f>C396</f>
        <v xml:space="preserve">Pre-Dewatering </v>
      </c>
      <c r="D406" s="186">
        <f>LaborEsc</f>
        <v>0.02</v>
      </c>
      <c r="E406" s="325"/>
      <c r="G406" s="36" t="s">
        <v>292</v>
      </c>
      <c r="I406" s="39"/>
      <c r="K406" s="39"/>
      <c r="L406" s="43" t="str">
        <f>"["&amp;CostBaseYr&amp;" $]"</f>
        <v>[2013 $]</v>
      </c>
      <c r="N406" s="70">
        <f ca="1">SUMIFS(OFFSET(Assumptions!$I$90,0,MATCH($A406,Configurations,0)-1,COUNT(Assumptions!$A$90:$A$183),1),Assumptions!$D$90:$D$183,$B406&amp;$C406)</f>
        <v>0</v>
      </c>
      <c r="O406" s="313"/>
      <c r="P406" s="323"/>
      <c r="Q406" s="313"/>
      <c r="R406" s="50">
        <f t="shared" ref="R406:AU406" ca="1" si="289">IF(OR(R$99&lt;InServiceYr,R$99&gt;(InServiceYr+analysis_period-1)),0,IF($P406=0,$N406,$P406)*(1+$D406)^(R$99-CostBaseYr))</f>
        <v>0</v>
      </c>
      <c r="S406" s="50">
        <f t="shared" ca="1" si="289"/>
        <v>0</v>
      </c>
      <c r="T406" s="50">
        <f t="shared" ca="1" si="289"/>
        <v>0</v>
      </c>
      <c r="U406" s="50">
        <f t="shared" ca="1" si="289"/>
        <v>0</v>
      </c>
      <c r="V406" s="50">
        <f t="shared" ca="1" si="289"/>
        <v>0</v>
      </c>
      <c r="W406" s="50">
        <f t="shared" ca="1" si="289"/>
        <v>0</v>
      </c>
      <c r="X406" s="50">
        <f t="shared" ca="1" si="289"/>
        <v>0</v>
      </c>
      <c r="Y406" s="50">
        <f t="shared" ca="1" si="289"/>
        <v>0</v>
      </c>
      <c r="Z406" s="50">
        <f t="shared" ca="1" si="289"/>
        <v>0</v>
      </c>
      <c r="AA406" s="50">
        <f t="shared" ca="1" si="289"/>
        <v>0</v>
      </c>
      <c r="AB406" s="50">
        <f t="shared" ca="1" si="289"/>
        <v>0</v>
      </c>
      <c r="AC406" s="50">
        <f t="shared" ca="1" si="289"/>
        <v>0</v>
      </c>
      <c r="AD406" s="50">
        <f t="shared" ca="1" si="289"/>
        <v>0</v>
      </c>
      <c r="AE406" s="50">
        <f t="shared" ca="1" si="289"/>
        <v>0</v>
      </c>
      <c r="AF406" s="50">
        <f t="shared" ca="1" si="289"/>
        <v>0</v>
      </c>
      <c r="AG406" s="50">
        <f t="shared" ca="1" si="289"/>
        <v>0</v>
      </c>
      <c r="AH406" s="50">
        <f t="shared" ca="1" si="289"/>
        <v>0</v>
      </c>
      <c r="AI406" s="50">
        <f t="shared" ca="1" si="289"/>
        <v>0</v>
      </c>
      <c r="AJ406" s="50">
        <f t="shared" ca="1" si="289"/>
        <v>0</v>
      </c>
      <c r="AK406" s="50">
        <f t="shared" ca="1" si="289"/>
        <v>0</v>
      </c>
      <c r="AL406" s="50">
        <f t="shared" si="289"/>
        <v>0</v>
      </c>
      <c r="AM406" s="50">
        <f t="shared" si="289"/>
        <v>0</v>
      </c>
      <c r="AN406" s="50">
        <f t="shared" si="289"/>
        <v>0</v>
      </c>
      <c r="AO406" s="50">
        <f t="shared" si="289"/>
        <v>0</v>
      </c>
      <c r="AP406" s="50">
        <f t="shared" si="289"/>
        <v>0</v>
      </c>
      <c r="AQ406" s="50">
        <f t="shared" si="289"/>
        <v>0</v>
      </c>
      <c r="AR406" s="50">
        <f t="shared" si="289"/>
        <v>0</v>
      </c>
      <c r="AS406" s="50">
        <f t="shared" si="289"/>
        <v>0</v>
      </c>
      <c r="AT406" s="50">
        <f t="shared" si="289"/>
        <v>0</v>
      </c>
      <c r="AU406" s="50">
        <f t="shared" si="289"/>
        <v>0</v>
      </c>
    </row>
    <row r="407" spans="1:47" s="60" customFormat="1">
      <c r="D407" s="187"/>
      <c r="E407" s="325"/>
      <c r="G407" s="39" t="s">
        <v>305</v>
      </c>
      <c r="I407" s="39"/>
      <c r="K407" s="39"/>
      <c r="L407" s="174"/>
      <c r="N407" s="188"/>
      <c r="O407" s="314"/>
      <c r="P407" s="185"/>
      <c r="Q407" s="314"/>
      <c r="R407" s="185">
        <f ca="1">SUM(R396:R403)-SUM(R405:R406)</f>
        <v>0</v>
      </c>
      <c r="S407" s="185">
        <f t="shared" ref="S407:AU407" ca="1" si="290">SUM(S396:S403)-SUM(S405:S406)</f>
        <v>0</v>
      </c>
      <c r="T407" s="185">
        <f t="shared" ca="1" si="290"/>
        <v>0</v>
      </c>
      <c r="U407" s="185">
        <f t="shared" ca="1" si="290"/>
        <v>0</v>
      </c>
      <c r="V407" s="185">
        <f t="shared" ca="1" si="290"/>
        <v>0</v>
      </c>
      <c r="W407" s="185">
        <f t="shared" ca="1" si="290"/>
        <v>0</v>
      </c>
      <c r="X407" s="185">
        <f t="shared" ca="1" si="290"/>
        <v>0</v>
      </c>
      <c r="Y407" s="185">
        <f t="shared" ca="1" si="290"/>
        <v>0</v>
      </c>
      <c r="Z407" s="185">
        <f t="shared" ca="1" si="290"/>
        <v>0</v>
      </c>
      <c r="AA407" s="185">
        <f t="shared" ca="1" si="290"/>
        <v>0</v>
      </c>
      <c r="AB407" s="185">
        <f t="shared" ca="1" si="290"/>
        <v>0</v>
      </c>
      <c r="AC407" s="185">
        <f t="shared" ca="1" si="290"/>
        <v>0</v>
      </c>
      <c r="AD407" s="185">
        <f t="shared" ca="1" si="290"/>
        <v>0</v>
      </c>
      <c r="AE407" s="185">
        <f t="shared" ca="1" si="290"/>
        <v>0</v>
      </c>
      <c r="AF407" s="185">
        <f t="shared" ca="1" si="290"/>
        <v>0</v>
      </c>
      <c r="AG407" s="185">
        <f t="shared" ca="1" si="290"/>
        <v>0</v>
      </c>
      <c r="AH407" s="185">
        <f t="shared" ca="1" si="290"/>
        <v>0</v>
      </c>
      <c r="AI407" s="185">
        <f t="shared" ca="1" si="290"/>
        <v>0</v>
      </c>
      <c r="AJ407" s="185">
        <f t="shared" ca="1" si="290"/>
        <v>0</v>
      </c>
      <c r="AK407" s="185">
        <f t="shared" ca="1" si="290"/>
        <v>0</v>
      </c>
      <c r="AL407" s="185">
        <f t="shared" si="290"/>
        <v>0</v>
      </c>
      <c r="AM407" s="185">
        <f t="shared" si="290"/>
        <v>0</v>
      </c>
      <c r="AN407" s="185">
        <f t="shared" si="290"/>
        <v>0</v>
      </c>
      <c r="AO407" s="185">
        <f t="shared" si="290"/>
        <v>0</v>
      </c>
      <c r="AP407" s="185">
        <f t="shared" si="290"/>
        <v>0</v>
      </c>
      <c r="AQ407" s="185">
        <f t="shared" si="290"/>
        <v>0</v>
      </c>
      <c r="AR407" s="185">
        <f t="shared" si="290"/>
        <v>0</v>
      </c>
      <c r="AS407" s="185">
        <f t="shared" si="290"/>
        <v>0</v>
      </c>
      <c r="AT407" s="185">
        <f t="shared" si="290"/>
        <v>0</v>
      </c>
      <c r="AU407" s="185">
        <f t="shared" si="290"/>
        <v>0</v>
      </c>
    </row>
    <row r="408" spans="1:47">
      <c r="E408" s="36"/>
      <c r="G408" s="39"/>
      <c r="H408" s="39"/>
      <c r="I408" s="39"/>
      <c r="J408" s="39"/>
      <c r="K408" s="39"/>
    </row>
    <row r="409" spans="1:47">
      <c r="E409" s="327"/>
      <c r="F409" s="28"/>
      <c r="G409" s="324" t="str">
        <f>C411&amp;" Capital Costs"</f>
        <v>Pre-Treatment (CAMBI) Capital Costs</v>
      </c>
      <c r="H409" s="324"/>
      <c r="I409" s="324"/>
      <c r="J409" s="324"/>
      <c r="K409" s="324"/>
      <c r="L409" s="405" t="s">
        <v>79</v>
      </c>
      <c r="M409" s="256"/>
      <c r="N409" s="325" t="s">
        <v>490</v>
      </c>
      <c r="O409" s="311"/>
      <c r="P409" s="325" t="s">
        <v>491</v>
      </c>
      <c r="Q409" s="310"/>
      <c r="R409" s="325">
        <f>R$8</f>
        <v>2014</v>
      </c>
      <c r="S409" s="325">
        <f t="shared" ref="S409:AU409" si="291">S$8</f>
        <v>2015</v>
      </c>
      <c r="T409" s="325">
        <f t="shared" si="291"/>
        <v>2016</v>
      </c>
      <c r="U409" s="325">
        <f t="shared" si="291"/>
        <v>2017</v>
      </c>
      <c r="V409" s="325">
        <f t="shared" si="291"/>
        <v>2018</v>
      </c>
      <c r="W409" s="325">
        <f t="shared" si="291"/>
        <v>2019</v>
      </c>
      <c r="X409" s="325">
        <f t="shared" si="291"/>
        <v>2020</v>
      </c>
      <c r="Y409" s="325">
        <f t="shared" si="291"/>
        <v>2021</v>
      </c>
      <c r="Z409" s="325">
        <f t="shared" si="291"/>
        <v>2022</v>
      </c>
      <c r="AA409" s="325">
        <f t="shared" si="291"/>
        <v>2023</v>
      </c>
      <c r="AB409" s="325">
        <f t="shared" si="291"/>
        <v>2024</v>
      </c>
      <c r="AC409" s="325">
        <f t="shared" si="291"/>
        <v>2025</v>
      </c>
      <c r="AD409" s="325">
        <f t="shared" si="291"/>
        <v>2026</v>
      </c>
      <c r="AE409" s="325">
        <f t="shared" si="291"/>
        <v>2027</v>
      </c>
      <c r="AF409" s="325">
        <f t="shared" si="291"/>
        <v>2028</v>
      </c>
      <c r="AG409" s="325">
        <f t="shared" si="291"/>
        <v>2029</v>
      </c>
      <c r="AH409" s="325">
        <f t="shared" si="291"/>
        <v>2030</v>
      </c>
      <c r="AI409" s="325">
        <f t="shared" si="291"/>
        <v>2031</v>
      </c>
      <c r="AJ409" s="325">
        <f t="shared" si="291"/>
        <v>2032</v>
      </c>
      <c r="AK409" s="325">
        <f t="shared" si="291"/>
        <v>2033</v>
      </c>
      <c r="AL409" s="325">
        <f t="shared" si="291"/>
        <v>2034</v>
      </c>
      <c r="AM409" s="325">
        <f t="shared" si="291"/>
        <v>2035</v>
      </c>
      <c r="AN409" s="325">
        <f t="shared" si="291"/>
        <v>2036</v>
      </c>
      <c r="AO409" s="325">
        <f t="shared" si="291"/>
        <v>2037</v>
      </c>
      <c r="AP409" s="325">
        <f t="shared" si="291"/>
        <v>2038</v>
      </c>
      <c r="AQ409" s="325">
        <f t="shared" si="291"/>
        <v>2039</v>
      </c>
      <c r="AR409" s="325">
        <f t="shared" si="291"/>
        <v>2040</v>
      </c>
      <c r="AS409" s="325">
        <f t="shared" si="291"/>
        <v>2041</v>
      </c>
      <c r="AT409" s="325">
        <f t="shared" si="291"/>
        <v>2042</v>
      </c>
      <c r="AU409" s="325">
        <f t="shared" si="291"/>
        <v>2043</v>
      </c>
    </row>
    <row r="410" spans="1:47">
      <c r="E410" s="325"/>
      <c r="G410" s="39"/>
      <c r="H410" s="39"/>
      <c r="I410" s="39"/>
      <c r="J410" s="39"/>
      <c r="K410" s="39"/>
    </row>
    <row r="411" spans="1:47">
      <c r="A411" s="38" t="str">
        <f>$J$4&amp;"-"</f>
        <v>3Y-</v>
      </c>
      <c r="B411" s="38" t="s">
        <v>306</v>
      </c>
      <c r="C411" s="38" t="s">
        <v>138</v>
      </c>
      <c r="D411" s="186">
        <f>CapExEsc</f>
        <v>0.03</v>
      </c>
      <c r="E411" s="325"/>
      <c r="G411" s="36" t="s">
        <v>8</v>
      </c>
      <c r="H411" s="39"/>
      <c r="I411" s="39"/>
      <c r="J411" s="70"/>
      <c r="K411" s="39"/>
      <c r="L411" s="43" t="str">
        <f>"["&amp;CostBaseYr&amp;" $]"</f>
        <v>[2013 $]</v>
      </c>
      <c r="N411" s="52">
        <f ca="1">SUMIFS(OFFSET(Assumptions!$I$65,0,MATCH($A411,Configurations,0)-1,COUNT(Assumptions!$A$65:$A$84),1),Assumptions!$E$65:$E$84,$C411)</f>
        <v>0</v>
      </c>
      <c r="O411" s="52"/>
      <c r="P411" s="322"/>
      <c r="Q411" s="52"/>
      <c r="R411" s="52">
        <f t="shared" ref="R411:AU411" ca="1" si="292">R412*IF($P411=0,$N411,$P411)*(1+$D411)^(R$8-CostBaseYr)</f>
        <v>0</v>
      </c>
      <c r="S411" s="52">
        <f t="shared" ca="1" si="292"/>
        <v>0</v>
      </c>
      <c r="T411" s="52">
        <f t="shared" ca="1" si="292"/>
        <v>0</v>
      </c>
      <c r="U411" s="52">
        <f t="shared" ca="1" si="292"/>
        <v>0</v>
      </c>
      <c r="V411" s="52">
        <f t="shared" ca="1" si="292"/>
        <v>0</v>
      </c>
      <c r="W411" s="52">
        <f t="shared" ca="1" si="292"/>
        <v>0</v>
      </c>
      <c r="X411" s="52">
        <f t="shared" ca="1" si="292"/>
        <v>0</v>
      </c>
      <c r="Y411" s="52">
        <f t="shared" ca="1" si="292"/>
        <v>0</v>
      </c>
      <c r="Z411" s="52">
        <f t="shared" ca="1" si="292"/>
        <v>0</v>
      </c>
      <c r="AA411" s="52">
        <f t="shared" ca="1" si="292"/>
        <v>0</v>
      </c>
      <c r="AB411" s="52">
        <f t="shared" ca="1" si="292"/>
        <v>0</v>
      </c>
      <c r="AC411" s="52">
        <f t="shared" ca="1" si="292"/>
        <v>0</v>
      </c>
      <c r="AD411" s="52">
        <f t="shared" ca="1" si="292"/>
        <v>0</v>
      </c>
      <c r="AE411" s="52">
        <f t="shared" ca="1" si="292"/>
        <v>0</v>
      </c>
      <c r="AF411" s="52">
        <f t="shared" ca="1" si="292"/>
        <v>0</v>
      </c>
      <c r="AG411" s="52">
        <f t="shared" ca="1" si="292"/>
        <v>0</v>
      </c>
      <c r="AH411" s="52">
        <f t="shared" ca="1" si="292"/>
        <v>0</v>
      </c>
      <c r="AI411" s="52">
        <f t="shared" ca="1" si="292"/>
        <v>0</v>
      </c>
      <c r="AJ411" s="52">
        <f t="shared" ca="1" si="292"/>
        <v>0</v>
      </c>
      <c r="AK411" s="52">
        <f t="shared" ca="1" si="292"/>
        <v>0</v>
      </c>
      <c r="AL411" s="52">
        <f t="shared" ca="1" si="292"/>
        <v>0</v>
      </c>
      <c r="AM411" s="52">
        <f t="shared" ca="1" si="292"/>
        <v>0</v>
      </c>
      <c r="AN411" s="52">
        <f t="shared" ca="1" si="292"/>
        <v>0</v>
      </c>
      <c r="AO411" s="52">
        <f t="shared" ca="1" si="292"/>
        <v>0</v>
      </c>
      <c r="AP411" s="52">
        <f t="shared" ca="1" si="292"/>
        <v>0</v>
      </c>
      <c r="AQ411" s="52">
        <f t="shared" ca="1" si="292"/>
        <v>0</v>
      </c>
      <c r="AR411" s="52">
        <f t="shared" ca="1" si="292"/>
        <v>0</v>
      </c>
      <c r="AS411" s="52">
        <f t="shared" ca="1" si="292"/>
        <v>0</v>
      </c>
      <c r="AT411" s="52">
        <f t="shared" ca="1" si="292"/>
        <v>0</v>
      </c>
      <c r="AU411" s="52">
        <f t="shared" ca="1" si="292"/>
        <v>0</v>
      </c>
    </row>
    <row r="412" spans="1:47">
      <c r="E412" s="325"/>
      <c r="G412" s="36" t="s">
        <v>10</v>
      </c>
      <c r="H412" s="39"/>
      <c r="I412" s="39"/>
      <c r="J412" s="39"/>
      <c r="K412" s="39"/>
      <c r="L412" s="43"/>
      <c r="R412" s="54">
        <f>Assumptions!M$60</f>
        <v>1</v>
      </c>
      <c r="S412" s="54">
        <f>Assumptions!N$60</f>
        <v>0</v>
      </c>
      <c r="T412" s="54">
        <f>Assumptions!O$60</f>
        <v>0</v>
      </c>
      <c r="U412" s="54">
        <f>Assumptions!P$60</f>
        <v>0</v>
      </c>
      <c r="V412" s="54">
        <f>Assumptions!Q$60</f>
        <v>0</v>
      </c>
      <c r="W412" s="54">
        <f>Assumptions!R$60</f>
        <v>0</v>
      </c>
      <c r="X412" s="54">
        <f>Assumptions!S$60</f>
        <v>0</v>
      </c>
      <c r="Y412" s="54">
        <f>Assumptions!T$60</f>
        <v>0</v>
      </c>
      <c r="Z412" s="54">
        <f>Assumptions!U$60</f>
        <v>0</v>
      </c>
      <c r="AA412" s="54">
        <f>Assumptions!V$60</f>
        <v>0</v>
      </c>
      <c r="AB412" s="54">
        <f>Assumptions!W$60</f>
        <v>0</v>
      </c>
      <c r="AC412" s="54">
        <f>Assumptions!X$60</f>
        <v>0</v>
      </c>
      <c r="AD412" s="54">
        <f>Assumptions!Y$60</f>
        <v>0</v>
      </c>
      <c r="AE412" s="54">
        <f>Assumptions!Z$60</f>
        <v>0</v>
      </c>
      <c r="AF412" s="54">
        <f>Assumptions!AA$60</f>
        <v>0</v>
      </c>
      <c r="AG412" s="54">
        <f>Assumptions!AB$60</f>
        <v>0</v>
      </c>
      <c r="AH412" s="54">
        <f>Assumptions!AC$60</f>
        <v>0</v>
      </c>
      <c r="AI412" s="54">
        <f>Assumptions!AD$60</f>
        <v>0</v>
      </c>
      <c r="AJ412" s="54">
        <f>Assumptions!AE$60</f>
        <v>0</v>
      </c>
      <c r="AK412" s="54">
        <f>Assumptions!AF$60</f>
        <v>0</v>
      </c>
      <c r="AL412" s="54">
        <f>Assumptions!AG$60</f>
        <v>0</v>
      </c>
      <c r="AM412" s="54">
        <f>Assumptions!AH$60</f>
        <v>0</v>
      </c>
      <c r="AN412" s="54">
        <f>Assumptions!AI$60</f>
        <v>0</v>
      </c>
      <c r="AO412" s="54">
        <f>Assumptions!AJ$60</f>
        <v>0</v>
      </c>
      <c r="AP412" s="54">
        <f>Assumptions!AK$60</f>
        <v>0</v>
      </c>
      <c r="AQ412" s="54">
        <f>Assumptions!AL$60</f>
        <v>0</v>
      </c>
      <c r="AR412" s="54">
        <f>Assumptions!AM$60</f>
        <v>0</v>
      </c>
      <c r="AS412" s="54">
        <f>Assumptions!AN$60</f>
        <v>0</v>
      </c>
      <c r="AT412" s="54">
        <f>Assumptions!AO$60</f>
        <v>0</v>
      </c>
      <c r="AU412" s="54">
        <f>Assumptions!AP$60</f>
        <v>0</v>
      </c>
    </row>
    <row r="413" spans="1:47">
      <c r="E413" s="326"/>
      <c r="G413" s="39"/>
      <c r="H413" s="39"/>
      <c r="I413" s="39"/>
      <c r="J413" s="39"/>
      <c r="K413" s="39"/>
    </row>
    <row r="414" spans="1:47">
      <c r="E414" s="327"/>
      <c r="F414" s="28"/>
      <c r="G414" s="324" t="str">
        <f>C411&amp;" O&amp;M"</f>
        <v>Pre-Treatment (CAMBI) O&amp;M</v>
      </c>
      <c r="H414" s="324"/>
      <c r="I414" s="324"/>
      <c r="J414" s="324"/>
      <c r="K414" s="324"/>
      <c r="L414" s="405" t="s">
        <v>79</v>
      </c>
      <c r="M414" s="256"/>
      <c r="N414" s="325" t="s">
        <v>490</v>
      </c>
      <c r="O414" s="311"/>
      <c r="P414" s="325" t="s">
        <v>491</v>
      </c>
      <c r="Q414" s="310"/>
      <c r="R414" s="325">
        <f>R$8</f>
        <v>2014</v>
      </c>
      <c r="S414" s="325">
        <f t="shared" ref="S414:AU414" si="293">S$8</f>
        <v>2015</v>
      </c>
      <c r="T414" s="325">
        <f t="shared" si="293"/>
        <v>2016</v>
      </c>
      <c r="U414" s="325">
        <f t="shared" si="293"/>
        <v>2017</v>
      </c>
      <c r="V414" s="325">
        <f t="shared" si="293"/>
        <v>2018</v>
      </c>
      <c r="W414" s="325">
        <f t="shared" si="293"/>
        <v>2019</v>
      </c>
      <c r="X414" s="325">
        <f t="shared" si="293"/>
        <v>2020</v>
      </c>
      <c r="Y414" s="325">
        <f t="shared" si="293"/>
        <v>2021</v>
      </c>
      <c r="Z414" s="325">
        <f t="shared" si="293"/>
        <v>2022</v>
      </c>
      <c r="AA414" s="325">
        <f t="shared" si="293"/>
        <v>2023</v>
      </c>
      <c r="AB414" s="325">
        <f t="shared" si="293"/>
        <v>2024</v>
      </c>
      <c r="AC414" s="325">
        <f t="shared" si="293"/>
        <v>2025</v>
      </c>
      <c r="AD414" s="325">
        <f t="shared" si="293"/>
        <v>2026</v>
      </c>
      <c r="AE414" s="325">
        <f t="shared" si="293"/>
        <v>2027</v>
      </c>
      <c r="AF414" s="325">
        <f t="shared" si="293"/>
        <v>2028</v>
      </c>
      <c r="AG414" s="325">
        <f t="shared" si="293"/>
        <v>2029</v>
      </c>
      <c r="AH414" s="325">
        <f t="shared" si="293"/>
        <v>2030</v>
      </c>
      <c r="AI414" s="325">
        <f t="shared" si="293"/>
        <v>2031</v>
      </c>
      <c r="AJ414" s="325">
        <f t="shared" si="293"/>
        <v>2032</v>
      </c>
      <c r="AK414" s="325">
        <f t="shared" si="293"/>
        <v>2033</v>
      </c>
      <c r="AL414" s="325">
        <f t="shared" si="293"/>
        <v>2034</v>
      </c>
      <c r="AM414" s="325">
        <f t="shared" si="293"/>
        <v>2035</v>
      </c>
      <c r="AN414" s="325">
        <f t="shared" si="293"/>
        <v>2036</v>
      </c>
      <c r="AO414" s="325">
        <f t="shared" si="293"/>
        <v>2037</v>
      </c>
      <c r="AP414" s="325">
        <f t="shared" si="293"/>
        <v>2038</v>
      </c>
      <c r="AQ414" s="325">
        <f t="shared" si="293"/>
        <v>2039</v>
      </c>
      <c r="AR414" s="325">
        <f t="shared" si="293"/>
        <v>2040</v>
      </c>
      <c r="AS414" s="325">
        <f t="shared" si="293"/>
        <v>2041</v>
      </c>
      <c r="AT414" s="325">
        <f t="shared" si="293"/>
        <v>2042</v>
      </c>
      <c r="AU414" s="325">
        <f t="shared" si="293"/>
        <v>2043</v>
      </c>
    </row>
    <row r="415" spans="1:47">
      <c r="E415" s="325"/>
      <c r="G415" s="39"/>
      <c r="H415" s="39"/>
      <c r="I415" s="39"/>
      <c r="J415" s="39"/>
      <c r="K415" s="39"/>
    </row>
    <row r="416" spans="1:47">
      <c r="E416" s="325"/>
      <c r="G416" s="39" t="s">
        <v>23</v>
      </c>
      <c r="H416" s="39"/>
      <c r="I416" s="39"/>
      <c r="J416" s="39"/>
      <c r="K416" s="39"/>
    </row>
    <row r="417" spans="1:47">
      <c r="A417" s="38" t="str">
        <f t="shared" ref="A417:A424" si="294">$J$4&amp;"-"</f>
        <v>3Y-</v>
      </c>
      <c r="B417" s="38" t="s">
        <v>262</v>
      </c>
      <c r="C417" s="38" t="str">
        <f>C411</f>
        <v>Pre-Treatment (CAMBI)</v>
      </c>
      <c r="D417" s="186">
        <f>LaborEsc</f>
        <v>0.02</v>
      </c>
      <c r="E417" s="325"/>
      <c r="G417" s="36" t="s">
        <v>125</v>
      </c>
      <c r="I417" s="39"/>
      <c r="K417" s="39"/>
      <c r="L417" s="43" t="s">
        <v>266</v>
      </c>
      <c r="N417" s="70">
        <f ca="1">SUMIFS(OFFSET(Assumptions!$I$90,0,MATCH($A417,Configurations,0)-1,COUNT(Assumptions!$A$90:$A$183),1),Assumptions!$D$90:$D$183,$B417&amp;$C417)</f>
        <v>0</v>
      </c>
      <c r="O417" s="313"/>
      <c r="P417" s="323"/>
      <c r="Q417" s="313"/>
      <c r="R417" s="50">
        <f t="shared" ref="R417:AU417" ca="1" si="295">IF(OR(R$99&lt;InServiceYr,R$99&gt;(InServiceYr+analysis_period-1)),0,IF($P417=0,$N417,$P417)*LaborCost*(1+$D417)^(R$99-CostBaseYr))</f>
        <v>0</v>
      </c>
      <c r="S417" s="50">
        <f t="shared" ca="1" si="295"/>
        <v>0</v>
      </c>
      <c r="T417" s="50">
        <f t="shared" ca="1" si="295"/>
        <v>0</v>
      </c>
      <c r="U417" s="50">
        <f t="shared" ca="1" si="295"/>
        <v>0</v>
      </c>
      <c r="V417" s="50">
        <f t="shared" ca="1" si="295"/>
        <v>0</v>
      </c>
      <c r="W417" s="50">
        <f t="shared" ca="1" si="295"/>
        <v>0</v>
      </c>
      <c r="X417" s="50">
        <f t="shared" ca="1" si="295"/>
        <v>0</v>
      </c>
      <c r="Y417" s="50">
        <f t="shared" ca="1" si="295"/>
        <v>0</v>
      </c>
      <c r="Z417" s="50">
        <f t="shared" ca="1" si="295"/>
        <v>0</v>
      </c>
      <c r="AA417" s="50">
        <f t="shared" ca="1" si="295"/>
        <v>0</v>
      </c>
      <c r="AB417" s="50">
        <f t="shared" ca="1" si="295"/>
        <v>0</v>
      </c>
      <c r="AC417" s="50">
        <f t="shared" ca="1" si="295"/>
        <v>0</v>
      </c>
      <c r="AD417" s="50">
        <f t="shared" ca="1" si="295"/>
        <v>0</v>
      </c>
      <c r="AE417" s="50">
        <f t="shared" ca="1" si="295"/>
        <v>0</v>
      </c>
      <c r="AF417" s="50">
        <f t="shared" ca="1" si="295"/>
        <v>0</v>
      </c>
      <c r="AG417" s="50">
        <f t="shared" ca="1" si="295"/>
        <v>0</v>
      </c>
      <c r="AH417" s="50">
        <f t="shared" ca="1" si="295"/>
        <v>0</v>
      </c>
      <c r="AI417" s="50">
        <f t="shared" ca="1" si="295"/>
        <v>0</v>
      </c>
      <c r="AJ417" s="50">
        <f t="shared" ca="1" si="295"/>
        <v>0</v>
      </c>
      <c r="AK417" s="50">
        <f t="shared" ca="1" si="295"/>
        <v>0</v>
      </c>
      <c r="AL417" s="50">
        <f t="shared" si="295"/>
        <v>0</v>
      </c>
      <c r="AM417" s="50">
        <f t="shared" si="295"/>
        <v>0</v>
      </c>
      <c r="AN417" s="50">
        <f t="shared" si="295"/>
        <v>0</v>
      </c>
      <c r="AO417" s="50">
        <f t="shared" si="295"/>
        <v>0</v>
      </c>
      <c r="AP417" s="50">
        <f t="shared" si="295"/>
        <v>0</v>
      </c>
      <c r="AQ417" s="50">
        <f t="shared" si="295"/>
        <v>0</v>
      </c>
      <c r="AR417" s="50">
        <f t="shared" si="295"/>
        <v>0</v>
      </c>
      <c r="AS417" s="50">
        <f t="shared" si="295"/>
        <v>0</v>
      </c>
      <c r="AT417" s="50">
        <f t="shared" si="295"/>
        <v>0</v>
      </c>
      <c r="AU417" s="50">
        <f t="shared" si="295"/>
        <v>0</v>
      </c>
    </row>
    <row r="418" spans="1:47">
      <c r="A418" s="38" t="str">
        <f t="shared" si="294"/>
        <v>3Y-</v>
      </c>
      <c r="B418" s="38" t="s">
        <v>270</v>
      </c>
      <c r="C418" s="38" t="str">
        <f>C417</f>
        <v>Pre-Treatment (CAMBI)</v>
      </c>
      <c r="D418" s="186">
        <f>OMEsc</f>
        <v>0.02</v>
      </c>
      <c r="E418" s="325"/>
      <c r="G418" s="36" t="s">
        <v>126</v>
      </c>
      <c r="I418" s="39"/>
      <c r="K418" s="39"/>
      <c r="L418" s="43" t="str">
        <f>"["&amp;CostBaseYr&amp;" $]"</f>
        <v>[2013 $]</v>
      </c>
      <c r="N418" s="70">
        <f ca="1">SUMIFS(OFFSET(Assumptions!$I$90,0,MATCH($A418,Configurations,0)-1,COUNT(Assumptions!$A$90:$A$183),1),Assumptions!$D$90:$D$183,$B418&amp;$C418)</f>
        <v>0</v>
      </c>
      <c r="O418" s="313"/>
      <c r="P418" s="323"/>
      <c r="Q418" s="313"/>
      <c r="R418" s="50">
        <f t="shared" ref="R418:AG420" ca="1" si="296">IF(OR(R$99&lt;InServiceYr,R$99&gt;(InServiceYr+analysis_period-1)),0,IF($P418=0,$N418,$P418)*(1+$D418)^(R$99-CostBaseYr))</f>
        <v>0</v>
      </c>
      <c r="S418" s="50">
        <f t="shared" ca="1" si="296"/>
        <v>0</v>
      </c>
      <c r="T418" s="50">
        <f t="shared" ca="1" si="296"/>
        <v>0</v>
      </c>
      <c r="U418" s="50">
        <f t="shared" ca="1" si="296"/>
        <v>0</v>
      </c>
      <c r="V418" s="50">
        <f t="shared" ca="1" si="296"/>
        <v>0</v>
      </c>
      <c r="W418" s="50">
        <f t="shared" ca="1" si="296"/>
        <v>0</v>
      </c>
      <c r="X418" s="50">
        <f t="shared" ca="1" si="296"/>
        <v>0</v>
      </c>
      <c r="Y418" s="50">
        <f t="shared" ca="1" si="296"/>
        <v>0</v>
      </c>
      <c r="Z418" s="50">
        <f t="shared" ca="1" si="296"/>
        <v>0</v>
      </c>
      <c r="AA418" s="50">
        <f t="shared" ca="1" si="296"/>
        <v>0</v>
      </c>
      <c r="AB418" s="50">
        <f t="shared" ca="1" si="296"/>
        <v>0</v>
      </c>
      <c r="AC418" s="50">
        <f t="shared" ca="1" si="296"/>
        <v>0</v>
      </c>
      <c r="AD418" s="50">
        <f t="shared" ca="1" si="296"/>
        <v>0</v>
      </c>
      <c r="AE418" s="50">
        <f t="shared" ca="1" si="296"/>
        <v>0</v>
      </c>
      <c r="AF418" s="50">
        <f t="shared" ca="1" si="296"/>
        <v>0</v>
      </c>
      <c r="AG418" s="50">
        <f t="shared" ca="1" si="296"/>
        <v>0</v>
      </c>
      <c r="AH418" s="50">
        <f t="shared" ref="S418:AU420" ca="1" si="297">IF(OR(AH$99&lt;InServiceYr,AH$99&gt;(InServiceYr+analysis_period-1)),0,IF($P418=0,$N418,$P418)*(1+$D418)^(AH$99-CostBaseYr))</f>
        <v>0</v>
      </c>
      <c r="AI418" s="50">
        <f t="shared" ca="1" si="297"/>
        <v>0</v>
      </c>
      <c r="AJ418" s="50">
        <f t="shared" ca="1" si="297"/>
        <v>0</v>
      </c>
      <c r="AK418" s="50">
        <f t="shared" ca="1" si="297"/>
        <v>0</v>
      </c>
      <c r="AL418" s="50">
        <f t="shared" si="297"/>
        <v>0</v>
      </c>
      <c r="AM418" s="50">
        <f t="shared" si="297"/>
        <v>0</v>
      </c>
      <c r="AN418" s="50">
        <f t="shared" si="297"/>
        <v>0</v>
      </c>
      <c r="AO418" s="50">
        <f t="shared" si="297"/>
        <v>0</v>
      </c>
      <c r="AP418" s="50">
        <f t="shared" si="297"/>
        <v>0</v>
      </c>
      <c r="AQ418" s="50">
        <f t="shared" si="297"/>
        <v>0</v>
      </c>
      <c r="AR418" s="50">
        <f t="shared" si="297"/>
        <v>0</v>
      </c>
      <c r="AS418" s="50">
        <f t="shared" si="297"/>
        <v>0</v>
      </c>
      <c r="AT418" s="50">
        <f t="shared" si="297"/>
        <v>0</v>
      </c>
      <c r="AU418" s="50">
        <f t="shared" si="297"/>
        <v>0</v>
      </c>
    </row>
    <row r="419" spans="1:47">
      <c r="A419" s="38" t="str">
        <f t="shared" si="294"/>
        <v>3Y-</v>
      </c>
      <c r="B419" s="38" t="s">
        <v>263</v>
      </c>
      <c r="C419" s="38" t="str">
        <f t="shared" ref="C419:C423" si="298">C418</f>
        <v>Pre-Treatment (CAMBI)</v>
      </c>
      <c r="D419" s="186">
        <f>OMEsc</f>
        <v>0.02</v>
      </c>
      <c r="E419" s="325"/>
      <c r="G419" s="36" t="s">
        <v>127</v>
      </c>
      <c r="I419" s="39"/>
      <c r="K419" s="39"/>
      <c r="L419" s="43" t="str">
        <f>"["&amp;CostBaseYr&amp;" $]"</f>
        <v>[2013 $]</v>
      </c>
      <c r="N419" s="70">
        <f ca="1">SUMIFS(OFFSET(Assumptions!$I$90,0,MATCH($A419,Configurations,0)-1,COUNT(Assumptions!$A$90:$A$183),1),Assumptions!$D$90:$D$183,$B419&amp;$C419)</f>
        <v>0</v>
      </c>
      <c r="O419" s="313"/>
      <c r="P419" s="323"/>
      <c r="Q419" s="313"/>
      <c r="R419" s="50">
        <f t="shared" ca="1" si="296"/>
        <v>0</v>
      </c>
      <c r="S419" s="50">
        <f t="shared" ca="1" si="297"/>
        <v>0</v>
      </c>
      <c r="T419" s="50">
        <f t="shared" ca="1" si="297"/>
        <v>0</v>
      </c>
      <c r="U419" s="50">
        <f t="shared" ca="1" si="297"/>
        <v>0</v>
      </c>
      <c r="V419" s="50">
        <f t="shared" ca="1" si="297"/>
        <v>0</v>
      </c>
      <c r="W419" s="50">
        <f t="shared" ca="1" si="297"/>
        <v>0</v>
      </c>
      <c r="X419" s="50">
        <f t="shared" ca="1" si="297"/>
        <v>0</v>
      </c>
      <c r="Y419" s="50">
        <f t="shared" ca="1" si="297"/>
        <v>0</v>
      </c>
      <c r="Z419" s="50">
        <f t="shared" ca="1" si="297"/>
        <v>0</v>
      </c>
      <c r="AA419" s="50">
        <f t="shared" ca="1" si="297"/>
        <v>0</v>
      </c>
      <c r="AB419" s="50">
        <f t="shared" ca="1" si="297"/>
        <v>0</v>
      </c>
      <c r="AC419" s="50">
        <f t="shared" ca="1" si="297"/>
        <v>0</v>
      </c>
      <c r="AD419" s="50">
        <f t="shared" ca="1" si="297"/>
        <v>0</v>
      </c>
      <c r="AE419" s="50">
        <f t="shared" ca="1" si="297"/>
        <v>0</v>
      </c>
      <c r="AF419" s="50">
        <f t="shared" ca="1" si="297"/>
        <v>0</v>
      </c>
      <c r="AG419" s="50">
        <f t="shared" ca="1" si="297"/>
        <v>0</v>
      </c>
      <c r="AH419" s="50">
        <f t="shared" ca="1" si="297"/>
        <v>0</v>
      </c>
      <c r="AI419" s="50">
        <f t="shared" ca="1" si="297"/>
        <v>0</v>
      </c>
      <c r="AJ419" s="50">
        <f t="shared" ca="1" si="297"/>
        <v>0</v>
      </c>
      <c r="AK419" s="50">
        <f t="shared" ca="1" si="297"/>
        <v>0</v>
      </c>
      <c r="AL419" s="50">
        <f t="shared" si="297"/>
        <v>0</v>
      </c>
      <c r="AM419" s="50">
        <f t="shared" si="297"/>
        <v>0</v>
      </c>
      <c r="AN419" s="50">
        <f t="shared" si="297"/>
        <v>0</v>
      </c>
      <c r="AO419" s="50">
        <f t="shared" si="297"/>
        <v>0</v>
      </c>
      <c r="AP419" s="50">
        <f t="shared" si="297"/>
        <v>0</v>
      </c>
      <c r="AQ419" s="50">
        <f t="shared" si="297"/>
        <v>0</v>
      </c>
      <c r="AR419" s="50">
        <f t="shared" si="297"/>
        <v>0</v>
      </c>
      <c r="AS419" s="50">
        <f t="shared" si="297"/>
        <v>0</v>
      </c>
      <c r="AT419" s="50">
        <f t="shared" si="297"/>
        <v>0</v>
      </c>
      <c r="AU419" s="50">
        <f t="shared" si="297"/>
        <v>0</v>
      </c>
    </row>
    <row r="420" spans="1:47">
      <c r="A420" s="38" t="str">
        <f t="shared" si="294"/>
        <v>3Y-</v>
      </c>
      <c r="B420" s="38" t="s">
        <v>277</v>
      </c>
      <c r="C420" s="38" t="str">
        <f t="shared" si="298"/>
        <v>Pre-Treatment (CAMBI)</v>
      </c>
      <c r="D420" s="186">
        <f>OMEsc</f>
        <v>0.02</v>
      </c>
      <c r="E420" s="325"/>
      <c r="G420" s="36" t="s">
        <v>276</v>
      </c>
      <c r="I420" s="39"/>
      <c r="K420" s="39"/>
      <c r="L420" s="43" t="str">
        <f>"["&amp;CostBaseYr&amp;" $]"</f>
        <v>[2013 $]</v>
      </c>
      <c r="N420" s="70">
        <f ca="1">SUMIFS(OFFSET(Assumptions!$I$90,0,MATCH($A420,Configurations,0)-1,COUNT(Assumptions!$A$90:$A$183),1),Assumptions!$D$90:$D$183,$B420&amp;$C420)</f>
        <v>0</v>
      </c>
      <c r="O420" s="313"/>
      <c r="P420" s="323"/>
      <c r="Q420" s="313"/>
      <c r="R420" s="50">
        <f t="shared" ca="1" si="296"/>
        <v>0</v>
      </c>
      <c r="S420" s="50">
        <f t="shared" ca="1" si="297"/>
        <v>0</v>
      </c>
      <c r="T420" s="50">
        <f t="shared" ca="1" si="297"/>
        <v>0</v>
      </c>
      <c r="U420" s="50">
        <f t="shared" ca="1" si="297"/>
        <v>0</v>
      </c>
      <c r="V420" s="50">
        <f t="shared" ca="1" si="297"/>
        <v>0</v>
      </c>
      <c r="W420" s="50">
        <f t="shared" ca="1" si="297"/>
        <v>0</v>
      </c>
      <c r="X420" s="50">
        <f t="shared" ca="1" si="297"/>
        <v>0</v>
      </c>
      <c r="Y420" s="50">
        <f t="shared" ca="1" si="297"/>
        <v>0</v>
      </c>
      <c r="Z420" s="50">
        <f t="shared" ca="1" si="297"/>
        <v>0</v>
      </c>
      <c r="AA420" s="50">
        <f t="shared" ca="1" si="297"/>
        <v>0</v>
      </c>
      <c r="AB420" s="50">
        <f t="shared" ca="1" si="297"/>
        <v>0</v>
      </c>
      <c r="AC420" s="50">
        <f t="shared" ca="1" si="297"/>
        <v>0</v>
      </c>
      <c r="AD420" s="50">
        <f t="shared" ca="1" si="297"/>
        <v>0</v>
      </c>
      <c r="AE420" s="50">
        <f t="shared" ca="1" si="297"/>
        <v>0</v>
      </c>
      <c r="AF420" s="50">
        <f t="shared" ca="1" si="297"/>
        <v>0</v>
      </c>
      <c r="AG420" s="50">
        <f t="shared" ca="1" si="297"/>
        <v>0</v>
      </c>
      <c r="AH420" s="50">
        <f t="shared" ca="1" si="297"/>
        <v>0</v>
      </c>
      <c r="AI420" s="50">
        <f t="shared" ca="1" si="297"/>
        <v>0</v>
      </c>
      <c r="AJ420" s="50">
        <f t="shared" ca="1" si="297"/>
        <v>0</v>
      </c>
      <c r="AK420" s="50">
        <f t="shared" ca="1" si="297"/>
        <v>0</v>
      </c>
      <c r="AL420" s="50">
        <f t="shared" si="297"/>
        <v>0</v>
      </c>
      <c r="AM420" s="50">
        <f t="shared" si="297"/>
        <v>0</v>
      </c>
      <c r="AN420" s="50">
        <f t="shared" si="297"/>
        <v>0</v>
      </c>
      <c r="AO420" s="50">
        <f t="shared" si="297"/>
        <v>0</v>
      </c>
      <c r="AP420" s="50">
        <f t="shared" si="297"/>
        <v>0</v>
      </c>
      <c r="AQ420" s="50">
        <f t="shared" si="297"/>
        <v>0</v>
      </c>
      <c r="AR420" s="50">
        <f t="shared" si="297"/>
        <v>0</v>
      </c>
      <c r="AS420" s="50">
        <f t="shared" si="297"/>
        <v>0</v>
      </c>
      <c r="AT420" s="50">
        <f t="shared" si="297"/>
        <v>0</v>
      </c>
      <c r="AU420" s="50">
        <f t="shared" si="297"/>
        <v>0</v>
      </c>
    </row>
    <row r="421" spans="1:47">
      <c r="A421" s="38" t="str">
        <f t="shared" si="294"/>
        <v>3Y-</v>
      </c>
      <c r="B421" s="38" t="s">
        <v>274</v>
      </c>
      <c r="C421" s="38" t="str">
        <f t="shared" si="298"/>
        <v>Pre-Treatment (CAMBI)</v>
      </c>
      <c r="D421" s="186"/>
      <c r="E421" s="325"/>
      <c r="G421" s="36" t="s">
        <v>16</v>
      </c>
      <c r="I421" s="39"/>
      <c r="K421" s="39"/>
      <c r="L421" s="43" t="s">
        <v>275</v>
      </c>
      <c r="N421" s="70">
        <f ca="1">SUMIFS(OFFSET(Assumptions!$I$90,0,MATCH($A421,Configurations,0)-1,COUNT(Assumptions!$A$90:$A$183),1),Assumptions!$D$90:$D$183,$B421&amp;$C421)</f>
        <v>0</v>
      </c>
      <c r="O421" s="313"/>
      <c r="P421" s="323"/>
      <c r="Q421" s="313"/>
      <c r="R421" s="50">
        <f t="shared" ref="R421:AU421" ca="1" si="299">IF(OR(R$99&lt;InServiceYr,R$99&gt;(InServiceYr+analysis_period-1)),0,IF($P421=0,$N421,$P421)*R$505)</f>
        <v>0</v>
      </c>
      <c r="S421" s="50">
        <f t="shared" ca="1" si="299"/>
        <v>0</v>
      </c>
      <c r="T421" s="50">
        <f t="shared" ca="1" si="299"/>
        <v>0</v>
      </c>
      <c r="U421" s="50">
        <f t="shared" ca="1" si="299"/>
        <v>0</v>
      </c>
      <c r="V421" s="50">
        <f t="shared" ca="1" si="299"/>
        <v>0</v>
      </c>
      <c r="W421" s="50">
        <f t="shared" ca="1" si="299"/>
        <v>0</v>
      </c>
      <c r="X421" s="50">
        <f t="shared" ca="1" si="299"/>
        <v>0</v>
      </c>
      <c r="Y421" s="50">
        <f t="shared" ca="1" si="299"/>
        <v>0</v>
      </c>
      <c r="Z421" s="50">
        <f t="shared" ca="1" si="299"/>
        <v>0</v>
      </c>
      <c r="AA421" s="50">
        <f t="shared" ca="1" si="299"/>
        <v>0</v>
      </c>
      <c r="AB421" s="50">
        <f t="shared" ca="1" si="299"/>
        <v>0</v>
      </c>
      <c r="AC421" s="50">
        <f t="shared" ca="1" si="299"/>
        <v>0</v>
      </c>
      <c r="AD421" s="50">
        <f t="shared" ca="1" si="299"/>
        <v>0</v>
      </c>
      <c r="AE421" s="50">
        <f t="shared" ca="1" si="299"/>
        <v>0</v>
      </c>
      <c r="AF421" s="50">
        <f t="shared" ca="1" si="299"/>
        <v>0</v>
      </c>
      <c r="AG421" s="50">
        <f t="shared" ca="1" si="299"/>
        <v>0</v>
      </c>
      <c r="AH421" s="50">
        <f t="shared" ca="1" si="299"/>
        <v>0</v>
      </c>
      <c r="AI421" s="50">
        <f t="shared" ca="1" si="299"/>
        <v>0</v>
      </c>
      <c r="AJ421" s="50">
        <f t="shared" ca="1" si="299"/>
        <v>0</v>
      </c>
      <c r="AK421" s="50">
        <f t="shared" ca="1" si="299"/>
        <v>0</v>
      </c>
      <c r="AL421" s="50">
        <f t="shared" si="299"/>
        <v>0</v>
      </c>
      <c r="AM421" s="50">
        <f t="shared" si="299"/>
        <v>0</v>
      </c>
      <c r="AN421" s="50">
        <f t="shared" si="299"/>
        <v>0</v>
      </c>
      <c r="AO421" s="50">
        <f t="shared" si="299"/>
        <v>0</v>
      </c>
      <c r="AP421" s="50">
        <f t="shared" si="299"/>
        <v>0</v>
      </c>
      <c r="AQ421" s="50">
        <f t="shared" si="299"/>
        <v>0</v>
      </c>
      <c r="AR421" s="50">
        <f t="shared" si="299"/>
        <v>0</v>
      </c>
      <c r="AS421" s="50">
        <f t="shared" si="299"/>
        <v>0</v>
      </c>
      <c r="AT421" s="50">
        <f t="shared" si="299"/>
        <v>0</v>
      </c>
      <c r="AU421" s="50">
        <f t="shared" si="299"/>
        <v>0</v>
      </c>
    </row>
    <row r="422" spans="1:47">
      <c r="A422" s="38" t="str">
        <f t="shared" si="294"/>
        <v>3Y-</v>
      </c>
      <c r="B422" s="38" t="s">
        <v>257</v>
      </c>
      <c r="C422" s="38" t="str">
        <f t="shared" si="298"/>
        <v>Pre-Treatment (CAMBI)</v>
      </c>
      <c r="D422" s="186"/>
      <c r="E422" s="325"/>
      <c r="G422" s="36" t="s">
        <v>284</v>
      </c>
      <c r="I422" s="39"/>
      <c r="K422" s="39"/>
      <c r="L422" s="43" t="s">
        <v>293</v>
      </c>
      <c r="N422" s="70">
        <f ca="1">SUMIFS(OFFSET(Assumptions!$I$90,0,MATCH($A422,Configurations,0)-1,COUNT(Assumptions!$A$90:$A$183),1),Assumptions!$D$90:$D$183,$B422&amp;$C422)</f>
        <v>0</v>
      </c>
      <c r="O422" s="313"/>
      <c r="P422" s="323"/>
      <c r="Q422" s="313"/>
      <c r="R422" s="50">
        <f t="shared" ref="R422:AU422" ca="1" si="300">IF(OR(R$99&lt;InServiceYr,R$99&gt;(InServiceYr+analysis_period-1)),0,IF($P422=0,$N422,$P422)*R$501)</f>
        <v>0</v>
      </c>
      <c r="S422" s="50">
        <f t="shared" ca="1" si="300"/>
        <v>0</v>
      </c>
      <c r="T422" s="50">
        <f t="shared" ca="1" si="300"/>
        <v>0</v>
      </c>
      <c r="U422" s="50">
        <f t="shared" ca="1" si="300"/>
        <v>0</v>
      </c>
      <c r="V422" s="50">
        <f t="shared" ca="1" si="300"/>
        <v>0</v>
      </c>
      <c r="W422" s="50">
        <f t="shared" ca="1" si="300"/>
        <v>0</v>
      </c>
      <c r="X422" s="50">
        <f t="shared" ca="1" si="300"/>
        <v>0</v>
      </c>
      <c r="Y422" s="50">
        <f t="shared" ca="1" si="300"/>
        <v>0</v>
      </c>
      <c r="Z422" s="50">
        <f t="shared" ca="1" si="300"/>
        <v>0</v>
      </c>
      <c r="AA422" s="50">
        <f t="shared" ca="1" si="300"/>
        <v>0</v>
      </c>
      <c r="AB422" s="50">
        <f t="shared" ca="1" si="300"/>
        <v>0</v>
      </c>
      <c r="AC422" s="50">
        <f t="shared" ca="1" si="300"/>
        <v>0</v>
      </c>
      <c r="AD422" s="50">
        <f t="shared" ca="1" si="300"/>
        <v>0</v>
      </c>
      <c r="AE422" s="50">
        <f t="shared" ca="1" si="300"/>
        <v>0</v>
      </c>
      <c r="AF422" s="50">
        <f t="shared" ca="1" si="300"/>
        <v>0</v>
      </c>
      <c r="AG422" s="50">
        <f t="shared" ca="1" si="300"/>
        <v>0</v>
      </c>
      <c r="AH422" s="50">
        <f t="shared" ca="1" si="300"/>
        <v>0</v>
      </c>
      <c r="AI422" s="50">
        <f t="shared" ca="1" si="300"/>
        <v>0</v>
      </c>
      <c r="AJ422" s="50">
        <f t="shared" ca="1" si="300"/>
        <v>0</v>
      </c>
      <c r="AK422" s="50">
        <f t="shared" ca="1" si="300"/>
        <v>0</v>
      </c>
      <c r="AL422" s="50">
        <f t="shared" si="300"/>
        <v>0</v>
      </c>
      <c r="AM422" s="50">
        <f t="shared" si="300"/>
        <v>0</v>
      </c>
      <c r="AN422" s="50">
        <f t="shared" si="300"/>
        <v>0</v>
      </c>
      <c r="AO422" s="50">
        <f t="shared" si="300"/>
        <v>0</v>
      </c>
      <c r="AP422" s="50">
        <f t="shared" si="300"/>
        <v>0</v>
      </c>
      <c r="AQ422" s="50">
        <f t="shared" si="300"/>
        <v>0</v>
      </c>
      <c r="AR422" s="50">
        <f t="shared" si="300"/>
        <v>0</v>
      </c>
      <c r="AS422" s="50">
        <f t="shared" si="300"/>
        <v>0</v>
      </c>
      <c r="AT422" s="50">
        <f t="shared" si="300"/>
        <v>0</v>
      </c>
      <c r="AU422" s="50">
        <f t="shared" si="300"/>
        <v>0</v>
      </c>
    </row>
    <row r="423" spans="1:47">
      <c r="A423" s="38" t="str">
        <f t="shared" si="294"/>
        <v>3Y-</v>
      </c>
      <c r="B423" s="38" t="s">
        <v>864</v>
      </c>
      <c r="C423" s="38" t="str">
        <f t="shared" si="298"/>
        <v>Pre-Treatment (CAMBI)</v>
      </c>
      <c r="D423" s="186">
        <f>GHGEsc</f>
        <v>0.02</v>
      </c>
      <c r="E423" s="325"/>
      <c r="G423" s="36" t="s">
        <v>865</v>
      </c>
      <c r="I423" s="39"/>
      <c r="K423" s="39"/>
      <c r="L423" s="43" t="s">
        <v>866</v>
      </c>
      <c r="N423" s="70">
        <f ca="1">SUMIFS(OFFSET(Assumptions!$I$90,0,MATCH($A423,Configurations,0)-1,COUNT(Assumptions!$A$90:$A$183),1),Assumptions!$D$90:$D$183,$B423&amp;$C423)</f>
        <v>0</v>
      </c>
      <c r="O423" s="313"/>
      <c r="P423" s="323"/>
      <c r="Q423" s="313"/>
      <c r="R423" s="50">
        <f t="shared" ref="R423:AU423" ca="1" si="301">IF(OR(R$99&lt;InServiceYr,R$99&gt;(InServiceYr+analysis_period-1)),0,IF($P423=0,$N423,$P423)*R$513)</f>
        <v>0</v>
      </c>
      <c r="S423" s="50">
        <f t="shared" ca="1" si="301"/>
        <v>0</v>
      </c>
      <c r="T423" s="50">
        <f t="shared" ca="1" si="301"/>
        <v>0</v>
      </c>
      <c r="U423" s="50">
        <f t="shared" ca="1" si="301"/>
        <v>0</v>
      </c>
      <c r="V423" s="50">
        <f t="shared" ca="1" si="301"/>
        <v>0</v>
      </c>
      <c r="W423" s="50">
        <f t="shared" ca="1" si="301"/>
        <v>0</v>
      </c>
      <c r="X423" s="50">
        <f t="shared" ca="1" si="301"/>
        <v>0</v>
      </c>
      <c r="Y423" s="50">
        <f t="shared" ca="1" si="301"/>
        <v>0</v>
      </c>
      <c r="Z423" s="50">
        <f t="shared" ca="1" si="301"/>
        <v>0</v>
      </c>
      <c r="AA423" s="50">
        <f t="shared" ca="1" si="301"/>
        <v>0</v>
      </c>
      <c r="AB423" s="50">
        <f t="shared" ca="1" si="301"/>
        <v>0</v>
      </c>
      <c r="AC423" s="50">
        <f t="shared" ca="1" si="301"/>
        <v>0</v>
      </c>
      <c r="AD423" s="50">
        <f t="shared" ca="1" si="301"/>
        <v>0</v>
      </c>
      <c r="AE423" s="50">
        <f t="shared" ca="1" si="301"/>
        <v>0</v>
      </c>
      <c r="AF423" s="50">
        <f t="shared" ca="1" si="301"/>
        <v>0</v>
      </c>
      <c r="AG423" s="50">
        <f t="shared" ca="1" si="301"/>
        <v>0</v>
      </c>
      <c r="AH423" s="50">
        <f t="shared" ca="1" si="301"/>
        <v>0</v>
      </c>
      <c r="AI423" s="50">
        <f t="shared" ca="1" si="301"/>
        <v>0</v>
      </c>
      <c r="AJ423" s="50">
        <f t="shared" ca="1" si="301"/>
        <v>0</v>
      </c>
      <c r="AK423" s="50">
        <f t="shared" ca="1" si="301"/>
        <v>0</v>
      </c>
      <c r="AL423" s="50">
        <f t="shared" si="301"/>
        <v>0</v>
      </c>
      <c r="AM423" s="50">
        <f t="shared" si="301"/>
        <v>0</v>
      </c>
      <c r="AN423" s="50">
        <f t="shared" si="301"/>
        <v>0</v>
      </c>
      <c r="AO423" s="50">
        <f t="shared" si="301"/>
        <v>0</v>
      </c>
      <c r="AP423" s="50">
        <f t="shared" si="301"/>
        <v>0</v>
      </c>
      <c r="AQ423" s="50">
        <f t="shared" si="301"/>
        <v>0</v>
      </c>
      <c r="AR423" s="50">
        <f t="shared" si="301"/>
        <v>0</v>
      </c>
      <c r="AS423" s="50">
        <f t="shared" si="301"/>
        <v>0</v>
      </c>
      <c r="AT423" s="50">
        <f t="shared" si="301"/>
        <v>0</v>
      </c>
      <c r="AU423" s="50">
        <f t="shared" si="301"/>
        <v>0</v>
      </c>
    </row>
    <row r="424" spans="1:47">
      <c r="A424" s="38" t="str">
        <f t="shared" si="294"/>
        <v>3Y-</v>
      </c>
      <c r="B424" s="38" t="s">
        <v>273</v>
      </c>
      <c r="C424" s="38" t="str">
        <f>C422</f>
        <v>Pre-Treatment (CAMBI)</v>
      </c>
      <c r="D424" s="186">
        <f>LaborEsc</f>
        <v>0.02</v>
      </c>
      <c r="E424" s="325"/>
      <c r="G424" s="36" t="s">
        <v>291</v>
      </c>
      <c r="I424" s="39"/>
      <c r="K424" s="39"/>
      <c r="L424" s="43" t="str">
        <f>"["&amp;CostBaseYr&amp;" $]"</f>
        <v>[2013 $]</v>
      </c>
      <c r="N424" s="70">
        <f ca="1">SUMIFS(OFFSET(Assumptions!$I$90,0,MATCH($A424,Configurations,0)-1,COUNT(Assumptions!$A$90:$A$183),1),Assumptions!$D$90:$D$183,$B424&amp;$C424)</f>
        <v>0</v>
      </c>
      <c r="O424" s="313"/>
      <c r="P424" s="323"/>
      <c r="Q424" s="313"/>
      <c r="R424" s="50">
        <f t="shared" ref="R424:AU424" ca="1" si="302">IF(OR(R$99&lt;InServiceYr,R$99&gt;(InServiceYr+analysis_period-1)),0,IF($P424=0,$N424,$P424)*(1+$D424)^(R$99-CostBaseYr))*R$509</f>
        <v>0</v>
      </c>
      <c r="S424" s="50">
        <f t="shared" ca="1" si="302"/>
        <v>0</v>
      </c>
      <c r="T424" s="50">
        <f t="shared" ca="1" si="302"/>
        <v>0</v>
      </c>
      <c r="U424" s="50">
        <f t="shared" ca="1" si="302"/>
        <v>0</v>
      </c>
      <c r="V424" s="50">
        <f t="shared" ca="1" si="302"/>
        <v>0</v>
      </c>
      <c r="W424" s="50">
        <f t="shared" ca="1" si="302"/>
        <v>0</v>
      </c>
      <c r="X424" s="50">
        <f t="shared" ca="1" si="302"/>
        <v>0</v>
      </c>
      <c r="Y424" s="50">
        <f t="shared" ca="1" si="302"/>
        <v>0</v>
      </c>
      <c r="Z424" s="50">
        <f t="shared" ca="1" si="302"/>
        <v>0</v>
      </c>
      <c r="AA424" s="50">
        <f t="shared" ca="1" si="302"/>
        <v>0</v>
      </c>
      <c r="AB424" s="50">
        <f t="shared" ca="1" si="302"/>
        <v>0</v>
      </c>
      <c r="AC424" s="50">
        <f t="shared" ca="1" si="302"/>
        <v>0</v>
      </c>
      <c r="AD424" s="50">
        <f t="shared" ca="1" si="302"/>
        <v>0</v>
      </c>
      <c r="AE424" s="50">
        <f t="shared" ca="1" si="302"/>
        <v>0</v>
      </c>
      <c r="AF424" s="50">
        <f t="shared" ca="1" si="302"/>
        <v>0</v>
      </c>
      <c r="AG424" s="50">
        <f t="shared" ca="1" si="302"/>
        <v>0</v>
      </c>
      <c r="AH424" s="50">
        <f t="shared" ca="1" si="302"/>
        <v>0</v>
      </c>
      <c r="AI424" s="50">
        <f t="shared" ca="1" si="302"/>
        <v>0</v>
      </c>
      <c r="AJ424" s="50">
        <f t="shared" ca="1" si="302"/>
        <v>0</v>
      </c>
      <c r="AK424" s="50">
        <f t="shared" ca="1" si="302"/>
        <v>0</v>
      </c>
      <c r="AL424" s="50">
        <f t="shared" si="302"/>
        <v>0</v>
      </c>
      <c r="AM424" s="50">
        <f t="shared" si="302"/>
        <v>0</v>
      </c>
      <c r="AN424" s="50">
        <f t="shared" si="302"/>
        <v>0</v>
      </c>
      <c r="AO424" s="50">
        <f t="shared" si="302"/>
        <v>0</v>
      </c>
      <c r="AP424" s="50">
        <f t="shared" si="302"/>
        <v>0</v>
      </c>
      <c r="AQ424" s="50">
        <f t="shared" si="302"/>
        <v>0</v>
      </c>
      <c r="AR424" s="50">
        <f t="shared" si="302"/>
        <v>0</v>
      </c>
      <c r="AS424" s="50">
        <f t="shared" si="302"/>
        <v>0</v>
      </c>
      <c r="AT424" s="50">
        <f t="shared" si="302"/>
        <v>0</v>
      </c>
      <c r="AU424" s="50">
        <f t="shared" si="302"/>
        <v>0</v>
      </c>
    </row>
    <row r="425" spans="1:47">
      <c r="D425" s="186"/>
      <c r="E425" s="325"/>
      <c r="G425" s="39" t="s">
        <v>304</v>
      </c>
      <c r="I425" s="39"/>
      <c r="K425" s="39"/>
      <c r="L425" s="43"/>
      <c r="N425" s="70"/>
      <c r="O425" s="313"/>
      <c r="P425" s="70"/>
      <c r="Q425" s="313"/>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row>
    <row r="426" spans="1:47">
      <c r="A426" s="38" t="str">
        <f>$J$4&amp;"-"</f>
        <v>3Y-</v>
      </c>
      <c r="B426" s="38" t="s">
        <v>265</v>
      </c>
      <c r="C426" s="38" t="str">
        <f>C417</f>
        <v>Pre-Treatment (CAMBI)</v>
      </c>
      <c r="D426" s="186"/>
      <c r="E426" s="325"/>
      <c r="G426" s="36" t="s">
        <v>108</v>
      </c>
      <c r="I426" s="39"/>
      <c r="K426" s="39"/>
      <c r="L426" s="43" t="s">
        <v>293</v>
      </c>
      <c r="N426" s="70">
        <f ca="1">SUMIFS(OFFSET(Assumptions!$I$90,0,MATCH($A426,Configurations,0)-1,COUNT(Assumptions!$A$90:$A$183),1),Assumptions!$D$90:$D$183,$B426&amp;$C426)</f>
        <v>0</v>
      </c>
      <c r="O426" s="313"/>
      <c r="P426" s="323"/>
      <c r="Q426" s="313"/>
      <c r="R426" s="50">
        <f t="shared" ref="R426:AU426" ca="1" si="303">IF(OR(R$99&lt;InServiceYr,R$99&gt;(InServiceYr+analysis_period-1)),0,IF($P426=0,$N426,$P426)*R$501)</f>
        <v>0</v>
      </c>
      <c r="S426" s="50">
        <f t="shared" ca="1" si="303"/>
        <v>0</v>
      </c>
      <c r="T426" s="50">
        <f t="shared" ca="1" si="303"/>
        <v>0</v>
      </c>
      <c r="U426" s="50">
        <f t="shared" ca="1" si="303"/>
        <v>0</v>
      </c>
      <c r="V426" s="50">
        <f t="shared" ca="1" si="303"/>
        <v>0</v>
      </c>
      <c r="W426" s="50">
        <f t="shared" ca="1" si="303"/>
        <v>0</v>
      </c>
      <c r="X426" s="50">
        <f t="shared" ca="1" si="303"/>
        <v>0</v>
      </c>
      <c r="Y426" s="50">
        <f t="shared" ca="1" si="303"/>
        <v>0</v>
      </c>
      <c r="Z426" s="50">
        <f t="shared" ca="1" si="303"/>
        <v>0</v>
      </c>
      <c r="AA426" s="50">
        <f t="shared" ca="1" si="303"/>
        <v>0</v>
      </c>
      <c r="AB426" s="50">
        <f t="shared" ca="1" si="303"/>
        <v>0</v>
      </c>
      <c r="AC426" s="50">
        <f t="shared" ca="1" si="303"/>
        <v>0</v>
      </c>
      <c r="AD426" s="50">
        <f t="shared" ca="1" si="303"/>
        <v>0</v>
      </c>
      <c r="AE426" s="50">
        <f t="shared" ca="1" si="303"/>
        <v>0</v>
      </c>
      <c r="AF426" s="50">
        <f t="shared" ca="1" si="303"/>
        <v>0</v>
      </c>
      <c r="AG426" s="50">
        <f t="shared" ca="1" si="303"/>
        <v>0</v>
      </c>
      <c r="AH426" s="50">
        <f t="shared" ca="1" si="303"/>
        <v>0</v>
      </c>
      <c r="AI426" s="50">
        <f t="shared" ca="1" si="303"/>
        <v>0</v>
      </c>
      <c r="AJ426" s="50">
        <f t="shared" ca="1" si="303"/>
        <v>0</v>
      </c>
      <c r="AK426" s="50">
        <f t="shared" ca="1" si="303"/>
        <v>0</v>
      </c>
      <c r="AL426" s="50">
        <f t="shared" si="303"/>
        <v>0</v>
      </c>
      <c r="AM426" s="50">
        <f t="shared" si="303"/>
        <v>0</v>
      </c>
      <c r="AN426" s="50">
        <f t="shared" si="303"/>
        <v>0</v>
      </c>
      <c r="AO426" s="50">
        <f t="shared" si="303"/>
        <v>0</v>
      </c>
      <c r="AP426" s="50">
        <f t="shared" si="303"/>
        <v>0</v>
      </c>
      <c r="AQ426" s="50">
        <f t="shared" si="303"/>
        <v>0</v>
      </c>
      <c r="AR426" s="50">
        <f t="shared" si="303"/>
        <v>0</v>
      </c>
      <c r="AS426" s="50">
        <f t="shared" si="303"/>
        <v>0</v>
      </c>
      <c r="AT426" s="50">
        <f t="shared" si="303"/>
        <v>0</v>
      </c>
      <c r="AU426" s="50">
        <f t="shared" si="303"/>
        <v>0</v>
      </c>
    </row>
    <row r="427" spans="1:47">
      <c r="A427" s="38" t="str">
        <f>$J$4&amp;"-"</f>
        <v>3Y-</v>
      </c>
      <c r="B427" s="38" t="s">
        <v>289</v>
      </c>
      <c r="C427" s="38" t="str">
        <f>C417</f>
        <v>Pre-Treatment (CAMBI)</v>
      </c>
      <c r="D427" s="186">
        <f>LaborEsc</f>
        <v>0.02</v>
      </c>
      <c r="E427" s="325"/>
      <c r="G427" s="36" t="s">
        <v>292</v>
      </c>
      <c r="I427" s="39"/>
      <c r="K427" s="39"/>
      <c r="L427" s="43" t="str">
        <f>"["&amp;CostBaseYr&amp;" $]"</f>
        <v>[2013 $]</v>
      </c>
      <c r="N427" s="70">
        <f ca="1">SUMIFS(OFFSET(Assumptions!$I$90,0,MATCH($A427,Configurations,0)-1,COUNT(Assumptions!$A$90:$A$183),1),Assumptions!$D$90:$D$183,$B427&amp;$C427)</f>
        <v>0</v>
      </c>
      <c r="O427" s="313"/>
      <c r="P427" s="323"/>
      <c r="Q427" s="313"/>
      <c r="R427" s="50">
        <f t="shared" ref="R427:AU427" ca="1" si="304">IF(OR(R$99&lt;InServiceYr,R$99&gt;(InServiceYr+analysis_period-1)),0,IF($P427=0,$N427,$P427)*(1+$D427)^(R$99-CostBaseYr))</f>
        <v>0</v>
      </c>
      <c r="S427" s="50">
        <f t="shared" ca="1" si="304"/>
        <v>0</v>
      </c>
      <c r="T427" s="50">
        <f t="shared" ca="1" si="304"/>
        <v>0</v>
      </c>
      <c r="U427" s="50">
        <f t="shared" ca="1" si="304"/>
        <v>0</v>
      </c>
      <c r="V427" s="50">
        <f t="shared" ca="1" si="304"/>
        <v>0</v>
      </c>
      <c r="W427" s="50">
        <f t="shared" ca="1" si="304"/>
        <v>0</v>
      </c>
      <c r="X427" s="50">
        <f t="shared" ca="1" si="304"/>
        <v>0</v>
      </c>
      <c r="Y427" s="50">
        <f t="shared" ca="1" si="304"/>
        <v>0</v>
      </c>
      <c r="Z427" s="50">
        <f t="shared" ca="1" si="304"/>
        <v>0</v>
      </c>
      <c r="AA427" s="50">
        <f t="shared" ca="1" si="304"/>
        <v>0</v>
      </c>
      <c r="AB427" s="50">
        <f t="shared" ca="1" si="304"/>
        <v>0</v>
      </c>
      <c r="AC427" s="50">
        <f t="shared" ca="1" si="304"/>
        <v>0</v>
      </c>
      <c r="AD427" s="50">
        <f t="shared" ca="1" si="304"/>
        <v>0</v>
      </c>
      <c r="AE427" s="50">
        <f t="shared" ca="1" si="304"/>
        <v>0</v>
      </c>
      <c r="AF427" s="50">
        <f t="shared" ca="1" si="304"/>
        <v>0</v>
      </c>
      <c r="AG427" s="50">
        <f t="shared" ca="1" si="304"/>
        <v>0</v>
      </c>
      <c r="AH427" s="50">
        <f t="shared" ca="1" si="304"/>
        <v>0</v>
      </c>
      <c r="AI427" s="50">
        <f t="shared" ca="1" si="304"/>
        <v>0</v>
      </c>
      <c r="AJ427" s="50">
        <f t="shared" ca="1" si="304"/>
        <v>0</v>
      </c>
      <c r="AK427" s="50">
        <f t="shared" ca="1" si="304"/>
        <v>0</v>
      </c>
      <c r="AL427" s="50">
        <f t="shared" si="304"/>
        <v>0</v>
      </c>
      <c r="AM427" s="50">
        <f t="shared" si="304"/>
        <v>0</v>
      </c>
      <c r="AN427" s="50">
        <f t="shared" si="304"/>
        <v>0</v>
      </c>
      <c r="AO427" s="50">
        <f t="shared" si="304"/>
        <v>0</v>
      </c>
      <c r="AP427" s="50">
        <f t="shared" si="304"/>
        <v>0</v>
      </c>
      <c r="AQ427" s="50">
        <f t="shared" si="304"/>
        <v>0</v>
      </c>
      <c r="AR427" s="50">
        <f t="shared" si="304"/>
        <v>0</v>
      </c>
      <c r="AS427" s="50">
        <f t="shared" si="304"/>
        <v>0</v>
      </c>
      <c r="AT427" s="50">
        <f t="shared" si="304"/>
        <v>0</v>
      </c>
      <c r="AU427" s="50">
        <f t="shared" si="304"/>
        <v>0</v>
      </c>
    </row>
    <row r="428" spans="1:47" s="60" customFormat="1">
      <c r="D428" s="187"/>
      <c r="E428" s="325"/>
      <c r="G428" s="39" t="s">
        <v>305</v>
      </c>
      <c r="I428" s="39"/>
      <c r="K428" s="39"/>
      <c r="L428" s="174"/>
      <c r="N428" s="188"/>
      <c r="O428" s="314"/>
      <c r="P428" s="185"/>
      <c r="Q428" s="314"/>
      <c r="R428" s="185">
        <f ca="1">SUM(R417:R424)-SUM(R426:R427)</f>
        <v>0</v>
      </c>
      <c r="S428" s="185">
        <f t="shared" ref="S428:AU428" ca="1" si="305">SUM(S417:S424)-SUM(S426:S427)</f>
        <v>0</v>
      </c>
      <c r="T428" s="185">
        <f t="shared" ca="1" si="305"/>
        <v>0</v>
      </c>
      <c r="U428" s="185">
        <f t="shared" ca="1" si="305"/>
        <v>0</v>
      </c>
      <c r="V428" s="185">
        <f t="shared" ca="1" si="305"/>
        <v>0</v>
      </c>
      <c r="W428" s="185">
        <f t="shared" ca="1" si="305"/>
        <v>0</v>
      </c>
      <c r="X428" s="185">
        <f t="shared" ca="1" si="305"/>
        <v>0</v>
      </c>
      <c r="Y428" s="185">
        <f t="shared" ca="1" si="305"/>
        <v>0</v>
      </c>
      <c r="Z428" s="185">
        <f t="shared" ca="1" si="305"/>
        <v>0</v>
      </c>
      <c r="AA428" s="185">
        <f t="shared" ca="1" si="305"/>
        <v>0</v>
      </c>
      <c r="AB428" s="185">
        <f t="shared" ca="1" si="305"/>
        <v>0</v>
      </c>
      <c r="AC428" s="185">
        <f t="shared" ca="1" si="305"/>
        <v>0</v>
      </c>
      <c r="AD428" s="185">
        <f t="shared" ca="1" si="305"/>
        <v>0</v>
      </c>
      <c r="AE428" s="185">
        <f t="shared" ca="1" si="305"/>
        <v>0</v>
      </c>
      <c r="AF428" s="185">
        <f t="shared" ca="1" si="305"/>
        <v>0</v>
      </c>
      <c r="AG428" s="185">
        <f t="shared" ca="1" si="305"/>
        <v>0</v>
      </c>
      <c r="AH428" s="185">
        <f t="shared" ca="1" si="305"/>
        <v>0</v>
      </c>
      <c r="AI428" s="185">
        <f t="shared" ca="1" si="305"/>
        <v>0</v>
      </c>
      <c r="AJ428" s="185">
        <f t="shared" ca="1" si="305"/>
        <v>0</v>
      </c>
      <c r="AK428" s="185">
        <f t="shared" ca="1" si="305"/>
        <v>0</v>
      </c>
      <c r="AL428" s="185">
        <f t="shared" si="305"/>
        <v>0</v>
      </c>
      <c r="AM428" s="185">
        <f t="shared" si="305"/>
        <v>0</v>
      </c>
      <c r="AN428" s="185">
        <f t="shared" si="305"/>
        <v>0</v>
      </c>
      <c r="AO428" s="185">
        <f t="shared" si="305"/>
        <v>0</v>
      </c>
      <c r="AP428" s="185">
        <f t="shared" si="305"/>
        <v>0</v>
      </c>
      <c r="AQ428" s="185">
        <f t="shared" si="305"/>
        <v>0</v>
      </c>
      <c r="AR428" s="185">
        <f t="shared" si="305"/>
        <v>0</v>
      </c>
      <c r="AS428" s="185">
        <f t="shared" si="305"/>
        <v>0</v>
      </c>
      <c r="AT428" s="185">
        <f t="shared" si="305"/>
        <v>0</v>
      </c>
      <c r="AU428" s="185">
        <f t="shared" si="305"/>
        <v>0</v>
      </c>
    </row>
    <row r="429" spans="1:47">
      <c r="E429" s="36"/>
      <c r="G429" s="39"/>
      <c r="H429" s="39"/>
      <c r="I429" s="39"/>
      <c r="J429" s="39"/>
      <c r="K429" s="39"/>
    </row>
    <row r="430" spans="1:47">
      <c r="E430" s="327"/>
      <c r="F430" s="28"/>
      <c r="G430" s="324" t="str">
        <f>C432&amp;" Capital Costs"</f>
        <v>Sitework Capital Costs</v>
      </c>
      <c r="H430" s="324"/>
      <c r="I430" s="324"/>
      <c r="J430" s="324"/>
      <c r="K430" s="324"/>
      <c r="L430" s="405" t="s">
        <v>79</v>
      </c>
      <c r="M430" s="256"/>
      <c r="N430" s="325" t="s">
        <v>490</v>
      </c>
      <c r="O430" s="311"/>
      <c r="P430" s="325" t="s">
        <v>491</v>
      </c>
      <c r="Q430" s="310"/>
      <c r="R430" s="325">
        <f>R$8</f>
        <v>2014</v>
      </c>
      <c r="S430" s="325">
        <f t="shared" ref="S430:AU430" si="306">S$8</f>
        <v>2015</v>
      </c>
      <c r="T430" s="325">
        <f t="shared" si="306"/>
        <v>2016</v>
      </c>
      <c r="U430" s="325">
        <f t="shared" si="306"/>
        <v>2017</v>
      </c>
      <c r="V430" s="325">
        <f t="shared" si="306"/>
        <v>2018</v>
      </c>
      <c r="W430" s="325">
        <f t="shared" si="306"/>
        <v>2019</v>
      </c>
      <c r="X430" s="325">
        <f t="shared" si="306"/>
        <v>2020</v>
      </c>
      <c r="Y430" s="325">
        <f t="shared" si="306"/>
        <v>2021</v>
      </c>
      <c r="Z430" s="325">
        <f t="shared" si="306"/>
        <v>2022</v>
      </c>
      <c r="AA430" s="325">
        <f t="shared" si="306"/>
        <v>2023</v>
      </c>
      <c r="AB430" s="325">
        <f t="shared" si="306"/>
        <v>2024</v>
      </c>
      <c r="AC430" s="325">
        <f t="shared" si="306"/>
        <v>2025</v>
      </c>
      <c r="AD430" s="325">
        <f t="shared" si="306"/>
        <v>2026</v>
      </c>
      <c r="AE430" s="325">
        <f t="shared" si="306"/>
        <v>2027</v>
      </c>
      <c r="AF430" s="325">
        <f t="shared" si="306"/>
        <v>2028</v>
      </c>
      <c r="AG430" s="325">
        <f t="shared" si="306"/>
        <v>2029</v>
      </c>
      <c r="AH430" s="325">
        <f t="shared" si="306"/>
        <v>2030</v>
      </c>
      <c r="AI430" s="325">
        <f t="shared" si="306"/>
        <v>2031</v>
      </c>
      <c r="AJ430" s="325">
        <f t="shared" si="306"/>
        <v>2032</v>
      </c>
      <c r="AK430" s="325">
        <f t="shared" si="306"/>
        <v>2033</v>
      </c>
      <c r="AL430" s="325">
        <f t="shared" si="306"/>
        <v>2034</v>
      </c>
      <c r="AM430" s="325">
        <f t="shared" si="306"/>
        <v>2035</v>
      </c>
      <c r="AN430" s="325">
        <f t="shared" si="306"/>
        <v>2036</v>
      </c>
      <c r="AO430" s="325">
        <f t="shared" si="306"/>
        <v>2037</v>
      </c>
      <c r="AP430" s="325">
        <f t="shared" si="306"/>
        <v>2038</v>
      </c>
      <c r="AQ430" s="325">
        <f t="shared" si="306"/>
        <v>2039</v>
      </c>
      <c r="AR430" s="325">
        <f t="shared" si="306"/>
        <v>2040</v>
      </c>
      <c r="AS430" s="325">
        <f t="shared" si="306"/>
        <v>2041</v>
      </c>
      <c r="AT430" s="325">
        <f t="shared" si="306"/>
        <v>2042</v>
      </c>
      <c r="AU430" s="325">
        <f t="shared" si="306"/>
        <v>2043</v>
      </c>
    </row>
    <row r="431" spans="1:47">
      <c r="E431" s="325"/>
      <c r="G431" s="39"/>
      <c r="H431" s="39"/>
      <c r="I431" s="39"/>
      <c r="J431" s="39"/>
      <c r="K431" s="39"/>
    </row>
    <row r="432" spans="1:47">
      <c r="A432" s="38" t="str">
        <f>$J$4&amp;"-"</f>
        <v>3Y-</v>
      </c>
      <c r="B432" s="38" t="s">
        <v>306</v>
      </c>
      <c r="C432" s="38" t="s">
        <v>113</v>
      </c>
      <c r="D432" s="186">
        <f>CapExEsc</f>
        <v>0.03</v>
      </c>
      <c r="E432" s="325"/>
      <c r="G432" s="36" t="s">
        <v>8</v>
      </c>
      <c r="H432" s="39"/>
      <c r="I432" s="39"/>
      <c r="J432" s="70"/>
      <c r="K432" s="39"/>
      <c r="L432" s="43" t="str">
        <f>"["&amp;CostBaseYr&amp;" $]"</f>
        <v>[2013 $]</v>
      </c>
      <c r="N432" s="52">
        <f ca="1">SUMIFS(OFFSET(Assumptions!$I$65,0,MATCH($A432,Configurations,0)-1,COUNT(Assumptions!$A$65:$A$84),1),Assumptions!$E$65:$E$84,$C432)</f>
        <v>848000</v>
      </c>
      <c r="O432" s="52"/>
      <c r="P432" s="322"/>
      <c r="Q432" s="52"/>
      <c r="R432" s="52">
        <f t="shared" ref="R432:AU432" ca="1" si="307">R433*IF($P432=0,$N432,$P432)*(1+$D432)^(R$8-CostBaseYr)</f>
        <v>873440</v>
      </c>
      <c r="S432" s="52">
        <f t="shared" ca="1" si="307"/>
        <v>0</v>
      </c>
      <c r="T432" s="52">
        <f t="shared" ca="1" si="307"/>
        <v>0</v>
      </c>
      <c r="U432" s="52">
        <f t="shared" ca="1" si="307"/>
        <v>0</v>
      </c>
      <c r="V432" s="52">
        <f t="shared" ca="1" si="307"/>
        <v>0</v>
      </c>
      <c r="W432" s="52">
        <f t="shared" ca="1" si="307"/>
        <v>0</v>
      </c>
      <c r="X432" s="52">
        <f t="shared" ca="1" si="307"/>
        <v>0</v>
      </c>
      <c r="Y432" s="52">
        <f t="shared" ca="1" si="307"/>
        <v>0</v>
      </c>
      <c r="Z432" s="52">
        <f t="shared" ca="1" si="307"/>
        <v>0</v>
      </c>
      <c r="AA432" s="52">
        <f t="shared" ca="1" si="307"/>
        <v>0</v>
      </c>
      <c r="AB432" s="52">
        <f t="shared" ca="1" si="307"/>
        <v>0</v>
      </c>
      <c r="AC432" s="52">
        <f t="shared" ca="1" si="307"/>
        <v>0</v>
      </c>
      <c r="AD432" s="52">
        <f t="shared" ca="1" si="307"/>
        <v>0</v>
      </c>
      <c r="AE432" s="52">
        <f t="shared" ca="1" si="307"/>
        <v>0</v>
      </c>
      <c r="AF432" s="52">
        <f t="shared" ca="1" si="307"/>
        <v>0</v>
      </c>
      <c r="AG432" s="52">
        <f t="shared" ca="1" si="307"/>
        <v>0</v>
      </c>
      <c r="AH432" s="52">
        <f t="shared" ca="1" si="307"/>
        <v>0</v>
      </c>
      <c r="AI432" s="52">
        <f t="shared" ca="1" si="307"/>
        <v>0</v>
      </c>
      <c r="AJ432" s="52">
        <f t="shared" ca="1" si="307"/>
        <v>0</v>
      </c>
      <c r="AK432" s="52">
        <f t="shared" ca="1" si="307"/>
        <v>0</v>
      </c>
      <c r="AL432" s="52">
        <f t="shared" ca="1" si="307"/>
        <v>0</v>
      </c>
      <c r="AM432" s="52">
        <f t="shared" ca="1" si="307"/>
        <v>0</v>
      </c>
      <c r="AN432" s="52">
        <f t="shared" ca="1" si="307"/>
        <v>0</v>
      </c>
      <c r="AO432" s="52">
        <f t="shared" ca="1" si="307"/>
        <v>0</v>
      </c>
      <c r="AP432" s="52">
        <f t="shared" ca="1" si="307"/>
        <v>0</v>
      </c>
      <c r="AQ432" s="52">
        <f t="shared" ca="1" si="307"/>
        <v>0</v>
      </c>
      <c r="AR432" s="52">
        <f t="shared" ca="1" si="307"/>
        <v>0</v>
      </c>
      <c r="AS432" s="52">
        <f t="shared" ca="1" si="307"/>
        <v>0</v>
      </c>
      <c r="AT432" s="52">
        <f t="shared" ca="1" si="307"/>
        <v>0</v>
      </c>
      <c r="AU432" s="52">
        <f t="shared" ca="1" si="307"/>
        <v>0</v>
      </c>
    </row>
    <row r="433" spans="1:47">
      <c r="E433" s="325"/>
      <c r="G433" s="36" t="s">
        <v>10</v>
      </c>
      <c r="H433" s="39"/>
      <c r="I433" s="39"/>
      <c r="J433" s="39"/>
      <c r="K433" s="39"/>
      <c r="L433" s="43"/>
      <c r="R433" s="54">
        <f>Assumptions!M$60</f>
        <v>1</v>
      </c>
      <c r="S433" s="54">
        <f>Assumptions!N$60</f>
        <v>0</v>
      </c>
      <c r="T433" s="54">
        <f>Assumptions!O$60</f>
        <v>0</v>
      </c>
      <c r="U433" s="54">
        <f>Assumptions!P$60</f>
        <v>0</v>
      </c>
      <c r="V433" s="54">
        <f>Assumptions!Q$60</f>
        <v>0</v>
      </c>
      <c r="W433" s="54">
        <f>Assumptions!R$60</f>
        <v>0</v>
      </c>
      <c r="X433" s="54">
        <f>Assumptions!S$60</f>
        <v>0</v>
      </c>
      <c r="Y433" s="54">
        <f>Assumptions!T$60</f>
        <v>0</v>
      </c>
      <c r="Z433" s="54">
        <f>Assumptions!U$60</f>
        <v>0</v>
      </c>
      <c r="AA433" s="54">
        <f>Assumptions!V$60</f>
        <v>0</v>
      </c>
      <c r="AB433" s="54">
        <f>Assumptions!W$60</f>
        <v>0</v>
      </c>
      <c r="AC433" s="54">
        <f>Assumptions!X$60</f>
        <v>0</v>
      </c>
      <c r="AD433" s="54">
        <f>Assumptions!Y$60</f>
        <v>0</v>
      </c>
      <c r="AE433" s="54">
        <f>Assumptions!Z$60</f>
        <v>0</v>
      </c>
      <c r="AF433" s="54">
        <f>Assumptions!AA$60</f>
        <v>0</v>
      </c>
      <c r="AG433" s="54">
        <f>Assumptions!AB$60</f>
        <v>0</v>
      </c>
      <c r="AH433" s="54">
        <f>Assumptions!AC$60</f>
        <v>0</v>
      </c>
      <c r="AI433" s="54">
        <f>Assumptions!AD$60</f>
        <v>0</v>
      </c>
      <c r="AJ433" s="54">
        <f>Assumptions!AE$60</f>
        <v>0</v>
      </c>
      <c r="AK433" s="54">
        <f>Assumptions!AF$60</f>
        <v>0</v>
      </c>
      <c r="AL433" s="54">
        <f>Assumptions!AG$60</f>
        <v>0</v>
      </c>
      <c r="AM433" s="54">
        <f>Assumptions!AH$60</f>
        <v>0</v>
      </c>
      <c r="AN433" s="54">
        <f>Assumptions!AI$60</f>
        <v>0</v>
      </c>
      <c r="AO433" s="54">
        <f>Assumptions!AJ$60</f>
        <v>0</v>
      </c>
      <c r="AP433" s="54">
        <f>Assumptions!AK$60</f>
        <v>0</v>
      </c>
      <c r="AQ433" s="54">
        <f>Assumptions!AL$60</f>
        <v>0</v>
      </c>
      <c r="AR433" s="54">
        <f>Assumptions!AM$60</f>
        <v>0</v>
      </c>
      <c r="AS433" s="54">
        <f>Assumptions!AN$60</f>
        <v>0</v>
      </c>
      <c r="AT433" s="54">
        <f>Assumptions!AO$60</f>
        <v>0</v>
      </c>
      <c r="AU433" s="54">
        <f>Assumptions!AP$60</f>
        <v>0</v>
      </c>
    </row>
    <row r="434" spans="1:47">
      <c r="E434" s="36"/>
      <c r="G434" s="39"/>
      <c r="H434" s="39"/>
      <c r="I434" s="39"/>
      <c r="J434" s="39"/>
      <c r="K434" s="39"/>
    </row>
    <row r="435" spans="1:47">
      <c r="E435" s="327"/>
      <c r="F435" s="28"/>
      <c r="G435" s="324" t="str">
        <f>C437&amp;" Capital Costs"</f>
        <v>General Requirements Capital Costs</v>
      </c>
      <c r="H435" s="324"/>
      <c r="I435" s="324"/>
      <c r="J435" s="324"/>
      <c r="K435" s="324"/>
      <c r="L435" s="405" t="s">
        <v>79</v>
      </c>
      <c r="M435" s="256"/>
      <c r="N435" s="325" t="s">
        <v>490</v>
      </c>
      <c r="O435" s="311"/>
      <c r="P435" s="325" t="s">
        <v>491</v>
      </c>
      <c r="Q435" s="310"/>
      <c r="R435" s="325">
        <f>R$8</f>
        <v>2014</v>
      </c>
      <c r="S435" s="325">
        <f t="shared" ref="S435:AU435" si="308">S$8</f>
        <v>2015</v>
      </c>
      <c r="T435" s="325">
        <f t="shared" si="308"/>
        <v>2016</v>
      </c>
      <c r="U435" s="325">
        <f t="shared" si="308"/>
        <v>2017</v>
      </c>
      <c r="V435" s="325">
        <f t="shared" si="308"/>
        <v>2018</v>
      </c>
      <c r="W435" s="325">
        <f t="shared" si="308"/>
        <v>2019</v>
      </c>
      <c r="X435" s="325">
        <f t="shared" si="308"/>
        <v>2020</v>
      </c>
      <c r="Y435" s="325">
        <f t="shared" si="308"/>
        <v>2021</v>
      </c>
      <c r="Z435" s="325">
        <f t="shared" si="308"/>
        <v>2022</v>
      </c>
      <c r="AA435" s="325">
        <f t="shared" si="308"/>
        <v>2023</v>
      </c>
      <c r="AB435" s="325">
        <f t="shared" si="308"/>
        <v>2024</v>
      </c>
      <c r="AC435" s="325">
        <f t="shared" si="308"/>
        <v>2025</v>
      </c>
      <c r="AD435" s="325">
        <f t="shared" si="308"/>
        <v>2026</v>
      </c>
      <c r="AE435" s="325">
        <f t="shared" si="308"/>
        <v>2027</v>
      </c>
      <c r="AF435" s="325">
        <f t="shared" si="308"/>
        <v>2028</v>
      </c>
      <c r="AG435" s="325">
        <f t="shared" si="308"/>
        <v>2029</v>
      </c>
      <c r="AH435" s="325">
        <f t="shared" si="308"/>
        <v>2030</v>
      </c>
      <c r="AI435" s="325">
        <f t="shared" si="308"/>
        <v>2031</v>
      </c>
      <c r="AJ435" s="325">
        <f t="shared" si="308"/>
        <v>2032</v>
      </c>
      <c r="AK435" s="325">
        <f t="shared" si="308"/>
        <v>2033</v>
      </c>
      <c r="AL435" s="325">
        <f t="shared" si="308"/>
        <v>2034</v>
      </c>
      <c r="AM435" s="325">
        <f t="shared" si="308"/>
        <v>2035</v>
      </c>
      <c r="AN435" s="325">
        <f t="shared" si="308"/>
        <v>2036</v>
      </c>
      <c r="AO435" s="325">
        <f t="shared" si="308"/>
        <v>2037</v>
      </c>
      <c r="AP435" s="325">
        <f t="shared" si="308"/>
        <v>2038</v>
      </c>
      <c r="AQ435" s="325">
        <f t="shared" si="308"/>
        <v>2039</v>
      </c>
      <c r="AR435" s="325">
        <f t="shared" si="308"/>
        <v>2040</v>
      </c>
      <c r="AS435" s="325">
        <f t="shared" si="308"/>
        <v>2041</v>
      </c>
      <c r="AT435" s="325">
        <f t="shared" si="308"/>
        <v>2042</v>
      </c>
      <c r="AU435" s="325">
        <f t="shared" si="308"/>
        <v>2043</v>
      </c>
    </row>
    <row r="436" spans="1:47">
      <c r="E436" s="325"/>
      <c r="G436" s="39"/>
      <c r="H436" s="39"/>
      <c r="I436" s="39"/>
      <c r="J436" s="39"/>
      <c r="K436" s="39"/>
    </row>
    <row r="437" spans="1:47">
      <c r="A437" s="38" t="str">
        <f>$J$4&amp;"-"</f>
        <v>3Y-</v>
      </c>
      <c r="B437" s="38" t="s">
        <v>306</v>
      </c>
      <c r="C437" s="38" t="s">
        <v>115</v>
      </c>
      <c r="D437" s="186">
        <f>CapExEsc</f>
        <v>0.03</v>
      </c>
      <c r="E437" s="325"/>
      <c r="G437" s="36" t="s">
        <v>8</v>
      </c>
      <c r="H437" s="39"/>
      <c r="I437" s="39"/>
      <c r="J437" s="70"/>
      <c r="K437" s="39"/>
      <c r="L437" s="43" t="str">
        <f>"["&amp;CostBaseYr&amp;" $]"</f>
        <v>[2013 $]</v>
      </c>
      <c r="N437" s="52">
        <f ca="1">SUMIFS(OFFSET(Assumptions!$I$65,0,MATCH($A437,Configurations,0)-1,COUNT(Assumptions!$A$65:$A$84),1),Assumptions!$E$65:$E$84,$C437)</f>
        <v>1696000</v>
      </c>
      <c r="O437" s="52"/>
      <c r="P437" s="322"/>
      <c r="Q437" s="52"/>
      <c r="R437" s="52">
        <f t="shared" ref="R437:AU437" ca="1" si="309">R438*IF($P437=0,$N437,$P437)*(1+$D437)^(R$8-CostBaseYr)</f>
        <v>1746880</v>
      </c>
      <c r="S437" s="52">
        <f t="shared" ca="1" si="309"/>
        <v>0</v>
      </c>
      <c r="T437" s="52">
        <f t="shared" ca="1" si="309"/>
        <v>0</v>
      </c>
      <c r="U437" s="52">
        <f t="shared" ca="1" si="309"/>
        <v>0</v>
      </c>
      <c r="V437" s="52">
        <f t="shared" ca="1" si="309"/>
        <v>0</v>
      </c>
      <c r="W437" s="52">
        <f t="shared" ca="1" si="309"/>
        <v>0</v>
      </c>
      <c r="X437" s="52">
        <f t="shared" ca="1" si="309"/>
        <v>0</v>
      </c>
      <c r="Y437" s="52">
        <f t="shared" ca="1" si="309"/>
        <v>0</v>
      </c>
      <c r="Z437" s="52">
        <f t="shared" ca="1" si="309"/>
        <v>0</v>
      </c>
      <c r="AA437" s="52">
        <f t="shared" ca="1" si="309"/>
        <v>0</v>
      </c>
      <c r="AB437" s="52">
        <f t="shared" ca="1" si="309"/>
        <v>0</v>
      </c>
      <c r="AC437" s="52">
        <f t="shared" ca="1" si="309"/>
        <v>0</v>
      </c>
      <c r="AD437" s="52">
        <f t="shared" ca="1" si="309"/>
        <v>0</v>
      </c>
      <c r="AE437" s="52">
        <f t="shared" ca="1" si="309"/>
        <v>0</v>
      </c>
      <c r="AF437" s="52">
        <f t="shared" ca="1" si="309"/>
        <v>0</v>
      </c>
      <c r="AG437" s="52">
        <f t="shared" ca="1" si="309"/>
        <v>0</v>
      </c>
      <c r="AH437" s="52">
        <f t="shared" ca="1" si="309"/>
        <v>0</v>
      </c>
      <c r="AI437" s="52">
        <f t="shared" ca="1" si="309"/>
        <v>0</v>
      </c>
      <c r="AJ437" s="52">
        <f t="shared" ca="1" si="309"/>
        <v>0</v>
      </c>
      <c r="AK437" s="52">
        <f t="shared" ca="1" si="309"/>
        <v>0</v>
      </c>
      <c r="AL437" s="52">
        <f t="shared" ca="1" si="309"/>
        <v>0</v>
      </c>
      <c r="AM437" s="52">
        <f t="shared" ca="1" si="309"/>
        <v>0</v>
      </c>
      <c r="AN437" s="52">
        <f t="shared" ca="1" si="309"/>
        <v>0</v>
      </c>
      <c r="AO437" s="52">
        <f t="shared" ca="1" si="309"/>
        <v>0</v>
      </c>
      <c r="AP437" s="52">
        <f t="shared" ca="1" si="309"/>
        <v>0</v>
      </c>
      <c r="AQ437" s="52">
        <f t="shared" ca="1" si="309"/>
        <v>0</v>
      </c>
      <c r="AR437" s="52">
        <f t="shared" ca="1" si="309"/>
        <v>0</v>
      </c>
      <c r="AS437" s="52">
        <f t="shared" ca="1" si="309"/>
        <v>0</v>
      </c>
      <c r="AT437" s="52">
        <f t="shared" ca="1" si="309"/>
        <v>0</v>
      </c>
      <c r="AU437" s="52">
        <f t="shared" ca="1" si="309"/>
        <v>0</v>
      </c>
    </row>
    <row r="438" spans="1:47">
      <c r="E438" s="325"/>
      <c r="G438" s="36" t="s">
        <v>10</v>
      </c>
      <c r="H438" s="39"/>
      <c r="I438" s="39"/>
      <c r="J438" s="39"/>
      <c r="K438" s="39"/>
      <c r="L438" s="43"/>
      <c r="R438" s="54">
        <f>Assumptions!M$60</f>
        <v>1</v>
      </c>
      <c r="S438" s="54">
        <f>Assumptions!N$60</f>
        <v>0</v>
      </c>
      <c r="T438" s="54">
        <f>Assumptions!O$60</f>
        <v>0</v>
      </c>
      <c r="U438" s="54">
        <f>Assumptions!P$60</f>
        <v>0</v>
      </c>
      <c r="V438" s="54">
        <f>Assumptions!Q$60</f>
        <v>0</v>
      </c>
      <c r="W438" s="54">
        <f>Assumptions!R$60</f>
        <v>0</v>
      </c>
      <c r="X438" s="54">
        <f>Assumptions!S$60</f>
        <v>0</v>
      </c>
      <c r="Y438" s="54">
        <f>Assumptions!T$60</f>
        <v>0</v>
      </c>
      <c r="Z438" s="54">
        <f>Assumptions!U$60</f>
        <v>0</v>
      </c>
      <c r="AA438" s="54">
        <f>Assumptions!V$60</f>
        <v>0</v>
      </c>
      <c r="AB438" s="54">
        <f>Assumptions!W$60</f>
        <v>0</v>
      </c>
      <c r="AC438" s="54">
        <f>Assumptions!X$60</f>
        <v>0</v>
      </c>
      <c r="AD438" s="54">
        <f>Assumptions!Y$60</f>
        <v>0</v>
      </c>
      <c r="AE438" s="54">
        <f>Assumptions!Z$60</f>
        <v>0</v>
      </c>
      <c r="AF438" s="54">
        <f>Assumptions!AA$60</f>
        <v>0</v>
      </c>
      <c r="AG438" s="54">
        <f>Assumptions!AB$60</f>
        <v>0</v>
      </c>
      <c r="AH438" s="54">
        <f>Assumptions!AC$60</f>
        <v>0</v>
      </c>
      <c r="AI438" s="54">
        <f>Assumptions!AD$60</f>
        <v>0</v>
      </c>
      <c r="AJ438" s="54">
        <f>Assumptions!AE$60</f>
        <v>0</v>
      </c>
      <c r="AK438" s="54">
        <f>Assumptions!AF$60</f>
        <v>0</v>
      </c>
      <c r="AL438" s="54">
        <f>Assumptions!AG$60</f>
        <v>0</v>
      </c>
      <c r="AM438" s="54">
        <f>Assumptions!AH$60</f>
        <v>0</v>
      </c>
      <c r="AN438" s="54">
        <f>Assumptions!AI$60</f>
        <v>0</v>
      </c>
      <c r="AO438" s="54">
        <f>Assumptions!AJ$60</f>
        <v>0</v>
      </c>
      <c r="AP438" s="54">
        <f>Assumptions!AK$60</f>
        <v>0</v>
      </c>
      <c r="AQ438" s="54">
        <f>Assumptions!AL$60</f>
        <v>0</v>
      </c>
      <c r="AR438" s="54">
        <f>Assumptions!AM$60</f>
        <v>0</v>
      </c>
      <c r="AS438" s="54">
        <f>Assumptions!AN$60</f>
        <v>0</v>
      </c>
      <c r="AT438" s="54">
        <f>Assumptions!AO$60</f>
        <v>0</v>
      </c>
      <c r="AU438" s="54">
        <f>Assumptions!AP$60</f>
        <v>0</v>
      </c>
    </row>
    <row r="439" spans="1:47">
      <c r="E439" s="36"/>
      <c r="G439" s="39"/>
      <c r="H439" s="39"/>
      <c r="I439" s="39"/>
      <c r="J439" s="39"/>
      <c r="K439" s="39"/>
    </row>
    <row r="440" spans="1:47">
      <c r="E440" s="327"/>
      <c r="F440" s="28"/>
      <c r="G440" s="324" t="str">
        <f>C442&amp;" Capital Costs"</f>
        <v>Contingencies Capital Costs</v>
      </c>
      <c r="H440" s="324"/>
      <c r="I440" s="324"/>
      <c r="J440" s="324"/>
      <c r="K440" s="324"/>
      <c r="L440" s="405" t="s">
        <v>79</v>
      </c>
      <c r="M440" s="256"/>
      <c r="N440" s="325" t="s">
        <v>490</v>
      </c>
      <c r="O440" s="311"/>
      <c r="P440" s="325" t="s">
        <v>491</v>
      </c>
      <c r="Q440" s="310"/>
      <c r="R440" s="325">
        <f>R$8</f>
        <v>2014</v>
      </c>
      <c r="S440" s="325">
        <f t="shared" ref="S440:AU440" si="310">S$8</f>
        <v>2015</v>
      </c>
      <c r="T440" s="325">
        <f t="shared" si="310"/>
        <v>2016</v>
      </c>
      <c r="U440" s="325">
        <f t="shared" si="310"/>
        <v>2017</v>
      </c>
      <c r="V440" s="325">
        <f t="shared" si="310"/>
        <v>2018</v>
      </c>
      <c r="W440" s="325">
        <f t="shared" si="310"/>
        <v>2019</v>
      </c>
      <c r="X440" s="325">
        <f t="shared" si="310"/>
        <v>2020</v>
      </c>
      <c r="Y440" s="325">
        <f t="shared" si="310"/>
        <v>2021</v>
      </c>
      <c r="Z440" s="325">
        <f t="shared" si="310"/>
        <v>2022</v>
      </c>
      <c r="AA440" s="325">
        <f t="shared" si="310"/>
        <v>2023</v>
      </c>
      <c r="AB440" s="325">
        <f t="shared" si="310"/>
        <v>2024</v>
      </c>
      <c r="AC440" s="325">
        <f t="shared" si="310"/>
        <v>2025</v>
      </c>
      <c r="AD440" s="325">
        <f t="shared" si="310"/>
        <v>2026</v>
      </c>
      <c r="AE440" s="325">
        <f t="shared" si="310"/>
        <v>2027</v>
      </c>
      <c r="AF440" s="325">
        <f t="shared" si="310"/>
        <v>2028</v>
      </c>
      <c r="AG440" s="325">
        <f t="shared" si="310"/>
        <v>2029</v>
      </c>
      <c r="AH440" s="325">
        <f t="shared" si="310"/>
        <v>2030</v>
      </c>
      <c r="AI440" s="325">
        <f t="shared" si="310"/>
        <v>2031</v>
      </c>
      <c r="AJ440" s="325">
        <f t="shared" si="310"/>
        <v>2032</v>
      </c>
      <c r="AK440" s="325">
        <f t="shared" si="310"/>
        <v>2033</v>
      </c>
      <c r="AL440" s="325">
        <f t="shared" si="310"/>
        <v>2034</v>
      </c>
      <c r="AM440" s="325">
        <f t="shared" si="310"/>
        <v>2035</v>
      </c>
      <c r="AN440" s="325">
        <f t="shared" si="310"/>
        <v>2036</v>
      </c>
      <c r="AO440" s="325">
        <f t="shared" si="310"/>
        <v>2037</v>
      </c>
      <c r="AP440" s="325">
        <f t="shared" si="310"/>
        <v>2038</v>
      </c>
      <c r="AQ440" s="325">
        <f t="shared" si="310"/>
        <v>2039</v>
      </c>
      <c r="AR440" s="325">
        <f t="shared" si="310"/>
        <v>2040</v>
      </c>
      <c r="AS440" s="325">
        <f t="shared" si="310"/>
        <v>2041</v>
      </c>
      <c r="AT440" s="325">
        <f t="shared" si="310"/>
        <v>2042</v>
      </c>
      <c r="AU440" s="325">
        <f t="shared" si="310"/>
        <v>2043</v>
      </c>
    </row>
    <row r="441" spans="1:47">
      <c r="E441" s="325"/>
      <c r="G441" s="39"/>
      <c r="H441" s="39"/>
      <c r="I441" s="39"/>
      <c r="J441" s="39"/>
      <c r="K441" s="39"/>
    </row>
    <row r="442" spans="1:47">
      <c r="A442" s="38" t="str">
        <f>$J$4&amp;"-"</f>
        <v>3Y-</v>
      </c>
      <c r="B442" s="38" t="s">
        <v>306</v>
      </c>
      <c r="C442" s="38" t="s">
        <v>146</v>
      </c>
      <c r="D442" s="186">
        <f>CapExEsc</f>
        <v>0.03</v>
      </c>
      <c r="E442" s="325"/>
      <c r="G442" s="36" t="s">
        <v>8</v>
      </c>
      <c r="H442" s="39"/>
      <c r="I442" s="39"/>
      <c r="J442" s="70"/>
      <c r="K442" s="39"/>
      <c r="L442" s="43" t="str">
        <f>"["&amp;CostBaseYr&amp;" $]"</f>
        <v>[2013 $]</v>
      </c>
      <c r="N442" s="52">
        <f ca="1">SUMIFS(OFFSET(Assumptions!$I$65,0,MATCH($A442,Configurations,0)-1,COUNT(Assumptions!$A$65:$A$84),1),Assumptions!$E$65:$E$84,$C442)</f>
        <v>5852000</v>
      </c>
      <c r="O442" s="52"/>
      <c r="P442" s="322"/>
      <c r="Q442" s="52"/>
      <c r="R442" s="52">
        <f t="shared" ref="R442:AU442" ca="1" si="311">R443*IF($P442=0,$N442,$P442)*(1+$D442)^(R$8-CostBaseYr)</f>
        <v>6027560</v>
      </c>
      <c r="S442" s="52">
        <f t="shared" ca="1" si="311"/>
        <v>0</v>
      </c>
      <c r="T442" s="52">
        <f t="shared" ca="1" si="311"/>
        <v>0</v>
      </c>
      <c r="U442" s="52">
        <f t="shared" ca="1" si="311"/>
        <v>0</v>
      </c>
      <c r="V442" s="52">
        <f t="shared" ca="1" si="311"/>
        <v>0</v>
      </c>
      <c r="W442" s="52">
        <f t="shared" ca="1" si="311"/>
        <v>0</v>
      </c>
      <c r="X442" s="52">
        <f t="shared" ca="1" si="311"/>
        <v>0</v>
      </c>
      <c r="Y442" s="52">
        <f t="shared" ca="1" si="311"/>
        <v>0</v>
      </c>
      <c r="Z442" s="52">
        <f t="shared" ca="1" si="311"/>
        <v>0</v>
      </c>
      <c r="AA442" s="52">
        <f t="shared" ca="1" si="311"/>
        <v>0</v>
      </c>
      <c r="AB442" s="52">
        <f t="shared" ca="1" si="311"/>
        <v>0</v>
      </c>
      <c r="AC442" s="52">
        <f t="shared" ca="1" si="311"/>
        <v>0</v>
      </c>
      <c r="AD442" s="52">
        <f t="shared" ca="1" si="311"/>
        <v>0</v>
      </c>
      <c r="AE442" s="52">
        <f t="shared" ca="1" si="311"/>
        <v>0</v>
      </c>
      <c r="AF442" s="52">
        <f t="shared" ca="1" si="311"/>
        <v>0</v>
      </c>
      <c r="AG442" s="52">
        <f t="shared" ca="1" si="311"/>
        <v>0</v>
      </c>
      <c r="AH442" s="52">
        <f t="shared" ca="1" si="311"/>
        <v>0</v>
      </c>
      <c r="AI442" s="52">
        <f t="shared" ca="1" si="311"/>
        <v>0</v>
      </c>
      <c r="AJ442" s="52">
        <f t="shared" ca="1" si="311"/>
        <v>0</v>
      </c>
      <c r="AK442" s="52">
        <f t="shared" ca="1" si="311"/>
        <v>0</v>
      </c>
      <c r="AL442" s="52">
        <f t="shared" ca="1" si="311"/>
        <v>0</v>
      </c>
      <c r="AM442" s="52">
        <f t="shared" ca="1" si="311"/>
        <v>0</v>
      </c>
      <c r="AN442" s="52">
        <f t="shared" ca="1" si="311"/>
        <v>0</v>
      </c>
      <c r="AO442" s="52">
        <f t="shared" ca="1" si="311"/>
        <v>0</v>
      </c>
      <c r="AP442" s="52">
        <f t="shared" ca="1" si="311"/>
        <v>0</v>
      </c>
      <c r="AQ442" s="52">
        <f t="shared" ca="1" si="311"/>
        <v>0</v>
      </c>
      <c r="AR442" s="52">
        <f t="shared" ca="1" si="311"/>
        <v>0</v>
      </c>
      <c r="AS442" s="52">
        <f t="shared" ca="1" si="311"/>
        <v>0</v>
      </c>
      <c r="AT442" s="52">
        <f t="shared" ca="1" si="311"/>
        <v>0</v>
      </c>
      <c r="AU442" s="52">
        <f t="shared" ca="1" si="311"/>
        <v>0</v>
      </c>
    </row>
    <row r="443" spans="1:47">
      <c r="E443" s="325"/>
      <c r="G443" s="36" t="s">
        <v>10</v>
      </c>
      <c r="H443" s="39"/>
      <c r="I443" s="39"/>
      <c r="J443" s="39"/>
      <c r="K443" s="39"/>
      <c r="L443" s="43"/>
      <c r="R443" s="54">
        <f>Assumptions!M$60</f>
        <v>1</v>
      </c>
      <c r="S443" s="54">
        <f>Assumptions!N$60</f>
        <v>0</v>
      </c>
      <c r="T443" s="54">
        <f>Assumptions!O$60</f>
        <v>0</v>
      </c>
      <c r="U443" s="54">
        <f>Assumptions!P$60</f>
        <v>0</v>
      </c>
      <c r="V443" s="54">
        <f>Assumptions!Q$60</f>
        <v>0</v>
      </c>
      <c r="W443" s="54">
        <f>Assumptions!R$60</f>
        <v>0</v>
      </c>
      <c r="X443" s="54">
        <f>Assumptions!S$60</f>
        <v>0</v>
      </c>
      <c r="Y443" s="54">
        <f>Assumptions!T$60</f>
        <v>0</v>
      </c>
      <c r="Z443" s="54">
        <f>Assumptions!U$60</f>
        <v>0</v>
      </c>
      <c r="AA443" s="54">
        <f>Assumptions!V$60</f>
        <v>0</v>
      </c>
      <c r="AB443" s="54">
        <f>Assumptions!W$60</f>
        <v>0</v>
      </c>
      <c r="AC443" s="54">
        <f>Assumptions!X$60</f>
        <v>0</v>
      </c>
      <c r="AD443" s="54">
        <f>Assumptions!Y$60</f>
        <v>0</v>
      </c>
      <c r="AE443" s="54">
        <f>Assumptions!Z$60</f>
        <v>0</v>
      </c>
      <c r="AF443" s="54">
        <f>Assumptions!AA$60</f>
        <v>0</v>
      </c>
      <c r="AG443" s="54">
        <f>Assumptions!AB$60</f>
        <v>0</v>
      </c>
      <c r="AH443" s="54">
        <f>Assumptions!AC$60</f>
        <v>0</v>
      </c>
      <c r="AI443" s="54">
        <f>Assumptions!AD$60</f>
        <v>0</v>
      </c>
      <c r="AJ443" s="54">
        <f>Assumptions!AE$60</f>
        <v>0</v>
      </c>
      <c r="AK443" s="54">
        <f>Assumptions!AF$60</f>
        <v>0</v>
      </c>
      <c r="AL443" s="54">
        <f>Assumptions!AG$60</f>
        <v>0</v>
      </c>
      <c r="AM443" s="54">
        <f>Assumptions!AH$60</f>
        <v>0</v>
      </c>
      <c r="AN443" s="54">
        <f>Assumptions!AI$60</f>
        <v>0</v>
      </c>
      <c r="AO443" s="54">
        <f>Assumptions!AJ$60</f>
        <v>0</v>
      </c>
      <c r="AP443" s="54">
        <f>Assumptions!AK$60</f>
        <v>0</v>
      </c>
      <c r="AQ443" s="54">
        <f>Assumptions!AL$60</f>
        <v>0</v>
      </c>
      <c r="AR443" s="54">
        <f>Assumptions!AM$60</f>
        <v>0</v>
      </c>
      <c r="AS443" s="54">
        <f>Assumptions!AN$60</f>
        <v>0</v>
      </c>
      <c r="AT443" s="54">
        <f>Assumptions!AO$60</f>
        <v>0</v>
      </c>
      <c r="AU443" s="54">
        <f>Assumptions!AP$60</f>
        <v>0</v>
      </c>
    </row>
    <row r="444" spans="1:47">
      <c r="E444" s="36"/>
      <c r="G444" s="39"/>
      <c r="H444" s="39"/>
      <c r="I444" s="39"/>
      <c r="J444" s="39"/>
      <c r="K444" s="39"/>
    </row>
    <row r="445" spans="1:47">
      <c r="E445" s="327"/>
      <c r="F445" s="28"/>
      <c r="G445" s="324" t="str">
        <f>C447&amp;" Capital Costs"</f>
        <v>Engineering, Legal &amp; Admin Capital Costs</v>
      </c>
      <c r="H445" s="324"/>
      <c r="I445" s="324"/>
      <c r="J445" s="324"/>
      <c r="K445" s="324"/>
      <c r="L445" s="405" t="s">
        <v>79</v>
      </c>
      <c r="M445" s="256"/>
      <c r="N445" s="325" t="s">
        <v>490</v>
      </c>
      <c r="O445" s="311"/>
      <c r="P445" s="325" t="s">
        <v>491</v>
      </c>
      <c r="Q445" s="310"/>
      <c r="R445" s="325">
        <f>R$8</f>
        <v>2014</v>
      </c>
      <c r="S445" s="325">
        <f t="shared" ref="S445:AU445" si="312">S$8</f>
        <v>2015</v>
      </c>
      <c r="T445" s="325">
        <f t="shared" si="312"/>
        <v>2016</v>
      </c>
      <c r="U445" s="325">
        <f t="shared" si="312"/>
        <v>2017</v>
      </c>
      <c r="V445" s="325">
        <f t="shared" si="312"/>
        <v>2018</v>
      </c>
      <c r="W445" s="325">
        <f t="shared" si="312"/>
        <v>2019</v>
      </c>
      <c r="X445" s="325">
        <f t="shared" si="312"/>
        <v>2020</v>
      </c>
      <c r="Y445" s="325">
        <f t="shared" si="312"/>
        <v>2021</v>
      </c>
      <c r="Z445" s="325">
        <f t="shared" si="312"/>
        <v>2022</v>
      </c>
      <c r="AA445" s="325">
        <f t="shared" si="312"/>
        <v>2023</v>
      </c>
      <c r="AB445" s="325">
        <f t="shared" si="312"/>
        <v>2024</v>
      </c>
      <c r="AC445" s="325">
        <f t="shared" si="312"/>
        <v>2025</v>
      </c>
      <c r="AD445" s="325">
        <f t="shared" si="312"/>
        <v>2026</v>
      </c>
      <c r="AE445" s="325">
        <f t="shared" si="312"/>
        <v>2027</v>
      </c>
      <c r="AF445" s="325">
        <f t="shared" si="312"/>
        <v>2028</v>
      </c>
      <c r="AG445" s="325">
        <f t="shared" si="312"/>
        <v>2029</v>
      </c>
      <c r="AH445" s="325">
        <f t="shared" si="312"/>
        <v>2030</v>
      </c>
      <c r="AI445" s="325">
        <f t="shared" si="312"/>
        <v>2031</v>
      </c>
      <c r="AJ445" s="325">
        <f t="shared" si="312"/>
        <v>2032</v>
      </c>
      <c r="AK445" s="325">
        <f t="shared" si="312"/>
        <v>2033</v>
      </c>
      <c r="AL445" s="325">
        <f t="shared" si="312"/>
        <v>2034</v>
      </c>
      <c r="AM445" s="325">
        <f t="shared" si="312"/>
        <v>2035</v>
      </c>
      <c r="AN445" s="325">
        <f t="shared" si="312"/>
        <v>2036</v>
      </c>
      <c r="AO445" s="325">
        <f t="shared" si="312"/>
        <v>2037</v>
      </c>
      <c r="AP445" s="325">
        <f t="shared" si="312"/>
        <v>2038</v>
      </c>
      <c r="AQ445" s="325">
        <f t="shared" si="312"/>
        <v>2039</v>
      </c>
      <c r="AR445" s="325">
        <f t="shared" si="312"/>
        <v>2040</v>
      </c>
      <c r="AS445" s="325">
        <f t="shared" si="312"/>
        <v>2041</v>
      </c>
      <c r="AT445" s="325">
        <f t="shared" si="312"/>
        <v>2042</v>
      </c>
      <c r="AU445" s="325">
        <f t="shared" si="312"/>
        <v>2043</v>
      </c>
    </row>
    <row r="446" spans="1:47">
      <c r="E446" s="325"/>
      <c r="G446" s="39"/>
      <c r="H446" s="39"/>
      <c r="I446" s="39"/>
      <c r="J446" s="39"/>
      <c r="K446" s="39"/>
    </row>
    <row r="447" spans="1:47">
      <c r="A447" s="38" t="str">
        <f>$J$4&amp;"-"</f>
        <v>3Y-</v>
      </c>
      <c r="B447" s="38" t="s">
        <v>306</v>
      </c>
      <c r="C447" s="38" t="s">
        <v>147</v>
      </c>
      <c r="D447" s="186">
        <f>CapExEsc</f>
        <v>0.03</v>
      </c>
      <c r="E447" s="325"/>
      <c r="G447" s="36" t="s">
        <v>8</v>
      </c>
      <c r="H447" s="39"/>
      <c r="I447" s="39"/>
      <c r="J447" s="70"/>
      <c r="K447" s="39"/>
      <c r="L447" s="43" t="str">
        <f>"["&amp;CostBaseYr&amp;" $]"</f>
        <v>[2013 $]</v>
      </c>
      <c r="N447" s="52">
        <f ca="1">SUMIFS(OFFSET(Assumptions!$I$65,0,MATCH($A447,Configurations,0)-1,COUNT(Assumptions!$A$65:$A$84),1),Assumptions!$E$65:$E$84,$C447)</f>
        <v>3804000</v>
      </c>
      <c r="O447" s="52"/>
      <c r="P447" s="322"/>
      <c r="Q447" s="52"/>
      <c r="R447" s="52">
        <f t="shared" ref="R447:AU447" ca="1" si="313">R448*IF($P447=0,$N447,$P447)*(1+$D447)^(R$8-CostBaseYr)</f>
        <v>3918120</v>
      </c>
      <c r="S447" s="52">
        <f t="shared" ca="1" si="313"/>
        <v>0</v>
      </c>
      <c r="T447" s="52">
        <f t="shared" ca="1" si="313"/>
        <v>0</v>
      </c>
      <c r="U447" s="52">
        <f t="shared" ca="1" si="313"/>
        <v>0</v>
      </c>
      <c r="V447" s="52">
        <f t="shared" ca="1" si="313"/>
        <v>0</v>
      </c>
      <c r="W447" s="52">
        <f t="shared" ca="1" si="313"/>
        <v>0</v>
      </c>
      <c r="X447" s="52">
        <f t="shared" ca="1" si="313"/>
        <v>0</v>
      </c>
      <c r="Y447" s="52">
        <f t="shared" ca="1" si="313"/>
        <v>0</v>
      </c>
      <c r="Z447" s="52">
        <f t="shared" ca="1" si="313"/>
        <v>0</v>
      </c>
      <c r="AA447" s="52">
        <f t="shared" ca="1" si="313"/>
        <v>0</v>
      </c>
      <c r="AB447" s="52">
        <f t="shared" ca="1" si="313"/>
        <v>0</v>
      </c>
      <c r="AC447" s="52">
        <f t="shared" ca="1" si="313"/>
        <v>0</v>
      </c>
      <c r="AD447" s="52">
        <f t="shared" ca="1" si="313"/>
        <v>0</v>
      </c>
      <c r="AE447" s="52">
        <f t="shared" ca="1" si="313"/>
        <v>0</v>
      </c>
      <c r="AF447" s="52">
        <f t="shared" ca="1" si="313"/>
        <v>0</v>
      </c>
      <c r="AG447" s="52">
        <f t="shared" ca="1" si="313"/>
        <v>0</v>
      </c>
      <c r="AH447" s="52">
        <f t="shared" ca="1" si="313"/>
        <v>0</v>
      </c>
      <c r="AI447" s="52">
        <f t="shared" ca="1" si="313"/>
        <v>0</v>
      </c>
      <c r="AJ447" s="52">
        <f t="shared" ca="1" si="313"/>
        <v>0</v>
      </c>
      <c r="AK447" s="52">
        <f t="shared" ca="1" si="313"/>
        <v>0</v>
      </c>
      <c r="AL447" s="52">
        <f t="shared" ca="1" si="313"/>
        <v>0</v>
      </c>
      <c r="AM447" s="52">
        <f t="shared" ca="1" si="313"/>
        <v>0</v>
      </c>
      <c r="AN447" s="52">
        <f t="shared" ca="1" si="313"/>
        <v>0</v>
      </c>
      <c r="AO447" s="52">
        <f t="shared" ca="1" si="313"/>
        <v>0</v>
      </c>
      <c r="AP447" s="52">
        <f t="shared" ca="1" si="313"/>
        <v>0</v>
      </c>
      <c r="AQ447" s="52">
        <f t="shared" ca="1" si="313"/>
        <v>0</v>
      </c>
      <c r="AR447" s="52">
        <f t="shared" ca="1" si="313"/>
        <v>0</v>
      </c>
      <c r="AS447" s="52">
        <f t="shared" ca="1" si="313"/>
        <v>0</v>
      </c>
      <c r="AT447" s="52">
        <f t="shared" ca="1" si="313"/>
        <v>0</v>
      </c>
      <c r="AU447" s="52">
        <f t="shared" ca="1" si="313"/>
        <v>0</v>
      </c>
    </row>
    <row r="448" spans="1:47">
      <c r="E448" s="325"/>
      <c r="G448" s="36" t="s">
        <v>10</v>
      </c>
      <c r="H448" s="39"/>
      <c r="I448" s="39"/>
      <c r="J448" s="39"/>
      <c r="K448" s="39"/>
      <c r="L448" s="43"/>
      <c r="R448" s="54">
        <f>Assumptions!M$60</f>
        <v>1</v>
      </c>
      <c r="S448" s="54">
        <f>Assumptions!N$60</f>
        <v>0</v>
      </c>
      <c r="T448" s="54">
        <f>Assumptions!O$60</f>
        <v>0</v>
      </c>
      <c r="U448" s="54">
        <f>Assumptions!P$60</f>
        <v>0</v>
      </c>
      <c r="V448" s="54">
        <f>Assumptions!Q$60</f>
        <v>0</v>
      </c>
      <c r="W448" s="54">
        <f>Assumptions!R$60</f>
        <v>0</v>
      </c>
      <c r="X448" s="54">
        <f>Assumptions!S$60</f>
        <v>0</v>
      </c>
      <c r="Y448" s="54">
        <f>Assumptions!T$60</f>
        <v>0</v>
      </c>
      <c r="Z448" s="54">
        <f>Assumptions!U$60</f>
        <v>0</v>
      </c>
      <c r="AA448" s="54">
        <f>Assumptions!V$60</f>
        <v>0</v>
      </c>
      <c r="AB448" s="54">
        <f>Assumptions!W$60</f>
        <v>0</v>
      </c>
      <c r="AC448" s="54">
        <f>Assumptions!X$60</f>
        <v>0</v>
      </c>
      <c r="AD448" s="54">
        <f>Assumptions!Y$60</f>
        <v>0</v>
      </c>
      <c r="AE448" s="54">
        <f>Assumptions!Z$60</f>
        <v>0</v>
      </c>
      <c r="AF448" s="54">
        <f>Assumptions!AA$60</f>
        <v>0</v>
      </c>
      <c r="AG448" s="54">
        <f>Assumptions!AB$60</f>
        <v>0</v>
      </c>
      <c r="AH448" s="54">
        <f>Assumptions!AC$60</f>
        <v>0</v>
      </c>
      <c r="AI448" s="54">
        <f>Assumptions!AD$60</f>
        <v>0</v>
      </c>
      <c r="AJ448" s="54">
        <f>Assumptions!AE$60</f>
        <v>0</v>
      </c>
      <c r="AK448" s="54">
        <f>Assumptions!AF$60</f>
        <v>0</v>
      </c>
      <c r="AL448" s="54">
        <f>Assumptions!AG$60</f>
        <v>0</v>
      </c>
      <c r="AM448" s="54">
        <f>Assumptions!AH$60</f>
        <v>0</v>
      </c>
      <c r="AN448" s="54">
        <f>Assumptions!AI$60</f>
        <v>0</v>
      </c>
      <c r="AO448" s="54">
        <f>Assumptions!AJ$60</f>
        <v>0</v>
      </c>
      <c r="AP448" s="54">
        <f>Assumptions!AK$60</f>
        <v>0</v>
      </c>
      <c r="AQ448" s="54">
        <f>Assumptions!AL$60</f>
        <v>0</v>
      </c>
      <c r="AR448" s="54">
        <f>Assumptions!AM$60</f>
        <v>0</v>
      </c>
      <c r="AS448" s="54">
        <f>Assumptions!AN$60</f>
        <v>0</v>
      </c>
      <c r="AT448" s="54">
        <f>Assumptions!AO$60</f>
        <v>0</v>
      </c>
      <c r="AU448" s="54">
        <f>Assumptions!AP$60</f>
        <v>0</v>
      </c>
    </row>
    <row r="449" spans="1:47">
      <c r="E449" s="36"/>
      <c r="G449" s="39"/>
      <c r="H449" s="39"/>
      <c r="I449" s="39"/>
      <c r="J449" s="39"/>
      <c r="K449" s="39"/>
    </row>
    <row r="450" spans="1:47">
      <c r="E450" s="327"/>
      <c r="F450" s="28"/>
      <c r="G450" s="324" t="str">
        <f>C453&amp;" O&amp;M"</f>
        <v>Land Application O&amp;M</v>
      </c>
      <c r="H450" s="324"/>
      <c r="I450" s="324"/>
      <c r="J450" s="324"/>
      <c r="K450" s="324"/>
      <c r="L450" s="405" t="s">
        <v>79</v>
      </c>
      <c r="M450" s="256"/>
      <c r="N450" s="325" t="s">
        <v>490</v>
      </c>
      <c r="O450" s="311"/>
      <c r="P450" s="325" t="s">
        <v>491</v>
      </c>
      <c r="Q450" s="310"/>
      <c r="R450" s="325">
        <f>R$8</f>
        <v>2014</v>
      </c>
      <c r="S450" s="325">
        <f t="shared" ref="S450:AU450" si="314">S$8</f>
        <v>2015</v>
      </c>
      <c r="T450" s="325">
        <f t="shared" si="314"/>
        <v>2016</v>
      </c>
      <c r="U450" s="325">
        <f t="shared" si="314"/>
        <v>2017</v>
      </c>
      <c r="V450" s="325">
        <f t="shared" si="314"/>
        <v>2018</v>
      </c>
      <c r="W450" s="325">
        <f t="shared" si="314"/>
        <v>2019</v>
      </c>
      <c r="X450" s="325">
        <f t="shared" si="314"/>
        <v>2020</v>
      </c>
      <c r="Y450" s="325">
        <f t="shared" si="314"/>
        <v>2021</v>
      </c>
      <c r="Z450" s="325">
        <f t="shared" si="314"/>
        <v>2022</v>
      </c>
      <c r="AA450" s="325">
        <f t="shared" si="314"/>
        <v>2023</v>
      </c>
      <c r="AB450" s="325">
        <f t="shared" si="314"/>
        <v>2024</v>
      </c>
      <c r="AC450" s="325">
        <f t="shared" si="314"/>
        <v>2025</v>
      </c>
      <c r="AD450" s="325">
        <f t="shared" si="314"/>
        <v>2026</v>
      </c>
      <c r="AE450" s="325">
        <f t="shared" si="314"/>
        <v>2027</v>
      </c>
      <c r="AF450" s="325">
        <f t="shared" si="314"/>
        <v>2028</v>
      </c>
      <c r="AG450" s="325">
        <f t="shared" si="314"/>
        <v>2029</v>
      </c>
      <c r="AH450" s="325">
        <f t="shared" si="314"/>
        <v>2030</v>
      </c>
      <c r="AI450" s="325">
        <f t="shared" si="314"/>
        <v>2031</v>
      </c>
      <c r="AJ450" s="325">
        <f t="shared" si="314"/>
        <v>2032</v>
      </c>
      <c r="AK450" s="325">
        <f t="shared" si="314"/>
        <v>2033</v>
      </c>
      <c r="AL450" s="325">
        <f t="shared" si="314"/>
        <v>2034</v>
      </c>
      <c r="AM450" s="325">
        <f t="shared" si="314"/>
        <v>2035</v>
      </c>
      <c r="AN450" s="325">
        <f t="shared" si="314"/>
        <v>2036</v>
      </c>
      <c r="AO450" s="325">
        <f t="shared" si="314"/>
        <v>2037</v>
      </c>
      <c r="AP450" s="325">
        <f t="shared" si="314"/>
        <v>2038</v>
      </c>
      <c r="AQ450" s="325">
        <f t="shared" si="314"/>
        <v>2039</v>
      </c>
      <c r="AR450" s="325">
        <f t="shared" si="314"/>
        <v>2040</v>
      </c>
      <c r="AS450" s="325">
        <f t="shared" si="314"/>
        <v>2041</v>
      </c>
      <c r="AT450" s="325">
        <f t="shared" si="314"/>
        <v>2042</v>
      </c>
      <c r="AU450" s="325">
        <f t="shared" si="314"/>
        <v>2043</v>
      </c>
    </row>
    <row r="451" spans="1:47">
      <c r="E451" s="325"/>
      <c r="G451" s="39"/>
      <c r="H451" s="39"/>
      <c r="I451" s="39"/>
      <c r="J451" s="39"/>
      <c r="K451" s="39"/>
    </row>
    <row r="452" spans="1:47">
      <c r="E452" s="325"/>
      <c r="G452" s="39" t="s">
        <v>23</v>
      </c>
      <c r="H452" s="39"/>
      <c r="I452" s="39"/>
      <c r="J452" s="39"/>
      <c r="K452" s="39"/>
    </row>
    <row r="453" spans="1:47">
      <c r="A453" s="38" t="str">
        <f t="shared" ref="A453:A460" si="315">$J$4&amp;"-"</f>
        <v>3Y-</v>
      </c>
      <c r="B453" s="38" t="s">
        <v>262</v>
      </c>
      <c r="C453" s="38" t="s">
        <v>309</v>
      </c>
      <c r="D453" s="186">
        <f>LaborEsc</f>
        <v>0.02</v>
      </c>
      <c r="E453" s="325"/>
      <c r="G453" s="36" t="s">
        <v>125</v>
      </c>
      <c r="I453" s="39"/>
      <c r="K453" s="39"/>
      <c r="L453" s="43" t="s">
        <v>266</v>
      </c>
      <c r="N453" s="70">
        <f ca="1">SUMIFS(OFFSET(Assumptions!$I$90,0,MATCH($A453,Configurations,0)-1,COUNT(Assumptions!$A$90:$A$183),1),Assumptions!$D$90:$D$183,$B453&amp;$C453)</f>
        <v>0</v>
      </c>
      <c r="O453" s="313"/>
      <c r="P453" s="323"/>
      <c r="Q453" s="313"/>
      <c r="R453" s="50">
        <f t="shared" ref="R453:AU453" ca="1" si="316">IF(OR(R$99&lt;InServiceYr,R$99&gt;(InServiceYr+analysis_period-1)),0,IF($P453=0,$N453,$P453)*LaborCost*(1+$D453)^(R$99-CostBaseYr))</f>
        <v>0</v>
      </c>
      <c r="S453" s="50">
        <f t="shared" ca="1" si="316"/>
        <v>0</v>
      </c>
      <c r="T453" s="50">
        <f t="shared" ca="1" si="316"/>
        <v>0</v>
      </c>
      <c r="U453" s="50">
        <f t="shared" ca="1" si="316"/>
        <v>0</v>
      </c>
      <c r="V453" s="50">
        <f t="shared" ca="1" si="316"/>
        <v>0</v>
      </c>
      <c r="W453" s="50">
        <f t="shared" ca="1" si="316"/>
        <v>0</v>
      </c>
      <c r="X453" s="50">
        <f t="shared" ca="1" si="316"/>
        <v>0</v>
      </c>
      <c r="Y453" s="50">
        <f t="shared" ca="1" si="316"/>
        <v>0</v>
      </c>
      <c r="Z453" s="50">
        <f t="shared" ca="1" si="316"/>
        <v>0</v>
      </c>
      <c r="AA453" s="50">
        <f t="shared" ca="1" si="316"/>
        <v>0</v>
      </c>
      <c r="AB453" s="50">
        <f t="shared" ca="1" si="316"/>
        <v>0</v>
      </c>
      <c r="AC453" s="50">
        <f t="shared" ca="1" si="316"/>
        <v>0</v>
      </c>
      <c r="AD453" s="50">
        <f t="shared" ca="1" si="316"/>
        <v>0</v>
      </c>
      <c r="AE453" s="50">
        <f t="shared" ca="1" si="316"/>
        <v>0</v>
      </c>
      <c r="AF453" s="50">
        <f t="shared" ca="1" si="316"/>
        <v>0</v>
      </c>
      <c r="AG453" s="50">
        <f t="shared" ca="1" si="316"/>
        <v>0</v>
      </c>
      <c r="AH453" s="50">
        <f t="shared" ca="1" si="316"/>
        <v>0</v>
      </c>
      <c r="AI453" s="50">
        <f t="shared" ca="1" si="316"/>
        <v>0</v>
      </c>
      <c r="AJ453" s="50">
        <f t="shared" ca="1" si="316"/>
        <v>0</v>
      </c>
      <c r="AK453" s="50">
        <f t="shared" ca="1" si="316"/>
        <v>0</v>
      </c>
      <c r="AL453" s="50">
        <f t="shared" si="316"/>
        <v>0</v>
      </c>
      <c r="AM453" s="50">
        <f t="shared" si="316"/>
        <v>0</v>
      </c>
      <c r="AN453" s="50">
        <f t="shared" si="316"/>
        <v>0</v>
      </c>
      <c r="AO453" s="50">
        <f t="shared" si="316"/>
        <v>0</v>
      </c>
      <c r="AP453" s="50">
        <f t="shared" si="316"/>
        <v>0</v>
      </c>
      <c r="AQ453" s="50">
        <f t="shared" si="316"/>
        <v>0</v>
      </c>
      <c r="AR453" s="50">
        <f t="shared" si="316"/>
        <v>0</v>
      </c>
      <c r="AS453" s="50">
        <f t="shared" si="316"/>
        <v>0</v>
      </c>
      <c r="AT453" s="50">
        <f t="shared" si="316"/>
        <v>0</v>
      </c>
      <c r="AU453" s="50">
        <f t="shared" si="316"/>
        <v>0</v>
      </c>
    </row>
    <row r="454" spans="1:47">
      <c r="A454" s="38" t="str">
        <f t="shared" si="315"/>
        <v>3Y-</v>
      </c>
      <c r="B454" s="38" t="s">
        <v>270</v>
      </c>
      <c r="C454" s="38" t="str">
        <f>C453</f>
        <v>Land Application</v>
      </c>
      <c r="D454" s="186">
        <f>OMEsc</f>
        <v>0.02</v>
      </c>
      <c r="E454" s="325"/>
      <c r="G454" s="36" t="s">
        <v>126</v>
      </c>
      <c r="I454" s="39"/>
      <c r="K454" s="39"/>
      <c r="L454" s="43" t="str">
        <f>"["&amp;CostBaseYr&amp;" $]"</f>
        <v>[2013 $]</v>
      </c>
      <c r="N454" s="70">
        <f ca="1">SUMIFS(OFFSET(Assumptions!$I$90,0,MATCH($A454,Configurations,0)-1,COUNT(Assumptions!$A$90:$A$183),1),Assumptions!$D$90:$D$183,$B454&amp;$C454)</f>
        <v>0</v>
      </c>
      <c r="O454" s="313"/>
      <c r="P454" s="323"/>
      <c r="Q454" s="313"/>
      <c r="R454" s="50">
        <f t="shared" ref="R454:AG456" ca="1" si="317">IF(OR(R$99&lt;InServiceYr,R$99&gt;(InServiceYr+analysis_period-1)),0,IF($P454=0,$N454,$P454)*(1+$D454)^(R$99-CostBaseYr))</f>
        <v>0</v>
      </c>
      <c r="S454" s="50">
        <f t="shared" ca="1" si="317"/>
        <v>0</v>
      </c>
      <c r="T454" s="50">
        <f t="shared" ca="1" si="317"/>
        <v>0</v>
      </c>
      <c r="U454" s="50">
        <f t="shared" ca="1" si="317"/>
        <v>0</v>
      </c>
      <c r="V454" s="50">
        <f t="shared" ca="1" si="317"/>
        <v>0</v>
      </c>
      <c r="W454" s="50">
        <f t="shared" ca="1" si="317"/>
        <v>0</v>
      </c>
      <c r="X454" s="50">
        <f t="shared" ca="1" si="317"/>
        <v>0</v>
      </c>
      <c r="Y454" s="50">
        <f t="shared" ca="1" si="317"/>
        <v>0</v>
      </c>
      <c r="Z454" s="50">
        <f t="shared" ca="1" si="317"/>
        <v>0</v>
      </c>
      <c r="AA454" s="50">
        <f t="shared" ca="1" si="317"/>
        <v>0</v>
      </c>
      <c r="AB454" s="50">
        <f t="shared" ca="1" si="317"/>
        <v>0</v>
      </c>
      <c r="AC454" s="50">
        <f t="shared" ca="1" si="317"/>
        <v>0</v>
      </c>
      <c r="AD454" s="50">
        <f t="shared" ca="1" si="317"/>
        <v>0</v>
      </c>
      <c r="AE454" s="50">
        <f t="shared" ca="1" si="317"/>
        <v>0</v>
      </c>
      <c r="AF454" s="50">
        <f t="shared" ca="1" si="317"/>
        <v>0</v>
      </c>
      <c r="AG454" s="50">
        <f t="shared" ca="1" si="317"/>
        <v>0</v>
      </c>
      <c r="AH454" s="50">
        <f t="shared" ref="S454:AU456" ca="1" si="318">IF(OR(AH$99&lt;InServiceYr,AH$99&gt;(InServiceYr+analysis_period-1)),0,IF($P454=0,$N454,$P454)*(1+$D454)^(AH$99-CostBaseYr))</f>
        <v>0</v>
      </c>
      <c r="AI454" s="50">
        <f t="shared" ca="1" si="318"/>
        <v>0</v>
      </c>
      <c r="AJ454" s="50">
        <f t="shared" ca="1" si="318"/>
        <v>0</v>
      </c>
      <c r="AK454" s="50">
        <f t="shared" ca="1" si="318"/>
        <v>0</v>
      </c>
      <c r="AL454" s="50">
        <f t="shared" si="318"/>
        <v>0</v>
      </c>
      <c r="AM454" s="50">
        <f t="shared" si="318"/>
        <v>0</v>
      </c>
      <c r="AN454" s="50">
        <f t="shared" si="318"/>
        <v>0</v>
      </c>
      <c r="AO454" s="50">
        <f t="shared" si="318"/>
        <v>0</v>
      </c>
      <c r="AP454" s="50">
        <f t="shared" si="318"/>
        <v>0</v>
      </c>
      <c r="AQ454" s="50">
        <f t="shared" si="318"/>
        <v>0</v>
      </c>
      <c r="AR454" s="50">
        <f t="shared" si="318"/>
        <v>0</v>
      </c>
      <c r="AS454" s="50">
        <f t="shared" si="318"/>
        <v>0</v>
      </c>
      <c r="AT454" s="50">
        <f t="shared" si="318"/>
        <v>0</v>
      </c>
      <c r="AU454" s="50">
        <f t="shared" si="318"/>
        <v>0</v>
      </c>
    </row>
    <row r="455" spans="1:47">
      <c r="A455" s="38" t="str">
        <f t="shared" si="315"/>
        <v>3Y-</v>
      </c>
      <c r="B455" s="38" t="s">
        <v>263</v>
      </c>
      <c r="C455" s="38" t="str">
        <f t="shared" ref="C455:C459" si="319">C454</f>
        <v>Land Application</v>
      </c>
      <c r="D455" s="186">
        <f>OMEsc</f>
        <v>0.02</v>
      </c>
      <c r="E455" s="325"/>
      <c r="G455" s="36" t="s">
        <v>127</v>
      </c>
      <c r="I455" s="39"/>
      <c r="K455" s="39"/>
      <c r="L455" s="43" t="str">
        <f>"["&amp;CostBaseYr&amp;" $]"</f>
        <v>[2013 $]</v>
      </c>
      <c r="N455" s="70">
        <f ca="1">SUMIFS(OFFSET(Assumptions!$I$90,0,MATCH($A455,Configurations,0)-1,COUNT(Assumptions!$A$90:$A$183),1),Assumptions!$D$90:$D$183,$B455&amp;$C455)</f>
        <v>0</v>
      </c>
      <c r="O455" s="313"/>
      <c r="P455" s="323"/>
      <c r="Q455" s="313"/>
      <c r="R455" s="50">
        <f t="shared" ca="1" si="317"/>
        <v>0</v>
      </c>
      <c r="S455" s="50">
        <f t="shared" ca="1" si="318"/>
        <v>0</v>
      </c>
      <c r="T455" s="50">
        <f t="shared" ca="1" si="318"/>
        <v>0</v>
      </c>
      <c r="U455" s="50">
        <f t="shared" ca="1" si="318"/>
        <v>0</v>
      </c>
      <c r="V455" s="50">
        <f t="shared" ca="1" si="318"/>
        <v>0</v>
      </c>
      <c r="W455" s="50">
        <f t="shared" ca="1" si="318"/>
        <v>0</v>
      </c>
      <c r="X455" s="50">
        <f t="shared" ca="1" si="318"/>
        <v>0</v>
      </c>
      <c r="Y455" s="50">
        <f t="shared" ca="1" si="318"/>
        <v>0</v>
      </c>
      <c r="Z455" s="50">
        <f t="shared" ca="1" si="318"/>
        <v>0</v>
      </c>
      <c r="AA455" s="50">
        <f t="shared" ca="1" si="318"/>
        <v>0</v>
      </c>
      <c r="AB455" s="50">
        <f t="shared" ca="1" si="318"/>
        <v>0</v>
      </c>
      <c r="AC455" s="50">
        <f t="shared" ca="1" si="318"/>
        <v>0</v>
      </c>
      <c r="AD455" s="50">
        <f t="shared" ca="1" si="318"/>
        <v>0</v>
      </c>
      <c r="AE455" s="50">
        <f t="shared" ca="1" si="318"/>
        <v>0</v>
      </c>
      <c r="AF455" s="50">
        <f t="shared" ca="1" si="318"/>
        <v>0</v>
      </c>
      <c r="AG455" s="50">
        <f t="shared" ca="1" si="318"/>
        <v>0</v>
      </c>
      <c r="AH455" s="50">
        <f t="shared" ca="1" si="318"/>
        <v>0</v>
      </c>
      <c r="AI455" s="50">
        <f t="shared" ca="1" si="318"/>
        <v>0</v>
      </c>
      <c r="AJ455" s="50">
        <f t="shared" ca="1" si="318"/>
        <v>0</v>
      </c>
      <c r="AK455" s="50">
        <f t="shared" ca="1" si="318"/>
        <v>0</v>
      </c>
      <c r="AL455" s="50">
        <f t="shared" si="318"/>
        <v>0</v>
      </c>
      <c r="AM455" s="50">
        <f t="shared" si="318"/>
        <v>0</v>
      </c>
      <c r="AN455" s="50">
        <f t="shared" si="318"/>
        <v>0</v>
      </c>
      <c r="AO455" s="50">
        <f t="shared" si="318"/>
        <v>0</v>
      </c>
      <c r="AP455" s="50">
        <f t="shared" si="318"/>
        <v>0</v>
      </c>
      <c r="AQ455" s="50">
        <f t="shared" si="318"/>
        <v>0</v>
      </c>
      <c r="AR455" s="50">
        <f t="shared" si="318"/>
        <v>0</v>
      </c>
      <c r="AS455" s="50">
        <f t="shared" si="318"/>
        <v>0</v>
      </c>
      <c r="AT455" s="50">
        <f t="shared" si="318"/>
        <v>0</v>
      </c>
      <c r="AU455" s="50">
        <f t="shared" si="318"/>
        <v>0</v>
      </c>
    </row>
    <row r="456" spans="1:47">
      <c r="A456" s="38" t="str">
        <f t="shared" si="315"/>
        <v>3Y-</v>
      </c>
      <c r="B456" s="38" t="s">
        <v>277</v>
      </c>
      <c r="C456" s="38" t="str">
        <f t="shared" si="319"/>
        <v>Land Application</v>
      </c>
      <c r="D456" s="186">
        <f>OMEsc</f>
        <v>0.02</v>
      </c>
      <c r="E456" s="325"/>
      <c r="G456" s="36" t="s">
        <v>276</v>
      </c>
      <c r="I456" s="39"/>
      <c r="K456" s="39"/>
      <c r="L456" s="43" t="str">
        <f>"["&amp;CostBaseYr&amp;" $]"</f>
        <v>[2013 $]</v>
      </c>
      <c r="N456" s="70">
        <f ca="1">SUMIFS(OFFSET(Assumptions!$I$90,0,MATCH($A456,Configurations,0)-1,COUNT(Assumptions!$A$90:$A$183),1),Assumptions!$D$90:$D$183,$B456&amp;$C456)</f>
        <v>0</v>
      </c>
      <c r="O456" s="313"/>
      <c r="P456" s="323"/>
      <c r="Q456" s="313"/>
      <c r="R456" s="50">
        <f t="shared" ca="1" si="317"/>
        <v>0</v>
      </c>
      <c r="S456" s="50">
        <f t="shared" ca="1" si="318"/>
        <v>0</v>
      </c>
      <c r="T456" s="50">
        <f t="shared" ca="1" si="318"/>
        <v>0</v>
      </c>
      <c r="U456" s="50">
        <f t="shared" ca="1" si="318"/>
        <v>0</v>
      </c>
      <c r="V456" s="50">
        <f t="shared" ca="1" si="318"/>
        <v>0</v>
      </c>
      <c r="W456" s="50">
        <f t="shared" ca="1" si="318"/>
        <v>0</v>
      </c>
      <c r="X456" s="50">
        <f t="shared" ca="1" si="318"/>
        <v>0</v>
      </c>
      <c r="Y456" s="50">
        <f t="shared" ca="1" si="318"/>
        <v>0</v>
      </c>
      <c r="Z456" s="50">
        <f t="shared" ca="1" si="318"/>
        <v>0</v>
      </c>
      <c r="AA456" s="50">
        <f t="shared" ca="1" si="318"/>
        <v>0</v>
      </c>
      <c r="AB456" s="50">
        <f t="shared" ca="1" si="318"/>
        <v>0</v>
      </c>
      <c r="AC456" s="50">
        <f t="shared" ca="1" si="318"/>
        <v>0</v>
      </c>
      <c r="AD456" s="50">
        <f t="shared" ca="1" si="318"/>
        <v>0</v>
      </c>
      <c r="AE456" s="50">
        <f t="shared" ca="1" si="318"/>
        <v>0</v>
      </c>
      <c r="AF456" s="50">
        <f t="shared" ca="1" si="318"/>
        <v>0</v>
      </c>
      <c r="AG456" s="50">
        <f t="shared" ca="1" si="318"/>
        <v>0</v>
      </c>
      <c r="AH456" s="50">
        <f t="shared" ca="1" si="318"/>
        <v>0</v>
      </c>
      <c r="AI456" s="50">
        <f t="shared" ca="1" si="318"/>
        <v>0</v>
      </c>
      <c r="AJ456" s="50">
        <f t="shared" ca="1" si="318"/>
        <v>0</v>
      </c>
      <c r="AK456" s="50">
        <f t="shared" ca="1" si="318"/>
        <v>0</v>
      </c>
      <c r="AL456" s="50">
        <f t="shared" si="318"/>
        <v>0</v>
      </c>
      <c r="AM456" s="50">
        <f t="shared" si="318"/>
        <v>0</v>
      </c>
      <c r="AN456" s="50">
        <f t="shared" si="318"/>
        <v>0</v>
      </c>
      <c r="AO456" s="50">
        <f t="shared" si="318"/>
        <v>0</v>
      </c>
      <c r="AP456" s="50">
        <f t="shared" si="318"/>
        <v>0</v>
      </c>
      <c r="AQ456" s="50">
        <f t="shared" si="318"/>
        <v>0</v>
      </c>
      <c r="AR456" s="50">
        <f t="shared" si="318"/>
        <v>0</v>
      </c>
      <c r="AS456" s="50">
        <f t="shared" si="318"/>
        <v>0</v>
      </c>
      <c r="AT456" s="50">
        <f t="shared" si="318"/>
        <v>0</v>
      </c>
      <c r="AU456" s="50">
        <f t="shared" si="318"/>
        <v>0</v>
      </c>
    </row>
    <row r="457" spans="1:47">
      <c r="A457" s="38" t="str">
        <f t="shared" si="315"/>
        <v>3Y-</v>
      </c>
      <c r="B457" s="38" t="s">
        <v>274</v>
      </c>
      <c r="C457" s="38" t="str">
        <f t="shared" si="319"/>
        <v>Land Application</v>
      </c>
      <c r="D457" s="186"/>
      <c r="E457" s="325"/>
      <c r="G457" s="36" t="s">
        <v>16</v>
      </c>
      <c r="I457" s="39"/>
      <c r="K457" s="39"/>
      <c r="L457" s="43" t="s">
        <v>275</v>
      </c>
      <c r="N457" s="70">
        <f ca="1">SUMIFS(OFFSET(Assumptions!$I$90,0,MATCH($A457,Configurations,0)-1,COUNT(Assumptions!$A$90:$A$183),1),Assumptions!$D$90:$D$183,$B457&amp;$C457)</f>
        <v>0</v>
      </c>
      <c r="O457" s="313"/>
      <c r="P457" s="323"/>
      <c r="Q457" s="313"/>
      <c r="R457" s="50">
        <f t="shared" ref="R457:AU457" ca="1" si="320">IF(OR(R$99&lt;InServiceYr,R$99&gt;(InServiceYr+analysis_period-1)),0,IF($P457=0,$N457,$P457)*R$505)</f>
        <v>0</v>
      </c>
      <c r="S457" s="50">
        <f t="shared" ca="1" si="320"/>
        <v>0</v>
      </c>
      <c r="T457" s="50">
        <f t="shared" ca="1" si="320"/>
        <v>0</v>
      </c>
      <c r="U457" s="50">
        <f t="shared" ca="1" si="320"/>
        <v>0</v>
      </c>
      <c r="V457" s="50">
        <f t="shared" ca="1" si="320"/>
        <v>0</v>
      </c>
      <c r="W457" s="50">
        <f t="shared" ca="1" si="320"/>
        <v>0</v>
      </c>
      <c r="X457" s="50">
        <f t="shared" ca="1" si="320"/>
        <v>0</v>
      </c>
      <c r="Y457" s="50">
        <f t="shared" ca="1" si="320"/>
        <v>0</v>
      </c>
      <c r="Z457" s="50">
        <f t="shared" ca="1" si="320"/>
        <v>0</v>
      </c>
      <c r="AA457" s="50">
        <f t="shared" ca="1" si="320"/>
        <v>0</v>
      </c>
      <c r="AB457" s="50">
        <f t="shared" ca="1" si="320"/>
        <v>0</v>
      </c>
      <c r="AC457" s="50">
        <f t="shared" ca="1" si="320"/>
        <v>0</v>
      </c>
      <c r="AD457" s="50">
        <f t="shared" ca="1" si="320"/>
        <v>0</v>
      </c>
      <c r="AE457" s="50">
        <f t="shared" ca="1" si="320"/>
        <v>0</v>
      </c>
      <c r="AF457" s="50">
        <f t="shared" ca="1" si="320"/>
        <v>0</v>
      </c>
      <c r="AG457" s="50">
        <f t="shared" ca="1" si="320"/>
        <v>0</v>
      </c>
      <c r="AH457" s="50">
        <f t="shared" ca="1" si="320"/>
        <v>0</v>
      </c>
      <c r="AI457" s="50">
        <f t="shared" ca="1" si="320"/>
        <v>0</v>
      </c>
      <c r="AJ457" s="50">
        <f t="shared" ca="1" si="320"/>
        <v>0</v>
      </c>
      <c r="AK457" s="50">
        <f t="shared" ca="1" si="320"/>
        <v>0</v>
      </c>
      <c r="AL457" s="50">
        <f t="shared" si="320"/>
        <v>0</v>
      </c>
      <c r="AM457" s="50">
        <f t="shared" si="320"/>
        <v>0</v>
      </c>
      <c r="AN457" s="50">
        <f t="shared" si="320"/>
        <v>0</v>
      </c>
      <c r="AO457" s="50">
        <f t="shared" si="320"/>
        <v>0</v>
      </c>
      <c r="AP457" s="50">
        <f t="shared" si="320"/>
        <v>0</v>
      </c>
      <c r="AQ457" s="50">
        <f t="shared" si="320"/>
        <v>0</v>
      </c>
      <c r="AR457" s="50">
        <f t="shared" si="320"/>
        <v>0</v>
      </c>
      <c r="AS457" s="50">
        <f t="shared" si="320"/>
        <v>0</v>
      </c>
      <c r="AT457" s="50">
        <f t="shared" si="320"/>
        <v>0</v>
      </c>
      <c r="AU457" s="50">
        <f t="shared" si="320"/>
        <v>0</v>
      </c>
    </row>
    <row r="458" spans="1:47">
      <c r="A458" s="38" t="str">
        <f t="shared" si="315"/>
        <v>3Y-</v>
      </c>
      <c r="B458" s="38" t="s">
        <v>257</v>
      </c>
      <c r="C458" s="38" t="str">
        <f t="shared" si="319"/>
        <v>Land Application</v>
      </c>
      <c r="D458" s="186"/>
      <c r="E458" s="325"/>
      <c r="G458" s="36" t="s">
        <v>284</v>
      </c>
      <c r="I458" s="39"/>
      <c r="K458" s="39"/>
      <c r="L458" s="43" t="s">
        <v>293</v>
      </c>
      <c r="N458" s="70">
        <f ca="1">SUMIFS(OFFSET(Assumptions!$I$90,0,MATCH($A458,Configurations,0)-1,COUNT(Assumptions!$A$90:$A$183),1),Assumptions!$D$90:$D$183,$B458&amp;$C458)</f>
        <v>0</v>
      </c>
      <c r="O458" s="313"/>
      <c r="P458" s="323"/>
      <c r="Q458" s="313"/>
      <c r="R458" s="50">
        <f t="shared" ref="R458:AU458" ca="1" si="321">IF(OR(R$99&lt;InServiceYr,R$99&gt;(InServiceYr+analysis_period-1)),0,IF($P458=0,$N458,$P458)*R$501)</f>
        <v>0</v>
      </c>
      <c r="S458" s="50">
        <f t="shared" ca="1" si="321"/>
        <v>0</v>
      </c>
      <c r="T458" s="50">
        <f t="shared" ca="1" si="321"/>
        <v>0</v>
      </c>
      <c r="U458" s="50">
        <f t="shared" ca="1" si="321"/>
        <v>0</v>
      </c>
      <c r="V458" s="50">
        <f t="shared" ca="1" si="321"/>
        <v>0</v>
      </c>
      <c r="W458" s="50">
        <f t="shared" ca="1" si="321"/>
        <v>0</v>
      </c>
      <c r="X458" s="50">
        <f t="shared" ca="1" si="321"/>
        <v>0</v>
      </c>
      <c r="Y458" s="50">
        <f t="shared" ca="1" si="321"/>
        <v>0</v>
      </c>
      <c r="Z458" s="50">
        <f t="shared" ca="1" si="321"/>
        <v>0</v>
      </c>
      <c r="AA458" s="50">
        <f t="shared" ca="1" si="321"/>
        <v>0</v>
      </c>
      <c r="AB458" s="50">
        <f t="shared" ca="1" si="321"/>
        <v>0</v>
      </c>
      <c r="AC458" s="50">
        <f t="shared" ca="1" si="321"/>
        <v>0</v>
      </c>
      <c r="AD458" s="50">
        <f t="shared" ca="1" si="321"/>
        <v>0</v>
      </c>
      <c r="AE458" s="50">
        <f t="shared" ca="1" si="321"/>
        <v>0</v>
      </c>
      <c r="AF458" s="50">
        <f t="shared" ca="1" si="321"/>
        <v>0</v>
      </c>
      <c r="AG458" s="50">
        <f t="shared" ca="1" si="321"/>
        <v>0</v>
      </c>
      <c r="AH458" s="50">
        <f t="shared" ca="1" si="321"/>
        <v>0</v>
      </c>
      <c r="AI458" s="50">
        <f t="shared" ca="1" si="321"/>
        <v>0</v>
      </c>
      <c r="AJ458" s="50">
        <f t="shared" ca="1" si="321"/>
        <v>0</v>
      </c>
      <c r="AK458" s="50">
        <f t="shared" ca="1" si="321"/>
        <v>0</v>
      </c>
      <c r="AL458" s="50">
        <f t="shared" si="321"/>
        <v>0</v>
      </c>
      <c r="AM458" s="50">
        <f t="shared" si="321"/>
        <v>0</v>
      </c>
      <c r="AN458" s="50">
        <f t="shared" si="321"/>
        <v>0</v>
      </c>
      <c r="AO458" s="50">
        <f t="shared" si="321"/>
        <v>0</v>
      </c>
      <c r="AP458" s="50">
        <f t="shared" si="321"/>
        <v>0</v>
      </c>
      <c r="AQ458" s="50">
        <f t="shared" si="321"/>
        <v>0</v>
      </c>
      <c r="AR458" s="50">
        <f t="shared" si="321"/>
        <v>0</v>
      </c>
      <c r="AS458" s="50">
        <f t="shared" si="321"/>
        <v>0</v>
      </c>
      <c r="AT458" s="50">
        <f t="shared" si="321"/>
        <v>0</v>
      </c>
      <c r="AU458" s="50">
        <f t="shared" si="321"/>
        <v>0</v>
      </c>
    </row>
    <row r="459" spans="1:47">
      <c r="A459" s="38" t="str">
        <f t="shared" si="315"/>
        <v>3Y-</v>
      </c>
      <c r="B459" s="38" t="s">
        <v>864</v>
      </c>
      <c r="C459" s="38" t="str">
        <f t="shared" si="319"/>
        <v>Land Application</v>
      </c>
      <c r="D459" s="186">
        <f>GHGEsc</f>
        <v>0.02</v>
      </c>
      <c r="E459" s="325"/>
      <c r="G459" s="36" t="s">
        <v>865</v>
      </c>
      <c r="I459" s="39"/>
      <c r="K459" s="39"/>
      <c r="L459" s="43" t="s">
        <v>866</v>
      </c>
      <c r="N459" s="70">
        <f ca="1">SUMIFS(OFFSET(Assumptions!$I$90,0,MATCH($A459,Configurations,0)-1,COUNT(Assumptions!$A$90:$A$183),1),Assumptions!$D$90:$D$183,$B459&amp;$C459)</f>
        <v>0</v>
      </c>
      <c r="O459" s="313"/>
      <c r="P459" s="323"/>
      <c r="Q459" s="313"/>
      <c r="R459" s="50">
        <f t="shared" ref="R459:AU459" ca="1" si="322">IF(OR(R$99&lt;InServiceYr,R$99&gt;(InServiceYr+analysis_period-1)),0,IF($P459=0,$N459,$P459)*R$513)</f>
        <v>0</v>
      </c>
      <c r="S459" s="50">
        <f t="shared" ca="1" si="322"/>
        <v>0</v>
      </c>
      <c r="T459" s="50">
        <f t="shared" ca="1" si="322"/>
        <v>0</v>
      </c>
      <c r="U459" s="50">
        <f t="shared" ca="1" si="322"/>
        <v>0</v>
      </c>
      <c r="V459" s="50">
        <f t="shared" ca="1" si="322"/>
        <v>0</v>
      </c>
      <c r="W459" s="50">
        <f t="shared" ca="1" si="322"/>
        <v>0</v>
      </c>
      <c r="X459" s="50">
        <f t="shared" ca="1" si="322"/>
        <v>0</v>
      </c>
      <c r="Y459" s="50">
        <f t="shared" ca="1" si="322"/>
        <v>0</v>
      </c>
      <c r="Z459" s="50">
        <f t="shared" ca="1" si="322"/>
        <v>0</v>
      </c>
      <c r="AA459" s="50">
        <f t="shared" ca="1" si="322"/>
        <v>0</v>
      </c>
      <c r="AB459" s="50">
        <f t="shared" ca="1" si="322"/>
        <v>0</v>
      </c>
      <c r="AC459" s="50">
        <f t="shared" ca="1" si="322"/>
        <v>0</v>
      </c>
      <c r="AD459" s="50">
        <f t="shared" ca="1" si="322"/>
        <v>0</v>
      </c>
      <c r="AE459" s="50">
        <f t="shared" ca="1" si="322"/>
        <v>0</v>
      </c>
      <c r="AF459" s="50">
        <f t="shared" ca="1" si="322"/>
        <v>0</v>
      </c>
      <c r="AG459" s="50">
        <f t="shared" ca="1" si="322"/>
        <v>0</v>
      </c>
      <c r="AH459" s="50">
        <f t="shared" ca="1" si="322"/>
        <v>0</v>
      </c>
      <c r="AI459" s="50">
        <f t="shared" ca="1" si="322"/>
        <v>0</v>
      </c>
      <c r="AJ459" s="50">
        <f t="shared" ca="1" si="322"/>
        <v>0</v>
      </c>
      <c r="AK459" s="50">
        <f t="shared" ca="1" si="322"/>
        <v>0</v>
      </c>
      <c r="AL459" s="50">
        <f t="shared" si="322"/>
        <v>0</v>
      </c>
      <c r="AM459" s="50">
        <f t="shared" si="322"/>
        <v>0</v>
      </c>
      <c r="AN459" s="50">
        <f t="shared" si="322"/>
        <v>0</v>
      </c>
      <c r="AO459" s="50">
        <f t="shared" si="322"/>
        <v>0</v>
      </c>
      <c r="AP459" s="50">
        <f t="shared" si="322"/>
        <v>0</v>
      </c>
      <c r="AQ459" s="50">
        <f t="shared" si="322"/>
        <v>0</v>
      </c>
      <c r="AR459" s="50">
        <f t="shared" si="322"/>
        <v>0</v>
      </c>
      <c r="AS459" s="50">
        <f t="shared" si="322"/>
        <v>0</v>
      </c>
      <c r="AT459" s="50">
        <f t="shared" si="322"/>
        <v>0</v>
      </c>
      <c r="AU459" s="50">
        <f t="shared" si="322"/>
        <v>0</v>
      </c>
    </row>
    <row r="460" spans="1:47">
      <c r="A460" s="38" t="str">
        <f t="shared" si="315"/>
        <v>3Y-</v>
      </c>
      <c r="B460" s="38" t="s">
        <v>273</v>
      </c>
      <c r="C460" s="38" t="str">
        <f>C458</f>
        <v>Land Application</v>
      </c>
      <c r="D460" s="186">
        <f>LaborEsc</f>
        <v>0.02</v>
      </c>
      <c r="E460" s="325"/>
      <c r="G460" s="36" t="s">
        <v>291</v>
      </c>
      <c r="I460" s="39"/>
      <c r="K460" s="39"/>
      <c r="L460" s="43" t="str">
        <f>"["&amp;CostBaseYr&amp;" $]"</f>
        <v>[2013 $]</v>
      </c>
      <c r="N460" s="70">
        <f ca="1">SUMIFS(OFFSET(Assumptions!$I$90,0,MATCH($A460,Configurations,0)-1,COUNT(Assumptions!$A$90:$A$183),1),Assumptions!$D$90:$D$183,$B460&amp;$C460)</f>
        <v>0</v>
      </c>
      <c r="O460" s="313"/>
      <c r="P460" s="323"/>
      <c r="Q460" s="313"/>
      <c r="R460" s="50">
        <f t="shared" ref="R460:AU460" ca="1" si="323">IF(OR(R$99&lt;InServiceYr,R$99&gt;(InServiceYr+analysis_period-1)),0,IF($P460=0,$N460,$P460)*(1+$D460)^(R$99-CostBaseYr))*R$509</f>
        <v>0</v>
      </c>
      <c r="S460" s="50">
        <f t="shared" ca="1" si="323"/>
        <v>0</v>
      </c>
      <c r="T460" s="50">
        <f t="shared" ca="1" si="323"/>
        <v>0</v>
      </c>
      <c r="U460" s="50">
        <f t="shared" ca="1" si="323"/>
        <v>0</v>
      </c>
      <c r="V460" s="50">
        <f t="shared" ca="1" si="323"/>
        <v>0</v>
      </c>
      <c r="W460" s="50">
        <f t="shared" ca="1" si="323"/>
        <v>0</v>
      </c>
      <c r="X460" s="50">
        <f t="shared" ca="1" si="323"/>
        <v>0</v>
      </c>
      <c r="Y460" s="50">
        <f t="shared" ca="1" si="323"/>
        <v>0</v>
      </c>
      <c r="Z460" s="50">
        <f t="shared" ca="1" si="323"/>
        <v>0</v>
      </c>
      <c r="AA460" s="50">
        <f t="shared" ca="1" si="323"/>
        <v>0</v>
      </c>
      <c r="AB460" s="50">
        <f t="shared" ca="1" si="323"/>
        <v>0</v>
      </c>
      <c r="AC460" s="50">
        <f t="shared" ca="1" si="323"/>
        <v>0</v>
      </c>
      <c r="AD460" s="50">
        <f t="shared" ca="1" si="323"/>
        <v>0</v>
      </c>
      <c r="AE460" s="50">
        <f t="shared" ca="1" si="323"/>
        <v>0</v>
      </c>
      <c r="AF460" s="50">
        <f t="shared" ca="1" si="323"/>
        <v>0</v>
      </c>
      <c r="AG460" s="50">
        <f t="shared" ca="1" si="323"/>
        <v>0</v>
      </c>
      <c r="AH460" s="50">
        <f t="shared" ca="1" si="323"/>
        <v>0</v>
      </c>
      <c r="AI460" s="50">
        <f t="shared" ca="1" si="323"/>
        <v>0</v>
      </c>
      <c r="AJ460" s="50">
        <f t="shared" ca="1" si="323"/>
        <v>0</v>
      </c>
      <c r="AK460" s="50">
        <f t="shared" ca="1" si="323"/>
        <v>0</v>
      </c>
      <c r="AL460" s="50">
        <f t="shared" si="323"/>
        <v>0</v>
      </c>
      <c r="AM460" s="50">
        <f t="shared" si="323"/>
        <v>0</v>
      </c>
      <c r="AN460" s="50">
        <f t="shared" si="323"/>
        <v>0</v>
      </c>
      <c r="AO460" s="50">
        <f t="shared" si="323"/>
        <v>0</v>
      </c>
      <c r="AP460" s="50">
        <f t="shared" si="323"/>
        <v>0</v>
      </c>
      <c r="AQ460" s="50">
        <f t="shared" si="323"/>
        <v>0</v>
      </c>
      <c r="AR460" s="50">
        <f t="shared" si="323"/>
        <v>0</v>
      </c>
      <c r="AS460" s="50">
        <f t="shared" si="323"/>
        <v>0</v>
      </c>
      <c r="AT460" s="50">
        <f t="shared" si="323"/>
        <v>0</v>
      </c>
      <c r="AU460" s="50">
        <f t="shared" si="323"/>
        <v>0</v>
      </c>
    </row>
    <row r="461" spans="1:47">
      <c r="D461" s="186"/>
      <c r="E461" s="325"/>
      <c r="G461" s="39" t="s">
        <v>304</v>
      </c>
      <c r="I461" s="39"/>
      <c r="K461" s="39"/>
      <c r="L461" s="43"/>
      <c r="N461" s="70"/>
      <c r="O461" s="313"/>
      <c r="P461" s="70"/>
      <c r="Q461" s="313"/>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row>
    <row r="462" spans="1:47">
      <c r="A462" s="38" t="str">
        <f>$J$4&amp;"-"</f>
        <v>3Y-</v>
      </c>
      <c r="B462" s="38" t="s">
        <v>265</v>
      </c>
      <c r="C462" s="38" t="str">
        <f>C453</f>
        <v>Land Application</v>
      </c>
      <c r="D462" s="186"/>
      <c r="E462" s="325"/>
      <c r="G462" s="36" t="s">
        <v>108</v>
      </c>
      <c r="I462" s="39"/>
      <c r="K462" s="39"/>
      <c r="L462" s="43" t="s">
        <v>293</v>
      </c>
      <c r="N462" s="70">
        <f ca="1">SUMIFS(OFFSET(Assumptions!$I$90,0,MATCH($A462,Configurations,0)-1,COUNT(Assumptions!$A$90:$A$183),1),Assumptions!$D$90:$D$183,$B462&amp;$C462)</f>
        <v>0</v>
      </c>
      <c r="O462" s="313"/>
      <c r="P462" s="323"/>
      <c r="Q462" s="313"/>
      <c r="R462" s="50">
        <f t="shared" ref="R462:AU462" ca="1" si="324">IF(OR(R$99&lt;InServiceYr,R$99&gt;(InServiceYr+analysis_period-1)),0,IF($P462=0,$N462,$P462)*R$501)</f>
        <v>0</v>
      </c>
      <c r="S462" s="50">
        <f t="shared" ca="1" si="324"/>
        <v>0</v>
      </c>
      <c r="T462" s="50">
        <f t="shared" ca="1" si="324"/>
        <v>0</v>
      </c>
      <c r="U462" s="50">
        <f t="shared" ca="1" si="324"/>
        <v>0</v>
      </c>
      <c r="V462" s="50">
        <f t="shared" ca="1" si="324"/>
        <v>0</v>
      </c>
      <c r="W462" s="50">
        <f t="shared" ca="1" si="324"/>
        <v>0</v>
      </c>
      <c r="X462" s="50">
        <f t="shared" ca="1" si="324"/>
        <v>0</v>
      </c>
      <c r="Y462" s="50">
        <f t="shared" ca="1" si="324"/>
        <v>0</v>
      </c>
      <c r="Z462" s="50">
        <f t="shared" ca="1" si="324"/>
        <v>0</v>
      </c>
      <c r="AA462" s="50">
        <f t="shared" ca="1" si="324"/>
        <v>0</v>
      </c>
      <c r="AB462" s="50">
        <f t="shared" ca="1" si="324"/>
        <v>0</v>
      </c>
      <c r="AC462" s="50">
        <f t="shared" ca="1" si="324"/>
        <v>0</v>
      </c>
      <c r="AD462" s="50">
        <f t="shared" ca="1" si="324"/>
        <v>0</v>
      </c>
      <c r="AE462" s="50">
        <f t="shared" ca="1" si="324"/>
        <v>0</v>
      </c>
      <c r="AF462" s="50">
        <f t="shared" ca="1" si="324"/>
        <v>0</v>
      </c>
      <c r="AG462" s="50">
        <f t="shared" ca="1" si="324"/>
        <v>0</v>
      </c>
      <c r="AH462" s="50">
        <f t="shared" ca="1" si="324"/>
        <v>0</v>
      </c>
      <c r="AI462" s="50">
        <f t="shared" ca="1" si="324"/>
        <v>0</v>
      </c>
      <c r="AJ462" s="50">
        <f t="shared" ca="1" si="324"/>
        <v>0</v>
      </c>
      <c r="AK462" s="50">
        <f t="shared" ca="1" si="324"/>
        <v>0</v>
      </c>
      <c r="AL462" s="50">
        <f t="shared" si="324"/>
        <v>0</v>
      </c>
      <c r="AM462" s="50">
        <f t="shared" si="324"/>
        <v>0</v>
      </c>
      <c r="AN462" s="50">
        <f t="shared" si="324"/>
        <v>0</v>
      </c>
      <c r="AO462" s="50">
        <f t="shared" si="324"/>
        <v>0</v>
      </c>
      <c r="AP462" s="50">
        <f t="shared" si="324"/>
        <v>0</v>
      </c>
      <c r="AQ462" s="50">
        <f t="shared" si="324"/>
        <v>0</v>
      </c>
      <c r="AR462" s="50">
        <f t="shared" si="324"/>
        <v>0</v>
      </c>
      <c r="AS462" s="50">
        <f t="shared" si="324"/>
        <v>0</v>
      </c>
      <c r="AT462" s="50">
        <f t="shared" si="324"/>
        <v>0</v>
      </c>
      <c r="AU462" s="50">
        <f t="shared" si="324"/>
        <v>0</v>
      </c>
    </row>
    <row r="463" spans="1:47">
      <c r="A463" s="38" t="str">
        <f>$J$4&amp;"-"</f>
        <v>3Y-</v>
      </c>
      <c r="B463" s="38" t="s">
        <v>289</v>
      </c>
      <c r="C463" s="38" t="str">
        <f>C453</f>
        <v>Land Application</v>
      </c>
      <c r="D463" s="186">
        <f>LaborEsc</f>
        <v>0.02</v>
      </c>
      <c r="E463" s="325"/>
      <c r="G463" s="36" t="s">
        <v>292</v>
      </c>
      <c r="I463" s="39"/>
      <c r="K463" s="39"/>
      <c r="L463" s="43" t="str">
        <f>"["&amp;CostBaseYr&amp;" $]"</f>
        <v>[2013 $]</v>
      </c>
      <c r="N463" s="70">
        <f ca="1">SUMIFS(OFFSET(Assumptions!$I$90,0,MATCH($A463,Configurations,0)-1,COUNT(Assumptions!$A$90:$A$183),1),Assumptions!$D$90:$D$183,$B463&amp;$C463)</f>
        <v>0</v>
      </c>
      <c r="O463" s="313"/>
      <c r="P463" s="323"/>
      <c r="Q463" s="313"/>
      <c r="R463" s="50">
        <f t="shared" ref="R463:AU463" ca="1" si="325">IF(OR(R$99&lt;InServiceYr,R$99&gt;(InServiceYr+analysis_period-1)),0,IF($P463=0,$N463,$P463)*(1+$D463)^(R$99-CostBaseYr))</f>
        <v>0</v>
      </c>
      <c r="S463" s="50">
        <f t="shared" ca="1" si="325"/>
        <v>0</v>
      </c>
      <c r="T463" s="50">
        <f t="shared" ca="1" si="325"/>
        <v>0</v>
      </c>
      <c r="U463" s="50">
        <f t="shared" ca="1" si="325"/>
        <v>0</v>
      </c>
      <c r="V463" s="50">
        <f t="shared" ca="1" si="325"/>
        <v>0</v>
      </c>
      <c r="W463" s="50">
        <f t="shared" ca="1" si="325"/>
        <v>0</v>
      </c>
      <c r="X463" s="50">
        <f t="shared" ca="1" si="325"/>
        <v>0</v>
      </c>
      <c r="Y463" s="50">
        <f t="shared" ca="1" si="325"/>
        <v>0</v>
      </c>
      <c r="Z463" s="50">
        <f t="shared" ca="1" si="325"/>
        <v>0</v>
      </c>
      <c r="AA463" s="50">
        <f t="shared" ca="1" si="325"/>
        <v>0</v>
      </c>
      <c r="AB463" s="50">
        <f t="shared" ca="1" si="325"/>
        <v>0</v>
      </c>
      <c r="AC463" s="50">
        <f t="shared" ca="1" si="325"/>
        <v>0</v>
      </c>
      <c r="AD463" s="50">
        <f t="shared" ca="1" si="325"/>
        <v>0</v>
      </c>
      <c r="AE463" s="50">
        <f t="shared" ca="1" si="325"/>
        <v>0</v>
      </c>
      <c r="AF463" s="50">
        <f t="shared" ca="1" si="325"/>
        <v>0</v>
      </c>
      <c r="AG463" s="50">
        <f t="shared" ca="1" si="325"/>
        <v>0</v>
      </c>
      <c r="AH463" s="50">
        <f t="shared" ca="1" si="325"/>
        <v>0</v>
      </c>
      <c r="AI463" s="50">
        <f t="shared" ca="1" si="325"/>
        <v>0</v>
      </c>
      <c r="AJ463" s="50">
        <f t="shared" ca="1" si="325"/>
        <v>0</v>
      </c>
      <c r="AK463" s="50">
        <f t="shared" ca="1" si="325"/>
        <v>0</v>
      </c>
      <c r="AL463" s="50">
        <f t="shared" si="325"/>
        <v>0</v>
      </c>
      <c r="AM463" s="50">
        <f t="shared" si="325"/>
        <v>0</v>
      </c>
      <c r="AN463" s="50">
        <f t="shared" si="325"/>
        <v>0</v>
      </c>
      <c r="AO463" s="50">
        <f t="shared" si="325"/>
        <v>0</v>
      </c>
      <c r="AP463" s="50">
        <f t="shared" si="325"/>
        <v>0</v>
      </c>
      <c r="AQ463" s="50">
        <f t="shared" si="325"/>
        <v>0</v>
      </c>
      <c r="AR463" s="50">
        <f t="shared" si="325"/>
        <v>0</v>
      </c>
      <c r="AS463" s="50">
        <f t="shared" si="325"/>
        <v>0</v>
      </c>
      <c r="AT463" s="50">
        <f t="shared" si="325"/>
        <v>0</v>
      </c>
      <c r="AU463" s="50">
        <f t="shared" si="325"/>
        <v>0</v>
      </c>
    </row>
    <row r="464" spans="1:47" s="60" customFormat="1">
      <c r="D464" s="187"/>
      <c r="E464" s="325"/>
      <c r="G464" s="39" t="s">
        <v>305</v>
      </c>
      <c r="I464" s="39"/>
      <c r="K464" s="39"/>
      <c r="L464" s="174"/>
      <c r="N464" s="188"/>
      <c r="O464" s="314"/>
      <c r="P464" s="185"/>
      <c r="Q464" s="314"/>
      <c r="R464" s="185">
        <f ca="1">SUM(R453:R460)-SUM(R462:R463)</f>
        <v>0</v>
      </c>
      <c r="S464" s="185">
        <f t="shared" ref="S464:AU464" ca="1" si="326">SUM(S453:S460)-SUM(S462:S463)</f>
        <v>0</v>
      </c>
      <c r="T464" s="185">
        <f t="shared" ca="1" si="326"/>
        <v>0</v>
      </c>
      <c r="U464" s="185">
        <f t="shared" ca="1" si="326"/>
        <v>0</v>
      </c>
      <c r="V464" s="185">
        <f t="shared" ca="1" si="326"/>
        <v>0</v>
      </c>
      <c r="W464" s="185">
        <f t="shared" ca="1" si="326"/>
        <v>0</v>
      </c>
      <c r="X464" s="185">
        <f t="shared" ca="1" si="326"/>
        <v>0</v>
      </c>
      <c r="Y464" s="185">
        <f t="shared" ca="1" si="326"/>
        <v>0</v>
      </c>
      <c r="Z464" s="185">
        <f t="shared" ca="1" si="326"/>
        <v>0</v>
      </c>
      <c r="AA464" s="185">
        <f t="shared" ca="1" si="326"/>
        <v>0</v>
      </c>
      <c r="AB464" s="185">
        <f t="shared" ca="1" si="326"/>
        <v>0</v>
      </c>
      <c r="AC464" s="185">
        <f t="shared" ca="1" si="326"/>
        <v>0</v>
      </c>
      <c r="AD464" s="185">
        <f t="shared" ca="1" si="326"/>
        <v>0</v>
      </c>
      <c r="AE464" s="185">
        <f t="shared" ca="1" si="326"/>
        <v>0</v>
      </c>
      <c r="AF464" s="185">
        <f t="shared" ca="1" si="326"/>
        <v>0</v>
      </c>
      <c r="AG464" s="185">
        <f t="shared" ca="1" si="326"/>
        <v>0</v>
      </c>
      <c r="AH464" s="185">
        <f t="shared" ca="1" si="326"/>
        <v>0</v>
      </c>
      <c r="AI464" s="185">
        <f t="shared" ca="1" si="326"/>
        <v>0</v>
      </c>
      <c r="AJ464" s="185">
        <f t="shared" ca="1" si="326"/>
        <v>0</v>
      </c>
      <c r="AK464" s="185">
        <f t="shared" ca="1" si="326"/>
        <v>0</v>
      </c>
      <c r="AL464" s="185">
        <f t="shared" si="326"/>
        <v>0</v>
      </c>
      <c r="AM464" s="185">
        <f t="shared" si="326"/>
        <v>0</v>
      </c>
      <c r="AN464" s="185">
        <f t="shared" si="326"/>
        <v>0</v>
      </c>
      <c r="AO464" s="185">
        <f t="shared" si="326"/>
        <v>0</v>
      </c>
      <c r="AP464" s="185">
        <f t="shared" si="326"/>
        <v>0</v>
      </c>
      <c r="AQ464" s="185">
        <f t="shared" si="326"/>
        <v>0</v>
      </c>
      <c r="AR464" s="185">
        <f t="shared" si="326"/>
        <v>0</v>
      </c>
      <c r="AS464" s="185">
        <f t="shared" si="326"/>
        <v>0</v>
      </c>
      <c r="AT464" s="185">
        <f t="shared" si="326"/>
        <v>0</v>
      </c>
      <c r="AU464" s="185">
        <f t="shared" si="326"/>
        <v>0</v>
      </c>
    </row>
    <row r="465" spans="1:47">
      <c r="E465" s="36"/>
      <c r="G465" s="39"/>
      <c r="H465" s="39"/>
      <c r="I465" s="39"/>
      <c r="J465" s="39"/>
      <c r="K465" s="39"/>
    </row>
    <row r="466" spans="1:47">
      <c r="E466" s="327"/>
      <c r="F466" s="28"/>
      <c r="G466" s="324" t="str">
        <f>C469&amp;" O&amp;M"</f>
        <v>Land Disposal O&amp;M</v>
      </c>
      <c r="H466" s="324"/>
      <c r="I466" s="324"/>
      <c r="J466" s="324"/>
      <c r="K466" s="324"/>
      <c r="L466" s="405" t="s">
        <v>79</v>
      </c>
      <c r="M466" s="256"/>
      <c r="N466" s="325" t="s">
        <v>490</v>
      </c>
      <c r="O466" s="311"/>
      <c r="P466" s="325" t="s">
        <v>491</v>
      </c>
      <c r="Q466" s="310"/>
      <c r="R466" s="325">
        <f>R$8</f>
        <v>2014</v>
      </c>
      <c r="S466" s="325">
        <f t="shared" ref="S466:AU466" si="327">S$8</f>
        <v>2015</v>
      </c>
      <c r="T466" s="325">
        <f t="shared" si="327"/>
        <v>2016</v>
      </c>
      <c r="U466" s="325">
        <f t="shared" si="327"/>
        <v>2017</v>
      </c>
      <c r="V466" s="325">
        <f t="shared" si="327"/>
        <v>2018</v>
      </c>
      <c r="W466" s="325">
        <f t="shared" si="327"/>
        <v>2019</v>
      </c>
      <c r="X466" s="325">
        <f t="shared" si="327"/>
        <v>2020</v>
      </c>
      <c r="Y466" s="325">
        <f t="shared" si="327"/>
        <v>2021</v>
      </c>
      <c r="Z466" s="325">
        <f t="shared" si="327"/>
        <v>2022</v>
      </c>
      <c r="AA466" s="325">
        <f t="shared" si="327"/>
        <v>2023</v>
      </c>
      <c r="AB466" s="325">
        <f t="shared" si="327"/>
        <v>2024</v>
      </c>
      <c r="AC466" s="325">
        <f t="shared" si="327"/>
        <v>2025</v>
      </c>
      <c r="AD466" s="325">
        <f t="shared" si="327"/>
        <v>2026</v>
      </c>
      <c r="AE466" s="325">
        <f t="shared" si="327"/>
        <v>2027</v>
      </c>
      <c r="AF466" s="325">
        <f t="shared" si="327"/>
        <v>2028</v>
      </c>
      <c r="AG466" s="325">
        <f t="shared" si="327"/>
        <v>2029</v>
      </c>
      <c r="AH466" s="325">
        <f t="shared" si="327"/>
        <v>2030</v>
      </c>
      <c r="AI466" s="325">
        <f t="shared" si="327"/>
        <v>2031</v>
      </c>
      <c r="AJ466" s="325">
        <f t="shared" si="327"/>
        <v>2032</v>
      </c>
      <c r="AK466" s="325">
        <f t="shared" si="327"/>
        <v>2033</v>
      </c>
      <c r="AL466" s="325">
        <f t="shared" si="327"/>
        <v>2034</v>
      </c>
      <c r="AM466" s="325">
        <f t="shared" si="327"/>
        <v>2035</v>
      </c>
      <c r="AN466" s="325">
        <f t="shared" si="327"/>
        <v>2036</v>
      </c>
      <c r="AO466" s="325">
        <f t="shared" si="327"/>
        <v>2037</v>
      </c>
      <c r="AP466" s="325">
        <f t="shared" si="327"/>
        <v>2038</v>
      </c>
      <c r="AQ466" s="325">
        <f t="shared" si="327"/>
        <v>2039</v>
      </c>
      <c r="AR466" s="325">
        <f t="shared" si="327"/>
        <v>2040</v>
      </c>
      <c r="AS466" s="325">
        <f t="shared" si="327"/>
        <v>2041</v>
      </c>
      <c r="AT466" s="325">
        <f t="shared" si="327"/>
        <v>2042</v>
      </c>
      <c r="AU466" s="325">
        <f t="shared" si="327"/>
        <v>2043</v>
      </c>
    </row>
    <row r="467" spans="1:47">
      <c r="E467" s="325"/>
      <c r="G467" s="39"/>
      <c r="H467" s="39"/>
      <c r="I467" s="39"/>
      <c r="J467" s="39"/>
      <c r="K467" s="39"/>
    </row>
    <row r="468" spans="1:47">
      <c r="E468" s="325"/>
      <c r="G468" s="39" t="s">
        <v>23</v>
      </c>
      <c r="H468" s="39"/>
      <c r="I468" s="39"/>
      <c r="J468" s="39"/>
      <c r="K468" s="39"/>
    </row>
    <row r="469" spans="1:47">
      <c r="A469" s="38" t="str">
        <f t="shared" ref="A469:A476" si="328">$J$4&amp;"-"</f>
        <v>3Y-</v>
      </c>
      <c r="B469" s="38" t="s">
        <v>262</v>
      </c>
      <c r="C469" s="38" t="s">
        <v>311</v>
      </c>
      <c r="D469" s="186">
        <f>LaborEsc</f>
        <v>0.02</v>
      </c>
      <c r="E469" s="325"/>
      <c r="G469" s="36" t="s">
        <v>125</v>
      </c>
      <c r="I469" s="39"/>
      <c r="K469" s="39"/>
      <c r="L469" s="43" t="s">
        <v>266</v>
      </c>
      <c r="N469" s="70">
        <f ca="1">SUMIFS(OFFSET(Assumptions!$I$90,0,MATCH($A469,Configurations,0)-1,COUNT(Assumptions!$A$90:$A$183),1),Assumptions!$D$90:$D$183,$B469&amp;$C469)</f>
        <v>0</v>
      </c>
      <c r="O469" s="313"/>
      <c r="P469" s="323"/>
      <c r="Q469" s="313"/>
      <c r="R469" s="50">
        <f t="shared" ref="R469:AU469" ca="1" si="329">IF(OR(R$99&lt;InServiceYr,R$99&gt;(InServiceYr+analysis_period-1)),0,IF($P469=0,$N469,$P469)*LaborCost*(1+$D469)^(R$99-CostBaseYr))</f>
        <v>0</v>
      </c>
      <c r="S469" s="50">
        <f t="shared" ca="1" si="329"/>
        <v>0</v>
      </c>
      <c r="T469" s="50">
        <f t="shared" ca="1" si="329"/>
        <v>0</v>
      </c>
      <c r="U469" s="50">
        <f t="shared" ca="1" si="329"/>
        <v>0</v>
      </c>
      <c r="V469" s="50">
        <f t="shared" ca="1" si="329"/>
        <v>0</v>
      </c>
      <c r="W469" s="50">
        <f t="shared" ca="1" si="329"/>
        <v>0</v>
      </c>
      <c r="X469" s="50">
        <f t="shared" ca="1" si="329"/>
        <v>0</v>
      </c>
      <c r="Y469" s="50">
        <f t="shared" ca="1" si="329"/>
        <v>0</v>
      </c>
      <c r="Z469" s="50">
        <f t="shared" ca="1" si="329"/>
        <v>0</v>
      </c>
      <c r="AA469" s="50">
        <f t="shared" ca="1" si="329"/>
        <v>0</v>
      </c>
      <c r="AB469" s="50">
        <f t="shared" ca="1" si="329"/>
        <v>0</v>
      </c>
      <c r="AC469" s="50">
        <f t="shared" ca="1" si="329"/>
        <v>0</v>
      </c>
      <c r="AD469" s="50">
        <f t="shared" ca="1" si="329"/>
        <v>0</v>
      </c>
      <c r="AE469" s="50">
        <f t="shared" ca="1" si="329"/>
        <v>0</v>
      </c>
      <c r="AF469" s="50">
        <f t="shared" ca="1" si="329"/>
        <v>0</v>
      </c>
      <c r="AG469" s="50">
        <f t="shared" ca="1" si="329"/>
        <v>0</v>
      </c>
      <c r="AH469" s="50">
        <f t="shared" ca="1" si="329"/>
        <v>0</v>
      </c>
      <c r="AI469" s="50">
        <f t="shared" ca="1" si="329"/>
        <v>0</v>
      </c>
      <c r="AJ469" s="50">
        <f t="shared" ca="1" si="329"/>
        <v>0</v>
      </c>
      <c r="AK469" s="50">
        <f t="shared" ca="1" si="329"/>
        <v>0</v>
      </c>
      <c r="AL469" s="50">
        <f t="shared" si="329"/>
        <v>0</v>
      </c>
      <c r="AM469" s="50">
        <f t="shared" si="329"/>
        <v>0</v>
      </c>
      <c r="AN469" s="50">
        <f t="shared" si="329"/>
        <v>0</v>
      </c>
      <c r="AO469" s="50">
        <f t="shared" si="329"/>
        <v>0</v>
      </c>
      <c r="AP469" s="50">
        <f t="shared" si="329"/>
        <v>0</v>
      </c>
      <c r="AQ469" s="50">
        <f t="shared" si="329"/>
        <v>0</v>
      </c>
      <c r="AR469" s="50">
        <f t="shared" si="329"/>
        <v>0</v>
      </c>
      <c r="AS469" s="50">
        <f t="shared" si="329"/>
        <v>0</v>
      </c>
      <c r="AT469" s="50">
        <f t="shared" si="329"/>
        <v>0</v>
      </c>
      <c r="AU469" s="50">
        <f t="shared" si="329"/>
        <v>0</v>
      </c>
    </row>
    <row r="470" spans="1:47">
      <c r="A470" s="38" t="str">
        <f t="shared" si="328"/>
        <v>3Y-</v>
      </c>
      <c r="B470" s="38" t="s">
        <v>270</v>
      </c>
      <c r="C470" s="38" t="str">
        <f>C469</f>
        <v>Land Disposal</v>
      </c>
      <c r="D470" s="186">
        <f>OMEsc</f>
        <v>0.02</v>
      </c>
      <c r="E470" s="325"/>
      <c r="G470" s="36" t="s">
        <v>126</v>
      </c>
      <c r="I470" s="39"/>
      <c r="K470" s="39"/>
      <c r="L470" s="43" t="str">
        <f>"["&amp;CostBaseYr&amp;" $]"</f>
        <v>[2013 $]</v>
      </c>
      <c r="N470" s="70">
        <f ca="1">SUMIFS(OFFSET(Assumptions!$I$90,0,MATCH($A470,Configurations,0)-1,COUNT(Assumptions!$A$90:$A$183),1),Assumptions!$D$90:$D$183,$B470&amp;$C470)</f>
        <v>0</v>
      </c>
      <c r="O470" s="313"/>
      <c r="P470" s="323"/>
      <c r="Q470" s="313"/>
      <c r="R470" s="50">
        <f t="shared" ref="R470:AG472" ca="1" si="330">IF(OR(R$99&lt;InServiceYr,R$99&gt;(InServiceYr+analysis_period-1)),0,IF($P470=0,$N470,$P470)*(1+$D470)^(R$99-CostBaseYr))</f>
        <v>0</v>
      </c>
      <c r="S470" s="50">
        <f t="shared" ca="1" si="330"/>
        <v>0</v>
      </c>
      <c r="T470" s="50">
        <f t="shared" ca="1" si="330"/>
        <v>0</v>
      </c>
      <c r="U470" s="50">
        <f t="shared" ca="1" si="330"/>
        <v>0</v>
      </c>
      <c r="V470" s="50">
        <f t="shared" ca="1" si="330"/>
        <v>0</v>
      </c>
      <c r="W470" s="50">
        <f t="shared" ca="1" si="330"/>
        <v>0</v>
      </c>
      <c r="X470" s="50">
        <f t="shared" ca="1" si="330"/>
        <v>0</v>
      </c>
      <c r="Y470" s="50">
        <f t="shared" ca="1" si="330"/>
        <v>0</v>
      </c>
      <c r="Z470" s="50">
        <f t="shared" ca="1" si="330"/>
        <v>0</v>
      </c>
      <c r="AA470" s="50">
        <f t="shared" ca="1" si="330"/>
        <v>0</v>
      </c>
      <c r="AB470" s="50">
        <f t="shared" ca="1" si="330"/>
        <v>0</v>
      </c>
      <c r="AC470" s="50">
        <f t="shared" ca="1" si="330"/>
        <v>0</v>
      </c>
      <c r="AD470" s="50">
        <f t="shared" ca="1" si="330"/>
        <v>0</v>
      </c>
      <c r="AE470" s="50">
        <f t="shared" ca="1" si="330"/>
        <v>0</v>
      </c>
      <c r="AF470" s="50">
        <f t="shared" ca="1" si="330"/>
        <v>0</v>
      </c>
      <c r="AG470" s="50">
        <f t="shared" ca="1" si="330"/>
        <v>0</v>
      </c>
      <c r="AH470" s="50">
        <f t="shared" ref="S470:AU472" ca="1" si="331">IF(OR(AH$99&lt;InServiceYr,AH$99&gt;(InServiceYr+analysis_period-1)),0,IF($P470=0,$N470,$P470)*(1+$D470)^(AH$99-CostBaseYr))</f>
        <v>0</v>
      </c>
      <c r="AI470" s="50">
        <f t="shared" ca="1" si="331"/>
        <v>0</v>
      </c>
      <c r="AJ470" s="50">
        <f t="shared" ca="1" si="331"/>
        <v>0</v>
      </c>
      <c r="AK470" s="50">
        <f t="shared" ca="1" si="331"/>
        <v>0</v>
      </c>
      <c r="AL470" s="50">
        <f t="shared" si="331"/>
        <v>0</v>
      </c>
      <c r="AM470" s="50">
        <f t="shared" si="331"/>
        <v>0</v>
      </c>
      <c r="AN470" s="50">
        <f t="shared" si="331"/>
        <v>0</v>
      </c>
      <c r="AO470" s="50">
        <f t="shared" si="331"/>
        <v>0</v>
      </c>
      <c r="AP470" s="50">
        <f t="shared" si="331"/>
        <v>0</v>
      </c>
      <c r="AQ470" s="50">
        <f t="shared" si="331"/>
        <v>0</v>
      </c>
      <c r="AR470" s="50">
        <f t="shared" si="331"/>
        <v>0</v>
      </c>
      <c r="AS470" s="50">
        <f t="shared" si="331"/>
        <v>0</v>
      </c>
      <c r="AT470" s="50">
        <f t="shared" si="331"/>
        <v>0</v>
      </c>
      <c r="AU470" s="50">
        <f t="shared" si="331"/>
        <v>0</v>
      </c>
    </row>
    <row r="471" spans="1:47">
      <c r="A471" s="38" t="str">
        <f t="shared" si="328"/>
        <v>3Y-</v>
      </c>
      <c r="B471" s="38" t="s">
        <v>263</v>
      </c>
      <c r="C471" s="38" t="str">
        <f t="shared" ref="C471:C475" si="332">C470</f>
        <v>Land Disposal</v>
      </c>
      <c r="D471" s="186">
        <f>OMEsc</f>
        <v>0.02</v>
      </c>
      <c r="E471" s="325"/>
      <c r="G471" s="36" t="s">
        <v>127</v>
      </c>
      <c r="I471" s="39"/>
      <c r="K471" s="39"/>
      <c r="L471" s="43" t="str">
        <f>"["&amp;CostBaseYr&amp;" $]"</f>
        <v>[2013 $]</v>
      </c>
      <c r="N471" s="70">
        <f ca="1">SUMIFS(OFFSET(Assumptions!$I$90,0,MATCH($A471,Configurations,0)-1,COUNT(Assumptions!$A$90:$A$183),1),Assumptions!$D$90:$D$183,$B471&amp;$C471)</f>
        <v>0</v>
      </c>
      <c r="O471" s="313"/>
      <c r="P471" s="323"/>
      <c r="Q471" s="313"/>
      <c r="R471" s="50">
        <f t="shared" ca="1" si="330"/>
        <v>0</v>
      </c>
      <c r="S471" s="50">
        <f t="shared" ca="1" si="331"/>
        <v>0</v>
      </c>
      <c r="T471" s="50">
        <f t="shared" ca="1" si="331"/>
        <v>0</v>
      </c>
      <c r="U471" s="50">
        <f t="shared" ca="1" si="331"/>
        <v>0</v>
      </c>
      <c r="V471" s="50">
        <f t="shared" ca="1" si="331"/>
        <v>0</v>
      </c>
      <c r="W471" s="50">
        <f t="shared" ca="1" si="331"/>
        <v>0</v>
      </c>
      <c r="X471" s="50">
        <f t="shared" ca="1" si="331"/>
        <v>0</v>
      </c>
      <c r="Y471" s="50">
        <f t="shared" ca="1" si="331"/>
        <v>0</v>
      </c>
      <c r="Z471" s="50">
        <f t="shared" ca="1" si="331"/>
        <v>0</v>
      </c>
      <c r="AA471" s="50">
        <f t="shared" ca="1" si="331"/>
        <v>0</v>
      </c>
      <c r="AB471" s="50">
        <f t="shared" ca="1" si="331"/>
        <v>0</v>
      </c>
      <c r="AC471" s="50">
        <f t="shared" ca="1" si="331"/>
        <v>0</v>
      </c>
      <c r="AD471" s="50">
        <f t="shared" ca="1" si="331"/>
        <v>0</v>
      </c>
      <c r="AE471" s="50">
        <f t="shared" ca="1" si="331"/>
        <v>0</v>
      </c>
      <c r="AF471" s="50">
        <f t="shared" ca="1" si="331"/>
        <v>0</v>
      </c>
      <c r="AG471" s="50">
        <f t="shared" ca="1" si="331"/>
        <v>0</v>
      </c>
      <c r="AH471" s="50">
        <f t="shared" ca="1" si="331"/>
        <v>0</v>
      </c>
      <c r="AI471" s="50">
        <f t="shared" ca="1" si="331"/>
        <v>0</v>
      </c>
      <c r="AJ471" s="50">
        <f t="shared" ca="1" si="331"/>
        <v>0</v>
      </c>
      <c r="AK471" s="50">
        <f t="shared" ca="1" si="331"/>
        <v>0</v>
      </c>
      <c r="AL471" s="50">
        <f t="shared" si="331"/>
        <v>0</v>
      </c>
      <c r="AM471" s="50">
        <f t="shared" si="331"/>
        <v>0</v>
      </c>
      <c r="AN471" s="50">
        <f t="shared" si="331"/>
        <v>0</v>
      </c>
      <c r="AO471" s="50">
        <f t="shared" si="331"/>
        <v>0</v>
      </c>
      <c r="AP471" s="50">
        <f t="shared" si="331"/>
        <v>0</v>
      </c>
      <c r="AQ471" s="50">
        <f t="shared" si="331"/>
        <v>0</v>
      </c>
      <c r="AR471" s="50">
        <f t="shared" si="331"/>
        <v>0</v>
      </c>
      <c r="AS471" s="50">
        <f t="shared" si="331"/>
        <v>0</v>
      </c>
      <c r="AT471" s="50">
        <f t="shared" si="331"/>
        <v>0</v>
      </c>
      <c r="AU471" s="50">
        <f t="shared" si="331"/>
        <v>0</v>
      </c>
    </row>
    <row r="472" spans="1:47">
      <c r="A472" s="38" t="str">
        <f t="shared" si="328"/>
        <v>3Y-</v>
      </c>
      <c r="B472" s="38" t="s">
        <v>277</v>
      </c>
      <c r="C472" s="38" t="str">
        <f t="shared" si="332"/>
        <v>Land Disposal</v>
      </c>
      <c r="D472" s="186">
        <f>OMEsc</f>
        <v>0.02</v>
      </c>
      <c r="E472" s="325"/>
      <c r="G472" s="36" t="s">
        <v>276</v>
      </c>
      <c r="I472" s="39"/>
      <c r="K472" s="39"/>
      <c r="L472" s="43" t="str">
        <f>"["&amp;CostBaseYr&amp;" $]"</f>
        <v>[2013 $]</v>
      </c>
      <c r="N472" s="70">
        <f ca="1">SUMIFS(OFFSET(Assumptions!$I$90,0,MATCH($A472,Configurations,0)-1,COUNT(Assumptions!$A$90:$A$183),1),Assumptions!$D$90:$D$183,$B472&amp;$C472)</f>
        <v>0</v>
      </c>
      <c r="O472" s="313"/>
      <c r="P472" s="323"/>
      <c r="Q472" s="313"/>
      <c r="R472" s="50">
        <f t="shared" ca="1" si="330"/>
        <v>0</v>
      </c>
      <c r="S472" s="50">
        <f t="shared" ca="1" si="331"/>
        <v>0</v>
      </c>
      <c r="T472" s="50">
        <f t="shared" ca="1" si="331"/>
        <v>0</v>
      </c>
      <c r="U472" s="50">
        <f t="shared" ca="1" si="331"/>
        <v>0</v>
      </c>
      <c r="V472" s="50">
        <f t="shared" ca="1" si="331"/>
        <v>0</v>
      </c>
      <c r="W472" s="50">
        <f t="shared" ca="1" si="331"/>
        <v>0</v>
      </c>
      <c r="X472" s="50">
        <f t="shared" ca="1" si="331"/>
        <v>0</v>
      </c>
      <c r="Y472" s="50">
        <f t="shared" ca="1" si="331"/>
        <v>0</v>
      </c>
      <c r="Z472" s="50">
        <f t="shared" ca="1" si="331"/>
        <v>0</v>
      </c>
      <c r="AA472" s="50">
        <f t="shared" ca="1" si="331"/>
        <v>0</v>
      </c>
      <c r="AB472" s="50">
        <f t="shared" ca="1" si="331"/>
        <v>0</v>
      </c>
      <c r="AC472" s="50">
        <f t="shared" ca="1" si="331"/>
        <v>0</v>
      </c>
      <c r="AD472" s="50">
        <f t="shared" ca="1" si="331"/>
        <v>0</v>
      </c>
      <c r="AE472" s="50">
        <f t="shared" ca="1" si="331"/>
        <v>0</v>
      </c>
      <c r="AF472" s="50">
        <f t="shared" ca="1" si="331"/>
        <v>0</v>
      </c>
      <c r="AG472" s="50">
        <f t="shared" ca="1" si="331"/>
        <v>0</v>
      </c>
      <c r="AH472" s="50">
        <f t="shared" ca="1" si="331"/>
        <v>0</v>
      </c>
      <c r="AI472" s="50">
        <f t="shared" ca="1" si="331"/>
        <v>0</v>
      </c>
      <c r="AJ472" s="50">
        <f t="shared" ca="1" si="331"/>
        <v>0</v>
      </c>
      <c r="AK472" s="50">
        <f t="shared" ca="1" si="331"/>
        <v>0</v>
      </c>
      <c r="AL472" s="50">
        <f t="shared" si="331"/>
        <v>0</v>
      </c>
      <c r="AM472" s="50">
        <f t="shared" si="331"/>
        <v>0</v>
      </c>
      <c r="AN472" s="50">
        <f t="shared" si="331"/>
        <v>0</v>
      </c>
      <c r="AO472" s="50">
        <f t="shared" si="331"/>
        <v>0</v>
      </c>
      <c r="AP472" s="50">
        <f t="shared" si="331"/>
        <v>0</v>
      </c>
      <c r="AQ472" s="50">
        <f t="shared" si="331"/>
        <v>0</v>
      </c>
      <c r="AR472" s="50">
        <f t="shared" si="331"/>
        <v>0</v>
      </c>
      <c r="AS472" s="50">
        <f t="shared" si="331"/>
        <v>0</v>
      </c>
      <c r="AT472" s="50">
        <f t="shared" si="331"/>
        <v>0</v>
      </c>
      <c r="AU472" s="50">
        <f t="shared" si="331"/>
        <v>0</v>
      </c>
    </row>
    <row r="473" spans="1:47">
      <c r="A473" s="38" t="str">
        <f t="shared" si="328"/>
        <v>3Y-</v>
      </c>
      <c r="B473" s="38" t="s">
        <v>274</v>
      </c>
      <c r="C473" s="38" t="str">
        <f t="shared" si="332"/>
        <v>Land Disposal</v>
      </c>
      <c r="D473" s="186"/>
      <c r="E473" s="325"/>
      <c r="G473" s="36" t="s">
        <v>16</v>
      </c>
      <c r="I473" s="39"/>
      <c r="K473" s="39"/>
      <c r="L473" s="43" t="s">
        <v>275</v>
      </c>
      <c r="N473" s="70">
        <f ca="1">SUMIFS(OFFSET(Assumptions!$I$90,0,MATCH($A473,Configurations,0)-1,COUNT(Assumptions!$A$90:$A$183),1),Assumptions!$D$90:$D$183,$B473&amp;$C473)</f>
        <v>0</v>
      </c>
      <c r="O473" s="313"/>
      <c r="P473" s="323"/>
      <c r="Q473" s="313"/>
      <c r="R473" s="50">
        <f t="shared" ref="R473:AU473" ca="1" si="333">IF(OR(R$99&lt;InServiceYr,R$99&gt;(InServiceYr+analysis_period-1)),0,IF($P473=0,$N473,$P473)*R$505)</f>
        <v>0</v>
      </c>
      <c r="S473" s="50">
        <f t="shared" ca="1" si="333"/>
        <v>0</v>
      </c>
      <c r="T473" s="50">
        <f t="shared" ca="1" si="333"/>
        <v>0</v>
      </c>
      <c r="U473" s="50">
        <f t="shared" ca="1" si="333"/>
        <v>0</v>
      </c>
      <c r="V473" s="50">
        <f t="shared" ca="1" si="333"/>
        <v>0</v>
      </c>
      <c r="W473" s="50">
        <f t="shared" ca="1" si="333"/>
        <v>0</v>
      </c>
      <c r="X473" s="50">
        <f t="shared" ca="1" si="333"/>
        <v>0</v>
      </c>
      <c r="Y473" s="50">
        <f t="shared" ca="1" si="333"/>
        <v>0</v>
      </c>
      <c r="Z473" s="50">
        <f t="shared" ca="1" si="333"/>
        <v>0</v>
      </c>
      <c r="AA473" s="50">
        <f t="shared" ca="1" si="333"/>
        <v>0</v>
      </c>
      <c r="AB473" s="50">
        <f t="shared" ca="1" si="333"/>
        <v>0</v>
      </c>
      <c r="AC473" s="50">
        <f t="shared" ca="1" si="333"/>
        <v>0</v>
      </c>
      <c r="AD473" s="50">
        <f t="shared" ca="1" si="333"/>
        <v>0</v>
      </c>
      <c r="AE473" s="50">
        <f t="shared" ca="1" si="333"/>
        <v>0</v>
      </c>
      <c r="AF473" s="50">
        <f t="shared" ca="1" si="333"/>
        <v>0</v>
      </c>
      <c r="AG473" s="50">
        <f t="shared" ca="1" si="333"/>
        <v>0</v>
      </c>
      <c r="AH473" s="50">
        <f t="shared" ca="1" si="333"/>
        <v>0</v>
      </c>
      <c r="AI473" s="50">
        <f t="shared" ca="1" si="333"/>
        <v>0</v>
      </c>
      <c r="AJ473" s="50">
        <f t="shared" ca="1" si="333"/>
        <v>0</v>
      </c>
      <c r="AK473" s="50">
        <f t="shared" ca="1" si="333"/>
        <v>0</v>
      </c>
      <c r="AL473" s="50">
        <f t="shared" si="333"/>
        <v>0</v>
      </c>
      <c r="AM473" s="50">
        <f t="shared" si="333"/>
        <v>0</v>
      </c>
      <c r="AN473" s="50">
        <f t="shared" si="333"/>
        <v>0</v>
      </c>
      <c r="AO473" s="50">
        <f t="shared" si="333"/>
        <v>0</v>
      </c>
      <c r="AP473" s="50">
        <f t="shared" si="333"/>
        <v>0</v>
      </c>
      <c r="AQ473" s="50">
        <f t="shared" si="333"/>
        <v>0</v>
      </c>
      <c r="AR473" s="50">
        <f t="shared" si="333"/>
        <v>0</v>
      </c>
      <c r="AS473" s="50">
        <f t="shared" si="333"/>
        <v>0</v>
      </c>
      <c r="AT473" s="50">
        <f t="shared" si="333"/>
        <v>0</v>
      </c>
      <c r="AU473" s="50">
        <f t="shared" si="333"/>
        <v>0</v>
      </c>
    </row>
    <row r="474" spans="1:47">
      <c r="A474" s="38" t="str">
        <f t="shared" si="328"/>
        <v>3Y-</v>
      </c>
      <c r="B474" s="38" t="s">
        <v>257</v>
      </c>
      <c r="C474" s="38" t="str">
        <f t="shared" si="332"/>
        <v>Land Disposal</v>
      </c>
      <c r="D474" s="186"/>
      <c r="E474" s="325"/>
      <c r="G474" s="36" t="s">
        <v>284</v>
      </c>
      <c r="I474" s="39"/>
      <c r="K474" s="39"/>
      <c r="L474" s="43" t="s">
        <v>293</v>
      </c>
      <c r="N474" s="70">
        <f ca="1">SUMIFS(OFFSET(Assumptions!$I$90,0,MATCH($A474,Configurations,0)-1,COUNT(Assumptions!$A$90:$A$183),1),Assumptions!$D$90:$D$183,$B474&amp;$C474)</f>
        <v>0</v>
      </c>
      <c r="O474" s="313"/>
      <c r="P474" s="323"/>
      <c r="Q474" s="313"/>
      <c r="R474" s="50">
        <f t="shared" ref="R474:AU474" ca="1" si="334">IF(OR(R$99&lt;InServiceYr,R$99&gt;(InServiceYr+analysis_period-1)),0,IF($P474=0,$N474,$P474)*R$501)</f>
        <v>0</v>
      </c>
      <c r="S474" s="50">
        <f t="shared" ca="1" si="334"/>
        <v>0</v>
      </c>
      <c r="T474" s="50">
        <f t="shared" ca="1" si="334"/>
        <v>0</v>
      </c>
      <c r="U474" s="50">
        <f t="shared" ca="1" si="334"/>
        <v>0</v>
      </c>
      <c r="V474" s="50">
        <f t="shared" ca="1" si="334"/>
        <v>0</v>
      </c>
      <c r="W474" s="50">
        <f t="shared" ca="1" si="334"/>
        <v>0</v>
      </c>
      <c r="X474" s="50">
        <f t="shared" ca="1" si="334"/>
        <v>0</v>
      </c>
      <c r="Y474" s="50">
        <f t="shared" ca="1" si="334"/>
        <v>0</v>
      </c>
      <c r="Z474" s="50">
        <f t="shared" ca="1" si="334"/>
        <v>0</v>
      </c>
      <c r="AA474" s="50">
        <f t="shared" ca="1" si="334"/>
        <v>0</v>
      </c>
      <c r="AB474" s="50">
        <f t="shared" ca="1" si="334"/>
        <v>0</v>
      </c>
      <c r="AC474" s="50">
        <f t="shared" ca="1" si="334"/>
        <v>0</v>
      </c>
      <c r="AD474" s="50">
        <f t="shared" ca="1" si="334"/>
        <v>0</v>
      </c>
      <c r="AE474" s="50">
        <f t="shared" ca="1" si="334"/>
        <v>0</v>
      </c>
      <c r="AF474" s="50">
        <f t="shared" ca="1" si="334"/>
        <v>0</v>
      </c>
      <c r="AG474" s="50">
        <f t="shared" ca="1" si="334"/>
        <v>0</v>
      </c>
      <c r="AH474" s="50">
        <f t="shared" ca="1" si="334"/>
        <v>0</v>
      </c>
      <c r="AI474" s="50">
        <f t="shared" ca="1" si="334"/>
        <v>0</v>
      </c>
      <c r="AJ474" s="50">
        <f t="shared" ca="1" si="334"/>
        <v>0</v>
      </c>
      <c r="AK474" s="50">
        <f t="shared" ca="1" si="334"/>
        <v>0</v>
      </c>
      <c r="AL474" s="50">
        <f t="shared" si="334"/>
        <v>0</v>
      </c>
      <c r="AM474" s="50">
        <f t="shared" si="334"/>
        <v>0</v>
      </c>
      <c r="AN474" s="50">
        <f t="shared" si="334"/>
        <v>0</v>
      </c>
      <c r="AO474" s="50">
        <f t="shared" si="334"/>
        <v>0</v>
      </c>
      <c r="AP474" s="50">
        <f t="shared" si="334"/>
        <v>0</v>
      </c>
      <c r="AQ474" s="50">
        <f t="shared" si="334"/>
        <v>0</v>
      </c>
      <c r="AR474" s="50">
        <f t="shared" si="334"/>
        <v>0</v>
      </c>
      <c r="AS474" s="50">
        <f t="shared" si="334"/>
        <v>0</v>
      </c>
      <c r="AT474" s="50">
        <f t="shared" si="334"/>
        <v>0</v>
      </c>
      <c r="AU474" s="50">
        <f t="shared" si="334"/>
        <v>0</v>
      </c>
    </row>
    <row r="475" spans="1:47">
      <c r="A475" s="38" t="str">
        <f t="shared" si="328"/>
        <v>3Y-</v>
      </c>
      <c r="B475" s="38" t="s">
        <v>864</v>
      </c>
      <c r="C475" s="38" t="str">
        <f t="shared" si="332"/>
        <v>Land Disposal</v>
      </c>
      <c r="D475" s="186">
        <f>GHGEsc</f>
        <v>0.02</v>
      </c>
      <c r="E475" s="325"/>
      <c r="G475" s="36" t="s">
        <v>865</v>
      </c>
      <c r="I475" s="39"/>
      <c r="K475" s="39"/>
      <c r="L475" s="43" t="s">
        <v>866</v>
      </c>
      <c r="N475" s="70">
        <f ca="1">SUMIFS(OFFSET(Assumptions!$I$90,0,MATCH($A475,Configurations,0)-1,COUNT(Assumptions!$A$90:$A$183),1),Assumptions!$D$90:$D$183,$B475&amp;$C475)</f>
        <v>0</v>
      </c>
      <c r="O475" s="313"/>
      <c r="P475" s="323"/>
      <c r="Q475" s="313"/>
      <c r="R475" s="50">
        <f t="shared" ref="R475:AU475" ca="1" si="335">IF(OR(R$99&lt;InServiceYr,R$99&gt;(InServiceYr+analysis_period-1)),0,IF($P475=0,$N475,$P475)*R$513)</f>
        <v>0</v>
      </c>
      <c r="S475" s="50">
        <f t="shared" ca="1" si="335"/>
        <v>0</v>
      </c>
      <c r="T475" s="50">
        <f t="shared" ca="1" si="335"/>
        <v>0</v>
      </c>
      <c r="U475" s="50">
        <f t="shared" ca="1" si="335"/>
        <v>0</v>
      </c>
      <c r="V475" s="50">
        <f t="shared" ca="1" si="335"/>
        <v>0</v>
      </c>
      <c r="W475" s="50">
        <f t="shared" ca="1" si="335"/>
        <v>0</v>
      </c>
      <c r="X475" s="50">
        <f t="shared" ca="1" si="335"/>
        <v>0</v>
      </c>
      <c r="Y475" s="50">
        <f t="shared" ca="1" si="335"/>
        <v>0</v>
      </c>
      <c r="Z475" s="50">
        <f t="shared" ca="1" si="335"/>
        <v>0</v>
      </c>
      <c r="AA475" s="50">
        <f t="shared" ca="1" si="335"/>
        <v>0</v>
      </c>
      <c r="AB475" s="50">
        <f t="shared" ca="1" si="335"/>
        <v>0</v>
      </c>
      <c r="AC475" s="50">
        <f t="shared" ca="1" si="335"/>
        <v>0</v>
      </c>
      <c r="AD475" s="50">
        <f t="shared" ca="1" si="335"/>
        <v>0</v>
      </c>
      <c r="AE475" s="50">
        <f t="shared" ca="1" si="335"/>
        <v>0</v>
      </c>
      <c r="AF475" s="50">
        <f t="shared" ca="1" si="335"/>
        <v>0</v>
      </c>
      <c r="AG475" s="50">
        <f t="shared" ca="1" si="335"/>
        <v>0</v>
      </c>
      <c r="AH475" s="50">
        <f t="shared" ca="1" si="335"/>
        <v>0</v>
      </c>
      <c r="AI475" s="50">
        <f t="shared" ca="1" si="335"/>
        <v>0</v>
      </c>
      <c r="AJ475" s="50">
        <f t="shared" ca="1" si="335"/>
        <v>0</v>
      </c>
      <c r="AK475" s="50">
        <f t="shared" ca="1" si="335"/>
        <v>0</v>
      </c>
      <c r="AL475" s="50">
        <f t="shared" si="335"/>
        <v>0</v>
      </c>
      <c r="AM475" s="50">
        <f t="shared" si="335"/>
        <v>0</v>
      </c>
      <c r="AN475" s="50">
        <f t="shared" si="335"/>
        <v>0</v>
      </c>
      <c r="AO475" s="50">
        <f t="shared" si="335"/>
        <v>0</v>
      </c>
      <c r="AP475" s="50">
        <f t="shared" si="335"/>
        <v>0</v>
      </c>
      <c r="AQ475" s="50">
        <f t="shared" si="335"/>
        <v>0</v>
      </c>
      <c r="AR475" s="50">
        <f t="shared" si="335"/>
        <v>0</v>
      </c>
      <c r="AS475" s="50">
        <f t="shared" si="335"/>
        <v>0</v>
      </c>
      <c r="AT475" s="50">
        <f t="shared" si="335"/>
        <v>0</v>
      </c>
      <c r="AU475" s="50">
        <f t="shared" si="335"/>
        <v>0</v>
      </c>
    </row>
    <row r="476" spans="1:47">
      <c r="A476" s="38" t="str">
        <f t="shared" si="328"/>
        <v>3Y-</v>
      </c>
      <c r="B476" s="38" t="s">
        <v>273</v>
      </c>
      <c r="C476" s="38" t="str">
        <f>C474</f>
        <v>Land Disposal</v>
      </c>
      <c r="D476" s="186">
        <f>LaborEsc</f>
        <v>0.02</v>
      </c>
      <c r="E476" s="325"/>
      <c r="G476" s="36" t="s">
        <v>291</v>
      </c>
      <c r="I476" s="39"/>
      <c r="K476" s="39"/>
      <c r="L476" s="43" t="str">
        <f>"["&amp;CostBaseYr&amp;" $]"</f>
        <v>[2013 $]</v>
      </c>
      <c r="N476" s="70">
        <f ca="1">SUMIFS(OFFSET(Assumptions!$I$90,0,MATCH($A476,Configurations,0)-1,COUNT(Assumptions!$A$90:$A$183),1),Assumptions!$D$90:$D$183,$B476&amp;$C476)</f>
        <v>0</v>
      </c>
      <c r="O476" s="313"/>
      <c r="P476" s="323"/>
      <c r="Q476" s="313"/>
      <c r="R476" s="50">
        <f t="shared" ref="R476:AU476" ca="1" si="336">IF(OR(R$99&lt;InServiceYr,R$99&gt;(InServiceYr+analysis_period-1)),0,IF($P476=0,$N476,$P476)*(1+$D476)^(R$99-CostBaseYr))*R$509</f>
        <v>0</v>
      </c>
      <c r="S476" s="50">
        <f t="shared" ca="1" si="336"/>
        <v>0</v>
      </c>
      <c r="T476" s="50">
        <f t="shared" ca="1" si="336"/>
        <v>0</v>
      </c>
      <c r="U476" s="50">
        <f t="shared" ca="1" si="336"/>
        <v>0</v>
      </c>
      <c r="V476" s="50">
        <f t="shared" ca="1" si="336"/>
        <v>0</v>
      </c>
      <c r="W476" s="50">
        <f t="shared" ca="1" si="336"/>
        <v>0</v>
      </c>
      <c r="X476" s="50">
        <f t="shared" ca="1" si="336"/>
        <v>0</v>
      </c>
      <c r="Y476" s="50">
        <f t="shared" ca="1" si="336"/>
        <v>0</v>
      </c>
      <c r="Z476" s="50">
        <f t="shared" ca="1" si="336"/>
        <v>0</v>
      </c>
      <c r="AA476" s="50">
        <f t="shared" ca="1" si="336"/>
        <v>0</v>
      </c>
      <c r="AB476" s="50">
        <f t="shared" ca="1" si="336"/>
        <v>0</v>
      </c>
      <c r="AC476" s="50">
        <f t="shared" ca="1" si="336"/>
        <v>0</v>
      </c>
      <c r="AD476" s="50">
        <f t="shared" ca="1" si="336"/>
        <v>0</v>
      </c>
      <c r="AE476" s="50">
        <f t="shared" ca="1" si="336"/>
        <v>0</v>
      </c>
      <c r="AF476" s="50">
        <f t="shared" ca="1" si="336"/>
        <v>0</v>
      </c>
      <c r="AG476" s="50">
        <f t="shared" ca="1" si="336"/>
        <v>0</v>
      </c>
      <c r="AH476" s="50">
        <f t="shared" ca="1" si="336"/>
        <v>0</v>
      </c>
      <c r="AI476" s="50">
        <f t="shared" ca="1" si="336"/>
        <v>0</v>
      </c>
      <c r="AJ476" s="50">
        <f t="shared" ca="1" si="336"/>
        <v>0</v>
      </c>
      <c r="AK476" s="50">
        <f t="shared" ca="1" si="336"/>
        <v>0</v>
      </c>
      <c r="AL476" s="50">
        <f t="shared" si="336"/>
        <v>0</v>
      </c>
      <c r="AM476" s="50">
        <f t="shared" si="336"/>
        <v>0</v>
      </c>
      <c r="AN476" s="50">
        <f t="shared" si="336"/>
        <v>0</v>
      </c>
      <c r="AO476" s="50">
        <f t="shared" si="336"/>
        <v>0</v>
      </c>
      <c r="AP476" s="50">
        <f t="shared" si="336"/>
        <v>0</v>
      </c>
      <c r="AQ476" s="50">
        <f t="shared" si="336"/>
        <v>0</v>
      </c>
      <c r="AR476" s="50">
        <f t="shared" si="336"/>
        <v>0</v>
      </c>
      <c r="AS476" s="50">
        <f t="shared" si="336"/>
        <v>0</v>
      </c>
      <c r="AT476" s="50">
        <f t="shared" si="336"/>
        <v>0</v>
      </c>
      <c r="AU476" s="50">
        <f t="shared" si="336"/>
        <v>0</v>
      </c>
    </row>
    <row r="477" spans="1:47">
      <c r="D477" s="186"/>
      <c r="E477" s="325"/>
      <c r="G477" s="39" t="s">
        <v>304</v>
      </c>
      <c r="I477" s="39"/>
      <c r="K477" s="39"/>
      <c r="L477" s="43"/>
      <c r="N477" s="70"/>
      <c r="O477" s="313"/>
      <c r="P477" s="70"/>
      <c r="Q477" s="313"/>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row>
    <row r="478" spans="1:47">
      <c r="A478" s="38" t="str">
        <f>$J$4&amp;"-"</f>
        <v>3Y-</v>
      </c>
      <c r="B478" s="38" t="s">
        <v>265</v>
      </c>
      <c r="C478" s="38" t="str">
        <f>C469</f>
        <v>Land Disposal</v>
      </c>
      <c r="D478" s="186"/>
      <c r="E478" s="325"/>
      <c r="G478" s="36" t="s">
        <v>108</v>
      </c>
      <c r="I478" s="39"/>
      <c r="K478" s="39"/>
      <c r="L478" s="43" t="s">
        <v>293</v>
      </c>
      <c r="N478" s="70">
        <f ca="1">SUMIFS(OFFSET(Assumptions!$I$90,0,MATCH($A478,Configurations,0)-1,COUNT(Assumptions!$A$90:$A$183),1),Assumptions!$D$90:$D$183,$B478&amp;$C478)</f>
        <v>0</v>
      </c>
      <c r="O478" s="313"/>
      <c r="P478" s="323"/>
      <c r="Q478" s="313"/>
      <c r="R478" s="50">
        <f t="shared" ref="R478:AU478" ca="1" si="337">IF(OR(R$99&lt;InServiceYr,R$99&gt;(InServiceYr+analysis_period-1)),0,IF($P478=0,$N478,$P478)*R$501)</f>
        <v>0</v>
      </c>
      <c r="S478" s="50">
        <f t="shared" ca="1" si="337"/>
        <v>0</v>
      </c>
      <c r="T478" s="50">
        <f t="shared" ca="1" si="337"/>
        <v>0</v>
      </c>
      <c r="U478" s="50">
        <f t="shared" ca="1" si="337"/>
        <v>0</v>
      </c>
      <c r="V478" s="50">
        <f t="shared" ca="1" si="337"/>
        <v>0</v>
      </c>
      <c r="W478" s="50">
        <f t="shared" ca="1" si="337"/>
        <v>0</v>
      </c>
      <c r="X478" s="50">
        <f t="shared" ca="1" si="337"/>
        <v>0</v>
      </c>
      <c r="Y478" s="50">
        <f t="shared" ca="1" si="337"/>
        <v>0</v>
      </c>
      <c r="Z478" s="50">
        <f t="shared" ca="1" si="337"/>
        <v>0</v>
      </c>
      <c r="AA478" s="50">
        <f t="shared" ca="1" si="337"/>
        <v>0</v>
      </c>
      <c r="AB478" s="50">
        <f t="shared" ca="1" si="337"/>
        <v>0</v>
      </c>
      <c r="AC478" s="50">
        <f t="shared" ca="1" si="337"/>
        <v>0</v>
      </c>
      <c r="AD478" s="50">
        <f t="shared" ca="1" si="337"/>
        <v>0</v>
      </c>
      <c r="AE478" s="50">
        <f t="shared" ca="1" si="337"/>
        <v>0</v>
      </c>
      <c r="AF478" s="50">
        <f t="shared" ca="1" si="337"/>
        <v>0</v>
      </c>
      <c r="AG478" s="50">
        <f t="shared" ca="1" si="337"/>
        <v>0</v>
      </c>
      <c r="AH478" s="50">
        <f t="shared" ca="1" si="337"/>
        <v>0</v>
      </c>
      <c r="AI478" s="50">
        <f t="shared" ca="1" si="337"/>
        <v>0</v>
      </c>
      <c r="AJ478" s="50">
        <f t="shared" ca="1" si="337"/>
        <v>0</v>
      </c>
      <c r="AK478" s="50">
        <f t="shared" ca="1" si="337"/>
        <v>0</v>
      </c>
      <c r="AL478" s="50">
        <f t="shared" si="337"/>
        <v>0</v>
      </c>
      <c r="AM478" s="50">
        <f t="shared" si="337"/>
        <v>0</v>
      </c>
      <c r="AN478" s="50">
        <f t="shared" si="337"/>
        <v>0</v>
      </c>
      <c r="AO478" s="50">
        <f t="shared" si="337"/>
        <v>0</v>
      </c>
      <c r="AP478" s="50">
        <f t="shared" si="337"/>
        <v>0</v>
      </c>
      <c r="AQ478" s="50">
        <f t="shared" si="337"/>
        <v>0</v>
      </c>
      <c r="AR478" s="50">
        <f t="shared" si="337"/>
        <v>0</v>
      </c>
      <c r="AS478" s="50">
        <f t="shared" si="337"/>
        <v>0</v>
      </c>
      <c r="AT478" s="50">
        <f t="shared" si="337"/>
        <v>0</v>
      </c>
      <c r="AU478" s="50">
        <f t="shared" si="337"/>
        <v>0</v>
      </c>
    </row>
    <row r="479" spans="1:47">
      <c r="A479" s="38" t="str">
        <f>$J$4&amp;"-"</f>
        <v>3Y-</v>
      </c>
      <c r="B479" s="38" t="s">
        <v>289</v>
      </c>
      <c r="C479" s="38" t="str">
        <f>C469</f>
        <v>Land Disposal</v>
      </c>
      <c r="D479" s="186">
        <f>LaborEsc</f>
        <v>0.02</v>
      </c>
      <c r="E479" s="325"/>
      <c r="G479" s="36" t="s">
        <v>292</v>
      </c>
      <c r="I479" s="39"/>
      <c r="K479" s="39"/>
      <c r="L479" s="43" t="str">
        <f>"["&amp;CostBaseYr&amp;" $]"</f>
        <v>[2013 $]</v>
      </c>
      <c r="N479" s="70">
        <f ca="1">SUMIFS(OFFSET(Assumptions!$I$90,0,MATCH($A479,Configurations,0)-1,COUNT(Assumptions!$A$90:$A$183),1),Assumptions!$D$90:$D$183,$B479&amp;$C479)</f>
        <v>0</v>
      </c>
      <c r="O479" s="313"/>
      <c r="P479" s="323"/>
      <c r="Q479" s="313"/>
      <c r="R479" s="50">
        <f t="shared" ref="R479:AU479" ca="1" si="338">IF(OR(R$99&lt;InServiceYr,R$99&gt;(InServiceYr+analysis_period-1)),0,IF($P479=0,$N479,$P479)*(1+$D479)^(R$99-CostBaseYr))</f>
        <v>0</v>
      </c>
      <c r="S479" s="50">
        <f t="shared" ca="1" si="338"/>
        <v>0</v>
      </c>
      <c r="T479" s="50">
        <f t="shared" ca="1" si="338"/>
        <v>0</v>
      </c>
      <c r="U479" s="50">
        <f t="shared" ca="1" si="338"/>
        <v>0</v>
      </c>
      <c r="V479" s="50">
        <f t="shared" ca="1" si="338"/>
        <v>0</v>
      </c>
      <c r="W479" s="50">
        <f t="shared" ca="1" si="338"/>
        <v>0</v>
      </c>
      <c r="X479" s="50">
        <f t="shared" ca="1" si="338"/>
        <v>0</v>
      </c>
      <c r="Y479" s="50">
        <f t="shared" ca="1" si="338"/>
        <v>0</v>
      </c>
      <c r="Z479" s="50">
        <f t="shared" ca="1" si="338"/>
        <v>0</v>
      </c>
      <c r="AA479" s="50">
        <f t="shared" ca="1" si="338"/>
        <v>0</v>
      </c>
      <c r="AB479" s="50">
        <f t="shared" ca="1" si="338"/>
        <v>0</v>
      </c>
      <c r="AC479" s="50">
        <f t="shared" ca="1" si="338"/>
        <v>0</v>
      </c>
      <c r="AD479" s="50">
        <f t="shared" ca="1" si="338"/>
        <v>0</v>
      </c>
      <c r="AE479" s="50">
        <f t="shared" ca="1" si="338"/>
        <v>0</v>
      </c>
      <c r="AF479" s="50">
        <f t="shared" ca="1" si="338"/>
        <v>0</v>
      </c>
      <c r="AG479" s="50">
        <f t="shared" ca="1" si="338"/>
        <v>0</v>
      </c>
      <c r="AH479" s="50">
        <f t="shared" ca="1" si="338"/>
        <v>0</v>
      </c>
      <c r="AI479" s="50">
        <f t="shared" ca="1" si="338"/>
        <v>0</v>
      </c>
      <c r="AJ479" s="50">
        <f t="shared" ca="1" si="338"/>
        <v>0</v>
      </c>
      <c r="AK479" s="50">
        <f t="shared" ca="1" si="338"/>
        <v>0</v>
      </c>
      <c r="AL479" s="50">
        <f t="shared" si="338"/>
        <v>0</v>
      </c>
      <c r="AM479" s="50">
        <f t="shared" si="338"/>
        <v>0</v>
      </c>
      <c r="AN479" s="50">
        <f t="shared" si="338"/>
        <v>0</v>
      </c>
      <c r="AO479" s="50">
        <f t="shared" si="338"/>
        <v>0</v>
      </c>
      <c r="AP479" s="50">
        <f t="shared" si="338"/>
        <v>0</v>
      </c>
      <c r="AQ479" s="50">
        <f t="shared" si="338"/>
        <v>0</v>
      </c>
      <c r="AR479" s="50">
        <f t="shared" si="338"/>
        <v>0</v>
      </c>
      <c r="AS479" s="50">
        <f t="shared" si="338"/>
        <v>0</v>
      </c>
      <c r="AT479" s="50">
        <f t="shared" si="338"/>
        <v>0</v>
      </c>
      <c r="AU479" s="50">
        <f t="shared" si="338"/>
        <v>0</v>
      </c>
    </row>
    <row r="480" spans="1:47" s="60" customFormat="1">
      <c r="D480" s="187"/>
      <c r="E480" s="325"/>
      <c r="G480" s="39" t="s">
        <v>305</v>
      </c>
      <c r="I480" s="39"/>
      <c r="K480" s="39"/>
      <c r="L480" s="174"/>
      <c r="N480" s="188"/>
      <c r="O480" s="314"/>
      <c r="P480" s="185"/>
      <c r="Q480" s="314"/>
      <c r="R480" s="185">
        <f ca="1">SUM(R469:R476)-SUM(R478:R479)</f>
        <v>0</v>
      </c>
      <c r="S480" s="185">
        <f t="shared" ref="S480:AU480" ca="1" si="339">SUM(S469:S476)-SUM(S478:S479)</f>
        <v>0</v>
      </c>
      <c r="T480" s="185">
        <f t="shared" ca="1" si="339"/>
        <v>0</v>
      </c>
      <c r="U480" s="185">
        <f t="shared" ca="1" si="339"/>
        <v>0</v>
      </c>
      <c r="V480" s="185">
        <f t="shared" ca="1" si="339"/>
        <v>0</v>
      </c>
      <c r="W480" s="185">
        <f t="shared" ca="1" si="339"/>
        <v>0</v>
      </c>
      <c r="X480" s="185">
        <f t="shared" ca="1" si="339"/>
        <v>0</v>
      </c>
      <c r="Y480" s="185">
        <f t="shared" ca="1" si="339"/>
        <v>0</v>
      </c>
      <c r="Z480" s="185">
        <f t="shared" ca="1" si="339"/>
        <v>0</v>
      </c>
      <c r="AA480" s="185">
        <f t="shared" ca="1" si="339"/>
        <v>0</v>
      </c>
      <c r="AB480" s="185">
        <f t="shared" ca="1" si="339"/>
        <v>0</v>
      </c>
      <c r="AC480" s="185">
        <f t="shared" ca="1" si="339"/>
        <v>0</v>
      </c>
      <c r="AD480" s="185">
        <f t="shared" ca="1" si="339"/>
        <v>0</v>
      </c>
      <c r="AE480" s="185">
        <f t="shared" ca="1" si="339"/>
        <v>0</v>
      </c>
      <c r="AF480" s="185">
        <f t="shared" ca="1" si="339"/>
        <v>0</v>
      </c>
      <c r="AG480" s="185">
        <f t="shared" ca="1" si="339"/>
        <v>0</v>
      </c>
      <c r="AH480" s="185">
        <f t="shared" ca="1" si="339"/>
        <v>0</v>
      </c>
      <c r="AI480" s="185">
        <f t="shared" ca="1" si="339"/>
        <v>0</v>
      </c>
      <c r="AJ480" s="185">
        <f t="shared" ca="1" si="339"/>
        <v>0</v>
      </c>
      <c r="AK480" s="185">
        <f t="shared" ca="1" si="339"/>
        <v>0</v>
      </c>
      <c r="AL480" s="185">
        <f t="shared" si="339"/>
        <v>0</v>
      </c>
      <c r="AM480" s="185">
        <f t="shared" si="339"/>
        <v>0</v>
      </c>
      <c r="AN480" s="185">
        <f t="shared" si="339"/>
        <v>0</v>
      </c>
      <c r="AO480" s="185">
        <f t="shared" si="339"/>
        <v>0</v>
      </c>
      <c r="AP480" s="185">
        <f t="shared" si="339"/>
        <v>0</v>
      </c>
      <c r="AQ480" s="185">
        <f t="shared" si="339"/>
        <v>0</v>
      </c>
      <c r="AR480" s="185">
        <f t="shared" si="339"/>
        <v>0</v>
      </c>
      <c r="AS480" s="185">
        <f t="shared" si="339"/>
        <v>0</v>
      </c>
      <c r="AT480" s="185">
        <f t="shared" si="339"/>
        <v>0</v>
      </c>
      <c r="AU480" s="185">
        <f t="shared" si="339"/>
        <v>0</v>
      </c>
    </row>
    <row r="481" spans="1:47">
      <c r="E481" s="36"/>
      <c r="G481" s="39"/>
      <c r="H481" s="39"/>
      <c r="I481" s="39"/>
      <c r="J481" s="39"/>
      <c r="K481" s="39"/>
    </row>
    <row r="482" spans="1:47">
      <c r="E482" s="327"/>
      <c r="F482" s="28"/>
      <c r="G482" s="324" t="str">
        <f>C485&amp;" O&amp;M"</f>
        <v>General O&amp;M O&amp;M</v>
      </c>
      <c r="H482" s="324"/>
      <c r="I482" s="324"/>
      <c r="J482" s="324"/>
      <c r="K482" s="324"/>
      <c r="L482" s="405" t="s">
        <v>79</v>
      </c>
      <c r="M482" s="256"/>
      <c r="N482" s="325" t="s">
        <v>490</v>
      </c>
      <c r="O482" s="311"/>
      <c r="P482" s="325" t="s">
        <v>491</v>
      </c>
      <c r="Q482" s="310"/>
      <c r="R482" s="325">
        <f>R$8</f>
        <v>2014</v>
      </c>
      <c r="S482" s="325">
        <f t="shared" ref="S482:AU482" si="340">S$8</f>
        <v>2015</v>
      </c>
      <c r="T482" s="325">
        <f t="shared" si="340"/>
        <v>2016</v>
      </c>
      <c r="U482" s="325">
        <f t="shared" si="340"/>
        <v>2017</v>
      </c>
      <c r="V482" s="325">
        <f t="shared" si="340"/>
        <v>2018</v>
      </c>
      <c r="W482" s="325">
        <f t="shared" si="340"/>
        <v>2019</v>
      </c>
      <c r="X482" s="325">
        <f t="shared" si="340"/>
        <v>2020</v>
      </c>
      <c r="Y482" s="325">
        <f t="shared" si="340"/>
        <v>2021</v>
      </c>
      <c r="Z482" s="325">
        <f t="shared" si="340"/>
        <v>2022</v>
      </c>
      <c r="AA482" s="325">
        <f t="shared" si="340"/>
        <v>2023</v>
      </c>
      <c r="AB482" s="325">
        <f t="shared" si="340"/>
        <v>2024</v>
      </c>
      <c r="AC482" s="325">
        <f t="shared" si="340"/>
        <v>2025</v>
      </c>
      <c r="AD482" s="325">
        <f t="shared" si="340"/>
        <v>2026</v>
      </c>
      <c r="AE482" s="325">
        <f t="shared" si="340"/>
        <v>2027</v>
      </c>
      <c r="AF482" s="325">
        <f t="shared" si="340"/>
        <v>2028</v>
      </c>
      <c r="AG482" s="325">
        <f t="shared" si="340"/>
        <v>2029</v>
      </c>
      <c r="AH482" s="325">
        <f t="shared" si="340"/>
        <v>2030</v>
      </c>
      <c r="AI482" s="325">
        <f t="shared" si="340"/>
        <v>2031</v>
      </c>
      <c r="AJ482" s="325">
        <f t="shared" si="340"/>
        <v>2032</v>
      </c>
      <c r="AK482" s="325">
        <f t="shared" si="340"/>
        <v>2033</v>
      </c>
      <c r="AL482" s="325">
        <f t="shared" si="340"/>
        <v>2034</v>
      </c>
      <c r="AM482" s="325">
        <f t="shared" si="340"/>
        <v>2035</v>
      </c>
      <c r="AN482" s="325">
        <f t="shared" si="340"/>
        <v>2036</v>
      </c>
      <c r="AO482" s="325">
        <f t="shared" si="340"/>
        <v>2037</v>
      </c>
      <c r="AP482" s="325">
        <f t="shared" si="340"/>
        <v>2038</v>
      </c>
      <c r="AQ482" s="325">
        <f t="shared" si="340"/>
        <v>2039</v>
      </c>
      <c r="AR482" s="325">
        <f t="shared" si="340"/>
        <v>2040</v>
      </c>
      <c r="AS482" s="325">
        <f t="shared" si="340"/>
        <v>2041</v>
      </c>
      <c r="AT482" s="325">
        <f t="shared" si="340"/>
        <v>2042</v>
      </c>
      <c r="AU482" s="325">
        <f t="shared" si="340"/>
        <v>2043</v>
      </c>
    </row>
    <row r="483" spans="1:47">
      <c r="E483" s="325"/>
      <c r="G483" s="39"/>
      <c r="H483" s="39"/>
      <c r="I483" s="39"/>
      <c r="J483" s="39"/>
      <c r="K483" s="39"/>
    </row>
    <row r="484" spans="1:47">
      <c r="E484" s="325"/>
      <c r="G484" s="39" t="s">
        <v>23</v>
      </c>
      <c r="H484" s="39"/>
      <c r="I484" s="39"/>
      <c r="J484" s="39"/>
      <c r="K484" s="39"/>
    </row>
    <row r="485" spans="1:47">
      <c r="A485" s="38" t="str">
        <f t="shared" ref="A485:A492" si="341">$J$4&amp;"-"</f>
        <v>3Y-</v>
      </c>
      <c r="B485" s="38" t="s">
        <v>262</v>
      </c>
      <c r="C485" s="38" t="s">
        <v>308</v>
      </c>
      <c r="D485" s="186">
        <f>LaborEsc</f>
        <v>0.02</v>
      </c>
      <c r="E485" s="325"/>
      <c r="G485" s="36" t="s">
        <v>125</v>
      </c>
      <c r="I485" s="39"/>
      <c r="K485" s="39"/>
      <c r="L485" s="43" t="s">
        <v>266</v>
      </c>
      <c r="N485" s="70">
        <f ca="1">SUMIFS(OFFSET(Assumptions!$I$90,0,MATCH($A485,Configurations,0)-1,COUNT(Assumptions!$A$90:$A$183),1),Assumptions!$D$90:$D$183,$B485&amp;$C485)</f>
        <v>0</v>
      </c>
      <c r="O485" s="313"/>
      <c r="P485" s="323"/>
      <c r="Q485" s="313"/>
      <c r="R485" s="50">
        <f t="shared" ref="R485:AU485" ca="1" si="342">IF(OR(R$99&lt;InServiceYr,R$99&gt;(InServiceYr+analysis_period-1)),0,IF($P485=0,$N485,$P485)*LaborCost*(1+$D485)^(R$99-CostBaseYr))</f>
        <v>0</v>
      </c>
      <c r="S485" s="50">
        <f t="shared" ca="1" si="342"/>
        <v>0</v>
      </c>
      <c r="T485" s="50">
        <f t="shared" ca="1" si="342"/>
        <v>0</v>
      </c>
      <c r="U485" s="50">
        <f t="shared" ca="1" si="342"/>
        <v>0</v>
      </c>
      <c r="V485" s="50">
        <f t="shared" ca="1" si="342"/>
        <v>0</v>
      </c>
      <c r="W485" s="50">
        <f t="shared" ca="1" si="342"/>
        <v>0</v>
      </c>
      <c r="X485" s="50">
        <f t="shared" ca="1" si="342"/>
        <v>0</v>
      </c>
      <c r="Y485" s="50">
        <f t="shared" ca="1" si="342"/>
        <v>0</v>
      </c>
      <c r="Z485" s="50">
        <f t="shared" ca="1" si="342"/>
        <v>0</v>
      </c>
      <c r="AA485" s="50">
        <f t="shared" ca="1" si="342"/>
        <v>0</v>
      </c>
      <c r="AB485" s="50">
        <f t="shared" ca="1" si="342"/>
        <v>0</v>
      </c>
      <c r="AC485" s="50">
        <f t="shared" ca="1" si="342"/>
        <v>0</v>
      </c>
      <c r="AD485" s="50">
        <f t="shared" ca="1" si="342"/>
        <v>0</v>
      </c>
      <c r="AE485" s="50">
        <f t="shared" ca="1" si="342"/>
        <v>0</v>
      </c>
      <c r="AF485" s="50">
        <f t="shared" ca="1" si="342"/>
        <v>0</v>
      </c>
      <c r="AG485" s="50">
        <f t="shared" ca="1" si="342"/>
        <v>0</v>
      </c>
      <c r="AH485" s="50">
        <f t="shared" ca="1" si="342"/>
        <v>0</v>
      </c>
      <c r="AI485" s="50">
        <f t="shared" ca="1" si="342"/>
        <v>0</v>
      </c>
      <c r="AJ485" s="50">
        <f t="shared" ca="1" si="342"/>
        <v>0</v>
      </c>
      <c r="AK485" s="50">
        <f t="shared" ca="1" si="342"/>
        <v>0</v>
      </c>
      <c r="AL485" s="50">
        <f t="shared" si="342"/>
        <v>0</v>
      </c>
      <c r="AM485" s="50">
        <f t="shared" si="342"/>
        <v>0</v>
      </c>
      <c r="AN485" s="50">
        <f t="shared" si="342"/>
        <v>0</v>
      </c>
      <c r="AO485" s="50">
        <f t="shared" si="342"/>
        <v>0</v>
      </c>
      <c r="AP485" s="50">
        <f t="shared" si="342"/>
        <v>0</v>
      </c>
      <c r="AQ485" s="50">
        <f t="shared" si="342"/>
        <v>0</v>
      </c>
      <c r="AR485" s="50">
        <f t="shared" si="342"/>
        <v>0</v>
      </c>
      <c r="AS485" s="50">
        <f t="shared" si="342"/>
        <v>0</v>
      </c>
      <c r="AT485" s="50">
        <f t="shared" si="342"/>
        <v>0</v>
      </c>
      <c r="AU485" s="50">
        <f t="shared" si="342"/>
        <v>0</v>
      </c>
    </row>
    <row r="486" spans="1:47">
      <c r="A486" s="38" t="str">
        <f t="shared" si="341"/>
        <v>3Y-</v>
      </c>
      <c r="B486" s="38" t="s">
        <v>270</v>
      </c>
      <c r="C486" s="38" t="str">
        <f>C485</f>
        <v>General O&amp;M</v>
      </c>
      <c r="D486" s="186">
        <f>OMEsc</f>
        <v>0.02</v>
      </c>
      <c r="E486" s="325"/>
      <c r="G486" s="36" t="s">
        <v>126</v>
      </c>
      <c r="I486" s="39"/>
      <c r="K486" s="39"/>
      <c r="L486" s="43" t="str">
        <f>"["&amp;CostBaseYr&amp;" $]"</f>
        <v>[2013 $]</v>
      </c>
      <c r="N486" s="70">
        <f ca="1">SUMIFS(OFFSET(Assumptions!$I$90,0,MATCH($A486,Configurations,0)-1,COUNT(Assumptions!$A$90:$A$183),1),Assumptions!$D$90:$D$183,$B486&amp;$C486)</f>
        <v>0</v>
      </c>
      <c r="O486" s="313"/>
      <c r="P486" s="323"/>
      <c r="Q486" s="313"/>
      <c r="R486" s="50">
        <f t="shared" ref="R486:AG488" ca="1" si="343">IF(OR(R$99&lt;InServiceYr,R$99&gt;(InServiceYr+analysis_period-1)),0,IF($P486=0,$N486,$P486)*(1+$D486)^(R$99-CostBaseYr))</f>
        <v>0</v>
      </c>
      <c r="S486" s="50">
        <f t="shared" ca="1" si="343"/>
        <v>0</v>
      </c>
      <c r="T486" s="50">
        <f t="shared" ca="1" si="343"/>
        <v>0</v>
      </c>
      <c r="U486" s="50">
        <f t="shared" ca="1" si="343"/>
        <v>0</v>
      </c>
      <c r="V486" s="50">
        <f t="shared" ca="1" si="343"/>
        <v>0</v>
      </c>
      <c r="W486" s="50">
        <f t="shared" ca="1" si="343"/>
        <v>0</v>
      </c>
      <c r="X486" s="50">
        <f t="shared" ca="1" si="343"/>
        <v>0</v>
      </c>
      <c r="Y486" s="50">
        <f t="shared" ca="1" si="343"/>
        <v>0</v>
      </c>
      <c r="Z486" s="50">
        <f t="shared" ca="1" si="343"/>
        <v>0</v>
      </c>
      <c r="AA486" s="50">
        <f t="shared" ca="1" si="343"/>
        <v>0</v>
      </c>
      <c r="AB486" s="50">
        <f t="shared" ca="1" si="343"/>
        <v>0</v>
      </c>
      <c r="AC486" s="50">
        <f t="shared" ca="1" si="343"/>
        <v>0</v>
      </c>
      <c r="AD486" s="50">
        <f t="shared" ca="1" si="343"/>
        <v>0</v>
      </c>
      <c r="AE486" s="50">
        <f t="shared" ca="1" si="343"/>
        <v>0</v>
      </c>
      <c r="AF486" s="50">
        <f t="shared" ca="1" si="343"/>
        <v>0</v>
      </c>
      <c r="AG486" s="50">
        <f t="shared" ca="1" si="343"/>
        <v>0</v>
      </c>
      <c r="AH486" s="50">
        <f t="shared" ref="S486:AU488" ca="1" si="344">IF(OR(AH$99&lt;InServiceYr,AH$99&gt;(InServiceYr+analysis_period-1)),0,IF($P486=0,$N486,$P486)*(1+$D486)^(AH$99-CostBaseYr))</f>
        <v>0</v>
      </c>
      <c r="AI486" s="50">
        <f t="shared" ca="1" si="344"/>
        <v>0</v>
      </c>
      <c r="AJ486" s="50">
        <f t="shared" ca="1" si="344"/>
        <v>0</v>
      </c>
      <c r="AK486" s="50">
        <f t="shared" ca="1" si="344"/>
        <v>0</v>
      </c>
      <c r="AL486" s="50">
        <f t="shared" si="344"/>
        <v>0</v>
      </c>
      <c r="AM486" s="50">
        <f t="shared" si="344"/>
        <v>0</v>
      </c>
      <c r="AN486" s="50">
        <f t="shared" si="344"/>
        <v>0</v>
      </c>
      <c r="AO486" s="50">
        <f t="shared" si="344"/>
        <v>0</v>
      </c>
      <c r="AP486" s="50">
        <f t="shared" si="344"/>
        <v>0</v>
      </c>
      <c r="AQ486" s="50">
        <f t="shared" si="344"/>
        <v>0</v>
      </c>
      <c r="AR486" s="50">
        <f t="shared" si="344"/>
        <v>0</v>
      </c>
      <c r="AS486" s="50">
        <f t="shared" si="344"/>
        <v>0</v>
      </c>
      <c r="AT486" s="50">
        <f t="shared" si="344"/>
        <v>0</v>
      </c>
      <c r="AU486" s="50">
        <f t="shared" si="344"/>
        <v>0</v>
      </c>
    </row>
    <row r="487" spans="1:47">
      <c r="A487" s="38" t="str">
        <f t="shared" si="341"/>
        <v>3Y-</v>
      </c>
      <c r="B487" s="38" t="s">
        <v>263</v>
      </c>
      <c r="C487" s="38" t="str">
        <f t="shared" ref="C487:C491" si="345">C486</f>
        <v>General O&amp;M</v>
      </c>
      <c r="D487" s="186">
        <f>OMEsc</f>
        <v>0.02</v>
      </c>
      <c r="E487" s="325"/>
      <c r="G487" s="36" t="s">
        <v>127</v>
      </c>
      <c r="I487" s="39"/>
      <c r="K487" s="39"/>
      <c r="L487" s="43" t="str">
        <f>"["&amp;CostBaseYr&amp;" $]"</f>
        <v>[2013 $]</v>
      </c>
      <c r="N487" s="70">
        <f ca="1">SUMIFS(OFFSET(Assumptions!$I$90,0,MATCH($A487,Configurations,0)-1,COUNT(Assumptions!$A$90:$A$183),1),Assumptions!$D$90:$D$183,$B487&amp;$C487)</f>
        <v>127000</v>
      </c>
      <c r="O487" s="313"/>
      <c r="P487" s="323"/>
      <c r="Q487" s="313"/>
      <c r="R487" s="50">
        <f t="shared" ca="1" si="343"/>
        <v>129540</v>
      </c>
      <c r="S487" s="50">
        <f t="shared" ca="1" si="344"/>
        <v>132130.79999999999</v>
      </c>
      <c r="T487" s="50">
        <f t="shared" ca="1" si="344"/>
        <v>134773.416</v>
      </c>
      <c r="U487" s="50">
        <f t="shared" ca="1" si="344"/>
        <v>137468.88431999998</v>
      </c>
      <c r="V487" s="50">
        <f t="shared" ca="1" si="344"/>
        <v>140218.26200640001</v>
      </c>
      <c r="W487" s="50">
        <f t="shared" ca="1" si="344"/>
        <v>143022.62724652802</v>
      </c>
      <c r="X487" s="50">
        <f t="shared" ca="1" si="344"/>
        <v>145883.07979145853</v>
      </c>
      <c r="Y487" s="50">
        <f t="shared" ca="1" si="344"/>
        <v>148800.74138728771</v>
      </c>
      <c r="Z487" s="50">
        <f t="shared" ca="1" si="344"/>
        <v>151776.75621503347</v>
      </c>
      <c r="AA487" s="50">
        <f t="shared" ca="1" si="344"/>
        <v>154812.29133933416</v>
      </c>
      <c r="AB487" s="50">
        <f t="shared" ca="1" si="344"/>
        <v>157908.5371661208</v>
      </c>
      <c r="AC487" s="50">
        <f t="shared" ca="1" si="344"/>
        <v>161066.70790944324</v>
      </c>
      <c r="AD487" s="50">
        <f t="shared" ca="1" si="344"/>
        <v>164288.04206763211</v>
      </c>
      <c r="AE487" s="50">
        <f t="shared" ca="1" si="344"/>
        <v>167573.80290898477</v>
      </c>
      <c r="AF487" s="50">
        <f t="shared" ca="1" si="344"/>
        <v>170925.2789671644</v>
      </c>
      <c r="AG487" s="50">
        <f t="shared" ca="1" si="344"/>
        <v>174343.78454650773</v>
      </c>
      <c r="AH487" s="50">
        <f t="shared" ca="1" si="344"/>
        <v>177830.6602374379</v>
      </c>
      <c r="AI487" s="50">
        <f t="shared" ca="1" si="344"/>
        <v>181387.27344218665</v>
      </c>
      <c r="AJ487" s="50">
        <f t="shared" ca="1" si="344"/>
        <v>185015.01891103038</v>
      </c>
      <c r="AK487" s="50">
        <f t="shared" ca="1" si="344"/>
        <v>188715.319289251</v>
      </c>
      <c r="AL487" s="50">
        <f t="shared" si="344"/>
        <v>0</v>
      </c>
      <c r="AM487" s="50">
        <f t="shared" si="344"/>
        <v>0</v>
      </c>
      <c r="AN487" s="50">
        <f t="shared" si="344"/>
        <v>0</v>
      </c>
      <c r="AO487" s="50">
        <f t="shared" si="344"/>
        <v>0</v>
      </c>
      <c r="AP487" s="50">
        <f t="shared" si="344"/>
        <v>0</v>
      </c>
      <c r="AQ487" s="50">
        <f t="shared" si="344"/>
        <v>0</v>
      </c>
      <c r="AR487" s="50">
        <f t="shared" si="344"/>
        <v>0</v>
      </c>
      <c r="AS487" s="50">
        <f t="shared" si="344"/>
        <v>0</v>
      </c>
      <c r="AT487" s="50">
        <f t="shared" si="344"/>
        <v>0</v>
      </c>
      <c r="AU487" s="50">
        <f t="shared" si="344"/>
        <v>0</v>
      </c>
    </row>
    <row r="488" spans="1:47">
      <c r="A488" s="38" t="str">
        <f t="shared" si="341"/>
        <v>3Y-</v>
      </c>
      <c r="B488" s="38" t="s">
        <v>277</v>
      </c>
      <c r="C488" s="38" t="str">
        <f t="shared" si="345"/>
        <v>General O&amp;M</v>
      </c>
      <c r="D488" s="186">
        <f>OMEsc</f>
        <v>0.02</v>
      </c>
      <c r="E488" s="325"/>
      <c r="G488" s="36" t="s">
        <v>276</v>
      </c>
      <c r="I488" s="39"/>
      <c r="K488" s="39"/>
      <c r="L488" s="43" t="str">
        <f>"["&amp;CostBaseYr&amp;" $]"</f>
        <v>[2013 $]</v>
      </c>
      <c r="N488" s="70">
        <f ca="1">SUMIFS(OFFSET(Assumptions!$I$90,0,MATCH($A488,Configurations,0)-1,COUNT(Assumptions!$A$90:$A$183),1),Assumptions!$D$90:$D$183,$B488&amp;$C488)</f>
        <v>0</v>
      </c>
      <c r="O488" s="313"/>
      <c r="P488" s="323"/>
      <c r="Q488" s="313"/>
      <c r="R488" s="50">
        <f t="shared" ca="1" si="343"/>
        <v>0</v>
      </c>
      <c r="S488" s="50">
        <f t="shared" ca="1" si="344"/>
        <v>0</v>
      </c>
      <c r="T488" s="50">
        <f t="shared" ca="1" si="344"/>
        <v>0</v>
      </c>
      <c r="U488" s="50">
        <f t="shared" ca="1" si="344"/>
        <v>0</v>
      </c>
      <c r="V488" s="50">
        <f t="shared" ca="1" si="344"/>
        <v>0</v>
      </c>
      <c r="W488" s="50">
        <f t="shared" ca="1" si="344"/>
        <v>0</v>
      </c>
      <c r="X488" s="50">
        <f t="shared" ca="1" si="344"/>
        <v>0</v>
      </c>
      <c r="Y488" s="50">
        <f t="shared" ca="1" si="344"/>
        <v>0</v>
      </c>
      <c r="Z488" s="50">
        <f t="shared" ca="1" si="344"/>
        <v>0</v>
      </c>
      <c r="AA488" s="50">
        <f t="shared" ca="1" si="344"/>
        <v>0</v>
      </c>
      <c r="AB488" s="50">
        <f t="shared" ca="1" si="344"/>
        <v>0</v>
      </c>
      <c r="AC488" s="50">
        <f t="shared" ca="1" si="344"/>
        <v>0</v>
      </c>
      <c r="AD488" s="50">
        <f t="shared" ca="1" si="344"/>
        <v>0</v>
      </c>
      <c r="AE488" s="50">
        <f t="shared" ca="1" si="344"/>
        <v>0</v>
      </c>
      <c r="AF488" s="50">
        <f t="shared" ca="1" si="344"/>
        <v>0</v>
      </c>
      <c r="AG488" s="50">
        <f t="shared" ca="1" si="344"/>
        <v>0</v>
      </c>
      <c r="AH488" s="50">
        <f t="shared" ca="1" si="344"/>
        <v>0</v>
      </c>
      <c r="AI488" s="50">
        <f t="shared" ca="1" si="344"/>
        <v>0</v>
      </c>
      <c r="AJ488" s="50">
        <f t="shared" ca="1" si="344"/>
        <v>0</v>
      </c>
      <c r="AK488" s="50">
        <f t="shared" ca="1" si="344"/>
        <v>0</v>
      </c>
      <c r="AL488" s="50">
        <f t="shared" si="344"/>
        <v>0</v>
      </c>
      <c r="AM488" s="50">
        <f t="shared" si="344"/>
        <v>0</v>
      </c>
      <c r="AN488" s="50">
        <f t="shared" si="344"/>
        <v>0</v>
      </c>
      <c r="AO488" s="50">
        <f t="shared" si="344"/>
        <v>0</v>
      </c>
      <c r="AP488" s="50">
        <f t="shared" si="344"/>
        <v>0</v>
      </c>
      <c r="AQ488" s="50">
        <f t="shared" si="344"/>
        <v>0</v>
      </c>
      <c r="AR488" s="50">
        <f t="shared" si="344"/>
        <v>0</v>
      </c>
      <c r="AS488" s="50">
        <f t="shared" si="344"/>
        <v>0</v>
      </c>
      <c r="AT488" s="50">
        <f t="shared" si="344"/>
        <v>0</v>
      </c>
      <c r="AU488" s="50">
        <f t="shared" si="344"/>
        <v>0</v>
      </c>
    </row>
    <row r="489" spans="1:47">
      <c r="A489" s="38" t="str">
        <f t="shared" si="341"/>
        <v>3Y-</v>
      </c>
      <c r="B489" s="38" t="s">
        <v>274</v>
      </c>
      <c r="C489" s="38" t="str">
        <f t="shared" si="345"/>
        <v>General O&amp;M</v>
      </c>
      <c r="D489" s="186"/>
      <c r="E489" s="325"/>
      <c r="G489" s="36" t="s">
        <v>16</v>
      </c>
      <c r="I489" s="39"/>
      <c r="K489" s="39"/>
      <c r="L489" s="43" t="s">
        <v>275</v>
      </c>
      <c r="N489" s="70">
        <f ca="1">SUMIFS(OFFSET(Assumptions!$I$90,0,MATCH($A489,Configurations,0)-1,COUNT(Assumptions!$A$90:$A$183),1),Assumptions!$D$90:$D$183,$B489&amp;$C489)</f>
        <v>0</v>
      </c>
      <c r="O489" s="313"/>
      <c r="P489" s="323"/>
      <c r="Q489" s="313"/>
      <c r="R489" s="50">
        <f t="shared" ref="R489:AU489" ca="1" si="346">IF(OR(R$99&lt;InServiceYr,R$99&gt;(InServiceYr+analysis_period-1)),0,IF($P489=0,$N489,$P489)*R$505)</f>
        <v>0</v>
      </c>
      <c r="S489" s="50">
        <f t="shared" ca="1" si="346"/>
        <v>0</v>
      </c>
      <c r="T489" s="50">
        <f t="shared" ca="1" si="346"/>
        <v>0</v>
      </c>
      <c r="U489" s="50">
        <f t="shared" ca="1" si="346"/>
        <v>0</v>
      </c>
      <c r="V489" s="50">
        <f t="shared" ca="1" si="346"/>
        <v>0</v>
      </c>
      <c r="W489" s="50">
        <f t="shared" ca="1" si="346"/>
        <v>0</v>
      </c>
      <c r="X489" s="50">
        <f t="shared" ca="1" si="346"/>
        <v>0</v>
      </c>
      <c r="Y489" s="50">
        <f t="shared" ca="1" si="346"/>
        <v>0</v>
      </c>
      <c r="Z489" s="50">
        <f t="shared" ca="1" si="346"/>
        <v>0</v>
      </c>
      <c r="AA489" s="50">
        <f t="shared" ca="1" si="346"/>
        <v>0</v>
      </c>
      <c r="AB489" s="50">
        <f t="shared" ca="1" si="346"/>
        <v>0</v>
      </c>
      <c r="AC489" s="50">
        <f t="shared" ca="1" si="346"/>
        <v>0</v>
      </c>
      <c r="AD489" s="50">
        <f t="shared" ca="1" si="346"/>
        <v>0</v>
      </c>
      <c r="AE489" s="50">
        <f t="shared" ca="1" si="346"/>
        <v>0</v>
      </c>
      <c r="AF489" s="50">
        <f t="shared" ca="1" si="346"/>
        <v>0</v>
      </c>
      <c r="AG489" s="50">
        <f t="shared" ca="1" si="346"/>
        <v>0</v>
      </c>
      <c r="AH489" s="50">
        <f t="shared" ca="1" si="346"/>
        <v>0</v>
      </c>
      <c r="AI489" s="50">
        <f t="shared" ca="1" si="346"/>
        <v>0</v>
      </c>
      <c r="AJ489" s="50">
        <f t="shared" ca="1" si="346"/>
        <v>0</v>
      </c>
      <c r="AK489" s="50">
        <f t="shared" ca="1" si="346"/>
        <v>0</v>
      </c>
      <c r="AL489" s="50">
        <f t="shared" si="346"/>
        <v>0</v>
      </c>
      <c r="AM489" s="50">
        <f t="shared" si="346"/>
        <v>0</v>
      </c>
      <c r="AN489" s="50">
        <f t="shared" si="346"/>
        <v>0</v>
      </c>
      <c r="AO489" s="50">
        <f t="shared" si="346"/>
        <v>0</v>
      </c>
      <c r="AP489" s="50">
        <f t="shared" si="346"/>
        <v>0</v>
      </c>
      <c r="AQ489" s="50">
        <f t="shared" si="346"/>
        <v>0</v>
      </c>
      <c r="AR489" s="50">
        <f t="shared" si="346"/>
        <v>0</v>
      </c>
      <c r="AS489" s="50">
        <f t="shared" si="346"/>
        <v>0</v>
      </c>
      <c r="AT489" s="50">
        <f t="shared" si="346"/>
        <v>0</v>
      </c>
      <c r="AU489" s="50">
        <f t="shared" si="346"/>
        <v>0</v>
      </c>
    </row>
    <row r="490" spans="1:47">
      <c r="A490" s="38" t="str">
        <f t="shared" si="341"/>
        <v>3Y-</v>
      </c>
      <c r="B490" s="38" t="s">
        <v>257</v>
      </c>
      <c r="C490" s="38" t="str">
        <f t="shared" si="345"/>
        <v>General O&amp;M</v>
      </c>
      <c r="D490" s="186"/>
      <c r="E490" s="325"/>
      <c r="G490" s="36" t="s">
        <v>284</v>
      </c>
      <c r="I490" s="39"/>
      <c r="K490" s="39"/>
      <c r="L490" s="43" t="s">
        <v>293</v>
      </c>
      <c r="N490" s="70">
        <f ca="1">SUMIFS(OFFSET(Assumptions!$I$90,0,MATCH($A490,Configurations,0)-1,COUNT(Assumptions!$A$90:$A$183),1),Assumptions!$D$90:$D$183,$B490&amp;$C490)</f>
        <v>0</v>
      </c>
      <c r="O490" s="313"/>
      <c r="P490" s="323"/>
      <c r="Q490" s="313"/>
      <c r="R490" s="50">
        <f t="shared" ref="R490:AU490" ca="1" si="347">IF(OR(R$99&lt;InServiceYr,R$99&gt;(InServiceYr+analysis_period-1)),0,IF($P490=0,$N490,$P490)*R$501)</f>
        <v>0</v>
      </c>
      <c r="S490" s="50">
        <f t="shared" ca="1" si="347"/>
        <v>0</v>
      </c>
      <c r="T490" s="50">
        <f t="shared" ca="1" si="347"/>
        <v>0</v>
      </c>
      <c r="U490" s="50">
        <f t="shared" ca="1" si="347"/>
        <v>0</v>
      </c>
      <c r="V490" s="50">
        <f t="shared" ca="1" si="347"/>
        <v>0</v>
      </c>
      <c r="W490" s="50">
        <f t="shared" ca="1" si="347"/>
        <v>0</v>
      </c>
      <c r="X490" s="50">
        <f t="shared" ca="1" si="347"/>
        <v>0</v>
      </c>
      <c r="Y490" s="50">
        <f t="shared" ca="1" si="347"/>
        <v>0</v>
      </c>
      <c r="Z490" s="50">
        <f t="shared" ca="1" si="347"/>
        <v>0</v>
      </c>
      <c r="AA490" s="50">
        <f t="shared" ca="1" si="347"/>
        <v>0</v>
      </c>
      <c r="AB490" s="50">
        <f t="shared" ca="1" si="347"/>
        <v>0</v>
      </c>
      <c r="AC490" s="50">
        <f t="shared" ca="1" si="347"/>
        <v>0</v>
      </c>
      <c r="AD490" s="50">
        <f t="shared" ca="1" si="347"/>
        <v>0</v>
      </c>
      <c r="AE490" s="50">
        <f t="shared" ca="1" si="347"/>
        <v>0</v>
      </c>
      <c r="AF490" s="50">
        <f t="shared" ca="1" si="347"/>
        <v>0</v>
      </c>
      <c r="AG490" s="50">
        <f t="shared" ca="1" si="347"/>
        <v>0</v>
      </c>
      <c r="AH490" s="50">
        <f t="shared" ca="1" si="347"/>
        <v>0</v>
      </c>
      <c r="AI490" s="50">
        <f t="shared" ca="1" si="347"/>
        <v>0</v>
      </c>
      <c r="AJ490" s="50">
        <f t="shared" ca="1" si="347"/>
        <v>0</v>
      </c>
      <c r="AK490" s="50">
        <f t="shared" ca="1" si="347"/>
        <v>0</v>
      </c>
      <c r="AL490" s="50">
        <f t="shared" si="347"/>
        <v>0</v>
      </c>
      <c r="AM490" s="50">
        <f t="shared" si="347"/>
        <v>0</v>
      </c>
      <c r="AN490" s="50">
        <f t="shared" si="347"/>
        <v>0</v>
      </c>
      <c r="AO490" s="50">
        <f t="shared" si="347"/>
        <v>0</v>
      </c>
      <c r="AP490" s="50">
        <f t="shared" si="347"/>
        <v>0</v>
      </c>
      <c r="AQ490" s="50">
        <f t="shared" si="347"/>
        <v>0</v>
      </c>
      <c r="AR490" s="50">
        <f t="shared" si="347"/>
        <v>0</v>
      </c>
      <c r="AS490" s="50">
        <f t="shared" si="347"/>
        <v>0</v>
      </c>
      <c r="AT490" s="50">
        <f t="shared" si="347"/>
        <v>0</v>
      </c>
      <c r="AU490" s="50">
        <f t="shared" si="347"/>
        <v>0</v>
      </c>
    </row>
    <row r="491" spans="1:47">
      <c r="A491" s="38" t="str">
        <f t="shared" si="341"/>
        <v>3Y-</v>
      </c>
      <c r="B491" s="38" t="s">
        <v>864</v>
      </c>
      <c r="C491" s="38" t="str">
        <f t="shared" si="345"/>
        <v>General O&amp;M</v>
      </c>
      <c r="D491" s="186">
        <f>GHGEsc</f>
        <v>0.02</v>
      </c>
      <c r="E491" s="325"/>
      <c r="G491" s="36" t="s">
        <v>865</v>
      </c>
      <c r="I491" s="39"/>
      <c r="K491" s="39"/>
      <c r="L491" s="43" t="s">
        <v>866</v>
      </c>
      <c r="N491" s="70">
        <f ca="1">SUMIFS(OFFSET(Assumptions!$I$90,0,MATCH($A491,Configurations,0)-1,COUNT(Assumptions!$A$90:$A$183),1),Assumptions!$D$90:$D$183,$B491&amp;$C491)</f>
        <v>0</v>
      </c>
      <c r="O491" s="313"/>
      <c r="P491" s="323"/>
      <c r="Q491" s="313"/>
      <c r="R491" s="50">
        <f t="shared" ref="R491:AU491" ca="1" si="348">IF(OR(R$99&lt;InServiceYr,R$99&gt;(InServiceYr+analysis_period-1)),0,IF($P491=0,$N491,$P491)*R$513)</f>
        <v>0</v>
      </c>
      <c r="S491" s="50">
        <f t="shared" ca="1" si="348"/>
        <v>0</v>
      </c>
      <c r="T491" s="50">
        <f t="shared" ca="1" si="348"/>
        <v>0</v>
      </c>
      <c r="U491" s="50">
        <f t="shared" ca="1" si="348"/>
        <v>0</v>
      </c>
      <c r="V491" s="50">
        <f t="shared" ca="1" si="348"/>
        <v>0</v>
      </c>
      <c r="W491" s="50">
        <f t="shared" ca="1" si="348"/>
        <v>0</v>
      </c>
      <c r="X491" s="50">
        <f t="shared" ca="1" si="348"/>
        <v>0</v>
      </c>
      <c r="Y491" s="50">
        <f t="shared" ca="1" si="348"/>
        <v>0</v>
      </c>
      <c r="Z491" s="50">
        <f t="shared" ca="1" si="348"/>
        <v>0</v>
      </c>
      <c r="AA491" s="50">
        <f t="shared" ca="1" si="348"/>
        <v>0</v>
      </c>
      <c r="AB491" s="50">
        <f t="shared" ca="1" si="348"/>
        <v>0</v>
      </c>
      <c r="AC491" s="50">
        <f t="shared" ca="1" si="348"/>
        <v>0</v>
      </c>
      <c r="AD491" s="50">
        <f t="shared" ca="1" si="348"/>
        <v>0</v>
      </c>
      <c r="AE491" s="50">
        <f t="shared" ca="1" si="348"/>
        <v>0</v>
      </c>
      <c r="AF491" s="50">
        <f t="shared" ca="1" si="348"/>
        <v>0</v>
      </c>
      <c r="AG491" s="50">
        <f t="shared" ca="1" si="348"/>
        <v>0</v>
      </c>
      <c r="AH491" s="50">
        <f t="shared" ca="1" si="348"/>
        <v>0</v>
      </c>
      <c r="AI491" s="50">
        <f t="shared" ca="1" si="348"/>
        <v>0</v>
      </c>
      <c r="AJ491" s="50">
        <f t="shared" ca="1" si="348"/>
        <v>0</v>
      </c>
      <c r="AK491" s="50">
        <f t="shared" ca="1" si="348"/>
        <v>0</v>
      </c>
      <c r="AL491" s="50">
        <f t="shared" si="348"/>
        <v>0</v>
      </c>
      <c r="AM491" s="50">
        <f t="shared" si="348"/>
        <v>0</v>
      </c>
      <c r="AN491" s="50">
        <f t="shared" si="348"/>
        <v>0</v>
      </c>
      <c r="AO491" s="50">
        <f t="shared" si="348"/>
        <v>0</v>
      </c>
      <c r="AP491" s="50">
        <f t="shared" si="348"/>
        <v>0</v>
      </c>
      <c r="AQ491" s="50">
        <f t="shared" si="348"/>
        <v>0</v>
      </c>
      <c r="AR491" s="50">
        <f t="shared" si="348"/>
        <v>0</v>
      </c>
      <c r="AS491" s="50">
        <f t="shared" si="348"/>
        <v>0</v>
      </c>
      <c r="AT491" s="50">
        <f t="shared" si="348"/>
        <v>0</v>
      </c>
      <c r="AU491" s="50">
        <f t="shared" si="348"/>
        <v>0</v>
      </c>
    </row>
    <row r="492" spans="1:47">
      <c r="A492" s="38" t="str">
        <f t="shared" si="341"/>
        <v>3Y-</v>
      </c>
      <c r="B492" s="38" t="s">
        <v>273</v>
      </c>
      <c r="C492" s="38" t="str">
        <f>C490</f>
        <v>General O&amp;M</v>
      </c>
      <c r="D492" s="186">
        <f>LaborEsc</f>
        <v>0.02</v>
      </c>
      <c r="E492" s="325"/>
      <c r="G492" s="36" t="s">
        <v>291</v>
      </c>
      <c r="I492" s="39"/>
      <c r="K492" s="39"/>
      <c r="L492" s="43" t="str">
        <f>"["&amp;CostBaseYr&amp;" $]"</f>
        <v>[2013 $]</v>
      </c>
      <c r="N492" s="70">
        <f ca="1">SUMIFS(OFFSET(Assumptions!$I$90,0,MATCH($A492,Configurations,0)-1,COUNT(Assumptions!$A$90:$A$183),1),Assumptions!$D$90:$D$183,$B492&amp;$C492)</f>
        <v>0</v>
      </c>
      <c r="O492" s="313"/>
      <c r="P492" s="323"/>
      <c r="Q492" s="313"/>
      <c r="R492" s="50">
        <f t="shared" ref="R492:AU492" ca="1" si="349">IF(OR(R$99&lt;InServiceYr,R$99&gt;(InServiceYr+analysis_period-1)),0,IF($P492=0,$N492,$P492)*(1+$D492)^(R$99-CostBaseYr))*R$509</f>
        <v>0</v>
      </c>
      <c r="S492" s="50">
        <f t="shared" ca="1" si="349"/>
        <v>0</v>
      </c>
      <c r="T492" s="50">
        <f t="shared" ca="1" si="349"/>
        <v>0</v>
      </c>
      <c r="U492" s="50">
        <f t="shared" ca="1" si="349"/>
        <v>0</v>
      </c>
      <c r="V492" s="50">
        <f t="shared" ca="1" si="349"/>
        <v>0</v>
      </c>
      <c r="W492" s="50">
        <f t="shared" ca="1" si="349"/>
        <v>0</v>
      </c>
      <c r="X492" s="50">
        <f t="shared" ca="1" si="349"/>
        <v>0</v>
      </c>
      <c r="Y492" s="50">
        <f t="shared" ca="1" si="349"/>
        <v>0</v>
      </c>
      <c r="Z492" s="50">
        <f t="shared" ca="1" si="349"/>
        <v>0</v>
      </c>
      <c r="AA492" s="50">
        <f t="shared" ca="1" si="349"/>
        <v>0</v>
      </c>
      <c r="AB492" s="50">
        <f t="shared" ca="1" si="349"/>
        <v>0</v>
      </c>
      <c r="AC492" s="50">
        <f t="shared" ca="1" si="349"/>
        <v>0</v>
      </c>
      <c r="AD492" s="50">
        <f t="shared" ca="1" si="349"/>
        <v>0</v>
      </c>
      <c r="AE492" s="50">
        <f t="shared" ca="1" si="349"/>
        <v>0</v>
      </c>
      <c r="AF492" s="50">
        <f t="shared" ca="1" si="349"/>
        <v>0</v>
      </c>
      <c r="AG492" s="50">
        <f t="shared" ca="1" si="349"/>
        <v>0</v>
      </c>
      <c r="AH492" s="50">
        <f t="shared" ca="1" si="349"/>
        <v>0</v>
      </c>
      <c r="AI492" s="50">
        <f t="shared" ca="1" si="349"/>
        <v>0</v>
      </c>
      <c r="AJ492" s="50">
        <f t="shared" ca="1" si="349"/>
        <v>0</v>
      </c>
      <c r="AK492" s="50">
        <f t="shared" ca="1" si="349"/>
        <v>0</v>
      </c>
      <c r="AL492" s="50">
        <f t="shared" si="349"/>
        <v>0</v>
      </c>
      <c r="AM492" s="50">
        <f t="shared" si="349"/>
        <v>0</v>
      </c>
      <c r="AN492" s="50">
        <f t="shared" si="349"/>
        <v>0</v>
      </c>
      <c r="AO492" s="50">
        <f t="shared" si="349"/>
        <v>0</v>
      </c>
      <c r="AP492" s="50">
        <f t="shared" si="349"/>
        <v>0</v>
      </c>
      <c r="AQ492" s="50">
        <f t="shared" si="349"/>
        <v>0</v>
      </c>
      <c r="AR492" s="50">
        <f t="shared" si="349"/>
        <v>0</v>
      </c>
      <c r="AS492" s="50">
        <f t="shared" si="349"/>
        <v>0</v>
      </c>
      <c r="AT492" s="50">
        <f t="shared" si="349"/>
        <v>0</v>
      </c>
      <c r="AU492" s="50">
        <f t="shared" si="349"/>
        <v>0</v>
      </c>
    </row>
    <row r="493" spans="1:47">
      <c r="D493" s="186"/>
      <c r="E493" s="325"/>
      <c r="G493" s="39" t="s">
        <v>304</v>
      </c>
      <c r="I493" s="39"/>
      <c r="K493" s="39"/>
      <c r="L493" s="43"/>
      <c r="N493" s="70"/>
      <c r="O493" s="313"/>
      <c r="P493" s="70"/>
      <c r="Q493" s="313"/>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row>
    <row r="494" spans="1:47">
      <c r="A494" s="38" t="str">
        <f>$J$4&amp;"-"</f>
        <v>3Y-</v>
      </c>
      <c r="B494" s="38" t="s">
        <v>265</v>
      </c>
      <c r="C494" s="38" t="str">
        <f>C485</f>
        <v>General O&amp;M</v>
      </c>
      <c r="D494" s="186"/>
      <c r="E494" s="325"/>
      <c r="G494" s="36" t="s">
        <v>108</v>
      </c>
      <c r="I494" s="39"/>
      <c r="K494" s="39"/>
      <c r="L494" s="43" t="s">
        <v>293</v>
      </c>
      <c r="N494" s="70">
        <f ca="1">SUMIFS(OFFSET(Assumptions!$I$90,0,MATCH($A494,Configurations,0)-1,COUNT(Assumptions!$A$90:$A$183),1),Assumptions!$D$90:$D$183,$B494&amp;$C494)</f>
        <v>0</v>
      </c>
      <c r="O494" s="313"/>
      <c r="P494" s="323"/>
      <c r="Q494" s="313"/>
      <c r="R494" s="50">
        <f t="shared" ref="R494:AU494" ca="1" si="350">IF(OR(R$99&lt;InServiceYr,R$99&gt;(InServiceYr+analysis_period-1)),0,IF($P494=0,$N494,$P494)*R$501)</f>
        <v>0</v>
      </c>
      <c r="S494" s="50">
        <f t="shared" ca="1" si="350"/>
        <v>0</v>
      </c>
      <c r="T494" s="50">
        <f t="shared" ca="1" si="350"/>
        <v>0</v>
      </c>
      <c r="U494" s="50">
        <f t="shared" ca="1" si="350"/>
        <v>0</v>
      </c>
      <c r="V494" s="50">
        <f t="shared" ca="1" si="350"/>
        <v>0</v>
      </c>
      <c r="W494" s="50">
        <f t="shared" ca="1" si="350"/>
        <v>0</v>
      </c>
      <c r="X494" s="50">
        <f t="shared" ca="1" si="350"/>
        <v>0</v>
      </c>
      <c r="Y494" s="50">
        <f t="shared" ca="1" si="350"/>
        <v>0</v>
      </c>
      <c r="Z494" s="50">
        <f t="shared" ca="1" si="350"/>
        <v>0</v>
      </c>
      <c r="AA494" s="50">
        <f t="shared" ca="1" si="350"/>
        <v>0</v>
      </c>
      <c r="AB494" s="50">
        <f t="shared" ca="1" si="350"/>
        <v>0</v>
      </c>
      <c r="AC494" s="50">
        <f t="shared" ca="1" si="350"/>
        <v>0</v>
      </c>
      <c r="AD494" s="50">
        <f t="shared" ca="1" si="350"/>
        <v>0</v>
      </c>
      <c r="AE494" s="50">
        <f t="shared" ca="1" si="350"/>
        <v>0</v>
      </c>
      <c r="AF494" s="50">
        <f t="shared" ca="1" si="350"/>
        <v>0</v>
      </c>
      <c r="AG494" s="50">
        <f t="shared" ca="1" si="350"/>
        <v>0</v>
      </c>
      <c r="AH494" s="50">
        <f t="shared" ca="1" si="350"/>
        <v>0</v>
      </c>
      <c r="AI494" s="50">
        <f t="shared" ca="1" si="350"/>
        <v>0</v>
      </c>
      <c r="AJ494" s="50">
        <f t="shared" ca="1" si="350"/>
        <v>0</v>
      </c>
      <c r="AK494" s="50">
        <f t="shared" ca="1" si="350"/>
        <v>0</v>
      </c>
      <c r="AL494" s="50">
        <f t="shared" si="350"/>
        <v>0</v>
      </c>
      <c r="AM494" s="50">
        <f t="shared" si="350"/>
        <v>0</v>
      </c>
      <c r="AN494" s="50">
        <f t="shared" si="350"/>
        <v>0</v>
      </c>
      <c r="AO494" s="50">
        <f t="shared" si="350"/>
        <v>0</v>
      </c>
      <c r="AP494" s="50">
        <f t="shared" si="350"/>
        <v>0</v>
      </c>
      <c r="AQ494" s="50">
        <f t="shared" si="350"/>
        <v>0</v>
      </c>
      <c r="AR494" s="50">
        <f t="shared" si="350"/>
        <v>0</v>
      </c>
      <c r="AS494" s="50">
        <f t="shared" si="350"/>
        <v>0</v>
      </c>
      <c r="AT494" s="50">
        <f t="shared" si="350"/>
        <v>0</v>
      </c>
      <c r="AU494" s="50">
        <f t="shared" si="350"/>
        <v>0</v>
      </c>
    </row>
    <row r="495" spans="1:47">
      <c r="A495" s="38" t="str">
        <f>$J$4&amp;"-"</f>
        <v>3Y-</v>
      </c>
      <c r="B495" s="38" t="s">
        <v>289</v>
      </c>
      <c r="C495" s="38" t="str">
        <f>C485</f>
        <v>General O&amp;M</v>
      </c>
      <c r="D495" s="186">
        <f>LaborEsc</f>
        <v>0.02</v>
      </c>
      <c r="E495" s="325"/>
      <c r="G495" s="36" t="s">
        <v>292</v>
      </c>
      <c r="I495" s="39"/>
      <c r="K495" s="39"/>
      <c r="L495" s="43" t="str">
        <f>"["&amp;CostBaseYr&amp;" $]"</f>
        <v>[2013 $]</v>
      </c>
      <c r="N495" s="70">
        <f ca="1">SUMIFS(OFFSET(Assumptions!$I$90,0,MATCH($A495,Configurations,0)-1,COUNT(Assumptions!$A$90:$A$183),1),Assumptions!$D$90:$D$183,$B495&amp;$C495)</f>
        <v>0</v>
      </c>
      <c r="O495" s="313"/>
      <c r="P495" s="323"/>
      <c r="Q495" s="313"/>
      <c r="R495" s="50">
        <f t="shared" ref="R495:AU495" ca="1" si="351">IF(OR(R$99&lt;InServiceYr,R$99&gt;(InServiceYr+analysis_period-1)),0,IF($P495=0,$N495,$P495)*(1+$D495)^(R$99-CostBaseYr))</f>
        <v>0</v>
      </c>
      <c r="S495" s="50">
        <f t="shared" ca="1" si="351"/>
        <v>0</v>
      </c>
      <c r="T495" s="50">
        <f t="shared" ca="1" si="351"/>
        <v>0</v>
      </c>
      <c r="U495" s="50">
        <f t="shared" ca="1" si="351"/>
        <v>0</v>
      </c>
      <c r="V495" s="50">
        <f t="shared" ca="1" si="351"/>
        <v>0</v>
      </c>
      <c r="W495" s="50">
        <f t="shared" ca="1" si="351"/>
        <v>0</v>
      </c>
      <c r="X495" s="50">
        <f t="shared" ca="1" si="351"/>
        <v>0</v>
      </c>
      <c r="Y495" s="50">
        <f t="shared" ca="1" si="351"/>
        <v>0</v>
      </c>
      <c r="Z495" s="50">
        <f t="shared" ca="1" si="351"/>
        <v>0</v>
      </c>
      <c r="AA495" s="50">
        <f t="shared" ca="1" si="351"/>
        <v>0</v>
      </c>
      <c r="AB495" s="50">
        <f t="shared" ca="1" si="351"/>
        <v>0</v>
      </c>
      <c r="AC495" s="50">
        <f t="shared" ca="1" si="351"/>
        <v>0</v>
      </c>
      <c r="AD495" s="50">
        <f t="shared" ca="1" si="351"/>
        <v>0</v>
      </c>
      <c r="AE495" s="50">
        <f t="shared" ca="1" si="351"/>
        <v>0</v>
      </c>
      <c r="AF495" s="50">
        <f t="shared" ca="1" si="351"/>
        <v>0</v>
      </c>
      <c r="AG495" s="50">
        <f t="shared" ca="1" si="351"/>
        <v>0</v>
      </c>
      <c r="AH495" s="50">
        <f t="shared" ca="1" si="351"/>
        <v>0</v>
      </c>
      <c r="AI495" s="50">
        <f t="shared" ca="1" si="351"/>
        <v>0</v>
      </c>
      <c r="AJ495" s="50">
        <f t="shared" ca="1" si="351"/>
        <v>0</v>
      </c>
      <c r="AK495" s="50">
        <f t="shared" ca="1" si="351"/>
        <v>0</v>
      </c>
      <c r="AL495" s="50">
        <f t="shared" si="351"/>
        <v>0</v>
      </c>
      <c r="AM495" s="50">
        <f t="shared" si="351"/>
        <v>0</v>
      </c>
      <c r="AN495" s="50">
        <f t="shared" si="351"/>
        <v>0</v>
      </c>
      <c r="AO495" s="50">
        <f t="shared" si="351"/>
        <v>0</v>
      </c>
      <c r="AP495" s="50">
        <f t="shared" si="351"/>
        <v>0</v>
      </c>
      <c r="AQ495" s="50">
        <f t="shared" si="351"/>
        <v>0</v>
      </c>
      <c r="AR495" s="50">
        <f t="shared" si="351"/>
        <v>0</v>
      </c>
      <c r="AS495" s="50">
        <f t="shared" si="351"/>
        <v>0</v>
      </c>
      <c r="AT495" s="50">
        <f t="shared" si="351"/>
        <v>0</v>
      </c>
      <c r="AU495" s="50">
        <f t="shared" si="351"/>
        <v>0</v>
      </c>
    </row>
    <row r="496" spans="1:47" s="60" customFormat="1">
      <c r="D496" s="187"/>
      <c r="E496" s="325"/>
      <c r="G496" s="39" t="s">
        <v>305</v>
      </c>
      <c r="I496" s="39"/>
      <c r="K496" s="39"/>
      <c r="L496" s="174"/>
      <c r="N496" s="188"/>
      <c r="O496" s="314"/>
      <c r="P496" s="185"/>
      <c r="Q496" s="314"/>
      <c r="R496" s="185">
        <f ca="1">SUM(R485:R492)-SUM(R494:R495)</f>
        <v>129540</v>
      </c>
      <c r="S496" s="185">
        <f t="shared" ref="S496:AU496" ca="1" si="352">SUM(S485:S492)-SUM(S494:S495)</f>
        <v>132130.79999999999</v>
      </c>
      <c r="T496" s="185">
        <f t="shared" ca="1" si="352"/>
        <v>134773.416</v>
      </c>
      <c r="U496" s="185">
        <f t="shared" ca="1" si="352"/>
        <v>137468.88431999998</v>
      </c>
      <c r="V496" s="185">
        <f t="shared" ca="1" si="352"/>
        <v>140218.26200640001</v>
      </c>
      <c r="W496" s="185">
        <f t="shared" ca="1" si="352"/>
        <v>143022.62724652802</v>
      </c>
      <c r="X496" s="185">
        <f t="shared" ca="1" si="352"/>
        <v>145883.07979145853</v>
      </c>
      <c r="Y496" s="185">
        <f t="shared" ca="1" si="352"/>
        <v>148800.74138728771</v>
      </c>
      <c r="Z496" s="185">
        <f t="shared" ca="1" si="352"/>
        <v>151776.75621503347</v>
      </c>
      <c r="AA496" s="185">
        <f t="shared" ca="1" si="352"/>
        <v>154812.29133933416</v>
      </c>
      <c r="AB496" s="185">
        <f t="shared" ca="1" si="352"/>
        <v>157908.5371661208</v>
      </c>
      <c r="AC496" s="185">
        <f t="shared" ca="1" si="352"/>
        <v>161066.70790944324</v>
      </c>
      <c r="AD496" s="185">
        <f t="shared" ca="1" si="352"/>
        <v>164288.04206763211</v>
      </c>
      <c r="AE496" s="185">
        <f t="shared" ca="1" si="352"/>
        <v>167573.80290898477</v>
      </c>
      <c r="AF496" s="185">
        <f t="shared" ca="1" si="352"/>
        <v>170925.2789671644</v>
      </c>
      <c r="AG496" s="185">
        <f t="shared" ca="1" si="352"/>
        <v>174343.78454650773</v>
      </c>
      <c r="AH496" s="185">
        <f t="shared" ca="1" si="352"/>
        <v>177830.6602374379</v>
      </c>
      <c r="AI496" s="185">
        <f t="shared" ca="1" si="352"/>
        <v>181387.27344218665</v>
      </c>
      <c r="AJ496" s="185">
        <f t="shared" ca="1" si="352"/>
        <v>185015.01891103038</v>
      </c>
      <c r="AK496" s="185">
        <f t="shared" ca="1" si="352"/>
        <v>188715.319289251</v>
      </c>
      <c r="AL496" s="185">
        <f t="shared" si="352"/>
        <v>0</v>
      </c>
      <c r="AM496" s="185">
        <f t="shared" si="352"/>
        <v>0</v>
      </c>
      <c r="AN496" s="185">
        <f t="shared" si="352"/>
        <v>0</v>
      </c>
      <c r="AO496" s="185">
        <f t="shared" si="352"/>
        <v>0</v>
      </c>
      <c r="AP496" s="185">
        <f t="shared" si="352"/>
        <v>0</v>
      </c>
      <c r="AQ496" s="185">
        <f t="shared" si="352"/>
        <v>0</v>
      </c>
      <c r="AR496" s="185">
        <f t="shared" si="352"/>
        <v>0</v>
      </c>
      <c r="AS496" s="185">
        <f t="shared" si="352"/>
        <v>0</v>
      </c>
      <c r="AT496" s="185">
        <f t="shared" si="352"/>
        <v>0</v>
      </c>
      <c r="AU496" s="185">
        <f t="shared" si="352"/>
        <v>0</v>
      </c>
    </row>
    <row r="497" spans="1:16384">
      <c r="E497" s="36"/>
      <c r="G497" s="39"/>
      <c r="H497" s="39"/>
      <c r="I497" s="39"/>
      <c r="J497" s="39"/>
      <c r="K497" s="39"/>
    </row>
    <row r="498" spans="1:16384">
      <c r="E498" s="36"/>
      <c r="G498" s="39"/>
      <c r="H498" s="39"/>
      <c r="I498" s="39"/>
      <c r="J498" s="39"/>
      <c r="K498" s="39"/>
    </row>
    <row r="499" spans="1:16384">
      <c r="E499" s="327"/>
      <c r="F499" s="28"/>
      <c r="G499" s="324" t="s">
        <v>6</v>
      </c>
      <c r="H499" s="324"/>
      <c r="I499" s="324"/>
      <c r="J499" s="324"/>
      <c r="K499" s="324"/>
      <c r="L499" s="405" t="s">
        <v>79</v>
      </c>
      <c r="M499" s="256"/>
      <c r="N499" s="325"/>
      <c r="O499" s="311"/>
      <c r="P499" s="325"/>
      <c r="Q499" s="310"/>
      <c r="R499" s="325">
        <f>R$8</f>
        <v>2014</v>
      </c>
      <c r="S499" s="325">
        <f t="shared" ref="S499:AU499" si="353">S$8</f>
        <v>2015</v>
      </c>
      <c r="T499" s="325">
        <f t="shared" si="353"/>
        <v>2016</v>
      </c>
      <c r="U499" s="325">
        <f t="shared" si="353"/>
        <v>2017</v>
      </c>
      <c r="V499" s="325">
        <f t="shared" si="353"/>
        <v>2018</v>
      </c>
      <c r="W499" s="325">
        <f t="shared" si="353"/>
        <v>2019</v>
      </c>
      <c r="X499" s="325">
        <f t="shared" si="353"/>
        <v>2020</v>
      </c>
      <c r="Y499" s="325">
        <f t="shared" si="353"/>
        <v>2021</v>
      </c>
      <c r="Z499" s="325">
        <f t="shared" si="353"/>
        <v>2022</v>
      </c>
      <c r="AA499" s="325">
        <f t="shared" si="353"/>
        <v>2023</v>
      </c>
      <c r="AB499" s="325">
        <f t="shared" si="353"/>
        <v>2024</v>
      </c>
      <c r="AC499" s="325">
        <f t="shared" si="353"/>
        <v>2025</v>
      </c>
      <c r="AD499" s="325">
        <f t="shared" si="353"/>
        <v>2026</v>
      </c>
      <c r="AE499" s="325">
        <f t="shared" si="353"/>
        <v>2027</v>
      </c>
      <c r="AF499" s="325">
        <f t="shared" si="353"/>
        <v>2028</v>
      </c>
      <c r="AG499" s="325">
        <f t="shared" si="353"/>
        <v>2029</v>
      </c>
      <c r="AH499" s="325">
        <f t="shared" si="353"/>
        <v>2030</v>
      </c>
      <c r="AI499" s="325">
        <f t="shared" si="353"/>
        <v>2031</v>
      </c>
      <c r="AJ499" s="325">
        <f t="shared" si="353"/>
        <v>2032</v>
      </c>
      <c r="AK499" s="325">
        <f t="shared" si="353"/>
        <v>2033</v>
      </c>
      <c r="AL499" s="325">
        <f t="shared" si="353"/>
        <v>2034</v>
      </c>
      <c r="AM499" s="325">
        <f t="shared" si="353"/>
        <v>2035</v>
      </c>
      <c r="AN499" s="325">
        <f t="shared" si="353"/>
        <v>2036</v>
      </c>
      <c r="AO499" s="325">
        <f t="shared" si="353"/>
        <v>2037</v>
      </c>
      <c r="AP499" s="325">
        <f t="shared" si="353"/>
        <v>2038</v>
      </c>
      <c r="AQ499" s="325">
        <f t="shared" si="353"/>
        <v>2039</v>
      </c>
      <c r="AR499" s="325">
        <f t="shared" si="353"/>
        <v>2040</v>
      </c>
      <c r="AS499" s="325">
        <f t="shared" si="353"/>
        <v>2041</v>
      </c>
      <c r="AT499" s="325">
        <f t="shared" si="353"/>
        <v>2042</v>
      </c>
      <c r="AU499" s="325">
        <f t="shared" si="353"/>
        <v>2043</v>
      </c>
    </row>
    <row r="500" spans="1:16384">
      <c r="E500" s="325"/>
      <c r="G500" s="39"/>
      <c r="H500" s="39"/>
      <c r="I500" s="39"/>
      <c r="J500" s="39"/>
      <c r="K500" s="39"/>
    </row>
    <row r="501" spans="1:16384">
      <c r="E501" s="325"/>
      <c r="G501" s="36" t="s">
        <v>90</v>
      </c>
      <c r="H501" s="39"/>
      <c r="I501" s="39"/>
      <c r="J501" s="70"/>
      <c r="K501" s="39"/>
      <c r="L501" s="43" t="str">
        <f>Assumptions!G29</f>
        <v>[Nominal $/kWh]</v>
      </c>
      <c r="N501" s="320"/>
      <c r="P501" s="320"/>
      <c r="Q501" s="52"/>
      <c r="R501" s="52">
        <f>Assumptions!M29</f>
        <v>6.4581556062773368E-2</v>
      </c>
      <c r="S501" s="52">
        <f>Assumptions!N29</f>
        <v>6.4984127212630846E-2</v>
      </c>
      <c r="T501" s="52">
        <f>Assumptions!O29</f>
        <v>6.7785589135026608E-2</v>
      </c>
      <c r="U501" s="52">
        <f>Assumptions!P29</f>
        <v>6.981898718592304E-2</v>
      </c>
      <c r="V501" s="52">
        <f>Assumptions!Q29</f>
        <v>7.1503796868933267E-2</v>
      </c>
      <c r="W501" s="52">
        <f>Assumptions!R29</f>
        <v>7.2418565164272669E-2</v>
      </c>
      <c r="X501" s="52">
        <f>Assumptions!S29</f>
        <v>7.3596994326953685E-2</v>
      </c>
      <c r="Y501" s="52">
        <f>Assumptions!T29</f>
        <v>7.5410274370898506E-2</v>
      </c>
      <c r="Z501" s="52">
        <f>Assumptions!U29</f>
        <v>7.7215647759667966E-2</v>
      </c>
      <c r="AA501" s="52">
        <f>Assumptions!V29</f>
        <v>7.9146228607689051E-2</v>
      </c>
      <c r="AB501" s="52">
        <f>Assumptions!W29</f>
        <v>8.0860520329207805E-2</v>
      </c>
      <c r="AC501" s="52">
        <f>Assumptions!X29</f>
        <v>8.2417599515092449E-2</v>
      </c>
      <c r="AD501" s="52">
        <f>Assumptions!Y29</f>
        <v>8.4321429342628054E-2</v>
      </c>
      <c r="AE501" s="52">
        <f>Assumptions!Z29</f>
        <v>8.6243254567324276E-2</v>
      </c>
      <c r="AF501" s="52">
        <f>Assumptions!AA29</f>
        <v>8.829382632331699E-2</v>
      </c>
      <c r="AG501" s="52">
        <f>Assumptions!AB29</f>
        <v>9.0590950022257213E-2</v>
      </c>
      <c r="AH501" s="52">
        <f>Assumptions!AC29</f>
        <v>9.2811104018487828E-2</v>
      </c>
      <c r="AI501" s="52">
        <f>Assumptions!AD29</f>
        <v>9.521877087141481E-2</v>
      </c>
      <c r="AJ501" s="52">
        <f>Assumptions!AE29</f>
        <v>9.776763578849744E-2</v>
      </c>
      <c r="AK501" s="52">
        <f>Assumptions!AF29</f>
        <v>0.10042723479216267</v>
      </c>
      <c r="AL501" s="52">
        <f>Assumptions!AG29</f>
        <v>0.10338391809597851</v>
      </c>
      <c r="AM501" s="52">
        <f>Assumptions!AH29</f>
        <v>0.10713549812003452</v>
      </c>
      <c r="AN501" s="52">
        <f>Assumptions!AI29</f>
        <v>0.11152585678161221</v>
      </c>
      <c r="AO501" s="52">
        <f>Assumptions!AJ29</f>
        <v>0.11570324377054081</v>
      </c>
      <c r="AP501" s="52">
        <f>Assumptions!AK29</f>
        <v>0.11992306893841188</v>
      </c>
      <c r="AQ501" s="52">
        <f>Assumptions!AL29</f>
        <v>0.12437235076287895</v>
      </c>
      <c r="AR501" s="52">
        <f>Assumptions!AM29</f>
        <v>0.12798765946565488</v>
      </c>
      <c r="AS501" s="52">
        <f>Assumptions!AN29</f>
        <v>0.13080338797389929</v>
      </c>
      <c r="AT501" s="52">
        <f>Assumptions!AO29</f>
        <v>0.13368106250932507</v>
      </c>
      <c r="AU501" s="52">
        <f>Assumptions!AP29</f>
        <v>0.13662204588453022</v>
      </c>
    </row>
    <row r="502" spans="1:16384">
      <c r="E502" s="36"/>
      <c r="G502" s="37"/>
      <c r="H502" s="37"/>
      <c r="I502" s="37"/>
      <c r="J502" s="37"/>
      <c r="K502" s="37"/>
      <c r="L502" s="43"/>
      <c r="M502" s="43"/>
      <c r="N502" s="48"/>
      <c r="O502" s="43"/>
      <c r="P502" s="48"/>
      <c r="Q502" s="43"/>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row>
    <row r="503" spans="1:16384">
      <c r="E503" s="327"/>
      <c r="F503" s="28"/>
      <c r="G503" s="324" t="s">
        <v>16</v>
      </c>
      <c r="H503" s="324"/>
      <c r="I503" s="324"/>
      <c r="J503" s="324"/>
      <c r="K503" s="324"/>
      <c r="L503" s="405" t="s">
        <v>79</v>
      </c>
      <c r="M503" s="256"/>
      <c r="N503" s="325"/>
      <c r="O503" s="311"/>
      <c r="P503" s="325"/>
      <c r="Q503" s="310"/>
      <c r="R503" s="325">
        <f>R$8</f>
        <v>2014</v>
      </c>
      <c r="S503" s="325">
        <f t="shared" ref="S503:AU503" si="354">S$8</f>
        <v>2015</v>
      </c>
      <c r="T503" s="325">
        <f t="shared" si="354"/>
        <v>2016</v>
      </c>
      <c r="U503" s="325">
        <f t="shared" si="354"/>
        <v>2017</v>
      </c>
      <c r="V503" s="325">
        <f t="shared" si="354"/>
        <v>2018</v>
      </c>
      <c r="W503" s="325">
        <f t="shared" si="354"/>
        <v>2019</v>
      </c>
      <c r="X503" s="325">
        <f t="shared" si="354"/>
        <v>2020</v>
      </c>
      <c r="Y503" s="325">
        <f t="shared" si="354"/>
        <v>2021</v>
      </c>
      <c r="Z503" s="325">
        <f t="shared" si="354"/>
        <v>2022</v>
      </c>
      <c r="AA503" s="325">
        <f t="shared" si="354"/>
        <v>2023</v>
      </c>
      <c r="AB503" s="325">
        <f t="shared" si="354"/>
        <v>2024</v>
      </c>
      <c r="AC503" s="325">
        <f t="shared" si="354"/>
        <v>2025</v>
      </c>
      <c r="AD503" s="325">
        <f t="shared" si="354"/>
        <v>2026</v>
      </c>
      <c r="AE503" s="325">
        <f t="shared" si="354"/>
        <v>2027</v>
      </c>
      <c r="AF503" s="325">
        <f t="shared" si="354"/>
        <v>2028</v>
      </c>
      <c r="AG503" s="325">
        <f t="shared" si="354"/>
        <v>2029</v>
      </c>
      <c r="AH503" s="325">
        <f t="shared" si="354"/>
        <v>2030</v>
      </c>
      <c r="AI503" s="325">
        <f t="shared" si="354"/>
        <v>2031</v>
      </c>
      <c r="AJ503" s="325">
        <f t="shared" si="354"/>
        <v>2032</v>
      </c>
      <c r="AK503" s="325">
        <f t="shared" si="354"/>
        <v>2033</v>
      </c>
      <c r="AL503" s="325">
        <f t="shared" si="354"/>
        <v>2034</v>
      </c>
      <c r="AM503" s="325">
        <f t="shared" si="354"/>
        <v>2035</v>
      </c>
      <c r="AN503" s="325">
        <f t="shared" si="354"/>
        <v>2036</v>
      </c>
      <c r="AO503" s="325">
        <f t="shared" si="354"/>
        <v>2037</v>
      </c>
      <c r="AP503" s="325">
        <f t="shared" si="354"/>
        <v>2038</v>
      </c>
      <c r="AQ503" s="325">
        <f t="shared" si="354"/>
        <v>2039</v>
      </c>
      <c r="AR503" s="325">
        <f t="shared" si="354"/>
        <v>2040</v>
      </c>
      <c r="AS503" s="325">
        <f t="shared" si="354"/>
        <v>2041</v>
      </c>
      <c r="AT503" s="325">
        <f t="shared" si="354"/>
        <v>2042</v>
      </c>
      <c r="AU503" s="325">
        <f t="shared" si="354"/>
        <v>2043</v>
      </c>
    </row>
    <row r="504" spans="1:16384">
      <c r="E504" s="325"/>
      <c r="G504" s="39"/>
      <c r="H504" s="39"/>
      <c r="I504" s="39"/>
      <c r="J504" s="39"/>
      <c r="K504" s="39"/>
    </row>
    <row r="505" spans="1:16384">
      <c r="E505" s="325"/>
      <c r="G505" s="36" t="s">
        <v>4</v>
      </c>
      <c r="H505" s="39"/>
      <c r="I505" s="39"/>
      <c r="J505" s="70"/>
      <c r="K505" s="39"/>
      <c r="L505" s="43" t="str">
        <f>Assumptions!G30</f>
        <v>[Nominal $/GJ]</v>
      </c>
      <c r="N505" s="320"/>
      <c r="P505" s="320"/>
      <c r="Q505" s="52"/>
      <c r="R505" s="52">
        <f>Assumptions!M30/1000</f>
        <v>4.349162302177351E-3</v>
      </c>
      <c r="S505" s="52">
        <f>Assumptions!N30/1000</f>
        <v>4.4637464839421513E-3</v>
      </c>
      <c r="T505" s="52">
        <f>Assumptions!O30/1000</f>
        <v>4.9882201407370225E-3</v>
      </c>
      <c r="U505" s="52">
        <f>Assumptions!P30/1000</f>
        <v>5.274039417731349E-3</v>
      </c>
      <c r="V505" s="52">
        <f>Assumptions!Q30/1000</f>
        <v>5.6269550228721333E-3</v>
      </c>
      <c r="W505" s="52">
        <f>Assumptions!R30/1000</f>
        <v>5.8540511616013337E-3</v>
      </c>
      <c r="X505" s="52">
        <f>Assumptions!S30/1000</f>
        <v>6.038428026177464E-3</v>
      </c>
      <c r="Y505" s="52">
        <f>Assumptions!T30/1000</f>
        <v>6.2668036784831469E-3</v>
      </c>
      <c r="Z505" s="52">
        <f>Assumptions!U30/1000</f>
        <v>6.5922054798412668E-3</v>
      </c>
      <c r="AA505" s="52">
        <f>Assumptions!V30/1000</f>
        <v>6.9223010408478308E-3</v>
      </c>
      <c r="AB505" s="52">
        <f>Assumptions!W30/1000</f>
        <v>7.1632208510517392E-3</v>
      </c>
      <c r="AC505" s="52">
        <f>Assumptions!X30/1000</f>
        <v>7.3414909032361933E-3</v>
      </c>
      <c r="AD505" s="52">
        <f>Assumptions!Y30/1000</f>
        <v>7.6021404150132107E-3</v>
      </c>
      <c r="AE505" s="52">
        <f>Assumptions!Z30/1000</f>
        <v>7.7884635419133022E-3</v>
      </c>
      <c r="AF505" s="52">
        <f>Assumptions!AA30/1000</f>
        <v>8.0591711100798397E-3</v>
      </c>
      <c r="AG505" s="52">
        <f>Assumptions!AB30/1000</f>
        <v>8.3231988786498338E-3</v>
      </c>
      <c r="AH505" s="52">
        <f>Assumptions!AC30/1000</f>
        <v>8.5753643914497045E-3</v>
      </c>
      <c r="AI505" s="52">
        <f>Assumptions!AD30/1000</f>
        <v>8.8888916249159466E-3</v>
      </c>
      <c r="AJ505" s="52">
        <f>Assumptions!AE30/1000</f>
        <v>9.1809181054485871E-3</v>
      </c>
      <c r="AK505" s="52">
        <f>Assumptions!AF30/1000</f>
        <v>9.5487976739560727E-3</v>
      </c>
      <c r="AL505" s="52">
        <f>Assumptions!AG30/1000</f>
        <v>1.0077524695274986E-2</v>
      </c>
      <c r="AM505" s="52">
        <f>Assumptions!AH30/1000</f>
        <v>1.0655171564681258E-2</v>
      </c>
      <c r="AN505" s="52">
        <f>Assumptions!AI30/1000</f>
        <v>1.1383030107873128E-2</v>
      </c>
      <c r="AO505" s="52">
        <f>Assumptions!AJ30/1000</f>
        <v>1.2092621250722151E-2</v>
      </c>
      <c r="AP505" s="52">
        <f>Assumptions!AK30/1000</f>
        <v>1.2829558563080681E-2</v>
      </c>
      <c r="AQ505" s="52">
        <f>Assumptions!AL30/1000</f>
        <v>1.3272130091772659E-2</v>
      </c>
      <c r="AR505" s="52">
        <f>Assumptions!AM30/1000</f>
        <v>1.3882156894314641E-2</v>
      </c>
      <c r="AS505" s="52">
        <f>Assumptions!AN30/1000</f>
        <v>1.442356101319291E-2</v>
      </c>
      <c r="AT505" s="52">
        <f>Assumptions!AO30/1000</f>
        <v>1.4986079892707432E-2</v>
      </c>
      <c r="AU505" s="52">
        <f>Assumptions!AP30/1000</f>
        <v>1.5570537008523021E-2</v>
      </c>
    </row>
    <row r="506" spans="1:16384">
      <c r="G506" s="37"/>
      <c r="H506" s="37"/>
      <c r="I506" s="37"/>
      <c r="J506" s="37"/>
      <c r="K506" s="37"/>
      <c r="L506" s="43"/>
      <c r="M506" s="43"/>
      <c r="N506" s="51"/>
      <c r="O506" s="43"/>
      <c r="P506" s="51"/>
      <c r="Q506" s="43"/>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0"/>
      <c r="AW506" s="50"/>
      <c r="AX506" s="50"/>
      <c r="AY506" s="50"/>
      <c r="AZ506" s="50"/>
      <c r="BA506" s="50"/>
      <c r="BB506" s="50"/>
      <c r="BC506" s="50"/>
      <c r="BD506" s="50"/>
      <c r="BE506" s="50"/>
      <c r="BF506" s="50"/>
      <c r="BG506" s="50"/>
      <c r="BH506" s="50"/>
      <c r="BI506" s="50"/>
      <c r="BJ506" s="50"/>
      <c r="BK506" s="50"/>
      <c r="BL506" s="50"/>
      <c r="BM506" s="50"/>
      <c r="BN506" s="50"/>
      <c r="BO506" s="50"/>
      <c r="BP506" s="50"/>
      <c r="BQ506" s="50"/>
      <c r="BR506" s="50"/>
      <c r="BS506" s="50"/>
      <c r="BT506" s="50"/>
      <c r="BU506" s="50"/>
    </row>
    <row r="507" spans="1:16384">
      <c r="A507" s="327"/>
      <c r="B507" s="28"/>
      <c r="C507" s="324"/>
      <c r="D507" s="324"/>
      <c r="E507" s="324"/>
      <c r="F507" s="324"/>
      <c r="G507" s="324" t="s">
        <v>303</v>
      </c>
      <c r="H507" s="324"/>
      <c r="I507" s="256"/>
      <c r="J507" s="325"/>
      <c r="K507" s="311"/>
      <c r="L507" s="325"/>
      <c r="M507" s="310"/>
      <c r="N507" s="325"/>
      <c r="O507" s="325"/>
      <c r="P507" s="325"/>
      <c r="Q507" s="325"/>
      <c r="R507" s="325">
        <f>R$8</f>
        <v>2014</v>
      </c>
      <c r="S507" s="325">
        <f t="shared" ref="S507:AU507" si="355">S$8</f>
        <v>2015</v>
      </c>
      <c r="T507" s="325">
        <f t="shared" si="355"/>
        <v>2016</v>
      </c>
      <c r="U507" s="325">
        <f t="shared" si="355"/>
        <v>2017</v>
      </c>
      <c r="V507" s="325">
        <f t="shared" si="355"/>
        <v>2018</v>
      </c>
      <c r="W507" s="325">
        <f t="shared" si="355"/>
        <v>2019</v>
      </c>
      <c r="X507" s="325">
        <f t="shared" si="355"/>
        <v>2020</v>
      </c>
      <c r="Y507" s="325">
        <f t="shared" si="355"/>
        <v>2021</v>
      </c>
      <c r="Z507" s="325">
        <f t="shared" si="355"/>
        <v>2022</v>
      </c>
      <c r="AA507" s="325">
        <f t="shared" si="355"/>
        <v>2023</v>
      </c>
      <c r="AB507" s="325">
        <f t="shared" si="355"/>
        <v>2024</v>
      </c>
      <c r="AC507" s="325">
        <f t="shared" si="355"/>
        <v>2025</v>
      </c>
      <c r="AD507" s="325">
        <f t="shared" si="355"/>
        <v>2026</v>
      </c>
      <c r="AE507" s="325">
        <f t="shared" si="355"/>
        <v>2027</v>
      </c>
      <c r="AF507" s="325">
        <f t="shared" si="355"/>
        <v>2028</v>
      </c>
      <c r="AG507" s="325">
        <f t="shared" si="355"/>
        <v>2029</v>
      </c>
      <c r="AH507" s="325">
        <f t="shared" si="355"/>
        <v>2030</v>
      </c>
      <c r="AI507" s="325">
        <f t="shared" si="355"/>
        <v>2031</v>
      </c>
      <c r="AJ507" s="325">
        <f t="shared" si="355"/>
        <v>2032</v>
      </c>
      <c r="AK507" s="325">
        <f t="shared" si="355"/>
        <v>2033</v>
      </c>
      <c r="AL507" s="325">
        <f t="shared" si="355"/>
        <v>2034</v>
      </c>
      <c r="AM507" s="325">
        <f t="shared" si="355"/>
        <v>2035</v>
      </c>
      <c r="AN507" s="325">
        <f t="shared" si="355"/>
        <v>2036</v>
      </c>
      <c r="AO507" s="325">
        <f t="shared" si="355"/>
        <v>2037</v>
      </c>
      <c r="AP507" s="325">
        <f t="shared" si="355"/>
        <v>2038</v>
      </c>
      <c r="AQ507" s="325">
        <f t="shared" si="355"/>
        <v>2039</v>
      </c>
      <c r="AR507" s="325">
        <f t="shared" si="355"/>
        <v>2040</v>
      </c>
      <c r="AS507" s="325">
        <f t="shared" si="355"/>
        <v>2041</v>
      </c>
      <c r="AT507" s="325">
        <f t="shared" si="355"/>
        <v>2042</v>
      </c>
      <c r="AU507" s="325">
        <f t="shared" si="355"/>
        <v>2043</v>
      </c>
      <c r="BB507" s="311"/>
      <c r="BC507" s="325"/>
      <c r="BD507" s="310"/>
      <c r="BE507" s="325"/>
      <c r="BF507" s="325"/>
      <c r="BG507" s="325"/>
      <c r="BH507" s="325"/>
      <c r="BI507" s="325"/>
      <c r="BJ507" s="325"/>
      <c r="BK507" s="325"/>
      <c r="BL507" s="325"/>
      <c r="BM507" s="325"/>
      <c r="BN507" s="325"/>
      <c r="BO507" s="325"/>
      <c r="BP507" s="325"/>
      <c r="BQ507" s="325"/>
      <c r="BR507" s="325"/>
      <c r="BS507" s="325"/>
      <c r="BT507" s="325"/>
      <c r="BU507" s="325"/>
      <c r="BV507" s="325"/>
      <c r="BW507" s="325"/>
      <c r="BX507" s="325"/>
      <c r="BY507" s="325"/>
      <c r="BZ507" s="325"/>
      <c r="CA507" s="325"/>
      <c r="CB507" s="325"/>
      <c r="CC507" s="325"/>
      <c r="CD507" s="325"/>
      <c r="CE507" s="325"/>
      <c r="CF507" s="325"/>
      <c r="CG507" s="325"/>
      <c r="CH507" s="325"/>
      <c r="CI507" s="327"/>
      <c r="CJ507" s="28"/>
      <c r="CK507" s="324"/>
      <c r="CL507" s="324"/>
      <c r="CM507" s="324"/>
      <c r="CN507" s="324"/>
      <c r="CO507" s="324"/>
      <c r="CP507" s="324"/>
      <c r="CQ507" s="256"/>
      <c r="CR507" s="325"/>
      <c r="CS507" s="311"/>
      <c r="CT507" s="325"/>
      <c r="CU507" s="310"/>
      <c r="CV507" s="325"/>
      <c r="CW507" s="325"/>
      <c r="CX507" s="325"/>
      <c r="CY507" s="325"/>
      <c r="CZ507" s="325"/>
      <c r="DA507" s="325"/>
      <c r="DB507" s="325"/>
      <c r="DC507" s="325"/>
      <c r="DD507" s="325"/>
      <c r="DE507" s="325"/>
      <c r="DF507" s="325"/>
      <c r="DG507" s="325"/>
      <c r="DH507" s="325"/>
      <c r="DI507" s="325"/>
      <c r="DJ507" s="325"/>
      <c r="DK507" s="325"/>
      <c r="DL507" s="325"/>
      <c r="DM507" s="325"/>
      <c r="DN507" s="325"/>
      <c r="DO507" s="325"/>
      <c r="DP507" s="325"/>
      <c r="DQ507" s="325"/>
      <c r="DR507" s="325"/>
      <c r="DS507" s="325"/>
      <c r="DT507" s="325"/>
      <c r="DU507" s="325"/>
      <c r="DV507" s="325"/>
      <c r="DW507" s="325"/>
      <c r="DX507" s="325"/>
      <c r="DY507" s="325"/>
      <c r="DZ507" s="327"/>
      <c r="EA507" s="28"/>
      <c r="EB507" s="324"/>
      <c r="EC507" s="324"/>
      <c r="ED507" s="324"/>
      <c r="EE507" s="324"/>
      <c r="EF507" s="324"/>
      <c r="EG507" s="324"/>
      <c r="EH507" s="256"/>
      <c r="EI507" s="325"/>
      <c r="EJ507" s="311"/>
      <c r="EK507" s="325"/>
      <c r="EL507" s="310"/>
      <c r="EM507" s="325"/>
      <c r="EN507" s="325"/>
      <c r="EO507" s="325"/>
      <c r="EP507" s="325"/>
      <c r="EQ507" s="325"/>
      <c r="ER507" s="325"/>
      <c r="ES507" s="325"/>
      <c r="ET507" s="325"/>
      <c r="EU507" s="325"/>
      <c r="EV507" s="325"/>
      <c r="EW507" s="325"/>
      <c r="EX507" s="325"/>
      <c r="EY507" s="325"/>
      <c r="EZ507" s="325"/>
      <c r="FA507" s="325"/>
      <c r="FB507" s="325"/>
      <c r="FC507" s="325"/>
      <c r="FD507" s="325"/>
      <c r="FE507" s="325"/>
      <c r="FF507" s="325"/>
      <c r="FG507" s="325"/>
      <c r="FH507" s="325"/>
      <c r="FI507" s="325"/>
      <c r="FJ507" s="325"/>
      <c r="FK507" s="325"/>
      <c r="FL507" s="325"/>
      <c r="FM507" s="325"/>
      <c r="FN507" s="325"/>
      <c r="FO507" s="325"/>
      <c r="FP507" s="325"/>
      <c r="FQ507" s="327"/>
      <c r="FR507" s="28"/>
      <c r="FS507" s="324"/>
      <c r="FT507" s="324"/>
      <c r="FU507" s="324"/>
      <c r="FV507" s="324"/>
      <c r="FW507" s="324"/>
      <c r="FX507" s="324"/>
      <c r="FY507" s="256"/>
      <c r="FZ507" s="325"/>
      <c r="GA507" s="311"/>
      <c r="GB507" s="325"/>
      <c r="GC507" s="310"/>
      <c r="GD507" s="325"/>
      <c r="GE507" s="325"/>
      <c r="GF507" s="325"/>
      <c r="GG507" s="325"/>
      <c r="GH507" s="325"/>
      <c r="GI507" s="325"/>
      <c r="GJ507" s="325"/>
      <c r="GK507" s="325"/>
      <c r="GL507" s="325"/>
      <c r="GM507" s="325"/>
      <c r="GN507" s="325"/>
      <c r="GO507" s="325"/>
      <c r="GP507" s="325"/>
      <c r="GQ507" s="325"/>
      <c r="GR507" s="325"/>
      <c r="GS507" s="325"/>
      <c r="GT507" s="325"/>
      <c r="GU507" s="325"/>
      <c r="GV507" s="325"/>
      <c r="GW507" s="325"/>
      <c r="GX507" s="325"/>
      <c r="GY507" s="325"/>
      <c r="GZ507" s="325"/>
      <c r="HA507" s="325"/>
      <c r="HB507" s="325"/>
      <c r="HC507" s="325"/>
      <c r="HD507" s="325"/>
      <c r="HE507" s="325"/>
      <c r="HF507" s="325"/>
      <c r="HG507" s="325"/>
      <c r="HH507" s="327"/>
      <c r="HI507" s="28"/>
      <c r="HJ507" s="324"/>
      <c r="HK507" s="324"/>
      <c r="HL507" s="324"/>
      <c r="HM507" s="324"/>
      <c r="HN507" s="324"/>
      <c r="HO507" s="324"/>
      <c r="HP507" s="256"/>
      <c r="HQ507" s="325"/>
      <c r="HR507" s="311"/>
      <c r="HS507" s="325"/>
      <c r="HT507" s="310"/>
      <c r="HU507" s="325"/>
      <c r="HV507" s="325"/>
      <c r="HW507" s="325"/>
      <c r="HX507" s="325"/>
      <c r="HY507" s="325"/>
      <c r="HZ507" s="325"/>
      <c r="IA507" s="325"/>
      <c r="IB507" s="325"/>
      <c r="IC507" s="325"/>
      <c r="ID507" s="325"/>
      <c r="IE507" s="325"/>
      <c r="IF507" s="325"/>
      <c r="IG507" s="325"/>
      <c r="IH507" s="325"/>
      <c r="II507" s="325"/>
      <c r="IJ507" s="325"/>
      <c r="IK507" s="325"/>
      <c r="IL507" s="325"/>
      <c r="IM507" s="325"/>
      <c r="IN507" s="325"/>
      <c r="IO507" s="325"/>
      <c r="IP507" s="325"/>
      <c r="IQ507" s="325"/>
      <c r="IR507" s="325"/>
      <c r="IS507" s="325"/>
      <c r="IT507" s="325"/>
      <c r="IU507" s="325"/>
      <c r="IV507" s="325"/>
      <c r="IW507" s="325"/>
      <c r="IX507" s="325"/>
      <c r="IY507" s="327"/>
      <c r="IZ507" s="28"/>
      <c r="JA507" s="324"/>
      <c r="JB507" s="324"/>
      <c r="JC507" s="324"/>
      <c r="JD507" s="324"/>
      <c r="JE507" s="324"/>
      <c r="JF507" s="324"/>
      <c r="JG507" s="256"/>
      <c r="JH507" s="325"/>
      <c r="JI507" s="311"/>
      <c r="JJ507" s="325"/>
      <c r="JK507" s="310"/>
      <c r="JL507" s="325"/>
      <c r="JM507" s="325"/>
      <c r="JN507" s="325"/>
      <c r="JO507" s="325"/>
      <c r="JP507" s="325"/>
      <c r="JQ507" s="325"/>
      <c r="JR507" s="325"/>
      <c r="JS507" s="325"/>
      <c r="JT507" s="325"/>
      <c r="JU507" s="325"/>
      <c r="JV507" s="325"/>
      <c r="JW507" s="325"/>
      <c r="JX507" s="325"/>
      <c r="JY507" s="325"/>
      <c r="JZ507" s="325"/>
      <c r="KA507" s="325"/>
      <c r="KB507" s="325"/>
      <c r="KC507" s="325"/>
      <c r="KD507" s="325"/>
      <c r="KE507" s="325"/>
      <c r="KF507" s="325"/>
      <c r="KG507" s="325"/>
      <c r="KH507" s="325"/>
      <c r="KI507" s="325"/>
      <c r="KJ507" s="325"/>
      <c r="KK507" s="325"/>
      <c r="KL507" s="325"/>
      <c r="KM507" s="325"/>
      <c r="KN507" s="325"/>
      <c r="KO507" s="325"/>
      <c r="KP507" s="327"/>
      <c r="KQ507" s="28"/>
      <c r="KR507" s="324"/>
      <c r="KS507" s="324"/>
      <c r="KT507" s="324"/>
      <c r="KU507" s="324"/>
      <c r="KV507" s="324"/>
      <c r="KW507" s="324"/>
      <c r="KX507" s="256"/>
      <c r="KY507" s="325"/>
      <c r="KZ507" s="311"/>
      <c r="LA507" s="325"/>
      <c r="LB507" s="310"/>
      <c r="LC507" s="325"/>
      <c r="LD507" s="325"/>
      <c r="LE507" s="325"/>
      <c r="LF507" s="325"/>
      <c r="LG507" s="325"/>
      <c r="LH507" s="325"/>
      <c r="LI507" s="325"/>
      <c r="LJ507" s="325"/>
      <c r="LK507" s="325"/>
      <c r="LL507" s="325"/>
      <c r="LM507" s="325"/>
      <c r="LN507" s="325"/>
      <c r="LO507" s="325"/>
      <c r="LP507" s="325"/>
      <c r="LQ507" s="325"/>
      <c r="LR507" s="325"/>
      <c r="LS507" s="325"/>
      <c r="LT507" s="325"/>
      <c r="LU507" s="325"/>
      <c r="LV507" s="325"/>
      <c r="LW507" s="325"/>
      <c r="LX507" s="325"/>
      <c r="LY507" s="325"/>
      <c r="LZ507" s="325"/>
      <c r="MA507" s="325"/>
      <c r="MB507" s="325"/>
      <c r="MC507" s="325"/>
      <c r="MD507" s="325"/>
      <c r="ME507" s="325"/>
      <c r="MF507" s="325"/>
      <c r="MG507" s="327"/>
      <c r="MH507" s="28"/>
      <c r="MI507" s="324"/>
      <c r="MJ507" s="324"/>
      <c r="MK507" s="324"/>
      <c r="ML507" s="324"/>
      <c r="MM507" s="324"/>
      <c r="MN507" s="324"/>
      <c r="MO507" s="256"/>
      <c r="MP507" s="325"/>
      <c r="MQ507" s="311"/>
      <c r="MR507" s="325"/>
      <c r="MS507" s="310"/>
      <c r="MT507" s="325"/>
      <c r="MU507" s="325"/>
      <c r="MV507" s="325"/>
      <c r="MW507" s="325"/>
      <c r="MX507" s="325"/>
      <c r="MY507" s="325"/>
      <c r="MZ507" s="325"/>
      <c r="NA507" s="325"/>
      <c r="NB507" s="325"/>
      <c r="NC507" s="325"/>
      <c r="ND507" s="325"/>
      <c r="NE507" s="325"/>
      <c r="NF507" s="325"/>
      <c r="NG507" s="325"/>
      <c r="NH507" s="325"/>
      <c r="NI507" s="325"/>
      <c r="NJ507" s="325"/>
      <c r="NK507" s="325"/>
      <c r="NL507" s="325"/>
      <c r="NM507" s="325"/>
      <c r="NN507" s="325"/>
      <c r="NO507" s="325"/>
      <c r="NP507" s="325"/>
      <c r="NQ507" s="325"/>
      <c r="NR507" s="325"/>
      <c r="NS507" s="325"/>
      <c r="NT507" s="325"/>
      <c r="NU507" s="325"/>
      <c r="NV507" s="325"/>
      <c r="NW507" s="325"/>
      <c r="NX507" s="327"/>
      <c r="NY507" s="28"/>
      <c r="NZ507" s="324"/>
      <c r="OA507" s="324"/>
      <c r="OB507" s="324"/>
      <c r="OC507" s="324"/>
      <c r="OD507" s="324"/>
      <c r="OE507" s="324"/>
      <c r="OF507" s="256"/>
      <c r="OG507" s="325"/>
      <c r="OH507" s="311"/>
      <c r="OI507" s="325"/>
      <c r="OJ507" s="310"/>
      <c r="OK507" s="325"/>
      <c r="OL507" s="325"/>
      <c r="OM507" s="325"/>
      <c r="ON507" s="325"/>
      <c r="OO507" s="325"/>
      <c r="OP507" s="325"/>
      <c r="OQ507" s="325"/>
      <c r="OR507" s="325"/>
      <c r="OS507" s="325"/>
      <c r="OT507" s="325"/>
      <c r="OU507" s="325"/>
      <c r="OV507" s="325"/>
      <c r="OW507" s="325"/>
      <c r="OX507" s="325"/>
      <c r="OY507" s="325"/>
      <c r="OZ507" s="325"/>
      <c r="PA507" s="325"/>
      <c r="PB507" s="325"/>
      <c r="PC507" s="325"/>
      <c r="PD507" s="325"/>
      <c r="PE507" s="325"/>
      <c r="PF507" s="325"/>
      <c r="PG507" s="325"/>
      <c r="PH507" s="325"/>
      <c r="PI507" s="325"/>
      <c r="PJ507" s="325"/>
      <c r="PK507" s="325"/>
      <c r="PL507" s="325"/>
      <c r="PM507" s="325"/>
      <c r="PN507" s="325"/>
      <c r="PO507" s="327"/>
      <c r="PP507" s="28"/>
      <c r="PQ507" s="324"/>
      <c r="PR507" s="324"/>
      <c r="PS507" s="324"/>
      <c r="PT507" s="324"/>
      <c r="PU507" s="324"/>
      <c r="PV507" s="324"/>
      <c r="PW507" s="256"/>
      <c r="PX507" s="325"/>
      <c r="PY507" s="311"/>
      <c r="PZ507" s="325"/>
      <c r="QA507" s="310"/>
      <c r="QB507" s="325"/>
      <c r="QC507" s="325"/>
      <c r="QD507" s="325"/>
      <c r="QE507" s="325"/>
      <c r="QF507" s="325"/>
      <c r="QG507" s="325"/>
      <c r="QH507" s="325"/>
      <c r="QI507" s="325"/>
      <c r="QJ507" s="325"/>
      <c r="QK507" s="325"/>
      <c r="QL507" s="325"/>
      <c r="QM507" s="325"/>
      <c r="QN507" s="325"/>
      <c r="QO507" s="325"/>
      <c r="QP507" s="325"/>
      <c r="QQ507" s="325"/>
      <c r="QR507" s="325"/>
      <c r="QS507" s="325"/>
      <c r="QT507" s="325"/>
      <c r="QU507" s="325"/>
      <c r="QV507" s="325"/>
      <c r="QW507" s="325"/>
      <c r="QX507" s="325"/>
      <c r="QY507" s="325"/>
      <c r="QZ507" s="325"/>
      <c r="RA507" s="325"/>
      <c r="RB507" s="325"/>
      <c r="RC507" s="325"/>
      <c r="RD507" s="325"/>
      <c r="RE507" s="325"/>
      <c r="RF507" s="327"/>
      <c r="RG507" s="28"/>
      <c r="RH507" s="324"/>
      <c r="RI507" s="324"/>
      <c r="RJ507" s="324"/>
      <c r="RK507" s="324"/>
      <c r="RL507" s="324"/>
      <c r="RM507" s="324"/>
      <c r="RN507" s="256"/>
      <c r="RO507" s="325"/>
      <c r="RP507" s="311"/>
      <c r="RQ507" s="325"/>
      <c r="RR507" s="310"/>
      <c r="RS507" s="325"/>
      <c r="RT507" s="325"/>
      <c r="RU507" s="325"/>
      <c r="RV507" s="325"/>
      <c r="RW507" s="325"/>
      <c r="RX507" s="325"/>
      <c r="RY507" s="325"/>
      <c r="RZ507" s="325"/>
      <c r="SA507" s="325"/>
      <c r="SB507" s="325"/>
      <c r="SC507" s="325"/>
      <c r="SD507" s="325"/>
      <c r="SE507" s="325"/>
      <c r="SF507" s="325"/>
      <c r="SG507" s="325"/>
      <c r="SH507" s="325"/>
      <c r="SI507" s="325"/>
      <c r="SJ507" s="325"/>
      <c r="SK507" s="325"/>
      <c r="SL507" s="325"/>
      <c r="SM507" s="325"/>
      <c r="SN507" s="325"/>
      <c r="SO507" s="325"/>
      <c r="SP507" s="325"/>
      <c r="SQ507" s="325"/>
      <c r="SR507" s="325"/>
      <c r="SS507" s="325"/>
      <c r="ST507" s="325"/>
      <c r="SU507" s="325"/>
      <c r="SV507" s="325"/>
      <c r="SW507" s="327"/>
      <c r="SX507" s="28"/>
      <c r="SY507" s="324"/>
      <c r="SZ507" s="324"/>
      <c r="TA507" s="324"/>
      <c r="TB507" s="324"/>
      <c r="TC507" s="324"/>
      <c r="TD507" s="324"/>
      <c r="TE507" s="256"/>
      <c r="TF507" s="325"/>
      <c r="TG507" s="311"/>
      <c r="TH507" s="325"/>
      <c r="TI507" s="310"/>
      <c r="TJ507" s="325"/>
      <c r="TK507" s="325"/>
      <c r="TL507" s="325"/>
      <c r="TM507" s="325"/>
      <c r="TN507" s="325"/>
      <c r="TO507" s="325"/>
      <c r="TP507" s="325"/>
      <c r="TQ507" s="325"/>
      <c r="TR507" s="325"/>
      <c r="TS507" s="325"/>
      <c r="TT507" s="325"/>
      <c r="TU507" s="325"/>
      <c r="TV507" s="325"/>
      <c r="TW507" s="325"/>
      <c r="TX507" s="325"/>
      <c r="TY507" s="325"/>
      <c r="TZ507" s="325"/>
      <c r="UA507" s="325"/>
      <c r="UB507" s="325"/>
      <c r="UC507" s="325"/>
      <c r="UD507" s="325"/>
      <c r="UE507" s="325"/>
      <c r="UF507" s="325"/>
      <c r="UG507" s="325"/>
      <c r="UH507" s="325"/>
      <c r="UI507" s="325"/>
      <c r="UJ507" s="325"/>
      <c r="UK507" s="325"/>
      <c r="UL507" s="325"/>
      <c r="UM507" s="325"/>
      <c r="UN507" s="327"/>
      <c r="UO507" s="28"/>
      <c r="UP507" s="324"/>
      <c r="UQ507" s="324"/>
      <c r="UR507" s="324"/>
      <c r="US507" s="324"/>
      <c r="UT507" s="324"/>
      <c r="UU507" s="324"/>
      <c r="UV507" s="256"/>
      <c r="UW507" s="325"/>
      <c r="UX507" s="311"/>
      <c r="UY507" s="325"/>
      <c r="UZ507" s="310"/>
      <c r="VA507" s="325"/>
      <c r="VB507" s="325"/>
      <c r="VC507" s="325"/>
      <c r="VD507" s="325"/>
      <c r="VE507" s="325"/>
      <c r="VF507" s="325"/>
      <c r="VG507" s="325"/>
      <c r="VH507" s="325"/>
      <c r="VI507" s="325"/>
      <c r="VJ507" s="325"/>
      <c r="VK507" s="325"/>
      <c r="VL507" s="325"/>
      <c r="VM507" s="325"/>
      <c r="VN507" s="325"/>
      <c r="VO507" s="325"/>
      <c r="VP507" s="325"/>
      <c r="VQ507" s="325"/>
      <c r="VR507" s="325"/>
      <c r="VS507" s="325"/>
      <c r="VT507" s="325"/>
      <c r="VU507" s="325"/>
      <c r="VV507" s="325"/>
      <c r="VW507" s="325"/>
      <c r="VX507" s="325"/>
      <c r="VY507" s="325"/>
      <c r="VZ507" s="325"/>
      <c r="WA507" s="325"/>
      <c r="WB507" s="325"/>
      <c r="WC507" s="325"/>
      <c r="WD507" s="325"/>
      <c r="WE507" s="327"/>
      <c r="WF507" s="28"/>
      <c r="WG507" s="324"/>
      <c r="WH507" s="324"/>
      <c r="WI507" s="324"/>
      <c r="WJ507" s="324"/>
      <c r="WK507" s="324"/>
      <c r="WL507" s="324"/>
      <c r="WM507" s="256"/>
      <c r="WN507" s="325"/>
      <c r="WO507" s="311"/>
      <c r="WP507" s="325"/>
      <c r="WQ507" s="310"/>
      <c r="WR507" s="325"/>
      <c r="WS507" s="325"/>
      <c r="WT507" s="325"/>
      <c r="WU507" s="325"/>
      <c r="WV507" s="325"/>
      <c r="WW507" s="325"/>
      <c r="WX507" s="325"/>
      <c r="WY507" s="325"/>
      <c r="WZ507" s="325"/>
      <c r="XA507" s="325"/>
      <c r="XB507" s="325"/>
      <c r="XC507" s="325"/>
      <c r="XD507" s="325"/>
      <c r="XE507" s="325"/>
      <c r="XF507" s="325"/>
      <c r="XG507" s="325"/>
      <c r="XH507" s="325"/>
      <c r="XI507" s="325"/>
      <c r="XJ507" s="325"/>
      <c r="XK507" s="325"/>
      <c r="XL507" s="325"/>
      <c r="XM507" s="325"/>
      <c r="XN507" s="325"/>
      <c r="XO507" s="325"/>
      <c r="XP507" s="325"/>
      <c r="XQ507" s="325"/>
      <c r="XR507" s="325"/>
      <c r="XS507" s="325"/>
      <c r="XT507" s="325"/>
      <c r="XU507" s="325"/>
      <c r="XV507" s="327"/>
      <c r="XW507" s="28"/>
      <c r="XX507" s="324"/>
      <c r="XY507" s="324"/>
      <c r="XZ507" s="324"/>
      <c r="YA507" s="324"/>
      <c r="YB507" s="324"/>
      <c r="YC507" s="324"/>
      <c r="YD507" s="256"/>
      <c r="YE507" s="325"/>
      <c r="YF507" s="311"/>
      <c r="YG507" s="325"/>
      <c r="YH507" s="310"/>
      <c r="YI507" s="325"/>
      <c r="YJ507" s="325"/>
      <c r="YK507" s="325"/>
      <c r="YL507" s="325"/>
      <c r="YM507" s="325"/>
      <c r="YN507" s="325"/>
      <c r="YO507" s="325"/>
      <c r="YP507" s="325"/>
      <c r="YQ507" s="325"/>
      <c r="YR507" s="325"/>
      <c r="YS507" s="325"/>
      <c r="YT507" s="325"/>
      <c r="YU507" s="325"/>
      <c r="YV507" s="325"/>
      <c r="YW507" s="325"/>
      <c r="YX507" s="325"/>
      <c r="YY507" s="325"/>
      <c r="YZ507" s="325"/>
      <c r="ZA507" s="325"/>
      <c r="ZB507" s="325"/>
      <c r="ZC507" s="325"/>
      <c r="ZD507" s="325"/>
      <c r="ZE507" s="325"/>
      <c r="ZF507" s="325"/>
      <c r="ZG507" s="325"/>
      <c r="ZH507" s="325"/>
      <c r="ZI507" s="325"/>
      <c r="ZJ507" s="325"/>
      <c r="ZK507" s="325"/>
      <c r="ZL507" s="325"/>
      <c r="ZM507" s="327"/>
      <c r="ZN507" s="28"/>
      <c r="ZO507" s="324"/>
      <c r="ZP507" s="324"/>
      <c r="ZQ507" s="324"/>
      <c r="ZR507" s="324"/>
      <c r="ZS507" s="324"/>
      <c r="ZT507" s="324"/>
      <c r="ZU507" s="256"/>
      <c r="ZV507" s="325"/>
      <c r="ZW507" s="311"/>
      <c r="ZX507" s="325"/>
      <c r="ZY507" s="310"/>
      <c r="ZZ507" s="325"/>
      <c r="AAA507" s="325"/>
      <c r="AAB507" s="325"/>
      <c r="AAC507" s="325"/>
      <c r="AAD507" s="325"/>
      <c r="AAE507" s="325"/>
      <c r="AAF507" s="325"/>
      <c r="AAG507" s="325"/>
      <c r="AAH507" s="325"/>
      <c r="AAI507" s="325"/>
      <c r="AAJ507" s="325"/>
      <c r="AAK507" s="325"/>
      <c r="AAL507" s="325"/>
      <c r="AAM507" s="325"/>
      <c r="AAN507" s="325"/>
      <c r="AAO507" s="325"/>
      <c r="AAP507" s="325"/>
      <c r="AAQ507" s="325"/>
      <c r="AAR507" s="325"/>
      <c r="AAS507" s="325"/>
      <c r="AAT507" s="325"/>
      <c r="AAU507" s="325"/>
      <c r="AAV507" s="325"/>
      <c r="AAW507" s="325"/>
      <c r="AAX507" s="325"/>
      <c r="AAY507" s="325"/>
      <c r="AAZ507" s="325"/>
      <c r="ABA507" s="325"/>
      <c r="ABB507" s="325"/>
      <c r="ABC507" s="325"/>
      <c r="ABD507" s="327"/>
      <c r="ABE507" s="28"/>
      <c r="ABF507" s="324"/>
      <c r="ABG507" s="324"/>
      <c r="ABH507" s="324"/>
      <c r="ABI507" s="324"/>
      <c r="ABJ507" s="324"/>
      <c r="ABK507" s="324"/>
      <c r="ABL507" s="256"/>
      <c r="ABM507" s="325"/>
      <c r="ABN507" s="311"/>
      <c r="ABO507" s="325"/>
      <c r="ABP507" s="310"/>
      <c r="ABQ507" s="325"/>
      <c r="ABR507" s="325"/>
      <c r="ABS507" s="325"/>
      <c r="ABT507" s="325"/>
      <c r="ABU507" s="325"/>
      <c r="ABV507" s="325"/>
      <c r="ABW507" s="325"/>
      <c r="ABX507" s="325"/>
      <c r="ABY507" s="325"/>
      <c r="ABZ507" s="325"/>
      <c r="ACA507" s="325"/>
      <c r="ACB507" s="325"/>
      <c r="ACC507" s="325"/>
      <c r="ACD507" s="325"/>
      <c r="ACE507" s="325"/>
      <c r="ACF507" s="325"/>
      <c r="ACG507" s="325"/>
      <c r="ACH507" s="325"/>
      <c r="ACI507" s="325"/>
      <c r="ACJ507" s="325"/>
      <c r="ACK507" s="325"/>
      <c r="ACL507" s="325"/>
      <c r="ACM507" s="325"/>
      <c r="ACN507" s="325"/>
      <c r="ACO507" s="325"/>
      <c r="ACP507" s="325"/>
      <c r="ACQ507" s="325"/>
      <c r="ACR507" s="325"/>
      <c r="ACS507" s="325"/>
      <c r="ACT507" s="325"/>
      <c r="ACU507" s="327"/>
      <c r="ACV507" s="28"/>
      <c r="ACW507" s="324"/>
      <c r="ACX507" s="324"/>
      <c r="ACY507" s="324"/>
      <c r="ACZ507" s="324"/>
      <c r="ADA507" s="324"/>
      <c r="ADB507" s="324"/>
      <c r="ADC507" s="256"/>
      <c r="ADD507" s="325"/>
      <c r="ADE507" s="311"/>
      <c r="ADF507" s="325"/>
      <c r="ADG507" s="310"/>
      <c r="ADH507" s="325"/>
      <c r="ADI507" s="325"/>
      <c r="ADJ507" s="325"/>
      <c r="ADK507" s="325"/>
      <c r="ADL507" s="325"/>
      <c r="ADM507" s="325"/>
      <c r="ADN507" s="325"/>
      <c r="ADO507" s="325"/>
      <c r="ADP507" s="325"/>
      <c r="ADQ507" s="325"/>
      <c r="ADR507" s="325"/>
      <c r="ADS507" s="325"/>
      <c r="ADT507" s="325"/>
      <c r="ADU507" s="325"/>
      <c r="ADV507" s="325"/>
      <c r="ADW507" s="325"/>
      <c r="ADX507" s="325"/>
      <c r="ADY507" s="325"/>
      <c r="ADZ507" s="325"/>
      <c r="AEA507" s="325"/>
      <c r="AEB507" s="325"/>
      <c r="AEC507" s="325"/>
      <c r="AED507" s="325"/>
      <c r="AEE507" s="325"/>
      <c r="AEF507" s="325"/>
      <c r="AEG507" s="325"/>
      <c r="AEH507" s="325"/>
      <c r="AEI507" s="325"/>
      <c r="AEJ507" s="325"/>
      <c r="AEK507" s="325"/>
      <c r="AEL507" s="327"/>
      <c r="AEM507" s="28"/>
      <c r="AEN507" s="324"/>
      <c r="AEO507" s="324"/>
      <c r="AEP507" s="324"/>
      <c r="AEQ507" s="324"/>
      <c r="AER507" s="324"/>
      <c r="AES507" s="324"/>
      <c r="AET507" s="256"/>
      <c r="AEU507" s="325"/>
      <c r="AEV507" s="311"/>
      <c r="AEW507" s="325"/>
      <c r="AEX507" s="310"/>
      <c r="AEY507" s="325"/>
      <c r="AEZ507" s="325"/>
      <c r="AFA507" s="325"/>
      <c r="AFB507" s="325"/>
      <c r="AFC507" s="325"/>
      <c r="AFD507" s="325"/>
      <c r="AFE507" s="325"/>
      <c r="AFF507" s="325"/>
      <c r="AFG507" s="325"/>
      <c r="AFH507" s="325"/>
      <c r="AFI507" s="325"/>
      <c r="AFJ507" s="325"/>
      <c r="AFK507" s="325"/>
      <c r="AFL507" s="325"/>
      <c r="AFM507" s="325"/>
      <c r="AFN507" s="325"/>
      <c r="AFO507" s="325"/>
      <c r="AFP507" s="325"/>
      <c r="AFQ507" s="325"/>
      <c r="AFR507" s="325"/>
      <c r="AFS507" s="325"/>
      <c r="AFT507" s="325"/>
      <c r="AFU507" s="325"/>
      <c r="AFV507" s="325"/>
      <c r="AFW507" s="325"/>
      <c r="AFX507" s="325"/>
      <c r="AFY507" s="325"/>
      <c r="AFZ507" s="325"/>
      <c r="AGA507" s="325"/>
      <c r="AGB507" s="325"/>
      <c r="AGC507" s="327"/>
      <c r="AGD507" s="28"/>
      <c r="AGE507" s="324"/>
      <c r="AGF507" s="324"/>
      <c r="AGG507" s="324"/>
      <c r="AGH507" s="324"/>
      <c r="AGI507" s="324"/>
      <c r="AGJ507" s="324"/>
      <c r="AGK507" s="256"/>
      <c r="AGL507" s="325"/>
      <c r="AGM507" s="311"/>
      <c r="AGN507" s="325"/>
      <c r="AGO507" s="310"/>
      <c r="AGP507" s="325"/>
      <c r="AGQ507" s="325"/>
      <c r="AGR507" s="325"/>
      <c r="AGS507" s="325"/>
      <c r="AGT507" s="325"/>
      <c r="AGU507" s="325"/>
      <c r="AGV507" s="325"/>
      <c r="AGW507" s="325"/>
      <c r="AGX507" s="325"/>
      <c r="AGY507" s="325"/>
      <c r="AGZ507" s="325"/>
      <c r="AHA507" s="325"/>
      <c r="AHB507" s="325"/>
      <c r="AHC507" s="325"/>
      <c r="AHD507" s="325"/>
      <c r="AHE507" s="325"/>
      <c r="AHF507" s="325"/>
      <c r="AHG507" s="325"/>
      <c r="AHH507" s="325"/>
      <c r="AHI507" s="325"/>
      <c r="AHJ507" s="325"/>
      <c r="AHK507" s="325"/>
      <c r="AHL507" s="325"/>
      <c r="AHM507" s="325"/>
      <c r="AHN507" s="325"/>
      <c r="AHO507" s="325"/>
      <c r="AHP507" s="325"/>
      <c r="AHQ507" s="325"/>
      <c r="AHR507" s="325"/>
      <c r="AHS507" s="325"/>
      <c r="AHT507" s="327"/>
      <c r="AHU507" s="28"/>
      <c r="AHV507" s="324"/>
      <c r="AHW507" s="324"/>
      <c r="AHX507" s="324"/>
      <c r="AHY507" s="324"/>
      <c r="AHZ507" s="324"/>
      <c r="AIA507" s="324"/>
      <c r="AIB507" s="256"/>
      <c r="AIC507" s="325"/>
      <c r="AID507" s="311"/>
      <c r="AIE507" s="325"/>
      <c r="AIF507" s="310"/>
      <c r="AIG507" s="325"/>
      <c r="AIH507" s="325"/>
      <c r="AII507" s="325"/>
      <c r="AIJ507" s="325"/>
      <c r="AIK507" s="325"/>
      <c r="AIL507" s="325"/>
      <c r="AIM507" s="325"/>
      <c r="AIN507" s="325"/>
      <c r="AIO507" s="325"/>
      <c r="AIP507" s="325"/>
      <c r="AIQ507" s="325"/>
      <c r="AIR507" s="325"/>
      <c r="AIS507" s="325"/>
      <c r="AIT507" s="325"/>
      <c r="AIU507" s="325"/>
      <c r="AIV507" s="325"/>
      <c r="AIW507" s="325"/>
      <c r="AIX507" s="325"/>
      <c r="AIY507" s="325"/>
      <c r="AIZ507" s="325"/>
      <c r="AJA507" s="325"/>
      <c r="AJB507" s="325"/>
      <c r="AJC507" s="325"/>
      <c r="AJD507" s="325"/>
      <c r="AJE507" s="325"/>
      <c r="AJF507" s="325"/>
      <c r="AJG507" s="325"/>
      <c r="AJH507" s="325"/>
      <c r="AJI507" s="325"/>
      <c r="AJJ507" s="325"/>
      <c r="AJK507" s="327"/>
      <c r="AJL507" s="28"/>
      <c r="AJM507" s="324"/>
      <c r="AJN507" s="324"/>
      <c r="AJO507" s="324"/>
      <c r="AJP507" s="324"/>
      <c r="AJQ507" s="324"/>
      <c r="AJR507" s="324"/>
      <c r="AJS507" s="256"/>
      <c r="AJT507" s="325"/>
      <c r="AJU507" s="311"/>
      <c r="AJV507" s="325"/>
      <c r="AJW507" s="310"/>
      <c r="AJX507" s="325"/>
      <c r="AJY507" s="325"/>
      <c r="AJZ507" s="325"/>
      <c r="AKA507" s="325"/>
      <c r="AKB507" s="325"/>
      <c r="AKC507" s="325"/>
      <c r="AKD507" s="325"/>
      <c r="AKE507" s="325"/>
      <c r="AKF507" s="325"/>
      <c r="AKG507" s="325"/>
      <c r="AKH507" s="325"/>
      <c r="AKI507" s="325"/>
      <c r="AKJ507" s="325"/>
      <c r="AKK507" s="325"/>
      <c r="AKL507" s="325"/>
      <c r="AKM507" s="325"/>
      <c r="AKN507" s="325"/>
      <c r="AKO507" s="325"/>
      <c r="AKP507" s="325"/>
      <c r="AKQ507" s="325"/>
      <c r="AKR507" s="325"/>
      <c r="AKS507" s="325"/>
      <c r="AKT507" s="325"/>
      <c r="AKU507" s="325"/>
      <c r="AKV507" s="325"/>
      <c r="AKW507" s="325"/>
      <c r="AKX507" s="325"/>
      <c r="AKY507" s="325"/>
      <c r="AKZ507" s="325"/>
      <c r="ALA507" s="325"/>
      <c r="ALB507" s="327"/>
      <c r="ALC507" s="28"/>
      <c r="ALD507" s="324"/>
      <c r="ALE507" s="324"/>
      <c r="ALF507" s="324"/>
      <c r="ALG507" s="324"/>
      <c r="ALH507" s="324"/>
      <c r="ALI507" s="324"/>
      <c r="ALJ507" s="256"/>
      <c r="ALK507" s="325"/>
      <c r="ALL507" s="311"/>
      <c r="ALM507" s="325"/>
      <c r="ALN507" s="310"/>
      <c r="ALO507" s="325"/>
      <c r="ALP507" s="325"/>
      <c r="ALQ507" s="325"/>
      <c r="ALR507" s="325"/>
      <c r="ALS507" s="325"/>
      <c r="ALT507" s="325"/>
      <c r="ALU507" s="325"/>
      <c r="ALV507" s="325"/>
      <c r="ALW507" s="325"/>
      <c r="ALX507" s="325"/>
      <c r="ALY507" s="325"/>
      <c r="ALZ507" s="325"/>
      <c r="AMA507" s="325"/>
      <c r="AMB507" s="325"/>
      <c r="AMC507" s="325"/>
      <c r="AMD507" s="325"/>
      <c r="AME507" s="325"/>
      <c r="AMF507" s="325"/>
      <c r="AMG507" s="325"/>
      <c r="AMH507" s="325"/>
      <c r="AMI507" s="325"/>
      <c r="AMJ507" s="325"/>
      <c r="AMK507" s="325"/>
      <c r="AML507" s="325"/>
      <c r="AMM507" s="325"/>
      <c r="AMN507" s="325"/>
      <c r="AMO507" s="325"/>
      <c r="AMP507" s="325"/>
      <c r="AMQ507" s="325"/>
      <c r="AMR507" s="325"/>
      <c r="AMS507" s="327"/>
      <c r="AMT507" s="28"/>
      <c r="AMU507" s="324"/>
      <c r="AMV507" s="324"/>
      <c r="AMW507" s="324"/>
      <c r="AMX507" s="324"/>
      <c r="AMY507" s="324"/>
      <c r="AMZ507" s="324"/>
      <c r="ANA507" s="256"/>
      <c r="ANB507" s="325"/>
      <c r="ANC507" s="311"/>
      <c r="AND507" s="325"/>
      <c r="ANE507" s="310"/>
      <c r="ANF507" s="325"/>
      <c r="ANG507" s="325"/>
      <c r="ANH507" s="325"/>
      <c r="ANI507" s="325"/>
      <c r="ANJ507" s="325"/>
      <c r="ANK507" s="325"/>
      <c r="ANL507" s="325"/>
      <c r="ANM507" s="325"/>
      <c r="ANN507" s="325"/>
      <c r="ANO507" s="325"/>
      <c r="ANP507" s="325"/>
      <c r="ANQ507" s="325"/>
      <c r="ANR507" s="325"/>
      <c r="ANS507" s="325"/>
      <c r="ANT507" s="325"/>
      <c r="ANU507" s="325"/>
      <c r="ANV507" s="325"/>
      <c r="ANW507" s="325"/>
      <c r="ANX507" s="325"/>
      <c r="ANY507" s="325"/>
      <c r="ANZ507" s="325"/>
      <c r="AOA507" s="325"/>
      <c r="AOB507" s="325"/>
      <c r="AOC507" s="325"/>
      <c r="AOD507" s="325"/>
      <c r="AOE507" s="325"/>
      <c r="AOF507" s="325"/>
      <c r="AOG507" s="325"/>
      <c r="AOH507" s="325"/>
      <c r="AOI507" s="325"/>
      <c r="AOJ507" s="327"/>
      <c r="AOK507" s="28"/>
      <c r="AOL507" s="324"/>
      <c r="AOM507" s="324"/>
      <c r="AON507" s="324"/>
      <c r="AOO507" s="324"/>
      <c r="AOP507" s="324"/>
      <c r="AOQ507" s="324"/>
      <c r="AOR507" s="256"/>
      <c r="AOS507" s="325"/>
      <c r="AOT507" s="311"/>
      <c r="AOU507" s="325"/>
      <c r="AOV507" s="310"/>
      <c r="AOW507" s="325"/>
      <c r="AOX507" s="325"/>
      <c r="AOY507" s="325"/>
      <c r="AOZ507" s="325"/>
      <c r="APA507" s="325"/>
      <c r="APB507" s="325"/>
      <c r="APC507" s="325"/>
      <c r="APD507" s="325"/>
      <c r="APE507" s="325"/>
      <c r="APF507" s="325"/>
      <c r="APG507" s="325"/>
      <c r="APH507" s="325"/>
      <c r="API507" s="325"/>
      <c r="APJ507" s="325"/>
      <c r="APK507" s="325"/>
      <c r="APL507" s="325"/>
      <c r="APM507" s="325"/>
      <c r="APN507" s="325"/>
      <c r="APO507" s="325"/>
      <c r="APP507" s="325"/>
      <c r="APQ507" s="325"/>
      <c r="APR507" s="325"/>
      <c r="APS507" s="325"/>
      <c r="APT507" s="325"/>
      <c r="APU507" s="325"/>
      <c r="APV507" s="325"/>
      <c r="APW507" s="325"/>
      <c r="APX507" s="325"/>
      <c r="APY507" s="325"/>
      <c r="APZ507" s="325"/>
      <c r="AQA507" s="327"/>
      <c r="AQB507" s="28"/>
      <c r="AQC507" s="324"/>
      <c r="AQD507" s="324"/>
      <c r="AQE507" s="324"/>
      <c r="AQF507" s="324"/>
      <c r="AQG507" s="324"/>
      <c r="AQH507" s="324"/>
      <c r="AQI507" s="256"/>
      <c r="AQJ507" s="325"/>
      <c r="AQK507" s="311"/>
      <c r="AQL507" s="325"/>
      <c r="AQM507" s="310"/>
      <c r="AQN507" s="325"/>
      <c r="AQO507" s="325"/>
      <c r="AQP507" s="325"/>
      <c r="AQQ507" s="325"/>
      <c r="AQR507" s="325"/>
      <c r="AQS507" s="325"/>
      <c r="AQT507" s="325"/>
      <c r="AQU507" s="325"/>
      <c r="AQV507" s="325"/>
      <c r="AQW507" s="325"/>
      <c r="AQX507" s="325"/>
      <c r="AQY507" s="325"/>
      <c r="AQZ507" s="325"/>
      <c r="ARA507" s="325"/>
      <c r="ARB507" s="325"/>
      <c r="ARC507" s="325"/>
      <c r="ARD507" s="325"/>
      <c r="ARE507" s="325"/>
      <c r="ARF507" s="325"/>
      <c r="ARG507" s="325"/>
      <c r="ARH507" s="325"/>
      <c r="ARI507" s="325"/>
      <c r="ARJ507" s="325"/>
      <c r="ARK507" s="325"/>
      <c r="ARL507" s="325"/>
      <c r="ARM507" s="325"/>
      <c r="ARN507" s="325"/>
      <c r="ARO507" s="325"/>
      <c r="ARP507" s="325"/>
      <c r="ARQ507" s="325"/>
      <c r="ARR507" s="327"/>
      <c r="ARS507" s="28"/>
      <c r="ART507" s="324"/>
      <c r="ARU507" s="324"/>
      <c r="ARV507" s="324"/>
      <c r="ARW507" s="324"/>
      <c r="ARX507" s="324"/>
      <c r="ARY507" s="324"/>
      <c r="ARZ507" s="256"/>
      <c r="ASA507" s="325"/>
      <c r="ASB507" s="311"/>
      <c r="ASC507" s="325"/>
      <c r="ASD507" s="310"/>
      <c r="ASE507" s="325"/>
      <c r="ASF507" s="325"/>
      <c r="ASG507" s="325"/>
      <c r="ASH507" s="325"/>
      <c r="ASI507" s="325"/>
      <c r="ASJ507" s="325"/>
      <c r="ASK507" s="325"/>
      <c r="ASL507" s="325"/>
      <c r="ASM507" s="325"/>
      <c r="ASN507" s="325"/>
      <c r="ASO507" s="325"/>
      <c r="ASP507" s="325"/>
      <c r="ASQ507" s="325"/>
      <c r="ASR507" s="325"/>
      <c r="ASS507" s="325"/>
      <c r="AST507" s="325"/>
      <c r="ASU507" s="325"/>
      <c r="ASV507" s="325"/>
      <c r="ASW507" s="325"/>
      <c r="ASX507" s="325"/>
      <c r="ASY507" s="325"/>
      <c r="ASZ507" s="325"/>
      <c r="ATA507" s="325"/>
      <c r="ATB507" s="325"/>
      <c r="ATC507" s="325"/>
      <c r="ATD507" s="325"/>
      <c r="ATE507" s="325"/>
      <c r="ATF507" s="325"/>
      <c r="ATG507" s="325"/>
      <c r="ATH507" s="325"/>
      <c r="ATI507" s="327"/>
      <c r="ATJ507" s="28"/>
      <c r="ATK507" s="324"/>
      <c r="ATL507" s="324"/>
      <c r="ATM507" s="324"/>
      <c r="ATN507" s="324"/>
      <c r="ATO507" s="324"/>
      <c r="ATP507" s="324"/>
      <c r="ATQ507" s="256"/>
      <c r="ATR507" s="325"/>
      <c r="ATS507" s="311"/>
      <c r="ATT507" s="325"/>
      <c r="ATU507" s="310"/>
      <c r="ATV507" s="325"/>
      <c r="ATW507" s="325"/>
      <c r="ATX507" s="325"/>
      <c r="ATY507" s="325"/>
      <c r="ATZ507" s="325"/>
      <c r="AUA507" s="325"/>
      <c r="AUB507" s="325"/>
      <c r="AUC507" s="325"/>
      <c r="AUD507" s="325"/>
      <c r="AUE507" s="325"/>
      <c r="AUF507" s="325"/>
      <c r="AUG507" s="325"/>
      <c r="AUH507" s="325"/>
      <c r="AUI507" s="325"/>
      <c r="AUJ507" s="325"/>
      <c r="AUK507" s="325"/>
      <c r="AUL507" s="325"/>
      <c r="AUM507" s="325"/>
      <c r="AUN507" s="325"/>
      <c r="AUO507" s="325"/>
      <c r="AUP507" s="325"/>
      <c r="AUQ507" s="325"/>
      <c r="AUR507" s="325"/>
      <c r="AUS507" s="325"/>
      <c r="AUT507" s="325"/>
      <c r="AUU507" s="325"/>
      <c r="AUV507" s="325"/>
      <c r="AUW507" s="325"/>
      <c r="AUX507" s="325"/>
      <c r="AUY507" s="325"/>
      <c r="AUZ507" s="327"/>
      <c r="AVA507" s="28"/>
      <c r="AVB507" s="324"/>
      <c r="AVC507" s="324"/>
      <c r="AVD507" s="324"/>
      <c r="AVE507" s="324"/>
      <c r="AVF507" s="324"/>
      <c r="AVG507" s="324"/>
      <c r="AVH507" s="256"/>
      <c r="AVI507" s="325"/>
      <c r="AVJ507" s="311"/>
      <c r="AVK507" s="325"/>
      <c r="AVL507" s="310"/>
      <c r="AVM507" s="325"/>
      <c r="AVN507" s="325"/>
      <c r="AVO507" s="325"/>
      <c r="AVP507" s="325"/>
      <c r="AVQ507" s="325"/>
      <c r="AVR507" s="325"/>
      <c r="AVS507" s="325"/>
      <c r="AVT507" s="325"/>
      <c r="AVU507" s="325"/>
      <c r="AVV507" s="325"/>
      <c r="AVW507" s="325"/>
      <c r="AVX507" s="325"/>
      <c r="AVY507" s="325"/>
      <c r="AVZ507" s="325"/>
      <c r="AWA507" s="325"/>
      <c r="AWB507" s="325"/>
      <c r="AWC507" s="325"/>
      <c r="AWD507" s="325"/>
      <c r="AWE507" s="325"/>
      <c r="AWF507" s="325"/>
      <c r="AWG507" s="325"/>
      <c r="AWH507" s="325"/>
      <c r="AWI507" s="325"/>
      <c r="AWJ507" s="325"/>
      <c r="AWK507" s="325"/>
      <c r="AWL507" s="325"/>
      <c r="AWM507" s="325"/>
      <c r="AWN507" s="325"/>
      <c r="AWO507" s="325"/>
      <c r="AWP507" s="325"/>
      <c r="AWQ507" s="327"/>
      <c r="AWR507" s="28"/>
      <c r="AWS507" s="324"/>
      <c r="AWT507" s="324"/>
      <c r="AWU507" s="324"/>
      <c r="AWV507" s="324"/>
      <c r="AWW507" s="324"/>
      <c r="AWX507" s="324"/>
      <c r="AWY507" s="256"/>
      <c r="AWZ507" s="325"/>
      <c r="AXA507" s="311"/>
      <c r="AXB507" s="325"/>
      <c r="AXC507" s="310"/>
      <c r="AXD507" s="325"/>
      <c r="AXE507" s="325"/>
      <c r="AXF507" s="325"/>
      <c r="AXG507" s="325"/>
      <c r="AXH507" s="325"/>
      <c r="AXI507" s="325"/>
      <c r="AXJ507" s="325"/>
      <c r="AXK507" s="325"/>
      <c r="AXL507" s="325"/>
      <c r="AXM507" s="325"/>
      <c r="AXN507" s="325"/>
      <c r="AXO507" s="325"/>
      <c r="AXP507" s="325"/>
      <c r="AXQ507" s="325"/>
      <c r="AXR507" s="325"/>
      <c r="AXS507" s="325"/>
      <c r="AXT507" s="325"/>
      <c r="AXU507" s="325"/>
      <c r="AXV507" s="325"/>
      <c r="AXW507" s="325"/>
      <c r="AXX507" s="325"/>
      <c r="AXY507" s="325"/>
      <c r="AXZ507" s="325"/>
      <c r="AYA507" s="325"/>
      <c r="AYB507" s="325"/>
      <c r="AYC507" s="325"/>
      <c r="AYD507" s="325"/>
      <c r="AYE507" s="325"/>
      <c r="AYF507" s="325"/>
      <c r="AYG507" s="325"/>
      <c r="AYH507" s="327"/>
      <c r="AYI507" s="28"/>
      <c r="AYJ507" s="324"/>
      <c r="AYK507" s="324"/>
      <c r="AYL507" s="324"/>
      <c r="AYM507" s="324"/>
      <c r="AYN507" s="324"/>
      <c r="AYO507" s="324"/>
      <c r="AYP507" s="256"/>
      <c r="AYQ507" s="325"/>
      <c r="AYR507" s="311"/>
      <c r="AYS507" s="325"/>
      <c r="AYT507" s="310"/>
      <c r="AYU507" s="325"/>
      <c r="AYV507" s="325"/>
      <c r="AYW507" s="325"/>
      <c r="AYX507" s="325"/>
      <c r="AYY507" s="325"/>
      <c r="AYZ507" s="325"/>
      <c r="AZA507" s="325"/>
      <c r="AZB507" s="325"/>
      <c r="AZC507" s="325"/>
      <c r="AZD507" s="325"/>
      <c r="AZE507" s="325"/>
      <c r="AZF507" s="325"/>
      <c r="AZG507" s="325"/>
      <c r="AZH507" s="325"/>
      <c r="AZI507" s="325"/>
      <c r="AZJ507" s="325"/>
      <c r="AZK507" s="325"/>
      <c r="AZL507" s="325"/>
      <c r="AZM507" s="325"/>
      <c r="AZN507" s="325"/>
      <c r="AZO507" s="325"/>
      <c r="AZP507" s="325"/>
      <c r="AZQ507" s="325"/>
      <c r="AZR507" s="325"/>
      <c r="AZS507" s="325"/>
      <c r="AZT507" s="325"/>
      <c r="AZU507" s="325"/>
      <c r="AZV507" s="325"/>
      <c r="AZW507" s="325"/>
      <c r="AZX507" s="325"/>
      <c r="AZY507" s="327"/>
      <c r="AZZ507" s="28"/>
      <c r="BAA507" s="324"/>
      <c r="BAB507" s="324"/>
      <c r="BAC507" s="324"/>
      <c r="BAD507" s="324"/>
      <c r="BAE507" s="324"/>
      <c r="BAF507" s="324"/>
      <c r="BAG507" s="256"/>
      <c r="BAH507" s="325"/>
      <c r="BAI507" s="311"/>
      <c r="BAJ507" s="325"/>
      <c r="BAK507" s="310"/>
      <c r="BAL507" s="325"/>
      <c r="BAM507" s="325"/>
      <c r="BAN507" s="325"/>
      <c r="BAO507" s="325"/>
      <c r="BAP507" s="325"/>
      <c r="BAQ507" s="325"/>
      <c r="BAR507" s="325"/>
      <c r="BAS507" s="325"/>
      <c r="BAT507" s="325"/>
      <c r="BAU507" s="325"/>
      <c r="BAV507" s="325"/>
      <c r="BAW507" s="325"/>
      <c r="BAX507" s="325"/>
      <c r="BAY507" s="325"/>
      <c r="BAZ507" s="325"/>
      <c r="BBA507" s="325"/>
      <c r="BBB507" s="325"/>
      <c r="BBC507" s="325"/>
      <c r="BBD507" s="325"/>
      <c r="BBE507" s="325"/>
      <c r="BBF507" s="325"/>
      <c r="BBG507" s="325"/>
      <c r="BBH507" s="325"/>
      <c r="BBI507" s="325"/>
      <c r="BBJ507" s="325"/>
      <c r="BBK507" s="325"/>
      <c r="BBL507" s="325"/>
      <c r="BBM507" s="325"/>
      <c r="BBN507" s="325"/>
      <c r="BBO507" s="325"/>
      <c r="BBP507" s="327"/>
      <c r="BBQ507" s="28"/>
      <c r="BBR507" s="324"/>
      <c r="BBS507" s="324"/>
      <c r="BBT507" s="324"/>
      <c r="BBU507" s="324"/>
      <c r="BBV507" s="324"/>
      <c r="BBW507" s="324"/>
      <c r="BBX507" s="256"/>
      <c r="BBY507" s="325"/>
      <c r="BBZ507" s="311"/>
      <c r="BCA507" s="325"/>
      <c r="BCB507" s="310"/>
      <c r="BCC507" s="325"/>
      <c r="BCD507" s="325"/>
      <c r="BCE507" s="325"/>
      <c r="BCF507" s="325"/>
      <c r="BCG507" s="325"/>
      <c r="BCH507" s="325"/>
      <c r="BCI507" s="325"/>
      <c r="BCJ507" s="325"/>
      <c r="BCK507" s="325"/>
      <c r="BCL507" s="325"/>
      <c r="BCM507" s="325"/>
      <c r="BCN507" s="325"/>
      <c r="BCO507" s="325"/>
      <c r="BCP507" s="325"/>
      <c r="BCQ507" s="325"/>
      <c r="BCR507" s="325"/>
      <c r="BCS507" s="325"/>
      <c r="BCT507" s="325"/>
      <c r="BCU507" s="325"/>
      <c r="BCV507" s="325"/>
      <c r="BCW507" s="325"/>
      <c r="BCX507" s="325"/>
      <c r="BCY507" s="325"/>
      <c r="BCZ507" s="325"/>
      <c r="BDA507" s="325"/>
      <c r="BDB507" s="325"/>
      <c r="BDC507" s="325"/>
      <c r="BDD507" s="325"/>
      <c r="BDE507" s="325"/>
      <c r="BDF507" s="325"/>
      <c r="BDG507" s="327"/>
      <c r="BDH507" s="28"/>
      <c r="BDI507" s="324"/>
      <c r="BDJ507" s="324"/>
      <c r="BDK507" s="324"/>
      <c r="BDL507" s="324"/>
      <c r="BDM507" s="324"/>
      <c r="BDN507" s="324"/>
      <c r="BDO507" s="256"/>
      <c r="BDP507" s="325"/>
      <c r="BDQ507" s="311"/>
      <c r="BDR507" s="325"/>
      <c r="BDS507" s="310"/>
      <c r="BDT507" s="325"/>
      <c r="BDU507" s="325"/>
      <c r="BDV507" s="325"/>
      <c r="BDW507" s="325"/>
      <c r="BDX507" s="325"/>
      <c r="BDY507" s="325"/>
      <c r="BDZ507" s="325"/>
      <c r="BEA507" s="325"/>
      <c r="BEB507" s="325"/>
      <c r="BEC507" s="325"/>
      <c r="BED507" s="325"/>
      <c r="BEE507" s="325"/>
      <c r="BEF507" s="325"/>
      <c r="BEG507" s="325"/>
      <c r="BEH507" s="325"/>
      <c r="BEI507" s="325"/>
      <c r="BEJ507" s="325"/>
      <c r="BEK507" s="325"/>
      <c r="BEL507" s="325"/>
      <c r="BEM507" s="325"/>
      <c r="BEN507" s="325"/>
      <c r="BEO507" s="325"/>
      <c r="BEP507" s="325"/>
      <c r="BEQ507" s="325"/>
      <c r="BER507" s="325"/>
      <c r="BES507" s="325"/>
      <c r="BET507" s="325"/>
      <c r="BEU507" s="325"/>
      <c r="BEV507" s="325"/>
      <c r="BEW507" s="325"/>
      <c r="BEX507" s="327"/>
      <c r="BEY507" s="28"/>
      <c r="BEZ507" s="324"/>
      <c r="BFA507" s="324"/>
      <c r="BFB507" s="324"/>
      <c r="BFC507" s="324"/>
      <c r="BFD507" s="324"/>
      <c r="BFE507" s="324"/>
      <c r="BFF507" s="256"/>
      <c r="BFG507" s="325"/>
      <c r="BFH507" s="311"/>
      <c r="BFI507" s="325"/>
      <c r="BFJ507" s="310"/>
      <c r="BFK507" s="325"/>
      <c r="BFL507" s="325"/>
      <c r="BFM507" s="325"/>
      <c r="BFN507" s="325"/>
      <c r="BFO507" s="325"/>
      <c r="BFP507" s="325"/>
      <c r="BFQ507" s="325"/>
      <c r="BFR507" s="325"/>
      <c r="BFS507" s="325"/>
      <c r="BFT507" s="325"/>
      <c r="BFU507" s="325"/>
      <c r="BFV507" s="325"/>
      <c r="BFW507" s="325"/>
      <c r="BFX507" s="325"/>
      <c r="BFY507" s="325"/>
      <c r="BFZ507" s="325"/>
      <c r="BGA507" s="325"/>
      <c r="BGB507" s="325"/>
      <c r="BGC507" s="325"/>
      <c r="BGD507" s="325"/>
      <c r="BGE507" s="325"/>
      <c r="BGF507" s="325"/>
      <c r="BGG507" s="325"/>
      <c r="BGH507" s="325"/>
      <c r="BGI507" s="325"/>
      <c r="BGJ507" s="325"/>
      <c r="BGK507" s="325"/>
      <c r="BGL507" s="325"/>
      <c r="BGM507" s="325"/>
      <c r="BGN507" s="325"/>
      <c r="BGO507" s="327"/>
      <c r="BGP507" s="28"/>
      <c r="BGQ507" s="324"/>
      <c r="BGR507" s="324"/>
      <c r="BGS507" s="324"/>
      <c r="BGT507" s="324"/>
      <c r="BGU507" s="324"/>
      <c r="BGV507" s="324"/>
      <c r="BGW507" s="256"/>
      <c r="BGX507" s="325"/>
      <c r="BGY507" s="311"/>
      <c r="BGZ507" s="325"/>
      <c r="BHA507" s="310"/>
      <c r="BHB507" s="325"/>
      <c r="BHC507" s="325"/>
      <c r="BHD507" s="325"/>
      <c r="BHE507" s="325"/>
      <c r="BHF507" s="325"/>
      <c r="BHG507" s="325"/>
      <c r="BHH507" s="325"/>
      <c r="BHI507" s="325"/>
      <c r="BHJ507" s="325"/>
      <c r="BHK507" s="325"/>
      <c r="BHL507" s="325"/>
      <c r="BHM507" s="325"/>
      <c r="BHN507" s="325"/>
      <c r="BHO507" s="325"/>
      <c r="BHP507" s="325"/>
      <c r="BHQ507" s="325"/>
      <c r="BHR507" s="325"/>
      <c r="BHS507" s="325"/>
      <c r="BHT507" s="325"/>
      <c r="BHU507" s="325"/>
      <c r="BHV507" s="325"/>
      <c r="BHW507" s="325"/>
      <c r="BHX507" s="325"/>
      <c r="BHY507" s="325"/>
      <c r="BHZ507" s="325"/>
      <c r="BIA507" s="325"/>
      <c r="BIB507" s="325"/>
      <c r="BIC507" s="325"/>
      <c r="BID507" s="325"/>
      <c r="BIE507" s="325"/>
      <c r="BIF507" s="327"/>
      <c r="BIG507" s="28"/>
      <c r="BIH507" s="324"/>
      <c r="BII507" s="324"/>
      <c r="BIJ507" s="324"/>
      <c r="BIK507" s="324"/>
      <c r="BIL507" s="324"/>
      <c r="BIM507" s="324"/>
      <c r="BIN507" s="256"/>
      <c r="BIO507" s="325"/>
      <c r="BIP507" s="311"/>
      <c r="BIQ507" s="325"/>
      <c r="BIR507" s="310"/>
      <c r="BIS507" s="325"/>
      <c r="BIT507" s="325"/>
      <c r="BIU507" s="325"/>
      <c r="BIV507" s="325"/>
      <c r="BIW507" s="325"/>
      <c r="BIX507" s="325"/>
      <c r="BIY507" s="325"/>
      <c r="BIZ507" s="325"/>
      <c r="BJA507" s="325"/>
      <c r="BJB507" s="325"/>
      <c r="BJC507" s="325"/>
      <c r="BJD507" s="325"/>
      <c r="BJE507" s="325"/>
      <c r="BJF507" s="325"/>
      <c r="BJG507" s="325"/>
      <c r="BJH507" s="325"/>
      <c r="BJI507" s="325"/>
      <c r="BJJ507" s="325"/>
      <c r="BJK507" s="325"/>
      <c r="BJL507" s="325"/>
      <c r="BJM507" s="325"/>
      <c r="BJN507" s="325"/>
      <c r="BJO507" s="325"/>
      <c r="BJP507" s="325"/>
      <c r="BJQ507" s="325"/>
      <c r="BJR507" s="325"/>
      <c r="BJS507" s="325"/>
      <c r="BJT507" s="325"/>
      <c r="BJU507" s="325"/>
      <c r="BJV507" s="325"/>
      <c r="BJW507" s="327"/>
      <c r="BJX507" s="28"/>
      <c r="BJY507" s="324"/>
      <c r="BJZ507" s="324"/>
      <c r="BKA507" s="324"/>
      <c r="BKB507" s="324"/>
      <c r="BKC507" s="324"/>
      <c r="BKD507" s="324"/>
      <c r="BKE507" s="256"/>
      <c r="BKF507" s="325"/>
      <c r="BKG507" s="311"/>
      <c r="BKH507" s="325"/>
      <c r="BKI507" s="310"/>
      <c r="BKJ507" s="325"/>
      <c r="BKK507" s="325"/>
      <c r="BKL507" s="325"/>
      <c r="BKM507" s="325"/>
      <c r="BKN507" s="325"/>
      <c r="BKO507" s="325"/>
      <c r="BKP507" s="325"/>
      <c r="BKQ507" s="325"/>
      <c r="BKR507" s="325"/>
      <c r="BKS507" s="325"/>
      <c r="BKT507" s="325"/>
      <c r="BKU507" s="325"/>
      <c r="BKV507" s="325"/>
      <c r="BKW507" s="325"/>
      <c r="BKX507" s="325"/>
      <c r="BKY507" s="325"/>
      <c r="BKZ507" s="325"/>
      <c r="BLA507" s="325"/>
      <c r="BLB507" s="325"/>
      <c r="BLC507" s="325"/>
      <c r="BLD507" s="325"/>
      <c r="BLE507" s="325"/>
      <c r="BLF507" s="325"/>
      <c r="BLG507" s="325"/>
      <c r="BLH507" s="325"/>
      <c r="BLI507" s="325"/>
      <c r="BLJ507" s="325"/>
      <c r="BLK507" s="325"/>
      <c r="BLL507" s="325"/>
      <c r="BLM507" s="325"/>
      <c r="BLN507" s="327"/>
      <c r="BLO507" s="28"/>
      <c r="BLP507" s="324"/>
      <c r="BLQ507" s="324"/>
      <c r="BLR507" s="324"/>
      <c r="BLS507" s="324"/>
      <c r="BLT507" s="324"/>
      <c r="BLU507" s="324"/>
      <c r="BLV507" s="256"/>
      <c r="BLW507" s="325"/>
      <c r="BLX507" s="311"/>
      <c r="BLY507" s="325"/>
      <c r="BLZ507" s="310"/>
      <c r="BMA507" s="325"/>
      <c r="BMB507" s="325"/>
      <c r="BMC507" s="325"/>
      <c r="BMD507" s="325"/>
      <c r="BME507" s="325"/>
      <c r="BMF507" s="325"/>
      <c r="BMG507" s="325"/>
      <c r="BMH507" s="325"/>
      <c r="BMI507" s="325"/>
      <c r="BMJ507" s="325"/>
      <c r="BMK507" s="325"/>
      <c r="BML507" s="325"/>
      <c r="BMM507" s="325"/>
      <c r="BMN507" s="325"/>
      <c r="BMO507" s="325"/>
      <c r="BMP507" s="325"/>
      <c r="BMQ507" s="325"/>
      <c r="BMR507" s="325"/>
      <c r="BMS507" s="325"/>
      <c r="BMT507" s="325"/>
      <c r="BMU507" s="325"/>
      <c r="BMV507" s="325"/>
      <c r="BMW507" s="325"/>
      <c r="BMX507" s="325"/>
      <c r="BMY507" s="325"/>
      <c r="BMZ507" s="325"/>
      <c r="BNA507" s="325"/>
      <c r="BNB507" s="325"/>
      <c r="BNC507" s="325"/>
      <c r="BND507" s="325"/>
      <c r="BNE507" s="327"/>
      <c r="BNF507" s="28"/>
      <c r="BNG507" s="324"/>
      <c r="BNH507" s="324"/>
      <c r="BNI507" s="324"/>
      <c r="BNJ507" s="324"/>
      <c r="BNK507" s="324"/>
      <c r="BNL507" s="324"/>
      <c r="BNM507" s="256"/>
      <c r="BNN507" s="325"/>
      <c r="BNO507" s="311"/>
      <c r="BNP507" s="325"/>
      <c r="BNQ507" s="310"/>
      <c r="BNR507" s="325"/>
      <c r="BNS507" s="325"/>
      <c r="BNT507" s="325"/>
      <c r="BNU507" s="325"/>
      <c r="BNV507" s="325"/>
      <c r="BNW507" s="325"/>
      <c r="BNX507" s="325"/>
      <c r="BNY507" s="325"/>
      <c r="BNZ507" s="325"/>
      <c r="BOA507" s="325"/>
      <c r="BOB507" s="325"/>
      <c r="BOC507" s="325"/>
      <c r="BOD507" s="325"/>
      <c r="BOE507" s="325"/>
      <c r="BOF507" s="325"/>
      <c r="BOG507" s="325"/>
      <c r="BOH507" s="325"/>
      <c r="BOI507" s="325"/>
      <c r="BOJ507" s="325"/>
      <c r="BOK507" s="325"/>
      <c r="BOL507" s="325"/>
      <c r="BOM507" s="325"/>
      <c r="BON507" s="325"/>
      <c r="BOO507" s="325"/>
      <c r="BOP507" s="325"/>
      <c r="BOQ507" s="325"/>
      <c r="BOR507" s="325"/>
      <c r="BOS507" s="325"/>
      <c r="BOT507" s="325"/>
      <c r="BOU507" s="325"/>
      <c r="BOV507" s="327"/>
      <c r="BOW507" s="28"/>
      <c r="BOX507" s="324"/>
      <c r="BOY507" s="324"/>
      <c r="BOZ507" s="324"/>
      <c r="BPA507" s="324"/>
      <c r="BPB507" s="324"/>
      <c r="BPC507" s="324"/>
      <c r="BPD507" s="256"/>
      <c r="BPE507" s="325"/>
      <c r="BPF507" s="311"/>
      <c r="BPG507" s="325"/>
      <c r="BPH507" s="310"/>
      <c r="BPI507" s="325"/>
      <c r="BPJ507" s="325"/>
      <c r="BPK507" s="325"/>
      <c r="BPL507" s="325"/>
      <c r="BPM507" s="325"/>
      <c r="BPN507" s="325"/>
      <c r="BPO507" s="325"/>
      <c r="BPP507" s="325"/>
      <c r="BPQ507" s="325"/>
      <c r="BPR507" s="325"/>
      <c r="BPS507" s="325"/>
      <c r="BPT507" s="325"/>
      <c r="BPU507" s="325"/>
      <c r="BPV507" s="325"/>
      <c r="BPW507" s="325"/>
      <c r="BPX507" s="325"/>
      <c r="BPY507" s="325"/>
      <c r="BPZ507" s="325"/>
      <c r="BQA507" s="325"/>
      <c r="BQB507" s="325"/>
      <c r="BQC507" s="325"/>
      <c r="BQD507" s="325"/>
      <c r="BQE507" s="325"/>
      <c r="BQF507" s="325"/>
      <c r="BQG507" s="325"/>
      <c r="BQH507" s="325"/>
      <c r="BQI507" s="325"/>
      <c r="BQJ507" s="325"/>
      <c r="BQK507" s="325"/>
      <c r="BQL507" s="325"/>
      <c r="BQM507" s="327"/>
      <c r="BQN507" s="28"/>
      <c r="BQO507" s="324"/>
      <c r="BQP507" s="324"/>
      <c r="BQQ507" s="324"/>
      <c r="BQR507" s="324"/>
      <c r="BQS507" s="324"/>
      <c r="BQT507" s="324"/>
      <c r="BQU507" s="256"/>
      <c r="BQV507" s="325"/>
      <c r="BQW507" s="311"/>
      <c r="BQX507" s="325"/>
      <c r="BQY507" s="310"/>
      <c r="BQZ507" s="325"/>
      <c r="BRA507" s="325"/>
      <c r="BRB507" s="325"/>
      <c r="BRC507" s="325"/>
      <c r="BRD507" s="325"/>
      <c r="BRE507" s="325"/>
      <c r="BRF507" s="325"/>
      <c r="BRG507" s="325"/>
      <c r="BRH507" s="325"/>
      <c r="BRI507" s="325"/>
      <c r="BRJ507" s="325"/>
      <c r="BRK507" s="325"/>
      <c r="BRL507" s="325"/>
      <c r="BRM507" s="325"/>
      <c r="BRN507" s="325"/>
      <c r="BRO507" s="325"/>
      <c r="BRP507" s="325"/>
      <c r="BRQ507" s="325"/>
      <c r="BRR507" s="325"/>
      <c r="BRS507" s="325"/>
      <c r="BRT507" s="325"/>
      <c r="BRU507" s="325"/>
      <c r="BRV507" s="325"/>
      <c r="BRW507" s="325"/>
      <c r="BRX507" s="325"/>
      <c r="BRY507" s="325"/>
      <c r="BRZ507" s="325"/>
      <c r="BSA507" s="325"/>
      <c r="BSB507" s="325"/>
      <c r="BSC507" s="325"/>
      <c r="BSD507" s="327"/>
      <c r="BSE507" s="28"/>
      <c r="BSF507" s="324"/>
      <c r="BSG507" s="324"/>
      <c r="BSH507" s="324"/>
      <c r="BSI507" s="324"/>
      <c r="BSJ507" s="324"/>
      <c r="BSK507" s="324"/>
      <c r="BSL507" s="256"/>
      <c r="BSM507" s="325"/>
      <c r="BSN507" s="311"/>
      <c r="BSO507" s="325"/>
      <c r="BSP507" s="310"/>
      <c r="BSQ507" s="325"/>
      <c r="BSR507" s="325"/>
      <c r="BSS507" s="325"/>
      <c r="BST507" s="325"/>
      <c r="BSU507" s="325"/>
      <c r="BSV507" s="325"/>
      <c r="BSW507" s="325"/>
      <c r="BSX507" s="325"/>
      <c r="BSY507" s="325"/>
      <c r="BSZ507" s="325"/>
      <c r="BTA507" s="325"/>
      <c r="BTB507" s="325"/>
      <c r="BTC507" s="325"/>
      <c r="BTD507" s="325"/>
      <c r="BTE507" s="325"/>
      <c r="BTF507" s="325"/>
      <c r="BTG507" s="325"/>
      <c r="BTH507" s="325"/>
      <c r="BTI507" s="325"/>
      <c r="BTJ507" s="325"/>
      <c r="BTK507" s="325"/>
      <c r="BTL507" s="325"/>
      <c r="BTM507" s="325"/>
      <c r="BTN507" s="325"/>
      <c r="BTO507" s="325"/>
      <c r="BTP507" s="325"/>
      <c r="BTQ507" s="325"/>
      <c r="BTR507" s="325"/>
      <c r="BTS507" s="325"/>
      <c r="BTT507" s="325"/>
      <c r="BTU507" s="327"/>
      <c r="BTV507" s="28"/>
      <c r="BTW507" s="324"/>
      <c r="BTX507" s="324"/>
      <c r="BTY507" s="324"/>
      <c r="BTZ507" s="324"/>
      <c r="BUA507" s="324"/>
      <c r="BUB507" s="324"/>
      <c r="BUC507" s="256"/>
      <c r="BUD507" s="325"/>
      <c r="BUE507" s="311"/>
      <c r="BUF507" s="325"/>
      <c r="BUG507" s="310"/>
      <c r="BUH507" s="325"/>
      <c r="BUI507" s="325"/>
      <c r="BUJ507" s="325"/>
      <c r="BUK507" s="325"/>
      <c r="BUL507" s="325"/>
      <c r="BUM507" s="325"/>
      <c r="BUN507" s="325"/>
      <c r="BUO507" s="325"/>
      <c r="BUP507" s="325"/>
      <c r="BUQ507" s="325"/>
      <c r="BUR507" s="325"/>
      <c r="BUS507" s="325"/>
      <c r="BUT507" s="325"/>
      <c r="BUU507" s="325"/>
      <c r="BUV507" s="325"/>
      <c r="BUW507" s="325"/>
      <c r="BUX507" s="325"/>
      <c r="BUY507" s="325"/>
      <c r="BUZ507" s="325"/>
      <c r="BVA507" s="325"/>
      <c r="BVB507" s="325"/>
      <c r="BVC507" s="325"/>
      <c r="BVD507" s="325"/>
      <c r="BVE507" s="325"/>
      <c r="BVF507" s="325"/>
      <c r="BVG507" s="325"/>
      <c r="BVH507" s="325"/>
      <c r="BVI507" s="325"/>
      <c r="BVJ507" s="325"/>
      <c r="BVK507" s="325"/>
      <c r="BVL507" s="327"/>
      <c r="BVM507" s="28"/>
      <c r="BVN507" s="324"/>
      <c r="BVO507" s="324"/>
      <c r="BVP507" s="324"/>
      <c r="BVQ507" s="324"/>
      <c r="BVR507" s="324"/>
      <c r="BVS507" s="324"/>
      <c r="BVT507" s="256"/>
      <c r="BVU507" s="325"/>
      <c r="BVV507" s="311"/>
      <c r="BVW507" s="325"/>
      <c r="BVX507" s="310"/>
      <c r="BVY507" s="325"/>
      <c r="BVZ507" s="325"/>
      <c r="BWA507" s="325"/>
      <c r="BWB507" s="325"/>
      <c r="BWC507" s="325"/>
      <c r="BWD507" s="325"/>
      <c r="BWE507" s="325"/>
      <c r="BWF507" s="325"/>
      <c r="BWG507" s="325"/>
      <c r="BWH507" s="325"/>
      <c r="BWI507" s="325"/>
      <c r="BWJ507" s="325"/>
      <c r="BWK507" s="325"/>
      <c r="BWL507" s="325"/>
      <c r="BWM507" s="325"/>
      <c r="BWN507" s="325"/>
      <c r="BWO507" s="325"/>
      <c r="BWP507" s="325"/>
      <c r="BWQ507" s="325"/>
      <c r="BWR507" s="325"/>
      <c r="BWS507" s="325"/>
      <c r="BWT507" s="325"/>
      <c r="BWU507" s="325"/>
      <c r="BWV507" s="325"/>
      <c r="BWW507" s="325"/>
      <c r="BWX507" s="325"/>
      <c r="BWY507" s="325"/>
      <c r="BWZ507" s="325"/>
      <c r="BXA507" s="325"/>
      <c r="BXB507" s="325"/>
      <c r="BXC507" s="327"/>
      <c r="BXD507" s="28"/>
      <c r="BXE507" s="324"/>
      <c r="BXF507" s="324"/>
      <c r="BXG507" s="324"/>
      <c r="BXH507" s="324"/>
      <c r="BXI507" s="324"/>
      <c r="BXJ507" s="324"/>
      <c r="BXK507" s="256"/>
      <c r="BXL507" s="325"/>
      <c r="BXM507" s="311"/>
      <c r="BXN507" s="325"/>
      <c r="BXO507" s="310"/>
      <c r="BXP507" s="325"/>
      <c r="BXQ507" s="325"/>
      <c r="BXR507" s="325"/>
      <c r="BXS507" s="325"/>
      <c r="BXT507" s="325"/>
      <c r="BXU507" s="325"/>
      <c r="BXV507" s="325"/>
      <c r="BXW507" s="325"/>
      <c r="BXX507" s="325"/>
      <c r="BXY507" s="325"/>
      <c r="BXZ507" s="325"/>
      <c r="BYA507" s="325"/>
      <c r="BYB507" s="325"/>
      <c r="BYC507" s="325"/>
      <c r="BYD507" s="325"/>
      <c r="BYE507" s="325"/>
      <c r="BYF507" s="325"/>
      <c r="BYG507" s="325"/>
      <c r="BYH507" s="325"/>
      <c r="BYI507" s="325"/>
      <c r="BYJ507" s="325"/>
      <c r="BYK507" s="325"/>
      <c r="BYL507" s="325"/>
      <c r="BYM507" s="325"/>
      <c r="BYN507" s="325"/>
      <c r="BYO507" s="325"/>
      <c r="BYP507" s="325"/>
      <c r="BYQ507" s="325"/>
      <c r="BYR507" s="325"/>
      <c r="BYS507" s="325"/>
      <c r="BYT507" s="327"/>
      <c r="BYU507" s="28"/>
      <c r="BYV507" s="324"/>
      <c r="BYW507" s="324"/>
      <c r="BYX507" s="324"/>
      <c r="BYY507" s="324"/>
      <c r="BYZ507" s="324"/>
      <c r="BZA507" s="324"/>
      <c r="BZB507" s="256"/>
      <c r="BZC507" s="325"/>
      <c r="BZD507" s="311"/>
      <c r="BZE507" s="325"/>
      <c r="BZF507" s="310"/>
      <c r="BZG507" s="325"/>
      <c r="BZH507" s="325"/>
      <c r="BZI507" s="325"/>
      <c r="BZJ507" s="325"/>
      <c r="BZK507" s="325"/>
      <c r="BZL507" s="325"/>
      <c r="BZM507" s="325"/>
      <c r="BZN507" s="325"/>
      <c r="BZO507" s="325"/>
      <c r="BZP507" s="325"/>
      <c r="BZQ507" s="325"/>
      <c r="BZR507" s="325"/>
      <c r="BZS507" s="325"/>
      <c r="BZT507" s="325"/>
      <c r="BZU507" s="325"/>
      <c r="BZV507" s="325"/>
      <c r="BZW507" s="325"/>
      <c r="BZX507" s="325"/>
      <c r="BZY507" s="325"/>
      <c r="BZZ507" s="325"/>
      <c r="CAA507" s="325"/>
      <c r="CAB507" s="325"/>
      <c r="CAC507" s="325"/>
      <c r="CAD507" s="325"/>
      <c r="CAE507" s="325"/>
      <c r="CAF507" s="325"/>
      <c r="CAG507" s="325"/>
      <c r="CAH507" s="325"/>
      <c r="CAI507" s="325"/>
      <c r="CAJ507" s="325"/>
      <c r="CAK507" s="327"/>
      <c r="CAL507" s="28"/>
      <c r="CAM507" s="324"/>
      <c r="CAN507" s="324"/>
      <c r="CAO507" s="324"/>
      <c r="CAP507" s="324"/>
      <c r="CAQ507" s="324"/>
      <c r="CAR507" s="324"/>
      <c r="CAS507" s="256"/>
      <c r="CAT507" s="325"/>
      <c r="CAU507" s="311"/>
      <c r="CAV507" s="325"/>
      <c r="CAW507" s="310"/>
      <c r="CAX507" s="325"/>
      <c r="CAY507" s="325"/>
      <c r="CAZ507" s="325"/>
      <c r="CBA507" s="325"/>
      <c r="CBB507" s="325"/>
      <c r="CBC507" s="325"/>
      <c r="CBD507" s="325"/>
      <c r="CBE507" s="325"/>
      <c r="CBF507" s="325"/>
      <c r="CBG507" s="325"/>
      <c r="CBH507" s="325"/>
      <c r="CBI507" s="325"/>
      <c r="CBJ507" s="325"/>
      <c r="CBK507" s="325"/>
      <c r="CBL507" s="325"/>
      <c r="CBM507" s="325"/>
      <c r="CBN507" s="325"/>
      <c r="CBO507" s="325"/>
      <c r="CBP507" s="325"/>
      <c r="CBQ507" s="325"/>
      <c r="CBR507" s="325"/>
      <c r="CBS507" s="325"/>
      <c r="CBT507" s="325"/>
      <c r="CBU507" s="325"/>
      <c r="CBV507" s="325"/>
      <c r="CBW507" s="325"/>
      <c r="CBX507" s="325"/>
      <c r="CBY507" s="325"/>
      <c r="CBZ507" s="325"/>
      <c r="CCA507" s="325"/>
      <c r="CCB507" s="327"/>
      <c r="CCC507" s="28"/>
      <c r="CCD507" s="324"/>
      <c r="CCE507" s="324"/>
      <c r="CCF507" s="324"/>
      <c r="CCG507" s="324"/>
      <c r="CCH507" s="324"/>
      <c r="CCI507" s="324"/>
      <c r="CCJ507" s="256"/>
      <c r="CCK507" s="325"/>
      <c r="CCL507" s="311"/>
      <c r="CCM507" s="325"/>
      <c r="CCN507" s="310"/>
      <c r="CCO507" s="325"/>
      <c r="CCP507" s="325"/>
      <c r="CCQ507" s="325"/>
      <c r="CCR507" s="325"/>
      <c r="CCS507" s="325"/>
      <c r="CCT507" s="325"/>
      <c r="CCU507" s="325"/>
      <c r="CCV507" s="325"/>
      <c r="CCW507" s="325"/>
      <c r="CCX507" s="325"/>
      <c r="CCY507" s="325"/>
      <c r="CCZ507" s="325"/>
      <c r="CDA507" s="325"/>
      <c r="CDB507" s="325"/>
      <c r="CDC507" s="325"/>
      <c r="CDD507" s="325"/>
      <c r="CDE507" s="325"/>
      <c r="CDF507" s="325"/>
      <c r="CDG507" s="325"/>
      <c r="CDH507" s="325"/>
      <c r="CDI507" s="325"/>
      <c r="CDJ507" s="325"/>
      <c r="CDK507" s="325"/>
      <c r="CDL507" s="325"/>
      <c r="CDM507" s="325"/>
      <c r="CDN507" s="325"/>
      <c r="CDO507" s="325"/>
      <c r="CDP507" s="325"/>
      <c r="CDQ507" s="325"/>
      <c r="CDR507" s="325"/>
      <c r="CDS507" s="327"/>
      <c r="CDT507" s="28"/>
      <c r="CDU507" s="324"/>
      <c r="CDV507" s="324"/>
      <c r="CDW507" s="324"/>
      <c r="CDX507" s="324"/>
      <c r="CDY507" s="324"/>
      <c r="CDZ507" s="324"/>
      <c r="CEA507" s="256"/>
      <c r="CEB507" s="325"/>
      <c r="CEC507" s="311"/>
      <c r="CED507" s="325"/>
      <c r="CEE507" s="310"/>
      <c r="CEF507" s="325"/>
      <c r="CEG507" s="325"/>
      <c r="CEH507" s="325"/>
      <c r="CEI507" s="325"/>
      <c r="CEJ507" s="325"/>
      <c r="CEK507" s="325"/>
      <c r="CEL507" s="325"/>
      <c r="CEM507" s="325"/>
      <c r="CEN507" s="325"/>
      <c r="CEO507" s="325"/>
      <c r="CEP507" s="325"/>
      <c r="CEQ507" s="325"/>
      <c r="CER507" s="325"/>
      <c r="CES507" s="325"/>
      <c r="CET507" s="325"/>
      <c r="CEU507" s="325"/>
      <c r="CEV507" s="325"/>
      <c r="CEW507" s="325"/>
      <c r="CEX507" s="325"/>
      <c r="CEY507" s="325"/>
      <c r="CEZ507" s="325"/>
      <c r="CFA507" s="325"/>
      <c r="CFB507" s="325"/>
      <c r="CFC507" s="325"/>
      <c r="CFD507" s="325"/>
      <c r="CFE507" s="325"/>
      <c r="CFF507" s="325"/>
      <c r="CFG507" s="325"/>
      <c r="CFH507" s="325"/>
      <c r="CFI507" s="325"/>
      <c r="CFJ507" s="327"/>
      <c r="CFK507" s="28"/>
      <c r="CFL507" s="324"/>
      <c r="CFM507" s="324"/>
      <c r="CFN507" s="324"/>
      <c r="CFO507" s="324"/>
      <c r="CFP507" s="324"/>
      <c r="CFQ507" s="324"/>
      <c r="CFR507" s="256"/>
      <c r="CFS507" s="325"/>
      <c r="CFT507" s="311"/>
      <c r="CFU507" s="325"/>
      <c r="CFV507" s="310"/>
      <c r="CFW507" s="325"/>
      <c r="CFX507" s="325"/>
      <c r="CFY507" s="325"/>
      <c r="CFZ507" s="325"/>
      <c r="CGA507" s="325"/>
      <c r="CGB507" s="325"/>
      <c r="CGC507" s="325"/>
      <c r="CGD507" s="325"/>
      <c r="CGE507" s="325"/>
      <c r="CGF507" s="325"/>
      <c r="CGG507" s="325"/>
      <c r="CGH507" s="325"/>
      <c r="CGI507" s="325"/>
      <c r="CGJ507" s="325"/>
      <c r="CGK507" s="325"/>
      <c r="CGL507" s="325"/>
      <c r="CGM507" s="325"/>
      <c r="CGN507" s="325"/>
      <c r="CGO507" s="325"/>
      <c r="CGP507" s="325"/>
      <c r="CGQ507" s="325"/>
      <c r="CGR507" s="325"/>
      <c r="CGS507" s="325"/>
      <c r="CGT507" s="325"/>
      <c r="CGU507" s="325"/>
      <c r="CGV507" s="325"/>
      <c r="CGW507" s="325"/>
      <c r="CGX507" s="325"/>
      <c r="CGY507" s="325"/>
      <c r="CGZ507" s="325"/>
      <c r="CHA507" s="327"/>
      <c r="CHB507" s="28"/>
      <c r="CHC507" s="324"/>
      <c r="CHD507" s="324"/>
      <c r="CHE507" s="324"/>
      <c r="CHF507" s="324"/>
      <c r="CHG507" s="324"/>
      <c r="CHH507" s="324"/>
      <c r="CHI507" s="256"/>
      <c r="CHJ507" s="325"/>
      <c r="CHK507" s="311"/>
      <c r="CHL507" s="325"/>
      <c r="CHM507" s="310"/>
      <c r="CHN507" s="325"/>
      <c r="CHO507" s="325"/>
      <c r="CHP507" s="325"/>
      <c r="CHQ507" s="325"/>
      <c r="CHR507" s="325"/>
      <c r="CHS507" s="325"/>
      <c r="CHT507" s="325"/>
      <c r="CHU507" s="325"/>
      <c r="CHV507" s="325"/>
      <c r="CHW507" s="325"/>
      <c r="CHX507" s="325"/>
      <c r="CHY507" s="325"/>
      <c r="CHZ507" s="325"/>
      <c r="CIA507" s="325"/>
      <c r="CIB507" s="325"/>
      <c r="CIC507" s="325"/>
      <c r="CID507" s="325"/>
      <c r="CIE507" s="325"/>
      <c r="CIF507" s="325"/>
      <c r="CIG507" s="325"/>
      <c r="CIH507" s="325"/>
      <c r="CII507" s="325"/>
      <c r="CIJ507" s="325"/>
      <c r="CIK507" s="325"/>
      <c r="CIL507" s="325"/>
      <c r="CIM507" s="325"/>
      <c r="CIN507" s="325"/>
      <c r="CIO507" s="325"/>
      <c r="CIP507" s="325"/>
      <c r="CIQ507" s="325"/>
      <c r="CIR507" s="327"/>
      <c r="CIS507" s="28"/>
      <c r="CIT507" s="324"/>
      <c r="CIU507" s="324"/>
      <c r="CIV507" s="324"/>
      <c r="CIW507" s="324"/>
      <c r="CIX507" s="324"/>
      <c r="CIY507" s="324"/>
      <c r="CIZ507" s="256"/>
      <c r="CJA507" s="325"/>
      <c r="CJB507" s="311"/>
      <c r="CJC507" s="325"/>
      <c r="CJD507" s="310"/>
      <c r="CJE507" s="325"/>
      <c r="CJF507" s="325"/>
      <c r="CJG507" s="325"/>
      <c r="CJH507" s="325"/>
      <c r="CJI507" s="325"/>
      <c r="CJJ507" s="325"/>
      <c r="CJK507" s="325"/>
      <c r="CJL507" s="325"/>
      <c r="CJM507" s="325"/>
      <c r="CJN507" s="325"/>
      <c r="CJO507" s="325"/>
      <c r="CJP507" s="325"/>
      <c r="CJQ507" s="325"/>
      <c r="CJR507" s="325"/>
      <c r="CJS507" s="325"/>
      <c r="CJT507" s="325"/>
      <c r="CJU507" s="325"/>
      <c r="CJV507" s="325"/>
      <c r="CJW507" s="325"/>
      <c r="CJX507" s="325"/>
      <c r="CJY507" s="325"/>
      <c r="CJZ507" s="325"/>
      <c r="CKA507" s="325"/>
      <c r="CKB507" s="325"/>
      <c r="CKC507" s="325"/>
      <c r="CKD507" s="325"/>
      <c r="CKE507" s="325"/>
      <c r="CKF507" s="325"/>
      <c r="CKG507" s="325"/>
      <c r="CKH507" s="325"/>
      <c r="CKI507" s="327"/>
      <c r="CKJ507" s="28"/>
      <c r="CKK507" s="324"/>
      <c r="CKL507" s="324"/>
      <c r="CKM507" s="324"/>
      <c r="CKN507" s="324"/>
      <c r="CKO507" s="324"/>
      <c r="CKP507" s="324"/>
      <c r="CKQ507" s="256"/>
      <c r="CKR507" s="325"/>
      <c r="CKS507" s="311"/>
      <c r="CKT507" s="325"/>
      <c r="CKU507" s="310"/>
      <c r="CKV507" s="325"/>
      <c r="CKW507" s="325"/>
      <c r="CKX507" s="325"/>
      <c r="CKY507" s="325"/>
      <c r="CKZ507" s="325"/>
      <c r="CLA507" s="325"/>
      <c r="CLB507" s="325"/>
      <c r="CLC507" s="325"/>
      <c r="CLD507" s="325"/>
      <c r="CLE507" s="325"/>
      <c r="CLF507" s="325"/>
      <c r="CLG507" s="325"/>
      <c r="CLH507" s="325"/>
      <c r="CLI507" s="325"/>
      <c r="CLJ507" s="325"/>
      <c r="CLK507" s="325"/>
      <c r="CLL507" s="325"/>
      <c r="CLM507" s="325"/>
      <c r="CLN507" s="325"/>
      <c r="CLO507" s="325"/>
      <c r="CLP507" s="325"/>
      <c r="CLQ507" s="325"/>
      <c r="CLR507" s="325"/>
      <c r="CLS507" s="325"/>
      <c r="CLT507" s="325"/>
      <c r="CLU507" s="325"/>
      <c r="CLV507" s="325"/>
      <c r="CLW507" s="325"/>
      <c r="CLX507" s="325"/>
      <c r="CLY507" s="325"/>
      <c r="CLZ507" s="327"/>
      <c r="CMA507" s="28"/>
      <c r="CMB507" s="324"/>
      <c r="CMC507" s="324"/>
      <c r="CMD507" s="324"/>
      <c r="CME507" s="324"/>
      <c r="CMF507" s="324"/>
      <c r="CMG507" s="324"/>
      <c r="CMH507" s="256"/>
      <c r="CMI507" s="325"/>
      <c r="CMJ507" s="311"/>
      <c r="CMK507" s="325"/>
      <c r="CML507" s="310"/>
      <c r="CMM507" s="325"/>
      <c r="CMN507" s="325"/>
      <c r="CMO507" s="325"/>
      <c r="CMP507" s="325"/>
      <c r="CMQ507" s="325"/>
      <c r="CMR507" s="325"/>
      <c r="CMS507" s="325"/>
      <c r="CMT507" s="325"/>
      <c r="CMU507" s="325"/>
      <c r="CMV507" s="325"/>
      <c r="CMW507" s="325"/>
      <c r="CMX507" s="325"/>
      <c r="CMY507" s="325"/>
      <c r="CMZ507" s="325"/>
      <c r="CNA507" s="325"/>
      <c r="CNB507" s="325"/>
      <c r="CNC507" s="325"/>
      <c r="CND507" s="325"/>
      <c r="CNE507" s="325"/>
      <c r="CNF507" s="325"/>
      <c r="CNG507" s="325"/>
      <c r="CNH507" s="325"/>
      <c r="CNI507" s="325"/>
      <c r="CNJ507" s="325"/>
      <c r="CNK507" s="325"/>
      <c r="CNL507" s="325"/>
      <c r="CNM507" s="325"/>
      <c r="CNN507" s="325"/>
      <c r="CNO507" s="325"/>
      <c r="CNP507" s="325"/>
      <c r="CNQ507" s="327"/>
      <c r="CNR507" s="28"/>
      <c r="CNS507" s="324"/>
      <c r="CNT507" s="324"/>
      <c r="CNU507" s="324"/>
      <c r="CNV507" s="324"/>
      <c r="CNW507" s="324"/>
      <c r="CNX507" s="324"/>
      <c r="CNY507" s="256"/>
      <c r="CNZ507" s="325"/>
      <c r="COA507" s="311"/>
      <c r="COB507" s="325"/>
      <c r="COC507" s="310"/>
      <c r="COD507" s="325"/>
      <c r="COE507" s="325"/>
      <c r="COF507" s="325"/>
      <c r="COG507" s="325"/>
      <c r="COH507" s="325"/>
      <c r="COI507" s="325"/>
      <c r="COJ507" s="325"/>
      <c r="COK507" s="325"/>
      <c r="COL507" s="325"/>
      <c r="COM507" s="325"/>
      <c r="CON507" s="325"/>
      <c r="COO507" s="325"/>
      <c r="COP507" s="325"/>
      <c r="COQ507" s="325"/>
      <c r="COR507" s="325"/>
      <c r="COS507" s="325"/>
      <c r="COT507" s="325"/>
      <c r="COU507" s="325"/>
      <c r="COV507" s="325"/>
      <c r="COW507" s="325"/>
      <c r="COX507" s="325"/>
      <c r="COY507" s="325"/>
      <c r="COZ507" s="325"/>
      <c r="CPA507" s="325"/>
      <c r="CPB507" s="325"/>
      <c r="CPC507" s="325"/>
      <c r="CPD507" s="325"/>
      <c r="CPE507" s="325"/>
      <c r="CPF507" s="325"/>
      <c r="CPG507" s="325"/>
      <c r="CPH507" s="327"/>
      <c r="CPI507" s="28"/>
      <c r="CPJ507" s="324"/>
      <c r="CPK507" s="324"/>
      <c r="CPL507" s="324"/>
      <c r="CPM507" s="324"/>
      <c r="CPN507" s="324"/>
      <c r="CPO507" s="324"/>
      <c r="CPP507" s="256"/>
      <c r="CPQ507" s="325"/>
      <c r="CPR507" s="311"/>
      <c r="CPS507" s="325"/>
      <c r="CPT507" s="310"/>
      <c r="CPU507" s="325"/>
      <c r="CPV507" s="325"/>
      <c r="CPW507" s="325"/>
      <c r="CPX507" s="325"/>
      <c r="CPY507" s="325"/>
      <c r="CPZ507" s="325"/>
      <c r="CQA507" s="325"/>
      <c r="CQB507" s="325"/>
      <c r="CQC507" s="325"/>
      <c r="CQD507" s="325"/>
      <c r="CQE507" s="325"/>
      <c r="CQF507" s="325"/>
      <c r="CQG507" s="325"/>
      <c r="CQH507" s="325"/>
      <c r="CQI507" s="325"/>
      <c r="CQJ507" s="325"/>
      <c r="CQK507" s="325"/>
      <c r="CQL507" s="325"/>
      <c r="CQM507" s="325"/>
      <c r="CQN507" s="325"/>
      <c r="CQO507" s="325"/>
      <c r="CQP507" s="325"/>
      <c r="CQQ507" s="325"/>
      <c r="CQR507" s="325"/>
      <c r="CQS507" s="325"/>
      <c r="CQT507" s="325"/>
      <c r="CQU507" s="325"/>
      <c r="CQV507" s="325"/>
      <c r="CQW507" s="325"/>
      <c r="CQX507" s="325"/>
      <c r="CQY507" s="327"/>
      <c r="CQZ507" s="28"/>
      <c r="CRA507" s="324"/>
      <c r="CRB507" s="324"/>
      <c r="CRC507" s="324"/>
      <c r="CRD507" s="324"/>
      <c r="CRE507" s="324"/>
      <c r="CRF507" s="324"/>
      <c r="CRG507" s="256"/>
      <c r="CRH507" s="325"/>
      <c r="CRI507" s="311"/>
      <c r="CRJ507" s="325"/>
      <c r="CRK507" s="310"/>
      <c r="CRL507" s="325"/>
      <c r="CRM507" s="325"/>
      <c r="CRN507" s="325"/>
      <c r="CRO507" s="325"/>
      <c r="CRP507" s="325"/>
      <c r="CRQ507" s="325"/>
      <c r="CRR507" s="325"/>
      <c r="CRS507" s="325"/>
      <c r="CRT507" s="325"/>
      <c r="CRU507" s="325"/>
      <c r="CRV507" s="325"/>
      <c r="CRW507" s="325"/>
      <c r="CRX507" s="325"/>
      <c r="CRY507" s="325"/>
      <c r="CRZ507" s="325"/>
      <c r="CSA507" s="325"/>
      <c r="CSB507" s="325"/>
      <c r="CSC507" s="325"/>
      <c r="CSD507" s="325"/>
      <c r="CSE507" s="325"/>
      <c r="CSF507" s="325"/>
      <c r="CSG507" s="325"/>
      <c r="CSH507" s="325"/>
      <c r="CSI507" s="325"/>
      <c r="CSJ507" s="325"/>
      <c r="CSK507" s="325"/>
      <c r="CSL507" s="325"/>
      <c r="CSM507" s="325"/>
      <c r="CSN507" s="325"/>
      <c r="CSO507" s="325"/>
      <c r="CSP507" s="327"/>
      <c r="CSQ507" s="28"/>
      <c r="CSR507" s="324"/>
      <c r="CSS507" s="324"/>
      <c r="CST507" s="324"/>
      <c r="CSU507" s="324"/>
      <c r="CSV507" s="324"/>
      <c r="CSW507" s="324"/>
      <c r="CSX507" s="256"/>
      <c r="CSY507" s="325"/>
      <c r="CSZ507" s="311"/>
      <c r="CTA507" s="325"/>
      <c r="CTB507" s="310"/>
      <c r="CTC507" s="325"/>
      <c r="CTD507" s="325"/>
      <c r="CTE507" s="325"/>
      <c r="CTF507" s="325"/>
      <c r="CTG507" s="325"/>
      <c r="CTH507" s="325"/>
      <c r="CTI507" s="325"/>
      <c r="CTJ507" s="325"/>
      <c r="CTK507" s="325"/>
      <c r="CTL507" s="325"/>
      <c r="CTM507" s="325"/>
      <c r="CTN507" s="325"/>
      <c r="CTO507" s="325"/>
      <c r="CTP507" s="325"/>
      <c r="CTQ507" s="325"/>
      <c r="CTR507" s="325"/>
      <c r="CTS507" s="325"/>
      <c r="CTT507" s="325"/>
      <c r="CTU507" s="325"/>
      <c r="CTV507" s="325"/>
      <c r="CTW507" s="325"/>
      <c r="CTX507" s="325"/>
      <c r="CTY507" s="325"/>
      <c r="CTZ507" s="325"/>
      <c r="CUA507" s="325"/>
      <c r="CUB507" s="325"/>
      <c r="CUC507" s="325"/>
      <c r="CUD507" s="325"/>
      <c r="CUE507" s="325"/>
      <c r="CUF507" s="325"/>
      <c r="CUG507" s="327"/>
      <c r="CUH507" s="28"/>
      <c r="CUI507" s="324"/>
      <c r="CUJ507" s="324"/>
      <c r="CUK507" s="324"/>
      <c r="CUL507" s="324"/>
      <c r="CUM507" s="324"/>
      <c r="CUN507" s="324"/>
      <c r="CUO507" s="256"/>
      <c r="CUP507" s="325"/>
      <c r="CUQ507" s="311"/>
      <c r="CUR507" s="325"/>
      <c r="CUS507" s="310"/>
      <c r="CUT507" s="325"/>
      <c r="CUU507" s="325"/>
      <c r="CUV507" s="325"/>
      <c r="CUW507" s="325"/>
      <c r="CUX507" s="325"/>
      <c r="CUY507" s="325"/>
      <c r="CUZ507" s="325"/>
      <c r="CVA507" s="325"/>
      <c r="CVB507" s="325"/>
      <c r="CVC507" s="325"/>
      <c r="CVD507" s="325"/>
      <c r="CVE507" s="325"/>
      <c r="CVF507" s="325"/>
      <c r="CVG507" s="325"/>
      <c r="CVH507" s="325"/>
      <c r="CVI507" s="325"/>
      <c r="CVJ507" s="325"/>
      <c r="CVK507" s="325"/>
      <c r="CVL507" s="325"/>
      <c r="CVM507" s="325"/>
      <c r="CVN507" s="325"/>
      <c r="CVO507" s="325"/>
      <c r="CVP507" s="325"/>
      <c r="CVQ507" s="325"/>
      <c r="CVR507" s="325"/>
      <c r="CVS507" s="325"/>
      <c r="CVT507" s="325"/>
      <c r="CVU507" s="325"/>
      <c r="CVV507" s="325"/>
      <c r="CVW507" s="325"/>
      <c r="CVX507" s="327"/>
      <c r="CVY507" s="28"/>
      <c r="CVZ507" s="324"/>
      <c r="CWA507" s="324"/>
      <c r="CWB507" s="324"/>
      <c r="CWC507" s="324"/>
      <c r="CWD507" s="324"/>
      <c r="CWE507" s="324"/>
      <c r="CWF507" s="256"/>
      <c r="CWG507" s="325"/>
      <c r="CWH507" s="311"/>
      <c r="CWI507" s="325"/>
      <c r="CWJ507" s="310"/>
      <c r="CWK507" s="325"/>
      <c r="CWL507" s="325"/>
      <c r="CWM507" s="325"/>
      <c r="CWN507" s="325"/>
      <c r="CWO507" s="325"/>
      <c r="CWP507" s="325"/>
      <c r="CWQ507" s="325"/>
      <c r="CWR507" s="325"/>
      <c r="CWS507" s="325"/>
      <c r="CWT507" s="325"/>
      <c r="CWU507" s="325"/>
      <c r="CWV507" s="325"/>
      <c r="CWW507" s="325"/>
      <c r="CWX507" s="325"/>
      <c r="CWY507" s="325"/>
      <c r="CWZ507" s="325"/>
      <c r="CXA507" s="325"/>
      <c r="CXB507" s="325"/>
      <c r="CXC507" s="325"/>
      <c r="CXD507" s="325"/>
      <c r="CXE507" s="325"/>
      <c r="CXF507" s="325"/>
      <c r="CXG507" s="325"/>
      <c r="CXH507" s="325"/>
      <c r="CXI507" s="325"/>
      <c r="CXJ507" s="325"/>
      <c r="CXK507" s="325"/>
      <c r="CXL507" s="325"/>
      <c r="CXM507" s="325"/>
      <c r="CXN507" s="325"/>
      <c r="CXO507" s="327"/>
      <c r="CXP507" s="28"/>
      <c r="CXQ507" s="324"/>
      <c r="CXR507" s="324"/>
      <c r="CXS507" s="324"/>
      <c r="CXT507" s="324"/>
      <c r="CXU507" s="324"/>
      <c r="CXV507" s="324"/>
      <c r="CXW507" s="256"/>
      <c r="CXX507" s="325"/>
      <c r="CXY507" s="311"/>
      <c r="CXZ507" s="325"/>
      <c r="CYA507" s="310"/>
      <c r="CYB507" s="325"/>
      <c r="CYC507" s="325"/>
      <c r="CYD507" s="325"/>
      <c r="CYE507" s="325"/>
      <c r="CYF507" s="325"/>
      <c r="CYG507" s="325"/>
      <c r="CYH507" s="325"/>
      <c r="CYI507" s="325"/>
      <c r="CYJ507" s="325"/>
      <c r="CYK507" s="325"/>
      <c r="CYL507" s="325"/>
      <c r="CYM507" s="325"/>
      <c r="CYN507" s="325"/>
      <c r="CYO507" s="325"/>
      <c r="CYP507" s="325"/>
      <c r="CYQ507" s="325"/>
      <c r="CYR507" s="325"/>
      <c r="CYS507" s="325"/>
      <c r="CYT507" s="325"/>
      <c r="CYU507" s="325"/>
      <c r="CYV507" s="325"/>
      <c r="CYW507" s="325"/>
      <c r="CYX507" s="325"/>
      <c r="CYY507" s="325"/>
      <c r="CYZ507" s="325"/>
      <c r="CZA507" s="325"/>
      <c r="CZB507" s="325"/>
      <c r="CZC507" s="325"/>
      <c r="CZD507" s="325"/>
      <c r="CZE507" s="325"/>
      <c r="CZF507" s="327"/>
      <c r="CZG507" s="28"/>
      <c r="CZH507" s="324"/>
      <c r="CZI507" s="324"/>
      <c r="CZJ507" s="324"/>
      <c r="CZK507" s="324"/>
      <c r="CZL507" s="324"/>
      <c r="CZM507" s="324"/>
      <c r="CZN507" s="256"/>
      <c r="CZO507" s="325"/>
      <c r="CZP507" s="311"/>
      <c r="CZQ507" s="325"/>
      <c r="CZR507" s="310"/>
      <c r="CZS507" s="325"/>
      <c r="CZT507" s="325"/>
      <c r="CZU507" s="325"/>
      <c r="CZV507" s="325"/>
      <c r="CZW507" s="325"/>
      <c r="CZX507" s="325"/>
      <c r="CZY507" s="325"/>
      <c r="CZZ507" s="325"/>
      <c r="DAA507" s="325"/>
      <c r="DAB507" s="325"/>
      <c r="DAC507" s="325"/>
      <c r="DAD507" s="325"/>
      <c r="DAE507" s="325"/>
      <c r="DAF507" s="325"/>
      <c r="DAG507" s="325"/>
      <c r="DAH507" s="325"/>
      <c r="DAI507" s="325"/>
      <c r="DAJ507" s="325"/>
      <c r="DAK507" s="325"/>
      <c r="DAL507" s="325"/>
      <c r="DAM507" s="325"/>
      <c r="DAN507" s="325"/>
      <c r="DAO507" s="325"/>
      <c r="DAP507" s="325"/>
      <c r="DAQ507" s="325"/>
      <c r="DAR507" s="325"/>
      <c r="DAS507" s="325"/>
      <c r="DAT507" s="325"/>
      <c r="DAU507" s="325"/>
      <c r="DAV507" s="325"/>
      <c r="DAW507" s="327"/>
      <c r="DAX507" s="28"/>
      <c r="DAY507" s="324"/>
      <c r="DAZ507" s="324"/>
      <c r="DBA507" s="324"/>
      <c r="DBB507" s="324"/>
      <c r="DBC507" s="324"/>
      <c r="DBD507" s="324"/>
      <c r="DBE507" s="256"/>
      <c r="DBF507" s="325"/>
      <c r="DBG507" s="311"/>
      <c r="DBH507" s="325"/>
      <c r="DBI507" s="310"/>
      <c r="DBJ507" s="325"/>
      <c r="DBK507" s="325"/>
      <c r="DBL507" s="325"/>
      <c r="DBM507" s="325"/>
      <c r="DBN507" s="325"/>
      <c r="DBO507" s="325"/>
      <c r="DBP507" s="325"/>
      <c r="DBQ507" s="325"/>
      <c r="DBR507" s="325"/>
      <c r="DBS507" s="325"/>
      <c r="DBT507" s="325"/>
      <c r="DBU507" s="325"/>
      <c r="DBV507" s="325"/>
      <c r="DBW507" s="325"/>
      <c r="DBX507" s="325"/>
      <c r="DBY507" s="325"/>
      <c r="DBZ507" s="325"/>
      <c r="DCA507" s="325"/>
      <c r="DCB507" s="325"/>
      <c r="DCC507" s="325"/>
      <c r="DCD507" s="325"/>
      <c r="DCE507" s="325"/>
      <c r="DCF507" s="325"/>
      <c r="DCG507" s="325"/>
      <c r="DCH507" s="325"/>
      <c r="DCI507" s="325"/>
      <c r="DCJ507" s="325"/>
      <c r="DCK507" s="325"/>
      <c r="DCL507" s="325"/>
      <c r="DCM507" s="325"/>
      <c r="DCN507" s="327"/>
      <c r="DCO507" s="28"/>
      <c r="DCP507" s="324"/>
      <c r="DCQ507" s="324"/>
      <c r="DCR507" s="324"/>
      <c r="DCS507" s="324"/>
      <c r="DCT507" s="324"/>
      <c r="DCU507" s="324"/>
      <c r="DCV507" s="256"/>
      <c r="DCW507" s="325"/>
      <c r="DCX507" s="311"/>
      <c r="DCY507" s="325"/>
      <c r="DCZ507" s="310"/>
      <c r="DDA507" s="325"/>
      <c r="DDB507" s="325"/>
      <c r="DDC507" s="325"/>
      <c r="DDD507" s="325"/>
      <c r="DDE507" s="325"/>
      <c r="DDF507" s="325"/>
      <c r="DDG507" s="325"/>
      <c r="DDH507" s="325"/>
      <c r="DDI507" s="325"/>
      <c r="DDJ507" s="325"/>
      <c r="DDK507" s="325"/>
      <c r="DDL507" s="325"/>
      <c r="DDM507" s="325"/>
      <c r="DDN507" s="325"/>
      <c r="DDO507" s="325"/>
      <c r="DDP507" s="325"/>
      <c r="DDQ507" s="325"/>
      <c r="DDR507" s="325"/>
      <c r="DDS507" s="325"/>
      <c r="DDT507" s="325"/>
      <c r="DDU507" s="325"/>
      <c r="DDV507" s="325"/>
      <c r="DDW507" s="325"/>
      <c r="DDX507" s="325"/>
      <c r="DDY507" s="325"/>
      <c r="DDZ507" s="325"/>
      <c r="DEA507" s="325"/>
      <c r="DEB507" s="325"/>
      <c r="DEC507" s="325"/>
      <c r="DED507" s="325"/>
      <c r="DEE507" s="327"/>
      <c r="DEF507" s="28"/>
      <c r="DEG507" s="324"/>
      <c r="DEH507" s="324"/>
      <c r="DEI507" s="324"/>
      <c r="DEJ507" s="324"/>
      <c r="DEK507" s="324"/>
      <c r="DEL507" s="324"/>
      <c r="DEM507" s="256"/>
      <c r="DEN507" s="325"/>
      <c r="DEO507" s="311"/>
      <c r="DEP507" s="325"/>
      <c r="DEQ507" s="310"/>
      <c r="DER507" s="325"/>
      <c r="DES507" s="325"/>
      <c r="DET507" s="325"/>
      <c r="DEU507" s="325"/>
      <c r="DEV507" s="325"/>
      <c r="DEW507" s="325"/>
      <c r="DEX507" s="325"/>
      <c r="DEY507" s="325"/>
      <c r="DEZ507" s="325"/>
      <c r="DFA507" s="325"/>
      <c r="DFB507" s="325"/>
      <c r="DFC507" s="325"/>
      <c r="DFD507" s="325"/>
      <c r="DFE507" s="325"/>
      <c r="DFF507" s="325"/>
      <c r="DFG507" s="325"/>
      <c r="DFH507" s="325"/>
      <c r="DFI507" s="325"/>
      <c r="DFJ507" s="325"/>
      <c r="DFK507" s="325"/>
      <c r="DFL507" s="325"/>
      <c r="DFM507" s="325"/>
      <c r="DFN507" s="325"/>
      <c r="DFO507" s="325"/>
      <c r="DFP507" s="325"/>
      <c r="DFQ507" s="325"/>
      <c r="DFR507" s="325"/>
      <c r="DFS507" s="325"/>
      <c r="DFT507" s="325"/>
      <c r="DFU507" s="325"/>
      <c r="DFV507" s="327"/>
      <c r="DFW507" s="28"/>
      <c r="DFX507" s="324"/>
      <c r="DFY507" s="324"/>
      <c r="DFZ507" s="324"/>
      <c r="DGA507" s="324"/>
      <c r="DGB507" s="324"/>
      <c r="DGC507" s="324"/>
      <c r="DGD507" s="256"/>
      <c r="DGE507" s="325"/>
      <c r="DGF507" s="311"/>
      <c r="DGG507" s="325"/>
      <c r="DGH507" s="310"/>
      <c r="DGI507" s="325"/>
      <c r="DGJ507" s="325"/>
      <c r="DGK507" s="325"/>
      <c r="DGL507" s="325"/>
      <c r="DGM507" s="325"/>
      <c r="DGN507" s="325"/>
      <c r="DGO507" s="325"/>
      <c r="DGP507" s="325"/>
      <c r="DGQ507" s="325"/>
      <c r="DGR507" s="325"/>
      <c r="DGS507" s="325"/>
      <c r="DGT507" s="325"/>
      <c r="DGU507" s="325"/>
      <c r="DGV507" s="325"/>
      <c r="DGW507" s="325"/>
      <c r="DGX507" s="325"/>
      <c r="DGY507" s="325"/>
      <c r="DGZ507" s="325"/>
      <c r="DHA507" s="325"/>
      <c r="DHB507" s="325"/>
      <c r="DHC507" s="325"/>
      <c r="DHD507" s="325"/>
      <c r="DHE507" s="325"/>
      <c r="DHF507" s="325"/>
      <c r="DHG507" s="325"/>
      <c r="DHH507" s="325"/>
      <c r="DHI507" s="325"/>
      <c r="DHJ507" s="325"/>
      <c r="DHK507" s="325"/>
      <c r="DHL507" s="325"/>
      <c r="DHM507" s="327"/>
      <c r="DHN507" s="28"/>
      <c r="DHO507" s="324"/>
      <c r="DHP507" s="324"/>
      <c r="DHQ507" s="324"/>
      <c r="DHR507" s="324"/>
      <c r="DHS507" s="324"/>
      <c r="DHT507" s="324"/>
      <c r="DHU507" s="256"/>
      <c r="DHV507" s="325"/>
      <c r="DHW507" s="311"/>
      <c r="DHX507" s="325"/>
      <c r="DHY507" s="310"/>
      <c r="DHZ507" s="325"/>
      <c r="DIA507" s="325"/>
      <c r="DIB507" s="325"/>
      <c r="DIC507" s="325"/>
      <c r="DID507" s="325"/>
      <c r="DIE507" s="325"/>
      <c r="DIF507" s="325"/>
      <c r="DIG507" s="325"/>
      <c r="DIH507" s="325"/>
      <c r="DII507" s="325"/>
      <c r="DIJ507" s="325"/>
      <c r="DIK507" s="325"/>
      <c r="DIL507" s="325"/>
      <c r="DIM507" s="325"/>
      <c r="DIN507" s="325"/>
      <c r="DIO507" s="325"/>
      <c r="DIP507" s="325"/>
      <c r="DIQ507" s="325"/>
      <c r="DIR507" s="325"/>
      <c r="DIS507" s="325"/>
      <c r="DIT507" s="325"/>
      <c r="DIU507" s="325"/>
      <c r="DIV507" s="325"/>
      <c r="DIW507" s="325"/>
      <c r="DIX507" s="325"/>
      <c r="DIY507" s="325"/>
      <c r="DIZ507" s="325"/>
      <c r="DJA507" s="325"/>
      <c r="DJB507" s="325"/>
      <c r="DJC507" s="325"/>
      <c r="DJD507" s="327"/>
      <c r="DJE507" s="28"/>
      <c r="DJF507" s="324"/>
      <c r="DJG507" s="324"/>
      <c r="DJH507" s="324"/>
      <c r="DJI507" s="324"/>
      <c r="DJJ507" s="324"/>
      <c r="DJK507" s="324"/>
      <c r="DJL507" s="256"/>
      <c r="DJM507" s="325"/>
      <c r="DJN507" s="311"/>
      <c r="DJO507" s="325"/>
      <c r="DJP507" s="310"/>
      <c r="DJQ507" s="325"/>
      <c r="DJR507" s="325"/>
      <c r="DJS507" s="325"/>
      <c r="DJT507" s="325"/>
      <c r="DJU507" s="325"/>
      <c r="DJV507" s="325"/>
      <c r="DJW507" s="325"/>
      <c r="DJX507" s="325"/>
      <c r="DJY507" s="325"/>
      <c r="DJZ507" s="325"/>
      <c r="DKA507" s="325"/>
      <c r="DKB507" s="325"/>
      <c r="DKC507" s="325"/>
      <c r="DKD507" s="325"/>
      <c r="DKE507" s="325"/>
      <c r="DKF507" s="325"/>
      <c r="DKG507" s="325"/>
      <c r="DKH507" s="325"/>
      <c r="DKI507" s="325"/>
      <c r="DKJ507" s="325"/>
      <c r="DKK507" s="325"/>
      <c r="DKL507" s="325"/>
      <c r="DKM507" s="325"/>
      <c r="DKN507" s="325"/>
      <c r="DKO507" s="325"/>
      <c r="DKP507" s="325"/>
      <c r="DKQ507" s="325"/>
      <c r="DKR507" s="325"/>
      <c r="DKS507" s="325"/>
      <c r="DKT507" s="325"/>
      <c r="DKU507" s="327"/>
      <c r="DKV507" s="28"/>
      <c r="DKW507" s="324"/>
      <c r="DKX507" s="324"/>
      <c r="DKY507" s="324"/>
      <c r="DKZ507" s="324"/>
      <c r="DLA507" s="324"/>
      <c r="DLB507" s="324"/>
      <c r="DLC507" s="256"/>
      <c r="DLD507" s="325"/>
      <c r="DLE507" s="311"/>
      <c r="DLF507" s="325"/>
      <c r="DLG507" s="310"/>
      <c r="DLH507" s="325"/>
      <c r="DLI507" s="325"/>
      <c r="DLJ507" s="325"/>
      <c r="DLK507" s="325"/>
      <c r="DLL507" s="325"/>
      <c r="DLM507" s="325"/>
      <c r="DLN507" s="325"/>
      <c r="DLO507" s="325"/>
      <c r="DLP507" s="325"/>
      <c r="DLQ507" s="325"/>
      <c r="DLR507" s="325"/>
      <c r="DLS507" s="325"/>
      <c r="DLT507" s="325"/>
      <c r="DLU507" s="325"/>
      <c r="DLV507" s="325"/>
      <c r="DLW507" s="325"/>
      <c r="DLX507" s="325"/>
      <c r="DLY507" s="325"/>
      <c r="DLZ507" s="325"/>
      <c r="DMA507" s="325"/>
      <c r="DMB507" s="325"/>
      <c r="DMC507" s="325"/>
      <c r="DMD507" s="325"/>
      <c r="DME507" s="325"/>
      <c r="DMF507" s="325"/>
      <c r="DMG507" s="325"/>
      <c r="DMH507" s="325"/>
      <c r="DMI507" s="325"/>
      <c r="DMJ507" s="325"/>
      <c r="DMK507" s="325"/>
      <c r="DML507" s="327"/>
      <c r="DMM507" s="28"/>
      <c r="DMN507" s="324"/>
      <c r="DMO507" s="324"/>
      <c r="DMP507" s="324"/>
      <c r="DMQ507" s="324"/>
      <c r="DMR507" s="324"/>
      <c r="DMS507" s="324"/>
      <c r="DMT507" s="256"/>
      <c r="DMU507" s="325"/>
      <c r="DMV507" s="311"/>
      <c r="DMW507" s="325"/>
      <c r="DMX507" s="310"/>
      <c r="DMY507" s="325"/>
      <c r="DMZ507" s="325"/>
      <c r="DNA507" s="325"/>
      <c r="DNB507" s="325"/>
      <c r="DNC507" s="325"/>
      <c r="DND507" s="325"/>
      <c r="DNE507" s="325"/>
      <c r="DNF507" s="325"/>
      <c r="DNG507" s="325"/>
      <c r="DNH507" s="325"/>
      <c r="DNI507" s="325"/>
      <c r="DNJ507" s="325"/>
      <c r="DNK507" s="325"/>
      <c r="DNL507" s="325"/>
      <c r="DNM507" s="325"/>
      <c r="DNN507" s="325"/>
      <c r="DNO507" s="325"/>
      <c r="DNP507" s="325"/>
      <c r="DNQ507" s="325"/>
      <c r="DNR507" s="325"/>
      <c r="DNS507" s="325"/>
      <c r="DNT507" s="325"/>
      <c r="DNU507" s="325"/>
      <c r="DNV507" s="325"/>
      <c r="DNW507" s="325"/>
      <c r="DNX507" s="325"/>
      <c r="DNY507" s="325"/>
      <c r="DNZ507" s="325"/>
      <c r="DOA507" s="325"/>
      <c r="DOB507" s="325"/>
      <c r="DOC507" s="327"/>
      <c r="DOD507" s="28"/>
      <c r="DOE507" s="324"/>
      <c r="DOF507" s="324"/>
      <c r="DOG507" s="324"/>
      <c r="DOH507" s="324"/>
      <c r="DOI507" s="324"/>
      <c r="DOJ507" s="324"/>
      <c r="DOK507" s="256"/>
      <c r="DOL507" s="325"/>
      <c r="DOM507" s="311"/>
      <c r="DON507" s="325"/>
      <c r="DOO507" s="310"/>
      <c r="DOP507" s="325"/>
      <c r="DOQ507" s="325"/>
      <c r="DOR507" s="325"/>
      <c r="DOS507" s="325"/>
      <c r="DOT507" s="325"/>
      <c r="DOU507" s="325"/>
      <c r="DOV507" s="325"/>
      <c r="DOW507" s="325"/>
      <c r="DOX507" s="325"/>
      <c r="DOY507" s="325"/>
      <c r="DOZ507" s="325"/>
      <c r="DPA507" s="325"/>
      <c r="DPB507" s="325"/>
      <c r="DPC507" s="325"/>
      <c r="DPD507" s="325"/>
      <c r="DPE507" s="325"/>
      <c r="DPF507" s="325"/>
      <c r="DPG507" s="325"/>
      <c r="DPH507" s="325"/>
      <c r="DPI507" s="325"/>
      <c r="DPJ507" s="325"/>
      <c r="DPK507" s="325"/>
      <c r="DPL507" s="325"/>
      <c r="DPM507" s="325"/>
      <c r="DPN507" s="325"/>
      <c r="DPO507" s="325"/>
      <c r="DPP507" s="325"/>
      <c r="DPQ507" s="325"/>
      <c r="DPR507" s="325"/>
      <c r="DPS507" s="325"/>
      <c r="DPT507" s="327"/>
      <c r="DPU507" s="28"/>
      <c r="DPV507" s="324"/>
      <c r="DPW507" s="324"/>
      <c r="DPX507" s="324"/>
      <c r="DPY507" s="324"/>
      <c r="DPZ507" s="324"/>
      <c r="DQA507" s="324"/>
      <c r="DQB507" s="256"/>
      <c r="DQC507" s="325"/>
      <c r="DQD507" s="311"/>
      <c r="DQE507" s="325"/>
      <c r="DQF507" s="310"/>
      <c r="DQG507" s="325"/>
      <c r="DQH507" s="325"/>
      <c r="DQI507" s="325"/>
      <c r="DQJ507" s="325"/>
      <c r="DQK507" s="325"/>
      <c r="DQL507" s="325"/>
      <c r="DQM507" s="325"/>
      <c r="DQN507" s="325"/>
      <c r="DQO507" s="325"/>
      <c r="DQP507" s="325"/>
      <c r="DQQ507" s="325"/>
      <c r="DQR507" s="325"/>
      <c r="DQS507" s="325"/>
      <c r="DQT507" s="325"/>
      <c r="DQU507" s="325"/>
      <c r="DQV507" s="325"/>
      <c r="DQW507" s="325"/>
      <c r="DQX507" s="325"/>
      <c r="DQY507" s="325"/>
      <c r="DQZ507" s="325"/>
      <c r="DRA507" s="325"/>
      <c r="DRB507" s="325"/>
      <c r="DRC507" s="325"/>
      <c r="DRD507" s="325"/>
      <c r="DRE507" s="325"/>
      <c r="DRF507" s="325"/>
      <c r="DRG507" s="325"/>
      <c r="DRH507" s="325"/>
      <c r="DRI507" s="325"/>
      <c r="DRJ507" s="325"/>
      <c r="DRK507" s="327"/>
      <c r="DRL507" s="28"/>
      <c r="DRM507" s="324"/>
      <c r="DRN507" s="324"/>
      <c r="DRO507" s="324"/>
      <c r="DRP507" s="324"/>
      <c r="DRQ507" s="324"/>
      <c r="DRR507" s="324"/>
      <c r="DRS507" s="256"/>
      <c r="DRT507" s="325"/>
      <c r="DRU507" s="311"/>
      <c r="DRV507" s="325"/>
      <c r="DRW507" s="310"/>
      <c r="DRX507" s="325"/>
      <c r="DRY507" s="325"/>
      <c r="DRZ507" s="325"/>
      <c r="DSA507" s="325"/>
      <c r="DSB507" s="325"/>
      <c r="DSC507" s="325"/>
      <c r="DSD507" s="325"/>
      <c r="DSE507" s="325"/>
      <c r="DSF507" s="325"/>
      <c r="DSG507" s="325"/>
      <c r="DSH507" s="325"/>
      <c r="DSI507" s="325"/>
      <c r="DSJ507" s="325"/>
      <c r="DSK507" s="325"/>
      <c r="DSL507" s="325"/>
      <c r="DSM507" s="325"/>
      <c r="DSN507" s="325"/>
      <c r="DSO507" s="325"/>
      <c r="DSP507" s="325"/>
      <c r="DSQ507" s="325"/>
      <c r="DSR507" s="325"/>
      <c r="DSS507" s="325"/>
      <c r="DST507" s="325"/>
      <c r="DSU507" s="325"/>
      <c r="DSV507" s="325"/>
      <c r="DSW507" s="325"/>
      <c r="DSX507" s="325"/>
      <c r="DSY507" s="325"/>
      <c r="DSZ507" s="325"/>
      <c r="DTA507" s="325"/>
      <c r="DTB507" s="327"/>
      <c r="DTC507" s="28"/>
      <c r="DTD507" s="324"/>
      <c r="DTE507" s="324"/>
      <c r="DTF507" s="324"/>
      <c r="DTG507" s="324"/>
      <c r="DTH507" s="324"/>
      <c r="DTI507" s="324"/>
      <c r="DTJ507" s="256"/>
      <c r="DTK507" s="325"/>
      <c r="DTL507" s="311"/>
      <c r="DTM507" s="325"/>
      <c r="DTN507" s="310"/>
      <c r="DTO507" s="325"/>
      <c r="DTP507" s="325"/>
      <c r="DTQ507" s="325"/>
      <c r="DTR507" s="325"/>
      <c r="DTS507" s="325"/>
      <c r="DTT507" s="325"/>
      <c r="DTU507" s="325"/>
      <c r="DTV507" s="325"/>
      <c r="DTW507" s="325"/>
      <c r="DTX507" s="325"/>
      <c r="DTY507" s="325"/>
      <c r="DTZ507" s="325"/>
      <c r="DUA507" s="325"/>
      <c r="DUB507" s="325"/>
      <c r="DUC507" s="325"/>
      <c r="DUD507" s="325"/>
      <c r="DUE507" s="325"/>
      <c r="DUF507" s="325"/>
      <c r="DUG507" s="325"/>
      <c r="DUH507" s="325"/>
      <c r="DUI507" s="325"/>
      <c r="DUJ507" s="325"/>
      <c r="DUK507" s="325"/>
      <c r="DUL507" s="325"/>
      <c r="DUM507" s="325"/>
      <c r="DUN507" s="325"/>
      <c r="DUO507" s="325"/>
      <c r="DUP507" s="325"/>
      <c r="DUQ507" s="325"/>
      <c r="DUR507" s="325"/>
      <c r="DUS507" s="327"/>
      <c r="DUT507" s="28"/>
      <c r="DUU507" s="324"/>
      <c r="DUV507" s="324"/>
      <c r="DUW507" s="324"/>
      <c r="DUX507" s="324"/>
      <c r="DUY507" s="324"/>
      <c r="DUZ507" s="324"/>
      <c r="DVA507" s="256"/>
      <c r="DVB507" s="325"/>
      <c r="DVC507" s="311"/>
      <c r="DVD507" s="325"/>
      <c r="DVE507" s="310"/>
      <c r="DVF507" s="325"/>
      <c r="DVG507" s="325"/>
      <c r="DVH507" s="325"/>
      <c r="DVI507" s="325"/>
      <c r="DVJ507" s="325"/>
      <c r="DVK507" s="325"/>
      <c r="DVL507" s="325"/>
      <c r="DVM507" s="325"/>
      <c r="DVN507" s="325"/>
      <c r="DVO507" s="325"/>
      <c r="DVP507" s="325"/>
      <c r="DVQ507" s="325"/>
      <c r="DVR507" s="325"/>
      <c r="DVS507" s="325"/>
      <c r="DVT507" s="325"/>
      <c r="DVU507" s="325"/>
      <c r="DVV507" s="325"/>
      <c r="DVW507" s="325"/>
      <c r="DVX507" s="325"/>
      <c r="DVY507" s="325"/>
      <c r="DVZ507" s="325"/>
      <c r="DWA507" s="325"/>
      <c r="DWB507" s="325"/>
      <c r="DWC507" s="325"/>
      <c r="DWD507" s="325"/>
      <c r="DWE507" s="325"/>
      <c r="DWF507" s="325"/>
      <c r="DWG507" s="325"/>
      <c r="DWH507" s="325"/>
      <c r="DWI507" s="325"/>
      <c r="DWJ507" s="327"/>
      <c r="DWK507" s="28"/>
      <c r="DWL507" s="324"/>
      <c r="DWM507" s="324"/>
      <c r="DWN507" s="324"/>
      <c r="DWO507" s="324"/>
      <c r="DWP507" s="324"/>
      <c r="DWQ507" s="324"/>
      <c r="DWR507" s="256"/>
      <c r="DWS507" s="325"/>
      <c r="DWT507" s="311"/>
      <c r="DWU507" s="325"/>
      <c r="DWV507" s="310"/>
      <c r="DWW507" s="325"/>
      <c r="DWX507" s="325"/>
      <c r="DWY507" s="325"/>
      <c r="DWZ507" s="325"/>
      <c r="DXA507" s="325"/>
      <c r="DXB507" s="325"/>
      <c r="DXC507" s="325"/>
      <c r="DXD507" s="325"/>
      <c r="DXE507" s="325"/>
      <c r="DXF507" s="325"/>
      <c r="DXG507" s="325"/>
      <c r="DXH507" s="325"/>
      <c r="DXI507" s="325"/>
      <c r="DXJ507" s="325"/>
      <c r="DXK507" s="325"/>
      <c r="DXL507" s="325"/>
      <c r="DXM507" s="325"/>
      <c r="DXN507" s="325"/>
      <c r="DXO507" s="325"/>
      <c r="DXP507" s="325"/>
      <c r="DXQ507" s="325"/>
      <c r="DXR507" s="325"/>
      <c r="DXS507" s="325"/>
      <c r="DXT507" s="325"/>
      <c r="DXU507" s="325"/>
      <c r="DXV507" s="325"/>
      <c r="DXW507" s="325"/>
      <c r="DXX507" s="325"/>
      <c r="DXY507" s="325"/>
      <c r="DXZ507" s="325"/>
      <c r="DYA507" s="327"/>
      <c r="DYB507" s="28"/>
      <c r="DYC507" s="324"/>
      <c r="DYD507" s="324"/>
      <c r="DYE507" s="324"/>
      <c r="DYF507" s="324"/>
      <c r="DYG507" s="324"/>
      <c r="DYH507" s="324"/>
      <c r="DYI507" s="256"/>
      <c r="DYJ507" s="325"/>
      <c r="DYK507" s="311"/>
      <c r="DYL507" s="325"/>
      <c r="DYM507" s="310"/>
      <c r="DYN507" s="325"/>
      <c r="DYO507" s="325"/>
      <c r="DYP507" s="325"/>
      <c r="DYQ507" s="325"/>
      <c r="DYR507" s="325"/>
      <c r="DYS507" s="325"/>
      <c r="DYT507" s="325"/>
      <c r="DYU507" s="325"/>
      <c r="DYV507" s="325"/>
      <c r="DYW507" s="325"/>
      <c r="DYX507" s="325"/>
      <c r="DYY507" s="325"/>
      <c r="DYZ507" s="325"/>
      <c r="DZA507" s="325"/>
      <c r="DZB507" s="325"/>
      <c r="DZC507" s="325"/>
      <c r="DZD507" s="325"/>
      <c r="DZE507" s="325"/>
      <c r="DZF507" s="325"/>
      <c r="DZG507" s="325"/>
      <c r="DZH507" s="325"/>
      <c r="DZI507" s="325"/>
      <c r="DZJ507" s="325"/>
      <c r="DZK507" s="325"/>
      <c r="DZL507" s="325"/>
      <c r="DZM507" s="325"/>
      <c r="DZN507" s="325"/>
      <c r="DZO507" s="325"/>
      <c r="DZP507" s="325"/>
      <c r="DZQ507" s="325"/>
      <c r="DZR507" s="327"/>
      <c r="DZS507" s="28"/>
      <c r="DZT507" s="324"/>
      <c r="DZU507" s="324"/>
      <c r="DZV507" s="324"/>
      <c r="DZW507" s="324"/>
      <c r="DZX507" s="324"/>
      <c r="DZY507" s="324"/>
      <c r="DZZ507" s="256"/>
      <c r="EAA507" s="325"/>
      <c r="EAB507" s="311"/>
      <c r="EAC507" s="325"/>
      <c r="EAD507" s="310"/>
      <c r="EAE507" s="325"/>
      <c r="EAF507" s="325"/>
      <c r="EAG507" s="325"/>
      <c r="EAH507" s="325"/>
      <c r="EAI507" s="325"/>
      <c r="EAJ507" s="325"/>
      <c r="EAK507" s="325"/>
      <c r="EAL507" s="325"/>
      <c r="EAM507" s="325"/>
      <c r="EAN507" s="325"/>
      <c r="EAO507" s="325"/>
      <c r="EAP507" s="325"/>
      <c r="EAQ507" s="325"/>
      <c r="EAR507" s="325"/>
      <c r="EAS507" s="325"/>
      <c r="EAT507" s="325"/>
      <c r="EAU507" s="325"/>
      <c r="EAV507" s="325"/>
      <c r="EAW507" s="325"/>
      <c r="EAX507" s="325"/>
      <c r="EAY507" s="325"/>
      <c r="EAZ507" s="325"/>
      <c r="EBA507" s="325"/>
      <c r="EBB507" s="325"/>
      <c r="EBC507" s="325"/>
      <c r="EBD507" s="325"/>
      <c r="EBE507" s="325"/>
      <c r="EBF507" s="325"/>
      <c r="EBG507" s="325"/>
      <c r="EBH507" s="325"/>
      <c r="EBI507" s="327"/>
      <c r="EBJ507" s="28"/>
      <c r="EBK507" s="324"/>
      <c r="EBL507" s="324"/>
      <c r="EBM507" s="324"/>
      <c r="EBN507" s="324"/>
      <c r="EBO507" s="324"/>
      <c r="EBP507" s="324"/>
      <c r="EBQ507" s="256"/>
      <c r="EBR507" s="325"/>
      <c r="EBS507" s="311"/>
      <c r="EBT507" s="325"/>
      <c r="EBU507" s="310"/>
      <c r="EBV507" s="325"/>
      <c r="EBW507" s="325"/>
      <c r="EBX507" s="325"/>
      <c r="EBY507" s="325"/>
      <c r="EBZ507" s="325"/>
      <c r="ECA507" s="325"/>
      <c r="ECB507" s="325"/>
      <c r="ECC507" s="325"/>
      <c r="ECD507" s="325"/>
      <c r="ECE507" s="325"/>
      <c r="ECF507" s="325"/>
      <c r="ECG507" s="325"/>
      <c r="ECH507" s="325"/>
      <c r="ECI507" s="325"/>
      <c r="ECJ507" s="325"/>
      <c r="ECK507" s="325"/>
      <c r="ECL507" s="325"/>
      <c r="ECM507" s="325"/>
      <c r="ECN507" s="325"/>
      <c r="ECO507" s="325"/>
      <c r="ECP507" s="325"/>
      <c r="ECQ507" s="325"/>
      <c r="ECR507" s="325"/>
      <c r="ECS507" s="325"/>
      <c r="ECT507" s="325"/>
      <c r="ECU507" s="325"/>
      <c r="ECV507" s="325"/>
      <c r="ECW507" s="325"/>
      <c r="ECX507" s="325"/>
      <c r="ECY507" s="325"/>
      <c r="ECZ507" s="327"/>
      <c r="EDA507" s="28"/>
      <c r="EDB507" s="324"/>
      <c r="EDC507" s="324"/>
      <c r="EDD507" s="324"/>
      <c r="EDE507" s="324"/>
      <c r="EDF507" s="324"/>
      <c r="EDG507" s="324"/>
      <c r="EDH507" s="256"/>
      <c r="EDI507" s="325"/>
      <c r="EDJ507" s="311"/>
      <c r="EDK507" s="325"/>
      <c r="EDL507" s="310"/>
      <c r="EDM507" s="325"/>
      <c r="EDN507" s="325"/>
      <c r="EDO507" s="325"/>
      <c r="EDP507" s="325"/>
      <c r="EDQ507" s="325"/>
      <c r="EDR507" s="325"/>
      <c r="EDS507" s="325"/>
      <c r="EDT507" s="325"/>
      <c r="EDU507" s="325"/>
      <c r="EDV507" s="325"/>
      <c r="EDW507" s="325"/>
      <c r="EDX507" s="325"/>
      <c r="EDY507" s="325"/>
      <c r="EDZ507" s="325"/>
      <c r="EEA507" s="325"/>
      <c r="EEB507" s="325"/>
      <c r="EEC507" s="325"/>
      <c r="EED507" s="325"/>
      <c r="EEE507" s="325"/>
      <c r="EEF507" s="325"/>
      <c r="EEG507" s="325"/>
      <c r="EEH507" s="325"/>
      <c r="EEI507" s="325"/>
      <c r="EEJ507" s="325"/>
      <c r="EEK507" s="325"/>
      <c r="EEL507" s="325"/>
      <c r="EEM507" s="325"/>
      <c r="EEN507" s="325"/>
      <c r="EEO507" s="325"/>
      <c r="EEP507" s="325"/>
      <c r="EEQ507" s="327"/>
      <c r="EER507" s="28"/>
      <c r="EES507" s="324"/>
      <c r="EET507" s="324"/>
      <c r="EEU507" s="324"/>
      <c r="EEV507" s="324"/>
      <c r="EEW507" s="324"/>
      <c r="EEX507" s="324"/>
      <c r="EEY507" s="256"/>
      <c r="EEZ507" s="325"/>
      <c r="EFA507" s="311"/>
      <c r="EFB507" s="325"/>
      <c r="EFC507" s="310"/>
      <c r="EFD507" s="325"/>
      <c r="EFE507" s="325"/>
      <c r="EFF507" s="325"/>
      <c r="EFG507" s="325"/>
      <c r="EFH507" s="325"/>
      <c r="EFI507" s="325"/>
      <c r="EFJ507" s="325"/>
      <c r="EFK507" s="325"/>
      <c r="EFL507" s="325"/>
      <c r="EFM507" s="325"/>
      <c r="EFN507" s="325"/>
      <c r="EFO507" s="325"/>
      <c r="EFP507" s="325"/>
      <c r="EFQ507" s="325"/>
      <c r="EFR507" s="325"/>
      <c r="EFS507" s="325"/>
      <c r="EFT507" s="325"/>
      <c r="EFU507" s="325"/>
      <c r="EFV507" s="325"/>
      <c r="EFW507" s="325"/>
      <c r="EFX507" s="325"/>
      <c r="EFY507" s="325"/>
      <c r="EFZ507" s="325"/>
      <c r="EGA507" s="325"/>
      <c r="EGB507" s="325"/>
      <c r="EGC507" s="325"/>
      <c r="EGD507" s="325"/>
      <c r="EGE507" s="325"/>
      <c r="EGF507" s="325"/>
      <c r="EGG507" s="325"/>
      <c r="EGH507" s="327"/>
      <c r="EGI507" s="28"/>
      <c r="EGJ507" s="324"/>
      <c r="EGK507" s="324"/>
      <c r="EGL507" s="324"/>
      <c r="EGM507" s="324"/>
      <c r="EGN507" s="324"/>
      <c r="EGO507" s="324"/>
      <c r="EGP507" s="256"/>
      <c r="EGQ507" s="325"/>
      <c r="EGR507" s="311"/>
      <c r="EGS507" s="325"/>
      <c r="EGT507" s="310"/>
      <c r="EGU507" s="325"/>
      <c r="EGV507" s="325"/>
      <c r="EGW507" s="325"/>
      <c r="EGX507" s="325"/>
      <c r="EGY507" s="325"/>
      <c r="EGZ507" s="325"/>
      <c r="EHA507" s="325"/>
      <c r="EHB507" s="325"/>
      <c r="EHC507" s="325"/>
      <c r="EHD507" s="325"/>
      <c r="EHE507" s="325"/>
      <c r="EHF507" s="325"/>
      <c r="EHG507" s="325"/>
      <c r="EHH507" s="325"/>
      <c r="EHI507" s="325"/>
      <c r="EHJ507" s="325"/>
      <c r="EHK507" s="325"/>
      <c r="EHL507" s="325"/>
      <c r="EHM507" s="325"/>
      <c r="EHN507" s="325"/>
      <c r="EHO507" s="325"/>
      <c r="EHP507" s="325"/>
      <c r="EHQ507" s="325"/>
      <c r="EHR507" s="325"/>
      <c r="EHS507" s="325"/>
      <c r="EHT507" s="325"/>
      <c r="EHU507" s="325"/>
      <c r="EHV507" s="325"/>
      <c r="EHW507" s="325"/>
      <c r="EHX507" s="325"/>
      <c r="EHY507" s="327"/>
      <c r="EHZ507" s="28"/>
      <c r="EIA507" s="324"/>
      <c r="EIB507" s="324"/>
      <c r="EIC507" s="324"/>
      <c r="EID507" s="324"/>
      <c r="EIE507" s="324"/>
      <c r="EIF507" s="324"/>
      <c r="EIG507" s="256"/>
      <c r="EIH507" s="325"/>
      <c r="EII507" s="311"/>
      <c r="EIJ507" s="325"/>
      <c r="EIK507" s="310"/>
      <c r="EIL507" s="325"/>
      <c r="EIM507" s="325"/>
      <c r="EIN507" s="325"/>
      <c r="EIO507" s="325"/>
      <c r="EIP507" s="325"/>
      <c r="EIQ507" s="325"/>
      <c r="EIR507" s="325"/>
      <c r="EIS507" s="325"/>
      <c r="EIT507" s="325"/>
      <c r="EIU507" s="325"/>
      <c r="EIV507" s="325"/>
      <c r="EIW507" s="325"/>
      <c r="EIX507" s="325"/>
      <c r="EIY507" s="325"/>
      <c r="EIZ507" s="325"/>
      <c r="EJA507" s="325"/>
      <c r="EJB507" s="325"/>
      <c r="EJC507" s="325"/>
      <c r="EJD507" s="325"/>
      <c r="EJE507" s="325"/>
      <c r="EJF507" s="325"/>
      <c r="EJG507" s="325"/>
      <c r="EJH507" s="325"/>
      <c r="EJI507" s="325"/>
      <c r="EJJ507" s="325"/>
      <c r="EJK507" s="325"/>
      <c r="EJL507" s="325"/>
      <c r="EJM507" s="325"/>
      <c r="EJN507" s="325"/>
      <c r="EJO507" s="325"/>
      <c r="EJP507" s="327"/>
      <c r="EJQ507" s="28"/>
      <c r="EJR507" s="324"/>
      <c r="EJS507" s="324"/>
      <c r="EJT507" s="324"/>
      <c r="EJU507" s="324"/>
      <c r="EJV507" s="324"/>
      <c r="EJW507" s="324"/>
      <c r="EJX507" s="256"/>
      <c r="EJY507" s="325"/>
      <c r="EJZ507" s="311"/>
      <c r="EKA507" s="325"/>
      <c r="EKB507" s="310"/>
      <c r="EKC507" s="325"/>
      <c r="EKD507" s="325"/>
      <c r="EKE507" s="325"/>
      <c r="EKF507" s="325"/>
      <c r="EKG507" s="325"/>
      <c r="EKH507" s="325"/>
      <c r="EKI507" s="325"/>
      <c r="EKJ507" s="325"/>
      <c r="EKK507" s="325"/>
      <c r="EKL507" s="325"/>
      <c r="EKM507" s="325"/>
      <c r="EKN507" s="325"/>
      <c r="EKO507" s="325"/>
      <c r="EKP507" s="325"/>
      <c r="EKQ507" s="325"/>
      <c r="EKR507" s="325"/>
      <c r="EKS507" s="325"/>
      <c r="EKT507" s="325"/>
      <c r="EKU507" s="325"/>
      <c r="EKV507" s="325"/>
      <c r="EKW507" s="325"/>
      <c r="EKX507" s="325"/>
      <c r="EKY507" s="325"/>
      <c r="EKZ507" s="325"/>
      <c r="ELA507" s="325"/>
      <c r="ELB507" s="325"/>
      <c r="ELC507" s="325"/>
      <c r="ELD507" s="325"/>
      <c r="ELE507" s="325"/>
      <c r="ELF507" s="325"/>
      <c r="ELG507" s="327"/>
      <c r="ELH507" s="28"/>
      <c r="ELI507" s="324"/>
      <c r="ELJ507" s="324"/>
      <c r="ELK507" s="324"/>
      <c r="ELL507" s="324"/>
      <c r="ELM507" s="324"/>
      <c r="ELN507" s="324"/>
      <c r="ELO507" s="256"/>
      <c r="ELP507" s="325"/>
      <c r="ELQ507" s="311"/>
      <c r="ELR507" s="325"/>
      <c r="ELS507" s="310"/>
      <c r="ELT507" s="325"/>
      <c r="ELU507" s="325"/>
      <c r="ELV507" s="325"/>
      <c r="ELW507" s="325"/>
      <c r="ELX507" s="325"/>
      <c r="ELY507" s="325"/>
      <c r="ELZ507" s="325"/>
      <c r="EMA507" s="325"/>
      <c r="EMB507" s="325"/>
      <c r="EMC507" s="325"/>
      <c r="EMD507" s="325"/>
      <c r="EME507" s="325"/>
      <c r="EMF507" s="325"/>
      <c r="EMG507" s="325"/>
      <c r="EMH507" s="325"/>
      <c r="EMI507" s="325"/>
      <c r="EMJ507" s="325"/>
      <c r="EMK507" s="325"/>
      <c r="EML507" s="325"/>
      <c r="EMM507" s="325"/>
      <c r="EMN507" s="325"/>
      <c r="EMO507" s="325"/>
      <c r="EMP507" s="325"/>
      <c r="EMQ507" s="325"/>
      <c r="EMR507" s="325"/>
      <c r="EMS507" s="325"/>
      <c r="EMT507" s="325"/>
      <c r="EMU507" s="325"/>
      <c r="EMV507" s="325"/>
      <c r="EMW507" s="325"/>
      <c r="EMX507" s="327"/>
      <c r="EMY507" s="28"/>
      <c r="EMZ507" s="324"/>
      <c r="ENA507" s="324"/>
      <c r="ENB507" s="324"/>
      <c r="ENC507" s="324"/>
      <c r="END507" s="324"/>
      <c r="ENE507" s="324"/>
      <c r="ENF507" s="256"/>
      <c r="ENG507" s="325"/>
      <c r="ENH507" s="311"/>
      <c r="ENI507" s="325"/>
      <c r="ENJ507" s="310"/>
      <c r="ENK507" s="325"/>
      <c r="ENL507" s="325"/>
      <c r="ENM507" s="325"/>
      <c r="ENN507" s="325"/>
      <c r="ENO507" s="325"/>
      <c r="ENP507" s="325"/>
      <c r="ENQ507" s="325"/>
      <c r="ENR507" s="325"/>
      <c r="ENS507" s="325"/>
      <c r="ENT507" s="325"/>
      <c r="ENU507" s="325"/>
      <c r="ENV507" s="325"/>
      <c r="ENW507" s="325"/>
      <c r="ENX507" s="325"/>
      <c r="ENY507" s="325"/>
      <c r="ENZ507" s="325"/>
      <c r="EOA507" s="325"/>
      <c r="EOB507" s="325"/>
      <c r="EOC507" s="325"/>
      <c r="EOD507" s="325"/>
      <c r="EOE507" s="325"/>
      <c r="EOF507" s="325"/>
      <c r="EOG507" s="325"/>
      <c r="EOH507" s="325"/>
      <c r="EOI507" s="325"/>
      <c r="EOJ507" s="325"/>
      <c r="EOK507" s="325"/>
      <c r="EOL507" s="325"/>
      <c r="EOM507" s="325"/>
      <c r="EON507" s="325"/>
      <c r="EOO507" s="327"/>
      <c r="EOP507" s="28"/>
      <c r="EOQ507" s="324"/>
      <c r="EOR507" s="324"/>
      <c r="EOS507" s="324"/>
      <c r="EOT507" s="324"/>
      <c r="EOU507" s="324"/>
      <c r="EOV507" s="324"/>
      <c r="EOW507" s="256"/>
      <c r="EOX507" s="325"/>
      <c r="EOY507" s="311"/>
      <c r="EOZ507" s="325"/>
      <c r="EPA507" s="310"/>
      <c r="EPB507" s="325"/>
      <c r="EPC507" s="325"/>
      <c r="EPD507" s="325"/>
      <c r="EPE507" s="325"/>
      <c r="EPF507" s="325"/>
      <c r="EPG507" s="325"/>
      <c r="EPH507" s="325"/>
      <c r="EPI507" s="325"/>
      <c r="EPJ507" s="325"/>
      <c r="EPK507" s="325"/>
      <c r="EPL507" s="325"/>
      <c r="EPM507" s="325"/>
      <c r="EPN507" s="325"/>
      <c r="EPO507" s="325"/>
      <c r="EPP507" s="325"/>
      <c r="EPQ507" s="325"/>
      <c r="EPR507" s="325"/>
      <c r="EPS507" s="325"/>
      <c r="EPT507" s="325"/>
      <c r="EPU507" s="325"/>
      <c r="EPV507" s="325"/>
      <c r="EPW507" s="325"/>
      <c r="EPX507" s="325"/>
      <c r="EPY507" s="325"/>
      <c r="EPZ507" s="325"/>
      <c r="EQA507" s="325"/>
      <c r="EQB507" s="325"/>
      <c r="EQC507" s="325"/>
      <c r="EQD507" s="325"/>
      <c r="EQE507" s="325"/>
      <c r="EQF507" s="327"/>
      <c r="EQG507" s="28"/>
      <c r="EQH507" s="324"/>
      <c r="EQI507" s="324"/>
      <c r="EQJ507" s="324"/>
      <c r="EQK507" s="324"/>
      <c r="EQL507" s="324"/>
      <c r="EQM507" s="324"/>
      <c r="EQN507" s="256"/>
      <c r="EQO507" s="325"/>
      <c r="EQP507" s="311"/>
      <c r="EQQ507" s="325"/>
      <c r="EQR507" s="310"/>
      <c r="EQS507" s="325"/>
      <c r="EQT507" s="325"/>
      <c r="EQU507" s="325"/>
      <c r="EQV507" s="325"/>
      <c r="EQW507" s="325"/>
      <c r="EQX507" s="325"/>
      <c r="EQY507" s="325"/>
      <c r="EQZ507" s="325"/>
      <c r="ERA507" s="325"/>
      <c r="ERB507" s="325"/>
      <c r="ERC507" s="325"/>
      <c r="ERD507" s="325"/>
      <c r="ERE507" s="325"/>
      <c r="ERF507" s="325"/>
      <c r="ERG507" s="325"/>
      <c r="ERH507" s="325"/>
      <c r="ERI507" s="325"/>
      <c r="ERJ507" s="325"/>
      <c r="ERK507" s="325"/>
      <c r="ERL507" s="325"/>
      <c r="ERM507" s="325"/>
      <c r="ERN507" s="325"/>
      <c r="ERO507" s="325"/>
      <c r="ERP507" s="325"/>
      <c r="ERQ507" s="325"/>
      <c r="ERR507" s="325"/>
      <c r="ERS507" s="325"/>
      <c r="ERT507" s="325"/>
      <c r="ERU507" s="325"/>
      <c r="ERV507" s="325"/>
      <c r="ERW507" s="327"/>
      <c r="ERX507" s="28"/>
      <c r="ERY507" s="324"/>
      <c r="ERZ507" s="324"/>
      <c r="ESA507" s="324"/>
      <c r="ESB507" s="324"/>
      <c r="ESC507" s="324"/>
      <c r="ESD507" s="324"/>
      <c r="ESE507" s="256"/>
      <c r="ESF507" s="325"/>
      <c r="ESG507" s="311"/>
      <c r="ESH507" s="325"/>
      <c r="ESI507" s="310"/>
      <c r="ESJ507" s="325"/>
      <c r="ESK507" s="325"/>
      <c r="ESL507" s="325"/>
      <c r="ESM507" s="325"/>
      <c r="ESN507" s="325"/>
      <c r="ESO507" s="325"/>
      <c r="ESP507" s="325"/>
      <c r="ESQ507" s="325"/>
      <c r="ESR507" s="325"/>
      <c r="ESS507" s="325"/>
      <c r="EST507" s="325"/>
      <c r="ESU507" s="325"/>
      <c r="ESV507" s="325"/>
      <c r="ESW507" s="325"/>
      <c r="ESX507" s="325"/>
      <c r="ESY507" s="325"/>
      <c r="ESZ507" s="325"/>
      <c r="ETA507" s="325"/>
      <c r="ETB507" s="325"/>
      <c r="ETC507" s="325"/>
      <c r="ETD507" s="325"/>
      <c r="ETE507" s="325"/>
      <c r="ETF507" s="325"/>
      <c r="ETG507" s="325"/>
      <c r="ETH507" s="325"/>
      <c r="ETI507" s="325"/>
      <c r="ETJ507" s="325"/>
      <c r="ETK507" s="325"/>
      <c r="ETL507" s="325"/>
      <c r="ETM507" s="325"/>
      <c r="ETN507" s="327"/>
      <c r="ETO507" s="28"/>
      <c r="ETP507" s="324"/>
      <c r="ETQ507" s="324"/>
      <c r="ETR507" s="324"/>
      <c r="ETS507" s="324"/>
      <c r="ETT507" s="324"/>
      <c r="ETU507" s="324"/>
      <c r="ETV507" s="256"/>
      <c r="ETW507" s="325"/>
      <c r="ETX507" s="311"/>
      <c r="ETY507" s="325"/>
      <c r="ETZ507" s="310"/>
      <c r="EUA507" s="325"/>
      <c r="EUB507" s="325"/>
      <c r="EUC507" s="325"/>
      <c r="EUD507" s="325"/>
      <c r="EUE507" s="325"/>
      <c r="EUF507" s="325"/>
      <c r="EUG507" s="325"/>
      <c r="EUH507" s="325"/>
      <c r="EUI507" s="325"/>
      <c r="EUJ507" s="325"/>
      <c r="EUK507" s="325"/>
      <c r="EUL507" s="325"/>
      <c r="EUM507" s="325"/>
      <c r="EUN507" s="325"/>
      <c r="EUO507" s="325"/>
      <c r="EUP507" s="325"/>
      <c r="EUQ507" s="325"/>
      <c r="EUR507" s="325"/>
      <c r="EUS507" s="325"/>
      <c r="EUT507" s="325"/>
      <c r="EUU507" s="325"/>
      <c r="EUV507" s="325"/>
      <c r="EUW507" s="325"/>
      <c r="EUX507" s="325"/>
      <c r="EUY507" s="325"/>
      <c r="EUZ507" s="325"/>
      <c r="EVA507" s="325"/>
      <c r="EVB507" s="325"/>
      <c r="EVC507" s="325"/>
      <c r="EVD507" s="325"/>
      <c r="EVE507" s="327"/>
      <c r="EVF507" s="28"/>
      <c r="EVG507" s="324"/>
      <c r="EVH507" s="324"/>
      <c r="EVI507" s="324"/>
      <c r="EVJ507" s="324"/>
      <c r="EVK507" s="324"/>
      <c r="EVL507" s="324"/>
      <c r="EVM507" s="256"/>
      <c r="EVN507" s="325"/>
      <c r="EVO507" s="311"/>
      <c r="EVP507" s="325"/>
      <c r="EVQ507" s="310"/>
      <c r="EVR507" s="325"/>
      <c r="EVS507" s="325"/>
      <c r="EVT507" s="325"/>
      <c r="EVU507" s="325"/>
      <c r="EVV507" s="325"/>
      <c r="EVW507" s="325"/>
      <c r="EVX507" s="325"/>
      <c r="EVY507" s="325"/>
      <c r="EVZ507" s="325"/>
      <c r="EWA507" s="325"/>
      <c r="EWB507" s="325"/>
      <c r="EWC507" s="325"/>
      <c r="EWD507" s="325"/>
      <c r="EWE507" s="325"/>
      <c r="EWF507" s="325"/>
      <c r="EWG507" s="325"/>
      <c r="EWH507" s="325"/>
      <c r="EWI507" s="325"/>
      <c r="EWJ507" s="325"/>
      <c r="EWK507" s="325"/>
      <c r="EWL507" s="325"/>
      <c r="EWM507" s="325"/>
      <c r="EWN507" s="325"/>
      <c r="EWO507" s="325"/>
      <c r="EWP507" s="325"/>
      <c r="EWQ507" s="325"/>
      <c r="EWR507" s="325"/>
      <c r="EWS507" s="325"/>
      <c r="EWT507" s="325"/>
      <c r="EWU507" s="325"/>
      <c r="EWV507" s="327"/>
      <c r="EWW507" s="28"/>
      <c r="EWX507" s="324"/>
      <c r="EWY507" s="324"/>
      <c r="EWZ507" s="324"/>
      <c r="EXA507" s="324"/>
      <c r="EXB507" s="324"/>
      <c r="EXC507" s="324"/>
      <c r="EXD507" s="256"/>
      <c r="EXE507" s="325"/>
      <c r="EXF507" s="311"/>
      <c r="EXG507" s="325"/>
      <c r="EXH507" s="310"/>
      <c r="EXI507" s="325"/>
      <c r="EXJ507" s="325"/>
      <c r="EXK507" s="325"/>
      <c r="EXL507" s="325"/>
      <c r="EXM507" s="325"/>
      <c r="EXN507" s="325"/>
      <c r="EXO507" s="325"/>
      <c r="EXP507" s="325"/>
      <c r="EXQ507" s="325"/>
      <c r="EXR507" s="325"/>
      <c r="EXS507" s="325"/>
      <c r="EXT507" s="325"/>
      <c r="EXU507" s="325"/>
      <c r="EXV507" s="325"/>
      <c r="EXW507" s="325"/>
      <c r="EXX507" s="325"/>
      <c r="EXY507" s="325"/>
      <c r="EXZ507" s="325"/>
      <c r="EYA507" s="325"/>
      <c r="EYB507" s="325"/>
      <c r="EYC507" s="325"/>
      <c r="EYD507" s="325"/>
      <c r="EYE507" s="325"/>
      <c r="EYF507" s="325"/>
      <c r="EYG507" s="325"/>
      <c r="EYH507" s="325"/>
      <c r="EYI507" s="325"/>
      <c r="EYJ507" s="325"/>
      <c r="EYK507" s="325"/>
      <c r="EYL507" s="325"/>
      <c r="EYM507" s="327"/>
      <c r="EYN507" s="28"/>
      <c r="EYO507" s="324"/>
      <c r="EYP507" s="324"/>
      <c r="EYQ507" s="324"/>
      <c r="EYR507" s="324"/>
      <c r="EYS507" s="324"/>
      <c r="EYT507" s="324"/>
      <c r="EYU507" s="256"/>
      <c r="EYV507" s="325"/>
      <c r="EYW507" s="311"/>
      <c r="EYX507" s="325"/>
      <c r="EYY507" s="310"/>
      <c r="EYZ507" s="325"/>
      <c r="EZA507" s="325"/>
      <c r="EZB507" s="325"/>
      <c r="EZC507" s="325"/>
      <c r="EZD507" s="325"/>
      <c r="EZE507" s="325"/>
      <c r="EZF507" s="325"/>
      <c r="EZG507" s="325"/>
      <c r="EZH507" s="325"/>
      <c r="EZI507" s="325"/>
      <c r="EZJ507" s="325"/>
      <c r="EZK507" s="325"/>
      <c r="EZL507" s="325"/>
      <c r="EZM507" s="325"/>
      <c r="EZN507" s="325"/>
      <c r="EZO507" s="325"/>
      <c r="EZP507" s="325"/>
      <c r="EZQ507" s="325"/>
      <c r="EZR507" s="325"/>
      <c r="EZS507" s="325"/>
      <c r="EZT507" s="325"/>
      <c r="EZU507" s="325"/>
      <c r="EZV507" s="325"/>
      <c r="EZW507" s="325"/>
      <c r="EZX507" s="325"/>
      <c r="EZY507" s="325"/>
      <c r="EZZ507" s="325"/>
      <c r="FAA507" s="325"/>
      <c r="FAB507" s="325"/>
      <c r="FAC507" s="325"/>
      <c r="FAD507" s="327"/>
      <c r="FAE507" s="28"/>
      <c r="FAF507" s="324"/>
      <c r="FAG507" s="324"/>
      <c r="FAH507" s="324"/>
      <c r="FAI507" s="324"/>
      <c r="FAJ507" s="324"/>
      <c r="FAK507" s="324"/>
      <c r="FAL507" s="256"/>
      <c r="FAM507" s="325"/>
      <c r="FAN507" s="311"/>
      <c r="FAO507" s="325"/>
      <c r="FAP507" s="310"/>
      <c r="FAQ507" s="325"/>
      <c r="FAR507" s="325"/>
      <c r="FAS507" s="325"/>
      <c r="FAT507" s="325"/>
      <c r="FAU507" s="325"/>
      <c r="FAV507" s="325"/>
      <c r="FAW507" s="325"/>
      <c r="FAX507" s="325"/>
      <c r="FAY507" s="325"/>
      <c r="FAZ507" s="325"/>
      <c r="FBA507" s="325"/>
      <c r="FBB507" s="325"/>
      <c r="FBC507" s="325"/>
      <c r="FBD507" s="325"/>
      <c r="FBE507" s="325"/>
      <c r="FBF507" s="325"/>
      <c r="FBG507" s="325"/>
      <c r="FBH507" s="325"/>
      <c r="FBI507" s="325"/>
      <c r="FBJ507" s="325"/>
      <c r="FBK507" s="325"/>
      <c r="FBL507" s="325"/>
      <c r="FBM507" s="325"/>
      <c r="FBN507" s="325"/>
      <c r="FBO507" s="325"/>
      <c r="FBP507" s="325"/>
      <c r="FBQ507" s="325"/>
      <c r="FBR507" s="325"/>
      <c r="FBS507" s="325"/>
      <c r="FBT507" s="325"/>
      <c r="FBU507" s="327"/>
      <c r="FBV507" s="28"/>
      <c r="FBW507" s="324"/>
      <c r="FBX507" s="324"/>
      <c r="FBY507" s="324"/>
      <c r="FBZ507" s="324"/>
      <c r="FCA507" s="324"/>
      <c r="FCB507" s="324"/>
      <c r="FCC507" s="256"/>
      <c r="FCD507" s="325"/>
      <c r="FCE507" s="311"/>
      <c r="FCF507" s="325"/>
      <c r="FCG507" s="310"/>
      <c r="FCH507" s="325"/>
      <c r="FCI507" s="325"/>
      <c r="FCJ507" s="325"/>
      <c r="FCK507" s="325"/>
      <c r="FCL507" s="325"/>
      <c r="FCM507" s="325"/>
      <c r="FCN507" s="325"/>
      <c r="FCO507" s="325"/>
      <c r="FCP507" s="325"/>
      <c r="FCQ507" s="325"/>
      <c r="FCR507" s="325"/>
      <c r="FCS507" s="325"/>
      <c r="FCT507" s="325"/>
      <c r="FCU507" s="325"/>
      <c r="FCV507" s="325"/>
      <c r="FCW507" s="325"/>
      <c r="FCX507" s="325"/>
      <c r="FCY507" s="325"/>
      <c r="FCZ507" s="325"/>
      <c r="FDA507" s="325"/>
      <c r="FDB507" s="325"/>
      <c r="FDC507" s="325"/>
      <c r="FDD507" s="325"/>
      <c r="FDE507" s="325"/>
      <c r="FDF507" s="325"/>
      <c r="FDG507" s="325"/>
      <c r="FDH507" s="325"/>
      <c r="FDI507" s="325"/>
      <c r="FDJ507" s="325"/>
      <c r="FDK507" s="325"/>
      <c r="FDL507" s="327"/>
      <c r="FDM507" s="28"/>
      <c r="FDN507" s="324"/>
      <c r="FDO507" s="324"/>
      <c r="FDP507" s="324"/>
      <c r="FDQ507" s="324"/>
      <c r="FDR507" s="324"/>
      <c r="FDS507" s="324"/>
      <c r="FDT507" s="256"/>
      <c r="FDU507" s="325"/>
      <c r="FDV507" s="311"/>
      <c r="FDW507" s="325"/>
      <c r="FDX507" s="310"/>
      <c r="FDY507" s="325"/>
      <c r="FDZ507" s="325"/>
      <c r="FEA507" s="325"/>
      <c r="FEB507" s="325"/>
      <c r="FEC507" s="325"/>
      <c r="FED507" s="325"/>
      <c r="FEE507" s="325"/>
      <c r="FEF507" s="325"/>
      <c r="FEG507" s="325"/>
      <c r="FEH507" s="325"/>
      <c r="FEI507" s="325"/>
      <c r="FEJ507" s="325"/>
      <c r="FEK507" s="325"/>
      <c r="FEL507" s="325"/>
      <c r="FEM507" s="325"/>
      <c r="FEN507" s="325"/>
      <c r="FEO507" s="325"/>
      <c r="FEP507" s="325"/>
      <c r="FEQ507" s="325"/>
      <c r="FER507" s="325"/>
      <c r="FES507" s="325"/>
      <c r="FET507" s="325"/>
      <c r="FEU507" s="325"/>
      <c r="FEV507" s="325"/>
      <c r="FEW507" s="325"/>
      <c r="FEX507" s="325"/>
      <c r="FEY507" s="325"/>
      <c r="FEZ507" s="325"/>
      <c r="FFA507" s="325"/>
      <c r="FFB507" s="325"/>
      <c r="FFC507" s="327"/>
      <c r="FFD507" s="28"/>
      <c r="FFE507" s="324"/>
      <c r="FFF507" s="324"/>
      <c r="FFG507" s="324"/>
      <c r="FFH507" s="324"/>
      <c r="FFI507" s="324"/>
      <c r="FFJ507" s="324"/>
      <c r="FFK507" s="256"/>
      <c r="FFL507" s="325"/>
      <c r="FFM507" s="311"/>
      <c r="FFN507" s="325"/>
      <c r="FFO507" s="310"/>
      <c r="FFP507" s="325"/>
      <c r="FFQ507" s="325"/>
      <c r="FFR507" s="325"/>
      <c r="FFS507" s="325"/>
      <c r="FFT507" s="325"/>
      <c r="FFU507" s="325"/>
      <c r="FFV507" s="325"/>
      <c r="FFW507" s="325"/>
      <c r="FFX507" s="325"/>
      <c r="FFY507" s="325"/>
      <c r="FFZ507" s="325"/>
      <c r="FGA507" s="325"/>
      <c r="FGB507" s="325"/>
      <c r="FGC507" s="325"/>
      <c r="FGD507" s="325"/>
      <c r="FGE507" s="325"/>
      <c r="FGF507" s="325"/>
      <c r="FGG507" s="325"/>
      <c r="FGH507" s="325"/>
      <c r="FGI507" s="325"/>
      <c r="FGJ507" s="325"/>
      <c r="FGK507" s="325"/>
      <c r="FGL507" s="325"/>
      <c r="FGM507" s="325"/>
      <c r="FGN507" s="325"/>
      <c r="FGO507" s="325"/>
      <c r="FGP507" s="325"/>
      <c r="FGQ507" s="325"/>
      <c r="FGR507" s="325"/>
      <c r="FGS507" s="325"/>
      <c r="FGT507" s="327"/>
      <c r="FGU507" s="28"/>
      <c r="FGV507" s="324"/>
      <c r="FGW507" s="324"/>
      <c r="FGX507" s="324"/>
      <c r="FGY507" s="324"/>
      <c r="FGZ507" s="324"/>
      <c r="FHA507" s="324"/>
      <c r="FHB507" s="256"/>
      <c r="FHC507" s="325"/>
      <c r="FHD507" s="311"/>
      <c r="FHE507" s="325"/>
      <c r="FHF507" s="310"/>
      <c r="FHG507" s="325"/>
      <c r="FHH507" s="325"/>
      <c r="FHI507" s="325"/>
      <c r="FHJ507" s="325"/>
      <c r="FHK507" s="325"/>
      <c r="FHL507" s="325"/>
      <c r="FHM507" s="325"/>
      <c r="FHN507" s="325"/>
      <c r="FHO507" s="325"/>
      <c r="FHP507" s="325"/>
      <c r="FHQ507" s="325"/>
      <c r="FHR507" s="325"/>
      <c r="FHS507" s="325"/>
      <c r="FHT507" s="325"/>
      <c r="FHU507" s="325"/>
      <c r="FHV507" s="325"/>
      <c r="FHW507" s="325"/>
      <c r="FHX507" s="325"/>
      <c r="FHY507" s="325"/>
      <c r="FHZ507" s="325"/>
      <c r="FIA507" s="325"/>
      <c r="FIB507" s="325"/>
      <c r="FIC507" s="325"/>
      <c r="FID507" s="325"/>
      <c r="FIE507" s="325"/>
      <c r="FIF507" s="325"/>
      <c r="FIG507" s="325"/>
      <c r="FIH507" s="325"/>
      <c r="FII507" s="325"/>
      <c r="FIJ507" s="325"/>
      <c r="FIK507" s="327"/>
      <c r="FIL507" s="28"/>
      <c r="FIM507" s="324"/>
      <c r="FIN507" s="324"/>
      <c r="FIO507" s="324"/>
      <c r="FIP507" s="324"/>
      <c r="FIQ507" s="324"/>
      <c r="FIR507" s="324"/>
      <c r="FIS507" s="256"/>
      <c r="FIT507" s="325"/>
      <c r="FIU507" s="311"/>
      <c r="FIV507" s="325"/>
      <c r="FIW507" s="310"/>
      <c r="FIX507" s="325"/>
      <c r="FIY507" s="325"/>
      <c r="FIZ507" s="325"/>
      <c r="FJA507" s="325"/>
      <c r="FJB507" s="325"/>
      <c r="FJC507" s="325"/>
      <c r="FJD507" s="325"/>
      <c r="FJE507" s="325"/>
      <c r="FJF507" s="325"/>
      <c r="FJG507" s="325"/>
      <c r="FJH507" s="325"/>
      <c r="FJI507" s="325"/>
      <c r="FJJ507" s="325"/>
      <c r="FJK507" s="325"/>
      <c r="FJL507" s="325"/>
      <c r="FJM507" s="325"/>
      <c r="FJN507" s="325"/>
      <c r="FJO507" s="325"/>
      <c r="FJP507" s="325"/>
      <c r="FJQ507" s="325"/>
      <c r="FJR507" s="325"/>
      <c r="FJS507" s="325"/>
      <c r="FJT507" s="325"/>
      <c r="FJU507" s="325"/>
      <c r="FJV507" s="325"/>
      <c r="FJW507" s="325"/>
      <c r="FJX507" s="325"/>
      <c r="FJY507" s="325"/>
      <c r="FJZ507" s="325"/>
      <c r="FKA507" s="325"/>
      <c r="FKB507" s="327"/>
      <c r="FKC507" s="28"/>
      <c r="FKD507" s="324"/>
      <c r="FKE507" s="324"/>
      <c r="FKF507" s="324"/>
      <c r="FKG507" s="324"/>
      <c r="FKH507" s="324"/>
      <c r="FKI507" s="324"/>
      <c r="FKJ507" s="256"/>
      <c r="FKK507" s="325"/>
      <c r="FKL507" s="311"/>
      <c r="FKM507" s="325"/>
      <c r="FKN507" s="310"/>
      <c r="FKO507" s="325"/>
      <c r="FKP507" s="325"/>
      <c r="FKQ507" s="325"/>
      <c r="FKR507" s="325"/>
      <c r="FKS507" s="325"/>
      <c r="FKT507" s="325"/>
      <c r="FKU507" s="325"/>
      <c r="FKV507" s="325"/>
      <c r="FKW507" s="325"/>
      <c r="FKX507" s="325"/>
      <c r="FKY507" s="325"/>
      <c r="FKZ507" s="325"/>
      <c r="FLA507" s="325"/>
      <c r="FLB507" s="325"/>
      <c r="FLC507" s="325"/>
      <c r="FLD507" s="325"/>
      <c r="FLE507" s="325"/>
      <c r="FLF507" s="325"/>
      <c r="FLG507" s="325"/>
      <c r="FLH507" s="325"/>
      <c r="FLI507" s="325"/>
      <c r="FLJ507" s="325"/>
      <c r="FLK507" s="325"/>
      <c r="FLL507" s="325"/>
      <c r="FLM507" s="325"/>
      <c r="FLN507" s="325"/>
      <c r="FLO507" s="325"/>
      <c r="FLP507" s="325"/>
      <c r="FLQ507" s="325"/>
      <c r="FLR507" s="325"/>
      <c r="FLS507" s="327"/>
      <c r="FLT507" s="28"/>
      <c r="FLU507" s="324"/>
      <c r="FLV507" s="324"/>
      <c r="FLW507" s="324"/>
      <c r="FLX507" s="324"/>
      <c r="FLY507" s="324"/>
      <c r="FLZ507" s="324"/>
      <c r="FMA507" s="256"/>
      <c r="FMB507" s="325"/>
      <c r="FMC507" s="311"/>
      <c r="FMD507" s="325"/>
      <c r="FME507" s="310"/>
      <c r="FMF507" s="325"/>
      <c r="FMG507" s="325"/>
      <c r="FMH507" s="325"/>
      <c r="FMI507" s="325"/>
      <c r="FMJ507" s="325"/>
      <c r="FMK507" s="325"/>
      <c r="FML507" s="325"/>
      <c r="FMM507" s="325"/>
      <c r="FMN507" s="325"/>
      <c r="FMO507" s="325"/>
      <c r="FMP507" s="325"/>
      <c r="FMQ507" s="325"/>
      <c r="FMR507" s="325"/>
      <c r="FMS507" s="325"/>
      <c r="FMT507" s="325"/>
      <c r="FMU507" s="325"/>
      <c r="FMV507" s="325"/>
      <c r="FMW507" s="325"/>
      <c r="FMX507" s="325"/>
      <c r="FMY507" s="325"/>
      <c r="FMZ507" s="325"/>
      <c r="FNA507" s="325"/>
      <c r="FNB507" s="325"/>
      <c r="FNC507" s="325"/>
      <c r="FND507" s="325"/>
      <c r="FNE507" s="325"/>
      <c r="FNF507" s="325"/>
      <c r="FNG507" s="325"/>
      <c r="FNH507" s="325"/>
      <c r="FNI507" s="325"/>
      <c r="FNJ507" s="327"/>
      <c r="FNK507" s="28"/>
      <c r="FNL507" s="324"/>
      <c r="FNM507" s="324"/>
      <c r="FNN507" s="324"/>
      <c r="FNO507" s="324"/>
      <c r="FNP507" s="324"/>
      <c r="FNQ507" s="324"/>
      <c r="FNR507" s="256"/>
      <c r="FNS507" s="325"/>
      <c r="FNT507" s="311"/>
      <c r="FNU507" s="325"/>
      <c r="FNV507" s="310"/>
      <c r="FNW507" s="325"/>
      <c r="FNX507" s="325"/>
      <c r="FNY507" s="325"/>
      <c r="FNZ507" s="325"/>
      <c r="FOA507" s="325"/>
      <c r="FOB507" s="325"/>
      <c r="FOC507" s="325"/>
      <c r="FOD507" s="325"/>
      <c r="FOE507" s="325"/>
      <c r="FOF507" s="325"/>
      <c r="FOG507" s="325"/>
      <c r="FOH507" s="325"/>
      <c r="FOI507" s="325"/>
      <c r="FOJ507" s="325"/>
      <c r="FOK507" s="325"/>
      <c r="FOL507" s="325"/>
      <c r="FOM507" s="325"/>
      <c r="FON507" s="325"/>
      <c r="FOO507" s="325"/>
      <c r="FOP507" s="325"/>
      <c r="FOQ507" s="325"/>
      <c r="FOR507" s="325"/>
      <c r="FOS507" s="325"/>
      <c r="FOT507" s="325"/>
      <c r="FOU507" s="325"/>
      <c r="FOV507" s="325"/>
      <c r="FOW507" s="325"/>
      <c r="FOX507" s="325"/>
      <c r="FOY507" s="325"/>
      <c r="FOZ507" s="325"/>
      <c r="FPA507" s="327"/>
      <c r="FPB507" s="28"/>
      <c r="FPC507" s="324"/>
      <c r="FPD507" s="324"/>
      <c r="FPE507" s="324"/>
      <c r="FPF507" s="324"/>
      <c r="FPG507" s="324"/>
      <c r="FPH507" s="324"/>
      <c r="FPI507" s="256"/>
      <c r="FPJ507" s="325"/>
      <c r="FPK507" s="311"/>
      <c r="FPL507" s="325"/>
      <c r="FPM507" s="310"/>
      <c r="FPN507" s="325"/>
      <c r="FPO507" s="325"/>
      <c r="FPP507" s="325"/>
      <c r="FPQ507" s="325"/>
      <c r="FPR507" s="325"/>
      <c r="FPS507" s="325"/>
      <c r="FPT507" s="325"/>
      <c r="FPU507" s="325"/>
      <c r="FPV507" s="325"/>
      <c r="FPW507" s="325"/>
      <c r="FPX507" s="325"/>
      <c r="FPY507" s="325"/>
      <c r="FPZ507" s="325"/>
      <c r="FQA507" s="325"/>
      <c r="FQB507" s="325"/>
      <c r="FQC507" s="325"/>
      <c r="FQD507" s="325"/>
      <c r="FQE507" s="325"/>
      <c r="FQF507" s="325"/>
      <c r="FQG507" s="325"/>
      <c r="FQH507" s="325"/>
      <c r="FQI507" s="325"/>
      <c r="FQJ507" s="325"/>
      <c r="FQK507" s="325"/>
      <c r="FQL507" s="325"/>
      <c r="FQM507" s="325"/>
      <c r="FQN507" s="325"/>
      <c r="FQO507" s="325"/>
      <c r="FQP507" s="325"/>
      <c r="FQQ507" s="325"/>
      <c r="FQR507" s="327"/>
      <c r="FQS507" s="28"/>
      <c r="FQT507" s="324"/>
      <c r="FQU507" s="324"/>
      <c r="FQV507" s="324"/>
      <c r="FQW507" s="324"/>
      <c r="FQX507" s="324"/>
      <c r="FQY507" s="324"/>
      <c r="FQZ507" s="256"/>
      <c r="FRA507" s="325"/>
      <c r="FRB507" s="311"/>
      <c r="FRC507" s="325"/>
      <c r="FRD507" s="310"/>
      <c r="FRE507" s="325"/>
      <c r="FRF507" s="325"/>
      <c r="FRG507" s="325"/>
      <c r="FRH507" s="325"/>
      <c r="FRI507" s="325"/>
      <c r="FRJ507" s="325"/>
      <c r="FRK507" s="325"/>
      <c r="FRL507" s="325"/>
      <c r="FRM507" s="325"/>
      <c r="FRN507" s="325"/>
      <c r="FRO507" s="325"/>
      <c r="FRP507" s="325"/>
      <c r="FRQ507" s="325"/>
      <c r="FRR507" s="325"/>
      <c r="FRS507" s="325"/>
      <c r="FRT507" s="325"/>
      <c r="FRU507" s="325"/>
      <c r="FRV507" s="325"/>
      <c r="FRW507" s="325"/>
      <c r="FRX507" s="325"/>
      <c r="FRY507" s="325"/>
      <c r="FRZ507" s="325"/>
      <c r="FSA507" s="325"/>
      <c r="FSB507" s="325"/>
      <c r="FSC507" s="325"/>
      <c r="FSD507" s="325"/>
      <c r="FSE507" s="325"/>
      <c r="FSF507" s="325"/>
      <c r="FSG507" s="325"/>
      <c r="FSH507" s="325"/>
      <c r="FSI507" s="327"/>
      <c r="FSJ507" s="28"/>
      <c r="FSK507" s="324"/>
      <c r="FSL507" s="324"/>
      <c r="FSM507" s="324"/>
      <c r="FSN507" s="324"/>
      <c r="FSO507" s="324"/>
      <c r="FSP507" s="324"/>
      <c r="FSQ507" s="256"/>
      <c r="FSR507" s="325"/>
      <c r="FSS507" s="311"/>
      <c r="FST507" s="325"/>
      <c r="FSU507" s="310"/>
      <c r="FSV507" s="325"/>
      <c r="FSW507" s="325"/>
      <c r="FSX507" s="325"/>
      <c r="FSY507" s="325"/>
      <c r="FSZ507" s="325"/>
      <c r="FTA507" s="325"/>
      <c r="FTB507" s="325"/>
      <c r="FTC507" s="325"/>
      <c r="FTD507" s="325"/>
      <c r="FTE507" s="325"/>
      <c r="FTF507" s="325"/>
      <c r="FTG507" s="325"/>
      <c r="FTH507" s="325"/>
      <c r="FTI507" s="325"/>
      <c r="FTJ507" s="325"/>
      <c r="FTK507" s="325"/>
      <c r="FTL507" s="325"/>
      <c r="FTM507" s="325"/>
      <c r="FTN507" s="325"/>
      <c r="FTO507" s="325"/>
      <c r="FTP507" s="325"/>
      <c r="FTQ507" s="325"/>
      <c r="FTR507" s="325"/>
      <c r="FTS507" s="325"/>
      <c r="FTT507" s="325"/>
      <c r="FTU507" s="325"/>
      <c r="FTV507" s="325"/>
      <c r="FTW507" s="325"/>
      <c r="FTX507" s="325"/>
      <c r="FTY507" s="325"/>
      <c r="FTZ507" s="327"/>
      <c r="FUA507" s="28"/>
      <c r="FUB507" s="324"/>
      <c r="FUC507" s="324"/>
      <c r="FUD507" s="324"/>
      <c r="FUE507" s="324"/>
      <c r="FUF507" s="324"/>
      <c r="FUG507" s="324"/>
      <c r="FUH507" s="256"/>
      <c r="FUI507" s="325"/>
      <c r="FUJ507" s="311"/>
      <c r="FUK507" s="325"/>
      <c r="FUL507" s="310"/>
      <c r="FUM507" s="325"/>
      <c r="FUN507" s="325"/>
      <c r="FUO507" s="325"/>
      <c r="FUP507" s="325"/>
      <c r="FUQ507" s="325"/>
      <c r="FUR507" s="325"/>
      <c r="FUS507" s="325"/>
      <c r="FUT507" s="325"/>
      <c r="FUU507" s="325"/>
      <c r="FUV507" s="325"/>
      <c r="FUW507" s="325"/>
      <c r="FUX507" s="325"/>
      <c r="FUY507" s="325"/>
      <c r="FUZ507" s="325"/>
      <c r="FVA507" s="325"/>
      <c r="FVB507" s="325"/>
      <c r="FVC507" s="325"/>
      <c r="FVD507" s="325"/>
      <c r="FVE507" s="325"/>
      <c r="FVF507" s="325"/>
      <c r="FVG507" s="325"/>
      <c r="FVH507" s="325"/>
      <c r="FVI507" s="325"/>
      <c r="FVJ507" s="325"/>
      <c r="FVK507" s="325"/>
      <c r="FVL507" s="325"/>
      <c r="FVM507" s="325"/>
      <c r="FVN507" s="325"/>
      <c r="FVO507" s="325"/>
      <c r="FVP507" s="325"/>
      <c r="FVQ507" s="327"/>
      <c r="FVR507" s="28"/>
      <c r="FVS507" s="324"/>
      <c r="FVT507" s="324"/>
      <c r="FVU507" s="324"/>
      <c r="FVV507" s="324"/>
      <c r="FVW507" s="324"/>
      <c r="FVX507" s="324"/>
      <c r="FVY507" s="256"/>
      <c r="FVZ507" s="325"/>
      <c r="FWA507" s="311"/>
      <c r="FWB507" s="325"/>
      <c r="FWC507" s="310"/>
      <c r="FWD507" s="325"/>
      <c r="FWE507" s="325"/>
      <c r="FWF507" s="325"/>
      <c r="FWG507" s="325"/>
      <c r="FWH507" s="325"/>
      <c r="FWI507" s="325"/>
      <c r="FWJ507" s="325"/>
      <c r="FWK507" s="325"/>
      <c r="FWL507" s="325"/>
      <c r="FWM507" s="325"/>
      <c r="FWN507" s="325"/>
      <c r="FWO507" s="325"/>
      <c r="FWP507" s="325"/>
      <c r="FWQ507" s="325"/>
      <c r="FWR507" s="325"/>
      <c r="FWS507" s="325"/>
      <c r="FWT507" s="325"/>
      <c r="FWU507" s="325"/>
      <c r="FWV507" s="325"/>
      <c r="FWW507" s="325"/>
      <c r="FWX507" s="325"/>
      <c r="FWY507" s="325"/>
      <c r="FWZ507" s="325"/>
      <c r="FXA507" s="325"/>
      <c r="FXB507" s="325"/>
      <c r="FXC507" s="325"/>
      <c r="FXD507" s="325"/>
      <c r="FXE507" s="325"/>
      <c r="FXF507" s="325"/>
      <c r="FXG507" s="325"/>
      <c r="FXH507" s="327"/>
      <c r="FXI507" s="28"/>
      <c r="FXJ507" s="324"/>
      <c r="FXK507" s="324"/>
      <c r="FXL507" s="324"/>
      <c r="FXM507" s="324"/>
      <c r="FXN507" s="324"/>
      <c r="FXO507" s="324"/>
      <c r="FXP507" s="256"/>
      <c r="FXQ507" s="325"/>
      <c r="FXR507" s="311"/>
      <c r="FXS507" s="325"/>
      <c r="FXT507" s="310"/>
      <c r="FXU507" s="325"/>
      <c r="FXV507" s="325"/>
      <c r="FXW507" s="325"/>
      <c r="FXX507" s="325"/>
      <c r="FXY507" s="325"/>
      <c r="FXZ507" s="325"/>
      <c r="FYA507" s="325"/>
      <c r="FYB507" s="325"/>
      <c r="FYC507" s="325"/>
      <c r="FYD507" s="325"/>
      <c r="FYE507" s="325"/>
      <c r="FYF507" s="325"/>
      <c r="FYG507" s="325"/>
      <c r="FYH507" s="325"/>
      <c r="FYI507" s="325"/>
      <c r="FYJ507" s="325"/>
      <c r="FYK507" s="325"/>
      <c r="FYL507" s="325"/>
      <c r="FYM507" s="325"/>
      <c r="FYN507" s="325"/>
      <c r="FYO507" s="325"/>
      <c r="FYP507" s="325"/>
      <c r="FYQ507" s="325"/>
      <c r="FYR507" s="325"/>
      <c r="FYS507" s="325"/>
      <c r="FYT507" s="325"/>
      <c r="FYU507" s="325"/>
      <c r="FYV507" s="325"/>
      <c r="FYW507" s="325"/>
      <c r="FYX507" s="325"/>
      <c r="FYY507" s="327"/>
      <c r="FYZ507" s="28"/>
      <c r="FZA507" s="324"/>
      <c r="FZB507" s="324"/>
      <c r="FZC507" s="324"/>
      <c r="FZD507" s="324"/>
      <c r="FZE507" s="324"/>
      <c r="FZF507" s="324"/>
      <c r="FZG507" s="256"/>
      <c r="FZH507" s="325"/>
      <c r="FZI507" s="311"/>
      <c r="FZJ507" s="325"/>
      <c r="FZK507" s="310"/>
      <c r="FZL507" s="325"/>
      <c r="FZM507" s="325"/>
      <c r="FZN507" s="325"/>
      <c r="FZO507" s="325"/>
      <c r="FZP507" s="325"/>
      <c r="FZQ507" s="325"/>
      <c r="FZR507" s="325"/>
      <c r="FZS507" s="325"/>
      <c r="FZT507" s="325"/>
      <c r="FZU507" s="325"/>
      <c r="FZV507" s="325"/>
      <c r="FZW507" s="325"/>
      <c r="FZX507" s="325"/>
      <c r="FZY507" s="325"/>
      <c r="FZZ507" s="325"/>
      <c r="GAA507" s="325"/>
      <c r="GAB507" s="325"/>
      <c r="GAC507" s="325"/>
      <c r="GAD507" s="325"/>
      <c r="GAE507" s="325"/>
      <c r="GAF507" s="325"/>
      <c r="GAG507" s="325"/>
      <c r="GAH507" s="325"/>
      <c r="GAI507" s="325"/>
      <c r="GAJ507" s="325"/>
      <c r="GAK507" s="325"/>
      <c r="GAL507" s="325"/>
      <c r="GAM507" s="325"/>
      <c r="GAN507" s="325"/>
      <c r="GAO507" s="325"/>
      <c r="GAP507" s="327"/>
      <c r="GAQ507" s="28"/>
      <c r="GAR507" s="324"/>
      <c r="GAS507" s="324"/>
      <c r="GAT507" s="324"/>
      <c r="GAU507" s="324"/>
      <c r="GAV507" s="324"/>
      <c r="GAW507" s="324"/>
      <c r="GAX507" s="256"/>
      <c r="GAY507" s="325"/>
      <c r="GAZ507" s="311"/>
      <c r="GBA507" s="325"/>
      <c r="GBB507" s="310"/>
      <c r="GBC507" s="325"/>
      <c r="GBD507" s="325"/>
      <c r="GBE507" s="325"/>
      <c r="GBF507" s="325"/>
      <c r="GBG507" s="325"/>
      <c r="GBH507" s="325"/>
      <c r="GBI507" s="325"/>
      <c r="GBJ507" s="325"/>
      <c r="GBK507" s="325"/>
      <c r="GBL507" s="325"/>
      <c r="GBM507" s="325"/>
      <c r="GBN507" s="325"/>
      <c r="GBO507" s="325"/>
      <c r="GBP507" s="325"/>
      <c r="GBQ507" s="325"/>
      <c r="GBR507" s="325"/>
      <c r="GBS507" s="325"/>
      <c r="GBT507" s="325"/>
      <c r="GBU507" s="325"/>
      <c r="GBV507" s="325"/>
      <c r="GBW507" s="325"/>
      <c r="GBX507" s="325"/>
      <c r="GBY507" s="325"/>
      <c r="GBZ507" s="325"/>
      <c r="GCA507" s="325"/>
      <c r="GCB507" s="325"/>
      <c r="GCC507" s="325"/>
      <c r="GCD507" s="325"/>
      <c r="GCE507" s="325"/>
      <c r="GCF507" s="325"/>
      <c r="GCG507" s="327"/>
      <c r="GCH507" s="28"/>
      <c r="GCI507" s="324"/>
      <c r="GCJ507" s="324"/>
      <c r="GCK507" s="324"/>
      <c r="GCL507" s="324"/>
      <c r="GCM507" s="324"/>
      <c r="GCN507" s="324"/>
      <c r="GCO507" s="256"/>
      <c r="GCP507" s="325"/>
      <c r="GCQ507" s="311"/>
      <c r="GCR507" s="325"/>
      <c r="GCS507" s="310"/>
      <c r="GCT507" s="325"/>
      <c r="GCU507" s="325"/>
      <c r="GCV507" s="325"/>
      <c r="GCW507" s="325"/>
      <c r="GCX507" s="325"/>
      <c r="GCY507" s="325"/>
      <c r="GCZ507" s="325"/>
      <c r="GDA507" s="325"/>
      <c r="GDB507" s="325"/>
      <c r="GDC507" s="325"/>
      <c r="GDD507" s="325"/>
      <c r="GDE507" s="325"/>
      <c r="GDF507" s="325"/>
      <c r="GDG507" s="325"/>
      <c r="GDH507" s="325"/>
      <c r="GDI507" s="325"/>
      <c r="GDJ507" s="325"/>
      <c r="GDK507" s="325"/>
      <c r="GDL507" s="325"/>
      <c r="GDM507" s="325"/>
      <c r="GDN507" s="325"/>
      <c r="GDO507" s="325"/>
      <c r="GDP507" s="325"/>
      <c r="GDQ507" s="325"/>
      <c r="GDR507" s="325"/>
      <c r="GDS507" s="325"/>
      <c r="GDT507" s="325"/>
      <c r="GDU507" s="325"/>
      <c r="GDV507" s="325"/>
      <c r="GDW507" s="325"/>
      <c r="GDX507" s="327"/>
      <c r="GDY507" s="28"/>
      <c r="GDZ507" s="324"/>
      <c r="GEA507" s="324"/>
      <c r="GEB507" s="324"/>
      <c r="GEC507" s="324"/>
      <c r="GED507" s="324"/>
      <c r="GEE507" s="324"/>
      <c r="GEF507" s="256"/>
      <c r="GEG507" s="325"/>
      <c r="GEH507" s="311"/>
      <c r="GEI507" s="325"/>
      <c r="GEJ507" s="310"/>
      <c r="GEK507" s="325"/>
      <c r="GEL507" s="325"/>
      <c r="GEM507" s="325"/>
      <c r="GEN507" s="325"/>
      <c r="GEO507" s="325"/>
      <c r="GEP507" s="325"/>
      <c r="GEQ507" s="325"/>
      <c r="GER507" s="325"/>
      <c r="GES507" s="325"/>
      <c r="GET507" s="325"/>
      <c r="GEU507" s="325"/>
      <c r="GEV507" s="325"/>
      <c r="GEW507" s="325"/>
      <c r="GEX507" s="325"/>
      <c r="GEY507" s="325"/>
      <c r="GEZ507" s="325"/>
      <c r="GFA507" s="325"/>
      <c r="GFB507" s="325"/>
      <c r="GFC507" s="325"/>
      <c r="GFD507" s="325"/>
      <c r="GFE507" s="325"/>
      <c r="GFF507" s="325"/>
      <c r="GFG507" s="325"/>
      <c r="GFH507" s="325"/>
      <c r="GFI507" s="325"/>
      <c r="GFJ507" s="325"/>
      <c r="GFK507" s="325"/>
      <c r="GFL507" s="325"/>
      <c r="GFM507" s="325"/>
      <c r="GFN507" s="325"/>
      <c r="GFO507" s="327"/>
      <c r="GFP507" s="28"/>
      <c r="GFQ507" s="324"/>
      <c r="GFR507" s="324"/>
      <c r="GFS507" s="324"/>
      <c r="GFT507" s="324"/>
      <c r="GFU507" s="324"/>
      <c r="GFV507" s="324"/>
      <c r="GFW507" s="256"/>
      <c r="GFX507" s="325"/>
      <c r="GFY507" s="311"/>
      <c r="GFZ507" s="325"/>
      <c r="GGA507" s="310"/>
      <c r="GGB507" s="325"/>
      <c r="GGC507" s="325"/>
      <c r="GGD507" s="325"/>
      <c r="GGE507" s="325"/>
      <c r="GGF507" s="325"/>
      <c r="GGG507" s="325"/>
      <c r="GGH507" s="325"/>
      <c r="GGI507" s="325"/>
      <c r="GGJ507" s="325"/>
      <c r="GGK507" s="325"/>
      <c r="GGL507" s="325"/>
      <c r="GGM507" s="325"/>
      <c r="GGN507" s="325"/>
      <c r="GGO507" s="325"/>
      <c r="GGP507" s="325"/>
      <c r="GGQ507" s="325"/>
      <c r="GGR507" s="325"/>
      <c r="GGS507" s="325"/>
      <c r="GGT507" s="325"/>
      <c r="GGU507" s="325"/>
      <c r="GGV507" s="325"/>
      <c r="GGW507" s="325"/>
      <c r="GGX507" s="325"/>
      <c r="GGY507" s="325"/>
      <c r="GGZ507" s="325"/>
      <c r="GHA507" s="325"/>
      <c r="GHB507" s="325"/>
      <c r="GHC507" s="325"/>
      <c r="GHD507" s="325"/>
      <c r="GHE507" s="325"/>
      <c r="GHF507" s="327"/>
      <c r="GHG507" s="28"/>
      <c r="GHH507" s="324"/>
      <c r="GHI507" s="324"/>
      <c r="GHJ507" s="324"/>
      <c r="GHK507" s="324"/>
      <c r="GHL507" s="324"/>
      <c r="GHM507" s="324"/>
      <c r="GHN507" s="256"/>
      <c r="GHO507" s="325"/>
      <c r="GHP507" s="311"/>
      <c r="GHQ507" s="325"/>
      <c r="GHR507" s="310"/>
      <c r="GHS507" s="325"/>
      <c r="GHT507" s="325"/>
      <c r="GHU507" s="325"/>
      <c r="GHV507" s="325"/>
      <c r="GHW507" s="325"/>
      <c r="GHX507" s="325"/>
      <c r="GHY507" s="325"/>
      <c r="GHZ507" s="325"/>
      <c r="GIA507" s="325"/>
      <c r="GIB507" s="325"/>
      <c r="GIC507" s="325"/>
      <c r="GID507" s="325"/>
      <c r="GIE507" s="325"/>
      <c r="GIF507" s="325"/>
      <c r="GIG507" s="325"/>
      <c r="GIH507" s="325"/>
      <c r="GII507" s="325"/>
      <c r="GIJ507" s="325"/>
      <c r="GIK507" s="325"/>
      <c r="GIL507" s="325"/>
      <c r="GIM507" s="325"/>
      <c r="GIN507" s="325"/>
      <c r="GIO507" s="325"/>
      <c r="GIP507" s="325"/>
      <c r="GIQ507" s="325"/>
      <c r="GIR507" s="325"/>
      <c r="GIS507" s="325"/>
      <c r="GIT507" s="325"/>
      <c r="GIU507" s="325"/>
      <c r="GIV507" s="325"/>
      <c r="GIW507" s="327"/>
      <c r="GIX507" s="28"/>
      <c r="GIY507" s="324"/>
      <c r="GIZ507" s="324"/>
      <c r="GJA507" s="324"/>
      <c r="GJB507" s="324"/>
      <c r="GJC507" s="324"/>
      <c r="GJD507" s="324"/>
      <c r="GJE507" s="256"/>
      <c r="GJF507" s="325"/>
      <c r="GJG507" s="311"/>
      <c r="GJH507" s="325"/>
      <c r="GJI507" s="310"/>
      <c r="GJJ507" s="325"/>
      <c r="GJK507" s="325"/>
      <c r="GJL507" s="325"/>
      <c r="GJM507" s="325"/>
      <c r="GJN507" s="325"/>
      <c r="GJO507" s="325"/>
      <c r="GJP507" s="325"/>
      <c r="GJQ507" s="325"/>
      <c r="GJR507" s="325"/>
      <c r="GJS507" s="325"/>
      <c r="GJT507" s="325"/>
      <c r="GJU507" s="325"/>
      <c r="GJV507" s="325"/>
      <c r="GJW507" s="325"/>
      <c r="GJX507" s="325"/>
      <c r="GJY507" s="325"/>
      <c r="GJZ507" s="325"/>
      <c r="GKA507" s="325"/>
      <c r="GKB507" s="325"/>
      <c r="GKC507" s="325"/>
      <c r="GKD507" s="325"/>
      <c r="GKE507" s="325"/>
      <c r="GKF507" s="325"/>
      <c r="GKG507" s="325"/>
      <c r="GKH507" s="325"/>
      <c r="GKI507" s="325"/>
      <c r="GKJ507" s="325"/>
      <c r="GKK507" s="325"/>
      <c r="GKL507" s="325"/>
      <c r="GKM507" s="325"/>
      <c r="GKN507" s="327"/>
      <c r="GKO507" s="28"/>
      <c r="GKP507" s="324"/>
      <c r="GKQ507" s="324"/>
      <c r="GKR507" s="324"/>
      <c r="GKS507" s="324"/>
      <c r="GKT507" s="324"/>
      <c r="GKU507" s="324"/>
      <c r="GKV507" s="256"/>
      <c r="GKW507" s="325"/>
      <c r="GKX507" s="311"/>
      <c r="GKY507" s="325"/>
      <c r="GKZ507" s="310"/>
      <c r="GLA507" s="325"/>
      <c r="GLB507" s="325"/>
      <c r="GLC507" s="325"/>
      <c r="GLD507" s="325"/>
      <c r="GLE507" s="325"/>
      <c r="GLF507" s="325"/>
      <c r="GLG507" s="325"/>
      <c r="GLH507" s="325"/>
      <c r="GLI507" s="325"/>
      <c r="GLJ507" s="325"/>
      <c r="GLK507" s="325"/>
      <c r="GLL507" s="325"/>
      <c r="GLM507" s="325"/>
      <c r="GLN507" s="325"/>
      <c r="GLO507" s="325"/>
      <c r="GLP507" s="325"/>
      <c r="GLQ507" s="325"/>
      <c r="GLR507" s="325"/>
      <c r="GLS507" s="325"/>
      <c r="GLT507" s="325"/>
      <c r="GLU507" s="325"/>
      <c r="GLV507" s="325"/>
      <c r="GLW507" s="325"/>
      <c r="GLX507" s="325"/>
      <c r="GLY507" s="325"/>
      <c r="GLZ507" s="325"/>
      <c r="GMA507" s="325"/>
      <c r="GMB507" s="325"/>
      <c r="GMC507" s="325"/>
      <c r="GMD507" s="325"/>
      <c r="GME507" s="327"/>
      <c r="GMF507" s="28"/>
      <c r="GMG507" s="324"/>
      <c r="GMH507" s="324"/>
      <c r="GMI507" s="324"/>
      <c r="GMJ507" s="324"/>
      <c r="GMK507" s="324"/>
      <c r="GML507" s="324"/>
      <c r="GMM507" s="256"/>
      <c r="GMN507" s="325"/>
      <c r="GMO507" s="311"/>
      <c r="GMP507" s="325"/>
      <c r="GMQ507" s="310"/>
      <c r="GMR507" s="325"/>
      <c r="GMS507" s="325"/>
      <c r="GMT507" s="325"/>
      <c r="GMU507" s="325"/>
      <c r="GMV507" s="325"/>
      <c r="GMW507" s="325"/>
      <c r="GMX507" s="325"/>
      <c r="GMY507" s="325"/>
      <c r="GMZ507" s="325"/>
      <c r="GNA507" s="325"/>
      <c r="GNB507" s="325"/>
      <c r="GNC507" s="325"/>
      <c r="GND507" s="325"/>
      <c r="GNE507" s="325"/>
      <c r="GNF507" s="325"/>
      <c r="GNG507" s="325"/>
      <c r="GNH507" s="325"/>
      <c r="GNI507" s="325"/>
      <c r="GNJ507" s="325"/>
      <c r="GNK507" s="325"/>
      <c r="GNL507" s="325"/>
      <c r="GNM507" s="325"/>
      <c r="GNN507" s="325"/>
      <c r="GNO507" s="325"/>
      <c r="GNP507" s="325"/>
      <c r="GNQ507" s="325"/>
      <c r="GNR507" s="325"/>
      <c r="GNS507" s="325"/>
      <c r="GNT507" s="325"/>
      <c r="GNU507" s="325"/>
      <c r="GNV507" s="327"/>
      <c r="GNW507" s="28"/>
      <c r="GNX507" s="324"/>
      <c r="GNY507" s="324"/>
      <c r="GNZ507" s="324"/>
      <c r="GOA507" s="324"/>
      <c r="GOB507" s="324"/>
      <c r="GOC507" s="324"/>
      <c r="GOD507" s="256"/>
      <c r="GOE507" s="325"/>
      <c r="GOF507" s="311"/>
      <c r="GOG507" s="325"/>
      <c r="GOH507" s="310"/>
      <c r="GOI507" s="325"/>
      <c r="GOJ507" s="325"/>
      <c r="GOK507" s="325"/>
      <c r="GOL507" s="325"/>
      <c r="GOM507" s="325"/>
      <c r="GON507" s="325"/>
      <c r="GOO507" s="325"/>
      <c r="GOP507" s="325"/>
      <c r="GOQ507" s="325"/>
      <c r="GOR507" s="325"/>
      <c r="GOS507" s="325"/>
      <c r="GOT507" s="325"/>
      <c r="GOU507" s="325"/>
      <c r="GOV507" s="325"/>
      <c r="GOW507" s="325"/>
      <c r="GOX507" s="325"/>
      <c r="GOY507" s="325"/>
      <c r="GOZ507" s="325"/>
      <c r="GPA507" s="325"/>
      <c r="GPB507" s="325"/>
      <c r="GPC507" s="325"/>
      <c r="GPD507" s="325"/>
      <c r="GPE507" s="325"/>
      <c r="GPF507" s="325"/>
      <c r="GPG507" s="325"/>
      <c r="GPH507" s="325"/>
      <c r="GPI507" s="325"/>
      <c r="GPJ507" s="325"/>
      <c r="GPK507" s="325"/>
      <c r="GPL507" s="325"/>
      <c r="GPM507" s="327"/>
      <c r="GPN507" s="28"/>
      <c r="GPO507" s="324"/>
      <c r="GPP507" s="324"/>
      <c r="GPQ507" s="324"/>
      <c r="GPR507" s="324"/>
      <c r="GPS507" s="324"/>
      <c r="GPT507" s="324"/>
      <c r="GPU507" s="256"/>
      <c r="GPV507" s="325"/>
      <c r="GPW507" s="311"/>
      <c r="GPX507" s="325"/>
      <c r="GPY507" s="310"/>
      <c r="GPZ507" s="325"/>
      <c r="GQA507" s="325"/>
      <c r="GQB507" s="325"/>
      <c r="GQC507" s="325"/>
      <c r="GQD507" s="325"/>
      <c r="GQE507" s="325"/>
      <c r="GQF507" s="325"/>
      <c r="GQG507" s="325"/>
      <c r="GQH507" s="325"/>
      <c r="GQI507" s="325"/>
      <c r="GQJ507" s="325"/>
      <c r="GQK507" s="325"/>
      <c r="GQL507" s="325"/>
      <c r="GQM507" s="325"/>
      <c r="GQN507" s="325"/>
      <c r="GQO507" s="325"/>
      <c r="GQP507" s="325"/>
      <c r="GQQ507" s="325"/>
      <c r="GQR507" s="325"/>
      <c r="GQS507" s="325"/>
      <c r="GQT507" s="325"/>
      <c r="GQU507" s="325"/>
      <c r="GQV507" s="325"/>
      <c r="GQW507" s="325"/>
      <c r="GQX507" s="325"/>
      <c r="GQY507" s="325"/>
      <c r="GQZ507" s="325"/>
      <c r="GRA507" s="325"/>
      <c r="GRB507" s="325"/>
      <c r="GRC507" s="325"/>
      <c r="GRD507" s="327"/>
      <c r="GRE507" s="28"/>
      <c r="GRF507" s="324"/>
      <c r="GRG507" s="324"/>
      <c r="GRH507" s="324"/>
      <c r="GRI507" s="324"/>
      <c r="GRJ507" s="324"/>
      <c r="GRK507" s="324"/>
      <c r="GRL507" s="256"/>
      <c r="GRM507" s="325"/>
      <c r="GRN507" s="311"/>
      <c r="GRO507" s="325"/>
      <c r="GRP507" s="310"/>
      <c r="GRQ507" s="325"/>
      <c r="GRR507" s="325"/>
      <c r="GRS507" s="325"/>
      <c r="GRT507" s="325"/>
      <c r="GRU507" s="325"/>
      <c r="GRV507" s="325"/>
      <c r="GRW507" s="325"/>
      <c r="GRX507" s="325"/>
      <c r="GRY507" s="325"/>
      <c r="GRZ507" s="325"/>
      <c r="GSA507" s="325"/>
      <c r="GSB507" s="325"/>
      <c r="GSC507" s="325"/>
      <c r="GSD507" s="325"/>
      <c r="GSE507" s="325"/>
      <c r="GSF507" s="325"/>
      <c r="GSG507" s="325"/>
      <c r="GSH507" s="325"/>
      <c r="GSI507" s="325"/>
      <c r="GSJ507" s="325"/>
      <c r="GSK507" s="325"/>
      <c r="GSL507" s="325"/>
      <c r="GSM507" s="325"/>
      <c r="GSN507" s="325"/>
      <c r="GSO507" s="325"/>
      <c r="GSP507" s="325"/>
      <c r="GSQ507" s="325"/>
      <c r="GSR507" s="325"/>
      <c r="GSS507" s="325"/>
      <c r="GST507" s="325"/>
      <c r="GSU507" s="327"/>
      <c r="GSV507" s="28"/>
      <c r="GSW507" s="324"/>
      <c r="GSX507" s="324"/>
      <c r="GSY507" s="324"/>
      <c r="GSZ507" s="324"/>
      <c r="GTA507" s="324"/>
      <c r="GTB507" s="324"/>
      <c r="GTC507" s="256"/>
      <c r="GTD507" s="325"/>
      <c r="GTE507" s="311"/>
      <c r="GTF507" s="325"/>
      <c r="GTG507" s="310"/>
      <c r="GTH507" s="325"/>
      <c r="GTI507" s="325"/>
      <c r="GTJ507" s="325"/>
      <c r="GTK507" s="325"/>
      <c r="GTL507" s="325"/>
      <c r="GTM507" s="325"/>
      <c r="GTN507" s="325"/>
      <c r="GTO507" s="325"/>
      <c r="GTP507" s="325"/>
      <c r="GTQ507" s="325"/>
      <c r="GTR507" s="325"/>
      <c r="GTS507" s="325"/>
      <c r="GTT507" s="325"/>
      <c r="GTU507" s="325"/>
      <c r="GTV507" s="325"/>
      <c r="GTW507" s="325"/>
      <c r="GTX507" s="325"/>
      <c r="GTY507" s="325"/>
      <c r="GTZ507" s="325"/>
      <c r="GUA507" s="325"/>
      <c r="GUB507" s="325"/>
      <c r="GUC507" s="325"/>
      <c r="GUD507" s="325"/>
      <c r="GUE507" s="325"/>
      <c r="GUF507" s="325"/>
      <c r="GUG507" s="325"/>
      <c r="GUH507" s="325"/>
      <c r="GUI507" s="325"/>
      <c r="GUJ507" s="325"/>
      <c r="GUK507" s="325"/>
      <c r="GUL507" s="327"/>
      <c r="GUM507" s="28"/>
      <c r="GUN507" s="324"/>
      <c r="GUO507" s="324"/>
      <c r="GUP507" s="324"/>
      <c r="GUQ507" s="324"/>
      <c r="GUR507" s="324"/>
      <c r="GUS507" s="324"/>
      <c r="GUT507" s="256"/>
      <c r="GUU507" s="325"/>
      <c r="GUV507" s="311"/>
      <c r="GUW507" s="325"/>
      <c r="GUX507" s="310"/>
      <c r="GUY507" s="325"/>
      <c r="GUZ507" s="325"/>
      <c r="GVA507" s="325"/>
      <c r="GVB507" s="325"/>
      <c r="GVC507" s="325"/>
      <c r="GVD507" s="325"/>
      <c r="GVE507" s="325"/>
      <c r="GVF507" s="325"/>
      <c r="GVG507" s="325"/>
      <c r="GVH507" s="325"/>
      <c r="GVI507" s="325"/>
      <c r="GVJ507" s="325"/>
      <c r="GVK507" s="325"/>
      <c r="GVL507" s="325"/>
      <c r="GVM507" s="325"/>
      <c r="GVN507" s="325"/>
      <c r="GVO507" s="325"/>
      <c r="GVP507" s="325"/>
      <c r="GVQ507" s="325"/>
      <c r="GVR507" s="325"/>
      <c r="GVS507" s="325"/>
      <c r="GVT507" s="325"/>
      <c r="GVU507" s="325"/>
      <c r="GVV507" s="325"/>
      <c r="GVW507" s="325"/>
      <c r="GVX507" s="325"/>
      <c r="GVY507" s="325"/>
      <c r="GVZ507" s="325"/>
      <c r="GWA507" s="325"/>
      <c r="GWB507" s="325"/>
      <c r="GWC507" s="327"/>
      <c r="GWD507" s="28"/>
      <c r="GWE507" s="324"/>
      <c r="GWF507" s="324"/>
      <c r="GWG507" s="324"/>
      <c r="GWH507" s="324"/>
      <c r="GWI507" s="324"/>
      <c r="GWJ507" s="324"/>
      <c r="GWK507" s="256"/>
      <c r="GWL507" s="325"/>
      <c r="GWM507" s="311"/>
      <c r="GWN507" s="325"/>
      <c r="GWO507" s="310"/>
      <c r="GWP507" s="325"/>
      <c r="GWQ507" s="325"/>
      <c r="GWR507" s="325"/>
      <c r="GWS507" s="325"/>
      <c r="GWT507" s="325"/>
      <c r="GWU507" s="325"/>
      <c r="GWV507" s="325"/>
      <c r="GWW507" s="325"/>
      <c r="GWX507" s="325"/>
      <c r="GWY507" s="325"/>
      <c r="GWZ507" s="325"/>
      <c r="GXA507" s="325"/>
      <c r="GXB507" s="325"/>
      <c r="GXC507" s="325"/>
      <c r="GXD507" s="325"/>
      <c r="GXE507" s="325"/>
      <c r="GXF507" s="325"/>
      <c r="GXG507" s="325"/>
      <c r="GXH507" s="325"/>
      <c r="GXI507" s="325"/>
      <c r="GXJ507" s="325"/>
      <c r="GXK507" s="325"/>
      <c r="GXL507" s="325"/>
      <c r="GXM507" s="325"/>
      <c r="GXN507" s="325"/>
      <c r="GXO507" s="325"/>
      <c r="GXP507" s="325"/>
      <c r="GXQ507" s="325"/>
      <c r="GXR507" s="325"/>
      <c r="GXS507" s="325"/>
      <c r="GXT507" s="327"/>
      <c r="GXU507" s="28"/>
      <c r="GXV507" s="324"/>
      <c r="GXW507" s="324"/>
      <c r="GXX507" s="324"/>
      <c r="GXY507" s="324"/>
      <c r="GXZ507" s="324"/>
      <c r="GYA507" s="324"/>
      <c r="GYB507" s="256"/>
      <c r="GYC507" s="325"/>
      <c r="GYD507" s="311"/>
      <c r="GYE507" s="325"/>
      <c r="GYF507" s="310"/>
      <c r="GYG507" s="325"/>
      <c r="GYH507" s="325"/>
      <c r="GYI507" s="325"/>
      <c r="GYJ507" s="325"/>
      <c r="GYK507" s="325"/>
      <c r="GYL507" s="325"/>
      <c r="GYM507" s="325"/>
      <c r="GYN507" s="325"/>
      <c r="GYO507" s="325"/>
      <c r="GYP507" s="325"/>
      <c r="GYQ507" s="325"/>
      <c r="GYR507" s="325"/>
      <c r="GYS507" s="325"/>
      <c r="GYT507" s="325"/>
      <c r="GYU507" s="325"/>
      <c r="GYV507" s="325"/>
      <c r="GYW507" s="325"/>
      <c r="GYX507" s="325"/>
      <c r="GYY507" s="325"/>
      <c r="GYZ507" s="325"/>
      <c r="GZA507" s="325"/>
      <c r="GZB507" s="325"/>
      <c r="GZC507" s="325"/>
      <c r="GZD507" s="325"/>
      <c r="GZE507" s="325"/>
      <c r="GZF507" s="325"/>
      <c r="GZG507" s="325"/>
      <c r="GZH507" s="325"/>
      <c r="GZI507" s="325"/>
      <c r="GZJ507" s="325"/>
      <c r="GZK507" s="327"/>
      <c r="GZL507" s="28"/>
      <c r="GZM507" s="324"/>
      <c r="GZN507" s="324"/>
      <c r="GZO507" s="324"/>
      <c r="GZP507" s="324"/>
      <c r="GZQ507" s="324"/>
      <c r="GZR507" s="324"/>
      <c r="GZS507" s="256"/>
      <c r="GZT507" s="325"/>
      <c r="GZU507" s="311"/>
      <c r="GZV507" s="325"/>
      <c r="GZW507" s="310"/>
      <c r="GZX507" s="325"/>
      <c r="GZY507" s="325"/>
      <c r="GZZ507" s="325"/>
      <c r="HAA507" s="325"/>
      <c r="HAB507" s="325"/>
      <c r="HAC507" s="325"/>
      <c r="HAD507" s="325"/>
      <c r="HAE507" s="325"/>
      <c r="HAF507" s="325"/>
      <c r="HAG507" s="325"/>
      <c r="HAH507" s="325"/>
      <c r="HAI507" s="325"/>
      <c r="HAJ507" s="325"/>
      <c r="HAK507" s="325"/>
      <c r="HAL507" s="325"/>
      <c r="HAM507" s="325"/>
      <c r="HAN507" s="325"/>
      <c r="HAO507" s="325"/>
      <c r="HAP507" s="325"/>
      <c r="HAQ507" s="325"/>
      <c r="HAR507" s="325"/>
      <c r="HAS507" s="325"/>
      <c r="HAT507" s="325"/>
      <c r="HAU507" s="325"/>
      <c r="HAV507" s="325"/>
      <c r="HAW507" s="325"/>
      <c r="HAX507" s="325"/>
      <c r="HAY507" s="325"/>
      <c r="HAZ507" s="325"/>
      <c r="HBA507" s="325"/>
      <c r="HBB507" s="327"/>
      <c r="HBC507" s="28"/>
      <c r="HBD507" s="324"/>
      <c r="HBE507" s="324"/>
      <c r="HBF507" s="324"/>
      <c r="HBG507" s="324"/>
      <c r="HBH507" s="324"/>
      <c r="HBI507" s="324"/>
      <c r="HBJ507" s="256"/>
      <c r="HBK507" s="325"/>
      <c r="HBL507" s="311"/>
      <c r="HBM507" s="325"/>
      <c r="HBN507" s="310"/>
      <c r="HBO507" s="325"/>
      <c r="HBP507" s="325"/>
      <c r="HBQ507" s="325"/>
      <c r="HBR507" s="325"/>
      <c r="HBS507" s="325"/>
      <c r="HBT507" s="325"/>
      <c r="HBU507" s="325"/>
      <c r="HBV507" s="325"/>
      <c r="HBW507" s="325"/>
      <c r="HBX507" s="325"/>
      <c r="HBY507" s="325"/>
      <c r="HBZ507" s="325"/>
      <c r="HCA507" s="325"/>
      <c r="HCB507" s="325"/>
      <c r="HCC507" s="325"/>
      <c r="HCD507" s="325"/>
      <c r="HCE507" s="325"/>
      <c r="HCF507" s="325"/>
      <c r="HCG507" s="325"/>
      <c r="HCH507" s="325"/>
      <c r="HCI507" s="325"/>
      <c r="HCJ507" s="325"/>
      <c r="HCK507" s="325"/>
      <c r="HCL507" s="325"/>
      <c r="HCM507" s="325"/>
      <c r="HCN507" s="325"/>
      <c r="HCO507" s="325"/>
      <c r="HCP507" s="325"/>
      <c r="HCQ507" s="325"/>
      <c r="HCR507" s="325"/>
      <c r="HCS507" s="327"/>
      <c r="HCT507" s="28"/>
      <c r="HCU507" s="324"/>
      <c r="HCV507" s="324"/>
      <c r="HCW507" s="324"/>
      <c r="HCX507" s="324"/>
      <c r="HCY507" s="324"/>
      <c r="HCZ507" s="324"/>
      <c r="HDA507" s="256"/>
      <c r="HDB507" s="325"/>
      <c r="HDC507" s="311"/>
      <c r="HDD507" s="325"/>
      <c r="HDE507" s="310"/>
      <c r="HDF507" s="325"/>
      <c r="HDG507" s="325"/>
      <c r="HDH507" s="325"/>
      <c r="HDI507" s="325"/>
      <c r="HDJ507" s="325"/>
      <c r="HDK507" s="325"/>
      <c r="HDL507" s="325"/>
      <c r="HDM507" s="325"/>
      <c r="HDN507" s="325"/>
      <c r="HDO507" s="325"/>
      <c r="HDP507" s="325"/>
      <c r="HDQ507" s="325"/>
      <c r="HDR507" s="325"/>
      <c r="HDS507" s="325"/>
      <c r="HDT507" s="325"/>
      <c r="HDU507" s="325"/>
      <c r="HDV507" s="325"/>
      <c r="HDW507" s="325"/>
      <c r="HDX507" s="325"/>
      <c r="HDY507" s="325"/>
      <c r="HDZ507" s="325"/>
      <c r="HEA507" s="325"/>
      <c r="HEB507" s="325"/>
      <c r="HEC507" s="325"/>
      <c r="HED507" s="325"/>
      <c r="HEE507" s="325"/>
      <c r="HEF507" s="325"/>
      <c r="HEG507" s="325"/>
      <c r="HEH507" s="325"/>
      <c r="HEI507" s="325"/>
      <c r="HEJ507" s="327"/>
      <c r="HEK507" s="28"/>
      <c r="HEL507" s="324"/>
      <c r="HEM507" s="324"/>
      <c r="HEN507" s="324"/>
      <c r="HEO507" s="324"/>
      <c r="HEP507" s="324"/>
      <c r="HEQ507" s="324"/>
      <c r="HER507" s="256"/>
      <c r="HES507" s="325"/>
      <c r="HET507" s="311"/>
      <c r="HEU507" s="325"/>
      <c r="HEV507" s="310"/>
      <c r="HEW507" s="325"/>
      <c r="HEX507" s="325"/>
      <c r="HEY507" s="325"/>
      <c r="HEZ507" s="325"/>
      <c r="HFA507" s="325"/>
      <c r="HFB507" s="325"/>
      <c r="HFC507" s="325"/>
      <c r="HFD507" s="325"/>
      <c r="HFE507" s="325"/>
      <c r="HFF507" s="325"/>
      <c r="HFG507" s="325"/>
      <c r="HFH507" s="325"/>
      <c r="HFI507" s="325"/>
      <c r="HFJ507" s="325"/>
      <c r="HFK507" s="325"/>
      <c r="HFL507" s="325"/>
      <c r="HFM507" s="325"/>
      <c r="HFN507" s="325"/>
      <c r="HFO507" s="325"/>
      <c r="HFP507" s="325"/>
      <c r="HFQ507" s="325"/>
      <c r="HFR507" s="325"/>
      <c r="HFS507" s="325"/>
      <c r="HFT507" s="325"/>
      <c r="HFU507" s="325"/>
      <c r="HFV507" s="325"/>
      <c r="HFW507" s="325"/>
      <c r="HFX507" s="325"/>
      <c r="HFY507" s="325"/>
      <c r="HFZ507" s="325"/>
      <c r="HGA507" s="327"/>
      <c r="HGB507" s="28"/>
      <c r="HGC507" s="324"/>
      <c r="HGD507" s="324"/>
      <c r="HGE507" s="324"/>
      <c r="HGF507" s="324"/>
      <c r="HGG507" s="324"/>
      <c r="HGH507" s="324"/>
      <c r="HGI507" s="256"/>
      <c r="HGJ507" s="325"/>
      <c r="HGK507" s="311"/>
      <c r="HGL507" s="325"/>
      <c r="HGM507" s="310"/>
      <c r="HGN507" s="325"/>
      <c r="HGO507" s="325"/>
      <c r="HGP507" s="325"/>
      <c r="HGQ507" s="325"/>
      <c r="HGR507" s="325"/>
      <c r="HGS507" s="325"/>
      <c r="HGT507" s="325"/>
      <c r="HGU507" s="325"/>
      <c r="HGV507" s="325"/>
      <c r="HGW507" s="325"/>
      <c r="HGX507" s="325"/>
      <c r="HGY507" s="325"/>
      <c r="HGZ507" s="325"/>
      <c r="HHA507" s="325"/>
      <c r="HHB507" s="325"/>
      <c r="HHC507" s="325"/>
      <c r="HHD507" s="325"/>
      <c r="HHE507" s="325"/>
      <c r="HHF507" s="325"/>
      <c r="HHG507" s="325"/>
      <c r="HHH507" s="325"/>
      <c r="HHI507" s="325"/>
      <c r="HHJ507" s="325"/>
      <c r="HHK507" s="325"/>
      <c r="HHL507" s="325"/>
      <c r="HHM507" s="325"/>
      <c r="HHN507" s="325"/>
      <c r="HHO507" s="325"/>
      <c r="HHP507" s="325"/>
      <c r="HHQ507" s="325"/>
      <c r="HHR507" s="327"/>
      <c r="HHS507" s="28"/>
      <c r="HHT507" s="324"/>
      <c r="HHU507" s="324"/>
      <c r="HHV507" s="324"/>
      <c r="HHW507" s="324"/>
      <c r="HHX507" s="324"/>
      <c r="HHY507" s="324"/>
      <c r="HHZ507" s="256"/>
      <c r="HIA507" s="325"/>
      <c r="HIB507" s="311"/>
      <c r="HIC507" s="325"/>
      <c r="HID507" s="310"/>
      <c r="HIE507" s="325"/>
      <c r="HIF507" s="325"/>
      <c r="HIG507" s="325"/>
      <c r="HIH507" s="325"/>
      <c r="HII507" s="325"/>
      <c r="HIJ507" s="325"/>
      <c r="HIK507" s="325"/>
      <c r="HIL507" s="325"/>
      <c r="HIM507" s="325"/>
      <c r="HIN507" s="325"/>
      <c r="HIO507" s="325"/>
      <c r="HIP507" s="325"/>
      <c r="HIQ507" s="325"/>
      <c r="HIR507" s="325"/>
      <c r="HIS507" s="325"/>
      <c r="HIT507" s="325"/>
      <c r="HIU507" s="325"/>
      <c r="HIV507" s="325"/>
      <c r="HIW507" s="325"/>
      <c r="HIX507" s="325"/>
      <c r="HIY507" s="325"/>
      <c r="HIZ507" s="325"/>
      <c r="HJA507" s="325"/>
      <c r="HJB507" s="325"/>
      <c r="HJC507" s="325"/>
      <c r="HJD507" s="325"/>
      <c r="HJE507" s="325"/>
      <c r="HJF507" s="325"/>
      <c r="HJG507" s="325"/>
      <c r="HJH507" s="325"/>
      <c r="HJI507" s="327"/>
      <c r="HJJ507" s="28"/>
      <c r="HJK507" s="324"/>
      <c r="HJL507" s="324"/>
      <c r="HJM507" s="324"/>
      <c r="HJN507" s="324"/>
      <c r="HJO507" s="324"/>
      <c r="HJP507" s="324"/>
      <c r="HJQ507" s="256"/>
      <c r="HJR507" s="325"/>
      <c r="HJS507" s="311"/>
      <c r="HJT507" s="325"/>
      <c r="HJU507" s="310"/>
      <c r="HJV507" s="325"/>
      <c r="HJW507" s="325"/>
      <c r="HJX507" s="325"/>
      <c r="HJY507" s="325"/>
      <c r="HJZ507" s="325"/>
      <c r="HKA507" s="325"/>
      <c r="HKB507" s="325"/>
      <c r="HKC507" s="325"/>
      <c r="HKD507" s="325"/>
      <c r="HKE507" s="325"/>
      <c r="HKF507" s="325"/>
      <c r="HKG507" s="325"/>
      <c r="HKH507" s="325"/>
      <c r="HKI507" s="325"/>
      <c r="HKJ507" s="325"/>
      <c r="HKK507" s="325"/>
      <c r="HKL507" s="325"/>
      <c r="HKM507" s="325"/>
      <c r="HKN507" s="325"/>
      <c r="HKO507" s="325"/>
      <c r="HKP507" s="325"/>
      <c r="HKQ507" s="325"/>
      <c r="HKR507" s="325"/>
      <c r="HKS507" s="325"/>
      <c r="HKT507" s="325"/>
      <c r="HKU507" s="325"/>
      <c r="HKV507" s="325"/>
      <c r="HKW507" s="325"/>
      <c r="HKX507" s="325"/>
      <c r="HKY507" s="325"/>
      <c r="HKZ507" s="327"/>
      <c r="HLA507" s="28"/>
      <c r="HLB507" s="324"/>
      <c r="HLC507" s="324"/>
      <c r="HLD507" s="324"/>
      <c r="HLE507" s="324"/>
      <c r="HLF507" s="324"/>
      <c r="HLG507" s="324"/>
      <c r="HLH507" s="256"/>
      <c r="HLI507" s="325"/>
      <c r="HLJ507" s="311"/>
      <c r="HLK507" s="325"/>
      <c r="HLL507" s="310"/>
      <c r="HLM507" s="325"/>
      <c r="HLN507" s="325"/>
      <c r="HLO507" s="325"/>
      <c r="HLP507" s="325"/>
      <c r="HLQ507" s="325"/>
      <c r="HLR507" s="325"/>
      <c r="HLS507" s="325"/>
      <c r="HLT507" s="325"/>
      <c r="HLU507" s="325"/>
      <c r="HLV507" s="325"/>
      <c r="HLW507" s="325"/>
      <c r="HLX507" s="325"/>
      <c r="HLY507" s="325"/>
      <c r="HLZ507" s="325"/>
      <c r="HMA507" s="325"/>
      <c r="HMB507" s="325"/>
      <c r="HMC507" s="325"/>
      <c r="HMD507" s="325"/>
      <c r="HME507" s="325"/>
      <c r="HMF507" s="325"/>
      <c r="HMG507" s="325"/>
      <c r="HMH507" s="325"/>
      <c r="HMI507" s="325"/>
      <c r="HMJ507" s="325"/>
      <c r="HMK507" s="325"/>
      <c r="HML507" s="325"/>
      <c r="HMM507" s="325"/>
      <c r="HMN507" s="325"/>
      <c r="HMO507" s="325"/>
      <c r="HMP507" s="325"/>
      <c r="HMQ507" s="327"/>
      <c r="HMR507" s="28"/>
      <c r="HMS507" s="324"/>
      <c r="HMT507" s="324"/>
      <c r="HMU507" s="324"/>
      <c r="HMV507" s="324"/>
      <c r="HMW507" s="324"/>
      <c r="HMX507" s="324"/>
      <c r="HMY507" s="256"/>
      <c r="HMZ507" s="325"/>
      <c r="HNA507" s="311"/>
      <c r="HNB507" s="325"/>
      <c r="HNC507" s="310"/>
      <c r="HND507" s="325"/>
      <c r="HNE507" s="325"/>
      <c r="HNF507" s="325"/>
      <c r="HNG507" s="325"/>
      <c r="HNH507" s="325"/>
      <c r="HNI507" s="325"/>
      <c r="HNJ507" s="325"/>
      <c r="HNK507" s="325"/>
      <c r="HNL507" s="325"/>
      <c r="HNM507" s="325"/>
      <c r="HNN507" s="325"/>
      <c r="HNO507" s="325"/>
      <c r="HNP507" s="325"/>
      <c r="HNQ507" s="325"/>
      <c r="HNR507" s="325"/>
      <c r="HNS507" s="325"/>
      <c r="HNT507" s="325"/>
      <c r="HNU507" s="325"/>
      <c r="HNV507" s="325"/>
      <c r="HNW507" s="325"/>
      <c r="HNX507" s="325"/>
      <c r="HNY507" s="325"/>
      <c r="HNZ507" s="325"/>
      <c r="HOA507" s="325"/>
      <c r="HOB507" s="325"/>
      <c r="HOC507" s="325"/>
      <c r="HOD507" s="325"/>
      <c r="HOE507" s="325"/>
      <c r="HOF507" s="325"/>
      <c r="HOG507" s="325"/>
      <c r="HOH507" s="327"/>
      <c r="HOI507" s="28"/>
      <c r="HOJ507" s="324"/>
      <c r="HOK507" s="324"/>
      <c r="HOL507" s="324"/>
      <c r="HOM507" s="324"/>
      <c r="HON507" s="324"/>
      <c r="HOO507" s="324"/>
      <c r="HOP507" s="256"/>
      <c r="HOQ507" s="325"/>
      <c r="HOR507" s="311"/>
      <c r="HOS507" s="325"/>
      <c r="HOT507" s="310"/>
      <c r="HOU507" s="325"/>
      <c r="HOV507" s="325"/>
      <c r="HOW507" s="325"/>
      <c r="HOX507" s="325"/>
      <c r="HOY507" s="325"/>
      <c r="HOZ507" s="325"/>
      <c r="HPA507" s="325"/>
      <c r="HPB507" s="325"/>
      <c r="HPC507" s="325"/>
      <c r="HPD507" s="325"/>
      <c r="HPE507" s="325"/>
      <c r="HPF507" s="325"/>
      <c r="HPG507" s="325"/>
      <c r="HPH507" s="325"/>
      <c r="HPI507" s="325"/>
      <c r="HPJ507" s="325"/>
      <c r="HPK507" s="325"/>
      <c r="HPL507" s="325"/>
      <c r="HPM507" s="325"/>
      <c r="HPN507" s="325"/>
      <c r="HPO507" s="325"/>
      <c r="HPP507" s="325"/>
      <c r="HPQ507" s="325"/>
      <c r="HPR507" s="325"/>
      <c r="HPS507" s="325"/>
      <c r="HPT507" s="325"/>
      <c r="HPU507" s="325"/>
      <c r="HPV507" s="325"/>
      <c r="HPW507" s="325"/>
      <c r="HPX507" s="325"/>
      <c r="HPY507" s="327"/>
      <c r="HPZ507" s="28"/>
      <c r="HQA507" s="324"/>
      <c r="HQB507" s="324"/>
      <c r="HQC507" s="324"/>
      <c r="HQD507" s="324"/>
      <c r="HQE507" s="324"/>
      <c r="HQF507" s="324"/>
      <c r="HQG507" s="256"/>
      <c r="HQH507" s="325"/>
      <c r="HQI507" s="311"/>
      <c r="HQJ507" s="325"/>
      <c r="HQK507" s="310"/>
      <c r="HQL507" s="325"/>
      <c r="HQM507" s="325"/>
      <c r="HQN507" s="325"/>
      <c r="HQO507" s="325"/>
      <c r="HQP507" s="325"/>
      <c r="HQQ507" s="325"/>
      <c r="HQR507" s="325"/>
      <c r="HQS507" s="325"/>
      <c r="HQT507" s="325"/>
      <c r="HQU507" s="325"/>
      <c r="HQV507" s="325"/>
      <c r="HQW507" s="325"/>
      <c r="HQX507" s="325"/>
      <c r="HQY507" s="325"/>
      <c r="HQZ507" s="325"/>
      <c r="HRA507" s="325"/>
      <c r="HRB507" s="325"/>
      <c r="HRC507" s="325"/>
      <c r="HRD507" s="325"/>
      <c r="HRE507" s="325"/>
      <c r="HRF507" s="325"/>
      <c r="HRG507" s="325"/>
      <c r="HRH507" s="325"/>
      <c r="HRI507" s="325"/>
      <c r="HRJ507" s="325"/>
      <c r="HRK507" s="325"/>
      <c r="HRL507" s="325"/>
      <c r="HRM507" s="325"/>
      <c r="HRN507" s="325"/>
      <c r="HRO507" s="325"/>
      <c r="HRP507" s="327"/>
      <c r="HRQ507" s="28"/>
      <c r="HRR507" s="324"/>
      <c r="HRS507" s="324"/>
      <c r="HRT507" s="324"/>
      <c r="HRU507" s="324"/>
      <c r="HRV507" s="324"/>
      <c r="HRW507" s="324"/>
      <c r="HRX507" s="256"/>
      <c r="HRY507" s="325"/>
      <c r="HRZ507" s="311"/>
      <c r="HSA507" s="325"/>
      <c r="HSB507" s="310"/>
      <c r="HSC507" s="325"/>
      <c r="HSD507" s="325"/>
      <c r="HSE507" s="325"/>
      <c r="HSF507" s="325"/>
      <c r="HSG507" s="325"/>
      <c r="HSH507" s="325"/>
      <c r="HSI507" s="325"/>
      <c r="HSJ507" s="325"/>
      <c r="HSK507" s="325"/>
      <c r="HSL507" s="325"/>
      <c r="HSM507" s="325"/>
      <c r="HSN507" s="325"/>
      <c r="HSO507" s="325"/>
      <c r="HSP507" s="325"/>
      <c r="HSQ507" s="325"/>
      <c r="HSR507" s="325"/>
      <c r="HSS507" s="325"/>
      <c r="HST507" s="325"/>
      <c r="HSU507" s="325"/>
      <c r="HSV507" s="325"/>
      <c r="HSW507" s="325"/>
      <c r="HSX507" s="325"/>
      <c r="HSY507" s="325"/>
      <c r="HSZ507" s="325"/>
      <c r="HTA507" s="325"/>
      <c r="HTB507" s="325"/>
      <c r="HTC507" s="325"/>
      <c r="HTD507" s="325"/>
      <c r="HTE507" s="325"/>
      <c r="HTF507" s="325"/>
      <c r="HTG507" s="327"/>
      <c r="HTH507" s="28"/>
      <c r="HTI507" s="324"/>
      <c r="HTJ507" s="324"/>
      <c r="HTK507" s="324"/>
      <c r="HTL507" s="324"/>
      <c r="HTM507" s="324"/>
      <c r="HTN507" s="324"/>
      <c r="HTO507" s="256"/>
      <c r="HTP507" s="325"/>
      <c r="HTQ507" s="311"/>
      <c r="HTR507" s="325"/>
      <c r="HTS507" s="310"/>
      <c r="HTT507" s="325"/>
      <c r="HTU507" s="325"/>
      <c r="HTV507" s="325"/>
      <c r="HTW507" s="325"/>
      <c r="HTX507" s="325"/>
      <c r="HTY507" s="325"/>
      <c r="HTZ507" s="325"/>
      <c r="HUA507" s="325"/>
      <c r="HUB507" s="325"/>
      <c r="HUC507" s="325"/>
      <c r="HUD507" s="325"/>
      <c r="HUE507" s="325"/>
      <c r="HUF507" s="325"/>
      <c r="HUG507" s="325"/>
      <c r="HUH507" s="325"/>
      <c r="HUI507" s="325"/>
      <c r="HUJ507" s="325"/>
      <c r="HUK507" s="325"/>
      <c r="HUL507" s="325"/>
      <c r="HUM507" s="325"/>
      <c r="HUN507" s="325"/>
      <c r="HUO507" s="325"/>
      <c r="HUP507" s="325"/>
      <c r="HUQ507" s="325"/>
      <c r="HUR507" s="325"/>
      <c r="HUS507" s="325"/>
      <c r="HUT507" s="325"/>
      <c r="HUU507" s="325"/>
      <c r="HUV507" s="325"/>
      <c r="HUW507" s="325"/>
      <c r="HUX507" s="327"/>
      <c r="HUY507" s="28"/>
      <c r="HUZ507" s="324"/>
      <c r="HVA507" s="324"/>
      <c r="HVB507" s="324"/>
      <c r="HVC507" s="324"/>
      <c r="HVD507" s="324"/>
      <c r="HVE507" s="324"/>
      <c r="HVF507" s="256"/>
      <c r="HVG507" s="325"/>
      <c r="HVH507" s="311"/>
      <c r="HVI507" s="325"/>
      <c r="HVJ507" s="310"/>
      <c r="HVK507" s="325"/>
      <c r="HVL507" s="325"/>
      <c r="HVM507" s="325"/>
      <c r="HVN507" s="325"/>
      <c r="HVO507" s="325"/>
      <c r="HVP507" s="325"/>
      <c r="HVQ507" s="325"/>
      <c r="HVR507" s="325"/>
      <c r="HVS507" s="325"/>
      <c r="HVT507" s="325"/>
      <c r="HVU507" s="325"/>
      <c r="HVV507" s="325"/>
      <c r="HVW507" s="325"/>
      <c r="HVX507" s="325"/>
      <c r="HVY507" s="325"/>
      <c r="HVZ507" s="325"/>
      <c r="HWA507" s="325"/>
      <c r="HWB507" s="325"/>
      <c r="HWC507" s="325"/>
      <c r="HWD507" s="325"/>
      <c r="HWE507" s="325"/>
      <c r="HWF507" s="325"/>
      <c r="HWG507" s="325"/>
      <c r="HWH507" s="325"/>
      <c r="HWI507" s="325"/>
      <c r="HWJ507" s="325"/>
      <c r="HWK507" s="325"/>
      <c r="HWL507" s="325"/>
      <c r="HWM507" s="325"/>
      <c r="HWN507" s="325"/>
      <c r="HWO507" s="327"/>
      <c r="HWP507" s="28"/>
      <c r="HWQ507" s="324"/>
      <c r="HWR507" s="324"/>
      <c r="HWS507" s="324"/>
      <c r="HWT507" s="324"/>
      <c r="HWU507" s="324"/>
      <c r="HWV507" s="324"/>
      <c r="HWW507" s="256"/>
      <c r="HWX507" s="325"/>
      <c r="HWY507" s="311"/>
      <c r="HWZ507" s="325"/>
      <c r="HXA507" s="310"/>
      <c r="HXB507" s="325"/>
      <c r="HXC507" s="325"/>
      <c r="HXD507" s="325"/>
      <c r="HXE507" s="325"/>
      <c r="HXF507" s="325"/>
      <c r="HXG507" s="325"/>
      <c r="HXH507" s="325"/>
      <c r="HXI507" s="325"/>
      <c r="HXJ507" s="325"/>
      <c r="HXK507" s="325"/>
      <c r="HXL507" s="325"/>
      <c r="HXM507" s="325"/>
      <c r="HXN507" s="325"/>
      <c r="HXO507" s="325"/>
      <c r="HXP507" s="325"/>
      <c r="HXQ507" s="325"/>
      <c r="HXR507" s="325"/>
      <c r="HXS507" s="325"/>
      <c r="HXT507" s="325"/>
      <c r="HXU507" s="325"/>
      <c r="HXV507" s="325"/>
      <c r="HXW507" s="325"/>
      <c r="HXX507" s="325"/>
      <c r="HXY507" s="325"/>
      <c r="HXZ507" s="325"/>
      <c r="HYA507" s="325"/>
      <c r="HYB507" s="325"/>
      <c r="HYC507" s="325"/>
      <c r="HYD507" s="325"/>
      <c r="HYE507" s="325"/>
      <c r="HYF507" s="327"/>
      <c r="HYG507" s="28"/>
      <c r="HYH507" s="324"/>
      <c r="HYI507" s="324"/>
      <c r="HYJ507" s="324"/>
      <c r="HYK507" s="324"/>
      <c r="HYL507" s="324"/>
      <c r="HYM507" s="324"/>
      <c r="HYN507" s="256"/>
      <c r="HYO507" s="325"/>
      <c r="HYP507" s="311"/>
      <c r="HYQ507" s="325"/>
      <c r="HYR507" s="310"/>
      <c r="HYS507" s="325"/>
      <c r="HYT507" s="325"/>
      <c r="HYU507" s="325"/>
      <c r="HYV507" s="325"/>
      <c r="HYW507" s="325"/>
      <c r="HYX507" s="325"/>
      <c r="HYY507" s="325"/>
      <c r="HYZ507" s="325"/>
      <c r="HZA507" s="325"/>
      <c r="HZB507" s="325"/>
      <c r="HZC507" s="325"/>
      <c r="HZD507" s="325"/>
      <c r="HZE507" s="325"/>
      <c r="HZF507" s="325"/>
      <c r="HZG507" s="325"/>
      <c r="HZH507" s="325"/>
      <c r="HZI507" s="325"/>
      <c r="HZJ507" s="325"/>
      <c r="HZK507" s="325"/>
      <c r="HZL507" s="325"/>
      <c r="HZM507" s="325"/>
      <c r="HZN507" s="325"/>
      <c r="HZO507" s="325"/>
      <c r="HZP507" s="325"/>
      <c r="HZQ507" s="325"/>
      <c r="HZR507" s="325"/>
      <c r="HZS507" s="325"/>
      <c r="HZT507" s="325"/>
      <c r="HZU507" s="325"/>
      <c r="HZV507" s="325"/>
      <c r="HZW507" s="327"/>
      <c r="HZX507" s="28"/>
      <c r="HZY507" s="324"/>
      <c r="HZZ507" s="324"/>
      <c r="IAA507" s="324"/>
      <c r="IAB507" s="324"/>
      <c r="IAC507" s="324"/>
      <c r="IAD507" s="324"/>
      <c r="IAE507" s="256"/>
      <c r="IAF507" s="325"/>
      <c r="IAG507" s="311"/>
      <c r="IAH507" s="325"/>
      <c r="IAI507" s="310"/>
      <c r="IAJ507" s="325"/>
      <c r="IAK507" s="325"/>
      <c r="IAL507" s="325"/>
      <c r="IAM507" s="325"/>
      <c r="IAN507" s="325"/>
      <c r="IAO507" s="325"/>
      <c r="IAP507" s="325"/>
      <c r="IAQ507" s="325"/>
      <c r="IAR507" s="325"/>
      <c r="IAS507" s="325"/>
      <c r="IAT507" s="325"/>
      <c r="IAU507" s="325"/>
      <c r="IAV507" s="325"/>
      <c r="IAW507" s="325"/>
      <c r="IAX507" s="325"/>
      <c r="IAY507" s="325"/>
      <c r="IAZ507" s="325"/>
      <c r="IBA507" s="325"/>
      <c r="IBB507" s="325"/>
      <c r="IBC507" s="325"/>
      <c r="IBD507" s="325"/>
      <c r="IBE507" s="325"/>
      <c r="IBF507" s="325"/>
      <c r="IBG507" s="325"/>
      <c r="IBH507" s="325"/>
      <c r="IBI507" s="325"/>
      <c r="IBJ507" s="325"/>
      <c r="IBK507" s="325"/>
      <c r="IBL507" s="325"/>
      <c r="IBM507" s="325"/>
      <c r="IBN507" s="327"/>
      <c r="IBO507" s="28"/>
      <c r="IBP507" s="324"/>
      <c r="IBQ507" s="324"/>
      <c r="IBR507" s="324"/>
      <c r="IBS507" s="324"/>
      <c r="IBT507" s="324"/>
      <c r="IBU507" s="324"/>
      <c r="IBV507" s="256"/>
      <c r="IBW507" s="325"/>
      <c r="IBX507" s="311"/>
      <c r="IBY507" s="325"/>
      <c r="IBZ507" s="310"/>
      <c r="ICA507" s="325"/>
      <c r="ICB507" s="325"/>
      <c r="ICC507" s="325"/>
      <c r="ICD507" s="325"/>
      <c r="ICE507" s="325"/>
      <c r="ICF507" s="325"/>
      <c r="ICG507" s="325"/>
      <c r="ICH507" s="325"/>
      <c r="ICI507" s="325"/>
      <c r="ICJ507" s="325"/>
      <c r="ICK507" s="325"/>
      <c r="ICL507" s="325"/>
      <c r="ICM507" s="325"/>
      <c r="ICN507" s="325"/>
      <c r="ICO507" s="325"/>
      <c r="ICP507" s="325"/>
      <c r="ICQ507" s="325"/>
      <c r="ICR507" s="325"/>
      <c r="ICS507" s="325"/>
      <c r="ICT507" s="325"/>
      <c r="ICU507" s="325"/>
      <c r="ICV507" s="325"/>
      <c r="ICW507" s="325"/>
      <c r="ICX507" s="325"/>
      <c r="ICY507" s="325"/>
      <c r="ICZ507" s="325"/>
      <c r="IDA507" s="325"/>
      <c r="IDB507" s="325"/>
      <c r="IDC507" s="325"/>
      <c r="IDD507" s="325"/>
      <c r="IDE507" s="327"/>
      <c r="IDF507" s="28"/>
      <c r="IDG507" s="324"/>
      <c r="IDH507" s="324"/>
      <c r="IDI507" s="324"/>
      <c r="IDJ507" s="324"/>
      <c r="IDK507" s="324"/>
      <c r="IDL507" s="324"/>
      <c r="IDM507" s="256"/>
      <c r="IDN507" s="325"/>
      <c r="IDO507" s="311"/>
      <c r="IDP507" s="325"/>
      <c r="IDQ507" s="310"/>
      <c r="IDR507" s="325"/>
      <c r="IDS507" s="325"/>
      <c r="IDT507" s="325"/>
      <c r="IDU507" s="325"/>
      <c r="IDV507" s="325"/>
      <c r="IDW507" s="325"/>
      <c r="IDX507" s="325"/>
      <c r="IDY507" s="325"/>
      <c r="IDZ507" s="325"/>
      <c r="IEA507" s="325"/>
      <c r="IEB507" s="325"/>
      <c r="IEC507" s="325"/>
      <c r="IED507" s="325"/>
      <c r="IEE507" s="325"/>
      <c r="IEF507" s="325"/>
      <c r="IEG507" s="325"/>
      <c r="IEH507" s="325"/>
      <c r="IEI507" s="325"/>
      <c r="IEJ507" s="325"/>
      <c r="IEK507" s="325"/>
      <c r="IEL507" s="325"/>
      <c r="IEM507" s="325"/>
      <c r="IEN507" s="325"/>
      <c r="IEO507" s="325"/>
      <c r="IEP507" s="325"/>
      <c r="IEQ507" s="325"/>
      <c r="IER507" s="325"/>
      <c r="IES507" s="325"/>
      <c r="IET507" s="325"/>
      <c r="IEU507" s="325"/>
      <c r="IEV507" s="327"/>
      <c r="IEW507" s="28"/>
      <c r="IEX507" s="324"/>
      <c r="IEY507" s="324"/>
      <c r="IEZ507" s="324"/>
      <c r="IFA507" s="324"/>
      <c r="IFB507" s="324"/>
      <c r="IFC507" s="324"/>
      <c r="IFD507" s="256"/>
      <c r="IFE507" s="325"/>
      <c r="IFF507" s="311"/>
      <c r="IFG507" s="325"/>
      <c r="IFH507" s="310"/>
      <c r="IFI507" s="325"/>
      <c r="IFJ507" s="325"/>
      <c r="IFK507" s="325"/>
      <c r="IFL507" s="325"/>
      <c r="IFM507" s="325"/>
      <c r="IFN507" s="325"/>
      <c r="IFO507" s="325"/>
      <c r="IFP507" s="325"/>
      <c r="IFQ507" s="325"/>
      <c r="IFR507" s="325"/>
      <c r="IFS507" s="325"/>
      <c r="IFT507" s="325"/>
      <c r="IFU507" s="325"/>
      <c r="IFV507" s="325"/>
      <c r="IFW507" s="325"/>
      <c r="IFX507" s="325"/>
      <c r="IFY507" s="325"/>
      <c r="IFZ507" s="325"/>
      <c r="IGA507" s="325"/>
      <c r="IGB507" s="325"/>
      <c r="IGC507" s="325"/>
      <c r="IGD507" s="325"/>
      <c r="IGE507" s="325"/>
      <c r="IGF507" s="325"/>
      <c r="IGG507" s="325"/>
      <c r="IGH507" s="325"/>
      <c r="IGI507" s="325"/>
      <c r="IGJ507" s="325"/>
      <c r="IGK507" s="325"/>
      <c r="IGL507" s="325"/>
      <c r="IGM507" s="327"/>
      <c r="IGN507" s="28"/>
      <c r="IGO507" s="324"/>
      <c r="IGP507" s="324"/>
      <c r="IGQ507" s="324"/>
      <c r="IGR507" s="324"/>
      <c r="IGS507" s="324"/>
      <c r="IGT507" s="324"/>
      <c r="IGU507" s="256"/>
      <c r="IGV507" s="325"/>
      <c r="IGW507" s="311"/>
      <c r="IGX507" s="325"/>
      <c r="IGY507" s="310"/>
      <c r="IGZ507" s="325"/>
      <c r="IHA507" s="325"/>
      <c r="IHB507" s="325"/>
      <c r="IHC507" s="325"/>
      <c r="IHD507" s="325"/>
      <c r="IHE507" s="325"/>
      <c r="IHF507" s="325"/>
      <c r="IHG507" s="325"/>
      <c r="IHH507" s="325"/>
      <c r="IHI507" s="325"/>
      <c r="IHJ507" s="325"/>
      <c r="IHK507" s="325"/>
      <c r="IHL507" s="325"/>
      <c r="IHM507" s="325"/>
      <c r="IHN507" s="325"/>
      <c r="IHO507" s="325"/>
      <c r="IHP507" s="325"/>
      <c r="IHQ507" s="325"/>
      <c r="IHR507" s="325"/>
      <c r="IHS507" s="325"/>
      <c r="IHT507" s="325"/>
      <c r="IHU507" s="325"/>
      <c r="IHV507" s="325"/>
      <c r="IHW507" s="325"/>
      <c r="IHX507" s="325"/>
      <c r="IHY507" s="325"/>
      <c r="IHZ507" s="325"/>
      <c r="IIA507" s="325"/>
      <c r="IIB507" s="325"/>
      <c r="IIC507" s="325"/>
      <c r="IID507" s="327"/>
      <c r="IIE507" s="28"/>
      <c r="IIF507" s="324"/>
      <c r="IIG507" s="324"/>
      <c r="IIH507" s="324"/>
      <c r="III507" s="324"/>
      <c r="IIJ507" s="324"/>
      <c r="IIK507" s="324"/>
      <c r="IIL507" s="256"/>
      <c r="IIM507" s="325"/>
      <c r="IIN507" s="311"/>
      <c r="IIO507" s="325"/>
      <c r="IIP507" s="310"/>
      <c r="IIQ507" s="325"/>
      <c r="IIR507" s="325"/>
      <c r="IIS507" s="325"/>
      <c r="IIT507" s="325"/>
      <c r="IIU507" s="325"/>
      <c r="IIV507" s="325"/>
      <c r="IIW507" s="325"/>
      <c r="IIX507" s="325"/>
      <c r="IIY507" s="325"/>
      <c r="IIZ507" s="325"/>
      <c r="IJA507" s="325"/>
      <c r="IJB507" s="325"/>
      <c r="IJC507" s="325"/>
      <c r="IJD507" s="325"/>
      <c r="IJE507" s="325"/>
      <c r="IJF507" s="325"/>
      <c r="IJG507" s="325"/>
      <c r="IJH507" s="325"/>
      <c r="IJI507" s="325"/>
      <c r="IJJ507" s="325"/>
      <c r="IJK507" s="325"/>
      <c r="IJL507" s="325"/>
      <c r="IJM507" s="325"/>
      <c r="IJN507" s="325"/>
      <c r="IJO507" s="325"/>
      <c r="IJP507" s="325"/>
      <c r="IJQ507" s="325"/>
      <c r="IJR507" s="325"/>
      <c r="IJS507" s="325"/>
      <c r="IJT507" s="325"/>
      <c r="IJU507" s="327"/>
      <c r="IJV507" s="28"/>
      <c r="IJW507" s="324"/>
      <c r="IJX507" s="324"/>
      <c r="IJY507" s="324"/>
      <c r="IJZ507" s="324"/>
      <c r="IKA507" s="324"/>
      <c r="IKB507" s="324"/>
      <c r="IKC507" s="256"/>
      <c r="IKD507" s="325"/>
      <c r="IKE507" s="311"/>
      <c r="IKF507" s="325"/>
      <c r="IKG507" s="310"/>
      <c r="IKH507" s="325"/>
      <c r="IKI507" s="325"/>
      <c r="IKJ507" s="325"/>
      <c r="IKK507" s="325"/>
      <c r="IKL507" s="325"/>
      <c r="IKM507" s="325"/>
      <c r="IKN507" s="325"/>
      <c r="IKO507" s="325"/>
      <c r="IKP507" s="325"/>
      <c r="IKQ507" s="325"/>
      <c r="IKR507" s="325"/>
      <c r="IKS507" s="325"/>
      <c r="IKT507" s="325"/>
      <c r="IKU507" s="325"/>
      <c r="IKV507" s="325"/>
      <c r="IKW507" s="325"/>
      <c r="IKX507" s="325"/>
      <c r="IKY507" s="325"/>
      <c r="IKZ507" s="325"/>
      <c r="ILA507" s="325"/>
      <c r="ILB507" s="325"/>
      <c r="ILC507" s="325"/>
      <c r="ILD507" s="325"/>
      <c r="ILE507" s="325"/>
      <c r="ILF507" s="325"/>
      <c r="ILG507" s="325"/>
      <c r="ILH507" s="325"/>
      <c r="ILI507" s="325"/>
      <c r="ILJ507" s="325"/>
      <c r="ILK507" s="325"/>
      <c r="ILL507" s="327"/>
      <c r="ILM507" s="28"/>
      <c r="ILN507" s="324"/>
      <c r="ILO507" s="324"/>
      <c r="ILP507" s="324"/>
      <c r="ILQ507" s="324"/>
      <c r="ILR507" s="324"/>
      <c r="ILS507" s="324"/>
      <c r="ILT507" s="256"/>
      <c r="ILU507" s="325"/>
      <c r="ILV507" s="311"/>
      <c r="ILW507" s="325"/>
      <c r="ILX507" s="310"/>
      <c r="ILY507" s="325"/>
      <c r="ILZ507" s="325"/>
      <c r="IMA507" s="325"/>
      <c r="IMB507" s="325"/>
      <c r="IMC507" s="325"/>
      <c r="IMD507" s="325"/>
      <c r="IME507" s="325"/>
      <c r="IMF507" s="325"/>
      <c r="IMG507" s="325"/>
      <c r="IMH507" s="325"/>
      <c r="IMI507" s="325"/>
      <c r="IMJ507" s="325"/>
      <c r="IMK507" s="325"/>
      <c r="IML507" s="325"/>
      <c r="IMM507" s="325"/>
      <c r="IMN507" s="325"/>
      <c r="IMO507" s="325"/>
      <c r="IMP507" s="325"/>
      <c r="IMQ507" s="325"/>
      <c r="IMR507" s="325"/>
      <c r="IMS507" s="325"/>
      <c r="IMT507" s="325"/>
      <c r="IMU507" s="325"/>
      <c r="IMV507" s="325"/>
      <c r="IMW507" s="325"/>
      <c r="IMX507" s="325"/>
      <c r="IMY507" s="325"/>
      <c r="IMZ507" s="325"/>
      <c r="INA507" s="325"/>
      <c r="INB507" s="325"/>
      <c r="INC507" s="327"/>
      <c r="IND507" s="28"/>
      <c r="INE507" s="324"/>
      <c r="INF507" s="324"/>
      <c r="ING507" s="324"/>
      <c r="INH507" s="324"/>
      <c r="INI507" s="324"/>
      <c r="INJ507" s="324"/>
      <c r="INK507" s="256"/>
      <c r="INL507" s="325"/>
      <c r="INM507" s="311"/>
      <c r="INN507" s="325"/>
      <c r="INO507" s="310"/>
      <c r="INP507" s="325"/>
      <c r="INQ507" s="325"/>
      <c r="INR507" s="325"/>
      <c r="INS507" s="325"/>
      <c r="INT507" s="325"/>
      <c r="INU507" s="325"/>
      <c r="INV507" s="325"/>
      <c r="INW507" s="325"/>
      <c r="INX507" s="325"/>
      <c r="INY507" s="325"/>
      <c r="INZ507" s="325"/>
      <c r="IOA507" s="325"/>
      <c r="IOB507" s="325"/>
      <c r="IOC507" s="325"/>
      <c r="IOD507" s="325"/>
      <c r="IOE507" s="325"/>
      <c r="IOF507" s="325"/>
      <c r="IOG507" s="325"/>
      <c r="IOH507" s="325"/>
      <c r="IOI507" s="325"/>
      <c r="IOJ507" s="325"/>
      <c r="IOK507" s="325"/>
      <c r="IOL507" s="325"/>
      <c r="IOM507" s="325"/>
      <c r="ION507" s="325"/>
      <c r="IOO507" s="325"/>
      <c r="IOP507" s="325"/>
      <c r="IOQ507" s="325"/>
      <c r="IOR507" s="325"/>
      <c r="IOS507" s="325"/>
      <c r="IOT507" s="327"/>
      <c r="IOU507" s="28"/>
      <c r="IOV507" s="324"/>
      <c r="IOW507" s="324"/>
      <c r="IOX507" s="324"/>
      <c r="IOY507" s="324"/>
      <c r="IOZ507" s="324"/>
      <c r="IPA507" s="324"/>
      <c r="IPB507" s="256"/>
      <c r="IPC507" s="325"/>
      <c r="IPD507" s="311"/>
      <c r="IPE507" s="325"/>
      <c r="IPF507" s="310"/>
      <c r="IPG507" s="325"/>
      <c r="IPH507" s="325"/>
      <c r="IPI507" s="325"/>
      <c r="IPJ507" s="325"/>
      <c r="IPK507" s="325"/>
      <c r="IPL507" s="325"/>
      <c r="IPM507" s="325"/>
      <c r="IPN507" s="325"/>
      <c r="IPO507" s="325"/>
      <c r="IPP507" s="325"/>
      <c r="IPQ507" s="325"/>
      <c r="IPR507" s="325"/>
      <c r="IPS507" s="325"/>
      <c r="IPT507" s="325"/>
      <c r="IPU507" s="325"/>
      <c r="IPV507" s="325"/>
      <c r="IPW507" s="325"/>
      <c r="IPX507" s="325"/>
      <c r="IPY507" s="325"/>
      <c r="IPZ507" s="325"/>
      <c r="IQA507" s="325"/>
      <c r="IQB507" s="325"/>
      <c r="IQC507" s="325"/>
      <c r="IQD507" s="325"/>
      <c r="IQE507" s="325"/>
      <c r="IQF507" s="325"/>
      <c r="IQG507" s="325"/>
      <c r="IQH507" s="325"/>
      <c r="IQI507" s="325"/>
      <c r="IQJ507" s="325"/>
      <c r="IQK507" s="327"/>
      <c r="IQL507" s="28"/>
      <c r="IQM507" s="324"/>
      <c r="IQN507" s="324"/>
      <c r="IQO507" s="324"/>
      <c r="IQP507" s="324"/>
      <c r="IQQ507" s="324"/>
      <c r="IQR507" s="324"/>
      <c r="IQS507" s="256"/>
      <c r="IQT507" s="325"/>
      <c r="IQU507" s="311"/>
      <c r="IQV507" s="325"/>
      <c r="IQW507" s="310"/>
      <c r="IQX507" s="325"/>
      <c r="IQY507" s="325"/>
      <c r="IQZ507" s="325"/>
      <c r="IRA507" s="325"/>
      <c r="IRB507" s="325"/>
      <c r="IRC507" s="325"/>
      <c r="IRD507" s="325"/>
      <c r="IRE507" s="325"/>
      <c r="IRF507" s="325"/>
      <c r="IRG507" s="325"/>
      <c r="IRH507" s="325"/>
      <c r="IRI507" s="325"/>
      <c r="IRJ507" s="325"/>
      <c r="IRK507" s="325"/>
      <c r="IRL507" s="325"/>
      <c r="IRM507" s="325"/>
      <c r="IRN507" s="325"/>
      <c r="IRO507" s="325"/>
      <c r="IRP507" s="325"/>
      <c r="IRQ507" s="325"/>
      <c r="IRR507" s="325"/>
      <c r="IRS507" s="325"/>
      <c r="IRT507" s="325"/>
      <c r="IRU507" s="325"/>
      <c r="IRV507" s="325"/>
      <c r="IRW507" s="325"/>
      <c r="IRX507" s="325"/>
      <c r="IRY507" s="325"/>
      <c r="IRZ507" s="325"/>
      <c r="ISA507" s="325"/>
      <c r="ISB507" s="327"/>
      <c r="ISC507" s="28"/>
      <c r="ISD507" s="324"/>
      <c r="ISE507" s="324"/>
      <c r="ISF507" s="324"/>
      <c r="ISG507" s="324"/>
      <c r="ISH507" s="324"/>
      <c r="ISI507" s="324"/>
      <c r="ISJ507" s="256"/>
      <c r="ISK507" s="325"/>
      <c r="ISL507" s="311"/>
      <c r="ISM507" s="325"/>
      <c r="ISN507" s="310"/>
      <c r="ISO507" s="325"/>
      <c r="ISP507" s="325"/>
      <c r="ISQ507" s="325"/>
      <c r="ISR507" s="325"/>
      <c r="ISS507" s="325"/>
      <c r="IST507" s="325"/>
      <c r="ISU507" s="325"/>
      <c r="ISV507" s="325"/>
      <c r="ISW507" s="325"/>
      <c r="ISX507" s="325"/>
      <c r="ISY507" s="325"/>
      <c r="ISZ507" s="325"/>
      <c r="ITA507" s="325"/>
      <c r="ITB507" s="325"/>
      <c r="ITC507" s="325"/>
      <c r="ITD507" s="325"/>
      <c r="ITE507" s="325"/>
      <c r="ITF507" s="325"/>
      <c r="ITG507" s="325"/>
      <c r="ITH507" s="325"/>
      <c r="ITI507" s="325"/>
      <c r="ITJ507" s="325"/>
      <c r="ITK507" s="325"/>
      <c r="ITL507" s="325"/>
      <c r="ITM507" s="325"/>
      <c r="ITN507" s="325"/>
      <c r="ITO507" s="325"/>
      <c r="ITP507" s="325"/>
      <c r="ITQ507" s="325"/>
      <c r="ITR507" s="325"/>
      <c r="ITS507" s="327"/>
      <c r="ITT507" s="28"/>
      <c r="ITU507" s="324"/>
      <c r="ITV507" s="324"/>
      <c r="ITW507" s="324"/>
      <c r="ITX507" s="324"/>
      <c r="ITY507" s="324"/>
      <c r="ITZ507" s="324"/>
      <c r="IUA507" s="256"/>
      <c r="IUB507" s="325"/>
      <c r="IUC507" s="311"/>
      <c r="IUD507" s="325"/>
      <c r="IUE507" s="310"/>
      <c r="IUF507" s="325"/>
      <c r="IUG507" s="325"/>
      <c r="IUH507" s="325"/>
      <c r="IUI507" s="325"/>
      <c r="IUJ507" s="325"/>
      <c r="IUK507" s="325"/>
      <c r="IUL507" s="325"/>
      <c r="IUM507" s="325"/>
      <c r="IUN507" s="325"/>
      <c r="IUO507" s="325"/>
      <c r="IUP507" s="325"/>
      <c r="IUQ507" s="325"/>
      <c r="IUR507" s="325"/>
      <c r="IUS507" s="325"/>
      <c r="IUT507" s="325"/>
      <c r="IUU507" s="325"/>
      <c r="IUV507" s="325"/>
      <c r="IUW507" s="325"/>
      <c r="IUX507" s="325"/>
      <c r="IUY507" s="325"/>
      <c r="IUZ507" s="325"/>
      <c r="IVA507" s="325"/>
      <c r="IVB507" s="325"/>
      <c r="IVC507" s="325"/>
      <c r="IVD507" s="325"/>
      <c r="IVE507" s="325"/>
      <c r="IVF507" s="325"/>
      <c r="IVG507" s="325"/>
      <c r="IVH507" s="325"/>
      <c r="IVI507" s="325"/>
      <c r="IVJ507" s="327"/>
      <c r="IVK507" s="28"/>
      <c r="IVL507" s="324"/>
      <c r="IVM507" s="324"/>
      <c r="IVN507" s="324"/>
      <c r="IVO507" s="324"/>
      <c r="IVP507" s="324"/>
      <c r="IVQ507" s="324"/>
      <c r="IVR507" s="256"/>
      <c r="IVS507" s="325"/>
      <c r="IVT507" s="311"/>
      <c r="IVU507" s="325"/>
      <c r="IVV507" s="310"/>
      <c r="IVW507" s="325"/>
      <c r="IVX507" s="325"/>
      <c r="IVY507" s="325"/>
      <c r="IVZ507" s="325"/>
      <c r="IWA507" s="325"/>
      <c r="IWB507" s="325"/>
      <c r="IWC507" s="325"/>
      <c r="IWD507" s="325"/>
      <c r="IWE507" s="325"/>
      <c r="IWF507" s="325"/>
      <c r="IWG507" s="325"/>
      <c r="IWH507" s="325"/>
      <c r="IWI507" s="325"/>
      <c r="IWJ507" s="325"/>
      <c r="IWK507" s="325"/>
      <c r="IWL507" s="325"/>
      <c r="IWM507" s="325"/>
      <c r="IWN507" s="325"/>
      <c r="IWO507" s="325"/>
      <c r="IWP507" s="325"/>
      <c r="IWQ507" s="325"/>
      <c r="IWR507" s="325"/>
      <c r="IWS507" s="325"/>
      <c r="IWT507" s="325"/>
      <c r="IWU507" s="325"/>
      <c r="IWV507" s="325"/>
      <c r="IWW507" s="325"/>
      <c r="IWX507" s="325"/>
      <c r="IWY507" s="325"/>
      <c r="IWZ507" s="325"/>
      <c r="IXA507" s="327"/>
      <c r="IXB507" s="28"/>
      <c r="IXC507" s="324"/>
      <c r="IXD507" s="324"/>
      <c r="IXE507" s="324"/>
      <c r="IXF507" s="324"/>
      <c r="IXG507" s="324"/>
      <c r="IXH507" s="324"/>
      <c r="IXI507" s="256"/>
      <c r="IXJ507" s="325"/>
      <c r="IXK507" s="311"/>
      <c r="IXL507" s="325"/>
      <c r="IXM507" s="310"/>
      <c r="IXN507" s="325"/>
      <c r="IXO507" s="325"/>
      <c r="IXP507" s="325"/>
      <c r="IXQ507" s="325"/>
      <c r="IXR507" s="325"/>
      <c r="IXS507" s="325"/>
      <c r="IXT507" s="325"/>
      <c r="IXU507" s="325"/>
      <c r="IXV507" s="325"/>
      <c r="IXW507" s="325"/>
      <c r="IXX507" s="325"/>
      <c r="IXY507" s="325"/>
      <c r="IXZ507" s="325"/>
      <c r="IYA507" s="325"/>
      <c r="IYB507" s="325"/>
      <c r="IYC507" s="325"/>
      <c r="IYD507" s="325"/>
      <c r="IYE507" s="325"/>
      <c r="IYF507" s="325"/>
      <c r="IYG507" s="325"/>
      <c r="IYH507" s="325"/>
      <c r="IYI507" s="325"/>
      <c r="IYJ507" s="325"/>
      <c r="IYK507" s="325"/>
      <c r="IYL507" s="325"/>
      <c r="IYM507" s="325"/>
      <c r="IYN507" s="325"/>
      <c r="IYO507" s="325"/>
      <c r="IYP507" s="325"/>
      <c r="IYQ507" s="325"/>
      <c r="IYR507" s="327"/>
      <c r="IYS507" s="28"/>
      <c r="IYT507" s="324"/>
      <c r="IYU507" s="324"/>
      <c r="IYV507" s="324"/>
      <c r="IYW507" s="324"/>
      <c r="IYX507" s="324"/>
      <c r="IYY507" s="324"/>
      <c r="IYZ507" s="256"/>
      <c r="IZA507" s="325"/>
      <c r="IZB507" s="311"/>
      <c r="IZC507" s="325"/>
      <c r="IZD507" s="310"/>
      <c r="IZE507" s="325"/>
      <c r="IZF507" s="325"/>
      <c r="IZG507" s="325"/>
      <c r="IZH507" s="325"/>
      <c r="IZI507" s="325"/>
      <c r="IZJ507" s="325"/>
      <c r="IZK507" s="325"/>
      <c r="IZL507" s="325"/>
      <c r="IZM507" s="325"/>
      <c r="IZN507" s="325"/>
      <c r="IZO507" s="325"/>
      <c r="IZP507" s="325"/>
      <c r="IZQ507" s="325"/>
      <c r="IZR507" s="325"/>
      <c r="IZS507" s="325"/>
      <c r="IZT507" s="325"/>
      <c r="IZU507" s="325"/>
      <c r="IZV507" s="325"/>
      <c r="IZW507" s="325"/>
      <c r="IZX507" s="325"/>
      <c r="IZY507" s="325"/>
      <c r="IZZ507" s="325"/>
      <c r="JAA507" s="325"/>
      <c r="JAB507" s="325"/>
      <c r="JAC507" s="325"/>
      <c r="JAD507" s="325"/>
      <c r="JAE507" s="325"/>
      <c r="JAF507" s="325"/>
      <c r="JAG507" s="325"/>
      <c r="JAH507" s="325"/>
      <c r="JAI507" s="327"/>
      <c r="JAJ507" s="28"/>
      <c r="JAK507" s="324"/>
      <c r="JAL507" s="324"/>
      <c r="JAM507" s="324"/>
      <c r="JAN507" s="324"/>
      <c r="JAO507" s="324"/>
      <c r="JAP507" s="324"/>
      <c r="JAQ507" s="256"/>
      <c r="JAR507" s="325"/>
      <c r="JAS507" s="311"/>
      <c r="JAT507" s="325"/>
      <c r="JAU507" s="310"/>
      <c r="JAV507" s="325"/>
      <c r="JAW507" s="325"/>
      <c r="JAX507" s="325"/>
      <c r="JAY507" s="325"/>
      <c r="JAZ507" s="325"/>
      <c r="JBA507" s="325"/>
      <c r="JBB507" s="325"/>
      <c r="JBC507" s="325"/>
      <c r="JBD507" s="325"/>
      <c r="JBE507" s="325"/>
      <c r="JBF507" s="325"/>
      <c r="JBG507" s="325"/>
      <c r="JBH507" s="325"/>
      <c r="JBI507" s="325"/>
      <c r="JBJ507" s="325"/>
      <c r="JBK507" s="325"/>
      <c r="JBL507" s="325"/>
      <c r="JBM507" s="325"/>
      <c r="JBN507" s="325"/>
      <c r="JBO507" s="325"/>
      <c r="JBP507" s="325"/>
      <c r="JBQ507" s="325"/>
      <c r="JBR507" s="325"/>
      <c r="JBS507" s="325"/>
      <c r="JBT507" s="325"/>
      <c r="JBU507" s="325"/>
      <c r="JBV507" s="325"/>
      <c r="JBW507" s="325"/>
      <c r="JBX507" s="325"/>
      <c r="JBY507" s="325"/>
      <c r="JBZ507" s="327"/>
      <c r="JCA507" s="28"/>
      <c r="JCB507" s="324"/>
      <c r="JCC507" s="324"/>
      <c r="JCD507" s="324"/>
      <c r="JCE507" s="324"/>
      <c r="JCF507" s="324"/>
      <c r="JCG507" s="324"/>
      <c r="JCH507" s="256"/>
      <c r="JCI507" s="325"/>
      <c r="JCJ507" s="311"/>
      <c r="JCK507" s="325"/>
      <c r="JCL507" s="310"/>
      <c r="JCM507" s="325"/>
      <c r="JCN507" s="325"/>
      <c r="JCO507" s="325"/>
      <c r="JCP507" s="325"/>
      <c r="JCQ507" s="325"/>
      <c r="JCR507" s="325"/>
      <c r="JCS507" s="325"/>
      <c r="JCT507" s="325"/>
      <c r="JCU507" s="325"/>
      <c r="JCV507" s="325"/>
      <c r="JCW507" s="325"/>
      <c r="JCX507" s="325"/>
      <c r="JCY507" s="325"/>
      <c r="JCZ507" s="325"/>
      <c r="JDA507" s="325"/>
      <c r="JDB507" s="325"/>
      <c r="JDC507" s="325"/>
      <c r="JDD507" s="325"/>
      <c r="JDE507" s="325"/>
      <c r="JDF507" s="325"/>
      <c r="JDG507" s="325"/>
      <c r="JDH507" s="325"/>
      <c r="JDI507" s="325"/>
      <c r="JDJ507" s="325"/>
      <c r="JDK507" s="325"/>
      <c r="JDL507" s="325"/>
      <c r="JDM507" s="325"/>
      <c r="JDN507" s="325"/>
      <c r="JDO507" s="325"/>
      <c r="JDP507" s="325"/>
      <c r="JDQ507" s="327"/>
      <c r="JDR507" s="28"/>
      <c r="JDS507" s="324"/>
      <c r="JDT507" s="324"/>
      <c r="JDU507" s="324"/>
      <c r="JDV507" s="324"/>
      <c r="JDW507" s="324"/>
      <c r="JDX507" s="324"/>
      <c r="JDY507" s="256"/>
      <c r="JDZ507" s="325"/>
      <c r="JEA507" s="311"/>
      <c r="JEB507" s="325"/>
      <c r="JEC507" s="310"/>
      <c r="JED507" s="325"/>
      <c r="JEE507" s="325"/>
      <c r="JEF507" s="325"/>
      <c r="JEG507" s="325"/>
      <c r="JEH507" s="325"/>
      <c r="JEI507" s="325"/>
      <c r="JEJ507" s="325"/>
      <c r="JEK507" s="325"/>
      <c r="JEL507" s="325"/>
      <c r="JEM507" s="325"/>
      <c r="JEN507" s="325"/>
      <c r="JEO507" s="325"/>
      <c r="JEP507" s="325"/>
      <c r="JEQ507" s="325"/>
      <c r="JER507" s="325"/>
      <c r="JES507" s="325"/>
      <c r="JET507" s="325"/>
      <c r="JEU507" s="325"/>
      <c r="JEV507" s="325"/>
      <c r="JEW507" s="325"/>
      <c r="JEX507" s="325"/>
      <c r="JEY507" s="325"/>
      <c r="JEZ507" s="325"/>
      <c r="JFA507" s="325"/>
      <c r="JFB507" s="325"/>
      <c r="JFC507" s="325"/>
      <c r="JFD507" s="325"/>
      <c r="JFE507" s="325"/>
      <c r="JFF507" s="325"/>
      <c r="JFG507" s="325"/>
      <c r="JFH507" s="327"/>
      <c r="JFI507" s="28"/>
      <c r="JFJ507" s="324"/>
      <c r="JFK507" s="324"/>
      <c r="JFL507" s="324"/>
      <c r="JFM507" s="324"/>
      <c r="JFN507" s="324"/>
      <c r="JFO507" s="324"/>
      <c r="JFP507" s="256"/>
      <c r="JFQ507" s="325"/>
      <c r="JFR507" s="311"/>
      <c r="JFS507" s="325"/>
      <c r="JFT507" s="310"/>
      <c r="JFU507" s="325"/>
      <c r="JFV507" s="325"/>
      <c r="JFW507" s="325"/>
      <c r="JFX507" s="325"/>
      <c r="JFY507" s="325"/>
      <c r="JFZ507" s="325"/>
      <c r="JGA507" s="325"/>
      <c r="JGB507" s="325"/>
      <c r="JGC507" s="325"/>
      <c r="JGD507" s="325"/>
      <c r="JGE507" s="325"/>
      <c r="JGF507" s="325"/>
      <c r="JGG507" s="325"/>
      <c r="JGH507" s="325"/>
      <c r="JGI507" s="325"/>
      <c r="JGJ507" s="325"/>
      <c r="JGK507" s="325"/>
      <c r="JGL507" s="325"/>
      <c r="JGM507" s="325"/>
      <c r="JGN507" s="325"/>
      <c r="JGO507" s="325"/>
      <c r="JGP507" s="325"/>
      <c r="JGQ507" s="325"/>
      <c r="JGR507" s="325"/>
      <c r="JGS507" s="325"/>
      <c r="JGT507" s="325"/>
      <c r="JGU507" s="325"/>
      <c r="JGV507" s="325"/>
      <c r="JGW507" s="325"/>
      <c r="JGX507" s="325"/>
      <c r="JGY507" s="327"/>
      <c r="JGZ507" s="28"/>
      <c r="JHA507" s="324"/>
      <c r="JHB507" s="324"/>
      <c r="JHC507" s="324"/>
      <c r="JHD507" s="324"/>
      <c r="JHE507" s="324"/>
      <c r="JHF507" s="324"/>
      <c r="JHG507" s="256"/>
      <c r="JHH507" s="325"/>
      <c r="JHI507" s="311"/>
      <c r="JHJ507" s="325"/>
      <c r="JHK507" s="310"/>
      <c r="JHL507" s="325"/>
      <c r="JHM507" s="325"/>
      <c r="JHN507" s="325"/>
      <c r="JHO507" s="325"/>
      <c r="JHP507" s="325"/>
      <c r="JHQ507" s="325"/>
      <c r="JHR507" s="325"/>
      <c r="JHS507" s="325"/>
      <c r="JHT507" s="325"/>
      <c r="JHU507" s="325"/>
      <c r="JHV507" s="325"/>
      <c r="JHW507" s="325"/>
      <c r="JHX507" s="325"/>
      <c r="JHY507" s="325"/>
      <c r="JHZ507" s="325"/>
      <c r="JIA507" s="325"/>
      <c r="JIB507" s="325"/>
      <c r="JIC507" s="325"/>
      <c r="JID507" s="325"/>
      <c r="JIE507" s="325"/>
      <c r="JIF507" s="325"/>
      <c r="JIG507" s="325"/>
      <c r="JIH507" s="325"/>
      <c r="JII507" s="325"/>
      <c r="JIJ507" s="325"/>
      <c r="JIK507" s="325"/>
      <c r="JIL507" s="325"/>
      <c r="JIM507" s="325"/>
      <c r="JIN507" s="325"/>
      <c r="JIO507" s="325"/>
      <c r="JIP507" s="327"/>
      <c r="JIQ507" s="28"/>
      <c r="JIR507" s="324"/>
      <c r="JIS507" s="324"/>
      <c r="JIT507" s="324"/>
      <c r="JIU507" s="324"/>
      <c r="JIV507" s="324"/>
      <c r="JIW507" s="324"/>
      <c r="JIX507" s="256"/>
      <c r="JIY507" s="325"/>
      <c r="JIZ507" s="311"/>
      <c r="JJA507" s="325"/>
      <c r="JJB507" s="310"/>
      <c r="JJC507" s="325"/>
      <c r="JJD507" s="325"/>
      <c r="JJE507" s="325"/>
      <c r="JJF507" s="325"/>
      <c r="JJG507" s="325"/>
      <c r="JJH507" s="325"/>
      <c r="JJI507" s="325"/>
      <c r="JJJ507" s="325"/>
      <c r="JJK507" s="325"/>
      <c r="JJL507" s="325"/>
      <c r="JJM507" s="325"/>
      <c r="JJN507" s="325"/>
      <c r="JJO507" s="325"/>
      <c r="JJP507" s="325"/>
      <c r="JJQ507" s="325"/>
      <c r="JJR507" s="325"/>
      <c r="JJS507" s="325"/>
      <c r="JJT507" s="325"/>
      <c r="JJU507" s="325"/>
      <c r="JJV507" s="325"/>
      <c r="JJW507" s="325"/>
      <c r="JJX507" s="325"/>
      <c r="JJY507" s="325"/>
      <c r="JJZ507" s="325"/>
      <c r="JKA507" s="325"/>
      <c r="JKB507" s="325"/>
      <c r="JKC507" s="325"/>
      <c r="JKD507" s="325"/>
      <c r="JKE507" s="325"/>
      <c r="JKF507" s="325"/>
      <c r="JKG507" s="327"/>
      <c r="JKH507" s="28"/>
      <c r="JKI507" s="324"/>
      <c r="JKJ507" s="324"/>
      <c r="JKK507" s="324"/>
      <c r="JKL507" s="324"/>
      <c r="JKM507" s="324"/>
      <c r="JKN507" s="324"/>
      <c r="JKO507" s="256"/>
      <c r="JKP507" s="325"/>
      <c r="JKQ507" s="311"/>
      <c r="JKR507" s="325"/>
      <c r="JKS507" s="310"/>
      <c r="JKT507" s="325"/>
      <c r="JKU507" s="325"/>
      <c r="JKV507" s="325"/>
      <c r="JKW507" s="325"/>
      <c r="JKX507" s="325"/>
      <c r="JKY507" s="325"/>
      <c r="JKZ507" s="325"/>
      <c r="JLA507" s="325"/>
      <c r="JLB507" s="325"/>
      <c r="JLC507" s="325"/>
      <c r="JLD507" s="325"/>
      <c r="JLE507" s="325"/>
      <c r="JLF507" s="325"/>
      <c r="JLG507" s="325"/>
      <c r="JLH507" s="325"/>
      <c r="JLI507" s="325"/>
      <c r="JLJ507" s="325"/>
      <c r="JLK507" s="325"/>
      <c r="JLL507" s="325"/>
      <c r="JLM507" s="325"/>
      <c r="JLN507" s="325"/>
      <c r="JLO507" s="325"/>
      <c r="JLP507" s="325"/>
      <c r="JLQ507" s="325"/>
      <c r="JLR507" s="325"/>
      <c r="JLS507" s="325"/>
      <c r="JLT507" s="325"/>
      <c r="JLU507" s="325"/>
      <c r="JLV507" s="325"/>
      <c r="JLW507" s="325"/>
      <c r="JLX507" s="327"/>
      <c r="JLY507" s="28"/>
      <c r="JLZ507" s="324"/>
      <c r="JMA507" s="324"/>
      <c r="JMB507" s="324"/>
      <c r="JMC507" s="324"/>
      <c r="JMD507" s="324"/>
      <c r="JME507" s="324"/>
      <c r="JMF507" s="256"/>
      <c r="JMG507" s="325"/>
      <c r="JMH507" s="311"/>
      <c r="JMI507" s="325"/>
      <c r="JMJ507" s="310"/>
      <c r="JMK507" s="325"/>
      <c r="JML507" s="325"/>
      <c r="JMM507" s="325"/>
      <c r="JMN507" s="325"/>
      <c r="JMO507" s="325"/>
      <c r="JMP507" s="325"/>
      <c r="JMQ507" s="325"/>
      <c r="JMR507" s="325"/>
      <c r="JMS507" s="325"/>
      <c r="JMT507" s="325"/>
      <c r="JMU507" s="325"/>
      <c r="JMV507" s="325"/>
      <c r="JMW507" s="325"/>
      <c r="JMX507" s="325"/>
      <c r="JMY507" s="325"/>
      <c r="JMZ507" s="325"/>
      <c r="JNA507" s="325"/>
      <c r="JNB507" s="325"/>
      <c r="JNC507" s="325"/>
      <c r="JND507" s="325"/>
      <c r="JNE507" s="325"/>
      <c r="JNF507" s="325"/>
      <c r="JNG507" s="325"/>
      <c r="JNH507" s="325"/>
      <c r="JNI507" s="325"/>
      <c r="JNJ507" s="325"/>
      <c r="JNK507" s="325"/>
      <c r="JNL507" s="325"/>
      <c r="JNM507" s="325"/>
      <c r="JNN507" s="325"/>
      <c r="JNO507" s="327"/>
      <c r="JNP507" s="28"/>
      <c r="JNQ507" s="324"/>
      <c r="JNR507" s="324"/>
      <c r="JNS507" s="324"/>
      <c r="JNT507" s="324"/>
      <c r="JNU507" s="324"/>
      <c r="JNV507" s="324"/>
      <c r="JNW507" s="256"/>
      <c r="JNX507" s="325"/>
      <c r="JNY507" s="311"/>
      <c r="JNZ507" s="325"/>
      <c r="JOA507" s="310"/>
      <c r="JOB507" s="325"/>
      <c r="JOC507" s="325"/>
      <c r="JOD507" s="325"/>
      <c r="JOE507" s="325"/>
      <c r="JOF507" s="325"/>
      <c r="JOG507" s="325"/>
      <c r="JOH507" s="325"/>
      <c r="JOI507" s="325"/>
      <c r="JOJ507" s="325"/>
      <c r="JOK507" s="325"/>
      <c r="JOL507" s="325"/>
      <c r="JOM507" s="325"/>
      <c r="JON507" s="325"/>
      <c r="JOO507" s="325"/>
      <c r="JOP507" s="325"/>
      <c r="JOQ507" s="325"/>
      <c r="JOR507" s="325"/>
      <c r="JOS507" s="325"/>
      <c r="JOT507" s="325"/>
      <c r="JOU507" s="325"/>
      <c r="JOV507" s="325"/>
      <c r="JOW507" s="325"/>
      <c r="JOX507" s="325"/>
      <c r="JOY507" s="325"/>
      <c r="JOZ507" s="325"/>
      <c r="JPA507" s="325"/>
      <c r="JPB507" s="325"/>
      <c r="JPC507" s="325"/>
      <c r="JPD507" s="325"/>
      <c r="JPE507" s="325"/>
      <c r="JPF507" s="327"/>
      <c r="JPG507" s="28"/>
      <c r="JPH507" s="324"/>
      <c r="JPI507" s="324"/>
      <c r="JPJ507" s="324"/>
      <c r="JPK507" s="324"/>
      <c r="JPL507" s="324"/>
      <c r="JPM507" s="324"/>
      <c r="JPN507" s="256"/>
      <c r="JPO507" s="325"/>
      <c r="JPP507" s="311"/>
      <c r="JPQ507" s="325"/>
      <c r="JPR507" s="310"/>
      <c r="JPS507" s="325"/>
      <c r="JPT507" s="325"/>
      <c r="JPU507" s="325"/>
      <c r="JPV507" s="325"/>
      <c r="JPW507" s="325"/>
      <c r="JPX507" s="325"/>
      <c r="JPY507" s="325"/>
      <c r="JPZ507" s="325"/>
      <c r="JQA507" s="325"/>
      <c r="JQB507" s="325"/>
      <c r="JQC507" s="325"/>
      <c r="JQD507" s="325"/>
      <c r="JQE507" s="325"/>
      <c r="JQF507" s="325"/>
      <c r="JQG507" s="325"/>
      <c r="JQH507" s="325"/>
      <c r="JQI507" s="325"/>
      <c r="JQJ507" s="325"/>
      <c r="JQK507" s="325"/>
      <c r="JQL507" s="325"/>
      <c r="JQM507" s="325"/>
      <c r="JQN507" s="325"/>
      <c r="JQO507" s="325"/>
      <c r="JQP507" s="325"/>
      <c r="JQQ507" s="325"/>
      <c r="JQR507" s="325"/>
      <c r="JQS507" s="325"/>
      <c r="JQT507" s="325"/>
      <c r="JQU507" s="325"/>
      <c r="JQV507" s="325"/>
      <c r="JQW507" s="327"/>
      <c r="JQX507" s="28"/>
      <c r="JQY507" s="324"/>
      <c r="JQZ507" s="324"/>
      <c r="JRA507" s="324"/>
      <c r="JRB507" s="324"/>
      <c r="JRC507" s="324"/>
      <c r="JRD507" s="324"/>
      <c r="JRE507" s="256"/>
      <c r="JRF507" s="325"/>
      <c r="JRG507" s="311"/>
      <c r="JRH507" s="325"/>
      <c r="JRI507" s="310"/>
      <c r="JRJ507" s="325"/>
      <c r="JRK507" s="325"/>
      <c r="JRL507" s="325"/>
      <c r="JRM507" s="325"/>
      <c r="JRN507" s="325"/>
      <c r="JRO507" s="325"/>
      <c r="JRP507" s="325"/>
      <c r="JRQ507" s="325"/>
      <c r="JRR507" s="325"/>
      <c r="JRS507" s="325"/>
      <c r="JRT507" s="325"/>
      <c r="JRU507" s="325"/>
      <c r="JRV507" s="325"/>
      <c r="JRW507" s="325"/>
      <c r="JRX507" s="325"/>
      <c r="JRY507" s="325"/>
      <c r="JRZ507" s="325"/>
      <c r="JSA507" s="325"/>
      <c r="JSB507" s="325"/>
      <c r="JSC507" s="325"/>
      <c r="JSD507" s="325"/>
      <c r="JSE507" s="325"/>
      <c r="JSF507" s="325"/>
      <c r="JSG507" s="325"/>
      <c r="JSH507" s="325"/>
      <c r="JSI507" s="325"/>
      <c r="JSJ507" s="325"/>
      <c r="JSK507" s="325"/>
      <c r="JSL507" s="325"/>
      <c r="JSM507" s="325"/>
      <c r="JSN507" s="327"/>
      <c r="JSO507" s="28"/>
      <c r="JSP507" s="324"/>
      <c r="JSQ507" s="324"/>
      <c r="JSR507" s="324"/>
      <c r="JSS507" s="324"/>
      <c r="JST507" s="324"/>
      <c r="JSU507" s="324"/>
      <c r="JSV507" s="256"/>
      <c r="JSW507" s="325"/>
      <c r="JSX507" s="311"/>
      <c r="JSY507" s="325"/>
      <c r="JSZ507" s="310"/>
      <c r="JTA507" s="325"/>
      <c r="JTB507" s="325"/>
      <c r="JTC507" s="325"/>
      <c r="JTD507" s="325"/>
      <c r="JTE507" s="325"/>
      <c r="JTF507" s="325"/>
      <c r="JTG507" s="325"/>
      <c r="JTH507" s="325"/>
      <c r="JTI507" s="325"/>
      <c r="JTJ507" s="325"/>
      <c r="JTK507" s="325"/>
      <c r="JTL507" s="325"/>
      <c r="JTM507" s="325"/>
      <c r="JTN507" s="325"/>
      <c r="JTO507" s="325"/>
      <c r="JTP507" s="325"/>
      <c r="JTQ507" s="325"/>
      <c r="JTR507" s="325"/>
      <c r="JTS507" s="325"/>
      <c r="JTT507" s="325"/>
      <c r="JTU507" s="325"/>
      <c r="JTV507" s="325"/>
      <c r="JTW507" s="325"/>
      <c r="JTX507" s="325"/>
      <c r="JTY507" s="325"/>
      <c r="JTZ507" s="325"/>
      <c r="JUA507" s="325"/>
      <c r="JUB507" s="325"/>
      <c r="JUC507" s="325"/>
      <c r="JUD507" s="325"/>
      <c r="JUE507" s="327"/>
      <c r="JUF507" s="28"/>
      <c r="JUG507" s="324"/>
      <c r="JUH507" s="324"/>
      <c r="JUI507" s="324"/>
      <c r="JUJ507" s="324"/>
      <c r="JUK507" s="324"/>
      <c r="JUL507" s="324"/>
      <c r="JUM507" s="256"/>
      <c r="JUN507" s="325"/>
      <c r="JUO507" s="311"/>
      <c r="JUP507" s="325"/>
      <c r="JUQ507" s="310"/>
      <c r="JUR507" s="325"/>
      <c r="JUS507" s="325"/>
      <c r="JUT507" s="325"/>
      <c r="JUU507" s="325"/>
      <c r="JUV507" s="325"/>
      <c r="JUW507" s="325"/>
      <c r="JUX507" s="325"/>
      <c r="JUY507" s="325"/>
      <c r="JUZ507" s="325"/>
      <c r="JVA507" s="325"/>
      <c r="JVB507" s="325"/>
      <c r="JVC507" s="325"/>
      <c r="JVD507" s="325"/>
      <c r="JVE507" s="325"/>
      <c r="JVF507" s="325"/>
      <c r="JVG507" s="325"/>
      <c r="JVH507" s="325"/>
      <c r="JVI507" s="325"/>
      <c r="JVJ507" s="325"/>
      <c r="JVK507" s="325"/>
      <c r="JVL507" s="325"/>
      <c r="JVM507" s="325"/>
      <c r="JVN507" s="325"/>
      <c r="JVO507" s="325"/>
      <c r="JVP507" s="325"/>
      <c r="JVQ507" s="325"/>
      <c r="JVR507" s="325"/>
      <c r="JVS507" s="325"/>
      <c r="JVT507" s="325"/>
      <c r="JVU507" s="325"/>
      <c r="JVV507" s="327"/>
      <c r="JVW507" s="28"/>
      <c r="JVX507" s="324"/>
      <c r="JVY507" s="324"/>
      <c r="JVZ507" s="324"/>
      <c r="JWA507" s="324"/>
      <c r="JWB507" s="324"/>
      <c r="JWC507" s="324"/>
      <c r="JWD507" s="256"/>
      <c r="JWE507" s="325"/>
      <c r="JWF507" s="311"/>
      <c r="JWG507" s="325"/>
      <c r="JWH507" s="310"/>
      <c r="JWI507" s="325"/>
      <c r="JWJ507" s="325"/>
      <c r="JWK507" s="325"/>
      <c r="JWL507" s="325"/>
      <c r="JWM507" s="325"/>
      <c r="JWN507" s="325"/>
      <c r="JWO507" s="325"/>
      <c r="JWP507" s="325"/>
      <c r="JWQ507" s="325"/>
      <c r="JWR507" s="325"/>
      <c r="JWS507" s="325"/>
      <c r="JWT507" s="325"/>
      <c r="JWU507" s="325"/>
      <c r="JWV507" s="325"/>
      <c r="JWW507" s="325"/>
      <c r="JWX507" s="325"/>
      <c r="JWY507" s="325"/>
      <c r="JWZ507" s="325"/>
      <c r="JXA507" s="325"/>
      <c r="JXB507" s="325"/>
      <c r="JXC507" s="325"/>
      <c r="JXD507" s="325"/>
      <c r="JXE507" s="325"/>
      <c r="JXF507" s="325"/>
      <c r="JXG507" s="325"/>
      <c r="JXH507" s="325"/>
      <c r="JXI507" s="325"/>
      <c r="JXJ507" s="325"/>
      <c r="JXK507" s="325"/>
      <c r="JXL507" s="325"/>
      <c r="JXM507" s="327"/>
      <c r="JXN507" s="28"/>
      <c r="JXO507" s="324"/>
      <c r="JXP507" s="324"/>
      <c r="JXQ507" s="324"/>
      <c r="JXR507" s="324"/>
      <c r="JXS507" s="324"/>
      <c r="JXT507" s="324"/>
      <c r="JXU507" s="256"/>
      <c r="JXV507" s="325"/>
      <c r="JXW507" s="311"/>
      <c r="JXX507" s="325"/>
      <c r="JXY507" s="310"/>
      <c r="JXZ507" s="325"/>
      <c r="JYA507" s="325"/>
      <c r="JYB507" s="325"/>
      <c r="JYC507" s="325"/>
      <c r="JYD507" s="325"/>
      <c r="JYE507" s="325"/>
      <c r="JYF507" s="325"/>
      <c r="JYG507" s="325"/>
      <c r="JYH507" s="325"/>
      <c r="JYI507" s="325"/>
      <c r="JYJ507" s="325"/>
      <c r="JYK507" s="325"/>
      <c r="JYL507" s="325"/>
      <c r="JYM507" s="325"/>
      <c r="JYN507" s="325"/>
      <c r="JYO507" s="325"/>
      <c r="JYP507" s="325"/>
      <c r="JYQ507" s="325"/>
      <c r="JYR507" s="325"/>
      <c r="JYS507" s="325"/>
      <c r="JYT507" s="325"/>
      <c r="JYU507" s="325"/>
      <c r="JYV507" s="325"/>
      <c r="JYW507" s="325"/>
      <c r="JYX507" s="325"/>
      <c r="JYY507" s="325"/>
      <c r="JYZ507" s="325"/>
      <c r="JZA507" s="325"/>
      <c r="JZB507" s="325"/>
      <c r="JZC507" s="325"/>
      <c r="JZD507" s="327"/>
      <c r="JZE507" s="28"/>
      <c r="JZF507" s="324"/>
      <c r="JZG507" s="324"/>
      <c r="JZH507" s="324"/>
      <c r="JZI507" s="324"/>
      <c r="JZJ507" s="324"/>
      <c r="JZK507" s="324"/>
      <c r="JZL507" s="256"/>
      <c r="JZM507" s="325"/>
      <c r="JZN507" s="311"/>
      <c r="JZO507" s="325"/>
      <c r="JZP507" s="310"/>
      <c r="JZQ507" s="325"/>
      <c r="JZR507" s="325"/>
      <c r="JZS507" s="325"/>
      <c r="JZT507" s="325"/>
      <c r="JZU507" s="325"/>
      <c r="JZV507" s="325"/>
      <c r="JZW507" s="325"/>
      <c r="JZX507" s="325"/>
      <c r="JZY507" s="325"/>
      <c r="JZZ507" s="325"/>
      <c r="KAA507" s="325"/>
      <c r="KAB507" s="325"/>
      <c r="KAC507" s="325"/>
      <c r="KAD507" s="325"/>
      <c r="KAE507" s="325"/>
      <c r="KAF507" s="325"/>
      <c r="KAG507" s="325"/>
      <c r="KAH507" s="325"/>
      <c r="KAI507" s="325"/>
      <c r="KAJ507" s="325"/>
      <c r="KAK507" s="325"/>
      <c r="KAL507" s="325"/>
      <c r="KAM507" s="325"/>
      <c r="KAN507" s="325"/>
      <c r="KAO507" s="325"/>
      <c r="KAP507" s="325"/>
      <c r="KAQ507" s="325"/>
      <c r="KAR507" s="325"/>
      <c r="KAS507" s="325"/>
      <c r="KAT507" s="325"/>
      <c r="KAU507" s="327"/>
      <c r="KAV507" s="28"/>
      <c r="KAW507" s="324"/>
      <c r="KAX507" s="324"/>
      <c r="KAY507" s="324"/>
      <c r="KAZ507" s="324"/>
      <c r="KBA507" s="324"/>
      <c r="KBB507" s="324"/>
      <c r="KBC507" s="256"/>
      <c r="KBD507" s="325"/>
      <c r="KBE507" s="311"/>
      <c r="KBF507" s="325"/>
      <c r="KBG507" s="310"/>
      <c r="KBH507" s="325"/>
      <c r="KBI507" s="325"/>
      <c r="KBJ507" s="325"/>
      <c r="KBK507" s="325"/>
      <c r="KBL507" s="325"/>
      <c r="KBM507" s="325"/>
      <c r="KBN507" s="325"/>
      <c r="KBO507" s="325"/>
      <c r="KBP507" s="325"/>
      <c r="KBQ507" s="325"/>
      <c r="KBR507" s="325"/>
      <c r="KBS507" s="325"/>
      <c r="KBT507" s="325"/>
      <c r="KBU507" s="325"/>
      <c r="KBV507" s="325"/>
      <c r="KBW507" s="325"/>
      <c r="KBX507" s="325"/>
      <c r="KBY507" s="325"/>
      <c r="KBZ507" s="325"/>
      <c r="KCA507" s="325"/>
      <c r="KCB507" s="325"/>
      <c r="KCC507" s="325"/>
      <c r="KCD507" s="325"/>
      <c r="KCE507" s="325"/>
      <c r="KCF507" s="325"/>
      <c r="KCG507" s="325"/>
      <c r="KCH507" s="325"/>
      <c r="KCI507" s="325"/>
      <c r="KCJ507" s="325"/>
      <c r="KCK507" s="325"/>
      <c r="KCL507" s="327"/>
      <c r="KCM507" s="28"/>
      <c r="KCN507" s="324"/>
      <c r="KCO507" s="324"/>
      <c r="KCP507" s="324"/>
      <c r="KCQ507" s="324"/>
      <c r="KCR507" s="324"/>
      <c r="KCS507" s="324"/>
      <c r="KCT507" s="256"/>
      <c r="KCU507" s="325"/>
      <c r="KCV507" s="311"/>
      <c r="KCW507" s="325"/>
      <c r="KCX507" s="310"/>
      <c r="KCY507" s="325"/>
      <c r="KCZ507" s="325"/>
      <c r="KDA507" s="325"/>
      <c r="KDB507" s="325"/>
      <c r="KDC507" s="325"/>
      <c r="KDD507" s="325"/>
      <c r="KDE507" s="325"/>
      <c r="KDF507" s="325"/>
      <c r="KDG507" s="325"/>
      <c r="KDH507" s="325"/>
      <c r="KDI507" s="325"/>
      <c r="KDJ507" s="325"/>
      <c r="KDK507" s="325"/>
      <c r="KDL507" s="325"/>
      <c r="KDM507" s="325"/>
      <c r="KDN507" s="325"/>
      <c r="KDO507" s="325"/>
      <c r="KDP507" s="325"/>
      <c r="KDQ507" s="325"/>
      <c r="KDR507" s="325"/>
      <c r="KDS507" s="325"/>
      <c r="KDT507" s="325"/>
      <c r="KDU507" s="325"/>
      <c r="KDV507" s="325"/>
      <c r="KDW507" s="325"/>
      <c r="KDX507" s="325"/>
      <c r="KDY507" s="325"/>
      <c r="KDZ507" s="325"/>
      <c r="KEA507" s="325"/>
      <c r="KEB507" s="325"/>
      <c r="KEC507" s="327"/>
      <c r="KED507" s="28"/>
      <c r="KEE507" s="324"/>
      <c r="KEF507" s="324"/>
      <c r="KEG507" s="324"/>
      <c r="KEH507" s="324"/>
      <c r="KEI507" s="324"/>
      <c r="KEJ507" s="324"/>
      <c r="KEK507" s="256"/>
      <c r="KEL507" s="325"/>
      <c r="KEM507" s="311"/>
      <c r="KEN507" s="325"/>
      <c r="KEO507" s="310"/>
      <c r="KEP507" s="325"/>
      <c r="KEQ507" s="325"/>
      <c r="KER507" s="325"/>
      <c r="KES507" s="325"/>
      <c r="KET507" s="325"/>
      <c r="KEU507" s="325"/>
      <c r="KEV507" s="325"/>
      <c r="KEW507" s="325"/>
      <c r="KEX507" s="325"/>
      <c r="KEY507" s="325"/>
      <c r="KEZ507" s="325"/>
      <c r="KFA507" s="325"/>
      <c r="KFB507" s="325"/>
      <c r="KFC507" s="325"/>
      <c r="KFD507" s="325"/>
      <c r="KFE507" s="325"/>
      <c r="KFF507" s="325"/>
      <c r="KFG507" s="325"/>
      <c r="KFH507" s="325"/>
      <c r="KFI507" s="325"/>
      <c r="KFJ507" s="325"/>
      <c r="KFK507" s="325"/>
      <c r="KFL507" s="325"/>
      <c r="KFM507" s="325"/>
      <c r="KFN507" s="325"/>
      <c r="KFO507" s="325"/>
      <c r="KFP507" s="325"/>
      <c r="KFQ507" s="325"/>
      <c r="KFR507" s="325"/>
      <c r="KFS507" s="325"/>
      <c r="KFT507" s="327"/>
      <c r="KFU507" s="28"/>
      <c r="KFV507" s="324"/>
      <c r="KFW507" s="324"/>
      <c r="KFX507" s="324"/>
      <c r="KFY507" s="324"/>
      <c r="KFZ507" s="324"/>
      <c r="KGA507" s="324"/>
      <c r="KGB507" s="256"/>
      <c r="KGC507" s="325"/>
      <c r="KGD507" s="311"/>
      <c r="KGE507" s="325"/>
      <c r="KGF507" s="310"/>
      <c r="KGG507" s="325"/>
      <c r="KGH507" s="325"/>
      <c r="KGI507" s="325"/>
      <c r="KGJ507" s="325"/>
      <c r="KGK507" s="325"/>
      <c r="KGL507" s="325"/>
      <c r="KGM507" s="325"/>
      <c r="KGN507" s="325"/>
      <c r="KGO507" s="325"/>
      <c r="KGP507" s="325"/>
      <c r="KGQ507" s="325"/>
      <c r="KGR507" s="325"/>
      <c r="KGS507" s="325"/>
      <c r="KGT507" s="325"/>
      <c r="KGU507" s="325"/>
      <c r="KGV507" s="325"/>
      <c r="KGW507" s="325"/>
      <c r="KGX507" s="325"/>
      <c r="KGY507" s="325"/>
      <c r="KGZ507" s="325"/>
      <c r="KHA507" s="325"/>
      <c r="KHB507" s="325"/>
      <c r="KHC507" s="325"/>
      <c r="KHD507" s="325"/>
      <c r="KHE507" s="325"/>
      <c r="KHF507" s="325"/>
      <c r="KHG507" s="325"/>
      <c r="KHH507" s="325"/>
      <c r="KHI507" s="325"/>
      <c r="KHJ507" s="325"/>
      <c r="KHK507" s="327"/>
      <c r="KHL507" s="28"/>
      <c r="KHM507" s="324"/>
      <c r="KHN507" s="324"/>
      <c r="KHO507" s="324"/>
      <c r="KHP507" s="324"/>
      <c r="KHQ507" s="324"/>
      <c r="KHR507" s="324"/>
      <c r="KHS507" s="256"/>
      <c r="KHT507" s="325"/>
      <c r="KHU507" s="311"/>
      <c r="KHV507" s="325"/>
      <c r="KHW507" s="310"/>
      <c r="KHX507" s="325"/>
      <c r="KHY507" s="325"/>
      <c r="KHZ507" s="325"/>
      <c r="KIA507" s="325"/>
      <c r="KIB507" s="325"/>
      <c r="KIC507" s="325"/>
      <c r="KID507" s="325"/>
      <c r="KIE507" s="325"/>
      <c r="KIF507" s="325"/>
      <c r="KIG507" s="325"/>
      <c r="KIH507" s="325"/>
      <c r="KII507" s="325"/>
      <c r="KIJ507" s="325"/>
      <c r="KIK507" s="325"/>
      <c r="KIL507" s="325"/>
      <c r="KIM507" s="325"/>
      <c r="KIN507" s="325"/>
      <c r="KIO507" s="325"/>
      <c r="KIP507" s="325"/>
      <c r="KIQ507" s="325"/>
      <c r="KIR507" s="325"/>
      <c r="KIS507" s="325"/>
      <c r="KIT507" s="325"/>
      <c r="KIU507" s="325"/>
      <c r="KIV507" s="325"/>
      <c r="KIW507" s="325"/>
      <c r="KIX507" s="325"/>
      <c r="KIY507" s="325"/>
      <c r="KIZ507" s="325"/>
      <c r="KJA507" s="325"/>
      <c r="KJB507" s="327"/>
      <c r="KJC507" s="28"/>
      <c r="KJD507" s="324"/>
      <c r="KJE507" s="324"/>
      <c r="KJF507" s="324"/>
      <c r="KJG507" s="324"/>
      <c r="KJH507" s="324"/>
      <c r="KJI507" s="324"/>
      <c r="KJJ507" s="256"/>
      <c r="KJK507" s="325"/>
      <c r="KJL507" s="311"/>
      <c r="KJM507" s="325"/>
      <c r="KJN507" s="310"/>
      <c r="KJO507" s="325"/>
      <c r="KJP507" s="325"/>
      <c r="KJQ507" s="325"/>
      <c r="KJR507" s="325"/>
      <c r="KJS507" s="325"/>
      <c r="KJT507" s="325"/>
      <c r="KJU507" s="325"/>
      <c r="KJV507" s="325"/>
      <c r="KJW507" s="325"/>
      <c r="KJX507" s="325"/>
      <c r="KJY507" s="325"/>
      <c r="KJZ507" s="325"/>
      <c r="KKA507" s="325"/>
      <c r="KKB507" s="325"/>
      <c r="KKC507" s="325"/>
      <c r="KKD507" s="325"/>
      <c r="KKE507" s="325"/>
      <c r="KKF507" s="325"/>
      <c r="KKG507" s="325"/>
      <c r="KKH507" s="325"/>
      <c r="KKI507" s="325"/>
      <c r="KKJ507" s="325"/>
      <c r="KKK507" s="325"/>
      <c r="KKL507" s="325"/>
      <c r="KKM507" s="325"/>
      <c r="KKN507" s="325"/>
      <c r="KKO507" s="325"/>
      <c r="KKP507" s="325"/>
      <c r="KKQ507" s="325"/>
      <c r="KKR507" s="325"/>
      <c r="KKS507" s="327"/>
      <c r="KKT507" s="28"/>
      <c r="KKU507" s="324"/>
      <c r="KKV507" s="324"/>
      <c r="KKW507" s="324"/>
      <c r="KKX507" s="324"/>
      <c r="KKY507" s="324"/>
      <c r="KKZ507" s="324"/>
      <c r="KLA507" s="256"/>
      <c r="KLB507" s="325"/>
      <c r="KLC507" s="311"/>
      <c r="KLD507" s="325"/>
      <c r="KLE507" s="310"/>
      <c r="KLF507" s="325"/>
      <c r="KLG507" s="325"/>
      <c r="KLH507" s="325"/>
      <c r="KLI507" s="325"/>
      <c r="KLJ507" s="325"/>
      <c r="KLK507" s="325"/>
      <c r="KLL507" s="325"/>
      <c r="KLM507" s="325"/>
      <c r="KLN507" s="325"/>
      <c r="KLO507" s="325"/>
      <c r="KLP507" s="325"/>
      <c r="KLQ507" s="325"/>
      <c r="KLR507" s="325"/>
      <c r="KLS507" s="325"/>
      <c r="KLT507" s="325"/>
      <c r="KLU507" s="325"/>
      <c r="KLV507" s="325"/>
      <c r="KLW507" s="325"/>
      <c r="KLX507" s="325"/>
      <c r="KLY507" s="325"/>
      <c r="KLZ507" s="325"/>
      <c r="KMA507" s="325"/>
      <c r="KMB507" s="325"/>
      <c r="KMC507" s="325"/>
      <c r="KMD507" s="325"/>
      <c r="KME507" s="325"/>
      <c r="KMF507" s="325"/>
      <c r="KMG507" s="325"/>
      <c r="KMH507" s="325"/>
      <c r="KMI507" s="325"/>
      <c r="KMJ507" s="327"/>
      <c r="KMK507" s="28"/>
      <c r="KML507" s="324"/>
      <c r="KMM507" s="324"/>
      <c r="KMN507" s="324"/>
      <c r="KMO507" s="324"/>
      <c r="KMP507" s="324"/>
      <c r="KMQ507" s="324"/>
      <c r="KMR507" s="256"/>
      <c r="KMS507" s="325"/>
      <c r="KMT507" s="311"/>
      <c r="KMU507" s="325"/>
      <c r="KMV507" s="310"/>
      <c r="KMW507" s="325"/>
      <c r="KMX507" s="325"/>
      <c r="KMY507" s="325"/>
      <c r="KMZ507" s="325"/>
      <c r="KNA507" s="325"/>
      <c r="KNB507" s="325"/>
      <c r="KNC507" s="325"/>
      <c r="KND507" s="325"/>
      <c r="KNE507" s="325"/>
      <c r="KNF507" s="325"/>
      <c r="KNG507" s="325"/>
      <c r="KNH507" s="325"/>
      <c r="KNI507" s="325"/>
      <c r="KNJ507" s="325"/>
      <c r="KNK507" s="325"/>
      <c r="KNL507" s="325"/>
      <c r="KNM507" s="325"/>
      <c r="KNN507" s="325"/>
      <c r="KNO507" s="325"/>
      <c r="KNP507" s="325"/>
      <c r="KNQ507" s="325"/>
      <c r="KNR507" s="325"/>
      <c r="KNS507" s="325"/>
      <c r="KNT507" s="325"/>
      <c r="KNU507" s="325"/>
      <c r="KNV507" s="325"/>
      <c r="KNW507" s="325"/>
      <c r="KNX507" s="325"/>
      <c r="KNY507" s="325"/>
      <c r="KNZ507" s="325"/>
      <c r="KOA507" s="327"/>
      <c r="KOB507" s="28"/>
      <c r="KOC507" s="324"/>
      <c r="KOD507" s="324"/>
      <c r="KOE507" s="324"/>
      <c r="KOF507" s="324"/>
      <c r="KOG507" s="324"/>
      <c r="KOH507" s="324"/>
      <c r="KOI507" s="256"/>
      <c r="KOJ507" s="325"/>
      <c r="KOK507" s="311"/>
      <c r="KOL507" s="325"/>
      <c r="KOM507" s="310"/>
      <c r="KON507" s="325"/>
      <c r="KOO507" s="325"/>
      <c r="KOP507" s="325"/>
      <c r="KOQ507" s="325"/>
      <c r="KOR507" s="325"/>
      <c r="KOS507" s="325"/>
      <c r="KOT507" s="325"/>
      <c r="KOU507" s="325"/>
      <c r="KOV507" s="325"/>
      <c r="KOW507" s="325"/>
      <c r="KOX507" s="325"/>
      <c r="KOY507" s="325"/>
      <c r="KOZ507" s="325"/>
      <c r="KPA507" s="325"/>
      <c r="KPB507" s="325"/>
      <c r="KPC507" s="325"/>
      <c r="KPD507" s="325"/>
      <c r="KPE507" s="325"/>
      <c r="KPF507" s="325"/>
      <c r="KPG507" s="325"/>
      <c r="KPH507" s="325"/>
      <c r="KPI507" s="325"/>
      <c r="KPJ507" s="325"/>
      <c r="KPK507" s="325"/>
      <c r="KPL507" s="325"/>
      <c r="KPM507" s="325"/>
      <c r="KPN507" s="325"/>
      <c r="KPO507" s="325"/>
      <c r="KPP507" s="325"/>
      <c r="KPQ507" s="325"/>
      <c r="KPR507" s="327"/>
      <c r="KPS507" s="28"/>
      <c r="KPT507" s="324"/>
      <c r="KPU507" s="324"/>
      <c r="KPV507" s="324"/>
      <c r="KPW507" s="324"/>
      <c r="KPX507" s="324"/>
      <c r="KPY507" s="324"/>
      <c r="KPZ507" s="256"/>
      <c r="KQA507" s="325"/>
      <c r="KQB507" s="311"/>
      <c r="KQC507" s="325"/>
      <c r="KQD507" s="310"/>
      <c r="KQE507" s="325"/>
      <c r="KQF507" s="325"/>
      <c r="KQG507" s="325"/>
      <c r="KQH507" s="325"/>
      <c r="KQI507" s="325"/>
      <c r="KQJ507" s="325"/>
      <c r="KQK507" s="325"/>
      <c r="KQL507" s="325"/>
      <c r="KQM507" s="325"/>
      <c r="KQN507" s="325"/>
      <c r="KQO507" s="325"/>
      <c r="KQP507" s="325"/>
      <c r="KQQ507" s="325"/>
      <c r="KQR507" s="325"/>
      <c r="KQS507" s="325"/>
      <c r="KQT507" s="325"/>
      <c r="KQU507" s="325"/>
      <c r="KQV507" s="325"/>
      <c r="KQW507" s="325"/>
      <c r="KQX507" s="325"/>
      <c r="KQY507" s="325"/>
      <c r="KQZ507" s="325"/>
      <c r="KRA507" s="325"/>
      <c r="KRB507" s="325"/>
      <c r="KRC507" s="325"/>
      <c r="KRD507" s="325"/>
      <c r="KRE507" s="325"/>
      <c r="KRF507" s="325"/>
      <c r="KRG507" s="325"/>
      <c r="KRH507" s="325"/>
      <c r="KRI507" s="327"/>
      <c r="KRJ507" s="28"/>
      <c r="KRK507" s="324"/>
      <c r="KRL507" s="324"/>
      <c r="KRM507" s="324"/>
      <c r="KRN507" s="324"/>
      <c r="KRO507" s="324"/>
      <c r="KRP507" s="324"/>
      <c r="KRQ507" s="256"/>
      <c r="KRR507" s="325"/>
      <c r="KRS507" s="311"/>
      <c r="KRT507" s="325"/>
      <c r="KRU507" s="310"/>
      <c r="KRV507" s="325"/>
      <c r="KRW507" s="325"/>
      <c r="KRX507" s="325"/>
      <c r="KRY507" s="325"/>
      <c r="KRZ507" s="325"/>
      <c r="KSA507" s="325"/>
      <c r="KSB507" s="325"/>
      <c r="KSC507" s="325"/>
      <c r="KSD507" s="325"/>
      <c r="KSE507" s="325"/>
      <c r="KSF507" s="325"/>
      <c r="KSG507" s="325"/>
      <c r="KSH507" s="325"/>
      <c r="KSI507" s="325"/>
      <c r="KSJ507" s="325"/>
      <c r="KSK507" s="325"/>
      <c r="KSL507" s="325"/>
      <c r="KSM507" s="325"/>
      <c r="KSN507" s="325"/>
      <c r="KSO507" s="325"/>
      <c r="KSP507" s="325"/>
      <c r="KSQ507" s="325"/>
      <c r="KSR507" s="325"/>
      <c r="KSS507" s="325"/>
      <c r="KST507" s="325"/>
      <c r="KSU507" s="325"/>
      <c r="KSV507" s="325"/>
      <c r="KSW507" s="325"/>
      <c r="KSX507" s="325"/>
      <c r="KSY507" s="325"/>
      <c r="KSZ507" s="327"/>
      <c r="KTA507" s="28"/>
      <c r="KTB507" s="324"/>
      <c r="KTC507" s="324"/>
      <c r="KTD507" s="324"/>
      <c r="KTE507" s="324"/>
      <c r="KTF507" s="324"/>
      <c r="KTG507" s="324"/>
      <c r="KTH507" s="256"/>
      <c r="KTI507" s="325"/>
      <c r="KTJ507" s="311"/>
      <c r="KTK507" s="325"/>
      <c r="KTL507" s="310"/>
      <c r="KTM507" s="325"/>
      <c r="KTN507" s="325"/>
      <c r="KTO507" s="325"/>
      <c r="KTP507" s="325"/>
      <c r="KTQ507" s="325"/>
      <c r="KTR507" s="325"/>
      <c r="KTS507" s="325"/>
      <c r="KTT507" s="325"/>
      <c r="KTU507" s="325"/>
      <c r="KTV507" s="325"/>
      <c r="KTW507" s="325"/>
      <c r="KTX507" s="325"/>
      <c r="KTY507" s="325"/>
      <c r="KTZ507" s="325"/>
      <c r="KUA507" s="325"/>
      <c r="KUB507" s="325"/>
      <c r="KUC507" s="325"/>
      <c r="KUD507" s="325"/>
      <c r="KUE507" s="325"/>
      <c r="KUF507" s="325"/>
      <c r="KUG507" s="325"/>
      <c r="KUH507" s="325"/>
      <c r="KUI507" s="325"/>
      <c r="KUJ507" s="325"/>
      <c r="KUK507" s="325"/>
      <c r="KUL507" s="325"/>
      <c r="KUM507" s="325"/>
      <c r="KUN507" s="325"/>
      <c r="KUO507" s="325"/>
      <c r="KUP507" s="325"/>
      <c r="KUQ507" s="327"/>
      <c r="KUR507" s="28"/>
      <c r="KUS507" s="324"/>
      <c r="KUT507" s="324"/>
      <c r="KUU507" s="324"/>
      <c r="KUV507" s="324"/>
      <c r="KUW507" s="324"/>
      <c r="KUX507" s="324"/>
      <c r="KUY507" s="256"/>
      <c r="KUZ507" s="325"/>
      <c r="KVA507" s="311"/>
      <c r="KVB507" s="325"/>
      <c r="KVC507" s="310"/>
      <c r="KVD507" s="325"/>
      <c r="KVE507" s="325"/>
      <c r="KVF507" s="325"/>
      <c r="KVG507" s="325"/>
      <c r="KVH507" s="325"/>
      <c r="KVI507" s="325"/>
      <c r="KVJ507" s="325"/>
      <c r="KVK507" s="325"/>
      <c r="KVL507" s="325"/>
      <c r="KVM507" s="325"/>
      <c r="KVN507" s="325"/>
      <c r="KVO507" s="325"/>
      <c r="KVP507" s="325"/>
      <c r="KVQ507" s="325"/>
      <c r="KVR507" s="325"/>
      <c r="KVS507" s="325"/>
      <c r="KVT507" s="325"/>
      <c r="KVU507" s="325"/>
      <c r="KVV507" s="325"/>
      <c r="KVW507" s="325"/>
      <c r="KVX507" s="325"/>
      <c r="KVY507" s="325"/>
      <c r="KVZ507" s="325"/>
      <c r="KWA507" s="325"/>
      <c r="KWB507" s="325"/>
      <c r="KWC507" s="325"/>
      <c r="KWD507" s="325"/>
      <c r="KWE507" s="325"/>
      <c r="KWF507" s="325"/>
      <c r="KWG507" s="325"/>
      <c r="KWH507" s="327"/>
      <c r="KWI507" s="28"/>
      <c r="KWJ507" s="324"/>
      <c r="KWK507" s="324"/>
      <c r="KWL507" s="324"/>
      <c r="KWM507" s="324"/>
      <c r="KWN507" s="324"/>
      <c r="KWO507" s="324"/>
      <c r="KWP507" s="256"/>
      <c r="KWQ507" s="325"/>
      <c r="KWR507" s="311"/>
      <c r="KWS507" s="325"/>
      <c r="KWT507" s="310"/>
      <c r="KWU507" s="325"/>
      <c r="KWV507" s="325"/>
      <c r="KWW507" s="325"/>
      <c r="KWX507" s="325"/>
      <c r="KWY507" s="325"/>
      <c r="KWZ507" s="325"/>
      <c r="KXA507" s="325"/>
      <c r="KXB507" s="325"/>
      <c r="KXC507" s="325"/>
      <c r="KXD507" s="325"/>
      <c r="KXE507" s="325"/>
      <c r="KXF507" s="325"/>
      <c r="KXG507" s="325"/>
      <c r="KXH507" s="325"/>
      <c r="KXI507" s="325"/>
      <c r="KXJ507" s="325"/>
      <c r="KXK507" s="325"/>
      <c r="KXL507" s="325"/>
      <c r="KXM507" s="325"/>
      <c r="KXN507" s="325"/>
      <c r="KXO507" s="325"/>
      <c r="KXP507" s="325"/>
      <c r="KXQ507" s="325"/>
      <c r="KXR507" s="325"/>
      <c r="KXS507" s="325"/>
      <c r="KXT507" s="325"/>
      <c r="KXU507" s="325"/>
      <c r="KXV507" s="325"/>
      <c r="KXW507" s="325"/>
      <c r="KXX507" s="325"/>
      <c r="KXY507" s="327"/>
      <c r="KXZ507" s="28"/>
      <c r="KYA507" s="324"/>
      <c r="KYB507" s="324"/>
      <c r="KYC507" s="324"/>
      <c r="KYD507" s="324"/>
      <c r="KYE507" s="324"/>
      <c r="KYF507" s="324"/>
      <c r="KYG507" s="256"/>
      <c r="KYH507" s="325"/>
      <c r="KYI507" s="311"/>
      <c r="KYJ507" s="325"/>
      <c r="KYK507" s="310"/>
      <c r="KYL507" s="325"/>
      <c r="KYM507" s="325"/>
      <c r="KYN507" s="325"/>
      <c r="KYO507" s="325"/>
      <c r="KYP507" s="325"/>
      <c r="KYQ507" s="325"/>
      <c r="KYR507" s="325"/>
      <c r="KYS507" s="325"/>
      <c r="KYT507" s="325"/>
      <c r="KYU507" s="325"/>
      <c r="KYV507" s="325"/>
      <c r="KYW507" s="325"/>
      <c r="KYX507" s="325"/>
      <c r="KYY507" s="325"/>
      <c r="KYZ507" s="325"/>
      <c r="KZA507" s="325"/>
      <c r="KZB507" s="325"/>
      <c r="KZC507" s="325"/>
      <c r="KZD507" s="325"/>
      <c r="KZE507" s="325"/>
      <c r="KZF507" s="325"/>
      <c r="KZG507" s="325"/>
      <c r="KZH507" s="325"/>
      <c r="KZI507" s="325"/>
      <c r="KZJ507" s="325"/>
      <c r="KZK507" s="325"/>
      <c r="KZL507" s="325"/>
      <c r="KZM507" s="325"/>
      <c r="KZN507" s="325"/>
      <c r="KZO507" s="325"/>
      <c r="KZP507" s="327"/>
      <c r="KZQ507" s="28"/>
      <c r="KZR507" s="324"/>
      <c r="KZS507" s="324"/>
      <c r="KZT507" s="324"/>
      <c r="KZU507" s="324"/>
      <c r="KZV507" s="324"/>
      <c r="KZW507" s="324"/>
      <c r="KZX507" s="256"/>
      <c r="KZY507" s="325"/>
      <c r="KZZ507" s="311"/>
      <c r="LAA507" s="325"/>
      <c r="LAB507" s="310"/>
      <c r="LAC507" s="325"/>
      <c r="LAD507" s="325"/>
      <c r="LAE507" s="325"/>
      <c r="LAF507" s="325"/>
      <c r="LAG507" s="325"/>
      <c r="LAH507" s="325"/>
      <c r="LAI507" s="325"/>
      <c r="LAJ507" s="325"/>
      <c r="LAK507" s="325"/>
      <c r="LAL507" s="325"/>
      <c r="LAM507" s="325"/>
      <c r="LAN507" s="325"/>
      <c r="LAO507" s="325"/>
      <c r="LAP507" s="325"/>
      <c r="LAQ507" s="325"/>
      <c r="LAR507" s="325"/>
      <c r="LAS507" s="325"/>
      <c r="LAT507" s="325"/>
      <c r="LAU507" s="325"/>
      <c r="LAV507" s="325"/>
      <c r="LAW507" s="325"/>
      <c r="LAX507" s="325"/>
      <c r="LAY507" s="325"/>
      <c r="LAZ507" s="325"/>
      <c r="LBA507" s="325"/>
      <c r="LBB507" s="325"/>
      <c r="LBC507" s="325"/>
      <c r="LBD507" s="325"/>
      <c r="LBE507" s="325"/>
      <c r="LBF507" s="325"/>
      <c r="LBG507" s="327"/>
      <c r="LBH507" s="28"/>
      <c r="LBI507" s="324"/>
      <c r="LBJ507" s="324"/>
      <c r="LBK507" s="324"/>
      <c r="LBL507" s="324"/>
      <c r="LBM507" s="324"/>
      <c r="LBN507" s="324"/>
      <c r="LBO507" s="256"/>
      <c r="LBP507" s="325"/>
      <c r="LBQ507" s="311"/>
      <c r="LBR507" s="325"/>
      <c r="LBS507" s="310"/>
      <c r="LBT507" s="325"/>
      <c r="LBU507" s="325"/>
      <c r="LBV507" s="325"/>
      <c r="LBW507" s="325"/>
      <c r="LBX507" s="325"/>
      <c r="LBY507" s="325"/>
      <c r="LBZ507" s="325"/>
      <c r="LCA507" s="325"/>
      <c r="LCB507" s="325"/>
      <c r="LCC507" s="325"/>
      <c r="LCD507" s="325"/>
      <c r="LCE507" s="325"/>
      <c r="LCF507" s="325"/>
      <c r="LCG507" s="325"/>
      <c r="LCH507" s="325"/>
      <c r="LCI507" s="325"/>
      <c r="LCJ507" s="325"/>
      <c r="LCK507" s="325"/>
      <c r="LCL507" s="325"/>
      <c r="LCM507" s="325"/>
      <c r="LCN507" s="325"/>
      <c r="LCO507" s="325"/>
      <c r="LCP507" s="325"/>
      <c r="LCQ507" s="325"/>
      <c r="LCR507" s="325"/>
      <c r="LCS507" s="325"/>
      <c r="LCT507" s="325"/>
      <c r="LCU507" s="325"/>
      <c r="LCV507" s="325"/>
      <c r="LCW507" s="325"/>
      <c r="LCX507" s="327"/>
      <c r="LCY507" s="28"/>
      <c r="LCZ507" s="324"/>
      <c r="LDA507" s="324"/>
      <c r="LDB507" s="324"/>
      <c r="LDC507" s="324"/>
      <c r="LDD507" s="324"/>
      <c r="LDE507" s="324"/>
      <c r="LDF507" s="256"/>
      <c r="LDG507" s="325"/>
      <c r="LDH507" s="311"/>
      <c r="LDI507" s="325"/>
      <c r="LDJ507" s="310"/>
      <c r="LDK507" s="325"/>
      <c r="LDL507" s="325"/>
      <c r="LDM507" s="325"/>
      <c r="LDN507" s="325"/>
      <c r="LDO507" s="325"/>
      <c r="LDP507" s="325"/>
      <c r="LDQ507" s="325"/>
      <c r="LDR507" s="325"/>
      <c r="LDS507" s="325"/>
      <c r="LDT507" s="325"/>
      <c r="LDU507" s="325"/>
      <c r="LDV507" s="325"/>
      <c r="LDW507" s="325"/>
      <c r="LDX507" s="325"/>
      <c r="LDY507" s="325"/>
      <c r="LDZ507" s="325"/>
      <c r="LEA507" s="325"/>
      <c r="LEB507" s="325"/>
      <c r="LEC507" s="325"/>
      <c r="LED507" s="325"/>
      <c r="LEE507" s="325"/>
      <c r="LEF507" s="325"/>
      <c r="LEG507" s="325"/>
      <c r="LEH507" s="325"/>
      <c r="LEI507" s="325"/>
      <c r="LEJ507" s="325"/>
      <c r="LEK507" s="325"/>
      <c r="LEL507" s="325"/>
      <c r="LEM507" s="325"/>
      <c r="LEN507" s="325"/>
      <c r="LEO507" s="327"/>
      <c r="LEP507" s="28"/>
      <c r="LEQ507" s="324"/>
      <c r="LER507" s="324"/>
      <c r="LES507" s="324"/>
      <c r="LET507" s="324"/>
      <c r="LEU507" s="324"/>
      <c r="LEV507" s="324"/>
      <c r="LEW507" s="256"/>
      <c r="LEX507" s="325"/>
      <c r="LEY507" s="311"/>
      <c r="LEZ507" s="325"/>
      <c r="LFA507" s="310"/>
      <c r="LFB507" s="325"/>
      <c r="LFC507" s="325"/>
      <c r="LFD507" s="325"/>
      <c r="LFE507" s="325"/>
      <c r="LFF507" s="325"/>
      <c r="LFG507" s="325"/>
      <c r="LFH507" s="325"/>
      <c r="LFI507" s="325"/>
      <c r="LFJ507" s="325"/>
      <c r="LFK507" s="325"/>
      <c r="LFL507" s="325"/>
      <c r="LFM507" s="325"/>
      <c r="LFN507" s="325"/>
      <c r="LFO507" s="325"/>
      <c r="LFP507" s="325"/>
      <c r="LFQ507" s="325"/>
      <c r="LFR507" s="325"/>
      <c r="LFS507" s="325"/>
      <c r="LFT507" s="325"/>
      <c r="LFU507" s="325"/>
      <c r="LFV507" s="325"/>
      <c r="LFW507" s="325"/>
      <c r="LFX507" s="325"/>
      <c r="LFY507" s="325"/>
      <c r="LFZ507" s="325"/>
      <c r="LGA507" s="325"/>
      <c r="LGB507" s="325"/>
      <c r="LGC507" s="325"/>
      <c r="LGD507" s="325"/>
      <c r="LGE507" s="325"/>
      <c r="LGF507" s="327"/>
      <c r="LGG507" s="28"/>
      <c r="LGH507" s="324"/>
      <c r="LGI507" s="324"/>
      <c r="LGJ507" s="324"/>
      <c r="LGK507" s="324"/>
      <c r="LGL507" s="324"/>
      <c r="LGM507" s="324"/>
      <c r="LGN507" s="256"/>
      <c r="LGO507" s="325"/>
      <c r="LGP507" s="311"/>
      <c r="LGQ507" s="325"/>
      <c r="LGR507" s="310"/>
      <c r="LGS507" s="325"/>
      <c r="LGT507" s="325"/>
      <c r="LGU507" s="325"/>
      <c r="LGV507" s="325"/>
      <c r="LGW507" s="325"/>
      <c r="LGX507" s="325"/>
      <c r="LGY507" s="325"/>
      <c r="LGZ507" s="325"/>
      <c r="LHA507" s="325"/>
      <c r="LHB507" s="325"/>
      <c r="LHC507" s="325"/>
      <c r="LHD507" s="325"/>
      <c r="LHE507" s="325"/>
      <c r="LHF507" s="325"/>
      <c r="LHG507" s="325"/>
      <c r="LHH507" s="325"/>
      <c r="LHI507" s="325"/>
      <c r="LHJ507" s="325"/>
      <c r="LHK507" s="325"/>
      <c r="LHL507" s="325"/>
      <c r="LHM507" s="325"/>
      <c r="LHN507" s="325"/>
      <c r="LHO507" s="325"/>
      <c r="LHP507" s="325"/>
      <c r="LHQ507" s="325"/>
      <c r="LHR507" s="325"/>
      <c r="LHS507" s="325"/>
      <c r="LHT507" s="325"/>
      <c r="LHU507" s="325"/>
      <c r="LHV507" s="325"/>
      <c r="LHW507" s="327"/>
      <c r="LHX507" s="28"/>
      <c r="LHY507" s="324"/>
      <c r="LHZ507" s="324"/>
      <c r="LIA507" s="324"/>
      <c r="LIB507" s="324"/>
      <c r="LIC507" s="324"/>
      <c r="LID507" s="324"/>
      <c r="LIE507" s="256"/>
      <c r="LIF507" s="325"/>
      <c r="LIG507" s="311"/>
      <c r="LIH507" s="325"/>
      <c r="LII507" s="310"/>
      <c r="LIJ507" s="325"/>
      <c r="LIK507" s="325"/>
      <c r="LIL507" s="325"/>
      <c r="LIM507" s="325"/>
      <c r="LIN507" s="325"/>
      <c r="LIO507" s="325"/>
      <c r="LIP507" s="325"/>
      <c r="LIQ507" s="325"/>
      <c r="LIR507" s="325"/>
      <c r="LIS507" s="325"/>
      <c r="LIT507" s="325"/>
      <c r="LIU507" s="325"/>
      <c r="LIV507" s="325"/>
      <c r="LIW507" s="325"/>
      <c r="LIX507" s="325"/>
      <c r="LIY507" s="325"/>
      <c r="LIZ507" s="325"/>
      <c r="LJA507" s="325"/>
      <c r="LJB507" s="325"/>
      <c r="LJC507" s="325"/>
      <c r="LJD507" s="325"/>
      <c r="LJE507" s="325"/>
      <c r="LJF507" s="325"/>
      <c r="LJG507" s="325"/>
      <c r="LJH507" s="325"/>
      <c r="LJI507" s="325"/>
      <c r="LJJ507" s="325"/>
      <c r="LJK507" s="325"/>
      <c r="LJL507" s="325"/>
      <c r="LJM507" s="325"/>
      <c r="LJN507" s="327"/>
      <c r="LJO507" s="28"/>
      <c r="LJP507" s="324"/>
      <c r="LJQ507" s="324"/>
      <c r="LJR507" s="324"/>
      <c r="LJS507" s="324"/>
      <c r="LJT507" s="324"/>
      <c r="LJU507" s="324"/>
      <c r="LJV507" s="256"/>
      <c r="LJW507" s="325"/>
      <c r="LJX507" s="311"/>
      <c r="LJY507" s="325"/>
      <c r="LJZ507" s="310"/>
      <c r="LKA507" s="325"/>
      <c r="LKB507" s="325"/>
      <c r="LKC507" s="325"/>
      <c r="LKD507" s="325"/>
      <c r="LKE507" s="325"/>
      <c r="LKF507" s="325"/>
      <c r="LKG507" s="325"/>
      <c r="LKH507" s="325"/>
      <c r="LKI507" s="325"/>
      <c r="LKJ507" s="325"/>
      <c r="LKK507" s="325"/>
      <c r="LKL507" s="325"/>
      <c r="LKM507" s="325"/>
      <c r="LKN507" s="325"/>
      <c r="LKO507" s="325"/>
      <c r="LKP507" s="325"/>
      <c r="LKQ507" s="325"/>
      <c r="LKR507" s="325"/>
      <c r="LKS507" s="325"/>
      <c r="LKT507" s="325"/>
      <c r="LKU507" s="325"/>
      <c r="LKV507" s="325"/>
      <c r="LKW507" s="325"/>
      <c r="LKX507" s="325"/>
      <c r="LKY507" s="325"/>
      <c r="LKZ507" s="325"/>
      <c r="LLA507" s="325"/>
      <c r="LLB507" s="325"/>
      <c r="LLC507" s="325"/>
      <c r="LLD507" s="325"/>
      <c r="LLE507" s="327"/>
      <c r="LLF507" s="28"/>
      <c r="LLG507" s="324"/>
      <c r="LLH507" s="324"/>
      <c r="LLI507" s="324"/>
      <c r="LLJ507" s="324"/>
      <c r="LLK507" s="324"/>
      <c r="LLL507" s="324"/>
      <c r="LLM507" s="256"/>
      <c r="LLN507" s="325"/>
      <c r="LLO507" s="311"/>
      <c r="LLP507" s="325"/>
      <c r="LLQ507" s="310"/>
      <c r="LLR507" s="325"/>
      <c r="LLS507" s="325"/>
      <c r="LLT507" s="325"/>
      <c r="LLU507" s="325"/>
      <c r="LLV507" s="325"/>
      <c r="LLW507" s="325"/>
      <c r="LLX507" s="325"/>
      <c r="LLY507" s="325"/>
      <c r="LLZ507" s="325"/>
      <c r="LMA507" s="325"/>
      <c r="LMB507" s="325"/>
      <c r="LMC507" s="325"/>
      <c r="LMD507" s="325"/>
      <c r="LME507" s="325"/>
      <c r="LMF507" s="325"/>
      <c r="LMG507" s="325"/>
      <c r="LMH507" s="325"/>
      <c r="LMI507" s="325"/>
      <c r="LMJ507" s="325"/>
      <c r="LMK507" s="325"/>
      <c r="LML507" s="325"/>
      <c r="LMM507" s="325"/>
      <c r="LMN507" s="325"/>
      <c r="LMO507" s="325"/>
      <c r="LMP507" s="325"/>
      <c r="LMQ507" s="325"/>
      <c r="LMR507" s="325"/>
      <c r="LMS507" s="325"/>
      <c r="LMT507" s="325"/>
      <c r="LMU507" s="325"/>
      <c r="LMV507" s="327"/>
      <c r="LMW507" s="28"/>
      <c r="LMX507" s="324"/>
      <c r="LMY507" s="324"/>
      <c r="LMZ507" s="324"/>
      <c r="LNA507" s="324"/>
      <c r="LNB507" s="324"/>
      <c r="LNC507" s="324"/>
      <c r="LND507" s="256"/>
      <c r="LNE507" s="325"/>
      <c r="LNF507" s="311"/>
      <c r="LNG507" s="325"/>
      <c r="LNH507" s="310"/>
      <c r="LNI507" s="325"/>
      <c r="LNJ507" s="325"/>
      <c r="LNK507" s="325"/>
      <c r="LNL507" s="325"/>
      <c r="LNM507" s="325"/>
      <c r="LNN507" s="325"/>
      <c r="LNO507" s="325"/>
      <c r="LNP507" s="325"/>
      <c r="LNQ507" s="325"/>
      <c r="LNR507" s="325"/>
      <c r="LNS507" s="325"/>
      <c r="LNT507" s="325"/>
      <c r="LNU507" s="325"/>
      <c r="LNV507" s="325"/>
      <c r="LNW507" s="325"/>
      <c r="LNX507" s="325"/>
      <c r="LNY507" s="325"/>
      <c r="LNZ507" s="325"/>
      <c r="LOA507" s="325"/>
      <c r="LOB507" s="325"/>
      <c r="LOC507" s="325"/>
      <c r="LOD507" s="325"/>
      <c r="LOE507" s="325"/>
      <c r="LOF507" s="325"/>
      <c r="LOG507" s="325"/>
      <c r="LOH507" s="325"/>
      <c r="LOI507" s="325"/>
      <c r="LOJ507" s="325"/>
      <c r="LOK507" s="325"/>
      <c r="LOL507" s="325"/>
      <c r="LOM507" s="327"/>
      <c r="LON507" s="28"/>
      <c r="LOO507" s="324"/>
      <c r="LOP507" s="324"/>
      <c r="LOQ507" s="324"/>
      <c r="LOR507" s="324"/>
      <c r="LOS507" s="324"/>
      <c r="LOT507" s="324"/>
      <c r="LOU507" s="256"/>
      <c r="LOV507" s="325"/>
      <c r="LOW507" s="311"/>
      <c r="LOX507" s="325"/>
      <c r="LOY507" s="310"/>
      <c r="LOZ507" s="325"/>
      <c r="LPA507" s="325"/>
      <c r="LPB507" s="325"/>
      <c r="LPC507" s="325"/>
      <c r="LPD507" s="325"/>
      <c r="LPE507" s="325"/>
      <c r="LPF507" s="325"/>
      <c r="LPG507" s="325"/>
      <c r="LPH507" s="325"/>
      <c r="LPI507" s="325"/>
      <c r="LPJ507" s="325"/>
      <c r="LPK507" s="325"/>
      <c r="LPL507" s="325"/>
      <c r="LPM507" s="325"/>
      <c r="LPN507" s="325"/>
      <c r="LPO507" s="325"/>
      <c r="LPP507" s="325"/>
      <c r="LPQ507" s="325"/>
      <c r="LPR507" s="325"/>
      <c r="LPS507" s="325"/>
      <c r="LPT507" s="325"/>
      <c r="LPU507" s="325"/>
      <c r="LPV507" s="325"/>
      <c r="LPW507" s="325"/>
      <c r="LPX507" s="325"/>
      <c r="LPY507" s="325"/>
      <c r="LPZ507" s="325"/>
      <c r="LQA507" s="325"/>
      <c r="LQB507" s="325"/>
      <c r="LQC507" s="325"/>
      <c r="LQD507" s="327"/>
      <c r="LQE507" s="28"/>
      <c r="LQF507" s="324"/>
      <c r="LQG507" s="324"/>
      <c r="LQH507" s="324"/>
      <c r="LQI507" s="324"/>
      <c r="LQJ507" s="324"/>
      <c r="LQK507" s="324"/>
      <c r="LQL507" s="256"/>
      <c r="LQM507" s="325"/>
      <c r="LQN507" s="311"/>
      <c r="LQO507" s="325"/>
      <c r="LQP507" s="310"/>
      <c r="LQQ507" s="325"/>
      <c r="LQR507" s="325"/>
      <c r="LQS507" s="325"/>
      <c r="LQT507" s="325"/>
      <c r="LQU507" s="325"/>
      <c r="LQV507" s="325"/>
      <c r="LQW507" s="325"/>
      <c r="LQX507" s="325"/>
      <c r="LQY507" s="325"/>
      <c r="LQZ507" s="325"/>
      <c r="LRA507" s="325"/>
      <c r="LRB507" s="325"/>
      <c r="LRC507" s="325"/>
      <c r="LRD507" s="325"/>
      <c r="LRE507" s="325"/>
      <c r="LRF507" s="325"/>
      <c r="LRG507" s="325"/>
      <c r="LRH507" s="325"/>
      <c r="LRI507" s="325"/>
      <c r="LRJ507" s="325"/>
      <c r="LRK507" s="325"/>
      <c r="LRL507" s="325"/>
      <c r="LRM507" s="325"/>
      <c r="LRN507" s="325"/>
      <c r="LRO507" s="325"/>
      <c r="LRP507" s="325"/>
      <c r="LRQ507" s="325"/>
      <c r="LRR507" s="325"/>
      <c r="LRS507" s="325"/>
      <c r="LRT507" s="325"/>
      <c r="LRU507" s="327"/>
      <c r="LRV507" s="28"/>
      <c r="LRW507" s="324"/>
      <c r="LRX507" s="324"/>
      <c r="LRY507" s="324"/>
      <c r="LRZ507" s="324"/>
      <c r="LSA507" s="324"/>
      <c r="LSB507" s="324"/>
      <c r="LSC507" s="256"/>
      <c r="LSD507" s="325"/>
      <c r="LSE507" s="311"/>
      <c r="LSF507" s="325"/>
      <c r="LSG507" s="310"/>
      <c r="LSH507" s="325"/>
      <c r="LSI507" s="325"/>
      <c r="LSJ507" s="325"/>
      <c r="LSK507" s="325"/>
      <c r="LSL507" s="325"/>
      <c r="LSM507" s="325"/>
      <c r="LSN507" s="325"/>
      <c r="LSO507" s="325"/>
      <c r="LSP507" s="325"/>
      <c r="LSQ507" s="325"/>
      <c r="LSR507" s="325"/>
      <c r="LSS507" s="325"/>
      <c r="LST507" s="325"/>
      <c r="LSU507" s="325"/>
      <c r="LSV507" s="325"/>
      <c r="LSW507" s="325"/>
      <c r="LSX507" s="325"/>
      <c r="LSY507" s="325"/>
      <c r="LSZ507" s="325"/>
      <c r="LTA507" s="325"/>
      <c r="LTB507" s="325"/>
      <c r="LTC507" s="325"/>
      <c r="LTD507" s="325"/>
      <c r="LTE507" s="325"/>
      <c r="LTF507" s="325"/>
      <c r="LTG507" s="325"/>
      <c r="LTH507" s="325"/>
      <c r="LTI507" s="325"/>
      <c r="LTJ507" s="325"/>
      <c r="LTK507" s="325"/>
      <c r="LTL507" s="327"/>
      <c r="LTM507" s="28"/>
      <c r="LTN507" s="324"/>
      <c r="LTO507" s="324"/>
      <c r="LTP507" s="324"/>
      <c r="LTQ507" s="324"/>
      <c r="LTR507" s="324"/>
      <c r="LTS507" s="324"/>
      <c r="LTT507" s="256"/>
      <c r="LTU507" s="325"/>
      <c r="LTV507" s="311"/>
      <c r="LTW507" s="325"/>
      <c r="LTX507" s="310"/>
      <c r="LTY507" s="325"/>
      <c r="LTZ507" s="325"/>
      <c r="LUA507" s="325"/>
      <c r="LUB507" s="325"/>
      <c r="LUC507" s="325"/>
      <c r="LUD507" s="325"/>
      <c r="LUE507" s="325"/>
      <c r="LUF507" s="325"/>
      <c r="LUG507" s="325"/>
      <c r="LUH507" s="325"/>
      <c r="LUI507" s="325"/>
      <c r="LUJ507" s="325"/>
      <c r="LUK507" s="325"/>
      <c r="LUL507" s="325"/>
      <c r="LUM507" s="325"/>
      <c r="LUN507" s="325"/>
      <c r="LUO507" s="325"/>
      <c r="LUP507" s="325"/>
      <c r="LUQ507" s="325"/>
      <c r="LUR507" s="325"/>
      <c r="LUS507" s="325"/>
      <c r="LUT507" s="325"/>
      <c r="LUU507" s="325"/>
      <c r="LUV507" s="325"/>
      <c r="LUW507" s="325"/>
      <c r="LUX507" s="325"/>
      <c r="LUY507" s="325"/>
      <c r="LUZ507" s="325"/>
      <c r="LVA507" s="325"/>
      <c r="LVB507" s="325"/>
      <c r="LVC507" s="327"/>
      <c r="LVD507" s="28"/>
      <c r="LVE507" s="324"/>
      <c r="LVF507" s="324"/>
      <c r="LVG507" s="324"/>
      <c r="LVH507" s="324"/>
      <c r="LVI507" s="324"/>
      <c r="LVJ507" s="324"/>
      <c r="LVK507" s="256"/>
      <c r="LVL507" s="325"/>
      <c r="LVM507" s="311"/>
      <c r="LVN507" s="325"/>
      <c r="LVO507" s="310"/>
      <c r="LVP507" s="325"/>
      <c r="LVQ507" s="325"/>
      <c r="LVR507" s="325"/>
      <c r="LVS507" s="325"/>
      <c r="LVT507" s="325"/>
      <c r="LVU507" s="325"/>
      <c r="LVV507" s="325"/>
      <c r="LVW507" s="325"/>
      <c r="LVX507" s="325"/>
      <c r="LVY507" s="325"/>
      <c r="LVZ507" s="325"/>
      <c r="LWA507" s="325"/>
      <c r="LWB507" s="325"/>
      <c r="LWC507" s="325"/>
      <c r="LWD507" s="325"/>
      <c r="LWE507" s="325"/>
      <c r="LWF507" s="325"/>
      <c r="LWG507" s="325"/>
      <c r="LWH507" s="325"/>
      <c r="LWI507" s="325"/>
      <c r="LWJ507" s="325"/>
      <c r="LWK507" s="325"/>
      <c r="LWL507" s="325"/>
      <c r="LWM507" s="325"/>
      <c r="LWN507" s="325"/>
      <c r="LWO507" s="325"/>
      <c r="LWP507" s="325"/>
      <c r="LWQ507" s="325"/>
      <c r="LWR507" s="325"/>
      <c r="LWS507" s="325"/>
      <c r="LWT507" s="327"/>
      <c r="LWU507" s="28"/>
      <c r="LWV507" s="324"/>
      <c r="LWW507" s="324"/>
      <c r="LWX507" s="324"/>
      <c r="LWY507" s="324"/>
      <c r="LWZ507" s="324"/>
      <c r="LXA507" s="324"/>
      <c r="LXB507" s="256"/>
      <c r="LXC507" s="325"/>
      <c r="LXD507" s="311"/>
      <c r="LXE507" s="325"/>
      <c r="LXF507" s="310"/>
      <c r="LXG507" s="325"/>
      <c r="LXH507" s="325"/>
      <c r="LXI507" s="325"/>
      <c r="LXJ507" s="325"/>
      <c r="LXK507" s="325"/>
      <c r="LXL507" s="325"/>
      <c r="LXM507" s="325"/>
      <c r="LXN507" s="325"/>
      <c r="LXO507" s="325"/>
      <c r="LXP507" s="325"/>
      <c r="LXQ507" s="325"/>
      <c r="LXR507" s="325"/>
      <c r="LXS507" s="325"/>
      <c r="LXT507" s="325"/>
      <c r="LXU507" s="325"/>
      <c r="LXV507" s="325"/>
      <c r="LXW507" s="325"/>
      <c r="LXX507" s="325"/>
      <c r="LXY507" s="325"/>
      <c r="LXZ507" s="325"/>
      <c r="LYA507" s="325"/>
      <c r="LYB507" s="325"/>
      <c r="LYC507" s="325"/>
      <c r="LYD507" s="325"/>
      <c r="LYE507" s="325"/>
      <c r="LYF507" s="325"/>
      <c r="LYG507" s="325"/>
      <c r="LYH507" s="325"/>
      <c r="LYI507" s="325"/>
      <c r="LYJ507" s="325"/>
      <c r="LYK507" s="327"/>
      <c r="LYL507" s="28"/>
      <c r="LYM507" s="324"/>
      <c r="LYN507" s="324"/>
      <c r="LYO507" s="324"/>
      <c r="LYP507" s="324"/>
      <c r="LYQ507" s="324"/>
      <c r="LYR507" s="324"/>
      <c r="LYS507" s="256"/>
      <c r="LYT507" s="325"/>
      <c r="LYU507" s="311"/>
      <c r="LYV507" s="325"/>
      <c r="LYW507" s="310"/>
      <c r="LYX507" s="325"/>
      <c r="LYY507" s="325"/>
      <c r="LYZ507" s="325"/>
      <c r="LZA507" s="325"/>
      <c r="LZB507" s="325"/>
      <c r="LZC507" s="325"/>
      <c r="LZD507" s="325"/>
      <c r="LZE507" s="325"/>
      <c r="LZF507" s="325"/>
      <c r="LZG507" s="325"/>
      <c r="LZH507" s="325"/>
      <c r="LZI507" s="325"/>
      <c r="LZJ507" s="325"/>
      <c r="LZK507" s="325"/>
      <c r="LZL507" s="325"/>
      <c r="LZM507" s="325"/>
      <c r="LZN507" s="325"/>
      <c r="LZO507" s="325"/>
      <c r="LZP507" s="325"/>
      <c r="LZQ507" s="325"/>
      <c r="LZR507" s="325"/>
      <c r="LZS507" s="325"/>
      <c r="LZT507" s="325"/>
      <c r="LZU507" s="325"/>
      <c r="LZV507" s="325"/>
      <c r="LZW507" s="325"/>
      <c r="LZX507" s="325"/>
      <c r="LZY507" s="325"/>
      <c r="LZZ507" s="325"/>
      <c r="MAA507" s="325"/>
      <c r="MAB507" s="327"/>
      <c r="MAC507" s="28"/>
      <c r="MAD507" s="324"/>
      <c r="MAE507" s="324"/>
      <c r="MAF507" s="324"/>
      <c r="MAG507" s="324"/>
      <c r="MAH507" s="324"/>
      <c r="MAI507" s="324"/>
      <c r="MAJ507" s="256"/>
      <c r="MAK507" s="325"/>
      <c r="MAL507" s="311"/>
      <c r="MAM507" s="325"/>
      <c r="MAN507" s="310"/>
      <c r="MAO507" s="325"/>
      <c r="MAP507" s="325"/>
      <c r="MAQ507" s="325"/>
      <c r="MAR507" s="325"/>
      <c r="MAS507" s="325"/>
      <c r="MAT507" s="325"/>
      <c r="MAU507" s="325"/>
      <c r="MAV507" s="325"/>
      <c r="MAW507" s="325"/>
      <c r="MAX507" s="325"/>
      <c r="MAY507" s="325"/>
      <c r="MAZ507" s="325"/>
      <c r="MBA507" s="325"/>
      <c r="MBB507" s="325"/>
      <c r="MBC507" s="325"/>
      <c r="MBD507" s="325"/>
      <c r="MBE507" s="325"/>
      <c r="MBF507" s="325"/>
      <c r="MBG507" s="325"/>
      <c r="MBH507" s="325"/>
      <c r="MBI507" s="325"/>
      <c r="MBJ507" s="325"/>
      <c r="MBK507" s="325"/>
      <c r="MBL507" s="325"/>
      <c r="MBM507" s="325"/>
      <c r="MBN507" s="325"/>
      <c r="MBO507" s="325"/>
      <c r="MBP507" s="325"/>
      <c r="MBQ507" s="325"/>
      <c r="MBR507" s="325"/>
      <c r="MBS507" s="327"/>
      <c r="MBT507" s="28"/>
      <c r="MBU507" s="324"/>
      <c r="MBV507" s="324"/>
      <c r="MBW507" s="324"/>
      <c r="MBX507" s="324"/>
      <c r="MBY507" s="324"/>
      <c r="MBZ507" s="324"/>
      <c r="MCA507" s="256"/>
      <c r="MCB507" s="325"/>
      <c r="MCC507" s="311"/>
      <c r="MCD507" s="325"/>
      <c r="MCE507" s="310"/>
      <c r="MCF507" s="325"/>
      <c r="MCG507" s="325"/>
      <c r="MCH507" s="325"/>
      <c r="MCI507" s="325"/>
      <c r="MCJ507" s="325"/>
      <c r="MCK507" s="325"/>
      <c r="MCL507" s="325"/>
      <c r="MCM507" s="325"/>
      <c r="MCN507" s="325"/>
      <c r="MCO507" s="325"/>
      <c r="MCP507" s="325"/>
      <c r="MCQ507" s="325"/>
      <c r="MCR507" s="325"/>
      <c r="MCS507" s="325"/>
      <c r="MCT507" s="325"/>
      <c r="MCU507" s="325"/>
      <c r="MCV507" s="325"/>
      <c r="MCW507" s="325"/>
      <c r="MCX507" s="325"/>
      <c r="MCY507" s="325"/>
      <c r="MCZ507" s="325"/>
      <c r="MDA507" s="325"/>
      <c r="MDB507" s="325"/>
      <c r="MDC507" s="325"/>
      <c r="MDD507" s="325"/>
      <c r="MDE507" s="325"/>
      <c r="MDF507" s="325"/>
      <c r="MDG507" s="325"/>
      <c r="MDH507" s="325"/>
      <c r="MDI507" s="325"/>
      <c r="MDJ507" s="327"/>
      <c r="MDK507" s="28"/>
      <c r="MDL507" s="324"/>
      <c r="MDM507" s="324"/>
      <c r="MDN507" s="324"/>
      <c r="MDO507" s="324"/>
      <c r="MDP507" s="324"/>
      <c r="MDQ507" s="324"/>
      <c r="MDR507" s="256"/>
      <c r="MDS507" s="325"/>
      <c r="MDT507" s="311"/>
      <c r="MDU507" s="325"/>
      <c r="MDV507" s="310"/>
      <c r="MDW507" s="325"/>
      <c r="MDX507" s="325"/>
      <c r="MDY507" s="325"/>
      <c r="MDZ507" s="325"/>
      <c r="MEA507" s="325"/>
      <c r="MEB507" s="325"/>
      <c r="MEC507" s="325"/>
      <c r="MED507" s="325"/>
      <c r="MEE507" s="325"/>
      <c r="MEF507" s="325"/>
      <c r="MEG507" s="325"/>
      <c r="MEH507" s="325"/>
      <c r="MEI507" s="325"/>
      <c r="MEJ507" s="325"/>
      <c r="MEK507" s="325"/>
      <c r="MEL507" s="325"/>
      <c r="MEM507" s="325"/>
      <c r="MEN507" s="325"/>
      <c r="MEO507" s="325"/>
      <c r="MEP507" s="325"/>
      <c r="MEQ507" s="325"/>
      <c r="MER507" s="325"/>
      <c r="MES507" s="325"/>
      <c r="MET507" s="325"/>
      <c r="MEU507" s="325"/>
      <c r="MEV507" s="325"/>
      <c r="MEW507" s="325"/>
      <c r="MEX507" s="325"/>
      <c r="MEY507" s="325"/>
      <c r="MEZ507" s="325"/>
      <c r="MFA507" s="327"/>
      <c r="MFB507" s="28"/>
      <c r="MFC507" s="324"/>
      <c r="MFD507" s="324"/>
      <c r="MFE507" s="324"/>
      <c r="MFF507" s="324"/>
      <c r="MFG507" s="324"/>
      <c r="MFH507" s="324"/>
      <c r="MFI507" s="256"/>
      <c r="MFJ507" s="325"/>
      <c r="MFK507" s="311"/>
      <c r="MFL507" s="325"/>
      <c r="MFM507" s="310"/>
      <c r="MFN507" s="325"/>
      <c r="MFO507" s="325"/>
      <c r="MFP507" s="325"/>
      <c r="MFQ507" s="325"/>
      <c r="MFR507" s="325"/>
      <c r="MFS507" s="325"/>
      <c r="MFT507" s="325"/>
      <c r="MFU507" s="325"/>
      <c r="MFV507" s="325"/>
      <c r="MFW507" s="325"/>
      <c r="MFX507" s="325"/>
      <c r="MFY507" s="325"/>
      <c r="MFZ507" s="325"/>
      <c r="MGA507" s="325"/>
      <c r="MGB507" s="325"/>
      <c r="MGC507" s="325"/>
      <c r="MGD507" s="325"/>
      <c r="MGE507" s="325"/>
      <c r="MGF507" s="325"/>
      <c r="MGG507" s="325"/>
      <c r="MGH507" s="325"/>
      <c r="MGI507" s="325"/>
      <c r="MGJ507" s="325"/>
      <c r="MGK507" s="325"/>
      <c r="MGL507" s="325"/>
      <c r="MGM507" s="325"/>
      <c r="MGN507" s="325"/>
      <c r="MGO507" s="325"/>
      <c r="MGP507" s="325"/>
      <c r="MGQ507" s="325"/>
      <c r="MGR507" s="327"/>
      <c r="MGS507" s="28"/>
      <c r="MGT507" s="324"/>
      <c r="MGU507" s="324"/>
      <c r="MGV507" s="324"/>
      <c r="MGW507" s="324"/>
      <c r="MGX507" s="324"/>
      <c r="MGY507" s="324"/>
      <c r="MGZ507" s="256"/>
      <c r="MHA507" s="325"/>
      <c r="MHB507" s="311"/>
      <c r="MHC507" s="325"/>
      <c r="MHD507" s="310"/>
      <c r="MHE507" s="325"/>
      <c r="MHF507" s="325"/>
      <c r="MHG507" s="325"/>
      <c r="MHH507" s="325"/>
      <c r="MHI507" s="325"/>
      <c r="MHJ507" s="325"/>
      <c r="MHK507" s="325"/>
      <c r="MHL507" s="325"/>
      <c r="MHM507" s="325"/>
      <c r="MHN507" s="325"/>
      <c r="MHO507" s="325"/>
      <c r="MHP507" s="325"/>
      <c r="MHQ507" s="325"/>
      <c r="MHR507" s="325"/>
      <c r="MHS507" s="325"/>
      <c r="MHT507" s="325"/>
      <c r="MHU507" s="325"/>
      <c r="MHV507" s="325"/>
      <c r="MHW507" s="325"/>
      <c r="MHX507" s="325"/>
      <c r="MHY507" s="325"/>
      <c r="MHZ507" s="325"/>
      <c r="MIA507" s="325"/>
      <c r="MIB507" s="325"/>
      <c r="MIC507" s="325"/>
      <c r="MID507" s="325"/>
      <c r="MIE507" s="325"/>
      <c r="MIF507" s="325"/>
      <c r="MIG507" s="325"/>
      <c r="MIH507" s="325"/>
      <c r="MII507" s="327"/>
      <c r="MIJ507" s="28"/>
      <c r="MIK507" s="324"/>
      <c r="MIL507" s="324"/>
      <c r="MIM507" s="324"/>
      <c r="MIN507" s="324"/>
      <c r="MIO507" s="324"/>
      <c r="MIP507" s="324"/>
      <c r="MIQ507" s="256"/>
      <c r="MIR507" s="325"/>
      <c r="MIS507" s="311"/>
      <c r="MIT507" s="325"/>
      <c r="MIU507" s="310"/>
      <c r="MIV507" s="325"/>
      <c r="MIW507" s="325"/>
      <c r="MIX507" s="325"/>
      <c r="MIY507" s="325"/>
      <c r="MIZ507" s="325"/>
      <c r="MJA507" s="325"/>
      <c r="MJB507" s="325"/>
      <c r="MJC507" s="325"/>
      <c r="MJD507" s="325"/>
      <c r="MJE507" s="325"/>
      <c r="MJF507" s="325"/>
      <c r="MJG507" s="325"/>
      <c r="MJH507" s="325"/>
      <c r="MJI507" s="325"/>
      <c r="MJJ507" s="325"/>
      <c r="MJK507" s="325"/>
      <c r="MJL507" s="325"/>
      <c r="MJM507" s="325"/>
      <c r="MJN507" s="325"/>
      <c r="MJO507" s="325"/>
      <c r="MJP507" s="325"/>
      <c r="MJQ507" s="325"/>
      <c r="MJR507" s="325"/>
      <c r="MJS507" s="325"/>
      <c r="MJT507" s="325"/>
      <c r="MJU507" s="325"/>
      <c r="MJV507" s="325"/>
      <c r="MJW507" s="325"/>
      <c r="MJX507" s="325"/>
      <c r="MJY507" s="325"/>
      <c r="MJZ507" s="327"/>
      <c r="MKA507" s="28"/>
      <c r="MKB507" s="324"/>
      <c r="MKC507" s="324"/>
      <c r="MKD507" s="324"/>
      <c r="MKE507" s="324"/>
      <c r="MKF507" s="324"/>
      <c r="MKG507" s="324"/>
      <c r="MKH507" s="256"/>
      <c r="MKI507" s="325"/>
      <c r="MKJ507" s="311"/>
      <c r="MKK507" s="325"/>
      <c r="MKL507" s="310"/>
      <c r="MKM507" s="325"/>
      <c r="MKN507" s="325"/>
      <c r="MKO507" s="325"/>
      <c r="MKP507" s="325"/>
      <c r="MKQ507" s="325"/>
      <c r="MKR507" s="325"/>
      <c r="MKS507" s="325"/>
      <c r="MKT507" s="325"/>
      <c r="MKU507" s="325"/>
      <c r="MKV507" s="325"/>
      <c r="MKW507" s="325"/>
      <c r="MKX507" s="325"/>
      <c r="MKY507" s="325"/>
      <c r="MKZ507" s="325"/>
      <c r="MLA507" s="325"/>
      <c r="MLB507" s="325"/>
      <c r="MLC507" s="325"/>
      <c r="MLD507" s="325"/>
      <c r="MLE507" s="325"/>
      <c r="MLF507" s="325"/>
      <c r="MLG507" s="325"/>
      <c r="MLH507" s="325"/>
      <c r="MLI507" s="325"/>
      <c r="MLJ507" s="325"/>
      <c r="MLK507" s="325"/>
      <c r="MLL507" s="325"/>
      <c r="MLM507" s="325"/>
      <c r="MLN507" s="325"/>
      <c r="MLO507" s="325"/>
      <c r="MLP507" s="325"/>
      <c r="MLQ507" s="327"/>
      <c r="MLR507" s="28"/>
      <c r="MLS507" s="324"/>
      <c r="MLT507" s="324"/>
      <c r="MLU507" s="324"/>
      <c r="MLV507" s="324"/>
      <c r="MLW507" s="324"/>
      <c r="MLX507" s="324"/>
      <c r="MLY507" s="256"/>
      <c r="MLZ507" s="325"/>
      <c r="MMA507" s="311"/>
      <c r="MMB507" s="325"/>
      <c r="MMC507" s="310"/>
      <c r="MMD507" s="325"/>
      <c r="MME507" s="325"/>
      <c r="MMF507" s="325"/>
      <c r="MMG507" s="325"/>
      <c r="MMH507" s="325"/>
      <c r="MMI507" s="325"/>
      <c r="MMJ507" s="325"/>
      <c r="MMK507" s="325"/>
      <c r="MML507" s="325"/>
      <c r="MMM507" s="325"/>
      <c r="MMN507" s="325"/>
      <c r="MMO507" s="325"/>
      <c r="MMP507" s="325"/>
      <c r="MMQ507" s="325"/>
      <c r="MMR507" s="325"/>
      <c r="MMS507" s="325"/>
      <c r="MMT507" s="325"/>
      <c r="MMU507" s="325"/>
      <c r="MMV507" s="325"/>
      <c r="MMW507" s="325"/>
      <c r="MMX507" s="325"/>
      <c r="MMY507" s="325"/>
      <c r="MMZ507" s="325"/>
      <c r="MNA507" s="325"/>
      <c r="MNB507" s="325"/>
      <c r="MNC507" s="325"/>
      <c r="MND507" s="325"/>
      <c r="MNE507" s="325"/>
      <c r="MNF507" s="325"/>
      <c r="MNG507" s="325"/>
      <c r="MNH507" s="327"/>
      <c r="MNI507" s="28"/>
      <c r="MNJ507" s="324"/>
      <c r="MNK507" s="324"/>
      <c r="MNL507" s="324"/>
      <c r="MNM507" s="324"/>
      <c r="MNN507" s="324"/>
      <c r="MNO507" s="324"/>
      <c r="MNP507" s="256"/>
      <c r="MNQ507" s="325"/>
      <c r="MNR507" s="311"/>
      <c r="MNS507" s="325"/>
      <c r="MNT507" s="310"/>
      <c r="MNU507" s="325"/>
      <c r="MNV507" s="325"/>
      <c r="MNW507" s="325"/>
      <c r="MNX507" s="325"/>
      <c r="MNY507" s="325"/>
      <c r="MNZ507" s="325"/>
      <c r="MOA507" s="325"/>
      <c r="MOB507" s="325"/>
      <c r="MOC507" s="325"/>
      <c r="MOD507" s="325"/>
      <c r="MOE507" s="325"/>
      <c r="MOF507" s="325"/>
      <c r="MOG507" s="325"/>
      <c r="MOH507" s="325"/>
      <c r="MOI507" s="325"/>
      <c r="MOJ507" s="325"/>
      <c r="MOK507" s="325"/>
      <c r="MOL507" s="325"/>
      <c r="MOM507" s="325"/>
      <c r="MON507" s="325"/>
      <c r="MOO507" s="325"/>
      <c r="MOP507" s="325"/>
      <c r="MOQ507" s="325"/>
      <c r="MOR507" s="325"/>
      <c r="MOS507" s="325"/>
      <c r="MOT507" s="325"/>
      <c r="MOU507" s="325"/>
      <c r="MOV507" s="325"/>
      <c r="MOW507" s="325"/>
      <c r="MOX507" s="325"/>
      <c r="MOY507" s="327"/>
      <c r="MOZ507" s="28"/>
      <c r="MPA507" s="324"/>
      <c r="MPB507" s="324"/>
      <c r="MPC507" s="324"/>
      <c r="MPD507" s="324"/>
      <c r="MPE507" s="324"/>
      <c r="MPF507" s="324"/>
      <c r="MPG507" s="256"/>
      <c r="MPH507" s="325"/>
      <c r="MPI507" s="311"/>
      <c r="MPJ507" s="325"/>
      <c r="MPK507" s="310"/>
      <c r="MPL507" s="325"/>
      <c r="MPM507" s="325"/>
      <c r="MPN507" s="325"/>
      <c r="MPO507" s="325"/>
      <c r="MPP507" s="325"/>
      <c r="MPQ507" s="325"/>
      <c r="MPR507" s="325"/>
      <c r="MPS507" s="325"/>
      <c r="MPT507" s="325"/>
      <c r="MPU507" s="325"/>
      <c r="MPV507" s="325"/>
      <c r="MPW507" s="325"/>
      <c r="MPX507" s="325"/>
      <c r="MPY507" s="325"/>
      <c r="MPZ507" s="325"/>
      <c r="MQA507" s="325"/>
      <c r="MQB507" s="325"/>
      <c r="MQC507" s="325"/>
      <c r="MQD507" s="325"/>
      <c r="MQE507" s="325"/>
      <c r="MQF507" s="325"/>
      <c r="MQG507" s="325"/>
      <c r="MQH507" s="325"/>
      <c r="MQI507" s="325"/>
      <c r="MQJ507" s="325"/>
      <c r="MQK507" s="325"/>
      <c r="MQL507" s="325"/>
      <c r="MQM507" s="325"/>
      <c r="MQN507" s="325"/>
      <c r="MQO507" s="325"/>
      <c r="MQP507" s="327"/>
      <c r="MQQ507" s="28"/>
      <c r="MQR507" s="324"/>
      <c r="MQS507" s="324"/>
      <c r="MQT507" s="324"/>
      <c r="MQU507" s="324"/>
      <c r="MQV507" s="324"/>
      <c r="MQW507" s="324"/>
      <c r="MQX507" s="256"/>
      <c r="MQY507" s="325"/>
      <c r="MQZ507" s="311"/>
      <c r="MRA507" s="325"/>
      <c r="MRB507" s="310"/>
      <c r="MRC507" s="325"/>
      <c r="MRD507" s="325"/>
      <c r="MRE507" s="325"/>
      <c r="MRF507" s="325"/>
      <c r="MRG507" s="325"/>
      <c r="MRH507" s="325"/>
      <c r="MRI507" s="325"/>
      <c r="MRJ507" s="325"/>
      <c r="MRK507" s="325"/>
      <c r="MRL507" s="325"/>
      <c r="MRM507" s="325"/>
      <c r="MRN507" s="325"/>
      <c r="MRO507" s="325"/>
      <c r="MRP507" s="325"/>
      <c r="MRQ507" s="325"/>
      <c r="MRR507" s="325"/>
      <c r="MRS507" s="325"/>
      <c r="MRT507" s="325"/>
      <c r="MRU507" s="325"/>
      <c r="MRV507" s="325"/>
      <c r="MRW507" s="325"/>
      <c r="MRX507" s="325"/>
      <c r="MRY507" s="325"/>
      <c r="MRZ507" s="325"/>
      <c r="MSA507" s="325"/>
      <c r="MSB507" s="325"/>
      <c r="MSC507" s="325"/>
      <c r="MSD507" s="325"/>
      <c r="MSE507" s="325"/>
      <c r="MSF507" s="325"/>
      <c r="MSG507" s="327"/>
      <c r="MSH507" s="28"/>
      <c r="MSI507" s="324"/>
      <c r="MSJ507" s="324"/>
      <c r="MSK507" s="324"/>
      <c r="MSL507" s="324"/>
      <c r="MSM507" s="324"/>
      <c r="MSN507" s="324"/>
      <c r="MSO507" s="256"/>
      <c r="MSP507" s="325"/>
      <c r="MSQ507" s="311"/>
      <c r="MSR507" s="325"/>
      <c r="MSS507" s="310"/>
      <c r="MST507" s="325"/>
      <c r="MSU507" s="325"/>
      <c r="MSV507" s="325"/>
      <c r="MSW507" s="325"/>
      <c r="MSX507" s="325"/>
      <c r="MSY507" s="325"/>
      <c r="MSZ507" s="325"/>
      <c r="MTA507" s="325"/>
      <c r="MTB507" s="325"/>
      <c r="MTC507" s="325"/>
      <c r="MTD507" s="325"/>
      <c r="MTE507" s="325"/>
      <c r="MTF507" s="325"/>
      <c r="MTG507" s="325"/>
      <c r="MTH507" s="325"/>
      <c r="MTI507" s="325"/>
      <c r="MTJ507" s="325"/>
      <c r="MTK507" s="325"/>
      <c r="MTL507" s="325"/>
      <c r="MTM507" s="325"/>
      <c r="MTN507" s="325"/>
      <c r="MTO507" s="325"/>
      <c r="MTP507" s="325"/>
      <c r="MTQ507" s="325"/>
      <c r="MTR507" s="325"/>
      <c r="MTS507" s="325"/>
      <c r="MTT507" s="325"/>
      <c r="MTU507" s="325"/>
      <c r="MTV507" s="325"/>
      <c r="MTW507" s="325"/>
      <c r="MTX507" s="327"/>
      <c r="MTY507" s="28"/>
      <c r="MTZ507" s="324"/>
      <c r="MUA507" s="324"/>
      <c r="MUB507" s="324"/>
      <c r="MUC507" s="324"/>
      <c r="MUD507" s="324"/>
      <c r="MUE507" s="324"/>
      <c r="MUF507" s="256"/>
      <c r="MUG507" s="325"/>
      <c r="MUH507" s="311"/>
      <c r="MUI507" s="325"/>
      <c r="MUJ507" s="310"/>
      <c r="MUK507" s="325"/>
      <c r="MUL507" s="325"/>
      <c r="MUM507" s="325"/>
      <c r="MUN507" s="325"/>
      <c r="MUO507" s="325"/>
      <c r="MUP507" s="325"/>
      <c r="MUQ507" s="325"/>
      <c r="MUR507" s="325"/>
      <c r="MUS507" s="325"/>
      <c r="MUT507" s="325"/>
      <c r="MUU507" s="325"/>
      <c r="MUV507" s="325"/>
      <c r="MUW507" s="325"/>
      <c r="MUX507" s="325"/>
      <c r="MUY507" s="325"/>
      <c r="MUZ507" s="325"/>
      <c r="MVA507" s="325"/>
      <c r="MVB507" s="325"/>
      <c r="MVC507" s="325"/>
      <c r="MVD507" s="325"/>
      <c r="MVE507" s="325"/>
      <c r="MVF507" s="325"/>
      <c r="MVG507" s="325"/>
      <c r="MVH507" s="325"/>
      <c r="MVI507" s="325"/>
      <c r="MVJ507" s="325"/>
      <c r="MVK507" s="325"/>
      <c r="MVL507" s="325"/>
      <c r="MVM507" s="325"/>
      <c r="MVN507" s="325"/>
      <c r="MVO507" s="327"/>
      <c r="MVP507" s="28"/>
      <c r="MVQ507" s="324"/>
      <c r="MVR507" s="324"/>
      <c r="MVS507" s="324"/>
      <c r="MVT507" s="324"/>
      <c r="MVU507" s="324"/>
      <c r="MVV507" s="324"/>
      <c r="MVW507" s="256"/>
      <c r="MVX507" s="325"/>
      <c r="MVY507" s="311"/>
      <c r="MVZ507" s="325"/>
      <c r="MWA507" s="310"/>
      <c r="MWB507" s="325"/>
      <c r="MWC507" s="325"/>
      <c r="MWD507" s="325"/>
      <c r="MWE507" s="325"/>
      <c r="MWF507" s="325"/>
      <c r="MWG507" s="325"/>
      <c r="MWH507" s="325"/>
      <c r="MWI507" s="325"/>
      <c r="MWJ507" s="325"/>
      <c r="MWK507" s="325"/>
      <c r="MWL507" s="325"/>
      <c r="MWM507" s="325"/>
      <c r="MWN507" s="325"/>
      <c r="MWO507" s="325"/>
      <c r="MWP507" s="325"/>
      <c r="MWQ507" s="325"/>
      <c r="MWR507" s="325"/>
      <c r="MWS507" s="325"/>
      <c r="MWT507" s="325"/>
      <c r="MWU507" s="325"/>
      <c r="MWV507" s="325"/>
      <c r="MWW507" s="325"/>
      <c r="MWX507" s="325"/>
      <c r="MWY507" s="325"/>
      <c r="MWZ507" s="325"/>
      <c r="MXA507" s="325"/>
      <c r="MXB507" s="325"/>
      <c r="MXC507" s="325"/>
      <c r="MXD507" s="325"/>
      <c r="MXE507" s="325"/>
      <c r="MXF507" s="327"/>
      <c r="MXG507" s="28"/>
      <c r="MXH507" s="324"/>
      <c r="MXI507" s="324"/>
      <c r="MXJ507" s="324"/>
      <c r="MXK507" s="324"/>
      <c r="MXL507" s="324"/>
      <c r="MXM507" s="324"/>
      <c r="MXN507" s="256"/>
      <c r="MXO507" s="325"/>
      <c r="MXP507" s="311"/>
      <c r="MXQ507" s="325"/>
      <c r="MXR507" s="310"/>
      <c r="MXS507" s="325"/>
      <c r="MXT507" s="325"/>
      <c r="MXU507" s="325"/>
      <c r="MXV507" s="325"/>
      <c r="MXW507" s="325"/>
      <c r="MXX507" s="325"/>
      <c r="MXY507" s="325"/>
      <c r="MXZ507" s="325"/>
      <c r="MYA507" s="325"/>
      <c r="MYB507" s="325"/>
      <c r="MYC507" s="325"/>
      <c r="MYD507" s="325"/>
      <c r="MYE507" s="325"/>
      <c r="MYF507" s="325"/>
      <c r="MYG507" s="325"/>
      <c r="MYH507" s="325"/>
      <c r="MYI507" s="325"/>
      <c r="MYJ507" s="325"/>
      <c r="MYK507" s="325"/>
      <c r="MYL507" s="325"/>
      <c r="MYM507" s="325"/>
      <c r="MYN507" s="325"/>
      <c r="MYO507" s="325"/>
      <c r="MYP507" s="325"/>
      <c r="MYQ507" s="325"/>
      <c r="MYR507" s="325"/>
      <c r="MYS507" s="325"/>
      <c r="MYT507" s="325"/>
      <c r="MYU507" s="325"/>
      <c r="MYV507" s="325"/>
      <c r="MYW507" s="327"/>
      <c r="MYX507" s="28"/>
      <c r="MYY507" s="324"/>
      <c r="MYZ507" s="324"/>
      <c r="MZA507" s="324"/>
      <c r="MZB507" s="324"/>
      <c r="MZC507" s="324"/>
      <c r="MZD507" s="324"/>
      <c r="MZE507" s="256"/>
      <c r="MZF507" s="325"/>
      <c r="MZG507" s="311"/>
      <c r="MZH507" s="325"/>
      <c r="MZI507" s="310"/>
      <c r="MZJ507" s="325"/>
      <c r="MZK507" s="325"/>
      <c r="MZL507" s="325"/>
      <c r="MZM507" s="325"/>
      <c r="MZN507" s="325"/>
      <c r="MZO507" s="325"/>
      <c r="MZP507" s="325"/>
      <c r="MZQ507" s="325"/>
      <c r="MZR507" s="325"/>
      <c r="MZS507" s="325"/>
      <c r="MZT507" s="325"/>
      <c r="MZU507" s="325"/>
      <c r="MZV507" s="325"/>
      <c r="MZW507" s="325"/>
      <c r="MZX507" s="325"/>
      <c r="MZY507" s="325"/>
      <c r="MZZ507" s="325"/>
      <c r="NAA507" s="325"/>
      <c r="NAB507" s="325"/>
      <c r="NAC507" s="325"/>
      <c r="NAD507" s="325"/>
      <c r="NAE507" s="325"/>
      <c r="NAF507" s="325"/>
      <c r="NAG507" s="325"/>
      <c r="NAH507" s="325"/>
      <c r="NAI507" s="325"/>
      <c r="NAJ507" s="325"/>
      <c r="NAK507" s="325"/>
      <c r="NAL507" s="325"/>
      <c r="NAM507" s="325"/>
      <c r="NAN507" s="327"/>
      <c r="NAO507" s="28"/>
      <c r="NAP507" s="324"/>
      <c r="NAQ507" s="324"/>
      <c r="NAR507" s="324"/>
      <c r="NAS507" s="324"/>
      <c r="NAT507" s="324"/>
      <c r="NAU507" s="324"/>
      <c r="NAV507" s="256"/>
      <c r="NAW507" s="325"/>
      <c r="NAX507" s="311"/>
      <c r="NAY507" s="325"/>
      <c r="NAZ507" s="310"/>
      <c r="NBA507" s="325"/>
      <c r="NBB507" s="325"/>
      <c r="NBC507" s="325"/>
      <c r="NBD507" s="325"/>
      <c r="NBE507" s="325"/>
      <c r="NBF507" s="325"/>
      <c r="NBG507" s="325"/>
      <c r="NBH507" s="325"/>
      <c r="NBI507" s="325"/>
      <c r="NBJ507" s="325"/>
      <c r="NBK507" s="325"/>
      <c r="NBL507" s="325"/>
      <c r="NBM507" s="325"/>
      <c r="NBN507" s="325"/>
      <c r="NBO507" s="325"/>
      <c r="NBP507" s="325"/>
      <c r="NBQ507" s="325"/>
      <c r="NBR507" s="325"/>
      <c r="NBS507" s="325"/>
      <c r="NBT507" s="325"/>
      <c r="NBU507" s="325"/>
      <c r="NBV507" s="325"/>
      <c r="NBW507" s="325"/>
      <c r="NBX507" s="325"/>
      <c r="NBY507" s="325"/>
      <c r="NBZ507" s="325"/>
      <c r="NCA507" s="325"/>
      <c r="NCB507" s="325"/>
      <c r="NCC507" s="325"/>
      <c r="NCD507" s="325"/>
      <c r="NCE507" s="327"/>
      <c r="NCF507" s="28"/>
      <c r="NCG507" s="324"/>
      <c r="NCH507" s="324"/>
      <c r="NCI507" s="324"/>
      <c r="NCJ507" s="324"/>
      <c r="NCK507" s="324"/>
      <c r="NCL507" s="324"/>
      <c r="NCM507" s="256"/>
      <c r="NCN507" s="325"/>
      <c r="NCO507" s="311"/>
      <c r="NCP507" s="325"/>
      <c r="NCQ507" s="310"/>
      <c r="NCR507" s="325"/>
      <c r="NCS507" s="325"/>
      <c r="NCT507" s="325"/>
      <c r="NCU507" s="325"/>
      <c r="NCV507" s="325"/>
      <c r="NCW507" s="325"/>
      <c r="NCX507" s="325"/>
      <c r="NCY507" s="325"/>
      <c r="NCZ507" s="325"/>
      <c r="NDA507" s="325"/>
      <c r="NDB507" s="325"/>
      <c r="NDC507" s="325"/>
      <c r="NDD507" s="325"/>
      <c r="NDE507" s="325"/>
      <c r="NDF507" s="325"/>
      <c r="NDG507" s="325"/>
      <c r="NDH507" s="325"/>
      <c r="NDI507" s="325"/>
      <c r="NDJ507" s="325"/>
      <c r="NDK507" s="325"/>
      <c r="NDL507" s="325"/>
      <c r="NDM507" s="325"/>
      <c r="NDN507" s="325"/>
      <c r="NDO507" s="325"/>
      <c r="NDP507" s="325"/>
      <c r="NDQ507" s="325"/>
      <c r="NDR507" s="325"/>
      <c r="NDS507" s="325"/>
      <c r="NDT507" s="325"/>
      <c r="NDU507" s="325"/>
      <c r="NDV507" s="327"/>
      <c r="NDW507" s="28"/>
      <c r="NDX507" s="324"/>
      <c r="NDY507" s="324"/>
      <c r="NDZ507" s="324"/>
      <c r="NEA507" s="324"/>
      <c r="NEB507" s="324"/>
      <c r="NEC507" s="324"/>
      <c r="NED507" s="256"/>
      <c r="NEE507" s="325"/>
      <c r="NEF507" s="311"/>
      <c r="NEG507" s="325"/>
      <c r="NEH507" s="310"/>
      <c r="NEI507" s="325"/>
      <c r="NEJ507" s="325"/>
      <c r="NEK507" s="325"/>
      <c r="NEL507" s="325"/>
      <c r="NEM507" s="325"/>
      <c r="NEN507" s="325"/>
      <c r="NEO507" s="325"/>
      <c r="NEP507" s="325"/>
      <c r="NEQ507" s="325"/>
      <c r="NER507" s="325"/>
      <c r="NES507" s="325"/>
      <c r="NET507" s="325"/>
      <c r="NEU507" s="325"/>
      <c r="NEV507" s="325"/>
      <c r="NEW507" s="325"/>
      <c r="NEX507" s="325"/>
      <c r="NEY507" s="325"/>
      <c r="NEZ507" s="325"/>
      <c r="NFA507" s="325"/>
      <c r="NFB507" s="325"/>
      <c r="NFC507" s="325"/>
      <c r="NFD507" s="325"/>
      <c r="NFE507" s="325"/>
      <c r="NFF507" s="325"/>
      <c r="NFG507" s="325"/>
      <c r="NFH507" s="325"/>
      <c r="NFI507" s="325"/>
      <c r="NFJ507" s="325"/>
      <c r="NFK507" s="325"/>
      <c r="NFL507" s="325"/>
      <c r="NFM507" s="327"/>
      <c r="NFN507" s="28"/>
      <c r="NFO507" s="324"/>
      <c r="NFP507" s="324"/>
      <c r="NFQ507" s="324"/>
      <c r="NFR507" s="324"/>
      <c r="NFS507" s="324"/>
      <c r="NFT507" s="324"/>
      <c r="NFU507" s="256"/>
      <c r="NFV507" s="325"/>
      <c r="NFW507" s="311"/>
      <c r="NFX507" s="325"/>
      <c r="NFY507" s="310"/>
      <c r="NFZ507" s="325"/>
      <c r="NGA507" s="325"/>
      <c r="NGB507" s="325"/>
      <c r="NGC507" s="325"/>
      <c r="NGD507" s="325"/>
      <c r="NGE507" s="325"/>
      <c r="NGF507" s="325"/>
      <c r="NGG507" s="325"/>
      <c r="NGH507" s="325"/>
      <c r="NGI507" s="325"/>
      <c r="NGJ507" s="325"/>
      <c r="NGK507" s="325"/>
      <c r="NGL507" s="325"/>
      <c r="NGM507" s="325"/>
      <c r="NGN507" s="325"/>
      <c r="NGO507" s="325"/>
      <c r="NGP507" s="325"/>
      <c r="NGQ507" s="325"/>
      <c r="NGR507" s="325"/>
      <c r="NGS507" s="325"/>
      <c r="NGT507" s="325"/>
      <c r="NGU507" s="325"/>
      <c r="NGV507" s="325"/>
      <c r="NGW507" s="325"/>
      <c r="NGX507" s="325"/>
      <c r="NGY507" s="325"/>
      <c r="NGZ507" s="325"/>
      <c r="NHA507" s="325"/>
      <c r="NHB507" s="325"/>
      <c r="NHC507" s="325"/>
      <c r="NHD507" s="327"/>
      <c r="NHE507" s="28"/>
      <c r="NHF507" s="324"/>
      <c r="NHG507" s="324"/>
      <c r="NHH507" s="324"/>
      <c r="NHI507" s="324"/>
      <c r="NHJ507" s="324"/>
      <c r="NHK507" s="324"/>
      <c r="NHL507" s="256"/>
      <c r="NHM507" s="325"/>
      <c r="NHN507" s="311"/>
      <c r="NHO507" s="325"/>
      <c r="NHP507" s="310"/>
      <c r="NHQ507" s="325"/>
      <c r="NHR507" s="325"/>
      <c r="NHS507" s="325"/>
      <c r="NHT507" s="325"/>
      <c r="NHU507" s="325"/>
      <c r="NHV507" s="325"/>
      <c r="NHW507" s="325"/>
      <c r="NHX507" s="325"/>
      <c r="NHY507" s="325"/>
      <c r="NHZ507" s="325"/>
      <c r="NIA507" s="325"/>
      <c r="NIB507" s="325"/>
      <c r="NIC507" s="325"/>
      <c r="NID507" s="325"/>
      <c r="NIE507" s="325"/>
      <c r="NIF507" s="325"/>
      <c r="NIG507" s="325"/>
      <c r="NIH507" s="325"/>
      <c r="NII507" s="325"/>
      <c r="NIJ507" s="325"/>
      <c r="NIK507" s="325"/>
      <c r="NIL507" s="325"/>
      <c r="NIM507" s="325"/>
      <c r="NIN507" s="325"/>
      <c r="NIO507" s="325"/>
      <c r="NIP507" s="325"/>
      <c r="NIQ507" s="325"/>
      <c r="NIR507" s="325"/>
      <c r="NIS507" s="325"/>
      <c r="NIT507" s="325"/>
      <c r="NIU507" s="327"/>
      <c r="NIV507" s="28"/>
      <c r="NIW507" s="324"/>
      <c r="NIX507" s="324"/>
      <c r="NIY507" s="324"/>
      <c r="NIZ507" s="324"/>
      <c r="NJA507" s="324"/>
      <c r="NJB507" s="324"/>
      <c r="NJC507" s="256"/>
      <c r="NJD507" s="325"/>
      <c r="NJE507" s="311"/>
      <c r="NJF507" s="325"/>
      <c r="NJG507" s="310"/>
      <c r="NJH507" s="325"/>
      <c r="NJI507" s="325"/>
      <c r="NJJ507" s="325"/>
      <c r="NJK507" s="325"/>
      <c r="NJL507" s="325"/>
      <c r="NJM507" s="325"/>
      <c r="NJN507" s="325"/>
      <c r="NJO507" s="325"/>
      <c r="NJP507" s="325"/>
      <c r="NJQ507" s="325"/>
      <c r="NJR507" s="325"/>
      <c r="NJS507" s="325"/>
      <c r="NJT507" s="325"/>
      <c r="NJU507" s="325"/>
      <c r="NJV507" s="325"/>
      <c r="NJW507" s="325"/>
      <c r="NJX507" s="325"/>
      <c r="NJY507" s="325"/>
      <c r="NJZ507" s="325"/>
      <c r="NKA507" s="325"/>
      <c r="NKB507" s="325"/>
      <c r="NKC507" s="325"/>
      <c r="NKD507" s="325"/>
      <c r="NKE507" s="325"/>
      <c r="NKF507" s="325"/>
      <c r="NKG507" s="325"/>
      <c r="NKH507" s="325"/>
      <c r="NKI507" s="325"/>
      <c r="NKJ507" s="325"/>
      <c r="NKK507" s="325"/>
      <c r="NKL507" s="327"/>
      <c r="NKM507" s="28"/>
      <c r="NKN507" s="324"/>
      <c r="NKO507" s="324"/>
      <c r="NKP507" s="324"/>
      <c r="NKQ507" s="324"/>
      <c r="NKR507" s="324"/>
      <c r="NKS507" s="324"/>
      <c r="NKT507" s="256"/>
      <c r="NKU507" s="325"/>
      <c r="NKV507" s="311"/>
      <c r="NKW507" s="325"/>
      <c r="NKX507" s="310"/>
      <c r="NKY507" s="325"/>
      <c r="NKZ507" s="325"/>
      <c r="NLA507" s="325"/>
      <c r="NLB507" s="325"/>
      <c r="NLC507" s="325"/>
      <c r="NLD507" s="325"/>
      <c r="NLE507" s="325"/>
      <c r="NLF507" s="325"/>
      <c r="NLG507" s="325"/>
      <c r="NLH507" s="325"/>
      <c r="NLI507" s="325"/>
      <c r="NLJ507" s="325"/>
      <c r="NLK507" s="325"/>
      <c r="NLL507" s="325"/>
      <c r="NLM507" s="325"/>
      <c r="NLN507" s="325"/>
      <c r="NLO507" s="325"/>
      <c r="NLP507" s="325"/>
      <c r="NLQ507" s="325"/>
      <c r="NLR507" s="325"/>
      <c r="NLS507" s="325"/>
      <c r="NLT507" s="325"/>
      <c r="NLU507" s="325"/>
      <c r="NLV507" s="325"/>
      <c r="NLW507" s="325"/>
      <c r="NLX507" s="325"/>
      <c r="NLY507" s="325"/>
      <c r="NLZ507" s="325"/>
      <c r="NMA507" s="325"/>
      <c r="NMB507" s="325"/>
      <c r="NMC507" s="327"/>
      <c r="NMD507" s="28"/>
      <c r="NME507" s="324"/>
      <c r="NMF507" s="324"/>
      <c r="NMG507" s="324"/>
      <c r="NMH507" s="324"/>
      <c r="NMI507" s="324"/>
      <c r="NMJ507" s="324"/>
      <c r="NMK507" s="256"/>
      <c r="NML507" s="325"/>
      <c r="NMM507" s="311"/>
      <c r="NMN507" s="325"/>
      <c r="NMO507" s="310"/>
      <c r="NMP507" s="325"/>
      <c r="NMQ507" s="325"/>
      <c r="NMR507" s="325"/>
      <c r="NMS507" s="325"/>
      <c r="NMT507" s="325"/>
      <c r="NMU507" s="325"/>
      <c r="NMV507" s="325"/>
      <c r="NMW507" s="325"/>
      <c r="NMX507" s="325"/>
      <c r="NMY507" s="325"/>
      <c r="NMZ507" s="325"/>
      <c r="NNA507" s="325"/>
      <c r="NNB507" s="325"/>
      <c r="NNC507" s="325"/>
      <c r="NND507" s="325"/>
      <c r="NNE507" s="325"/>
      <c r="NNF507" s="325"/>
      <c r="NNG507" s="325"/>
      <c r="NNH507" s="325"/>
      <c r="NNI507" s="325"/>
      <c r="NNJ507" s="325"/>
      <c r="NNK507" s="325"/>
      <c r="NNL507" s="325"/>
      <c r="NNM507" s="325"/>
      <c r="NNN507" s="325"/>
      <c r="NNO507" s="325"/>
      <c r="NNP507" s="325"/>
      <c r="NNQ507" s="325"/>
      <c r="NNR507" s="325"/>
      <c r="NNS507" s="325"/>
      <c r="NNT507" s="327"/>
      <c r="NNU507" s="28"/>
      <c r="NNV507" s="324"/>
      <c r="NNW507" s="324"/>
      <c r="NNX507" s="324"/>
      <c r="NNY507" s="324"/>
      <c r="NNZ507" s="324"/>
      <c r="NOA507" s="324"/>
      <c r="NOB507" s="256"/>
      <c r="NOC507" s="325"/>
      <c r="NOD507" s="311"/>
      <c r="NOE507" s="325"/>
      <c r="NOF507" s="310"/>
      <c r="NOG507" s="325"/>
      <c r="NOH507" s="325"/>
      <c r="NOI507" s="325"/>
      <c r="NOJ507" s="325"/>
      <c r="NOK507" s="325"/>
      <c r="NOL507" s="325"/>
      <c r="NOM507" s="325"/>
      <c r="NON507" s="325"/>
      <c r="NOO507" s="325"/>
      <c r="NOP507" s="325"/>
      <c r="NOQ507" s="325"/>
      <c r="NOR507" s="325"/>
      <c r="NOS507" s="325"/>
      <c r="NOT507" s="325"/>
      <c r="NOU507" s="325"/>
      <c r="NOV507" s="325"/>
      <c r="NOW507" s="325"/>
      <c r="NOX507" s="325"/>
      <c r="NOY507" s="325"/>
      <c r="NOZ507" s="325"/>
      <c r="NPA507" s="325"/>
      <c r="NPB507" s="325"/>
      <c r="NPC507" s="325"/>
      <c r="NPD507" s="325"/>
      <c r="NPE507" s="325"/>
      <c r="NPF507" s="325"/>
      <c r="NPG507" s="325"/>
      <c r="NPH507" s="325"/>
      <c r="NPI507" s="325"/>
      <c r="NPJ507" s="325"/>
      <c r="NPK507" s="327"/>
      <c r="NPL507" s="28"/>
      <c r="NPM507" s="324"/>
      <c r="NPN507" s="324"/>
      <c r="NPO507" s="324"/>
      <c r="NPP507" s="324"/>
      <c r="NPQ507" s="324"/>
      <c r="NPR507" s="324"/>
      <c r="NPS507" s="256"/>
      <c r="NPT507" s="325"/>
      <c r="NPU507" s="311"/>
      <c r="NPV507" s="325"/>
      <c r="NPW507" s="310"/>
      <c r="NPX507" s="325"/>
      <c r="NPY507" s="325"/>
      <c r="NPZ507" s="325"/>
      <c r="NQA507" s="325"/>
      <c r="NQB507" s="325"/>
      <c r="NQC507" s="325"/>
      <c r="NQD507" s="325"/>
      <c r="NQE507" s="325"/>
      <c r="NQF507" s="325"/>
      <c r="NQG507" s="325"/>
      <c r="NQH507" s="325"/>
      <c r="NQI507" s="325"/>
      <c r="NQJ507" s="325"/>
      <c r="NQK507" s="325"/>
      <c r="NQL507" s="325"/>
      <c r="NQM507" s="325"/>
      <c r="NQN507" s="325"/>
      <c r="NQO507" s="325"/>
      <c r="NQP507" s="325"/>
      <c r="NQQ507" s="325"/>
      <c r="NQR507" s="325"/>
      <c r="NQS507" s="325"/>
      <c r="NQT507" s="325"/>
      <c r="NQU507" s="325"/>
      <c r="NQV507" s="325"/>
      <c r="NQW507" s="325"/>
      <c r="NQX507" s="325"/>
      <c r="NQY507" s="325"/>
      <c r="NQZ507" s="325"/>
      <c r="NRA507" s="325"/>
      <c r="NRB507" s="327"/>
      <c r="NRC507" s="28"/>
      <c r="NRD507" s="324"/>
      <c r="NRE507" s="324"/>
      <c r="NRF507" s="324"/>
      <c r="NRG507" s="324"/>
      <c r="NRH507" s="324"/>
      <c r="NRI507" s="324"/>
      <c r="NRJ507" s="256"/>
      <c r="NRK507" s="325"/>
      <c r="NRL507" s="311"/>
      <c r="NRM507" s="325"/>
      <c r="NRN507" s="310"/>
      <c r="NRO507" s="325"/>
      <c r="NRP507" s="325"/>
      <c r="NRQ507" s="325"/>
      <c r="NRR507" s="325"/>
      <c r="NRS507" s="325"/>
      <c r="NRT507" s="325"/>
      <c r="NRU507" s="325"/>
      <c r="NRV507" s="325"/>
      <c r="NRW507" s="325"/>
      <c r="NRX507" s="325"/>
      <c r="NRY507" s="325"/>
      <c r="NRZ507" s="325"/>
      <c r="NSA507" s="325"/>
      <c r="NSB507" s="325"/>
      <c r="NSC507" s="325"/>
      <c r="NSD507" s="325"/>
      <c r="NSE507" s="325"/>
      <c r="NSF507" s="325"/>
      <c r="NSG507" s="325"/>
      <c r="NSH507" s="325"/>
      <c r="NSI507" s="325"/>
      <c r="NSJ507" s="325"/>
      <c r="NSK507" s="325"/>
      <c r="NSL507" s="325"/>
      <c r="NSM507" s="325"/>
      <c r="NSN507" s="325"/>
      <c r="NSO507" s="325"/>
      <c r="NSP507" s="325"/>
      <c r="NSQ507" s="325"/>
      <c r="NSR507" s="325"/>
      <c r="NSS507" s="327"/>
      <c r="NST507" s="28"/>
      <c r="NSU507" s="324"/>
      <c r="NSV507" s="324"/>
      <c r="NSW507" s="324"/>
      <c r="NSX507" s="324"/>
      <c r="NSY507" s="324"/>
      <c r="NSZ507" s="324"/>
      <c r="NTA507" s="256"/>
      <c r="NTB507" s="325"/>
      <c r="NTC507" s="311"/>
      <c r="NTD507" s="325"/>
      <c r="NTE507" s="310"/>
      <c r="NTF507" s="325"/>
      <c r="NTG507" s="325"/>
      <c r="NTH507" s="325"/>
      <c r="NTI507" s="325"/>
      <c r="NTJ507" s="325"/>
      <c r="NTK507" s="325"/>
      <c r="NTL507" s="325"/>
      <c r="NTM507" s="325"/>
      <c r="NTN507" s="325"/>
      <c r="NTO507" s="325"/>
      <c r="NTP507" s="325"/>
      <c r="NTQ507" s="325"/>
      <c r="NTR507" s="325"/>
      <c r="NTS507" s="325"/>
      <c r="NTT507" s="325"/>
      <c r="NTU507" s="325"/>
      <c r="NTV507" s="325"/>
      <c r="NTW507" s="325"/>
      <c r="NTX507" s="325"/>
      <c r="NTY507" s="325"/>
      <c r="NTZ507" s="325"/>
      <c r="NUA507" s="325"/>
      <c r="NUB507" s="325"/>
      <c r="NUC507" s="325"/>
      <c r="NUD507" s="325"/>
      <c r="NUE507" s="325"/>
      <c r="NUF507" s="325"/>
      <c r="NUG507" s="325"/>
      <c r="NUH507" s="325"/>
      <c r="NUI507" s="325"/>
      <c r="NUJ507" s="327"/>
      <c r="NUK507" s="28"/>
      <c r="NUL507" s="324"/>
      <c r="NUM507" s="324"/>
      <c r="NUN507" s="324"/>
      <c r="NUO507" s="324"/>
      <c r="NUP507" s="324"/>
      <c r="NUQ507" s="324"/>
      <c r="NUR507" s="256"/>
      <c r="NUS507" s="325"/>
      <c r="NUT507" s="311"/>
      <c r="NUU507" s="325"/>
      <c r="NUV507" s="310"/>
      <c r="NUW507" s="325"/>
      <c r="NUX507" s="325"/>
      <c r="NUY507" s="325"/>
      <c r="NUZ507" s="325"/>
      <c r="NVA507" s="325"/>
      <c r="NVB507" s="325"/>
      <c r="NVC507" s="325"/>
      <c r="NVD507" s="325"/>
      <c r="NVE507" s="325"/>
      <c r="NVF507" s="325"/>
      <c r="NVG507" s="325"/>
      <c r="NVH507" s="325"/>
      <c r="NVI507" s="325"/>
      <c r="NVJ507" s="325"/>
      <c r="NVK507" s="325"/>
      <c r="NVL507" s="325"/>
      <c r="NVM507" s="325"/>
      <c r="NVN507" s="325"/>
      <c r="NVO507" s="325"/>
      <c r="NVP507" s="325"/>
      <c r="NVQ507" s="325"/>
      <c r="NVR507" s="325"/>
      <c r="NVS507" s="325"/>
      <c r="NVT507" s="325"/>
      <c r="NVU507" s="325"/>
      <c r="NVV507" s="325"/>
      <c r="NVW507" s="325"/>
      <c r="NVX507" s="325"/>
      <c r="NVY507" s="325"/>
      <c r="NVZ507" s="325"/>
      <c r="NWA507" s="327"/>
      <c r="NWB507" s="28"/>
      <c r="NWC507" s="324"/>
      <c r="NWD507" s="324"/>
      <c r="NWE507" s="324"/>
      <c r="NWF507" s="324"/>
      <c r="NWG507" s="324"/>
      <c r="NWH507" s="324"/>
      <c r="NWI507" s="256"/>
      <c r="NWJ507" s="325"/>
      <c r="NWK507" s="311"/>
      <c r="NWL507" s="325"/>
      <c r="NWM507" s="310"/>
      <c r="NWN507" s="325"/>
      <c r="NWO507" s="325"/>
      <c r="NWP507" s="325"/>
      <c r="NWQ507" s="325"/>
      <c r="NWR507" s="325"/>
      <c r="NWS507" s="325"/>
      <c r="NWT507" s="325"/>
      <c r="NWU507" s="325"/>
      <c r="NWV507" s="325"/>
      <c r="NWW507" s="325"/>
      <c r="NWX507" s="325"/>
      <c r="NWY507" s="325"/>
      <c r="NWZ507" s="325"/>
      <c r="NXA507" s="325"/>
      <c r="NXB507" s="325"/>
      <c r="NXC507" s="325"/>
      <c r="NXD507" s="325"/>
      <c r="NXE507" s="325"/>
      <c r="NXF507" s="325"/>
      <c r="NXG507" s="325"/>
      <c r="NXH507" s="325"/>
      <c r="NXI507" s="325"/>
      <c r="NXJ507" s="325"/>
      <c r="NXK507" s="325"/>
      <c r="NXL507" s="325"/>
      <c r="NXM507" s="325"/>
      <c r="NXN507" s="325"/>
      <c r="NXO507" s="325"/>
      <c r="NXP507" s="325"/>
      <c r="NXQ507" s="325"/>
      <c r="NXR507" s="327"/>
      <c r="NXS507" s="28"/>
      <c r="NXT507" s="324"/>
      <c r="NXU507" s="324"/>
      <c r="NXV507" s="324"/>
      <c r="NXW507" s="324"/>
      <c r="NXX507" s="324"/>
      <c r="NXY507" s="324"/>
      <c r="NXZ507" s="256"/>
      <c r="NYA507" s="325"/>
      <c r="NYB507" s="311"/>
      <c r="NYC507" s="325"/>
      <c r="NYD507" s="310"/>
      <c r="NYE507" s="325"/>
      <c r="NYF507" s="325"/>
      <c r="NYG507" s="325"/>
      <c r="NYH507" s="325"/>
      <c r="NYI507" s="325"/>
      <c r="NYJ507" s="325"/>
      <c r="NYK507" s="325"/>
      <c r="NYL507" s="325"/>
      <c r="NYM507" s="325"/>
      <c r="NYN507" s="325"/>
      <c r="NYO507" s="325"/>
      <c r="NYP507" s="325"/>
      <c r="NYQ507" s="325"/>
      <c r="NYR507" s="325"/>
      <c r="NYS507" s="325"/>
      <c r="NYT507" s="325"/>
      <c r="NYU507" s="325"/>
      <c r="NYV507" s="325"/>
      <c r="NYW507" s="325"/>
      <c r="NYX507" s="325"/>
      <c r="NYY507" s="325"/>
      <c r="NYZ507" s="325"/>
      <c r="NZA507" s="325"/>
      <c r="NZB507" s="325"/>
      <c r="NZC507" s="325"/>
      <c r="NZD507" s="325"/>
      <c r="NZE507" s="325"/>
      <c r="NZF507" s="325"/>
      <c r="NZG507" s="325"/>
      <c r="NZH507" s="325"/>
      <c r="NZI507" s="327"/>
      <c r="NZJ507" s="28"/>
      <c r="NZK507" s="324"/>
      <c r="NZL507" s="324"/>
      <c r="NZM507" s="324"/>
      <c r="NZN507" s="324"/>
      <c r="NZO507" s="324"/>
      <c r="NZP507" s="324"/>
      <c r="NZQ507" s="256"/>
      <c r="NZR507" s="325"/>
      <c r="NZS507" s="311"/>
      <c r="NZT507" s="325"/>
      <c r="NZU507" s="310"/>
      <c r="NZV507" s="325"/>
      <c r="NZW507" s="325"/>
      <c r="NZX507" s="325"/>
      <c r="NZY507" s="325"/>
      <c r="NZZ507" s="325"/>
      <c r="OAA507" s="325"/>
      <c r="OAB507" s="325"/>
      <c r="OAC507" s="325"/>
      <c r="OAD507" s="325"/>
      <c r="OAE507" s="325"/>
      <c r="OAF507" s="325"/>
      <c r="OAG507" s="325"/>
      <c r="OAH507" s="325"/>
      <c r="OAI507" s="325"/>
      <c r="OAJ507" s="325"/>
      <c r="OAK507" s="325"/>
      <c r="OAL507" s="325"/>
      <c r="OAM507" s="325"/>
      <c r="OAN507" s="325"/>
      <c r="OAO507" s="325"/>
      <c r="OAP507" s="325"/>
      <c r="OAQ507" s="325"/>
      <c r="OAR507" s="325"/>
      <c r="OAS507" s="325"/>
      <c r="OAT507" s="325"/>
      <c r="OAU507" s="325"/>
      <c r="OAV507" s="325"/>
      <c r="OAW507" s="325"/>
      <c r="OAX507" s="325"/>
      <c r="OAY507" s="325"/>
      <c r="OAZ507" s="327"/>
      <c r="OBA507" s="28"/>
      <c r="OBB507" s="324"/>
      <c r="OBC507" s="324"/>
      <c r="OBD507" s="324"/>
      <c r="OBE507" s="324"/>
      <c r="OBF507" s="324"/>
      <c r="OBG507" s="324"/>
      <c r="OBH507" s="256"/>
      <c r="OBI507" s="325"/>
      <c r="OBJ507" s="311"/>
      <c r="OBK507" s="325"/>
      <c r="OBL507" s="310"/>
      <c r="OBM507" s="325"/>
      <c r="OBN507" s="325"/>
      <c r="OBO507" s="325"/>
      <c r="OBP507" s="325"/>
      <c r="OBQ507" s="325"/>
      <c r="OBR507" s="325"/>
      <c r="OBS507" s="325"/>
      <c r="OBT507" s="325"/>
      <c r="OBU507" s="325"/>
      <c r="OBV507" s="325"/>
      <c r="OBW507" s="325"/>
      <c r="OBX507" s="325"/>
      <c r="OBY507" s="325"/>
      <c r="OBZ507" s="325"/>
      <c r="OCA507" s="325"/>
      <c r="OCB507" s="325"/>
      <c r="OCC507" s="325"/>
      <c r="OCD507" s="325"/>
      <c r="OCE507" s="325"/>
      <c r="OCF507" s="325"/>
      <c r="OCG507" s="325"/>
      <c r="OCH507" s="325"/>
      <c r="OCI507" s="325"/>
      <c r="OCJ507" s="325"/>
      <c r="OCK507" s="325"/>
      <c r="OCL507" s="325"/>
      <c r="OCM507" s="325"/>
      <c r="OCN507" s="325"/>
      <c r="OCO507" s="325"/>
      <c r="OCP507" s="325"/>
      <c r="OCQ507" s="327"/>
      <c r="OCR507" s="28"/>
      <c r="OCS507" s="324"/>
      <c r="OCT507" s="324"/>
      <c r="OCU507" s="324"/>
      <c r="OCV507" s="324"/>
      <c r="OCW507" s="324"/>
      <c r="OCX507" s="324"/>
      <c r="OCY507" s="256"/>
      <c r="OCZ507" s="325"/>
      <c r="ODA507" s="311"/>
      <c r="ODB507" s="325"/>
      <c r="ODC507" s="310"/>
      <c r="ODD507" s="325"/>
      <c r="ODE507" s="325"/>
      <c r="ODF507" s="325"/>
      <c r="ODG507" s="325"/>
      <c r="ODH507" s="325"/>
      <c r="ODI507" s="325"/>
      <c r="ODJ507" s="325"/>
      <c r="ODK507" s="325"/>
      <c r="ODL507" s="325"/>
      <c r="ODM507" s="325"/>
      <c r="ODN507" s="325"/>
      <c r="ODO507" s="325"/>
      <c r="ODP507" s="325"/>
      <c r="ODQ507" s="325"/>
      <c r="ODR507" s="325"/>
      <c r="ODS507" s="325"/>
      <c r="ODT507" s="325"/>
      <c r="ODU507" s="325"/>
      <c r="ODV507" s="325"/>
      <c r="ODW507" s="325"/>
      <c r="ODX507" s="325"/>
      <c r="ODY507" s="325"/>
      <c r="ODZ507" s="325"/>
      <c r="OEA507" s="325"/>
      <c r="OEB507" s="325"/>
      <c r="OEC507" s="325"/>
      <c r="OED507" s="325"/>
      <c r="OEE507" s="325"/>
      <c r="OEF507" s="325"/>
      <c r="OEG507" s="325"/>
      <c r="OEH507" s="327"/>
      <c r="OEI507" s="28"/>
      <c r="OEJ507" s="324"/>
      <c r="OEK507" s="324"/>
      <c r="OEL507" s="324"/>
      <c r="OEM507" s="324"/>
      <c r="OEN507" s="324"/>
      <c r="OEO507" s="324"/>
      <c r="OEP507" s="256"/>
      <c r="OEQ507" s="325"/>
      <c r="OER507" s="311"/>
      <c r="OES507" s="325"/>
      <c r="OET507" s="310"/>
      <c r="OEU507" s="325"/>
      <c r="OEV507" s="325"/>
      <c r="OEW507" s="325"/>
      <c r="OEX507" s="325"/>
      <c r="OEY507" s="325"/>
      <c r="OEZ507" s="325"/>
      <c r="OFA507" s="325"/>
      <c r="OFB507" s="325"/>
      <c r="OFC507" s="325"/>
      <c r="OFD507" s="325"/>
      <c r="OFE507" s="325"/>
      <c r="OFF507" s="325"/>
      <c r="OFG507" s="325"/>
      <c r="OFH507" s="325"/>
      <c r="OFI507" s="325"/>
      <c r="OFJ507" s="325"/>
      <c r="OFK507" s="325"/>
      <c r="OFL507" s="325"/>
      <c r="OFM507" s="325"/>
      <c r="OFN507" s="325"/>
      <c r="OFO507" s="325"/>
      <c r="OFP507" s="325"/>
      <c r="OFQ507" s="325"/>
      <c r="OFR507" s="325"/>
      <c r="OFS507" s="325"/>
      <c r="OFT507" s="325"/>
      <c r="OFU507" s="325"/>
      <c r="OFV507" s="325"/>
      <c r="OFW507" s="325"/>
      <c r="OFX507" s="325"/>
      <c r="OFY507" s="327"/>
      <c r="OFZ507" s="28"/>
      <c r="OGA507" s="324"/>
      <c r="OGB507" s="324"/>
      <c r="OGC507" s="324"/>
      <c r="OGD507" s="324"/>
      <c r="OGE507" s="324"/>
      <c r="OGF507" s="324"/>
      <c r="OGG507" s="256"/>
      <c r="OGH507" s="325"/>
      <c r="OGI507" s="311"/>
      <c r="OGJ507" s="325"/>
      <c r="OGK507" s="310"/>
      <c r="OGL507" s="325"/>
      <c r="OGM507" s="325"/>
      <c r="OGN507" s="325"/>
      <c r="OGO507" s="325"/>
      <c r="OGP507" s="325"/>
      <c r="OGQ507" s="325"/>
      <c r="OGR507" s="325"/>
      <c r="OGS507" s="325"/>
      <c r="OGT507" s="325"/>
      <c r="OGU507" s="325"/>
      <c r="OGV507" s="325"/>
      <c r="OGW507" s="325"/>
      <c r="OGX507" s="325"/>
      <c r="OGY507" s="325"/>
      <c r="OGZ507" s="325"/>
      <c r="OHA507" s="325"/>
      <c r="OHB507" s="325"/>
      <c r="OHC507" s="325"/>
      <c r="OHD507" s="325"/>
      <c r="OHE507" s="325"/>
      <c r="OHF507" s="325"/>
      <c r="OHG507" s="325"/>
      <c r="OHH507" s="325"/>
      <c r="OHI507" s="325"/>
      <c r="OHJ507" s="325"/>
      <c r="OHK507" s="325"/>
      <c r="OHL507" s="325"/>
      <c r="OHM507" s="325"/>
      <c r="OHN507" s="325"/>
      <c r="OHO507" s="325"/>
      <c r="OHP507" s="327"/>
      <c r="OHQ507" s="28"/>
      <c r="OHR507" s="324"/>
      <c r="OHS507" s="324"/>
      <c r="OHT507" s="324"/>
      <c r="OHU507" s="324"/>
      <c r="OHV507" s="324"/>
      <c r="OHW507" s="324"/>
      <c r="OHX507" s="256"/>
      <c r="OHY507" s="325"/>
      <c r="OHZ507" s="311"/>
      <c r="OIA507" s="325"/>
      <c r="OIB507" s="310"/>
      <c r="OIC507" s="325"/>
      <c r="OID507" s="325"/>
      <c r="OIE507" s="325"/>
      <c r="OIF507" s="325"/>
      <c r="OIG507" s="325"/>
      <c r="OIH507" s="325"/>
      <c r="OII507" s="325"/>
      <c r="OIJ507" s="325"/>
      <c r="OIK507" s="325"/>
      <c r="OIL507" s="325"/>
      <c r="OIM507" s="325"/>
      <c r="OIN507" s="325"/>
      <c r="OIO507" s="325"/>
      <c r="OIP507" s="325"/>
      <c r="OIQ507" s="325"/>
      <c r="OIR507" s="325"/>
      <c r="OIS507" s="325"/>
      <c r="OIT507" s="325"/>
      <c r="OIU507" s="325"/>
      <c r="OIV507" s="325"/>
      <c r="OIW507" s="325"/>
      <c r="OIX507" s="325"/>
      <c r="OIY507" s="325"/>
      <c r="OIZ507" s="325"/>
      <c r="OJA507" s="325"/>
      <c r="OJB507" s="325"/>
      <c r="OJC507" s="325"/>
      <c r="OJD507" s="325"/>
      <c r="OJE507" s="325"/>
      <c r="OJF507" s="325"/>
      <c r="OJG507" s="327"/>
      <c r="OJH507" s="28"/>
      <c r="OJI507" s="324"/>
      <c r="OJJ507" s="324"/>
      <c r="OJK507" s="324"/>
      <c r="OJL507" s="324"/>
      <c r="OJM507" s="324"/>
      <c r="OJN507" s="324"/>
      <c r="OJO507" s="256"/>
      <c r="OJP507" s="325"/>
      <c r="OJQ507" s="311"/>
      <c r="OJR507" s="325"/>
      <c r="OJS507" s="310"/>
      <c r="OJT507" s="325"/>
      <c r="OJU507" s="325"/>
      <c r="OJV507" s="325"/>
      <c r="OJW507" s="325"/>
      <c r="OJX507" s="325"/>
      <c r="OJY507" s="325"/>
      <c r="OJZ507" s="325"/>
      <c r="OKA507" s="325"/>
      <c r="OKB507" s="325"/>
      <c r="OKC507" s="325"/>
      <c r="OKD507" s="325"/>
      <c r="OKE507" s="325"/>
      <c r="OKF507" s="325"/>
      <c r="OKG507" s="325"/>
      <c r="OKH507" s="325"/>
      <c r="OKI507" s="325"/>
      <c r="OKJ507" s="325"/>
      <c r="OKK507" s="325"/>
      <c r="OKL507" s="325"/>
      <c r="OKM507" s="325"/>
      <c r="OKN507" s="325"/>
      <c r="OKO507" s="325"/>
      <c r="OKP507" s="325"/>
      <c r="OKQ507" s="325"/>
      <c r="OKR507" s="325"/>
      <c r="OKS507" s="325"/>
      <c r="OKT507" s="325"/>
      <c r="OKU507" s="325"/>
      <c r="OKV507" s="325"/>
      <c r="OKW507" s="325"/>
      <c r="OKX507" s="327"/>
      <c r="OKY507" s="28"/>
      <c r="OKZ507" s="324"/>
      <c r="OLA507" s="324"/>
      <c r="OLB507" s="324"/>
      <c r="OLC507" s="324"/>
      <c r="OLD507" s="324"/>
      <c r="OLE507" s="324"/>
      <c r="OLF507" s="256"/>
      <c r="OLG507" s="325"/>
      <c r="OLH507" s="311"/>
      <c r="OLI507" s="325"/>
      <c r="OLJ507" s="310"/>
      <c r="OLK507" s="325"/>
      <c r="OLL507" s="325"/>
      <c r="OLM507" s="325"/>
      <c r="OLN507" s="325"/>
      <c r="OLO507" s="325"/>
      <c r="OLP507" s="325"/>
      <c r="OLQ507" s="325"/>
      <c r="OLR507" s="325"/>
      <c r="OLS507" s="325"/>
      <c r="OLT507" s="325"/>
      <c r="OLU507" s="325"/>
      <c r="OLV507" s="325"/>
      <c r="OLW507" s="325"/>
      <c r="OLX507" s="325"/>
      <c r="OLY507" s="325"/>
      <c r="OLZ507" s="325"/>
      <c r="OMA507" s="325"/>
      <c r="OMB507" s="325"/>
      <c r="OMC507" s="325"/>
      <c r="OMD507" s="325"/>
      <c r="OME507" s="325"/>
      <c r="OMF507" s="325"/>
      <c r="OMG507" s="325"/>
      <c r="OMH507" s="325"/>
      <c r="OMI507" s="325"/>
      <c r="OMJ507" s="325"/>
      <c r="OMK507" s="325"/>
      <c r="OML507" s="325"/>
      <c r="OMM507" s="325"/>
      <c r="OMN507" s="325"/>
      <c r="OMO507" s="327"/>
      <c r="OMP507" s="28"/>
      <c r="OMQ507" s="324"/>
      <c r="OMR507" s="324"/>
      <c r="OMS507" s="324"/>
      <c r="OMT507" s="324"/>
      <c r="OMU507" s="324"/>
      <c r="OMV507" s="324"/>
      <c r="OMW507" s="256"/>
      <c r="OMX507" s="325"/>
      <c r="OMY507" s="311"/>
      <c r="OMZ507" s="325"/>
      <c r="ONA507" s="310"/>
      <c r="ONB507" s="325"/>
      <c r="ONC507" s="325"/>
      <c r="OND507" s="325"/>
      <c r="ONE507" s="325"/>
      <c r="ONF507" s="325"/>
      <c r="ONG507" s="325"/>
      <c r="ONH507" s="325"/>
      <c r="ONI507" s="325"/>
      <c r="ONJ507" s="325"/>
      <c r="ONK507" s="325"/>
      <c r="ONL507" s="325"/>
      <c r="ONM507" s="325"/>
      <c r="ONN507" s="325"/>
      <c r="ONO507" s="325"/>
      <c r="ONP507" s="325"/>
      <c r="ONQ507" s="325"/>
      <c r="ONR507" s="325"/>
      <c r="ONS507" s="325"/>
      <c r="ONT507" s="325"/>
      <c r="ONU507" s="325"/>
      <c r="ONV507" s="325"/>
      <c r="ONW507" s="325"/>
      <c r="ONX507" s="325"/>
      <c r="ONY507" s="325"/>
      <c r="ONZ507" s="325"/>
      <c r="OOA507" s="325"/>
      <c r="OOB507" s="325"/>
      <c r="OOC507" s="325"/>
      <c r="OOD507" s="325"/>
      <c r="OOE507" s="325"/>
      <c r="OOF507" s="327"/>
      <c r="OOG507" s="28"/>
      <c r="OOH507" s="324"/>
      <c r="OOI507" s="324"/>
      <c r="OOJ507" s="324"/>
      <c r="OOK507" s="324"/>
      <c r="OOL507" s="324"/>
      <c r="OOM507" s="324"/>
      <c r="OON507" s="256"/>
      <c r="OOO507" s="325"/>
      <c r="OOP507" s="311"/>
      <c r="OOQ507" s="325"/>
      <c r="OOR507" s="310"/>
      <c r="OOS507" s="325"/>
      <c r="OOT507" s="325"/>
      <c r="OOU507" s="325"/>
      <c r="OOV507" s="325"/>
      <c r="OOW507" s="325"/>
      <c r="OOX507" s="325"/>
      <c r="OOY507" s="325"/>
      <c r="OOZ507" s="325"/>
      <c r="OPA507" s="325"/>
      <c r="OPB507" s="325"/>
      <c r="OPC507" s="325"/>
      <c r="OPD507" s="325"/>
      <c r="OPE507" s="325"/>
      <c r="OPF507" s="325"/>
      <c r="OPG507" s="325"/>
      <c r="OPH507" s="325"/>
      <c r="OPI507" s="325"/>
      <c r="OPJ507" s="325"/>
      <c r="OPK507" s="325"/>
      <c r="OPL507" s="325"/>
      <c r="OPM507" s="325"/>
      <c r="OPN507" s="325"/>
      <c r="OPO507" s="325"/>
      <c r="OPP507" s="325"/>
      <c r="OPQ507" s="325"/>
      <c r="OPR507" s="325"/>
      <c r="OPS507" s="325"/>
      <c r="OPT507" s="325"/>
      <c r="OPU507" s="325"/>
      <c r="OPV507" s="325"/>
      <c r="OPW507" s="327"/>
      <c r="OPX507" s="28"/>
      <c r="OPY507" s="324"/>
      <c r="OPZ507" s="324"/>
      <c r="OQA507" s="324"/>
      <c r="OQB507" s="324"/>
      <c r="OQC507" s="324"/>
      <c r="OQD507" s="324"/>
      <c r="OQE507" s="256"/>
      <c r="OQF507" s="325"/>
      <c r="OQG507" s="311"/>
      <c r="OQH507" s="325"/>
      <c r="OQI507" s="310"/>
      <c r="OQJ507" s="325"/>
      <c r="OQK507" s="325"/>
      <c r="OQL507" s="325"/>
      <c r="OQM507" s="325"/>
      <c r="OQN507" s="325"/>
      <c r="OQO507" s="325"/>
      <c r="OQP507" s="325"/>
      <c r="OQQ507" s="325"/>
      <c r="OQR507" s="325"/>
      <c r="OQS507" s="325"/>
      <c r="OQT507" s="325"/>
      <c r="OQU507" s="325"/>
      <c r="OQV507" s="325"/>
      <c r="OQW507" s="325"/>
      <c r="OQX507" s="325"/>
      <c r="OQY507" s="325"/>
      <c r="OQZ507" s="325"/>
      <c r="ORA507" s="325"/>
      <c r="ORB507" s="325"/>
      <c r="ORC507" s="325"/>
      <c r="ORD507" s="325"/>
      <c r="ORE507" s="325"/>
      <c r="ORF507" s="325"/>
      <c r="ORG507" s="325"/>
      <c r="ORH507" s="325"/>
      <c r="ORI507" s="325"/>
      <c r="ORJ507" s="325"/>
      <c r="ORK507" s="325"/>
      <c r="ORL507" s="325"/>
      <c r="ORM507" s="325"/>
      <c r="ORN507" s="327"/>
      <c r="ORO507" s="28"/>
      <c r="ORP507" s="324"/>
      <c r="ORQ507" s="324"/>
      <c r="ORR507" s="324"/>
      <c r="ORS507" s="324"/>
      <c r="ORT507" s="324"/>
      <c r="ORU507" s="324"/>
      <c r="ORV507" s="256"/>
      <c r="ORW507" s="325"/>
      <c r="ORX507" s="311"/>
      <c r="ORY507" s="325"/>
      <c r="ORZ507" s="310"/>
      <c r="OSA507" s="325"/>
      <c r="OSB507" s="325"/>
      <c r="OSC507" s="325"/>
      <c r="OSD507" s="325"/>
      <c r="OSE507" s="325"/>
      <c r="OSF507" s="325"/>
      <c r="OSG507" s="325"/>
      <c r="OSH507" s="325"/>
      <c r="OSI507" s="325"/>
      <c r="OSJ507" s="325"/>
      <c r="OSK507" s="325"/>
      <c r="OSL507" s="325"/>
      <c r="OSM507" s="325"/>
      <c r="OSN507" s="325"/>
      <c r="OSO507" s="325"/>
      <c r="OSP507" s="325"/>
      <c r="OSQ507" s="325"/>
      <c r="OSR507" s="325"/>
      <c r="OSS507" s="325"/>
      <c r="OST507" s="325"/>
      <c r="OSU507" s="325"/>
      <c r="OSV507" s="325"/>
      <c r="OSW507" s="325"/>
      <c r="OSX507" s="325"/>
      <c r="OSY507" s="325"/>
      <c r="OSZ507" s="325"/>
      <c r="OTA507" s="325"/>
      <c r="OTB507" s="325"/>
      <c r="OTC507" s="325"/>
      <c r="OTD507" s="325"/>
      <c r="OTE507" s="327"/>
      <c r="OTF507" s="28"/>
      <c r="OTG507" s="324"/>
      <c r="OTH507" s="324"/>
      <c r="OTI507" s="324"/>
      <c r="OTJ507" s="324"/>
      <c r="OTK507" s="324"/>
      <c r="OTL507" s="324"/>
      <c r="OTM507" s="256"/>
      <c r="OTN507" s="325"/>
      <c r="OTO507" s="311"/>
      <c r="OTP507" s="325"/>
      <c r="OTQ507" s="310"/>
      <c r="OTR507" s="325"/>
      <c r="OTS507" s="325"/>
      <c r="OTT507" s="325"/>
      <c r="OTU507" s="325"/>
      <c r="OTV507" s="325"/>
      <c r="OTW507" s="325"/>
      <c r="OTX507" s="325"/>
      <c r="OTY507" s="325"/>
      <c r="OTZ507" s="325"/>
      <c r="OUA507" s="325"/>
      <c r="OUB507" s="325"/>
      <c r="OUC507" s="325"/>
      <c r="OUD507" s="325"/>
      <c r="OUE507" s="325"/>
      <c r="OUF507" s="325"/>
      <c r="OUG507" s="325"/>
      <c r="OUH507" s="325"/>
      <c r="OUI507" s="325"/>
      <c r="OUJ507" s="325"/>
      <c r="OUK507" s="325"/>
      <c r="OUL507" s="325"/>
      <c r="OUM507" s="325"/>
      <c r="OUN507" s="325"/>
      <c r="OUO507" s="325"/>
      <c r="OUP507" s="325"/>
      <c r="OUQ507" s="325"/>
      <c r="OUR507" s="325"/>
      <c r="OUS507" s="325"/>
      <c r="OUT507" s="325"/>
      <c r="OUU507" s="325"/>
      <c r="OUV507" s="327"/>
      <c r="OUW507" s="28"/>
      <c r="OUX507" s="324"/>
      <c r="OUY507" s="324"/>
      <c r="OUZ507" s="324"/>
      <c r="OVA507" s="324"/>
      <c r="OVB507" s="324"/>
      <c r="OVC507" s="324"/>
      <c r="OVD507" s="256"/>
      <c r="OVE507" s="325"/>
      <c r="OVF507" s="311"/>
      <c r="OVG507" s="325"/>
      <c r="OVH507" s="310"/>
      <c r="OVI507" s="325"/>
      <c r="OVJ507" s="325"/>
      <c r="OVK507" s="325"/>
      <c r="OVL507" s="325"/>
      <c r="OVM507" s="325"/>
      <c r="OVN507" s="325"/>
      <c r="OVO507" s="325"/>
      <c r="OVP507" s="325"/>
      <c r="OVQ507" s="325"/>
      <c r="OVR507" s="325"/>
      <c r="OVS507" s="325"/>
      <c r="OVT507" s="325"/>
      <c r="OVU507" s="325"/>
      <c r="OVV507" s="325"/>
      <c r="OVW507" s="325"/>
      <c r="OVX507" s="325"/>
      <c r="OVY507" s="325"/>
      <c r="OVZ507" s="325"/>
      <c r="OWA507" s="325"/>
      <c r="OWB507" s="325"/>
      <c r="OWC507" s="325"/>
      <c r="OWD507" s="325"/>
      <c r="OWE507" s="325"/>
      <c r="OWF507" s="325"/>
      <c r="OWG507" s="325"/>
      <c r="OWH507" s="325"/>
      <c r="OWI507" s="325"/>
      <c r="OWJ507" s="325"/>
      <c r="OWK507" s="325"/>
      <c r="OWL507" s="325"/>
      <c r="OWM507" s="327"/>
      <c r="OWN507" s="28"/>
      <c r="OWO507" s="324"/>
      <c r="OWP507" s="324"/>
      <c r="OWQ507" s="324"/>
      <c r="OWR507" s="324"/>
      <c r="OWS507" s="324"/>
      <c r="OWT507" s="324"/>
      <c r="OWU507" s="256"/>
      <c r="OWV507" s="325"/>
      <c r="OWW507" s="311"/>
      <c r="OWX507" s="325"/>
      <c r="OWY507" s="310"/>
      <c r="OWZ507" s="325"/>
      <c r="OXA507" s="325"/>
      <c r="OXB507" s="325"/>
      <c r="OXC507" s="325"/>
      <c r="OXD507" s="325"/>
      <c r="OXE507" s="325"/>
      <c r="OXF507" s="325"/>
      <c r="OXG507" s="325"/>
      <c r="OXH507" s="325"/>
      <c r="OXI507" s="325"/>
      <c r="OXJ507" s="325"/>
      <c r="OXK507" s="325"/>
      <c r="OXL507" s="325"/>
      <c r="OXM507" s="325"/>
      <c r="OXN507" s="325"/>
      <c r="OXO507" s="325"/>
      <c r="OXP507" s="325"/>
      <c r="OXQ507" s="325"/>
      <c r="OXR507" s="325"/>
      <c r="OXS507" s="325"/>
      <c r="OXT507" s="325"/>
      <c r="OXU507" s="325"/>
      <c r="OXV507" s="325"/>
      <c r="OXW507" s="325"/>
      <c r="OXX507" s="325"/>
      <c r="OXY507" s="325"/>
      <c r="OXZ507" s="325"/>
      <c r="OYA507" s="325"/>
      <c r="OYB507" s="325"/>
      <c r="OYC507" s="325"/>
      <c r="OYD507" s="327"/>
      <c r="OYE507" s="28"/>
      <c r="OYF507" s="324"/>
      <c r="OYG507" s="324"/>
      <c r="OYH507" s="324"/>
      <c r="OYI507" s="324"/>
      <c r="OYJ507" s="324"/>
      <c r="OYK507" s="324"/>
      <c r="OYL507" s="256"/>
      <c r="OYM507" s="325"/>
      <c r="OYN507" s="311"/>
      <c r="OYO507" s="325"/>
      <c r="OYP507" s="310"/>
      <c r="OYQ507" s="325"/>
      <c r="OYR507" s="325"/>
      <c r="OYS507" s="325"/>
      <c r="OYT507" s="325"/>
      <c r="OYU507" s="325"/>
      <c r="OYV507" s="325"/>
      <c r="OYW507" s="325"/>
      <c r="OYX507" s="325"/>
      <c r="OYY507" s="325"/>
      <c r="OYZ507" s="325"/>
      <c r="OZA507" s="325"/>
      <c r="OZB507" s="325"/>
      <c r="OZC507" s="325"/>
      <c r="OZD507" s="325"/>
      <c r="OZE507" s="325"/>
      <c r="OZF507" s="325"/>
      <c r="OZG507" s="325"/>
      <c r="OZH507" s="325"/>
      <c r="OZI507" s="325"/>
      <c r="OZJ507" s="325"/>
      <c r="OZK507" s="325"/>
      <c r="OZL507" s="325"/>
      <c r="OZM507" s="325"/>
      <c r="OZN507" s="325"/>
      <c r="OZO507" s="325"/>
      <c r="OZP507" s="325"/>
      <c r="OZQ507" s="325"/>
      <c r="OZR507" s="325"/>
      <c r="OZS507" s="325"/>
      <c r="OZT507" s="325"/>
      <c r="OZU507" s="327"/>
      <c r="OZV507" s="28"/>
      <c r="OZW507" s="324"/>
      <c r="OZX507" s="324"/>
      <c r="OZY507" s="324"/>
      <c r="OZZ507" s="324"/>
      <c r="PAA507" s="324"/>
      <c r="PAB507" s="324"/>
      <c r="PAC507" s="256"/>
      <c r="PAD507" s="325"/>
      <c r="PAE507" s="311"/>
      <c r="PAF507" s="325"/>
      <c r="PAG507" s="310"/>
      <c r="PAH507" s="325"/>
      <c r="PAI507" s="325"/>
      <c r="PAJ507" s="325"/>
      <c r="PAK507" s="325"/>
      <c r="PAL507" s="325"/>
      <c r="PAM507" s="325"/>
      <c r="PAN507" s="325"/>
      <c r="PAO507" s="325"/>
      <c r="PAP507" s="325"/>
      <c r="PAQ507" s="325"/>
      <c r="PAR507" s="325"/>
      <c r="PAS507" s="325"/>
      <c r="PAT507" s="325"/>
      <c r="PAU507" s="325"/>
      <c r="PAV507" s="325"/>
      <c r="PAW507" s="325"/>
      <c r="PAX507" s="325"/>
      <c r="PAY507" s="325"/>
      <c r="PAZ507" s="325"/>
      <c r="PBA507" s="325"/>
      <c r="PBB507" s="325"/>
      <c r="PBC507" s="325"/>
      <c r="PBD507" s="325"/>
      <c r="PBE507" s="325"/>
      <c r="PBF507" s="325"/>
      <c r="PBG507" s="325"/>
      <c r="PBH507" s="325"/>
      <c r="PBI507" s="325"/>
      <c r="PBJ507" s="325"/>
      <c r="PBK507" s="325"/>
      <c r="PBL507" s="327"/>
      <c r="PBM507" s="28"/>
      <c r="PBN507" s="324"/>
      <c r="PBO507" s="324"/>
      <c r="PBP507" s="324"/>
      <c r="PBQ507" s="324"/>
      <c r="PBR507" s="324"/>
      <c r="PBS507" s="324"/>
      <c r="PBT507" s="256"/>
      <c r="PBU507" s="325"/>
      <c r="PBV507" s="311"/>
      <c r="PBW507" s="325"/>
      <c r="PBX507" s="310"/>
      <c r="PBY507" s="325"/>
      <c r="PBZ507" s="325"/>
      <c r="PCA507" s="325"/>
      <c r="PCB507" s="325"/>
      <c r="PCC507" s="325"/>
      <c r="PCD507" s="325"/>
      <c r="PCE507" s="325"/>
      <c r="PCF507" s="325"/>
      <c r="PCG507" s="325"/>
      <c r="PCH507" s="325"/>
      <c r="PCI507" s="325"/>
      <c r="PCJ507" s="325"/>
      <c r="PCK507" s="325"/>
      <c r="PCL507" s="325"/>
      <c r="PCM507" s="325"/>
      <c r="PCN507" s="325"/>
      <c r="PCO507" s="325"/>
      <c r="PCP507" s="325"/>
      <c r="PCQ507" s="325"/>
      <c r="PCR507" s="325"/>
      <c r="PCS507" s="325"/>
      <c r="PCT507" s="325"/>
      <c r="PCU507" s="325"/>
      <c r="PCV507" s="325"/>
      <c r="PCW507" s="325"/>
      <c r="PCX507" s="325"/>
      <c r="PCY507" s="325"/>
      <c r="PCZ507" s="325"/>
      <c r="PDA507" s="325"/>
      <c r="PDB507" s="325"/>
      <c r="PDC507" s="327"/>
      <c r="PDD507" s="28"/>
      <c r="PDE507" s="324"/>
      <c r="PDF507" s="324"/>
      <c r="PDG507" s="324"/>
      <c r="PDH507" s="324"/>
      <c r="PDI507" s="324"/>
      <c r="PDJ507" s="324"/>
      <c r="PDK507" s="256"/>
      <c r="PDL507" s="325"/>
      <c r="PDM507" s="311"/>
      <c r="PDN507" s="325"/>
      <c r="PDO507" s="310"/>
      <c r="PDP507" s="325"/>
      <c r="PDQ507" s="325"/>
      <c r="PDR507" s="325"/>
      <c r="PDS507" s="325"/>
      <c r="PDT507" s="325"/>
      <c r="PDU507" s="325"/>
      <c r="PDV507" s="325"/>
      <c r="PDW507" s="325"/>
      <c r="PDX507" s="325"/>
      <c r="PDY507" s="325"/>
      <c r="PDZ507" s="325"/>
      <c r="PEA507" s="325"/>
      <c r="PEB507" s="325"/>
      <c r="PEC507" s="325"/>
      <c r="PED507" s="325"/>
      <c r="PEE507" s="325"/>
      <c r="PEF507" s="325"/>
      <c r="PEG507" s="325"/>
      <c r="PEH507" s="325"/>
      <c r="PEI507" s="325"/>
      <c r="PEJ507" s="325"/>
      <c r="PEK507" s="325"/>
      <c r="PEL507" s="325"/>
      <c r="PEM507" s="325"/>
      <c r="PEN507" s="325"/>
      <c r="PEO507" s="325"/>
      <c r="PEP507" s="325"/>
      <c r="PEQ507" s="325"/>
      <c r="PER507" s="325"/>
      <c r="PES507" s="325"/>
      <c r="PET507" s="327"/>
      <c r="PEU507" s="28"/>
      <c r="PEV507" s="324"/>
      <c r="PEW507" s="324"/>
      <c r="PEX507" s="324"/>
      <c r="PEY507" s="324"/>
      <c r="PEZ507" s="324"/>
      <c r="PFA507" s="324"/>
      <c r="PFB507" s="256"/>
      <c r="PFC507" s="325"/>
      <c r="PFD507" s="311"/>
      <c r="PFE507" s="325"/>
      <c r="PFF507" s="310"/>
      <c r="PFG507" s="325"/>
      <c r="PFH507" s="325"/>
      <c r="PFI507" s="325"/>
      <c r="PFJ507" s="325"/>
      <c r="PFK507" s="325"/>
      <c r="PFL507" s="325"/>
      <c r="PFM507" s="325"/>
      <c r="PFN507" s="325"/>
      <c r="PFO507" s="325"/>
      <c r="PFP507" s="325"/>
      <c r="PFQ507" s="325"/>
      <c r="PFR507" s="325"/>
      <c r="PFS507" s="325"/>
      <c r="PFT507" s="325"/>
      <c r="PFU507" s="325"/>
      <c r="PFV507" s="325"/>
      <c r="PFW507" s="325"/>
      <c r="PFX507" s="325"/>
      <c r="PFY507" s="325"/>
      <c r="PFZ507" s="325"/>
      <c r="PGA507" s="325"/>
      <c r="PGB507" s="325"/>
      <c r="PGC507" s="325"/>
      <c r="PGD507" s="325"/>
      <c r="PGE507" s="325"/>
      <c r="PGF507" s="325"/>
      <c r="PGG507" s="325"/>
      <c r="PGH507" s="325"/>
      <c r="PGI507" s="325"/>
      <c r="PGJ507" s="325"/>
      <c r="PGK507" s="327"/>
      <c r="PGL507" s="28"/>
      <c r="PGM507" s="324"/>
      <c r="PGN507" s="324"/>
      <c r="PGO507" s="324"/>
      <c r="PGP507" s="324"/>
      <c r="PGQ507" s="324"/>
      <c r="PGR507" s="324"/>
      <c r="PGS507" s="256"/>
      <c r="PGT507" s="325"/>
      <c r="PGU507" s="311"/>
      <c r="PGV507" s="325"/>
      <c r="PGW507" s="310"/>
      <c r="PGX507" s="325"/>
      <c r="PGY507" s="325"/>
      <c r="PGZ507" s="325"/>
      <c r="PHA507" s="325"/>
      <c r="PHB507" s="325"/>
      <c r="PHC507" s="325"/>
      <c r="PHD507" s="325"/>
      <c r="PHE507" s="325"/>
      <c r="PHF507" s="325"/>
      <c r="PHG507" s="325"/>
      <c r="PHH507" s="325"/>
      <c r="PHI507" s="325"/>
      <c r="PHJ507" s="325"/>
      <c r="PHK507" s="325"/>
      <c r="PHL507" s="325"/>
      <c r="PHM507" s="325"/>
      <c r="PHN507" s="325"/>
      <c r="PHO507" s="325"/>
      <c r="PHP507" s="325"/>
      <c r="PHQ507" s="325"/>
      <c r="PHR507" s="325"/>
      <c r="PHS507" s="325"/>
      <c r="PHT507" s="325"/>
      <c r="PHU507" s="325"/>
      <c r="PHV507" s="325"/>
      <c r="PHW507" s="325"/>
      <c r="PHX507" s="325"/>
      <c r="PHY507" s="325"/>
      <c r="PHZ507" s="325"/>
      <c r="PIA507" s="325"/>
      <c r="PIB507" s="327"/>
      <c r="PIC507" s="28"/>
      <c r="PID507" s="324"/>
      <c r="PIE507" s="324"/>
      <c r="PIF507" s="324"/>
      <c r="PIG507" s="324"/>
      <c r="PIH507" s="324"/>
      <c r="PII507" s="324"/>
      <c r="PIJ507" s="256"/>
      <c r="PIK507" s="325"/>
      <c r="PIL507" s="311"/>
      <c r="PIM507" s="325"/>
      <c r="PIN507" s="310"/>
      <c r="PIO507" s="325"/>
      <c r="PIP507" s="325"/>
      <c r="PIQ507" s="325"/>
      <c r="PIR507" s="325"/>
      <c r="PIS507" s="325"/>
      <c r="PIT507" s="325"/>
      <c r="PIU507" s="325"/>
      <c r="PIV507" s="325"/>
      <c r="PIW507" s="325"/>
      <c r="PIX507" s="325"/>
      <c r="PIY507" s="325"/>
      <c r="PIZ507" s="325"/>
      <c r="PJA507" s="325"/>
      <c r="PJB507" s="325"/>
      <c r="PJC507" s="325"/>
      <c r="PJD507" s="325"/>
      <c r="PJE507" s="325"/>
      <c r="PJF507" s="325"/>
      <c r="PJG507" s="325"/>
      <c r="PJH507" s="325"/>
      <c r="PJI507" s="325"/>
      <c r="PJJ507" s="325"/>
      <c r="PJK507" s="325"/>
      <c r="PJL507" s="325"/>
      <c r="PJM507" s="325"/>
      <c r="PJN507" s="325"/>
      <c r="PJO507" s="325"/>
      <c r="PJP507" s="325"/>
      <c r="PJQ507" s="325"/>
      <c r="PJR507" s="325"/>
      <c r="PJS507" s="327"/>
      <c r="PJT507" s="28"/>
      <c r="PJU507" s="324"/>
      <c r="PJV507" s="324"/>
      <c r="PJW507" s="324"/>
      <c r="PJX507" s="324"/>
      <c r="PJY507" s="324"/>
      <c r="PJZ507" s="324"/>
      <c r="PKA507" s="256"/>
      <c r="PKB507" s="325"/>
      <c r="PKC507" s="311"/>
      <c r="PKD507" s="325"/>
      <c r="PKE507" s="310"/>
      <c r="PKF507" s="325"/>
      <c r="PKG507" s="325"/>
      <c r="PKH507" s="325"/>
      <c r="PKI507" s="325"/>
      <c r="PKJ507" s="325"/>
      <c r="PKK507" s="325"/>
      <c r="PKL507" s="325"/>
      <c r="PKM507" s="325"/>
      <c r="PKN507" s="325"/>
      <c r="PKO507" s="325"/>
      <c r="PKP507" s="325"/>
      <c r="PKQ507" s="325"/>
      <c r="PKR507" s="325"/>
      <c r="PKS507" s="325"/>
      <c r="PKT507" s="325"/>
      <c r="PKU507" s="325"/>
      <c r="PKV507" s="325"/>
      <c r="PKW507" s="325"/>
      <c r="PKX507" s="325"/>
      <c r="PKY507" s="325"/>
      <c r="PKZ507" s="325"/>
      <c r="PLA507" s="325"/>
      <c r="PLB507" s="325"/>
      <c r="PLC507" s="325"/>
      <c r="PLD507" s="325"/>
      <c r="PLE507" s="325"/>
      <c r="PLF507" s="325"/>
      <c r="PLG507" s="325"/>
      <c r="PLH507" s="325"/>
      <c r="PLI507" s="325"/>
      <c r="PLJ507" s="327"/>
      <c r="PLK507" s="28"/>
      <c r="PLL507" s="324"/>
      <c r="PLM507" s="324"/>
      <c r="PLN507" s="324"/>
      <c r="PLO507" s="324"/>
      <c r="PLP507" s="324"/>
      <c r="PLQ507" s="324"/>
      <c r="PLR507" s="256"/>
      <c r="PLS507" s="325"/>
      <c r="PLT507" s="311"/>
      <c r="PLU507" s="325"/>
      <c r="PLV507" s="310"/>
      <c r="PLW507" s="325"/>
      <c r="PLX507" s="325"/>
      <c r="PLY507" s="325"/>
      <c r="PLZ507" s="325"/>
      <c r="PMA507" s="325"/>
      <c r="PMB507" s="325"/>
      <c r="PMC507" s="325"/>
      <c r="PMD507" s="325"/>
      <c r="PME507" s="325"/>
      <c r="PMF507" s="325"/>
      <c r="PMG507" s="325"/>
      <c r="PMH507" s="325"/>
      <c r="PMI507" s="325"/>
      <c r="PMJ507" s="325"/>
      <c r="PMK507" s="325"/>
      <c r="PML507" s="325"/>
      <c r="PMM507" s="325"/>
      <c r="PMN507" s="325"/>
      <c r="PMO507" s="325"/>
      <c r="PMP507" s="325"/>
      <c r="PMQ507" s="325"/>
      <c r="PMR507" s="325"/>
      <c r="PMS507" s="325"/>
      <c r="PMT507" s="325"/>
      <c r="PMU507" s="325"/>
      <c r="PMV507" s="325"/>
      <c r="PMW507" s="325"/>
      <c r="PMX507" s="325"/>
      <c r="PMY507" s="325"/>
      <c r="PMZ507" s="325"/>
      <c r="PNA507" s="327"/>
      <c r="PNB507" s="28"/>
      <c r="PNC507" s="324"/>
      <c r="PND507" s="324"/>
      <c r="PNE507" s="324"/>
      <c r="PNF507" s="324"/>
      <c r="PNG507" s="324"/>
      <c r="PNH507" s="324"/>
      <c r="PNI507" s="256"/>
      <c r="PNJ507" s="325"/>
      <c r="PNK507" s="311"/>
      <c r="PNL507" s="325"/>
      <c r="PNM507" s="310"/>
      <c r="PNN507" s="325"/>
      <c r="PNO507" s="325"/>
      <c r="PNP507" s="325"/>
      <c r="PNQ507" s="325"/>
      <c r="PNR507" s="325"/>
      <c r="PNS507" s="325"/>
      <c r="PNT507" s="325"/>
      <c r="PNU507" s="325"/>
      <c r="PNV507" s="325"/>
      <c r="PNW507" s="325"/>
      <c r="PNX507" s="325"/>
      <c r="PNY507" s="325"/>
      <c r="PNZ507" s="325"/>
      <c r="POA507" s="325"/>
      <c r="POB507" s="325"/>
      <c r="POC507" s="325"/>
      <c r="POD507" s="325"/>
      <c r="POE507" s="325"/>
      <c r="POF507" s="325"/>
      <c r="POG507" s="325"/>
      <c r="POH507" s="325"/>
      <c r="POI507" s="325"/>
      <c r="POJ507" s="325"/>
      <c r="POK507" s="325"/>
      <c r="POL507" s="325"/>
      <c r="POM507" s="325"/>
      <c r="PON507" s="325"/>
      <c r="POO507" s="325"/>
      <c r="POP507" s="325"/>
      <c r="POQ507" s="325"/>
      <c r="POR507" s="327"/>
      <c r="POS507" s="28"/>
      <c r="POT507" s="324"/>
      <c r="POU507" s="324"/>
      <c r="POV507" s="324"/>
      <c r="POW507" s="324"/>
      <c r="POX507" s="324"/>
      <c r="POY507" s="324"/>
      <c r="POZ507" s="256"/>
      <c r="PPA507" s="325"/>
      <c r="PPB507" s="311"/>
      <c r="PPC507" s="325"/>
      <c r="PPD507" s="310"/>
      <c r="PPE507" s="325"/>
      <c r="PPF507" s="325"/>
      <c r="PPG507" s="325"/>
      <c r="PPH507" s="325"/>
      <c r="PPI507" s="325"/>
      <c r="PPJ507" s="325"/>
      <c r="PPK507" s="325"/>
      <c r="PPL507" s="325"/>
      <c r="PPM507" s="325"/>
      <c r="PPN507" s="325"/>
      <c r="PPO507" s="325"/>
      <c r="PPP507" s="325"/>
      <c r="PPQ507" s="325"/>
      <c r="PPR507" s="325"/>
      <c r="PPS507" s="325"/>
      <c r="PPT507" s="325"/>
      <c r="PPU507" s="325"/>
      <c r="PPV507" s="325"/>
      <c r="PPW507" s="325"/>
      <c r="PPX507" s="325"/>
      <c r="PPY507" s="325"/>
      <c r="PPZ507" s="325"/>
      <c r="PQA507" s="325"/>
      <c r="PQB507" s="325"/>
      <c r="PQC507" s="325"/>
      <c r="PQD507" s="325"/>
      <c r="PQE507" s="325"/>
      <c r="PQF507" s="325"/>
      <c r="PQG507" s="325"/>
      <c r="PQH507" s="325"/>
      <c r="PQI507" s="327"/>
      <c r="PQJ507" s="28"/>
      <c r="PQK507" s="324"/>
      <c r="PQL507" s="324"/>
      <c r="PQM507" s="324"/>
      <c r="PQN507" s="324"/>
      <c r="PQO507" s="324"/>
      <c r="PQP507" s="324"/>
      <c r="PQQ507" s="256"/>
      <c r="PQR507" s="325"/>
      <c r="PQS507" s="311"/>
      <c r="PQT507" s="325"/>
      <c r="PQU507" s="310"/>
      <c r="PQV507" s="325"/>
      <c r="PQW507" s="325"/>
      <c r="PQX507" s="325"/>
      <c r="PQY507" s="325"/>
      <c r="PQZ507" s="325"/>
      <c r="PRA507" s="325"/>
      <c r="PRB507" s="325"/>
      <c r="PRC507" s="325"/>
      <c r="PRD507" s="325"/>
      <c r="PRE507" s="325"/>
      <c r="PRF507" s="325"/>
      <c r="PRG507" s="325"/>
      <c r="PRH507" s="325"/>
      <c r="PRI507" s="325"/>
      <c r="PRJ507" s="325"/>
      <c r="PRK507" s="325"/>
      <c r="PRL507" s="325"/>
      <c r="PRM507" s="325"/>
      <c r="PRN507" s="325"/>
      <c r="PRO507" s="325"/>
      <c r="PRP507" s="325"/>
      <c r="PRQ507" s="325"/>
      <c r="PRR507" s="325"/>
      <c r="PRS507" s="325"/>
      <c r="PRT507" s="325"/>
      <c r="PRU507" s="325"/>
      <c r="PRV507" s="325"/>
      <c r="PRW507" s="325"/>
      <c r="PRX507" s="325"/>
      <c r="PRY507" s="325"/>
      <c r="PRZ507" s="327"/>
      <c r="PSA507" s="28"/>
      <c r="PSB507" s="324"/>
      <c r="PSC507" s="324"/>
      <c r="PSD507" s="324"/>
      <c r="PSE507" s="324"/>
      <c r="PSF507" s="324"/>
      <c r="PSG507" s="324"/>
      <c r="PSH507" s="256"/>
      <c r="PSI507" s="325"/>
      <c r="PSJ507" s="311"/>
      <c r="PSK507" s="325"/>
      <c r="PSL507" s="310"/>
      <c r="PSM507" s="325"/>
      <c r="PSN507" s="325"/>
      <c r="PSO507" s="325"/>
      <c r="PSP507" s="325"/>
      <c r="PSQ507" s="325"/>
      <c r="PSR507" s="325"/>
      <c r="PSS507" s="325"/>
      <c r="PST507" s="325"/>
      <c r="PSU507" s="325"/>
      <c r="PSV507" s="325"/>
      <c r="PSW507" s="325"/>
      <c r="PSX507" s="325"/>
      <c r="PSY507" s="325"/>
      <c r="PSZ507" s="325"/>
      <c r="PTA507" s="325"/>
      <c r="PTB507" s="325"/>
      <c r="PTC507" s="325"/>
      <c r="PTD507" s="325"/>
      <c r="PTE507" s="325"/>
      <c r="PTF507" s="325"/>
      <c r="PTG507" s="325"/>
      <c r="PTH507" s="325"/>
      <c r="PTI507" s="325"/>
      <c r="PTJ507" s="325"/>
      <c r="PTK507" s="325"/>
      <c r="PTL507" s="325"/>
      <c r="PTM507" s="325"/>
      <c r="PTN507" s="325"/>
      <c r="PTO507" s="325"/>
      <c r="PTP507" s="325"/>
      <c r="PTQ507" s="327"/>
      <c r="PTR507" s="28"/>
      <c r="PTS507" s="324"/>
      <c r="PTT507" s="324"/>
      <c r="PTU507" s="324"/>
      <c r="PTV507" s="324"/>
      <c r="PTW507" s="324"/>
      <c r="PTX507" s="324"/>
      <c r="PTY507" s="256"/>
      <c r="PTZ507" s="325"/>
      <c r="PUA507" s="311"/>
      <c r="PUB507" s="325"/>
      <c r="PUC507" s="310"/>
      <c r="PUD507" s="325"/>
      <c r="PUE507" s="325"/>
      <c r="PUF507" s="325"/>
      <c r="PUG507" s="325"/>
      <c r="PUH507" s="325"/>
      <c r="PUI507" s="325"/>
      <c r="PUJ507" s="325"/>
      <c r="PUK507" s="325"/>
      <c r="PUL507" s="325"/>
      <c r="PUM507" s="325"/>
      <c r="PUN507" s="325"/>
      <c r="PUO507" s="325"/>
      <c r="PUP507" s="325"/>
      <c r="PUQ507" s="325"/>
      <c r="PUR507" s="325"/>
      <c r="PUS507" s="325"/>
      <c r="PUT507" s="325"/>
      <c r="PUU507" s="325"/>
      <c r="PUV507" s="325"/>
      <c r="PUW507" s="325"/>
      <c r="PUX507" s="325"/>
      <c r="PUY507" s="325"/>
      <c r="PUZ507" s="325"/>
      <c r="PVA507" s="325"/>
      <c r="PVB507" s="325"/>
      <c r="PVC507" s="325"/>
      <c r="PVD507" s="325"/>
      <c r="PVE507" s="325"/>
      <c r="PVF507" s="325"/>
      <c r="PVG507" s="325"/>
      <c r="PVH507" s="327"/>
      <c r="PVI507" s="28"/>
      <c r="PVJ507" s="324"/>
      <c r="PVK507" s="324"/>
      <c r="PVL507" s="324"/>
      <c r="PVM507" s="324"/>
      <c r="PVN507" s="324"/>
      <c r="PVO507" s="324"/>
      <c r="PVP507" s="256"/>
      <c r="PVQ507" s="325"/>
      <c r="PVR507" s="311"/>
      <c r="PVS507" s="325"/>
      <c r="PVT507" s="310"/>
      <c r="PVU507" s="325"/>
      <c r="PVV507" s="325"/>
      <c r="PVW507" s="325"/>
      <c r="PVX507" s="325"/>
      <c r="PVY507" s="325"/>
      <c r="PVZ507" s="325"/>
      <c r="PWA507" s="325"/>
      <c r="PWB507" s="325"/>
      <c r="PWC507" s="325"/>
      <c r="PWD507" s="325"/>
      <c r="PWE507" s="325"/>
      <c r="PWF507" s="325"/>
      <c r="PWG507" s="325"/>
      <c r="PWH507" s="325"/>
      <c r="PWI507" s="325"/>
      <c r="PWJ507" s="325"/>
      <c r="PWK507" s="325"/>
      <c r="PWL507" s="325"/>
      <c r="PWM507" s="325"/>
      <c r="PWN507" s="325"/>
      <c r="PWO507" s="325"/>
      <c r="PWP507" s="325"/>
      <c r="PWQ507" s="325"/>
      <c r="PWR507" s="325"/>
      <c r="PWS507" s="325"/>
      <c r="PWT507" s="325"/>
      <c r="PWU507" s="325"/>
      <c r="PWV507" s="325"/>
      <c r="PWW507" s="325"/>
      <c r="PWX507" s="325"/>
      <c r="PWY507" s="327"/>
      <c r="PWZ507" s="28"/>
      <c r="PXA507" s="324"/>
      <c r="PXB507" s="324"/>
      <c r="PXC507" s="324"/>
      <c r="PXD507" s="324"/>
      <c r="PXE507" s="324"/>
      <c r="PXF507" s="324"/>
      <c r="PXG507" s="256"/>
      <c r="PXH507" s="325"/>
      <c r="PXI507" s="311"/>
      <c r="PXJ507" s="325"/>
      <c r="PXK507" s="310"/>
      <c r="PXL507" s="325"/>
      <c r="PXM507" s="325"/>
      <c r="PXN507" s="325"/>
      <c r="PXO507" s="325"/>
      <c r="PXP507" s="325"/>
      <c r="PXQ507" s="325"/>
      <c r="PXR507" s="325"/>
      <c r="PXS507" s="325"/>
      <c r="PXT507" s="325"/>
      <c r="PXU507" s="325"/>
      <c r="PXV507" s="325"/>
      <c r="PXW507" s="325"/>
      <c r="PXX507" s="325"/>
      <c r="PXY507" s="325"/>
      <c r="PXZ507" s="325"/>
      <c r="PYA507" s="325"/>
      <c r="PYB507" s="325"/>
      <c r="PYC507" s="325"/>
      <c r="PYD507" s="325"/>
      <c r="PYE507" s="325"/>
      <c r="PYF507" s="325"/>
      <c r="PYG507" s="325"/>
      <c r="PYH507" s="325"/>
      <c r="PYI507" s="325"/>
      <c r="PYJ507" s="325"/>
      <c r="PYK507" s="325"/>
      <c r="PYL507" s="325"/>
      <c r="PYM507" s="325"/>
      <c r="PYN507" s="325"/>
      <c r="PYO507" s="325"/>
      <c r="PYP507" s="327"/>
      <c r="PYQ507" s="28"/>
      <c r="PYR507" s="324"/>
      <c r="PYS507" s="324"/>
      <c r="PYT507" s="324"/>
      <c r="PYU507" s="324"/>
      <c r="PYV507" s="324"/>
      <c r="PYW507" s="324"/>
      <c r="PYX507" s="256"/>
      <c r="PYY507" s="325"/>
      <c r="PYZ507" s="311"/>
      <c r="PZA507" s="325"/>
      <c r="PZB507" s="310"/>
      <c r="PZC507" s="325"/>
      <c r="PZD507" s="325"/>
      <c r="PZE507" s="325"/>
      <c r="PZF507" s="325"/>
      <c r="PZG507" s="325"/>
      <c r="PZH507" s="325"/>
      <c r="PZI507" s="325"/>
      <c r="PZJ507" s="325"/>
      <c r="PZK507" s="325"/>
      <c r="PZL507" s="325"/>
      <c r="PZM507" s="325"/>
      <c r="PZN507" s="325"/>
      <c r="PZO507" s="325"/>
      <c r="PZP507" s="325"/>
      <c r="PZQ507" s="325"/>
      <c r="PZR507" s="325"/>
      <c r="PZS507" s="325"/>
      <c r="PZT507" s="325"/>
      <c r="PZU507" s="325"/>
      <c r="PZV507" s="325"/>
      <c r="PZW507" s="325"/>
      <c r="PZX507" s="325"/>
      <c r="PZY507" s="325"/>
      <c r="PZZ507" s="325"/>
      <c r="QAA507" s="325"/>
      <c r="QAB507" s="325"/>
      <c r="QAC507" s="325"/>
      <c r="QAD507" s="325"/>
      <c r="QAE507" s="325"/>
      <c r="QAF507" s="325"/>
      <c r="QAG507" s="327"/>
      <c r="QAH507" s="28"/>
      <c r="QAI507" s="324"/>
      <c r="QAJ507" s="324"/>
      <c r="QAK507" s="324"/>
      <c r="QAL507" s="324"/>
      <c r="QAM507" s="324"/>
      <c r="QAN507" s="324"/>
      <c r="QAO507" s="256"/>
      <c r="QAP507" s="325"/>
      <c r="QAQ507" s="311"/>
      <c r="QAR507" s="325"/>
      <c r="QAS507" s="310"/>
      <c r="QAT507" s="325"/>
      <c r="QAU507" s="325"/>
      <c r="QAV507" s="325"/>
      <c r="QAW507" s="325"/>
      <c r="QAX507" s="325"/>
      <c r="QAY507" s="325"/>
      <c r="QAZ507" s="325"/>
      <c r="QBA507" s="325"/>
      <c r="QBB507" s="325"/>
      <c r="QBC507" s="325"/>
      <c r="QBD507" s="325"/>
      <c r="QBE507" s="325"/>
      <c r="QBF507" s="325"/>
      <c r="QBG507" s="325"/>
      <c r="QBH507" s="325"/>
      <c r="QBI507" s="325"/>
      <c r="QBJ507" s="325"/>
      <c r="QBK507" s="325"/>
      <c r="QBL507" s="325"/>
      <c r="QBM507" s="325"/>
      <c r="QBN507" s="325"/>
      <c r="QBO507" s="325"/>
      <c r="QBP507" s="325"/>
      <c r="QBQ507" s="325"/>
      <c r="QBR507" s="325"/>
      <c r="QBS507" s="325"/>
      <c r="QBT507" s="325"/>
      <c r="QBU507" s="325"/>
      <c r="QBV507" s="325"/>
      <c r="QBW507" s="325"/>
      <c r="QBX507" s="327"/>
      <c r="QBY507" s="28"/>
      <c r="QBZ507" s="324"/>
      <c r="QCA507" s="324"/>
      <c r="QCB507" s="324"/>
      <c r="QCC507" s="324"/>
      <c r="QCD507" s="324"/>
      <c r="QCE507" s="324"/>
      <c r="QCF507" s="256"/>
      <c r="QCG507" s="325"/>
      <c r="QCH507" s="311"/>
      <c r="QCI507" s="325"/>
      <c r="QCJ507" s="310"/>
      <c r="QCK507" s="325"/>
      <c r="QCL507" s="325"/>
      <c r="QCM507" s="325"/>
      <c r="QCN507" s="325"/>
      <c r="QCO507" s="325"/>
      <c r="QCP507" s="325"/>
      <c r="QCQ507" s="325"/>
      <c r="QCR507" s="325"/>
      <c r="QCS507" s="325"/>
      <c r="QCT507" s="325"/>
      <c r="QCU507" s="325"/>
      <c r="QCV507" s="325"/>
      <c r="QCW507" s="325"/>
      <c r="QCX507" s="325"/>
      <c r="QCY507" s="325"/>
      <c r="QCZ507" s="325"/>
      <c r="QDA507" s="325"/>
      <c r="QDB507" s="325"/>
      <c r="QDC507" s="325"/>
      <c r="QDD507" s="325"/>
      <c r="QDE507" s="325"/>
      <c r="QDF507" s="325"/>
      <c r="QDG507" s="325"/>
      <c r="QDH507" s="325"/>
      <c r="QDI507" s="325"/>
      <c r="QDJ507" s="325"/>
      <c r="QDK507" s="325"/>
      <c r="QDL507" s="325"/>
      <c r="QDM507" s="325"/>
      <c r="QDN507" s="325"/>
      <c r="QDO507" s="327"/>
      <c r="QDP507" s="28"/>
      <c r="QDQ507" s="324"/>
      <c r="QDR507" s="324"/>
      <c r="QDS507" s="324"/>
      <c r="QDT507" s="324"/>
      <c r="QDU507" s="324"/>
      <c r="QDV507" s="324"/>
      <c r="QDW507" s="256"/>
      <c r="QDX507" s="325"/>
      <c r="QDY507" s="311"/>
      <c r="QDZ507" s="325"/>
      <c r="QEA507" s="310"/>
      <c r="QEB507" s="325"/>
      <c r="QEC507" s="325"/>
      <c r="QED507" s="325"/>
      <c r="QEE507" s="325"/>
      <c r="QEF507" s="325"/>
      <c r="QEG507" s="325"/>
      <c r="QEH507" s="325"/>
      <c r="QEI507" s="325"/>
      <c r="QEJ507" s="325"/>
      <c r="QEK507" s="325"/>
      <c r="QEL507" s="325"/>
      <c r="QEM507" s="325"/>
      <c r="QEN507" s="325"/>
      <c r="QEO507" s="325"/>
      <c r="QEP507" s="325"/>
      <c r="QEQ507" s="325"/>
      <c r="QER507" s="325"/>
      <c r="QES507" s="325"/>
      <c r="QET507" s="325"/>
      <c r="QEU507" s="325"/>
      <c r="QEV507" s="325"/>
      <c r="QEW507" s="325"/>
      <c r="QEX507" s="325"/>
      <c r="QEY507" s="325"/>
      <c r="QEZ507" s="325"/>
      <c r="QFA507" s="325"/>
      <c r="QFB507" s="325"/>
      <c r="QFC507" s="325"/>
      <c r="QFD507" s="325"/>
      <c r="QFE507" s="325"/>
      <c r="QFF507" s="327"/>
      <c r="QFG507" s="28"/>
      <c r="QFH507" s="324"/>
      <c r="QFI507" s="324"/>
      <c r="QFJ507" s="324"/>
      <c r="QFK507" s="324"/>
      <c r="QFL507" s="324"/>
      <c r="QFM507" s="324"/>
      <c r="QFN507" s="256"/>
      <c r="QFO507" s="325"/>
      <c r="QFP507" s="311"/>
      <c r="QFQ507" s="325"/>
      <c r="QFR507" s="310"/>
      <c r="QFS507" s="325"/>
      <c r="QFT507" s="325"/>
      <c r="QFU507" s="325"/>
      <c r="QFV507" s="325"/>
      <c r="QFW507" s="325"/>
      <c r="QFX507" s="325"/>
      <c r="QFY507" s="325"/>
      <c r="QFZ507" s="325"/>
      <c r="QGA507" s="325"/>
      <c r="QGB507" s="325"/>
      <c r="QGC507" s="325"/>
      <c r="QGD507" s="325"/>
      <c r="QGE507" s="325"/>
      <c r="QGF507" s="325"/>
      <c r="QGG507" s="325"/>
      <c r="QGH507" s="325"/>
      <c r="QGI507" s="325"/>
      <c r="QGJ507" s="325"/>
      <c r="QGK507" s="325"/>
      <c r="QGL507" s="325"/>
      <c r="QGM507" s="325"/>
      <c r="QGN507" s="325"/>
      <c r="QGO507" s="325"/>
      <c r="QGP507" s="325"/>
      <c r="QGQ507" s="325"/>
      <c r="QGR507" s="325"/>
      <c r="QGS507" s="325"/>
      <c r="QGT507" s="325"/>
      <c r="QGU507" s="325"/>
      <c r="QGV507" s="325"/>
      <c r="QGW507" s="327"/>
      <c r="QGX507" s="28"/>
      <c r="QGY507" s="324"/>
      <c r="QGZ507" s="324"/>
      <c r="QHA507" s="324"/>
      <c r="QHB507" s="324"/>
      <c r="QHC507" s="324"/>
      <c r="QHD507" s="324"/>
      <c r="QHE507" s="256"/>
      <c r="QHF507" s="325"/>
      <c r="QHG507" s="311"/>
      <c r="QHH507" s="325"/>
      <c r="QHI507" s="310"/>
      <c r="QHJ507" s="325"/>
      <c r="QHK507" s="325"/>
      <c r="QHL507" s="325"/>
      <c r="QHM507" s="325"/>
      <c r="QHN507" s="325"/>
      <c r="QHO507" s="325"/>
      <c r="QHP507" s="325"/>
      <c r="QHQ507" s="325"/>
      <c r="QHR507" s="325"/>
      <c r="QHS507" s="325"/>
      <c r="QHT507" s="325"/>
      <c r="QHU507" s="325"/>
      <c r="QHV507" s="325"/>
      <c r="QHW507" s="325"/>
      <c r="QHX507" s="325"/>
      <c r="QHY507" s="325"/>
      <c r="QHZ507" s="325"/>
      <c r="QIA507" s="325"/>
      <c r="QIB507" s="325"/>
      <c r="QIC507" s="325"/>
      <c r="QID507" s="325"/>
      <c r="QIE507" s="325"/>
      <c r="QIF507" s="325"/>
      <c r="QIG507" s="325"/>
      <c r="QIH507" s="325"/>
      <c r="QII507" s="325"/>
      <c r="QIJ507" s="325"/>
      <c r="QIK507" s="325"/>
      <c r="QIL507" s="325"/>
      <c r="QIM507" s="325"/>
      <c r="QIN507" s="327"/>
      <c r="QIO507" s="28"/>
      <c r="QIP507" s="324"/>
      <c r="QIQ507" s="324"/>
      <c r="QIR507" s="324"/>
      <c r="QIS507" s="324"/>
      <c r="QIT507" s="324"/>
      <c r="QIU507" s="324"/>
      <c r="QIV507" s="256"/>
      <c r="QIW507" s="325"/>
      <c r="QIX507" s="311"/>
      <c r="QIY507" s="325"/>
      <c r="QIZ507" s="310"/>
      <c r="QJA507" s="325"/>
      <c r="QJB507" s="325"/>
      <c r="QJC507" s="325"/>
      <c r="QJD507" s="325"/>
      <c r="QJE507" s="325"/>
      <c r="QJF507" s="325"/>
      <c r="QJG507" s="325"/>
      <c r="QJH507" s="325"/>
      <c r="QJI507" s="325"/>
      <c r="QJJ507" s="325"/>
      <c r="QJK507" s="325"/>
      <c r="QJL507" s="325"/>
      <c r="QJM507" s="325"/>
      <c r="QJN507" s="325"/>
      <c r="QJO507" s="325"/>
      <c r="QJP507" s="325"/>
      <c r="QJQ507" s="325"/>
      <c r="QJR507" s="325"/>
      <c r="QJS507" s="325"/>
      <c r="QJT507" s="325"/>
      <c r="QJU507" s="325"/>
      <c r="QJV507" s="325"/>
      <c r="QJW507" s="325"/>
      <c r="QJX507" s="325"/>
      <c r="QJY507" s="325"/>
      <c r="QJZ507" s="325"/>
      <c r="QKA507" s="325"/>
      <c r="QKB507" s="325"/>
      <c r="QKC507" s="325"/>
      <c r="QKD507" s="325"/>
      <c r="QKE507" s="327"/>
      <c r="QKF507" s="28"/>
      <c r="QKG507" s="324"/>
      <c r="QKH507" s="324"/>
      <c r="QKI507" s="324"/>
      <c r="QKJ507" s="324"/>
      <c r="QKK507" s="324"/>
      <c r="QKL507" s="324"/>
      <c r="QKM507" s="256"/>
      <c r="QKN507" s="325"/>
      <c r="QKO507" s="311"/>
      <c r="QKP507" s="325"/>
      <c r="QKQ507" s="310"/>
      <c r="QKR507" s="325"/>
      <c r="QKS507" s="325"/>
      <c r="QKT507" s="325"/>
      <c r="QKU507" s="325"/>
      <c r="QKV507" s="325"/>
      <c r="QKW507" s="325"/>
      <c r="QKX507" s="325"/>
      <c r="QKY507" s="325"/>
      <c r="QKZ507" s="325"/>
      <c r="QLA507" s="325"/>
      <c r="QLB507" s="325"/>
      <c r="QLC507" s="325"/>
      <c r="QLD507" s="325"/>
      <c r="QLE507" s="325"/>
      <c r="QLF507" s="325"/>
      <c r="QLG507" s="325"/>
      <c r="QLH507" s="325"/>
      <c r="QLI507" s="325"/>
      <c r="QLJ507" s="325"/>
      <c r="QLK507" s="325"/>
      <c r="QLL507" s="325"/>
      <c r="QLM507" s="325"/>
      <c r="QLN507" s="325"/>
      <c r="QLO507" s="325"/>
      <c r="QLP507" s="325"/>
      <c r="QLQ507" s="325"/>
      <c r="QLR507" s="325"/>
      <c r="QLS507" s="325"/>
      <c r="QLT507" s="325"/>
      <c r="QLU507" s="325"/>
      <c r="QLV507" s="327"/>
      <c r="QLW507" s="28"/>
      <c r="QLX507" s="324"/>
      <c r="QLY507" s="324"/>
      <c r="QLZ507" s="324"/>
      <c r="QMA507" s="324"/>
      <c r="QMB507" s="324"/>
      <c r="QMC507" s="324"/>
      <c r="QMD507" s="256"/>
      <c r="QME507" s="325"/>
      <c r="QMF507" s="311"/>
      <c r="QMG507" s="325"/>
      <c r="QMH507" s="310"/>
      <c r="QMI507" s="325"/>
      <c r="QMJ507" s="325"/>
      <c r="QMK507" s="325"/>
      <c r="QML507" s="325"/>
      <c r="QMM507" s="325"/>
      <c r="QMN507" s="325"/>
      <c r="QMO507" s="325"/>
      <c r="QMP507" s="325"/>
      <c r="QMQ507" s="325"/>
      <c r="QMR507" s="325"/>
      <c r="QMS507" s="325"/>
      <c r="QMT507" s="325"/>
      <c r="QMU507" s="325"/>
      <c r="QMV507" s="325"/>
      <c r="QMW507" s="325"/>
      <c r="QMX507" s="325"/>
      <c r="QMY507" s="325"/>
      <c r="QMZ507" s="325"/>
      <c r="QNA507" s="325"/>
      <c r="QNB507" s="325"/>
      <c r="QNC507" s="325"/>
      <c r="QND507" s="325"/>
      <c r="QNE507" s="325"/>
      <c r="QNF507" s="325"/>
      <c r="QNG507" s="325"/>
      <c r="QNH507" s="325"/>
      <c r="QNI507" s="325"/>
      <c r="QNJ507" s="325"/>
      <c r="QNK507" s="325"/>
      <c r="QNL507" s="325"/>
      <c r="QNM507" s="327"/>
      <c r="QNN507" s="28"/>
      <c r="QNO507" s="324"/>
      <c r="QNP507" s="324"/>
      <c r="QNQ507" s="324"/>
      <c r="QNR507" s="324"/>
      <c r="QNS507" s="324"/>
      <c r="QNT507" s="324"/>
      <c r="QNU507" s="256"/>
      <c r="QNV507" s="325"/>
      <c r="QNW507" s="311"/>
      <c r="QNX507" s="325"/>
      <c r="QNY507" s="310"/>
      <c r="QNZ507" s="325"/>
      <c r="QOA507" s="325"/>
      <c r="QOB507" s="325"/>
      <c r="QOC507" s="325"/>
      <c r="QOD507" s="325"/>
      <c r="QOE507" s="325"/>
      <c r="QOF507" s="325"/>
      <c r="QOG507" s="325"/>
      <c r="QOH507" s="325"/>
      <c r="QOI507" s="325"/>
      <c r="QOJ507" s="325"/>
      <c r="QOK507" s="325"/>
      <c r="QOL507" s="325"/>
      <c r="QOM507" s="325"/>
      <c r="QON507" s="325"/>
      <c r="QOO507" s="325"/>
      <c r="QOP507" s="325"/>
      <c r="QOQ507" s="325"/>
      <c r="QOR507" s="325"/>
      <c r="QOS507" s="325"/>
      <c r="QOT507" s="325"/>
      <c r="QOU507" s="325"/>
      <c r="QOV507" s="325"/>
      <c r="QOW507" s="325"/>
      <c r="QOX507" s="325"/>
      <c r="QOY507" s="325"/>
      <c r="QOZ507" s="325"/>
      <c r="QPA507" s="325"/>
      <c r="QPB507" s="325"/>
      <c r="QPC507" s="325"/>
      <c r="QPD507" s="327"/>
      <c r="QPE507" s="28"/>
      <c r="QPF507" s="324"/>
      <c r="QPG507" s="324"/>
      <c r="QPH507" s="324"/>
      <c r="QPI507" s="324"/>
      <c r="QPJ507" s="324"/>
      <c r="QPK507" s="324"/>
      <c r="QPL507" s="256"/>
      <c r="QPM507" s="325"/>
      <c r="QPN507" s="311"/>
      <c r="QPO507" s="325"/>
      <c r="QPP507" s="310"/>
      <c r="QPQ507" s="325"/>
      <c r="QPR507" s="325"/>
      <c r="QPS507" s="325"/>
      <c r="QPT507" s="325"/>
      <c r="QPU507" s="325"/>
      <c r="QPV507" s="325"/>
      <c r="QPW507" s="325"/>
      <c r="QPX507" s="325"/>
      <c r="QPY507" s="325"/>
      <c r="QPZ507" s="325"/>
      <c r="QQA507" s="325"/>
      <c r="QQB507" s="325"/>
      <c r="QQC507" s="325"/>
      <c r="QQD507" s="325"/>
      <c r="QQE507" s="325"/>
      <c r="QQF507" s="325"/>
      <c r="QQG507" s="325"/>
      <c r="QQH507" s="325"/>
      <c r="QQI507" s="325"/>
      <c r="QQJ507" s="325"/>
      <c r="QQK507" s="325"/>
      <c r="QQL507" s="325"/>
      <c r="QQM507" s="325"/>
      <c r="QQN507" s="325"/>
      <c r="QQO507" s="325"/>
      <c r="QQP507" s="325"/>
      <c r="QQQ507" s="325"/>
      <c r="QQR507" s="325"/>
      <c r="QQS507" s="325"/>
      <c r="QQT507" s="325"/>
      <c r="QQU507" s="327"/>
      <c r="QQV507" s="28"/>
      <c r="QQW507" s="324"/>
      <c r="QQX507" s="324"/>
      <c r="QQY507" s="324"/>
      <c r="QQZ507" s="324"/>
      <c r="QRA507" s="324"/>
      <c r="QRB507" s="324"/>
      <c r="QRC507" s="256"/>
      <c r="QRD507" s="325"/>
      <c r="QRE507" s="311"/>
      <c r="QRF507" s="325"/>
      <c r="QRG507" s="310"/>
      <c r="QRH507" s="325"/>
      <c r="QRI507" s="325"/>
      <c r="QRJ507" s="325"/>
      <c r="QRK507" s="325"/>
      <c r="QRL507" s="325"/>
      <c r="QRM507" s="325"/>
      <c r="QRN507" s="325"/>
      <c r="QRO507" s="325"/>
      <c r="QRP507" s="325"/>
      <c r="QRQ507" s="325"/>
      <c r="QRR507" s="325"/>
      <c r="QRS507" s="325"/>
      <c r="QRT507" s="325"/>
      <c r="QRU507" s="325"/>
      <c r="QRV507" s="325"/>
      <c r="QRW507" s="325"/>
      <c r="QRX507" s="325"/>
      <c r="QRY507" s="325"/>
      <c r="QRZ507" s="325"/>
      <c r="QSA507" s="325"/>
      <c r="QSB507" s="325"/>
      <c r="QSC507" s="325"/>
      <c r="QSD507" s="325"/>
      <c r="QSE507" s="325"/>
      <c r="QSF507" s="325"/>
      <c r="QSG507" s="325"/>
      <c r="QSH507" s="325"/>
      <c r="QSI507" s="325"/>
      <c r="QSJ507" s="325"/>
      <c r="QSK507" s="325"/>
      <c r="QSL507" s="327"/>
      <c r="QSM507" s="28"/>
      <c r="QSN507" s="324"/>
      <c r="QSO507" s="324"/>
      <c r="QSP507" s="324"/>
      <c r="QSQ507" s="324"/>
      <c r="QSR507" s="324"/>
      <c r="QSS507" s="324"/>
      <c r="QST507" s="256"/>
      <c r="QSU507" s="325"/>
      <c r="QSV507" s="311"/>
      <c r="QSW507" s="325"/>
      <c r="QSX507" s="310"/>
      <c r="QSY507" s="325"/>
      <c r="QSZ507" s="325"/>
      <c r="QTA507" s="325"/>
      <c r="QTB507" s="325"/>
      <c r="QTC507" s="325"/>
      <c r="QTD507" s="325"/>
      <c r="QTE507" s="325"/>
      <c r="QTF507" s="325"/>
      <c r="QTG507" s="325"/>
      <c r="QTH507" s="325"/>
      <c r="QTI507" s="325"/>
      <c r="QTJ507" s="325"/>
      <c r="QTK507" s="325"/>
      <c r="QTL507" s="325"/>
      <c r="QTM507" s="325"/>
      <c r="QTN507" s="325"/>
      <c r="QTO507" s="325"/>
      <c r="QTP507" s="325"/>
      <c r="QTQ507" s="325"/>
      <c r="QTR507" s="325"/>
      <c r="QTS507" s="325"/>
      <c r="QTT507" s="325"/>
      <c r="QTU507" s="325"/>
      <c r="QTV507" s="325"/>
      <c r="QTW507" s="325"/>
      <c r="QTX507" s="325"/>
      <c r="QTY507" s="325"/>
      <c r="QTZ507" s="325"/>
      <c r="QUA507" s="325"/>
      <c r="QUB507" s="325"/>
      <c r="QUC507" s="327"/>
      <c r="QUD507" s="28"/>
      <c r="QUE507" s="324"/>
      <c r="QUF507" s="324"/>
      <c r="QUG507" s="324"/>
      <c r="QUH507" s="324"/>
      <c r="QUI507" s="324"/>
      <c r="QUJ507" s="324"/>
      <c r="QUK507" s="256"/>
      <c r="QUL507" s="325"/>
      <c r="QUM507" s="311"/>
      <c r="QUN507" s="325"/>
      <c r="QUO507" s="310"/>
      <c r="QUP507" s="325"/>
      <c r="QUQ507" s="325"/>
      <c r="QUR507" s="325"/>
      <c r="QUS507" s="325"/>
      <c r="QUT507" s="325"/>
      <c r="QUU507" s="325"/>
      <c r="QUV507" s="325"/>
      <c r="QUW507" s="325"/>
      <c r="QUX507" s="325"/>
      <c r="QUY507" s="325"/>
      <c r="QUZ507" s="325"/>
      <c r="QVA507" s="325"/>
      <c r="QVB507" s="325"/>
      <c r="QVC507" s="325"/>
      <c r="QVD507" s="325"/>
      <c r="QVE507" s="325"/>
      <c r="QVF507" s="325"/>
      <c r="QVG507" s="325"/>
      <c r="QVH507" s="325"/>
      <c r="QVI507" s="325"/>
      <c r="QVJ507" s="325"/>
      <c r="QVK507" s="325"/>
      <c r="QVL507" s="325"/>
      <c r="QVM507" s="325"/>
      <c r="QVN507" s="325"/>
      <c r="QVO507" s="325"/>
      <c r="QVP507" s="325"/>
      <c r="QVQ507" s="325"/>
      <c r="QVR507" s="325"/>
      <c r="QVS507" s="325"/>
      <c r="QVT507" s="327"/>
      <c r="QVU507" s="28"/>
      <c r="QVV507" s="324"/>
      <c r="QVW507" s="324"/>
      <c r="QVX507" s="324"/>
      <c r="QVY507" s="324"/>
      <c r="QVZ507" s="324"/>
      <c r="QWA507" s="324"/>
      <c r="QWB507" s="256"/>
      <c r="QWC507" s="325"/>
      <c r="QWD507" s="311"/>
      <c r="QWE507" s="325"/>
      <c r="QWF507" s="310"/>
      <c r="QWG507" s="325"/>
      <c r="QWH507" s="325"/>
      <c r="QWI507" s="325"/>
      <c r="QWJ507" s="325"/>
      <c r="QWK507" s="325"/>
      <c r="QWL507" s="325"/>
      <c r="QWM507" s="325"/>
      <c r="QWN507" s="325"/>
      <c r="QWO507" s="325"/>
      <c r="QWP507" s="325"/>
      <c r="QWQ507" s="325"/>
      <c r="QWR507" s="325"/>
      <c r="QWS507" s="325"/>
      <c r="QWT507" s="325"/>
      <c r="QWU507" s="325"/>
      <c r="QWV507" s="325"/>
      <c r="QWW507" s="325"/>
      <c r="QWX507" s="325"/>
      <c r="QWY507" s="325"/>
      <c r="QWZ507" s="325"/>
      <c r="QXA507" s="325"/>
      <c r="QXB507" s="325"/>
      <c r="QXC507" s="325"/>
      <c r="QXD507" s="325"/>
      <c r="QXE507" s="325"/>
      <c r="QXF507" s="325"/>
      <c r="QXG507" s="325"/>
      <c r="QXH507" s="325"/>
      <c r="QXI507" s="325"/>
      <c r="QXJ507" s="325"/>
      <c r="QXK507" s="327"/>
      <c r="QXL507" s="28"/>
      <c r="QXM507" s="324"/>
      <c r="QXN507" s="324"/>
      <c r="QXO507" s="324"/>
      <c r="QXP507" s="324"/>
      <c r="QXQ507" s="324"/>
      <c r="QXR507" s="324"/>
      <c r="QXS507" s="256"/>
      <c r="QXT507" s="325"/>
      <c r="QXU507" s="311"/>
      <c r="QXV507" s="325"/>
      <c r="QXW507" s="310"/>
      <c r="QXX507" s="325"/>
      <c r="QXY507" s="325"/>
      <c r="QXZ507" s="325"/>
      <c r="QYA507" s="325"/>
      <c r="QYB507" s="325"/>
      <c r="QYC507" s="325"/>
      <c r="QYD507" s="325"/>
      <c r="QYE507" s="325"/>
      <c r="QYF507" s="325"/>
      <c r="QYG507" s="325"/>
      <c r="QYH507" s="325"/>
      <c r="QYI507" s="325"/>
      <c r="QYJ507" s="325"/>
      <c r="QYK507" s="325"/>
      <c r="QYL507" s="325"/>
      <c r="QYM507" s="325"/>
      <c r="QYN507" s="325"/>
      <c r="QYO507" s="325"/>
      <c r="QYP507" s="325"/>
      <c r="QYQ507" s="325"/>
      <c r="QYR507" s="325"/>
      <c r="QYS507" s="325"/>
      <c r="QYT507" s="325"/>
      <c r="QYU507" s="325"/>
      <c r="QYV507" s="325"/>
      <c r="QYW507" s="325"/>
      <c r="QYX507" s="325"/>
      <c r="QYY507" s="325"/>
      <c r="QYZ507" s="325"/>
      <c r="QZA507" s="325"/>
      <c r="QZB507" s="327"/>
      <c r="QZC507" s="28"/>
      <c r="QZD507" s="324"/>
      <c r="QZE507" s="324"/>
      <c r="QZF507" s="324"/>
      <c r="QZG507" s="324"/>
      <c r="QZH507" s="324"/>
      <c r="QZI507" s="324"/>
      <c r="QZJ507" s="256"/>
      <c r="QZK507" s="325"/>
      <c r="QZL507" s="311"/>
      <c r="QZM507" s="325"/>
      <c r="QZN507" s="310"/>
      <c r="QZO507" s="325"/>
      <c r="QZP507" s="325"/>
      <c r="QZQ507" s="325"/>
      <c r="QZR507" s="325"/>
      <c r="QZS507" s="325"/>
      <c r="QZT507" s="325"/>
      <c r="QZU507" s="325"/>
      <c r="QZV507" s="325"/>
      <c r="QZW507" s="325"/>
      <c r="QZX507" s="325"/>
      <c r="QZY507" s="325"/>
      <c r="QZZ507" s="325"/>
      <c r="RAA507" s="325"/>
      <c r="RAB507" s="325"/>
      <c r="RAC507" s="325"/>
      <c r="RAD507" s="325"/>
      <c r="RAE507" s="325"/>
      <c r="RAF507" s="325"/>
      <c r="RAG507" s="325"/>
      <c r="RAH507" s="325"/>
      <c r="RAI507" s="325"/>
      <c r="RAJ507" s="325"/>
      <c r="RAK507" s="325"/>
      <c r="RAL507" s="325"/>
      <c r="RAM507" s="325"/>
      <c r="RAN507" s="325"/>
      <c r="RAO507" s="325"/>
      <c r="RAP507" s="325"/>
      <c r="RAQ507" s="325"/>
      <c r="RAR507" s="325"/>
      <c r="RAS507" s="327"/>
      <c r="RAT507" s="28"/>
      <c r="RAU507" s="324"/>
      <c r="RAV507" s="324"/>
      <c r="RAW507" s="324"/>
      <c r="RAX507" s="324"/>
      <c r="RAY507" s="324"/>
      <c r="RAZ507" s="324"/>
      <c r="RBA507" s="256"/>
      <c r="RBB507" s="325"/>
      <c r="RBC507" s="311"/>
      <c r="RBD507" s="325"/>
      <c r="RBE507" s="310"/>
      <c r="RBF507" s="325"/>
      <c r="RBG507" s="325"/>
      <c r="RBH507" s="325"/>
      <c r="RBI507" s="325"/>
      <c r="RBJ507" s="325"/>
      <c r="RBK507" s="325"/>
      <c r="RBL507" s="325"/>
      <c r="RBM507" s="325"/>
      <c r="RBN507" s="325"/>
      <c r="RBO507" s="325"/>
      <c r="RBP507" s="325"/>
      <c r="RBQ507" s="325"/>
      <c r="RBR507" s="325"/>
      <c r="RBS507" s="325"/>
      <c r="RBT507" s="325"/>
      <c r="RBU507" s="325"/>
      <c r="RBV507" s="325"/>
      <c r="RBW507" s="325"/>
      <c r="RBX507" s="325"/>
      <c r="RBY507" s="325"/>
      <c r="RBZ507" s="325"/>
      <c r="RCA507" s="325"/>
      <c r="RCB507" s="325"/>
      <c r="RCC507" s="325"/>
      <c r="RCD507" s="325"/>
      <c r="RCE507" s="325"/>
      <c r="RCF507" s="325"/>
      <c r="RCG507" s="325"/>
      <c r="RCH507" s="325"/>
      <c r="RCI507" s="325"/>
      <c r="RCJ507" s="327"/>
      <c r="RCK507" s="28"/>
      <c r="RCL507" s="324"/>
      <c r="RCM507" s="324"/>
      <c r="RCN507" s="324"/>
      <c r="RCO507" s="324"/>
      <c r="RCP507" s="324"/>
      <c r="RCQ507" s="324"/>
      <c r="RCR507" s="256"/>
      <c r="RCS507" s="325"/>
      <c r="RCT507" s="311"/>
      <c r="RCU507" s="325"/>
      <c r="RCV507" s="310"/>
      <c r="RCW507" s="325"/>
      <c r="RCX507" s="325"/>
      <c r="RCY507" s="325"/>
      <c r="RCZ507" s="325"/>
      <c r="RDA507" s="325"/>
      <c r="RDB507" s="325"/>
      <c r="RDC507" s="325"/>
      <c r="RDD507" s="325"/>
      <c r="RDE507" s="325"/>
      <c r="RDF507" s="325"/>
      <c r="RDG507" s="325"/>
      <c r="RDH507" s="325"/>
      <c r="RDI507" s="325"/>
      <c r="RDJ507" s="325"/>
      <c r="RDK507" s="325"/>
      <c r="RDL507" s="325"/>
      <c r="RDM507" s="325"/>
      <c r="RDN507" s="325"/>
      <c r="RDO507" s="325"/>
      <c r="RDP507" s="325"/>
      <c r="RDQ507" s="325"/>
      <c r="RDR507" s="325"/>
      <c r="RDS507" s="325"/>
      <c r="RDT507" s="325"/>
      <c r="RDU507" s="325"/>
      <c r="RDV507" s="325"/>
      <c r="RDW507" s="325"/>
      <c r="RDX507" s="325"/>
      <c r="RDY507" s="325"/>
      <c r="RDZ507" s="325"/>
      <c r="REA507" s="327"/>
      <c r="REB507" s="28"/>
      <c r="REC507" s="324"/>
      <c r="RED507" s="324"/>
      <c r="REE507" s="324"/>
      <c r="REF507" s="324"/>
      <c r="REG507" s="324"/>
      <c r="REH507" s="324"/>
      <c r="REI507" s="256"/>
      <c r="REJ507" s="325"/>
      <c r="REK507" s="311"/>
      <c r="REL507" s="325"/>
      <c r="REM507" s="310"/>
      <c r="REN507" s="325"/>
      <c r="REO507" s="325"/>
      <c r="REP507" s="325"/>
      <c r="REQ507" s="325"/>
      <c r="RER507" s="325"/>
      <c r="RES507" s="325"/>
      <c r="RET507" s="325"/>
      <c r="REU507" s="325"/>
      <c r="REV507" s="325"/>
      <c r="REW507" s="325"/>
      <c r="REX507" s="325"/>
      <c r="REY507" s="325"/>
      <c r="REZ507" s="325"/>
      <c r="RFA507" s="325"/>
      <c r="RFB507" s="325"/>
      <c r="RFC507" s="325"/>
      <c r="RFD507" s="325"/>
      <c r="RFE507" s="325"/>
      <c r="RFF507" s="325"/>
      <c r="RFG507" s="325"/>
      <c r="RFH507" s="325"/>
      <c r="RFI507" s="325"/>
      <c r="RFJ507" s="325"/>
      <c r="RFK507" s="325"/>
      <c r="RFL507" s="325"/>
      <c r="RFM507" s="325"/>
      <c r="RFN507" s="325"/>
      <c r="RFO507" s="325"/>
      <c r="RFP507" s="325"/>
      <c r="RFQ507" s="325"/>
      <c r="RFR507" s="327"/>
      <c r="RFS507" s="28"/>
      <c r="RFT507" s="324"/>
      <c r="RFU507" s="324"/>
      <c r="RFV507" s="324"/>
      <c r="RFW507" s="324"/>
      <c r="RFX507" s="324"/>
      <c r="RFY507" s="324"/>
      <c r="RFZ507" s="256"/>
      <c r="RGA507" s="325"/>
      <c r="RGB507" s="311"/>
      <c r="RGC507" s="325"/>
      <c r="RGD507" s="310"/>
      <c r="RGE507" s="325"/>
      <c r="RGF507" s="325"/>
      <c r="RGG507" s="325"/>
      <c r="RGH507" s="325"/>
      <c r="RGI507" s="325"/>
      <c r="RGJ507" s="325"/>
      <c r="RGK507" s="325"/>
      <c r="RGL507" s="325"/>
      <c r="RGM507" s="325"/>
      <c r="RGN507" s="325"/>
      <c r="RGO507" s="325"/>
      <c r="RGP507" s="325"/>
      <c r="RGQ507" s="325"/>
      <c r="RGR507" s="325"/>
      <c r="RGS507" s="325"/>
      <c r="RGT507" s="325"/>
      <c r="RGU507" s="325"/>
      <c r="RGV507" s="325"/>
      <c r="RGW507" s="325"/>
      <c r="RGX507" s="325"/>
      <c r="RGY507" s="325"/>
      <c r="RGZ507" s="325"/>
      <c r="RHA507" s="325"/>
      <c r="RHB507" s="325"/>
      <c r="RHC507" s="325"/>
      <c r="RHD507" s="325"/>
      <c r="RHE507" s="325"/>
      <c r="RHF507" s="325"/>
      <c r="RHG507" s="325"/>
      <c r="RHH507" s="325"/>
      <c r="RHI507" s="327"/>
      <c r="RHJ507" s="28"/>
      <c r="RHK507" s="324"/>
      <c r="RHL507" s="324"/>
      <c r="RHM507" s="324"/>
      <c r="RHN507" s="324"/>
      <c r="RHO507" s="324"/>
      <c r="RHP507" s="324"/>
      <c r="RHQ507" s="256"/>
      <c r="RHR507" s="325"/>
      <c r="RHS507" s="311"/>
      <c r="RHT507" s="325"/>
      <c r="RHU507" s="310"/>
      <c r="RHV507" s="325"/>
      <c r="RHW507" s="325"/>
      <c r="RHX507" s="325"/>
      <c r="RHY507" s="325"/>
      <c r="RHZ507" s="325"/>
      <c r="RIA507" s="325"/>
      <c r="RIB507" s="325"/>
      <c r="RIC507" s="325"/>
      <c r="RID507" s="325"/>
      <c r="RIE507" s="325"/>
      <c r="RIF507" s="325"/>
      <c r="RIG507" s="325"/>
      <c r="RIH507" s="325"/>
      <c r="RII507" s="325"/>
      <c r="RIJ507" s="325"/>
      <c r="RIK507" s="325"/>
      <c r="RIL507" s="325"/>
      <c r="RIM507" s="325"/>
      <c r="RIN507" s="325"/>
      <c r="RIO507" s="325"/>
      <c r="RIP507" s="325"/>
      <c r="RIQ507" s="325"/>
      <c r="RIR507" s="325"/>
      <c r="RIS507" s="325"/>
      <c r="RIT507" s="325"/>
      <c r="RIU507" s="325"/>
      <c r="RIV507" s="325"/>
      <c r="RIW507" s="325"/>
      <c r="RIX507" s="325"/>
      <c r="RIY507" s="325"/>
      <c r="RIZ507" s="327"/>
      <c r="RJA507" s="28"/>
      <c r="RJB507" s="324"/>
      <c r="RJC507" s="324"/>
      <c r="RJD507" s="324"/>
      <c r="RJE507" s="324"/>
      <c r="RJF507" s="324"/>
      <c r="RJG507" s="324"/>
      <c r="RJH507" s="256"/>
      <c r="RJI507" s="325"/>
      <c r="RJJ507" s="311"/>
      <c r="RJK507" s="325"/>
      <c r="RJL507" s="310"/>
      <c r="RJM507" s="325"/>
      <c r="RJN507" s="325"/>
      <c r="RJO507" s="325"/>
      <c r="RJP507" s="325"/>
      <c r="RJQ507" s="325"/>
      <c r="RJR507" s="325"/>
      <c r="RJS507" s="325"/>
      <c r="RJT507" s="325"/>
      <c r="RJU507" s="325"/>
      <c r="RJV507" s="325"/>
      <c r="RJW507" s="325"/>
      <c r="RJX507" s="325"/>
      <c r="RJY507" s="325"/>
      <c r="RJZ507" s="325"/>
      <c r="RKA507" s="325"/>
      <c r="RKB507" s="325"/>
      <c r="RKC507" s="325"/>
      <c r="RKD507" s="325"/>
      <c r="RKE507" s="325"/>
      <c r="RKF507" s="325"/>
      <c r="RKG507" s="325"/>
      <c r="RKH507" s="325"/>
      <c r="RKI507" s="325"/>
      <c r="RKJ507" s="325"/>
      <c r="RKK507" s="325"/>
      <c r="RKL507" s="325"/>
      <c r="RKM507" s="325"/>
      <c r="RKN507" s="325"/>
      <c r="RKO507" s="325"/>
      <c r="RKP507" s="325"/>
      <c r="RKQ507" s="327"/>
      <c r="RKR507" s="28"/>
      <c r="RKS507" s="324"/>
      <c r="RKT507" s="324"/>
      <c r="RKU507" s="324"/>
      <c r="RKV507" s="324"/>
      <c r="RKW507" s="324"/>
      <c r="RKX507" s="324"/>
      <c r="RKY507" s="256"/>
      <c r="RKZ507" s="325"/>
      <c r="RLA507" s="311"/>
      <c r="RLB507" s="325"/>
      <c r="RLC507" s="310"/>
      <c r="RLD507" s="325"/>
      <c r="RLE507" s="325"/>
      <c r="RLF507" s="325"/>
      <c r="RLG507" s="325"/>
      <c r="RLH507" s="325"/>
      <c r="RLI507" s="325"/>
      <c r="RLJ507" s="325"/>
      <c r="RLK507" s="325"/>
      <c r="RLL507" s="325"/>
      <c r="RLM507" s="325"/>
      <c r="RLN507" s="325"/>
      <c r="RLO507" s="325"/>
      <c r="RLP507" s="325"/>
      <c r="RLQ507" s="325"/>
      <c r="RLR507" s="325"/>
      <c r="RLS507" s="325"/>
      <c r="RLT507" s="325"/>
      <c r="RLU507" s="325"/>
      <c r="RLV507" s="325"/>
      <c r="RLW507" s="325"/>
      <c r="RLX507" s="325"/>
      <c r="RLY507" s="325"/>
      <c r="RLZ507" s="325"/>
      <c r="RMA507" s="325"/>
      <c r="RMB507" s="325"/>
      <c r="RMC507" s="325"/>
      <c r="RMD507" s="325"/>
      <c r="RME507" s="325"/>
      <c r="RMF507" s="325"/>
      <c r="RMG507" s="325"/>
      <c r="RMH507" s="327"/>
      <c r="RMI507" s="28"/>
      <c r="RMJ507" s="324"/>
      <c r="RMK507" s="324"/>
      <c r="RML507" s="324"/>
      <c r="RMM507" s="324"/>
      <c r="RMN507" s="324"/>
      <c r="RMO507" s="324"/>
      <c r="RMP507" s="256"/>
      <c r="RMQ507" s="325"/>
      <c r="RMR507" s="311"/>
      <c r="RMS507" s="325"/>
      <c r="RMT507" s="310"/>
      <c r="RMU507" s="325"/>
      <c r="RMV507" s="325"/>
      <c r="RMW507" s="325"/>
      <c r="RMX507" s="325"/>
      <c r="RMY507" s="325"/>
      <c r="RMZ507" s="325"/>
      <c r="RNA507" s="325"/>
      <c r="RNB507" s="325"/>
      <c r="RNC507" s="325"/>
      <c r="RND507" s="325"/>
      <c r="RNE507" s="325"/>
      <c r="RNF507" s="325"/>
      <c r="RNG507" s="325"/>
      <c r="RNH507" s="325"/>
      <c r="RNI507" s="325"/>
      <c r="RNJ507" s="325"/>
      <c r="RNK507" s="325"/>
      <c r="RNL507" s="325"/>
      <c r="RNM507" s="325"/>
      <c r="RNN507" s="325"/>
      <c r="RNO507" s="325"/>
      <c r="RNP507" s="325"/>
      <c r="RNQ507" s="325"/>
      <c r="RNR507" s="325"/>
      <c r="RNS507" s="325"/>
      <c r="RNT507" s="325"/>
      <c r="RNU507" s="325"/>
      <c r="RNV507" s="325"/>
      <c r="RNW507" s="325"/>
      <c r="RNX507" s="325"/>
      <c r="RNY507" s="327"/>
      <c r="RNZ507" s="28"/>
      <c r="ROA507" s="324"/>
      <c r="ROB507" s="324"/>
      <c r="ROC507" s="324"/>
      <c r="ROD507" s="324"/>
      <c r="ROE507" s="324"/>
      <c r="ROF507" s="324"/>
      <c r="ROG507" s="256"/>
      <c r="ROH507" s="325"/>
      <c r="ROI507" s="311"/>
      <c r="ROJ507" s="325"/>
      <c r="ROK507" s="310"/>
      <c r="ROL507" s="325"/>
      <c r="ROM507" s="325"/>
      <c r="RON507" s="325"/>
      <c r="ROO507" s="325"/>
      <c r="ROP507" s="325"/>
      <c r="ROQ507" s="325"/>
      <c r="ROR507" s="325"/>
      <c r="ROS507" s="325"/>
      <c r="ROT507" s="325"/>
      <c r="ROU507" s="325"/>
      <c r="ROV507" s="325"/>
      <c r="ROW507" s="325"/>
      <c r="ROX507" s="325"/>
      <c r="ROY507" s="325"/>
      <c r="ROZ507" s="325"/>
      <c r="RPA507" s="325"/>
      <c r="RPB507" s="325"/>
      <c r="RPC507" s="325"/>
      <c r="RPD507" s="325"/>
      <c r="RPE507" s="325"/>
      <c r="RPF507" s="325"/>
      <c r="RPG507" s="325"/>
      <c r="RPH507" s="325"/>
      <c r="RPI507" s="325"/>
      <c r="RPJ507" s="325"/>
      <c r="RPK507" s="325"/>
      <c r="RPL507" s="325"/>
      <c r="RPM507" s="325"/>
      <c r="RPN507" s="325"/>
      <c r="RPO507" s="325"/>
      <c r="RPP507" s="327"/>
      <c r="RPQ507" s="28"/>
      <c r="RPR507" s="324"/>
      <c r="RPS507" s="324"/>
      <c r="RPT507" s="324"/>
      <c r="RPU507" s="324"/>
      <c r="RPV507" s="324"/>
      <c r="RPW507" s="324"/>
      <c r="RPX507" s="256"/>
      <c r="RPY507" s="325"/>
      <c r="RPZ507" s="311"/>
      <c r="RQA507" s="325"/>
      <c r="RQB507" s="310"/>
      <c r="RQC507" s="325"/>
      <c r="RQD507" s="325"/>
      <c r="RQE507" s="325"/>
      <c r="RQF507" s="325"/>
      <c r="RQG507" s="325"/>
      <c r="RQH507" s="325"/>
      <c r="RQI507" s="325"/>
      <c r="RQJ507" s="325"/>
      <c r="RQK507" s="325"/>
      <c r="RQL507" s="325"/>
      <c r="RQM507" s="325"/>
      <c r="RQN507" s="325"/>
      <c r="RQO507" s="325"/>
      <c r="RQP507" s="325"/>
      <c r="RQQ507" s="325"/>
      <c r="RQR507" s="325"/>
      <c r="RQS507" s="325"/>
      <c r="RQT507" s="325"/>
      <c r="RQU507" s="325"/>
      <c r="RQV507" s="325"/>
      <c r="RQW507" s="325"/>
      <c r="RQX507" s="325"/>
      <c r="RQY507" s="325"/>
      <c r="RQZ507" s="325"/>
      <c r="RRA507" s="325"/>
      <c r="RRB507" s="325"/>
      <c r="RRC507" s="325"/>
      <c r="RRD507" s="325"/>
      <c r="RRE507" s="325"/>
      <c r="RRF507" s="325"/>
      <c r="RRG507" s="327"/>
      <c r="RRH507" s="28"/>
      <c r="RRI507" s="324"/>
      <c r="RRJ507" s="324"/>
      <c r="RRK507" s="324"/>
      <c r="RRL507" s="324"/>
      <c r="RRM507" s="324"/>
      <c r="RRN507" s="324"/>
      <c r="RRO507" s="256"/>
      <c r="RRP507" s="325"/>
      <c r="RRQ507" s="311"/>
      <c r="RRR507" s="325"/>
      <c r="RRS507" s="310"/>
      <c r="RRT507" s="325"/>
      <c r="RRU507" s="325"/>
      <c r="RRV507" s="325"/>
      <c r="RRW507" s="325"/>
      <c r="RRX507" s="325"/>
      <c r="RRY507" s="325"/>
      <c r="RRZ507" s="325"/>
      <c r="RSA507" s="325"/>
      <c r="RSB507" s="325"/>
      <c r="RSC507" s="325"/>
      <c r="RSD507" s="325"/>
      <c r="RSE507" s="325"/>
      <c r="RSF507" s="325"/>
      <c r="RSG507" s="325"/>
      <c r="RSH507" s="325"/>
      <c r="RSI507" s="325"/>
      <c r="RSJ507" s="325"/>
      <c r="RSK507" s="325"/>
      <c r="RSL507" s="325"/>
      <c r="RSM507" s="325"/>
      <c r="RSN507" s="325"/>
      <c r="RSO507" s="325"/>
      <c r="RSP507" s="325"/>
      <c r="RSQ507" s="325"/>
      <c r="RSR507" s="325"/>
      <c r="RSS507" s="325"/>
      <c r="RST507" s="325"/>
      <c r="RSU507" s="325"/>
      <c r="RSV507" s="325"/>
      <c r="RSW507" s="325"/>
      <c r="RSX507" s="327"/>
      <c r="RSY507" s="28"/>
      <c r="RSZ507" s="324"/>
      <c r="RTA507" s="324"/>
      <c r="RTB507" s="324"/>
      <c r="RTC507" s="324"/>
      <c r="RTD507" s="324"/>
      <c r="RTE507" s="324"/>
      <c r="RTF507" s="256"/>
      <c r="RTG507" s="325"/>
      <c r="RTH507" s="311"/>
      <c r="RTI507" s="325"/>
      <c r="RTJ507" s="310"/>
      <c r="RTK507" s="325"/>
      <c r="RTL507" s="325"/>
      <c r="RTM507" s="325"/>
      <c r="RTN507" s="325"/>
      <c r="RTO507" s="325"/>
      <c r="RTP507" s="325"/>
      <c r="RTQ507" s="325"/>
      <c r="RTR507" s="325"/>
      <c r="RTS507" s="325"/>
      <c r="RTT507" s="325"/>
      <c r="RTU507" s="325"/>
      <c r="RTV507" s="325"/>
      <c r="RTW507" s="325"/>
      <c r="RTX507" s="325"/>
      <c r="RTY507" s="325"/>
      <c r="RTZ507" s="325"/>
      <c r="RUA507" s="325"/>
      <c r="RUB507" s="325"/>
      <c r="RUC507" s="325"/>
      <c r="RUD507" s="325"/>
      <c r="RUE507" s="325"/>
      <c r="RUF507" s="325"/>
      <c r="RUG507" s="325"/>
      <c r="RUH507" s="325"/>
      <c r="RUI507" s="325"/>
      <c r="RUJ507" s="325"/>
      <c r="RUK507" s="325"/>
      <c r="RUL507" s="325"/>
      <c r="RUM507" s="325"/>
      <c r="RUN507" s="325"/>
      <c r="RUO507" s="327"/>
      <c r="RUP507" s="28"/>
      <c r="RUQ507" s="324"/>
      <c r="RUR507" s="324"/>
      <c r="RUS507" s="324"/>
      <c r="RUT507" s="324"/>
      <c r="RUU507" s="324"/>
      <c r="RUV507" s="324"/>
      <c r="RUW507" s="256"/>
      <c r="RUX507" s="325"/>
      <c r="RUY507" s="311"/>
      <c r="RUZ507" s="325"/>
      <c r="RVA507" s="310"/>
      <c r="RVB507" s="325"/>
      <c r="RVC507" s="325"/>
      <c r="RVD507" s="325"/>
      <c r="RVE507" s="325"/>
      <c r="RVF507" s="325"/>
      <c r="RVG507" s="325"/>
      <c r="RVH507" s="325"/>
      <c r="RVI507" s="325"/>
      <c r="RVJ507" s="325"/>
      <c r="RVK507" s="325"/>
      <c r="RVL507" s="325"/>
      <c r="RVM507" s="325"/>
      <c r="RVN507" s="325"/>
      <c r="RVO507" s="325"/>
      <c r="RVP507" s="325"/>
      <c r="RVQ507" s="325"/>
      <c r="RVR507" s="325"/>
      <c r="RVS507" s="325"/>
      <c r="RVT507" s="325"/>
      <c r="RVU507" s="325"/>
      <c r="RVV507" s="325"/>
      <c r="RVW507" s="325"/>
      <c r="RVX507" s="325"/>
      <c r="RVY507" s="325"/>
      <c r="RVZ507" s="325"/>
      <c r="RWA507" s="325"/>
      <c r="RWB507" s="325"/>
      <c r="RWC507" s="325"/>
      <c r="RWD507" s="325"/>
      <c r="RWE507" s="325"/>
      <c r="RWF507" s="327"/>
      <c r="RWG507" s="28"/>
      <c r="RWH507" s="324"/>
      <c r="RWI507" s="324"/>
      <c r="RWJ507" s="324"/>
      <c r="RWK507" s="324"/>
      <c r="RWL507" s="324"/>
      <c r="RWM507" s="324"/>
      <c r="RWN507" s="256"/>
      <c r="RWO507" s="325"/>
      <c r="RWP507" s="311"/>
      <c r="RWQ507" s="325"/>
      <c r="RWR507" s="310"/>
      <c r="RWS507" s="325"/>
      <c r="RWT507" s="325"/>
      <c r="RWU507" s="325"/>
      <c r="RWV507" s="325"/>
      <c r="RWW507" s="325"/>
      <c r="RWX507" s="325"/>
      <c r="RWY507" s="325"/>
      <c r="RWZ507" s="325"/>
      <c r="RXA507" s="325"/>
      <c r="RXB507" s="325"/>
      <c r="RXC507" s="325"/>
      <c r="RXD507" s="325"/>
      <c r="RXE507" s="325"/>
      <c r="RXF507" s="325"/>
      <c r="RXG507" s="325"/>
      <c r="RXH507" s="325"/>
      <c r="RXI507" s="325"/>
      <c r="RXJ507" s="325"/>
      <c r="RXK507" s="325"/>
      <c r="RXL507" s="325"/>
      <c r="RXM507" s="325"/>
      <c r="RXN507" s="325"/>
      <c r="RXO507" s="325"/>
      <c r="RXP507" s="325"/>
      <c r="RXQ507" s="325"/>
      <c r="RXR507" s="325"/>
      <c r="RXS507" s="325"/>
      <c r="RXT507" s="325"/>
      <c r="RXU507" s="325"/>
      <c r="RXV507" s="325"/>
      <c r="RXW507" s="327"/>
      <c r="RXX507" s="28"/>
      <c r="RXY507" s="324"/>
      <c r="RXZ507" s="324"/>
      <c r="RYA507" s="324"/>
      <c r="RYB507" s="324"/>
      <c r="RYC507" s="324"/>
      <c r="RYD507" s="324"/>
      <c r="RYE507" s="256"/>
      <c r="RYF507" s="325"/>
      <c r="RYG507" s="311"/>
      <c r="RYH507" s="325"/>
      <c r="RYI507" s="310"/>
      <c r="RYJ507" s="325"/>
      <c r="RYK507" s="325"/>
      <c r="RYL507" s="325"/>
      <c r="RYM507" s="325"/>
      <c r="RYN507" s="325"/>
      <c r="RYO507" s="325"/>
      <c r="RYP507" s="325"/>
      <c r="RYQ507" s="325"/>
      <c r="RYR507" s="325"/>
      <c r="RYS507" s="325"/>
      <c r="RYT507" s="325"/>
      <c r="RYU507" s="325"/>
      <c r="RYV507" s="325"/>
      <c r="RYW507" s="325"/>
      <c r="RYX507" s="325"/>
      <c r="RYY507" s="325"/>
      <c r="RYZ507" s="325"/>
      <c r="RZA507" s="325"/>
      <c r="RZB507" s="325"/>
      <c r="RZC507" s="325"/>
      <c r="RZD507" s="325"/>
      <c r="RZE507" s="325"/>
      <c r="RZF507" s="325"/>
      <c r="RZG507" s="325"/>
      <c r="RZH507" s="325"/>
      <c r="RZI507" s="325"/>
      <c r="RZJ507" s="325"/>
      <c r="RZK507" s="325"/>
      <c r="RZL507" s="325"/>
      <c r="RZM507" s="325"/>
      <c r="RZN507" s="327"/>
      <c r="RZO507" s="28"/>
      <c r="RZP507" s="324"/>
      <c r="RZQ507" s="324"/>
      <c r="RZR507" s="324"/>
      <c r="RZS507" s="324"/>
      <c r="RZT507" s="324"/>
      <c r="RZU507" s="324"/>
      <c r="RZV507" s="256"/>
      <c r="RZW507" s="325"/>
      <c r="RZX507" s="311"/>
      <c r="RZY507" s="325"/>
      <c r="RZZ507" s="310"/>
      <c r="SAA507" s="325"/>
      <c r="SAB507" s="325"/>
      <c r="SAC507" s="325"/>
      <c r="SAD507" s="325"/>
      <c r="SAE507" s="325"/>
      <c r="SAF507" s="325"/>
      <c r="SAG507" s="325"/>
      <c r="SAH507" s="325"/>
      <c r="SAI507" s="325"/>
      <c r="SAJ507" s="325"/>
      <c r="SAK507" s="325"/>
      <c r="SAL507" s="325"/>
      <c r="SAM507" s="325"/>
      <c r="SAN507" s="325"/>
      <c r="SAO507" s="325"/>
      <c r="SAP507" s="325"/>
      <c r="SAQ507" s="325"/>
      <c r="SAR507" s="325"/>
      <c r="SAS507" s="325"/>
      <c r="SAT507" s="325"/>
      <c r="SAU507" s="325"/>
      <c r="SAV507" s="325"/>
      <c r="SAW507" s="325"/>
      <c r="SAX507" s="325"/>
      <c r="SAY507" s="325"/>
      <c r="SAZ507" s="325"/>
      <c r="SBA507" s="325"/>
      <c r="SBB507" s="325"/>
      <c r="SBC507" s="325"/>
      <c r="SBD507" s="325"/>
      <c r="SBE507" s="327"/>
      <c r="SBF507" s="28"/>
      <c r="SBG507" s="324"/>
      <c r="SBH507" s="324"/>
      <c r="SBI507" s="324"/>
      <c r="SBJ507" s="324"/>
      <c r="SBK507" s="324"/>
      <c r="SBL507" s="324"/>
      <c r="SBM507" s="256"/>
      <c r="SBN507" s="325"/>
      <c r="SBO507" s="311"/>
      <c r="SBP507" s="325"/>
      <c r="SBQ507" s="310"/>
      <c r="SBR507" s="325"/>
      <c r="SBS507" s="325"/>
      <c r="SBT507" s="325"/>
      <c r="SBU507" s="325"/>
      <c r="SBV507" s="325"/>
      <c r="SBW507" s="325"/>
      <c r="SBX507" s="325"/>
      <c r="SBY507" s="325"/>
      <c r="SBZ507" s="325"/>
      <c r="SCA507" s="325"/>
      <c r="SCB507" s="325"/>
      <c r="SCC507" s="325"/>
      <c r="SCD507" s="325"/>
      <c r="SCE507" s="325"/>
      <c r="SCF507" s="325"/>
      <c r="SCG507" s="325"/>
      <c r="SCH507" s="325"/>
      <c r="SCI507" s="325"/>
      <c r="SCJ507" s="325"/>
      <c r="SCK507" s="325"/>
      <c r="SCL507" s="325"/>
      <c r="SCM507" s="325"/>
      <c r="SCN507" s="325"/>
      <c r="SCO507" s="325"/>
      <c r="SCP507" s="325"/>
      <c r="SCQ507" s="325"/>
      <c r="SCR507" s="325"/>
      <c r="SCS507" s="325"/>
      <c r="SCT507" s="325"/>
      <c r="SCU507" s="325"/>
      <c r="SCV507" s="327"/>
      <c r="SCW507" s="28"/>
      <c r="SCX507" s="324"/>
      <c r="SCY507" s="324"/>
      <c r="SCZ507" s="324"/>
      <c r="SDA507" s="324"/>
      <c r="SDB507" s="324"/>
      <c r="SDC507" s="324"/>
      <c r="SDD507" s="256"/>
      <c r="SDE507" s="325"/>
      <c r="SDF507" s="311"/>
      <c r="SDG507" s="325"/>
      <c r="SDH507" s="310"/>
      <c r="SDI507" s="325"/>
      <c r="SDJ507" s="325"/>
      <c r="SDK507" s="325"/>
      <c r="SDL507" s="325"/>
      <c r="SDM507" s="325"/>
      <c r="SDN507" s="325"/>
      <c r="SDO507" s="325"/>
      <c r="SDP507" s="325"/>
      <c r="SDQ507" s="325"/>
      <c r="SDR507" s="325"/>
      <c r="SDS507" s="325"/>
      <c r="SDT507" s="325"/>
      <c r="SDU507" s="325"/>
      <c r="SDV507" s="325"/>
      <c r="SDW507" s="325"/>
      <c r="SDX507" s="325"/>
      <c r="SDY507" s="325"/>
      <c r="SDZ507" s="325"/>
      <c r="SEA507" s="325"/>
      <c r="SEB507" s="325"/>
      <c r="SEC507" s="325"/>
      <c r="SED507" s="325"/>
      <c r="SEE507" s="325"/>
      <c r="SEF507" s="325"/>
      <c r="SEG507" s="325"/>
      <c r="SEH507" s="325"/>
      <c r="SEI507" s="325"/>
      <c r="SEJ507" s="325"/>
      <c r="SEK507" s="325"/>
      <c r="SEL507" s="325"/>
      <c r="SEM507" s="327"/>
      <c r="SEN507" s="28"/>
      <c r="SEO507" s="324"/>
      <c r="SEP507" s="324"/>
      <c r="SEQ507" s="324"/>
      <c r="SER507" s="324"/>
      <c r="SES507" s="324"/>
      <c r="SET507" s="324"/>
      <c r="SEU507" s="256"/>
      <c r="SEV507" s="325"/>
      <c r="SEW507" s="311"/>
      <c r="SEX507" s="325"/>
      <c r="SEY507" s="310"/>
      <c r="SEZ507" s="325"/>
      <c r="SFA507" s="325"/>
      <c r="SFB507" s="325"/>
      <c r="SFC507" s="325"/>
      <c r="SFD507" s="325"/>
      <c r="SFE507" s="325"/>
      <c r="SFF507" s="325"/>
      <c r="SFG507" s="325"/>
      <c r="SFH507" s="325"/>
      <c r="SFI507" s="325"/>
      <c r="SFJ507" s="325"/>
      <c r="SFK507" s="325"/>
      <c r="SFL507" s="325"/>
      <c r="SFM507" s="325"/>
      <c r="SFN507" s="325"/>
      <c r="SFO507" s="325"/>
      <c r="SFP507" s="325"/>
      <c r="SFQ507" s="325"/>
      <c r="SFR507" s="325"/>
      <c r="SFS507" s="325"/>
      <c r="SFT507" s="325"/>
      <c r="SFU507" s="325"/>
      <c r="SFV507" s="325"/>
      <c r="SFW507" s="325"/>
      <c r="SFX507" s="325"/>
      <c r="SFY507" s="325"/>
      <c r="SFZ507" s="325"/>
      <c r="SGA507" s="325"/>
      <c r="SGB507" s="325"/>
      <c r="SGC507" s="325"/>
      <c r="SGD507" s="327"/>
      <c r="SGE507" s="28"/>
      <c r="SGF507" s="324"/>
      <c r="SGG507" s="324"/>
      <c r="SGH507" s="324"/>
      <c r="SGI507" s="324"/>
      <c r="SGJ507" s="324"/>
      <c r="SGK507" s="324"/>
      <c r="SGL507" s="256"/>
      <c r="SGM507" s="325"/>
      <c r="SGN507" s="311"/>
      <c r="SGO507" s="325"/>
      <c r="SGP507" s="310"/>
      <c r="SGQ507" s="325"/>
      <c r="SGR507" s="325"/>
      <c r="SGS507" s="325"/>
      <c r="SGT507" s="325"/>
      <c r="SGU507" s="325"/>
      <c r="SGV507" s="325"/>
      <c r="SGW507" s="325"/>
      <c r="SGX507" s="325"/>
      <c r="SGY507" s="325"/>
      <c r="SGZ507" s="325"/>
      <c r="SHA507" s="325"/>
      <c r="SHB507" s="325"/>
      <c r="SHC507" s="325"/>
      <c r="SHD507" s="325"/>
      <c r="SHE507" s="325"/>
      <c r="SHF507" s="325"/>
      <c r="SHG507" s="325"/>
      <c r="SHH507" s="325"/>
      <c r="SHI507" s="325"/>
      <c r="SHJ507" s="325"/>
      <c r="SHK507" s="325"/>
      <c r="SHL507" s="325"/>
      <c r="SHM507" s="325"/>
      <c r="SHN507" s="325"/>
      <c r="SHO507" s="325"/>
      <c r="SHP507" s="325"/>
      <c r="SHQ507" s="325"/>
      <c r="SHR507" s="325"/>
      <c r="SHS507" s="325"/>
      <c r="SHT507" s="325"/>
      <c r="SHU507" s="327"/>
      <c r="SHV507" s="28"/>
      <c r="SHW507" s="324"/>
      <c r="SHX507" s="324"/>
      <c r="SHY507" s="324"/>
      <c r="SHZ507" s="324"/>
      <c r="SIA507" s="324"/>
      <c r="SIB507" s="324"/>
      <c r="SIC507" s="256"/>
      <c r="SID507" s="325"/>
      <c r="SIE507" s="311"/>
      <c r="SIF507" s="325"/>
      <c r="SIG507" s="310"/>
      <c r="SIH507" s="325"/>
      <c r="SII507" s="325"/>
      <c r="SIJ507" s="325"/>
      <c r="SIK507" s="325"/>
      <c r="SIL507" s="325"/>
      <c r="SIM507" s="325"/>
      <c r="SIN507" s="325"/>
      <c r="SIO507" s="325"/>
      <c r="SIP507" s="325"/>
      <c r="SIQ507" s="325"/>
      <c r="SIR507" s="325"/>
      <c r="SIS507" s="325"/>
      <c r="SIT507" s="325"/>
      <c r="SIU507" s="325"/>
      <c r="SIV507" s="325"/>
      <c r="SIW507" s="325"/>
      <c r="SIX507" s="325"/>
      <c r="SIY507" s="325"/>
      <c r="SIZ507" s="325"/>
      <c r="SJA507" s="325"/>
      <c r="SJB507" s="325"/>
      <c r="SJC507" s="325"/>
      <c r="SJD507" s="325"/>
      <c r="SJE507" s="325"/>
      <c r="SJF507" s="325"/>
      <c r="SJG507" s="325"/>
      <c r="SJH507" s="325"/>
      <c r="SJI507" s="325"/>
      <c r="SJJ507" s="325"/>
      <c r="SJK507" s="325"/>
      <c r="SJL507" s="327"/>
      <c r="SJM507" s="28"/>
      <c r="SJN507" s="324"/>
      <c r="SJO507" s="324"/>
      <c r="SJP507" s="324"/>
      <c r="SJQ507" s="324"/>
      <c r="SJR507" s="324"/>
      <c r="SJS507" s="324"/>
      <c r="SJT507" s="256"/>
      <c r="SJU507" s="325"/>
      <c r="SJV507" s="311"/>
      <c r="SJW507" s="325"/>
      <c r="SJX507" s="310"/>
      <c r="SJY507" s="325"/>
      <c r="SJZ507" s="325"/>
      <c r="SKA507" s="325"/>
      <c r="SKB507" s="325"/>
      <c r="SKC507" s="325"/>
      <c r="SKD507" s="325"/>
      <c r="SKE507" s="325"/>
      <c r="SKF507" s="325"/>
      <c r="SKG507" s="325"/>
      <c r="SKH507" s="325"/>
      <c r="SKI507" s="325"/>
      <c r="SKJ507" s="325"/>
      <c r="SKK507" s="325"/>
      <c r="SKL507" s="325"/>
      <c r="SKM507" s="325"/>
      <c r="SKN507" s="325"/>
      <c r="SKO507" s="325"/>
      <c r="SKP507" s="325"/>
      <c r="SKQ507" s="325"/>
      <c r="SKR507" s="325"/>
      <c r="SKS507" s="325"/>
      <c r="SKT507" s="325"/>
      <c r="SKU507" s="325"/>
      <c r="SKV507" s="325"/>
      <c r="SKW507" s="325"/>
      <c r="SKX507" s="325"/>
      <c r="SKY507" s="325"/>
      <c r="SKZ507" s="325"/>
      <c r="SLA507" s="325"/>
      <c r="SLB507" s="325"/>
      <c r="SLC507" s="327"/>
      <c r="SLD507" s="28"/>
      <c r="SLE507" s="324"/>
      <c r="SLF507" s="324"/>
      <c r="SLG507" s="324"/>
      <c r="SLH507" s="324"/>
      <c r="SLI507" s="324"/>
      <c r="SLJ507" s="324"/>
      <c r="SLK507" s="256"/>
      <c r="SLL507" s="325"/>
      <c r="SLM507" s="311"/>
      <c r="SLN507" s="325"/>
      <c r="SLO507" s="310"/>
      <c r="SLP507" s="325"/>
      <c r="SLQ507" s="325"/>
      <c r="SLR507" s="325"/>
      <c r="SLS507" s="325"/>
      <c r="SLT507" s="325"/>
      <c r="SLU507" s="325"/>
      <c r="SLV507" s="325"/>
      <c r="SLW507" s="325"/>
      <c r="SLX507" s="325"/>
      <c r="SLY507" s="325"/>
      <c r="SLZ507" s="325"/>
      <c r="SMA507" s="325"/>
      <c r="SMB507" s="325"/>
      <c r="SMC507" s="325"/>
      <c r="SMD507" s="325"/>
      <c r="SME507" s="325"/>
      <c r="SMF507" s="325"/>
      <c r="SMG507" s="325"/>
      <c r="SMH507" s="325"/>
      <c r="SMI507" s="325"/>
      <c r="SMJ507" s="325"/>
      <c r="SMK507" s="325"/>
      <c r="SML507" s="325"/>
      <c r="SMM507" s="325"/>
      <c r="SMN507" s="325"/>
      <c r="SMO507" s="325"/>
      <c r="SMP507" s="325"/>
      <c r="SMQ507" s="325"/>
      <c r="SMR507" s="325"/>
      <c r="SMS507" s="325"/>
      <c r="SMT507" s="327"/>
      <c r="SMU507" s="28"/>
      <c r="SMV507" s="324"/>
      <c r="SMW507" s="324"/>
      <c r="SMX507" s="324"/>
      <c r="SMY507" s="324"/>
      <c r="SMZ507" s="324"/>
      <c r="SNA507" s="324"/>
      <c r="SNB507" s="256"/>
      <c r="SNC507" s="325"/>
      <c r="SND507" s="311"/>
      <c r="SNE507" s="325"/>
      <c r="SNF507" s="310"/>
      <c r="SNG507" s="325"/>
      <c r="SNH507" s="325"/>
      <c r="SNI507" s="325"/>
      <c r="SNJ507" s="325"/>
      <c r="SNK507" s="325"/>
      <c r="SNL507" s="325"/>
      <c r="SNM507" s="325"/>
      <c r="SNN507" s="325"/>
      <c r="SNO507" s="325"/>
      <c r="SNP507" s="325"/>
      <c r="SNQ507" s="325"/>
      <c r="SNR507" s="325"/>
      <c r="SNS507" s="325"/>
      <c r="SNT507" s="325"/>
      <c r="SNU507" s="325"/>
      <c r="SNV507" s="325"/>
      <c r="SNW507" s="325"/>
      <c r="SNX507" s="325"/>
      <c r="SNY507" s="325"/>
      <c r="SNZ507" s="325"/>
      <c r="SOA507" s="325"/>
      <c r="SOB507" s="325"/>
      <c r="SOC507" s="325"/>
      <c r="SOD507" s="325"/>
      <c r="SOE507" s="325"/>
      <c r="SOF507" s="325"/>
      <c r="SOG507" s="325"/>
      <c r="SOH507" s="325"/>
      <c r="SOI507" s="325"/>
      <c r="SOJ507" s="325"/>
      <c r="SOK507" s="327"/>
      <c r="SOL507" s="28"/>
      <c r="SOM507" s="324"/>
      <c r="SON507" s="324"/>
      <c r="SOO507" s="324"/>
      <c r="SOP507" s="324"/>
      <c r="SOQ507" s="324"/>
      <c r="SOR507" s="324"/>
      <c r="SOS507" s="256"/>
      <c r="SOT507" s="325"/>
      <c r="SOU507" s="311"/>
      <c r="SOV507" s="325"/>
      <c r="SOW507" s="310"/>
      <c r="SOX507" s="325"/>
      <c r="SOY507" s="325"/>
      <c r="SOZ507" s="325"/>
      <c r="SPA507" s="325"/>
      <c r="SPB507" s="325"/>
      <c r="SPC507" s="325"/>
      <c r="SPD507" s="325"/>
      <c r="SPE507" s="325"/>
      <c r="SPF507" s="325"/>
      <c r="SPG507" s="325"/>
      <c r="SPH507" s="325"/>
      <c r="SPI507" s="325"/>
      <c r="SPJ507" s="325"/>
      <c r="SPK507" s="325"/>
      <c r="SPL507" s="325"/>
      <c r="SPM507" s="325"/>
      <c r="SPN507" s="325"/>
      <c r="SPO507" s="325"/>
      <c r="SPP507" s="325"/>
      <c r="SPQ507" s="325"/>
      <c r="SPR507" s="325"/>
      <c r="SPS507" s="325"/>
      <c r="SPT507" s="325"/>
      <c r="SPU507" s="325"/>
      <c r="SPV507" s="325"/>
      <c r="SPW507" s="325"/>
      <c r="SPX507" s="325"/>
      <c r="SPY507" s="325"/>
      <c r="SPZ507" s="325"/>
      <c r="SQA507" s="325"/>
      <c r="SQB507" s="327"/>
      <c r="SQC507" s="28"/>
      <c r="SQD507" s="324"/>
      <c r="SQE507" s="324"/>
      <c r="SQF507" s="324"/>
      <c r="SQG507" s="324"/>
      <c r="SQH507" s="324"/>
      <c r="SQI507" s="324"/>
      <c r="SQJ507" s="256"/>
      <c r="SQK507" s="325"/>
      <c r="SQL507" s="311"/>
      <c r="SQM507" s="325"/>
      <c r="SQN507" s="310"/>
      <c r="SQO507" s="325"/>
      <c r="SQP507" s="325"/>
      <c r="SQQ507" s="325"/>
      <c r="SQR507" s="325"/>
      <c r="SQS507" s="325"/>
      <c r="SQT507" s="325"/>
      <c r="SQU507" s="325"/>
      <c r="SQV507" s="325"/>
      <c r="SQW507" s="325"/>
      <c r="SQX507" s="325"/>
      <c r="SQY507" s="325"/>
      <c r="SQZ507" s="325"/>
      <c r="SRA507" s="325"/>
      <c r="SRB507" s="325"/>
      <c r="SRC507" s="325"/>
      <c r="SRD507" s="325"/>
      <c r="SRE507" s="325"/>
      <c r="SRF507" s="325"/>
      <c r="SRG507" s="325"/>
      <c r="SRH507" s="325"/>
      <c r="SRI507" s="325"/>
      <c r="SRJ507" s="325"/>
      <c r="SRK507" s="325"/>
      <c r="SRL507" s="325"/>
      <c r="SRM507" s="325"/>
      <c r="SRN507" s="325"/>
      <c r="SRO507" s="325"/>
      <c r="SRP507" s="325"/>
      <c r="SRQ507" s="325"/>
      <c r="SRR507" s="325"/>
      <c r="SRS507" s="327"/>
      <c r="SRT507" s="28"/>
      <c r="SRU507" s="324"/>
      <c r="SRV507" s="324"/>
      <c r="SRW507" s="324"/>
      <c r="SRX507" s="324"/>
      <c r="SRY507" s="324"/>
      <c r="SRZ507" s="324"/>
      <c r="SSA507" s="256"/>
      <c r="SSB507" s="325"/>
      <c r="SSC507" s="311"/>
      <c r="SSD507" s="325"/>
      <c r="SSE507" s="310"/>
      <c r="SSF507" s="325"/>
      <c r="SSG507" s="325"/>
      <c r="SSH507" s="325"/>
      <c r="SSI507" s="325"/>
      <c r="SSJ507" s="325"/>
      <c r="SSK507" s="325"/>
      <c r="SSL507" s="325"/>
      <c r="SSM507" s="325"/>
      <c r="SSN507" s="325"/>
      <c r="SSO507" s="325"/>
      <c r="SSP507" s="325"/>
      <c r="SSQ507" s="325"/>
      <c r="SSR507" s="325"/>
      <c r="SSS507" s="325"/>
      <c r="SST507" s="325"/>
      <c r="SSU507" s="325"/>
      <c r="SSV507" s="325"/>
      <c r="SSW507" s="325"/>
      <c r="SSX507" s="325"/>
      <c r="SSY507" s="325"/>
      <c r="SSZ507" s="325"/>
      <c r="STA507" s="325"/>
      <c r="STB507" s="325"/>
      <c r="STC507" s="325"/>
      <c r="STD507" s="325"/>
      <c r="STE507" s="325"/>
      <c r="STF507" s="325"/>
      <c r="STG507" s="325"/>
      <c r="STH507" s="325"/>
      <c r="STI507" s="325"/>
      <c r="STJ507" s="327"/>
      <c r="STK507" s="28"/>
      <c r="STL507" s="324"/>
      <c r="STM507" s="324"/>
      <c r="STN507" s="324"/>
      <c r="STO507" s="324"/>
      <c r="STP507" s="324"/>
      <c r="STQ507" s="324"/>
      <c r="STR507" s="256"/>
      <c r="STS507" s="325"/>
      <c r="STT507" s="311"/>
      <c r="STU507" s="325"/>
      <c r="STV507" s="310"/>
      <c r="STW507" s="325"/>
      <c r="STX507" s="325"/>
      <c r="STY507" s="325"/>
      <c r="STZ507" s="325"/>
      <c r="SUA507" s="325"/>
      <c r="SUB507" s="325"/>
      <c r="SUC507" s="325"/>
      <c r="SUD507" s="325"/>
      <c r="SUE507" s="325"/>
      <c r="SUF507" s="325"/>
      <c r="SUG507" s="325"/>
      <c r="SUH507" s="325"/>
      <c r="SUI507" s="325"/>
      <c r="SUJ507" s="325"/>
      <c r="SUK507" s="325"/>
      <c r="SUL507" s="325"/>
      <c r="SUM507" s="325"/>
      <c r="SUN507" s="325"/>
      <c r="SUO507" s="325"/>
      <c r="SUP507" s="325"/>
      <c r="SUQ507" s="325"/>
      <c r="SUR507" s="325"/>
      <c r="SUS507" s="325"/>
      <c r="SUT507" s="325"/>
      <c r="SUU507" s="325"/>
      <c r="SUV507" s="325"/>
      <c r="SUW507" s="325"/>
      <c r="SUX507" s="325"/>
      <c r="SUY507" s="325"/>
      <c r="SUZ507" s="325"/>
      <c r="SVA507" s="327"/>
      <c r="SVB507" s="28"/>
      <c r="SVC507" s="324"/>
      <c r="SVD507" s="324"/>
      <c r="SVE507" s="324"/>
      <c r="SVF507" s="324"/>
      <c r="SVG507" s="324"/>
      <c r="SVH507" s="324"/>
      <c r="SVI507" s="256"/>
      <c r="SVJ507" s="325"/>
      <c r="SVK507" s="311"/>
      <c r="SVL507" s="325"/>
      <c r="SVM507" s="310"/>
      <c r="SVN507" s="325"/>
      <c r="SVO507" s="325"/>
      <c r="SVP507" s="325"/>
      <c r="SVQ507" s="325"/>
      <c r="SVR507" s="325"/>
      <c r="SVS507" s="325"/>
      <c r="SVT507" s="325"/>
      <c r="SVU507" s="325"/>
      <c r="SVV507" s="325"/>
      <c r="SVW507" s="325"/>
      <c r="SVX507" s="325"/>
      <c r="SVY507" s="325"/>
      <c r="SVZ507" s="325"/>
      <c r="SWA507" s="325"/>
      <c r="SWB507" s="325"/>
      <c r="SWC507" s="325"/>
      <c r="SWD507" s="325"/>
      <c r="SWE507" s="325"/>
      <c r="SWF507" s="325"/>
      <c r="SWG507" s="325"/>
      <c r="SWH507" s="325"/>
      <c r="SWI507" s="325"/>
      <c r="SWJ507" s="325"/>
      <c r="SWK507" s="325"/>
      <c r="SWL507" s="325"/>
      <c r="SWM507" s="325"/>
      <c r="SWN507" s="325"/>
      <c r="SWO507" s="325"/>
      <c r="SWP507" s="325"/>
      <c r="SWQ507" s="325"/>
      <c r="SWR507" s="327"/>
      <c r="SWS507" s="28"/>
      <c r="SWT507" s="324"/>
      <c r="SWU507" s="324"/>
      <c r="SWV507" s="324"/>
      <c r="SWW507" s="324"/>
      <c r="SWX507" s="324"/>
      <c r="SWY507" s="324"/>
      <c r="SWZ507" s="256"/>
      <c r="SXA507" s="325"/>
      <c r="SXB507" s="311"/>
      <c r="SXC507" s="325"/>
      <c r="SXD507" s="310"/>
      <c r="SXE507" s="325"/>
      <c r="SXF507" s="325"/>
      <c r="SXG507" s="325"/>
      <c r="SXH507" s="325"/>
      <c r="SXI507" s="325"/>
      <c r="SXJ507" s="325"/>
      <c r="SXK507" s="325"/>
      <c r="SXL507" s="325"/>
      <c r="SXM507" s="325"/>
      <c r="SXN507" s="325"/>
      <c r="SXO507" s="325"/>
      <c r="SXP507" s="325"/>
      <c r="SXQ507" s="325"/>
      <c r="SXR507" s="325"/>
      <c r="SXS507" s="325"/>
      <c r="SXT507" s="325"/>
      <c r="SXU507" s="325"/>
      <c r="SXV507" s="325"/>
      <c r="SXW507" s="325"/>
      <c r="SXX507" s="325"/>
      <c r="SXY507" s="325"/>
      <c r="SXZ507" s="325"/>
      <c r="SYA507" s="325"/>
      <c r="SYB507" s="325"/>
      <c r="SYC507" s="325"/>
      <c r="SYD507" s="325"/>
      <c r="SYE507" s="325"/>
      <c r="SYF507" s="325"/>
      <c r="SYG507" s="325"/>
      <c r="SYH507" s="325"/>
      <c r="SYI507" s="327"/>
      <c r="SYJ507" s="28"/>
      <c r="SYK507" s="324"/>
      <c r="SYL507" s="324"/>
      <c r="SYM507" s="324"/>
      <c r="SYN507" s="324"/>
      <c r="SYO507" s="324"/>
      <c r="SYP507" s="324"/>
      <c r="SYQ507" s="256"/>
      <c r="SYR507" s="325"/>
      <c r="SYS507" s="311"/>
      <c r="SYT507" s="325"/>
      <c r="SYU507" s="310"/>
      <c r="SYV507" s="325"/>
      <c r="SYW507" s="325"/>
      <c r="SYX507" s="325"/>
      <c r="SYY507" s="325"/>
      <c r="SYZ507" s="325"/>
      <c r="SZA507" s="325"/>
      <c r="SZB507" s="325"/>
      <c r="SZC507" s="325"/>
      <c r="SZD507" s="325"/>
      <c r="SZE507" s="325"/>
      <c r="SZF507" s="325"/>
      <c r="SZG507" s="325"/>
      <c r="SZH507" s="325"/>
      <c r="SZI507" s="325"/>
      <c r="SZJ507" s="325"/>
      <c r="SZK507" s="325"/>
      <c r="SZL507" s="325"/>
      <c r="SZM507" s="325"/>
      <c r="SZN507" s="325"/>
      <c r="SZO507" s="325"/>
      <c r="SZP507" s="325"/>
      <c r="SZQ507" s="325"/>
      <c r="SZR507" s="325"/>
      <c r="SZS507" s="325"/>
      <c r="SZT507" s="325"/>
      <c r="SZU507" s="325"/>
      <c r="SZV507" s="325"/>
      <c r="SZW507" s="325"/>
      <c r="SZX507" s="325"/>
      <c r="SZY507" s="325"/>
      <c r="SZZ507" s="327"/>
      <c r="TAA507" s="28"/>
      <c r="TAB507" s="324"/>
      <c r="TAC507" s="324"/>
      <c r="TAD507" s="324"/>
      <c r="TAE507" s="324"/>
      <c r="TAF507" s="324"/>
      <c r="TAG507" s="324"/>
      <c r="TAH507" s="256"/>
      <c r="TAI507" s="325"/>
      <c r="TAJ507" s="311"/>
      <c r="TAK507" s="325"/>
      <c r="TAL507" s="310"/>
      <c r="TAM507" s="325"/>
      <c r="TAN507" s="325"/>
      <c r="TAO507" s="325"/>
      <c r="TAP507" s="325"/>
      <c r="TAQ507" s="325"/>
      <c r="TAR507" s="325"/>
      <c r="TAS507" s="325"/>
      <c r="TAT507" s="325"/>
      <c r="TAU507" s="325"/>
      <c r="TAV507" s="325"/>
      <c r="TAW507" s="325"/>
      <c r="TAX507" s="325"/>
      <c r="TAY507" s="325"/>
      <c r="TAZ507" s="325"/>
      <c r="TBA507" s="325"/>
      <c r="TBB507" s="325"/>
      <c r="TBC507" s="325"/>
      <c r="TBD507" s="325"/>
      <c r="TBE507" s="325"/>
      <c r="TBF507" s="325"/>
      <c r="TBG507" s="325"/>
      <c r="TBH507" s="325"/>
      <c r="TBI507" s="325"/>
      <c r="TBJ507" s="325"/>
      <c r="TBK507" s="325"/>
      <c r="TBL507" s="325"/>
      <c r="TBM507" s="325"/>
      <c r="TBN507" s="325"/>
      <c r="TBO507" s="325"/>
      <c r="TBP507" s="325"/>
      <c r="TBQ507" s="327"/>
      <c r="TBR507" s="28"/>
      <c r="TBS507" s="324"/>
      <c r="TBT507" s="324"/>
      <c r="TBU507" s="324"/>
      <c r="TBV507" s="324"/>
      <c r="TBW507" s="324"/>
      <c r="TBX507" s="324"/>
      <c r="TBY507" s="256"/>
      <c r="TBZ507" s="325"/>
      <c r="TCA507" s="311"/>
      <c r="TCB507" s="325"/>
      <c r="TCC507" s="310"/>
      <c r="TCD507" s="325"/>
      <c r="TCE507" s="325"/>
      <c r="TCF507" s="325"/>
      <c r="TCG507" s="325"/>
      <c r="TCH507" s="325"/>
      <c r="TCI507" s="325"/>
      <c r="TCJ507" s="325"/>
      <c r="TCK507" s="325"/>
      <c r="TCL507" s="325"/>
      <c r="TCM507" s="325"/>
      <c r="TCN507" s="325"/>
      <c r="TCO507" s="325"/>
      <c r="TCP507" s="325"/>
      <c r="TCQ507" s="325"/>
      <c r="TCR507" s="325"/>
      <c r="TCS507" s="325"/>
      <c r="TCT507" s="325"/>
      <c r="TCU507" s="325"/>
      <c r="TCV507" s="325"/>
      <c r="TCW507" s="325"/>
      <c r="TCX507" s="325"/>
      <c r="TCY507" s="325"/>
      <c r="TCZ507" s="325"/>
      <c r="TDA507" s="325"/>
      <c r="TDB507" s="325"/>
      <c r="TDC507" s="325"/>
      <c r="TDD507" s="325"/>
      <c r="TDE507" s="325"/>
      <c r="TDF507" s="325"/>
      <c r="TDG507" s="325"/>
      <c r="TDH507" s="327"/>
      <c r="TDI507" s="28"/>
      <c r="TDJ507" s="324"/>
      <c r="TDK507" s="324"/>
      <c r="TDL507" s="324"/>
      <c r="TDM507" s="324"/>
      <c r="TDN507" s="324"/>
      <c r="TDO507" s="324"/>
      <c r="TDP507" s="256"/>
      <c r="TDQ507" s="325"/>
      <c r="TDR507" s="311"/>
      <c r="TDS507" s="325"/>
      <c r="TDT507" s="310"/>
      <c r="TDU507" s="325"/>
      <c r="TDV507" s="325"/>
      <c r="TDW507" s="325"/>
      <c r="TDX507" s="325"/>
      <c r="TDY507" s="325"/>
      <c r="TDZ507" s="325"/>
      <c r="TEA507" s="325"/>
      <c r="TEB507" s="325"/>
      <c r="TEC507" s="325"/>
      <c r="TED507" s="325"/>
      <c r="TEE507" s="325"/>
      <c r="TEF507" s="325"/>
      <c r="TEG507" s="325"/>
      <c r="TEH507" s="325"/>
      <c r="TEI507" s="325"/>
      <c r="TEJ507" s="325"/>
      <c r="TEK507" s="325"/>
      <c r="TEL507" s="325"/>
      <c r="TEM507" s="325"/>
      <c r="TEN507" s="325"/>
      <c r="TEO507" s="325"/>
      <c r="TEP507" s="325"/>
      <c r="TEQ507" s="325"/>
      <c r="TER507" s="325"/>
      <c r="TES507" s="325"/>
      <c r="TET507" s="325"/>
      <c r="TEU507" s="325"/>
      <c r="TEV507" s="325"/>
      <c r="TEW507" s="325"/>
      <c r="TEX507" s="325"/>
      <c r="TEY507" s="327"/>
      <c r="TEZ507" s="28"/>
      <c r="TFA507" s="324"/>
      <c r="TFB507" s="324"/>
      <c r="TFC507" s="324"/>
      <c r="TFD507" s="324"/>
      <c r="TFE507" s="324"/>
      <c r="TFF507" s="324"/>
      <c r="TFG507" s="256"/>
      <c r="TFH507" s="325"/>
      <c r="TFI507" s="311"/>
      <c r="TFJ507" s="325"/>
      <c r="TFK507" s="310"/>
      <c r="TFL507" s="325"/>
      <c r="TFM507" s="325"/>
      <c r="TFN507" s="325"/>
      <c r="TFO507" s="325"/>
      <c r="TFP507" s="325"/>
      <c r="TFQ507" s="325"/>
      <c r="TFR507" s="325"/>
      <c r="TFS507" s="325"/>
      <c r="TFT507" s="325"/>
      <c r="TFU507" s="325"/>
      <c r="TFV507" s="325"/>
      <c r="TFW507" s="325"/>
      <c r="TFX507" s="325"/>
      <c r="TFY507" s="325"/>
      <c r="TFZ507" s="325"/>
      <c r="TGA507" s="325"/>
      <c r="TGB507" s="325"/>
      <c r="TGC507" s="325"/>
      <c r="TGD507" s="325"/>
      <c r="TGE507" s="325"/>
      <c r="TGF507" s="325"/>
      <c r="TGG507" s="325"/>
      <c r="TGH507" s="325"/>
      <c r="TGI507" s="325"/>
      <c r="TGJ507" s="325"/>
      <c r="TGK507" s="325"/>
      <c r="TGL507" s="325"/>
      <c r="TGM507" s="325"/>
      <c r="TGN507" s="325"/>
      <c r="TGO507" s="325"/>
      <c r="TGP507" s="327"/>
      <c r="TGQ507" s="28"/>
      <c r="TGR507" s="324"/>
      <c r="TGS507" s="324"/>
      <c r="TGT507" s="324"/>
      <c r="TGU507" s="324"/>
      <c r="TGV507" s="324"/>
      <c r="TGW507" s="324"/>
      <c r="TGX507" s="256"/>
      <c r="TGY507" s="325"/>
      <c r="TGZ507" s="311"/>
      <c r="THA507" s="325"/>
      <c r="THB507" s="310"/>
      <c r="THC507" s="325"/>
      <c r="THD507" s="325"/>
      <c r="THE507" s="325"/>
      <c r="THF507" s="325"/>
      <c r="THG507" s="325"/>
      <c r="THH507" s="325"/>
      <c r="THI507" s="325"/>
      <c r="THJ507" s="325"/>
      <c r="THK507" s="325"/>
      <c r="THL507" s="325"/>
      <c r="THM507" s="325"/>
      <c r="THN507" s="325"/>
      <c r="THO507" s="325"/>
      <c r="THP507" s="325"/>
      <c r="THQ507" s="325"/>
      <c r="THR507" s="325"/>
      <c r="THS507" s="325"/>
      <c r="THT507" s="325"/>
      <c r="THU507" s="325"/>
      <c r="THV507" s="325"/>
      <c r="THW507" s="325"/>
      <c r="THX507" s="325"/>
      <c r="THY507" s="325"/>
      <c r="THZ507" s="325"/>
      <c r="TIA507" s="325"/>
      <c r="TIB507" s="325"/>
      <c r="TIC507" s="325"/>
      <c r="TID507" s="325"/>
      <c r="TIE507" s="325"/>
      <c r="TIF507" s="325"/>
      <c r="TIG507" s="327"/>
      <c r="TIH507" s="28"/>
      <c r="TII507" s="324"/>
      <c r="TIJ507" s="324"/>
      <c r="TIK507" s="324"/>
      <c r="TIL507" s="324"/>
      <c r="TIM507" s="324"/>
      <c r="TIN507" s="324"/>
      <c r="TIO507" s="256"/>
      <c r="TIP507" s="325"/>
      <c r="TIQ507" s="311"/>
      <c r="TIR507" s="325"/>
      <c r="TIS507" s="310"/>
      <c r="TIT507" s="325"/>
      <c r="TIU507" s="325"/>
      <c r="TIV507" s="325"/>
      <c r="TIW507" s="325"/>
      <c r="TIX507" s="325"/>
      <c r="TIY507" s="325"/>
      <c r="TIZ507" s="325"/>
      <c r="TJA507" s="325"/>
      <c r="TJB507" s="325"/>
      <c r="TJC507" s="325"/>
      <c r="TJD507" s="325"/>
      <c r="TJE507" s="325"/>
      <c r="TJF507" s="325"/>
      <c r="TJG507" s="325"/>
      <c r="TJH507" s="325"/>
      <c r="TJI507" s="325"/>
      <c r="TJJ507" s="325"/>
      <c r="TJK507" s="325"/>
      <c r="TJL507" s="325"/>
      <c r="TJM507" s="325"/>
      <c r="TJN507" s="325"/>
      <c r="TJO507" s="325"/>
      <c r="TJP507" s="325"/>
      <c r="TJQ507" s="325"/>
      <c r="TJR507" s="325"/>
      <c r="TJS507" s="325"/>
      <c r="TJT507" s="325"/>
      <c r="TJU507" s="325"/>
      <c r="TJV507" s="325"/>
      <c r="TJW507" s="325"/>
      <c r="TJX507" s="327"/>
      <c r="TJY507" s="28"/>
      <c r="TJZ507" s="324"/>
      <c r="TKA507" s="324"/>
      <c r="TKB507" s="324"/>
      <c r="TKC507" s="324"/>
      <c r="TKD507" s="324"/>
      <c r="TKE507" s="324"/>
      <c r="TKF507" s="256"/>
      <c r="TKG507" s="325"/>
      <c r="TKH507" s="311"/>
      <c r="TKI507" s="325"/>
      <c r="TKJ507" s="310"/>
      <c r="TKK507" s="325"/>
      <c r="TKL507" s="325"/>
      <c r="TKM507" s="325"/>
      <c r="TKN507" s="325"/>
      <c r="TKO507" s="325"/>
      <c r="TKP507" s="325"/>
      <c r="TKQ507" s="325"/>
      <c r="TKR507" s="325"/>
      <c r="TKS507" s="325"/>
      <c r="TKT507" s="325"/>
      <c r="TKU507" s="325"/>
      <c r="TKV507" s="325"/>
      <c r="TKW507" s="325"/>
      <c r="TKX507" s="325"/>
      <c r="TKY507" s="325"/>
      <c r="TKZ507" s="325"/>
      <c r="TLA507" s="325"/>
      <c r="TLB507" s="325"/>
      <c r="TLC507" s="325"/>
      <c r="TLD507" s="325"/>
      <c r="TLE507" s="325"/>
      <c r="TLF507" s="325"/>
      <c r="TLG507" s="325"/>
      <c r="TLH507" s="325"/>
      <c r="TLI507" s="325"/>
      <c r="TLJ507" s="325"/>
      <c r="TLK507" s="325"/>
      <c r="TLL507" s="325"/>
      <c r="TLM507" s="325"/>
      <c r="TLN507" s="325"/>
      <c r="TLO507" s="327"/>
      <c r="TLP507" s="28"/>
      <c r="TLQ507" s="324"/>
      <c r="TLR507" s="324"/>
      <c r="TLS507" s="324"/>
      <c r="TLT507" s="324"/>
      <c r="TLU507" s="324"/>
      <c r="TLV507" s="324"/>
      <c r="TLW507" s="256"/>
      <c r="TLX507" s="325"/>
      <c r="TLY507" s="311"/>
      <c r="TLZ507" s="325"/>
      <c r="TMA507" s="310"/>
      <c r="TMB507" s="325"/>
      <c r="TMC507" s="325"/>
      <c r="TMD507" s="325"/>
      <c r="TME507" s="325"/>
      <c r="TMF507" s="325"/>
      <c r="TMG507" s="325"/>
      <c r="TMH507" s="325"/>
      <c r="TMI507" s="325"/>
      <c r="TMJ507" s="325"/>
      <c r="TMK507" s="325"/>
      <c r="TML507" s="325"/>
      <c r="TMM507" s="325"/>
      <c r="TMN507" s="325"/>
      <c r="TMO507" s="325"/>
      <c r="TMP507" s="325"/>
      <c r="TMQ507" s="325"/>
      <c r="TMR507" s="325"/>
      <c r="TMS507" s="325"/>
      <c r="TMT507" s="325"/>
      <c r="TMU507" s="325"/>
      <c r="TMV507" s="325"/>
      <c r="TMW507" s="325"/>
      <c r="TMX507" s="325"/>
      <c r="TMY507" s="325"/>
      <c r="TMZ507" s="325"/>
      <c r="TNA507" s="325"/>
      <c r="TNB507" s="325"/>
      <c r="TNC507" s="325"/>
      <c r="TND507" s="325"/>
      <c r="TNE507" s="325"/>
      <c r="TNF507" s="327"/>
      <c r="TNG507" s="28"/>
      <c r="TNH507" s="324"/>
      <c r="TNI507" s="324"/>
      <c r="TNJ507" s="324"/>
      <c r="TNK507" s="324"/>
      <c r="TNL507" s="324"/>
      <c r="TNM507" s="324"/>
      <c r="TNN507" s="256"/>
      <c r="TNO507" s="325"/>
      <c r="TNP507" s="311"/>
      <c r="TNQ507" s="325"/>
      <c r="TNR507" s="310"/>
      <c r="TNS507" s="325"/>
      <c r="TNT507" s="325"/>
      <c r="TNU507" s="325"/>
      <c r="TNV507" s="325"/>
      <c r="TNW507" s="325"/>
      <c r="TNX507" s="325"/>
      <c r="TNY507" s="325"/>
      <c r="TNZ507" s="325"/>
      <c r="TOA507" s="325"/>
      <c r="TOB507" s="325"/>
      <c r="TOC507" s="325"/>
      <c r="TOD507" s="325"/>
      <c r="TOE507" s="325"/>
      <c r="TOF507" s="325"/>
      <c r="TOG507" s="325"/>
      <c r="TOH507" s="325"/>
      <c r="TOI507" s="325"/>
      <c r="TOJ507" s="325"/>
      <c r="TOK507" s="325"/>
      <c r="TOL507" s="325"/>
      <c r="TOM507" s="325"/>
      <c r="TON507" s="325"/>
      <c r="TOO507" s="325"/>
      <c r="TOP507" s="325"/>
      <c r="TOQ507" s="325"/>
      <c r="TOR507" s="325"/>
      <c r="TOS507" s="325"/>
      <c r="TOT507" s="325"/>
      <c r="TOU507" s="325"/>
      <c r="TOV507" s="325"/>
      <c r="TOW507" s="327"/>
      <c r="TOX507" s="28"/>
      <c r="TOY507" s="324"/>
      <c r="TOZ507" s="324"/>
      <c r="TPA507" s="324"/>
      <c r="TPB507" s="324"/>
      <c r="TPC507" s="324"/>
      <c r="TPD507" s="324"/>
      <c r="TPE507" s="256"/>
      <c r="TPF507" s="325"/>
      <c r="TPG507" s="311"/>
      <c r="TPH507" s="325"/>
      <c r="TPI507" s="310"/>
      <c r="TPJ507" s="325"/>
      <c r="TPK507" s="325"/>
      <c r="TPL507" s="325"/>
      <c r="TPM507" s="325"/>
      <c r="TPN507" s="325"/>
      <c r="TPO507" s="325"/>
      <c r="TPP507" s="325"/>
      <c r="TPQ507" s="325"/>
      <c r="TPR507" s="325"/>
      <c r="TPS507" s="325"/>
      <c r="TPT507" s="325"/>
      <c r="TPU507" s="325"/>
      <c r="TPV507" s="325"/>
      <c r="TPW507" s="325"/>
      <c r="TPX507" s="325"/>
      <c r="TPY507" s="325"/>
      <c r="TPZ507" s="325"/>
      <c r="TQA507" s="325"/>
      <c r="TQB507" s="325"/>
      <c r="TQC507" s="325"/>
      <c r="TQD507" s="325"/>
      <c r="TQE507" s="325"/>
      <c r="TQF507" s="325"/>
      <c r="TQG507" s="325"/>
      <c r="TQH507" s="325"/>
      <c r="TQI507" s="325"/>
      <c r="TQJ507" s="325"/>
      <c r="TQK507" s="325"/>
      <c r="TQL507" s="325"/>
      <c r="TQM507" s="325"/>
      <c r="TQN507" s="327"/>
      <c r="TQO507" s="28"/>
      <c r="TQP507" s="324"/>
      <c r="TQQ507" s="324"/>
      <c r="TQR507" s="324"/>
      <c r="TQS507" s="324"/>
      <c r="TQT507" s="324"/>
      <c r="TQU507" s="324"/>
      <c r="TQV507" s="256"/>
      <c r="TQW507" s="325"/>
      <c r="TQX507" s="311"/>
      <c r="TQY507" s="325"/>
      <c r="TQZ507" s="310"/>
      <c r="TRA507" s="325"/>
      <c r="TRB507" s="325"/>
      <c r="TRC507" s="325"/>
      <c r="TRD507" s="325"/>
      <c r="TRE507" s="325"/>
      <c r="TRF507" s="325"/>
      <c r="TRG507" s="325"/>
      <c r="TRH507" s="325"/>
      <c r="TRI507" s="325"/>
      <c r="TRJ507" s="325"/>
      <c r="TRK507" s="325"/>
      <c r="TRL507" s="325"/>
      <c r="TRM507" s="325"/>
      <c r="TRN507" s="325"/>
      <c r="TRO507" s="325"/>
      <c r="TRP507" s="325"/>
      <c r="TRQ507" s="325"/>
      <c r="TRR507" s="325"/>
      <c r="TRS507" s="325"/>
      <c r="TRT507" s="325"/>
      <c r="TRU507" s="325"/>
      <c r="TRV507" s="325"/>
      <c r="TRW507" s="325"/>
      <c r="TRX507" s="325"/>
      <c r="TRY507" s="325"/>
      <c r="TRZ507" s="325"/>
      <c r="TSA507" s="325"/>
      <c r="TSB507" s="325"/>
      <c r="TSC507" s="325"/>
      <c r="TSD507" s="325"/>
      <c r="TSE507" s="327"/>
      <c r="TSF507" s="28"/>
      <c r="TSG507" s="324"/>
      <c r="TSH507" s="324"/>
      <c r="TSI507" s="324"/>
      <c r="TSJ507" s="324"/>
      <c r="TSK507" s="324"/>
      <c r="TSL507" s="324"/>
      <c r="TSM507" s="256"/>
      <c r="TSN507" s="325"/>
      <c r="TSO507" s="311"/>
      <c r="TSP507" s="325"/>
      <c r="TSQ507" s="310"/>
      <c r="TSR507" s="325"/>
      <c r="TSS507" s="325"/>
      <c r="TST507" s="325"/>
      <c r="TSU507" s="325"/>
      <c r="TSV507" s="325"/>
      <c r="TSW507" s="325"/>
      <c r="TSX507" s="325"/>
      <c r="TSY507" s="325"/>
      <c r="TSZ507" s="325"/>
      <c r="TTA507" s="325"/>
      <c r="TTB507" s="325"/>
      <c r="TTC507" s="325"/>
      <c r="TTD507" s="325"/>
      <c r="TTE507" s="325"/>
      <c r="TTF507" s="325"/>
      <c r="TTG507" s="325"/>
      <c r="TTH507" s="325"/>
      <c r="TTI507" s="325"/>
      <c r="TTJ507" s="325"/>
      <c r="TTK507" s="325"/>
      <c r="TTL507" s="325"/>
      <c r="TTM507" s="325"/>
      <c r="TTN507" s="325"/>
      <c r="TTO507" s="325"/>
      <c r="TTP507" s="325"/>
      <c r="TTQ507" s="325"/>
      <c r="TTR507" s="325"/>
      <c r="TTS507" s="325"/>
      <c r="TTT507" s="325"/>
      <c r="TTU507" s="325"/>
      <c r="TTV507" s="327"/>
      <c r="TTW507" s="28"/>
      <c r="TTX507" s="324"/>
      <c r="TTY507" s="324"/>
      <c r="TTZ507" s="324"/>
      <c r="TUA507" s="324"/>
      <c r="TUB507" s="324"/>
      <c r="TUC507" s="324"/>
      <c r="TUD507" s="256"/>
      <c r="TUE507" s="325"/>
      <c r="TUF507" s="311"/>
      <c r="TUG507" s="325"/>
      <c r="TUH507" s="310"/>
      <c r="TUI507" s="325"/>
      <c r="TUJ507" s="325"/>
      <c r="TUK507" s="325"/>
      <c r="TUL507" s="325"/>
      <c r="TUM507" s="325"/>
      <c r="TUN507" s="325"/>
      <c r="TUO507" s="325"/>
      <c r="TUP507" s="325"/>
      <c r="TUQ507" s="325"/>
      <c r="TUR507" s="325"/>
      <c r="TUS507" s="325"/>
      <c r="TUT507" s="325"/>
      <c r="TUU507" s="325"/>
      <c r="TUV507" s="325"/>
      <c r="TUW507" s="325"/>
      <c r="TUX507" s="325"/>
      <c r="TUY507" s="325"/>
      <c r="TUZ507" s="325"/>
      <c r="TVA507" s="325"/>
      <c r="TVB507" s="325"/>
      <c r="TVC507" s="325"/>
      <c r="TVD507" s="325"/>
      <c r="TVE507" s="325"/>
      <c r="TVF507" s="325"/>
      <c r="TVG507" s="325"/>
      <c r="TVH507" s="325"/>
      <c r="TVI507" s="325"/>
      <c r="TVJ507" s="325"/>
      <c r="TVK507" s="325"/>
      <c r="TVL507" s="325"/>
      <c r="TVM507" s="327"/>
      <c r="TVN507" s="28"/>
      <c r="TVO507" s="324"/>
      <c r="TVP507" s="324"/>
      <c r="TVQ507" s="324"/>
      <c r="TVR507" s="324"/>
      <c r="TVS507" s="324"/>
      <c r="TVT507" s="324"/>
      <c r="TVU507" s="256"/>
      <c r="TVV507" s="325"/>
      <c r="TVW507" s="311"/>
      <c r="TVX507" s="325"/>
      <c r="TVY507" s="310"/>
      <c r="TVZ507" s="325"/>
      <c r="TWA507" s="325"/>
      <c r="TWB507" s="325"/>
      <c r="TWC507" s="325"/>
      <c r="TWD507" s="325"/>
      <c r="TWE507" s="325"/>
      <c r="TWF507" s="325"/>
      <c r="TWG507" s="325"/>
      <c r="TWH507" s="325"/>
      <c r="TWI507" s="325"/>
      <c r="TWJ507" s="325"/>
      <c r="TWK507" s="325"/>
      <c r="TWL507" s="325"/>
      <c r="TWM507" s="325"/>
      <c r="TWN507" s="325"/>
      <c r="TWO507" s="325"/>
      <c r="TWP507" s="325"/>
      <c r="TWQ507" s="325"/>
      <c r="TWR507" s="325"/>
      <c r="TWS507" s="325"/>
      <c r="TWT507" s="325"/>
      <c r="TWU507" s="325"/>
      <c r="TWV507" s="325"/>
      <c r="TWW507" s="325"/>
      <c r="TWX507" s="325"/>
      <c r="TWY507" s="325"/>
      <c r="TWZ507" s="325"/>
      <c r="TXA507" s="325"/>
      <c r="TXB507" s="325"/>
      <c r="TXC507" s="325"/>
      <c r="TXD507" s="327"/>
      <c r="TXE507" s="28"/>
      <c r="TXF507" s="324"/>
      <c r="TXG507" s="324"/>
      <c r="TXH507" s="324"/>
      <c r="TXI507" s="324"/>
      <c r="TXJ507" s="324"/>
      <c r="TXK507" s="324"/>
      <c r="TXL507" s="256"/>
      <c r="TXM507" s="325"/>
      <c r="TXN507" s="311"/>
      <c r="TXO507" s="325"/>
      <c r="TXP507" s="310"/>
      <c r="TXQ507" s="325"/>
      <c r="TXR507" s="325"/>
      <c r="TXS507" s="325"/>
      <c r="TXT507" s="325"/>
      <c r="TXU507" s="325"/>
      <c r="TXV507" s="325"/>
      <c r="TXW507" s="325"/>
      <c r="TXX507" s="325"/>
      <c r="TXY507" s="325"/>
      <c r="TXZ507" s="325"/>
      <c r="TYA507" s="325"/>
      <c r="TYB507" s="325"/>
      <c r="TYC507" s="325"/>
      <c r="TYD507" s="325"/>
      <c r="TYE507" s="325"/>
      <c r="TYF507" s="325"/>
      <c r="TYG507" s="325"/>
      <c r="TYH507" s="325"/>
      <c r="TYI507" s="325"/>
      <c r="TYJ507" s="325"/>
      <c r="TYK507" s="325"/>
      <c r="TYL507" s="325"/>
      <c r="TYM507" s="325"/>
      <c r="TYN507" s="325"/>
      <c r="TYO507" s="325"/>
      <c r="TYP507" s="325"/>
      <c r="TYQ507" s="325"/>
      <c r="TYR507" s="325"/>
      <c r="TYS507" s="325"/>
      <c r="TYT507" s="325"/>
      <c r="TYU507" s="327"/>
      <c r="TYV507" s="28"/>
      <c r="TYW507" s="324"/>
      <c r="TYX507" s="324"/>
      <c r="TYY507" s="324"/>
      <c r="TYZ507" s="324"/>
      <c r="TZA507" s="324"/>
      <c r="TZB507" s="324"/>
      <c r="TZC507" s="256"/>
      <c r="TZD507" s="325"/>
      <c r="TZE507" s="311"/>
      <c r="TZF507" s="325"/>
      <c r="TZG507" s="310"/>
      <c r="TZH507" s="325"/>
      <c r="TZI507" s="325"/>
      <c r="TZJ507" s="325"/>
      <c r="TZK507" s="325"/>
      <c r="TZL507" s="325"/>
      <c r="TZM507" s="325"/>
      <c r="TZN507" s="325"/>
      <c r="TZO507" s="325"/>
      <c r="TZP507" s="325"/>
      <c r="TZQ507" s="325"/>
      <c r="TZR507" s="325"/>
      <c r="TZS507" s="325"/>
      <c r="TZT507" s="325"/>
      <c r="TZU507" s="325"/>
      <c r="TZV507" s="325"/>
      <c r="TZW507" s="325"/>
      <c r="TZX507" s="325"/>
      <c r="TZY507" s="325"/>
      <c r="TZZ507" s="325"/>
      <c r="UAA507" s="325"/>
      <c r="UAB507" s="325"/>
      <c r="UAC507" s="325"/>
      <c r="UAD507" s="325"/>
      <c r="UAE507" s="325"/>
      <c r="UAF507" s="325"/>
      <c r="UAG507" s="325"/>
      <c r="UAH507" s="325"/>
      <c r="UAI507" s="325"/>
      <c r="UAJ507" s="325"/>
      <c r="UAK507" s="325"/>
      <c r="UAL507" s="327"/>
      <c r="UAM507" s="28"/>
      <c r="UAN507" s="324"/>
      <c r="UAO507" s="324"/>
      <c r="UAP507" s="324"/>
      <c r="UAQ507" s="324"/>
      <c r="UAR507" s="324"/>
      <c r="UAS507" s="324"/>
      <c r="UAT507" s="256"/>
      <c r="UAU507" s="325"/>
      <c r="UAV507" s="311"/>
      <c r="UAW507" s="325"/>
      <c r="UAX507" s="310"/>
      <c r="UAY507" s="325"/>
      <c r="UAZ507" s="325"/>
      <c r="UBA507" s="325"/>
      <c r="UBB507" s="325"/>
      <c r="UBC507" s="325"/>
      <c r="UBD507" s="325"/>
      <c r="UBE507" s="325"/>
      <c r="UBF507" s="325"/>
      <c r="UBG507" s="325"/>
      <c r="UBH507" s="325"/>
      <c r="UBI507" s="325"/>
      <c r="UBJ507" s="325"/>
      <c r="UBK507" s="325"/>
      <c r="UBL507" s="325"/>
      <c r="UBM507" s="325"/>
      <c r="UBN507" s="325"/>
      <c r="UBO507" s="325"/>
      <c r="UBP507" s="325"/>
      <c r="UBQ507" s="325"/>
      <c r="UBR507" s="325"/>
      <c r="UBS507" s="325"/>
      <c r="UBT507" s="325"/>
      <c r="UBU507" s="325"/>
      <c r="UBV507" s="325"/>
      <c r="UBW507" s="325"/>
      <c r="UBX507" s="325"/>
      <c r="UBY507" s="325"/>
      <c r="UBZ507" s="325"/>
      <c r="UCA507" s="325"/>
      <c r="UCB507" s="325"/>
      <c r="UCC507" s="327"/>
      <c r="UCD507" s="28"/>
      <c r="UCE507" s="324"/>
      <c r="UCF507" s="324"/>
      <c r="UCG507" s="324"/>
      <c r="UCH507" s="324"/>
      <c r="UCI507" s="324"/>
      <c r="UCJ507" s="324"/>
      <c r="UCK507" s="256"/>
      <c r="UCL507" s="325"/>
      <c r="UCM507" s="311"/>
      <c r="UCN507" s="325"/>
      <c r="UCO507" s="310"/>
      <c r="UCP507" s="325"/>
      <c r="UCQ507" s="325"/>
      <c r="UCR507" s="325"/>
      <c r="UCS507" s="325"/>
      <c r="UCT507" s="325"/>
      <c r="UCU507" s="325"/>
      <c r="UCV507" s="325"/>
      <c r="UCW507" s="325"/>
      <c r="UCX507" s="325"/>
      <c r="UCY507" s="325"/>
      <c r="UCZ507" s="325"/>
      <c r="UDA507" s="325"/>
      <c r="UDB507" s="325"/>
      <c r="UDC507" s="325"/>
      <c r="UDD507" s="325"/>
      <c r="UDE507" s="325"/>
      <c r="UDF507" s="325"/>
      <c r="UDG507" s="325"/>
      <c r="UDH507" s="325"/>
      <c r="UDI507" s="325"/>
      <c r="UDJ507" s="325"/>
      <c r="UDK507" s="325"/>
      <c r="UDL507" s="325"/>
      <c r="UDM507" s="325"/>
      <c r="UDN507" s="325"/>
      <c r="UDO507" s="325"/>
      <c r="UDP507" s="325"/>
      <c r="UDQ507" s="325"/>
      <c r="UDR507" s="325"/>
      <c r="UDS507" s="325"/>
      <c r="UDT507" s="327"/>
      <c r="UDU507" s="28"/>
      <c r="UDV507" s="324"/>
      <c r="UDW507" s="324"/>
      <c r="UDX507" s="324"/>
      <c r="UDY507" s="324"/>
      <c r="UDZ507" s="324"/>
      <c r="UEA507" s="324"/>
      <c r="UEB507" s="256"/>
      <c r="UEC507" s="325"/>
      <c r="UED507" s="311"/>
      <c r="UEE507" s="325"/>
      <c r="UEF507" s="310"/>
      <c r="UEG507" s="325"/>
      <c r="UEH507" s="325"/>
      <c r="UEI507" s="325"/>
      <c r="UEJ507" s="325"/>
      <c r="UEK507" s="325"/>
      <c r="UEL507" s="325"/>
      <c r="UEM507" s="325"/>
      <c r="UEN507" s="325"/>
      <c r="UEO507" s="325"/>
      <c r="UEP507" s="325"/>
      <c r="UEQ507" s="325"/>
      <c r="UER507" s="325"/>
      <c r="UES507" s="325"/>
      <c r="UET507" s="325"/>
      <c r="UEU507" s="325"/>
      <c r="UEV507" s="325"/>
      <c r="UEW507" s="325"/>
      <c r="UEX507" s="325"/>
      <c r="UEY507" s="325"/>
      <c r="UEZ507" s="325"/>
      <c r="UFA507" s="325"/>
      <c r="UFB507" s="325"/>
      <c r="UFC507" s="325"/>
      <c r="UFD507" s="325"/>
      <c r="UFE507" s="325"/>
      <c r="UFF507" s="325"/>
      <c r="UFG507" s="325"/>
      <c r="UFH507" s="325"/>
      <c r="UFI507" s="325"/>
      <c r="UFJ507" s="325"/>
      <c r="UFK507" s="327"/>
      <c r="UFL507" s="28"/>
      <c r="UFM507" s="324"/>
      <c r="UFN507" s="324"/>
      <c r="UFO507" s="324"/>
      <c r="UFP507" s="324"/>
      <c r="UFQ507" s="324"/>
      <c r="UFR507" s="324"/>
      <c r="UFS507" s="256"/>
      <c r="UFT507" s="325"/>
      <c r="UFU507" s="311"/>
      <c r="UFV507" s="325"/>
      <c r="UFW507" s="310"/>
      <c r="UFX507" s="325"/>
      <c r="UFY507" s="325"/>
      <c r="UFZ507" s="325"/>
      <c r="UGA507" s="325"/>
      <c r="UGB507" s="325"/>
      <c r="UGC507" s="325"/>
      <c r="UGD507" s="325"/>
      <c r="UGE507" s="325"/>
      <c r="UGF507" s="325"/>
      <c r="UGG507" s="325"/>
      <c r="UGH507" s="325"/>
      <c r="UGI507" s="325"/>
      <c r="UGJ507" s="325"/>
      <c r="UGK507" s="325"/>
      <c r="UGL507" s="325"/>
      <c r="UGM507" s="325"/>
      <c r="UGN507" s="325"/>
      <c r="UGO507" s="325"/>
      <c r="UGP507" s="325"/>
      <c r="UGQ507" s="325"/>
      <c r="UGR507" s="325"/>
      <c r="UGS507" s="325"/>
      <c r="UGT507" s="325"/>
      <c r="UGU507" s="325"/>
      <c r="UGV507" s="325"/>
      <c r="UGW507" s="325"/>
      <c r="UGX507" s="325"/>
      <c r="UGY507" s="325"/>
      <c r="UGZ507" s="325"/>
      <c r="UHA507" s="325"/>
      <c r="UHB507" s="327"/>
      <c r="UHC507" s="28"/>
      <c r="UHD507" s="324"/>
      <c r="UHE507" s="324"/>
      <c r="UHF507" s="324"/>
      <c r="UHG507" s="324"/>
      <c r="UHH507" s="324"/>
      <c r="UHI507" s="324"/>
      <c r="UHJ507" s="256"/>
      <c r="UHK507" s="325"/>
      <c r="UHL507" s="311"/>
      <c r="UHM507" s="325"/>
      <c r="UHN507" s="310"/>
      <c r="UHO507" s="325"/>
      <c r="UHP507" s="325"/>
      <c r="UHQ507" s="325"/>
      <c r="UHR507" s="325"/>
      <c r="UHS507" s="325"/>
      <c r="UHT507" s="325"/>
      <c r="UHU507" s="325"/>
      <c r="UHV507" s="325"/>
      <c r="UHW507" s="325"/>
      <c r="UHX507" s="325"/>
      <c r="UHY507" s="325"/>
      <c r="UHZ507" s="325"/>
      <c r="UIA507" s="325"/>
      <c r="UIB507" s="325"/>
      <c r="UIC507" s="325"/>
      <c r="UID507" s="325"/>
      <c r="UIE507" s="325"/>
      <c r="UIF507" s="325"/>
      <c r="UIG507" s="325"/>
      <c r="UIH507" s="325"/>
      <c r="UII507" s="325"/>
      <c r="UIJ507" s="325"/>
      <c r="UIK507" s="325"/>
      <c r="UIL507" s="325"/>
      <c r="UIM507" s="325"/>
      <c r="UIN507" s="325"/>
      <c r="UIO507" s="325"/>
      <c r="UIP507" s="325"/>
      <c r="UIQ507" s="325"/>
      <c r="UIR507" s="325"/>
      <c r="UIS507" s="327"/>
      <c r="UIT507" s="28"/>
      <c r="UIU507" s="324"/>
      <c r="UIV507" s="324"/>
      <c r="UIW507" s="324"/>
      <c r="UIX507" s="324"/>
      <c r="UIY507" s="324"/>
      <c r="UIZ507" s="324"/>
      <c r="UJA507" s="256"/>
      <c r="UJB507" s="325"/>
      <c r="UJC507" s="311"/>
      <c r="UJD507" s="325"/>
      <c r="UJE507" s="310"/>
      <c r="UJF507" s="325"/>
      <c r="UJG507" s="325"/>
      <c r="UJH507" s="325"/>
      <c r="UJI507" s="325"/>
      <c r="UJJ507" s="325"/>
      <c r="UJK507" s="325"/>
      <c r="UJL507" s="325"/>
      <c r="UJM507" s="325"/>
      <c r="UJN507" s="325"/>
      <c r="UJO507" s="325"/>
      <c r="UJP507" s="325"/>
      <c r="UJQ507" s="325"/>
      <c r="UJR507" s="325"/>
      <c r="UJS507" s="325"/>
      <c r="UJT507" s="325"/>
      <c r="UJU507" s="325"/>
      <c r="UJV507" s="325"/>
      <c r="UJW507" s="325"/>
      <c r="UJX507" s="325"/>
      <c r="UJY507" s="325"/>
      <c r="UJZ507" s="325"/>
      <c r="UKA507" s="325"/>
      <c r="UKB507" s="325"/>
      <c r="UKC507" s="325"/>
      <c r="UKD507" s="325"/>
      <c r="UKE507" s="325"/>
      <c r="UKF507" s="325"/>
      <c r="UKG507" s="325"/>
      <c r="UKH507" s="325"/>
      <c r="UKI507" s="325"/>
      <c r="UKJ507" s="327"/>
      <c r="UKK507" s="28"/>
      <c r="UKL507" s="324"/>
      <c r="UKM507" s="324"/>
      <c r="UKN507" s="324"/>
      <c r="UKO507" s="324"/>
      <c r="UKP507" s="324"/>
      <c r="UKQ507" s="324"/>
      <c r="UKR507" s="256"/>
      <c r="UKS507" s="325"/>
      <c r="UKT507" s="311"/>
      <c r="UKU507" s="325"/>
      <c r="UKV507" s="310"/>
      <c r="UKW507" s="325"/>
      <c r="UKX507" s="325"/>
      <c r="UKY507" s="325"/>
      <c r="UKZ507" s="325"/>
      <c r="ULA507" s="325"/>
      <c r="ULB507" s="325"/>
      <c r="ULC507" s="325"/>
      <c r="ULD507" s="325"/>
      <c r="ULE507" s="325"/>
      <c r="ULF507" s="325"/>
      <c r="ULG507" s="325"/>
      <c r="ULH507" s="325"/>
      <c r="ULI507" s="325"/>
      <c r="ULJ507" s="325"/>
      <c r="ULK507" s="325"/>
      <c r="ULL507" s="325"/>
      <c r="ULM507" s="325"/>
      <c r="ULN507" s="325"/>
      <c r="ULO507" s="325"/>
      <c r="ULP507" s="325"/>
      <c r="ULQ507" s="325"/>
      <c r="ULR507" s="325"/>
      <c r="ULS507" s="325"/>
      <c r="ULT507" s="325"/>
      <c r="ULU507" s="325"/>
      <c r="ULV507" s="325"/>
      <c r="ULW507" s="325"/>
      <c r="ULX507" s="325"/>
      <c r="ULY507" s="325"/>
      <c r="ULZ507" s="325"/>
      <c r="UMA507" s="327"/>
      <c r="UMB507" s="28"/>
      <c r="UMC507" s="324"/>
      <c r="UMD507" s="324"/>
      <c r="UME507" s="324"/>
      <c r="UMF507" s="324"/>
      <c r="UMG507" s="324"/>
      <c r="UMH507" s="324"/>
      <c r="UMI507" s="256"/>
      <c r="UMJ507" s="325"/>
      <c r="UMK507" s="311"/>
      <c r="UML507" s="325"/>
      <c r="UMM507" s="310"/>
      <c r="UMN507" s="325"/>
      <c r="UMO507" s="325"/>
      <c r="UMP507" s="325"/>
      <c r="UMQ507" s="325"/>
      <c r="UMR507" s="325"/>
      <c r="UMS507" s="325"/>
      <c r="UMT507" s="325"/>
      <c r="UMU507" s="325"/>
      <c r="UMV507" s="325"/>
      <c r="UMW507" s="325"/>
      <c r="UMX507" s="325"/>
      <c r="UMY507" s="325"/>
      <c r="UMZ507" s="325"/>
      <c r="UNA507" s="325"/>
      <c r="UNB507" s="325"/>
      <c r="UNC507" s="325"/>
      <c r="UND507" s="325"/>
      <c r="UNE507" s="325"/>
      <c r="UNF507" s="325"/>
      <c r="UNG507" s="325"/>
      <c r="UNH507" s="325"/>
      <c r="UNI507" s="325"/>
      <c r="UNJ507" s="325"/>
      <c r="UNK507" s="325"/>
      <c r="UNL507" s="325"/>
      <c r="UNM507" s="325"/>
      <c r="UNN507" s="325"/>
      <c r="UNO507" s="325"/>
      <c r="UNP507" s="325"/>
      <c r="UNQ507" s="325"/>
      <c r="UNR507" s="327"/>
      <c r="UNS507" s="28"/>
      <c r="UNT507" s="324"/>
      <c r="UNU507" s="324"/>
      <c r="UNV507" s="324"/>
      <c r="UNW507" s="324"/>
      <c r="UNX507" s="324"/>
      <c r="UNY507" s="324"/>
      <c r="UNZ507" s="256"/>
      <c r="UOA507" s="325"/>
      <c r="UOB507" s="311"/>
      <c r="UOC507" s="325"/>
      <c r="UOD507" s="310"/>
      <c r="UOE507" s="325"/>
      <c r="UOF507" s="325"/>
      <c r="UOG507" s="325"/>
      <c r="UOH507" s="325"/>
      <c r="UOI507" s="325"/>
      <c r="UOJ507" s="325"/>
      <c r="UOK507" s="325"/>
      <c r="UOL507" s="325"/>
      <c r="UOM507" s="325"/>
      <c r="UON507" s="325"/>
      <c r="UOO507" s="325"/>
      <c r="UOP507" s="325"/>
      <c r="UOQ507" s="325"/>
      <c r="UOR507" s="325"/>
      <c r="UOS507" s="325"/>
      <c r="UOT507" s="325"/>
      <c r="UOU507" s="325"/>
      <c r="UOV507" s="325"/>
      <c r="UOW507" s="325"/>
      <c r="UOX507" s="325"/>
      <c r="UOY507" s="325"/>
      <c r="UOZ507" s="325"/>
      <c r="UPA507" s="325"/>
      <c r="UPB507" s="325"/>
      <c r="UPC507" s="325"/>
      <c r="UPD507" s="325"/>
      <c r="UPE507" s="325"/>
      <c r="UPF507" s="325"/>
      <c r="UPG507" s="325"/>
      <c r="UPH507" s="325"/>
      <c r="UPI507" s="327"/>
      <c r="UPJ507" s="28"/>
      <c r="UPK507" s="324"/>
      <c r="UPL507" s="324"/>
      <c r="UPM507" s="324"/>
      <c r="UPN507" s="324"/>
      <c r="UPO507" s="324"/>
      <c r="UPP507" s="324"/>
      <c r="UPQ507" s="256"/>
      <c r="UPR507" s="325"/>
      <c r="UPS507" s="311"/>
      <c r="UPT507" s="325"/>
      <c r="UPU507" s="310"/>
      <c r="UPV507" s="325"/>
      <c r="UPW507" s="325"/>
      <c r="UPX507" s="325"/>
      <c r="UPY507" s="325"/>
      <c r="UPZ507" s="325"/>
      <c r="UQA507" s="325"/>
      <c r="UQB507" s="325"/>
      <c r="UQC507" s="325"/>
      <c r="UQD507" s="325"/>
      <c r="UQE507" s="325"/>
      <c r="UQF507" s="325"/>
      <c r="UQG507" s="325"/>
      <c r="UQH507" s="325"/>
      <c r="UQI507" s="325"/>
      <c r="UQJ507" s="325"/>
      <c r="UQK507" s="325"/>
      <c r="UQL507" s="325"/>
      <c r="UQM507" s="325"/>
      <c r="UQN507" s="325"/>
      <c r="UQO507" s="325"/>
      <c r="UQP507" s="325"/>
      <c r="UQQ507" s="325"/>
      <c r="UQR507" s="325"/>
      <c r="UQS507" s="325"/>
      <c r="UQT507" s="325"/>
      <c r="UQU507" s="325"/>
      <c r="UQV507" s="325"/>
      <c r="UQW507" s="325"/>
      <c r="UQX507" s="325"/>
      <c r="UQY507" s="325"/>
      <c r="UQZ507" s="327"/>
      <c r="URA507" s="28"/>
      <c r="URB507" s="324"/>
      <c r="URC507" s="324"/>
      <c r="URD507" s="324"/>
      <c r="URE507" s="324"/>
      <c r="URF507" s="324"/>
      <c r="URG507" s="324"/>
      <c r="URH507" s="256"/>
      <c r="URI507" s="325"/>
      <c r="URJ507" s="311"/>
      <c r="URK507" s="325"/>
      <c r="URL507" s="310"/>
      <c r="URM507" s="325"/>
      <c r="URN507" s="325"/>
      <c r="URO507" s="325"/>
      <c r="URP507" s="325"/>
      <c r="URQ507" s="325"/>
      <c r="URR507" s="325"/>
      <c r="URS507" s="325"/>
      <c r="URT507" s="325"/>
      <c r="URU507" s="325"/>
      <c r="URV507" s="325"/>
      <c r="URW507" s="325"/>
      <c r="URX507" s="325"/>
      <c r="URY507" s="325"/>
      <c r="URZ507" s="325"/>
      <c r="USA507" s="325"/>
      <c r="USB507" s="325"/>
      <c r="USC507" s="325"/>
      <c r="USD507" s="325"/>
      <c r="USE507" s="325"/>
      <c r="USF507" s="325"/>
      <c r="USG507" s="325"/>
      <c r="USH507" s="325"/>
      <c r="USI507" s="325"/>
      <c r="USJ507" s="325"/>
      <c r="USK507" s="325"/>
      <c r="USL507" s="325"/>
      <c r="USM507" s="325"/>
      <c r="USN507" s="325"/>
      <c r="USO507" s="325"/>
      <c r="USP507" s="325"/>
      <c r="USQ507" s="327"/>
      <c r="USR507" s="28"/>
      <c r="USS507" s="324"/>
      <c r="UST507" s="324"/>
      <c r="USU507" s="324"/>
      <c r="USV507" s="324"/>
      <c r="USW507" s="324"/>
      <c r="USX507" s="324"/>
      <c r="USY507" s="256"/>
      <c r="USZ507" s="325"/>
      <c r="UTA507" s="311"/>
      <c r="UTB507" s="325"/>
      <c r="UTC507" s="310"/>
      <c r="UTD507" s="325"/>
      <c r="UTE507" s="325"/>
      <c r="UTF507" s="325"/>
      <c r="UTG507" s="325"/>
      <c r="UTH507" s="325"/>
      <c r="UTI507" s="325"/>
      <c r="UTJ507" s="325"/>
      <c r="UTK507" s="325"/>
      <c r="UTL507" s="325"/>
      <c r="UTM507" s="325"/>
      <c r="UTN507" s="325"/>
      <c r="UTO507" s="325"/>
      <c r="UTP507" s="325"/>
      <c r="UTQ507" s="325"/>
      <c r="UTR507" s="325"/>
      <c r="UTS507" s="325"/>
      <c r="UTT507" s="325"/>
      <c r="UTU507" s="325"/>
      <c r="UTV507" s="325"/>
      <c r="UTW507" s="325"/>
      <c r="UTX507" s="325"/>
      <c r="UTY507" s="325"/>
      <c r="UTZ507" s="325"/>
      <c r="UUA507" s="325"/>
      <c r="UUB507" s="325"/>
      <c r="UUC507" s="325"/>
      <c r="UUD507" s="325"/>
      <c r="UUE507" s="325"/>
      <c r="UUF507" s="325"/>
      <c r="UUG507" s="325"/>
      <c r="UUH507" s="327"/>
      <c r="UUI507" s="28"/>
      <c r="UUJ507" s="324"/>
      <c r="UUK507" s="324"/>
      <c r="UUL507" s="324"/>
      <c r="UUM507" s="324"/>
      <c r="UUN507" s="324"/>
      <c r="UUO507" s="324"/>
      <c r="UUP507" s="256"/>
      <c r="UUQ507" s="325"/>
      <c r="UUR507" s="311"/>
      <c r="UUS507" s="325"/>
      <c r="UUT507" s="310"/>
      <c r="UUU507" s="325"/>
      <c r="UUV507" s="325"/>
      <c r="UUW507" s="325"/>
      <c r="UUX507" s="325"/>
      <c r="UUY507" s="325"/>
      <c r="UUZ507" s="325"/>
      <c r="UVA507" s="325"/>
      <c r="UVB507" s="325"/>
      <c r="UVC507" s="325"/>
      <c r="UVD507" s="325"/>
      <c r="UVE507" s="325"/>
      <c r="UVF507" s="325"/>
      <c r="UVG507" s="325"/>
      <c r="UVH507" s="325"/>
      <c r="UVI507" s="325"/>
      <c r="UVJ507" s="325"/>
      <c r="UVK507" s="325"/>
      <c r="UVL507" s="325"/>
      <c r="UVM507" s="325"/>
      <c r="UVN507" s="325"/>
      <c r="UVO507" s="325"/>
      <c r="UVP507" s="325"/>
      <c r="UVQ507" s="325"/>
      <c r="UVR507" s="325"/>
      <c r="UVS507" s="325"/>
      <c r="UVT507" s="325"/>
      <c r="UVU507" s="325"/>
      <c r="UVV507" s="325"/>
      <c r="UVW507" s="325"/>
      <c r="UVX507" s="325"/>
      <c r="UVY507" s="327"/>
      <c r="UVZ507" s="28"/>
      <c r="UWA507" s="324"/>
      <c r="UWB507" s="324"/>
      <c r="UWC507" s="324"/>
      <c r="UWD507" s="324"/>
      <c r="UWE507" s="324"/>
      <c r="UWF507" s="324"/>
      <c r="UWG507" s="256"/>
      <c r="UWH507" s="325"/>
      <c r="UWI507" s="311"/>
      <c r="UWJ507" s="325"/>
      <c r="UWK507" s="310"/>
      <c r="UWL507" s="325"/>
      <c r="UWM507" s="325"/>
      <c r="UWN507" s="325"/>
      <c r="UWO507" s="325"/>
      <c r="UWP507" s="325"/>
      <c r="UWQ507" s="325"/>
      <c r="UWR507" s="325"/>
      <c r="UWS507" s="325"/>
      <c r="UWT507" s="325"/>
      <c r="UWU507" s="325"/>
      <c r="UWV507" s="325"/>
      <c r="UWW507" s="325"/>
      <c r="UWX507" s="325"/>
      <c r="UWY507" s="325"/>
      <c r="UWZ507" s="325"/>
      <c r="UXA507" s="325"/>
      <c r="UXB507" s="325"/>
      <c r="UXC507" s="325"/>
      <c r="UXD507" s="325"/>
      <c r="UXE507" s="325"/>
      <c r="UXF507" s="325"/>
      <c r="UXG507" s="325"/>
      <c r="UXH507" s="325"/>
      <c r="UXI507" s="325"/>
      <c r="UXJ507" s="325"/>
      <c r="UXK507" s="325"/>
      <c r="UXL507" s="325"/>
      <c r="UXM507" s="325"/>
      <c r="UXN507" s="325"/>
      <c r="UXO507" s="325"/>
      <c r="UXP507" s="327"/>
      <c r="UXQ507" s="28"/>
      <c r="UXR507" s="324"/>
      <c r="UXS507" s="324"/>
      <c r="UXT507" s="324"/>
      <c r="UXU507" s="324"/>
      <c r="UXV507" s="324"/>
      <c r="UXW507" s="324"/>
      <c r="UXX507" s="256"/>
      <c r="UXY507" s="325"/>
      <c r="UXZ507" s="311"/>
      <c r="UYA507" s="325"/>
      <c r="UYB507" s="310"/>
      <c r="UYC507" s="325"/>
      <c r="UYD507" s="325"/>
      <c r="UYE507" s="325"/>
      <c r="UYF507" s="325"/>
      <c r="UYG507" s="325"/>
      <c r="UYH507" s="325"/>
      <c r="UYI507" s="325"/>
      <c r="UYJ507" s="325"/>
      <c r="UYK507" s="325"/>
      <c r="UYL507" s="325"/>
      <c r="UYM507" s="325"/>
      <c r="UYN507" s="325"/>
      <c r="UYO507" s="325"/>
      <c r="UYP507" s="325"/>
      <c r="UYQ507" s="325"/>
      <c r="UYR507" s="325"/>
      <c r="UYS507" s="325"/>
      <c r="UYT507" s="325"/>
      <c r="UYU507" s="325"/>
      <c r="UYV507" s="325"/>
      <c r="UYW507" s="325"/>
      <c r="UYX507" s="325"/>
      <c r="UYY507" s="325"/>
      <c r="UYZ507" s="325"/>
      <c r="UZA507" s="325"/>
      <c r="UZB507" s="325"/>
      <c r="UZC507" s="325"/>
      <c r="UZD507" s="325"/>
      <c r="UZE507" s="325"/>
      <c r="UZF507" s="325"/>
      <c r="UZG507" s="327"/>
      <c r="UZH507" s="28"/>
      <c r="UZI507" s="324"/>
      <c r="UZJ507" s="324"/>
      <c r="UZK507" s="324"/>
      <c r="UZL507" s="324"/>
      <c r="UZM507" s="324"/>
      <c r="UZN507" s="324"/>
      <c r="UZO507" s="256"/>
      <c r="UZP507" s="325"/>
      <c r="UZQ507" s="311"/>
      <c r="UZR507" s="325"/>
      <c r="UZS507" s="310"/>
      <c r="UZT507" s="325"/>
      <c r="UZU507" s="325"/>
      <c r="UZV507" s="325"/>
      <c r="UZW507" s="325"/>
      <c r="UZX507" s="325"/>
      <c r="UZY507" s="325"/>
      <c r="UZZ507" s="325"/>
      <c r="VAA507" s="325"/>
      <c r="VAB507" s="325"/>
      <c r="VAC507" s="325"/>
      <c r="VAD507" s="325"/>
      <c r="VAE507" s="325"/>
      <c r="VAF507" s="325"/>
      <c r="VAG507" s="325"/>
      <c r="VAH507" s="325"/>
      <c r="VAI507" s="325"/>
      <c r="VAJ507" s="325"/>
      <c r="VAK507" s="325"/>
      <c r="VAL507" s="325"/>
      <c r="VAM507" s="325"/>
      <c r="VAN507" s="325"/>
      <c r="VAO507" s="325"/>
      <c r="VAP507" s="325"/>
      <c r="VAQ507" s="325"/>
      <c r="VAR507" s="325"/>
      <c r="VAS507" s="325"/>
      <c r="VAT507" s="325"/>
      <c r="VAU507" s="325"/>
      <c r="VAV507" s="325"/>
      <c r="VAW507" s="325"/>
      <c r="VAX507" s="327"/>
      <c r="VAY507" s="28"/>
      <c r="VAZ507" s="324"/>
      <c r="VBA507" s="324"/>
      <c r="VBB507" s="324"/>
      <c r="VBC507" s="324"/>
      <c r="VBD507" s="324"/>
      <c r="VBE507" s="324"/>
      <c r="VBF507" s="256"/>
      <c r="VBG507" s="325"/>
      <c r="VBH507" s="311"/>
      <c r="VBI507" s="325"/>
      <c r="VBJ507" s="310"/>
      <c r="VBK507" s="325"/>
      <c r="VBL507" s="325"/>
      <c r="VBM507" s="325"/>
      <c r="VBN507" s="325"/>
      <c r="VBO507" s="325"/>
      <c r="VBP507" s="325"/>
      <c r="VBQ507" s="325"/>
      <c r="VBR507" s="325"/>
      <c r="VBS507" s="325"/>
      <c r="VBT507" s="325"/>
      <c r="VBU507" s="325"/>
      <c r="VBV507" s="325"/>
      <c r="VBW507" s="325"/>
      <c r="VBX507" s="325"/>
      <c r="VBY507" s="325"/>
      <c r="VBZ507" s="325"/>
      <c r="VCA507" s="325"/>
      <c r="VCB507" s="325"/>
      <c r="VCC507" s="325"/>
      <c r="VCD507" s="325"/>
      <c r="VCE507" s="325"/>
      <c r="VCF507" s="325"/>
      <c r="VCG507" s="325"/>
      <c r="VCH507" s="325"/>
      <c r="VCI507" s="325"/>
      <c r="VCJ507" s="325"/>
      <c r="VCK507" s="325"/>
      <c r="VCL507" s="325"/>
      <c r="VCM507" s="325"/>
      <c r="VCN507" s="325"/>
      <c r="VCO507" s="327"/>
      <c r="VCP507" s="28"/>
      <c r="VCQ507" s="324"/>
      <c r="VCR507" s="324"/>
      <c r="VCS507" s="324"/>
      <c r="VCT507" s="324"/>
      <c r="VCU507" s="324"/>
      <c r="VCV507" s="324"/>
      <c r="VCW507" s="256"/>
      <c r="VCX507" s="325"/>
      <c r="VCY507" s="311"/>
      <c r="VCZ507" s="325"/>
      <c r="VDA507" s="310"/>
      <c r="VDB507" s="325"/>
      <c r="VDC507" s="325"/>
      <c r="VDD507" s="325"/>
      <c r="VDE507" s="325"/>
      <c r="VDF507" s="325"/>
      <c r="VDG507" s="325"/>
      <c r="VDH507" s="325"/>
      <c r="VDI507" s="325"/>
      <c r="VDJ507" s="325"/>
      <c r="VDK507" s="325"/>
      <c r="VDL507" s="325"/>
      <c r="VDM507" s="325"/>
      <c r="VDN507" s="325"/>
      <c r="VDO507" s="325"/>
      <c r="VDP507" s="325"/>
      <c r="VDQ507" s="325"/>
      <c r="VDR507" s="325"/>
      <c r="VDS507" s="325"/>
      <c r="VDT507" s="325"/>
      <c r="VDU507" s="325"/>
      <c r="VDV507" s="325"/>
      <c r="VDW507" s="325"/>
      <c r="VDX507" s="325"/>
      <c r="VDY507" s="325"/>
      <c r="VDZ507" s="325"/>
      <c r="VEA507" s="325"/>
      <c r="VEB507" s="325"/>
      <c r="VEC507" s="325"/>
      <c r="VED507" s="325"/>
      <c r="VEE507" s="325"/>
      <c r="VEF507" s="327"/>
      <c r="VEG507" s="28"/>
      <c r="VEH507" s="324"/>
      <c r="VEI507" s="324"/>
      <c r="VEJ507" s="324"/>
      <c r="VEK507" s="324"/>
      <c r="VEL507" s="324"/>
      <c r="VEM507" s="324"/>
      <c r="VEN507" s="256"/>
      <c r="VEO507" s="325"/>
      <c r="VEP507" s="311"/>
      <c r="VEQ507" s="325"/>
      <c r="VER507" s="310"/>
      <c r="VES507" s="325"/>
      <c r="VET507" s="325"/>
      <c r="VEU507" s="325"/>
      <c r="VEV507" s="325"/>
      <c r="VEW507" s="325"/>
      <c r="VEX507" s="325"/>
      <c r="VEY507" s="325"/>
      <c r="VEZ507" s="325"/>
      <c r="VFA507" s="325"/>
      <c r="VFB507" s="325"/>
      <c r="VFC507" s="325"/>
      <c r="VFD507" s="325"/>
      <c r="VFE507" s="325"/>
      <c r="VFF507" s="325"/>
      <c r="VFG507" s="325"/>
      <c r="VFH507" s="325"/>
      <c r="VFI507" s="325"/>
      <c r="VFJ507" s="325"/>
      <c r="VFK507" s="325"/>
      <c r="VFL507" s="325"/>
      <c r="VFM507" s="325"/>
      <c r="VFN507" s="325"/>
      <c r="VFO507" s="325"/>
      <c r="VFP507" s="325"/>
      <c r="VFQ507" s="325"/>
      <c r="VFR507" s="325"/>
      <c r="VFS507" s="325"/>
      <c r="VFT507" s="325"/>
      <c r="VFU507" s="325"/>
      <c r="VFV507" s="325"/>
      <c r="VFW507" s="327"/>
      <c r="VFX507" s="28"/>
      <c r="VFY507" s="324"/>
      <c r="VFZ507" s="324"/>
      <c r="VGA507" s="324"/>
      <c r="VGB507" s="324"/>
      <c r="VGC507" s="324"/>
      <c r="VGD507" s="324"/>
      <c r="VGE507" s="256"/>
      <c r="VGF507" s="325"/>
      <c r="VGG507" s="311"/>
      <c r="VGH507" s="325"/>
      <c r="VGI507" s="310"/>
      <c r="VGJ507" s="325"/>
      <c r="VGK507" s="325"/>
      <c r="VGL507" s="325"/>
      <c r="VGM507" s="325"/>
      <c r="VGN507" s="325"/>
      <c r="VGO507" s="325"/>
      <c r="VGP507" s="325"/>
      <c r="VGQ507" s="325"/>
      <c r="VGR507" s="325"/>
      <c r="VGS507" s="325"/>
      <c r="VGT507" s="325"/>
      <c r="VGU507" s="325"/>
      <c r="VGV507" s="325"/>
      <c r="VGW507" s="325"/>
      <c r="VGX507" s="325"/>
      <c r="VGY507" s="325"/>
      <c r="VGZ507" s="325"/>
      <c r="VHA507" s="325"/>
      <c r="VHB507" s="325"/>
      <c r="VHC507" s="325"/>
      <c r="VHD507" s="325"/>
      <c r="VHE507" s="325"/>
      <c r="VHF507" s="325"/>
      <c r="VHG507" s="325"/>
      <c r="VHH507" s="325"/>
      <c r="VHI507" s="325"/>
      <c r="VHJ507" s="325"/>
      <c r="VHK507" s="325"/>
      <c r="VHL507" s="325"/>
      <c r="VHM507" s="325"/>
      <c r="VHN507" s="327"/>
      <c r="VHO507" s="28"/>
      <c r="VHP507" s="324"/>
      <c r="VHQ507" s="324"/>
      <c r="VHR507" s="324"/>
      <c r="VHS507" s="324"/>
      <c r="VHT507" s="324"/>
      <c r="VHU507" s="324"/>
      <c r="VHV507" s="256"/>
      <c r="VHW507" s="325"/>
      <c r="VHX507" s="311"/>
      <c r="VHY507" s="325"/>
      <c r="VHZ507" s="310"/>
      <c r="VIA507" s="325"/>
      <c r="VIB507" s="325"/>
      <c r="VIC507" s="325"/>
      <c r="VID507" s="325"/>
      <c r="VIE507" s="325"/>
      <c r="VIF507" s="325"/>
      <c r="VIG507" s="325"/>
      <c r="VIH507" s="325"/>
      <c r="VII507" s="325"/>
      <c r="VIJ507" s="325"/>
      <c r="VIK507" s="325"/>
      <c r="VIL507" s="325"/>
      <c r="VIM507" s="325"/>
      <c r="VIN507" s="325"/>
      <c r="VIO507" s="325"/>
      <c r="VIP507" s="325"/>
      <c r="VIQ507" s="325"/>
      <c r="VIR507" s="325"/>
      <c r="VIS507" s="325"/>
      <c r="VIT507" s="325"/>
      <c r="VIU507" s="325"/>
      <c r="VIV507" s="325"/>
      <c r="VIW507" s="325"/>
      <c r="VIX507" s="325"/>
      <c r="VIY507" s="325"/>
      <c r="VIZ507" s="325"/>
      <c r="VJA507" s="325"/>
      <c r="VJB507" s="325"/>
      <c r="VJC507" s="325"/>
      <c r="VJD507" s="325"/>
      <c r="VJE507" s="327"/>
      <c r="VJF507" s="28"/>
      <c r="VJG507" s="324"/>
      <c r="VJH507" s="324"/>
      <c r="VJI507" s="324"/>
      <c r="VJJ507" s="324"/>
      <c r="VJK507" s="324"/>
      <c r="VJL507" s="324"/>
      <c r="VJM507" s="256"/>
      <c r="VJN507" s="325"/>
      <c r="VJO507" s="311"/>
      <c r="VJP507" s="325"/>
      <c r="VJQ507" s="310"/>
      <c r="VJR507" s="325"/>
      <c r="VJS507" s="325"/>
      <c r="VJT507" s="325"/>
      <c r="VJU507" s="325"/>
      <c r="VJV507" s="325"/>
      <c r="VJW507" s="325"/>
      <c r="VJX507" s="325"/>
      <c r="VJY507" s="325"/>
      <c r="VJZ507" s="325"/>
      <c r="VKA507" s="325"/>
      <c r="VKB507" s="325"/>
      <c r="VKC507" s="325"/>
      <c r="VKD507" s="325"/>
      <c r="VKE507" s="325"/>
      <c r="VKF507" s="325"/>
      <c r="VKG507" s="325"/>
      <c r="VKH507" s="325"/>
      <c r="VKI507" s="325"/>
      <c r="VKJ507" s="325"/>
      <c r="VKK507" s="325"/>
      <c r="VKL507" s="325"/>
      <c r="VKM507" s="325"/>
      <c r="VKN507" s="325"/>
      <c r="VKO507" s="325"/>
      <c r="VKP507" s="325"/>
      <c r="VKQ507" s="325"/>
      <c r="VKR507" s="325"/>
      <c r="VKS507" s="325"/>
      <c r="VKT507" s="325"/>
      <c r="VKU507" s="325"/>
      <c r="VKV507" s="327"/>
      <c r="VKW507" s="28"/>
      <c r="VKX507" s="324"/>
      <c r="VKY507" s="324"/>
      <c r="VKZ507" s="324"/>
      <c r="VLA507" s="324"/>
      <c r="VLB507" s="324"/>
      <c r="VLC507" s="324"/>
      <c r="VLD507" s="256"/>
      <c r="VLE507" s="325"/>
      <c r="VLF507" s="311"/>
      <c r="VLG507" s="325"/>
      <c r="VLH507" s="310"/>
      <c r="VLI507" s="325"/>
      <c r="VLJ507" s="325"/>
      <c r="VLK507" s="325"/>
      <c r="VLL507" s="325"/>
      <c r="VLM507" s="325"/>
      <c r="VLN507" s="325"/>
      <c r="VLO507" s="325"/>
      <c r="VLP507" s="325"/>
      <c r="VLQ507" s="325"/>
      <c r="VLR507" s="325"/>
      <c r="VLS507" s="325"/>
      <c r="VLT507" s="325"/>
      <c r="VLU507" s="325"/>
      <c r="VLV507" s="325"/>
      <c r="VLW507" s="325"/>
      <c r="VLX507" s="325"/>
      <c r="VLY507" s="325"/>
      <c r="VLZ507" s="325"/>
      <c r="VMA507" s="325"/>
      <c r="VMB507" s="325"/>
      <c r="VMC507" s="325"/>
      <c r="VMD507" s="325"/>
      <c r="VME507" s="325"/>
      <c r="VMF507" s="325"/>
      <c r="VMG507" s="325"/>
      <c r="VMH507" s="325"/>
      <c r="VMI507" s="325"/>
      <c r="VMJ507" s="325"/>
      <c r="VMK507" s="325"/>
      <c r="VML507" s="325"/>
      <c r="VMM507" s="327"/>
      <c r="VMN507" s="28"/>
      <c r="VMO507" s="324"/>
      <c r="VMP507" s="324"/>
      <c r="VMQ507" s="324"/>
      <c r="VMR507" s="324"/>
      <c r="VMS507" s="324"/>
      <c r="VMT507" s="324"/>
      <c r="VMU507" s="256"/>
      <c r="VMV507" s="325"/>
      <c r="VMW507" s="311"/>
      <c r="VMX507" s="325"/>
      <c r="VMY507" s="310"/>
      <c r="VMZ507" s="325"/>
      <c r="VNA507" s="325"/>
      <c r="VNB507" s="325"/>
      <c r="VNC507" s="325"/>
      <c r="VND507" s="325"/>
      <c r="VNE507" s="325"/>
      <c r="VNF507" s="325"/>
      <c r="VNG507" s="325"/>
      <c r="VNH507" s="325"/>
      <c r="VNI507" s="325"/>
      <c r="VNJ507" s="325"/>
      <c r="VNK507" s="325"/>
      <c r="VNL507" s="325"/>
      <c r="VNM507" s="325"/>
      <c r="VNN507" s="325"/>
      <c r="VNO507" s="325"/>
      <c r="VNP507" s="325"/>
      <c r="VNQ507" s="325"/>
      <c r="VNR507" s="325"/>
      <c r="VNS507" s="325"/>
      <c r="VNT507" s="325"/>
      <c r="VNU507" s="325"/>
      <c r="VNV507" s="325"/>
      <c r="VNW507" s="325"/>
      <c r="VNX507" s="325"/>
      <c r="VNY507" s="325"/>
      <c r="VNZ507" s="325"/>
      <c r="VOA507" s="325"/>
      <c r="VOB507" s="325"/>
      <c r="VOC507" s="325"/>
      <c r="VOD507" s="327"/>
      <c r="VOE507" s="28"/>
      <c r="VOF507" s="324"/>
      <c r="VOG507" s="324"/>
      <c r="VOH507" s="324"/>
      <c r="VOI507" s="324"/>
      <c r="VOJ507" s="324"/>
      <c r="VOK507" s="324"/>
      <c r="VOL507" s="256"/>
      <c r="VOM507" s="325"/>
      <c r="VON507" s="311"/>
      <c r="VOO507" s="325"/>
      <c r="VOP507" s="310"/>
      <c r="VOQ507" s="325"/>
      <c r="VOR507" s="325"/>
      <c r="VOS507" s="325"/>
      <c r="VOT507" s="325"/>
      <c r="VOU507" s="325"/>
      <c r="VOV507" s="325"/>
      <c r="VOW507" s="325"/>
      <c r="VOX507" s="325"/>
      <c r="VOY507" s="325"/>
      <c r="VOZ507" s="325"/>
      <c r="VPA507" s="325"/>
      <c r="VPB507" s="325"/>
      <c r="VPC507" s="325"/>
      <c r="VPD507" s="325"/>
      <c r="VPE507" s="325"/>
      <c r="VPF507" s="325"/>
      <c r="VPG507" s="325"/>
      <c r="VPH507" s="325"/>
      <c r="VPI507" s="325"/>
      <c r="VPJ507" s="325"/>
      <c r="VPK507" s="325"/>
      <c r="VPL507" s="325"/>
      <c r="VPM507" s="325"/>
      <c r="VPN507" s="325"/>
      <c r="VPO507" s="325"/>
      <c r="VPP507" s="325"/>
      <c r="VPQ507" s="325"/>
      <c r="VPR507" s="325"/>
      <c r="VPS507" s="325"/>
      <c r="VPT507" s="325"/>
      <c r="VPU507" s="327"/>
      <c r="VPV507" s="28"/>
      <c r="VPW507" s="324"/>
      <c r="VPX507" s="324"/>
      <c r="VPY507" s="324"/>
      <c r="VPZ507" s="324"/>
      <c r="VQA507" s="324"/>
      <c r="VQB507" s="324"/>
      <c r="VQC507" s="256"/>
      <c r="VQD507" s="325"/>
      <c r="VQE507" s="311"/>
      <c r="VQF507" s="325"/>
      <c r="VQG507" s="310"/>
      <c r="VQH507" s="325"/>
      <c r="VQI507" s="325"/>
      <c r="VQJ507" s="325"/>
      <c r="VQK507" s="325"/>
      <c r="VQL507" s="325"/>
      <c r="VQM507" s="325"/>
      <c r="VQN507" s="325"/>
      <c r="VQO507" s="325"/>
      <c r="VQP507" s="325"/>
      <c r="VQQ507" s="325"/>
      <c r="VQR507" s="325"/>
      <c r="VQS507" s="325"/>
      <c r="VQT507" s="325"/>
      <c r="VQU507" s="325"/>
      <c r="VQV507" s="325"/>
      <c r="VQW507" s="325"/>
      <c r="VQX507" s="325"/>
      <c r="VQY507" s="325"/>
      <c r="VQZ507" s="325"/>
      <c r="VRA507" s="325"/>
      <c r="VRB507" s="325"/>
      <c r="VRC507" s="325"/>
      <c r="VRD507" s="325"/>
      <c r="VRE507" s="325"/>
      <c r="VRF507" s="325"/>
      <c r="VRG507" s="325"/>
      <c r="VRH507" s="325"/>
      <c r="VRI507" s="325"/>
      <c r="VRJ507" s="325"/>
      <c r="VRK507" s="325"/>
      <c r="VRL507" s="327"/>
      <c r="VRM507" s="28"/>
      <c r="VRN507" s="324"/>
      <c r="VRO507" s="324"/>
      <c r="VRP507" s="324"/>
      <c r="VRQ507" s="324"/>
      <c r="VRR507" s="324"/>
      <c r="VRS507" s="324"/>
      <c r="VRT507" s="256"/>
      <c r="VRU507" s="325"/>
      <c r="VRV507" s="311"/>
      <c r="VRW507" s="325"/>
      <c r="VRX507" s="310"/>
      <c r="VRY507" s="325"/>
      <c r="VRZ507" s="325"/>
      <c r="VSA507" s="325"/>
      <c r="VSB507" s="325"/>
      <c r="VSC507" s="325"/>
      <c r="VSD507" s="325"/>
      <c r="VSE507" s="325"/>
      <c r="VSF507" s="325"/>
      <c r="VSG507" s="325"/>
      <c r="VSH507" s="325"/>
      <c r="VSI507" s="325"/>
      <c r="VSJ507" s="325"/>
      <c r="VSK507" s="325"/>
      <c r="VSL507" s="325"/>
      <c r="VSM507" s="325"/>
      <c r="VSN507" s="325"/>
      <c r="VSO507" s="325"/>
      <c r="VSP507" s="325"/>
      <c r="VSQ507" s="325"/>
      <c r="VSR507" s="325"/>
      <c r="VSS507" s="325"/>
      <c r="VST507" s="325"/>
      <c r="VSU507" s="325"/>
      <c r="VSV507" s="325"/>
      <c r="VSW507" s="325"/>
      <c r="VSX507" s="325"/>
      <c r="VSY507" s="325"/>
      <c r="VSZ507" s="325"/>
      <c r="VTA507" s="325"/>
      <c r="VTB507" s="325"/>
      <c r="VTC507" s="327"/>
      <c r="VTD507" s="28"/>
      <c r="VTE507" s="324"/>
      <c r="VTF507" s="324"/>
      <c r="VTG507" s="324"/>
      <c r="VTH507" s="324"/>
      <c r="VTI507" s="324"/>
      <c r="VTJ507" s="324"/>
      <c r="VTK507" s="256"/>
      <c r="VTL507" s="325"/>
      <c r="VTM507" s="311"/>
      <c r="VTN507" s="325"/>
      <c r="VTO507" s="310"/>
      <c r="VTP507" s="325"/>
      <c r="VTQ507" s="325"/>
      <c r="VTR507" s="325"/>
      <c r="VTS507" s="325"/>
      <c r="VTT507" s="325"/>
      <c r="VTU507" s="325"/>
      <c r="VTV507" s="325"/>
      <c r="VTW507" s="325"/>
      <c r="VTX507" s="325"/>
      <c r="VTY507" s="325"/>
      <c r="VTZ507" s="325"/>
      <c r="VUA507" s="325"/>
      <c r="VUB507" s="325"/>
      <c r="VUC507" s="325"/>
      <c r="VUD507" s="325"/>
      <c r="VUE507" s="325"/>
      <c r="VUF507" s="325"/>
      <c r="VUG507" s="325"/>
      <c r="VUH507" s="325"/>
      <c r="VUI507" s="325"/>
      <c r="VUJ507" s="325"/>
      <c r="VUK507" s="325"/>
      <c r="VUL507" s="325"/>
      <c r="VUM507" s="325"/>
      <c r="VUN507" s="325"/>
      <c r="VUO507" s="325"/>
      <c r="VUP507" s="325"/>
      <c r="VUQ507" s="325"/>
      <c r="VUR507" s="325"/>
      <c r="VUS507" s="325"/>
      <c r="VUT507" s="327"/>
      <c r="VUU507" s="28"/>
      <c r="VUV507" s="324"/>
      <c r="VUW507" s="324"/>
      <c r="VUX507" s="324"/>
      <c r="VUY507" s="324"/>
      <c r="VUZ507" s="324"/>
      <c r="VVA507" s="324"/>
      <c r="VVB507" s="256"/>
      <c r="VVC507" s="325"/>
      <c r="VVD507" s="311"/>
      <c r="VVE507" s="325"/>
      <c r="VVF507" s="310"/>
      <c r="VVG507" s="325"/>
      <c r="VVH507" s="325"/>
      <c r="VVI507" s="325"/>
      <c r="VVJ507" s="325"/>
      <c r="VVK507" s="325"/>
      <c r="VVL507" s="325"/>
      <c r="VVM507" s="325"/>
      <c r="VVN507" s="325"/>
      <c r="VVO507" s="325"/>
      <c r="VVP507" s="325"/>
      <c r="VVQ507" s="325"/>
      <c r="VVR507" s="325"/>
      <c r="VVS507" s="325"/>
      <c r="VVT507" s="325"/>
      <c r="VVU507" s="325"/>
      <c r="VVV507" s="325"/>
      <c r="VVW507" s="325"/>
      <c r="VVX507" s="325"/>
      <c r="VVY507" s="325"/>
      <c r="VVZ507" s="325"/>
      <c r="VWA507" s="325"/>
      <c r="VWB507" s="325"/>
      <c r="VWC507" s="325"/>
      <c r="VWD507" s="325"/>
      <c r="VWE507" s="325"/>
      <c r="VWF507" s="325"/>
      <c r="VWG507" s="325"/>
      <c r="VWH507" s="325"/>
      <c r="VWI507" s="325"/>
      <c r="VWJ507" s="325"/>
      <c r="VWK507" s="327"/>
      <c r="VWL507" s="28"/>
      <c r="VWM507" s="324"/>
      <c r="VWN507" s="324"/>
      <c r="VWO507" s="324"/>
      <c r="VWP507" s="324"/>
      <c r="VWQ507" s="324"/>
      <c r="VWR507" s="324"/>
      <c r="VWS507" s="256"/>
      <c r="VWT507" s="325"/>
      <c r="VWU507" s="311"/>
      <c r="VWV507" s="325"/>
      <c r="VWW507" s="310"/>
      <c r="VWX507" s="325"/>
      <c r="VWY507" s="325"/>
      <c r="VWZ507" s="325"/>
      <c r="VXA507" s="325"/>
      <c r="VXB507" s="325"/>
      <c r="VXC507" s="325"/>
      <c r="VXD507" s="325"/>
      <c r="VXE507" s="325"/>
      <c r="VXF507" s="325"/>
      <c r="VXG507" s="325"/>
      <c r="VXH507" s="325"/>
      <c r="VXI507" s="325"/>
      <c r="VXJ507" s="325"/>
      <c r="VXK507" s="325"/>
      <c r="VXL507" s="325"/>
      <c r="VXM507" s="325"/>
      <c r="VXN507" s="325"/>
      <c r="VXO507" s="325"/>
      <c r="VXP507" s="325"/>
      <c r="VXQ507" s="325"/>
      <c r="VXR507" s="325"/>
      <c r="VXS507" s="325"/>
      <c r="VXT507" s="325"/>
      <c r="VXU507" s="325"/>
      <c r="VXV507" s="325"/>
      <c r="VXW507" s="325"/>
      <c r="VXX507" s="325"/>
      <c r="VXY507" s="325"/>
      <c r="VXZ507" s="325"/>
      <c r="VYA507" s="325"/>
      <c r="VYB507" s="327"/>
      <c r="VYC507" s="28"/>
      <c r="VYD507" s="324"/>
      <c r="VYE507" s="324"/>
      <c r="VYF507" s="324"/>
      <c r="VYG507" s="324"/>
      <c r="VYH507" s="324"/>
      <c r="VYI507" s="324"/>
      <c r="VYJ507" s="256"/>
      <c r="VYK507" s="325"/>
      <c r="VYL507" s="311"/>
      <c r="VYM507" s="325"/>
      <c r="VYN507" s="310"/>
      <c r="VYO507" s="325"/>
      <c r="VYP507" s="325"/>
      <c r="VYQ507" s="325"/>
      <c r="VYR507" s="325"/>
      <c r="VYS507" s="325"/>
      <c r="VYT507" s="325"/>
      <c r="VYU507" s="325"/>
      <c r="VYV507" s="325"/>
      <c r="VYW507" s="325"/>
      <c r="VYX507" s="325"/>
      <c r="VYY507" s="325"/>
      <c r="VYZ507" s="325"/>
      <c r="VZA507" s="325"/>
      <c r="VZB507" s="325"/>
      <c r="VZC507" s="325"/>
      <c r="VZD507" s="325"/>
      <c r="VZE507" s="325"/>
      <c r="VZF507" s="325"/>
      <c r="VZG507" s="325"/>
      <c r="VZH507" s="325"/>
      <c r="VZI507" s="325"/>
      <c r="VZJ507" s="325"/>
      <c r="VZK507" s="325"/>
      <c r="VZL507" s="325"/>
      <c r="VZM507" s="325"/>
      <c r="VZN507" s="325"/>
      <c r="VZO507" s="325"/>
      <c r="VZP507" s="325"/>
      <c r="VZQ507" s="325"/>
      <c r="VZR507" s="325"/>
      <c r="VZS507" s="327"/>
      <c r="VZT507" s="28"/>
      <c r="VZU507" s="324"/>
      <c r="VZV507" s="324"/>
      <c r="VZW507" s="324"/>
      <c r="VZX507" s="324"/>
      <c r="VZY507" s="324"/>
      <c r="VZZ507" s="324"/>
      <c r="WAA507" s="256"/>
      <c r="WAB507" s="325"/>
      <c r="WAC507" s="311"/>
      <c r="WAD507" s="325"/>
      <c r="WAE507" s="310"/>
      <c r="WAF507" s="325"/>
      <c r="WAG507" s="325"/>
      <c r="WAH507" s="325"/>
      <c r="WAI507" s="325"/>
      <c r="WAJ507" s="325"/>
      <c r="WAK507" s="325"/>
      <c r="WAL507" s="325"/>
      <c r="WAM507" s="325"/>
      <c r="WAN507" s="325"/>
      <c r="WAO507" s="325"/>
      <c r="WAP507" s="325"/>
      <c r="WAQ507" s="325"/>
      <c r="WAR507" s="325"/>
      <c r="WAS507" s="325"/>
      <c r="WAT507" s="325"/>
      <c r="WAU507" s="325"/>
      <c r="WAV507" s="325"/>
      <c r="WAW507" s="325"/>
      <c r="WAX507" s="325"/>
      <c r="WAY507" s="325"/>
      <c r="WAZ507" s="325"/>
      <c r="WBA507" s="325"/>
      <c r="WBB507" s="325"/>
      <c r="WBC507" s="325"/>
      <c r="WBD507" s="325"/>
      <c r="WBE507" s="325"/>
      <c r="WBF507" s="325"/>
      <c r="WBG507" s="325"/>
      <c r="WBH507" s="325"/>
      <c r="WBI507" s="325"/>
      <c r="WBJ507" s="327"/>
      <c r="WBK507" s="28"/>
      <c r="WBL507" s="324"/>
      <c r="WBM507" s="324"/>
      <c r="WBN507" s="324"/>
      <c r="WBO507" s="324"/>
      <c r="WBP507" s="324"/>
      <c r="WBQ507" s="324"/>
      <c r="WBR507" s="256"/>
      <c r="WBS507" s="325"/>
      <c r="WBT507" s="311"/>
      <c r="WBU507" s="325"/>
      <c r="WBV507" s="310"/>
      <c r="WBW507" s="325"/>
      <c r="WBX507" s="325"/>
      <c r="WBY507" s="325"/>
      <c r="WBZ507" s="325"/>
      <c r="WCA507" s="325"/>
      <c r="WCB507" s="325"/>
      <c r="WCC507" s="325"/>
      <c r="WCD507" s="325"/>
      <c r="WCE507" s="325"/>
      <c r="WCF507" s="325"/>
      <c r="WCG507" s="325"/>
      <c r="WCH507" s="325"/>
      <c r="WCI507" s="325"/>
      <c r="WCJ507" s="325"/>
      <c r="WCK507" s="325"/>
      <c r="WCL507" s="325"/>
      <c r="WCM507" s="325"/>
      <c r="WCN507" s="325"/>
      <c r="WCO507" s="325"/>
      <c r="WCP507" s="325"/>
      <c r="WCQ507" s="325"/>
      <c r="WCR507" s="325"/>
      <c r="WCS507" s="325"/>
      <c r="WCT507" s="325"/>
      <c r="WCU507" s="325"/>
      <c r="WCV507" s="325"/>
      <c r="WCW507" s="325"/>
      <c r="WCX507" s="325"/>
      <c r="WCY507" s="325"/>
      <c r="WCZ507" s="325"/>
      <c r="WDA507" s="327"/>
      <c r="WDB507" s="28"/>
      <c r="WDC507" s="324"/>
      <c r="WDD507" s="324"/>
      <c r="WDE507" s="324"/>
      <c r="WDF507" s="324"/>
      <c r="WDG507" s="324"/>
      <c r="WDH507" s="324"/>
      <c r="WDI507" s="256"/>
      <c r="WDJ507" s="325"/>
      <c r="WDK507" s="311"/>
      <c r="WDL507" s="325"/>
      <c r="WDM507" s="310"/>
      <c r="WDN507" s="325"/>
      <c r="WDO507" s="325"/>
      <c r="WDP507" s="325"/>
      <c r="WDQ507" s="325"/>
      <c r="WDR507" s="325"/>
      <c r="WDS507" s="325"/>
      <c r="WDT507" s="325"/>
      <c r="WDU507" s="325"/>
      <c r="WDV507" s="325"/>
      <c r="WDW507" s="325"/>
      <c r="WDX507" s="325"/>
      <c r="WDY507" s="325"/>
      <c r="WDZ507" s="325"/>
      <c r="WEA507" s="325"/>
      <c r="WEB507" s="325"/>
      <c r="WEC507" s="325"/>
      <c r="WED507" s="325"/>
      <c r="WEE507" s="325"/>
      <c r="WEF507" s="325"/>
      <c r="WEG507" s="325"/>
      <c r="WEH507" s="325"/>
      <c r="WEI507" s="325"/>
      <c r="WEJ507" s="325"/>
      <c r="WEK507" s="325"/>
      <c r="WEL507" s="325"/>
      <c r="WEM507" s="325"/>
      <c r="WEN507" s="325"/>
      <c r="WEO507" s="325"/>
      <c r="WEP507" s="325"/>
      <c r="WEQ507" s="325"/>
      <c r="WER507" s="327"/>
      <c r="WES507" s="28"/>
      <c r="WET507" s="324"/>
      <c r="WEU507" s="324"/>
      <c r="WEV507" s="324"/>
      <c r="WEW507" s="324"/>
      <c r="WEX507" s="324"/>
      <c r="WEY507" s="324"/>
      <c r="WEZ507" s="256"/>
      <c r="WFA507" s="325"/>
      <c r="WFB507" s="311"/>
      <c r="WFC507" s="325"/>
      <c r="WFD507" s="310"/>
      <c r="WFE507" s="325"/>
      <c r="WFF507" s="325"/>
      <c r="WFG507" s="325"/>
      <c r="WFH507" s="325"/>
      <c r="WFI507" s="325"/>
      <c r="WFJ507" s="325"/>
      <c r="WFK507" s="325"/>
      <c r="WFL507" s="325"/>
      <c r="WFM507" s="325"/>
      <c r="WFN507" s="325"/>
      <c r="WFO507" s="325"/>
      <c r="WFP507" s="325"/>
      <c r="WFQ507" s="325"/>
      <c r="WFR507" s="325"/>
      <c r="WFS507" s="325"/>
      <c r="WFT507" s="325"/>
      <c r="WFU507" s="325"/>
      <c r="WFV507" s="325"/>
      <c r="WFW507" s="325"/>
      <c r="WFX507" s="325"/>
      <c r="WFY507" s="325"/>
      <c r="WFZ507" s="325"/>
      <c r="WGA507" s="325"/>
      <c r="WGB507" s="325"/>
      <c r="WGC507" s="325"/>
      <c r="WGD507" s="325"/>
      <c r="WGE507" s="325"/>
      <c r="WGF507" s="325"/>
      <c r="WGG507" s="325"/>
      <c r="WGH507" s="325"/>
      <c r="WGI507" s="327"/>
      <c r="WGJ507" s="28"/>
      <c r="WGK507" s="324"/>
      <c r="WGL507" s="324"/>
      <c r="WGM507" s="324"/>
      <c r="WGN507" s="324"/>
      <c r="WGO507" s="324"/>
      <c r="WGP507" s="324"/>
      <c r="WGQ507" s="256"/>
      <c r="WGR507" s="325"/>
      <c r="WGS507" s="311"/>
      <c r="WGT507" s="325"/>
      <c r="WGU507" s="310"/>
      <c r="WGV507" s="325"/>
      <c r="WGW507" s="325"/>
      <c r="WGX507" s="325"/>
      <c r="WGY507" s="325"/>
      <c r="WGZ507" s="325"/>
      <c r="WHA507" s="325"/>
      <c r="WHB507" s="325"/>
      <c r="WHC507" s="325"/>
      <c r="WHD507" s="325"/>
      <c r="WHE507" s="325"/>
      <c r="WHF507" s="325"/>
      <c r="WHG507" s="325"/>
      <c r="WHH507" s="325"/>
      <c r="WHI507" s="325"/>
      <c r="WHJ507" s="325"/>
      <c r="WHK507" s="325"/>
      <c r="WHL507" s="325"/>
      <c r="WHM507" s="325"/>
      <c r="WHN507" s="325"/>
      <c r="WHO507" s="325"/>
      <c r="WHP507" s="325"/>
      <c r="WHQ507" s="325"/>
      <c r="WHR507" s="325"/>
      <c r="WHS507" s="325"/>
      <c r="WHT507" s="325"/>
      <c r="WHU507" s="325"/>
      <c r="WHV507" s="325"/>
      <c r="WHW507" s="325"/>
      <c r="WHX507" s="325"/>
      <c r="WHY507" s="325"/>
      <c r="WHZ507" s="327"/>
      <c r="WIA507" s="28"/>
      <c r="WIB507" s="324"/>
      <c r="WIC507" s="324"/>
      <c r="WID507" s="324"/>
      <c r="WIE507" s="324"/>
      <c r="WIF507" s="324"/>
      <c r="WIG507" s="324"/>
      <c r="WIH507" s="256"/>
      <c r="WII507" s="325"/>
      <c r="WIJ507" s="311"/>
      <c r="WIK507" s="325"/>
      <c r="WIL507" s="310"/>
      <c r="WIM507" s="325"/>
      <c r="WIN507" s="325"/>
      <c r="WIO507" s="325"/>
      <c r="WIP507" s="325"/>
      <c r="WIQ507" s="325"/>
      <c r="WIR507" s="325"/>
      <c r="WIS507" s="325"/>
      <c r="WIT507" s="325"/>
      <c r="WIU507" s="325"/>
      <c r="WIV507" s="325"/>
      <c r="WIW507" s="325"/>
      <c r="WIX507" s="325"/>
      <c r="WIY507" s="325"/>
      <c r="WIZ507" s="325"/>
      <c r="WJA507" s="325"/>
      <c r="WJB507" s="325"/>
      <c r="WJC507" s="325"/>
      <c r="WJD507" s="325"/>
      <c r="WJE507" s="325"/>
      <c r="WJF507" s="325"/>
      <c r="WJG507" s="325"/>
      <c r="WJH507" s="325"/>
      <c r="WJI507" s="325"/>
      <c r="WJJ507" s="325"/>
      <c r="WJK507" s="325"/>
      <c r="WJL507" s="325"/>
      <c r="WJM507" s="325"/>
      <c r="WJN507" s="325"/>
      <c r="WJO507" s="325"/>
      <c r="WJP507" s="325"/>
      <c r="WJQ507" s="327"/>
      <c r="WJR507" s="28"/>
      <c r="WJS507" s="324"/>
      <c r="WJT507" s="324"/>
      <c r="WJU507" s="324"/>
      <c r="WJV507" s="324"/>
      <c r="WJW507" s="324"/>
      <c r="WJX507" s="324"/>
      <c r="WJY507" s="256"/>
      <c r="WJZ507" s="325"/>
      <c r="WKA507" s="311"/>
      <c r="WKB507" s="325"/>
      <c r="WKC507" s="310"/>
      <c r="WKD507" s="325"/>
      <c r="WKE507" s="325"/>
      <c r="WKF507" s="325"/>
      <c r="WKG507" s="325"/>
      <c r="WKH507" s="325"/>
      <c r="WKI507" s="325"/>
      <c r="WKJ507" s="325"/>
      <c r="WKK507" s="325"/>
      <c r="WKL507" s="325"/>
      <c r="WKM507" s="325"/>
      <c r="WKN507" s="325"/>
      <c r="WKO507" s="325"/>
      <c r="WKP507" s="325"/>
      <c r="WKQ507" s="325"/>
      <c r="WKR507" s="325"/>
      <c r="WKS507" s="325"/>
      <c r="WKT507" s="325"/>
      <c r="WKU507" s="325"/>
      <c r="WKV507" s="325"/>
      <c r="WKW507" s="325"/>
      <c r="WKX507" s="325"/>
      <c r="WKY507" s="325"/>
      <c r="WKZ507" s="325"/>
      <c r="WLA507" s="325"/>
      <c r="WLB507" s="325"/>
      <c r="WLC507" s="325"/>
      <c r="WLD507" s="325"/>
      <c r="WLE507" s="325"/>
      <c r="WLF507" s="325"/>
      <c r="WLG507" s="325"/>
      <c r="WLH507" s="327"/>
      <c r="WLI507" s="28"/>
      <c r="WLJ507" s="324"/>
      <c r="WLK507" s="324"/>
      <c r="WLL507" s="324"/>
      <c r="WLM507" s="324"/>
      <c r="WLN507" s="324"/>
      <c r="WLO507" s="324"/>
      <c r="WLP507" s="256"/>
      <c r="WLQ507" s="325"/>
      <c r="WLR507" s="311"/>
      <c r="WLS507" s="325"/>
      <c r="WLT507" s="310"/>
      <c r="WLU507" s="325"/>
      <c r="WLV507" s="325"/>
      <c r="WLW507" s="325"/>
      <c r="WLX507" s="325"/>
      <c r="WLY507" s="325"/>
      <c r="WLZ507" s="325"/>
      <c r="WMA507" s="325"/>
      <c r="WMB507" s="325"/>
      <c r="WMC507" s="325"/>
      <c r="WMD507" s="325"/>
      <c r="WME507" s="325"/>
      <c r="WMF507" s="325"/>
      <c r="WMG507" s="325"/>
      <c r="WMH507" s="325"/>
      <c r="WMI507" s="325"/>
      <c r="WMJ507" s="325"/>
      <c r="WMK507" s="325"/>
      <c r="WML507" s="325"/>
      <c r="WMM507" s="325"/>
      <c r="WMN507" s="325"/>
      <c r="WMO507" s="325"/>
      <c r="WMP507" s="325"/>
      <c r="WMQ507" s="325"/>
      <c r="WMR507" s="325"/>
      <c r="WMS507" s="325"/>
      <c r="WMT507" s="325"/>
      <c r="WMU507" s="325"/>
      <c r="WMV507" s="325"/>
      <c r="WMW507" s="325"/>
      <c r="WMX507" s="325"/>
      <c r="WMY507" s="327"/>
      <c r="WMZ507" s="28"/>
      <c r="WNA507" s="324"/>
      <c r="WNB507" s="324"/>
      <c r="WNC507" s="324"/>
      <c r="WND507" s="324"/>
      <c r="WNE507" s="324"/>
      <c r="WNF507" s="324"/>
      <c r="WNG507" s="256"/>
      <c r="WNH507" s="325"/>
      <c r="WNI507" s="311"/>
      <c r="WNJ507" s="325"/>
      <c r="WNK507" s="310"/>
      <c r="WNL507" s="325"/>
      <c r="WNM507" s="325"/>
      <c r="WNN507" s="325"/>
      <c r="WNO507" s="325"/>
      <c r="WNP507" s="325"/>
      <c r="WNQ507" s="325"/>
      <c r="WNR507" s="325"/>
      <c r="WNS507" s="325"/>
      <c r="WNT507" s="325"/>
      <c r="WNU507" s="325"/>
      <c r="WNV507" s="325"/>
      <c r="WNW507" s="325"/>
      <c r="WNX507" s="325"/>
      <c r="WNY507" s="325"/>
      <c r="WNZ507" s="325"/>
      <c r="WOA507" s="325"/>
      <c r="WOB507" s="325"/>
      <c r="WOC507" s="325"/>
      <c r="WOD507" s="325"/>
      <c r="WOE507" s="325"/>
      <c r="WOF507" s="325"/>
      <c r="WOG507" s="325"/>
      <c r="WOH507" s="325"/>
      <c r="WOI507" s="325"/>
      <c r="WOJ507" s="325"/>
      <c r="WOK507" s="325"/>
      <c r="WOL507" s="325"/>
      <c r="WOM507" s="325"/>
      <c r="WON507" s="325"/>
      <c r="WOO507" s="325"/>
      <c r="WOP507" s="327"/>
      <c r="WOQ507" s="28"/>
      <c r="WOR507" s="324"/>
      <c r="WOS507" s="324"/>
      <c r="WOT507" s="324"/>
      <c r="WOU507" s="324"/>
      <c r="WOV507" s="324"/>
      <c r="WOW507" s="324"/>
      <c r="WOX507" s="256"/>
      <c r="WOY507" s="325"/>
      <c r="WOZ507" s="311"/>
      <c r="WPA507" s="325"/>
      <c r="WPB507" s="310"/>
      <c r="WPC507" s="325"/>
      <c r="WPD507" s="325"/>
      <c r="WPE507" s="325"/>
      <c r="WPF507" s="325"/>
      <c r="WPG507" s="325"/>
      <c r="WPH507" s="325"/>
      <c r="WPI507" s="325"/>
      <c r="WPJ507" s="325"/>
      <c r="WPK507" s="325"/>
      <c r="WPL507" s="325"/>
      <c r="WPM507" s="325"/>
      <c r="WPN507" s="325"/>
      <c r="WPO507" s="325"/>
      <c r="WPP507" s="325"/>
      <c r="WPQ507" s="325"/>
      <c r="WPR507" s="325"/>
      <c r="WPS507" s="325"/>
      <c r="WPT507" s="325"/>
      <c r="WPU507" s="325"/>
      <c r="WPV507" s="325"/>
      <c r="WPW507" s="325"/>
      <c r="WPX507" s="325"/>
      <c r="WPY507" s="325"/>
      <c r="WPZ507" s="325"/>
      <c r="WQA507" s="325"/>
      <c r="WQB507" s="325"/>
      <c r="WQC507" s="325"/>
      <c r="WQD507" s="325"/>
      <c r="WQE507" s="325"/>
      <c r="WQF507" s="325"/>
      <c r="WQG507" s="327"/>
      <c r="WQH507" s="28"/>
      <c r="WQI507" s="324"/>
      <c r="WQJ507" s="324"/>
      <c r="WQK507" s="324"/>
      <c r="WQL507" s="324"/>
      <c r="WQM507" s="324"/>
      <c r="WQN507" s="324"/>
      <c r="WQO507" s="256"/>
      <c r="WQP507" s="325"/>
      <c r="WQQ507" s="311"/>
      <c r="WQR507" s="325"/>
      <c r="WQS507" s="310"/>
      <c r="WQT507" s="325"/>
      <c r="WQU507" s="325"/>
      <c r="WQV507" s="325"/>
      <c r="WQW507" s="325"/>
      <c r="WQX507" s="325"/>
      <c r="WQY507" s="325"/>
      <c r="WQZ507" s="325"/>
      <c r="WRA507" s="325"/>
      <c r="WRB507" s="325"/>
      <c r="WRC507" s="325"/>
      <c r="WRD507" s="325"/>
      <c r="WRE507" s="325"/>
      <c r="WRF507" s="325"/>
      <c r="WRG507" s="325"/>
      <c r="WRH507" s="325"/>
      <c r="WRI507" s="325"/>
      <c r="WRJ507" s="325"/>
      <c r="WRK507" s="325"/>
      <c r="WRL507" s="325"/>
      <c r="WRM507" s="325"/>
      <c r="WRN507" s="325"/>
      <c r="WRO507" s="325"/>
      <c r="WRP507" s="325"/>
      <c r="WRQ507" s="325"/>
      <c r="WRR507" s="325"/>
      <c r="WRS507" s="325"/>
      <c r="WRT507" s="325"/>
      <c r="WRU507" s="325"/>
      <c r="WRV507" s="325"/>
      <c r="WRW507" s="325"/>
      <c r="WRX507" s="327"/>
      <c r="WRY507" s="28"/>
      <c r="WRZ507" s="324"/>
      <c r="WSA507" s="324"/>
      <c r="WSB507" s="324"/>
      <c r="WSC507" s="324"/>
      <c r="WSD507" s="324"/>
      <c r="WSE507" s="324"/>
      <c r="WSF507" s="256"/>
      <c r="WSG507" s="325"/>
      <c r="WSH507" s="311"/>
      <c r="WSI507" s="325"/>
      <c r="WSJ507" s="310"/>
      <c r="WSK507" s="325"/>
      <c r="WSL507" s="325"/>
      <c r="WSM507" s="325"/>
      <c r="WSN507" s="325"/>
      <c r="WSO507" s="325"/>
      <c r="WSP507" s="325"/>
      <c r="WSQ507" s="325"/>
      <c r="WSR507" s="325"/>
      <c r="WSS507" s="325"/>
      <c r="WST507" s="325"/>
      <c r="WSU507" s="325"/>
      <c r="WSV507" s="325"/>
      <c r="WSW507" s="325"/>
      <c r="WSX507" s="325"/>
      <c r="WSY507" s="325"/>
      <c r="WSZ507" s="325"/>
      <c r="WTA507" s="325"/>
      <c r="WTB507" s="325"/>
      <c r="WTC507" s="325"/>
      <c r="WTD507" s="325"/>
      <c r="WTE507" s="325"/>
      <c r="WTF507" s="325"/>
      <c r="WTG507" s="325"/>
      <c r="WTH507" s="325"/>
      <c r="WTI507" s="325"/>
      <c r="WTJ507" s="325"/>
      <c r="WTK507" s="325"/>
      <c r="WTL507" s="325"/>
      <c r="WTM507" s="325"/>
      <c r="WTN507" s="325"/>
      <c r="WTO507" s="327"/>
      <c r="WTP507" s="28"/>
      <c r="WTQ507" s="324"/>
      <c r="WTR507" s="324"/>
      <c r="WTS507" s="324"/>
      <c r="WTT507" s="324"/>
      <c r="WTU507" s="324"/>
      <c r="WTV507" s="324"/>
      <c r="WTW507" s="256"/>
      <c r="WTX507" s="325"/>
      <c r="WTY507" s="311"/>
      <c r="WTZ507" s="325"/>
      <c r="WUA507" s="310"/>
      <c r="WUB507" s="325"/>
      <c r="WUC507" s="325"/>
      <c r="WUD507" s="325"/>
      <c r="WUE507" s="325"/>
      <c r="WUF507" s="325"/>
      <c r="WUG507" s="325"/>
      <c r="WUH507" s="325"/>
      <c r="WUI507" s="325"/>
      <c r="WUJ507" s="325"/>
      <c r="WUK507" s="325"/>
      <c r="WUL507" s="325"/>
      <c r="WUM507" s="325"/>
      <c r="WUN507" s="325"/>
      <c r="WUO507" s="325"/>
      <c r="WUP507" s="325"/>
      <c r="WUQ507" s="325"/>
      <c r="WUR507" s="325"/>
      <c r="WUS507" s="325"/>
      <c r="WUT507" s="325"/>
      <c r="WUU507" s="325"/>
      <c r="WUV507" s="325"/>
      <c r="WUW507" s="325"/>
      <c r="WUX507" s="325"/>
      <c r="WUY507" s="325"/>
      <c r="WUZ507" s="325"/>
      <c r="WVA507" s="325"/>
      <c r="WVB507" s="325"/>
      <c r="WVC507" s="325"/>
      <c r="WVD507" s="325"/>
      <c r="WVE507" s="325"/>
      <c r="WVF507" s="327"/>
      <c r="WVG507" s="28"/>
      <c r="WVH507" s="324"/>
      <c r="WVI507" s="324"/>
      <c r="WVJ507" s="324"/>
      <c r="WVK507" s="324"/>
      <c r="WVL507" s="324"/>
      <c r="WVM507" s="324"/>
      <c r="WVN507" s="256"/>
      <c r="WVO507" s="325"/>
      <c r="WVP507" s="311"/>
      <c r="WVQ507" s="325"/>
      <c r="WVR507" s="310"/>
      <c r="WVS507" s="325"/>
      <c r="WVT507" s="325"/>
      <c r="WVU507" s="325"/>
      <c r="WVV507" s="325"/>
      <c r="WVW507" s="325"/>
      <c r="WVX507" s="325"/>
      <c r="WVY507" s="325"/>
      <c r="WVZ507" s="325"/>
      <c r="WWA507" s="325"/>
      <c r="WWB507" s="325"/>
      <c r="WWC507" s="325"/>
      <c r="WWD507" s="325"/>
      <c r="WWE507" s="325"/>
      <c r="WWF507" s="325"/>
      <c r="WWG507" s="325"/>
      <c r="WWH507" s="325"/>
      <c r="WWI507" s="325"/>
      <c r="WWJ507" s="325"/>
      <c r="WWK507" s="325"/>
      <c r="WWL507" s="325"/>
      <c r="WWM507" s="325"/>
      <c r="WWN507" s="325"/>
      <c r="WWO507" s="325"/>
      <c r="WWP507" s="325"/>
      <c r="WWQ507" s="325"/>
      <c r="WWR507" s="325"/>
      <c r="WWS507" s="325"/>
      <c r="WWT507" s="325"/>
      <c r="WWU507" s="325"/>
      <c r="WWV507" s="325"/>
      <c r="WWW507" s="327"/>
      <c r="WWX507" s="28"/>
      <c r="WWY507" s="324"/>
      <c r="WWZ507" s="324"/>
      <c r="WXA507" s="324"/>
      <c r="WXB507" s="324"/>
      <c r="WXC507" s="324"/>
      <c r="WXD507" s="324"/>
      <c r="WXE507" s="256"/>
      <c r="WXF507" s="325"/>
      <c r="WXG507" s="311"/>
      <c r="WXH507" s="325"/>
      <c r="WXI507" s="310"/>
      <c r="WXJ507" s="325"/>
      <c r="WXK507" s="325"/>
      <c r="WXL507" s="325"/>
      <c r="WXM507" s="325"/>
      <c r="WXN507" s="325"/>
      <c r="WXO507" s="325"/>
      <c r="WXP507" s="325"/>
      <c r="WXQ507" s="325"/>
      <c r="WXR507" s="325"/>
      <c r="WXS507" s="325"/>
      <c r="WXT507" s="325"/>
      <c r="WXU507" s="325"/>
      <c r="WXV507" s="325"/>
      <c r="WXW507" s="325"/>
      <c r="WXX507" s="325"/>
      <c r="WXY507" s="325"/>
      <c r="WXZ507" s="325"/>
      <c r="WYA507" s="325"/>
      <c r="WYB507" s="325"/>
      <c r="WYC507" s="325"/>
      <c r="WYD507" s="325"/>
      <c r="WYE507" s="325"/>
      <c r="WYF507" s="325"/>
      <c r="WYG507" s="325"/>
      <c r="WYH507" s="325"/>
      <c r="WYI507" s="325"/>
      <c r="WYJ507" s="325"/>
      <c r="WYK507" s="325"/>
      <c r="WYL507" s="325"/>
      <c r="WYM507" s="325"/>
      <c r="WYN507" s="327"/>
      <c r="WYO507" s="28"/>
      <c r="WYP507" s="324"/>
      <c r="WYQ507" s="324"/>
      <c r="WYR507" s="324"/>
      <c r="WYS507" s="324"/>
      <c r="WYT507" s="324"/>
      <c r="WYU507" s="324"/>
      <c r="WYV507" s="256"/>
      <c r="WYW507" s="325"/>
      <c r="WYX507" s="311"/>
      <c r="WYY507" s="325"/>
      <c r="WYZ507" s="310"/>
      <c r="WZA507" s="325"/>
      <c r="WZB507" s="325"/>
      <c r="WZC507" s="325"/>
      <c r="WZD507" s="325"/>
      <c r="WZE507" s="325"/>
      <c r="WZF507" s="325"/>
      <c r="WZG507" s="325"/>
      <c r="WZH507" s="325"/>
      <c r="WZI507" s="325"/>
      <c r="WZJ507" s="325"/>
      <c r="WZK507" s="325"/>
      <c r="WZL507" s="325"/>
      <c r="WZM507" s="325"/>
      <c r="WZN507" s="325"/>
      <c r="WZO507" s="325"/>
      <c r="WZP507" s="325"/>
      <c r="WZQ507" s="325"/>
      <c r="WZR507" s="325"/>
      <c r="WZS507" s="325"/>
      <c r="WZT507" s="325"/>
      <c r="WZU507" s="325"/>
      <c r="WZV507" s="325"/>
      <c r="WZW507" s="325"/>
      <c r="WZX507" s="325"/>
      <c r="WZY507" s="325"/>
      <c r="WZZ507" s="325"/>
      <c r="XAA507" s="325"/>
      <c r="XAB507" s="325"/>
      <c r="XAC507" s="325"/>
      <c r="XAD507" s="325"/>
      <c r="XAE507" s="327"/>
      <c r="XAF507" s="28"/>
      <c r="XAG507" s="324"/>
      <c r="XAH507" s="324"/>
      <c r="XAI507" s="324"/>
      <c r="XAJ507" s="324"/>
      <c r="XAK507" s="324"/>
      <c r="XAL507" s="324"/>
      <c r="XAM507" s="256"/>
      <c r="XAN507" s="325"/>
      <c r="XAO507" s="311"/>
      <c r="XAP507" s="325"/>
      <c r="XAQ507" s="310"/>
      <c r="XAR507" s="325"/>
      <c r="XAS507" s="325"/>
      <c r="XAT507" s="325"/>
      <c r="XAU507" s="325"/>
      <c r="XAV507" s="325"/>
      <c r="XAW507" s="325"/>
      <c r="XAX507" s="325"/>
      <c r="XAY507" s="325"/>
      <c r="XAZ507" s="325"/>
      <c r="XBA507" s="325"/>
      <c r="XBB507" s="325"/>
      <c r="XBC507" s="325"/>
      <c r="XBD507" s="325"/>
      <c r="XBE507" s="325"/>
      <c r="XBF507" s="325"/>
      <c r="XBG507" s="325"/>
      <c r="XBH507" s="325"/>
      <c r="XBI507" s="325"/>
      <c r="XBJ507" s="325"/>
      <c r="XBK507" s="325"/>
      <c r="XBL507" s="325"/>
      <c r="XBM507" s="325"/>
      <c r="XBN507" s="325"/>
      <c r="XBO507" s="325"/>
      <c r="XBP507" s="325"/>
      <c r="XBQ507" s="325"/>
      <c r="XBR507" s="325"/>
      <c r="XBS507" s="325"/>
      <c r="XBT507" s="325"/>
      <c r="XBU507" s="325"/>
      <c r="XBV507" s="327"/>
      <c r="XBW507" s="28"/>
      <c r="XBX507" s="324"/>
      <c r="XBY507" s="324"/>
      <c r="XBZ507" s="324"/>
      <c r="XCA507" s="324"/>
      <c r="XCB507" s="324"/>
      <c r="XCC507" s="324"/>
      <c r="XCD507" s="256"/>
      <c r="XCE507" s="325"/>
      <c r="XCF507" s="311"/>
      <c r="XCG507" s="325"/>
      <c r="XCH507" s="310"/>
      <c r="XCI507" s="325"/>
      <c r="XCJ507" s="325"/>
      <c r="XCK507" s="325"/>
      <c r="XCL507" s="325"/>
      <c r="XCM507" s="325"/>
      <c r="XCN507" s="325"/>
      <c r="XCO507" s="325"/>
      <c r="XCP507" s="325"/>
      <c r="XCQ507" s="325"/>
      <c r="XCR507" s="325"/>
      <c r="XCS507" s="325"/>
      <c r="XCT507" s="325"/>
      <c r="XCU507" s="325"/>
      <c r="XCV507" s="325"/>
      <c r="XCW507" s="325"/>
      <c r="XCX507" s="325"/>
      <c r="XCY507" s="325"/>
      <c r="XCZ507" s="325"/>
      <c r="XDA507" s="325"/>
      <c r="XDB507" s="325"/>
      <c r="XDC507" s="325"/>
      <c r="XDD507" s="325"/>
      <c r="XDE507" s="325"/>
      <c r="XDF507" s="325"/>
      <c r="XDG507" s="325"/>
      <c r="XDH507" s="325"/>
      <c r="XDI507" s="325"/>
      <c r="XDJ507" s="325"/>
      <c r="XDK507" s="325"/>
      <c r="XDL507" s="325"/>
      <c r="XDM507" s="327"/>
      <c r="XDN507" s="28"/>
      <c r="XDO507" s="324"/>
      <c r="XDP507" s="324"/>
      <c r="XDQ507" s="324"/>
      <c r="XDR507" s="324"/>
      <c r="XDS507" s="324"/>
      <c r="XDT507" s="324"/>
      <c r="XDU507" s="256"/>
      <c r="XDV507" s="325"/>
      <c r="XDW507" s="311"/>
      <c r="XDX507" s="325"/>
      <c r="XDY507" s="310"/>
      <c r="XDZ507" s="325"/>
      <c r="XEA507" s="325"/>
      <c r="XEB507" s="325"/>
      <c r="XEC507" s="325"/>
      <c r="XED507" s="325"/>
      <c r="XEE507" s="325"/>
      <c r="XEF507" s="325"/>
      <c r="XEG507" s="325"/>
      <c r="XEH507" s="325"/>
      <c r="XEI507" s="325"/>
      <c r="XEJ507" s="325"/>
      <c r="XEK507" s="325"/>
      <c r="XEL507" s="325"/>
      <c r="XEM507" s="325"/>
      <c r="XEN507" s="325"/>
      <c r="XEO507" s="325"/>
      <c r="XEP507" s="325"/>
      <c r="XEQ507" s="325"/>
      <c r="XER507" s="325"/>
      <c r="XES507" s="325"/>
      <c r="XET507" s="325"/>
      <c r="XEU507" s="325"/>
      <c r="XEV507" s="325"/>
      <c r="XEW507" s="325"/>
      <c r="XEX507" s="325"/>
      <c r="XEY507" s="325"/>
      <c r="XEZ507" s="325"/>
      <c r="XFA507" s="325"/>
      <c r="XFB507" s="325"/>
      <c r="XFC507" s="325"/>
      <c r="XFD507" s="327"/>
    </row>
    <row r="508" spans="1:16384">
      <c r="E508" s="325"/>
      <c r="G508" s="39"/>
      <c r="H508" s="39"/>
      <c r="I508" s="39"/>
      <c r="J508" s="39"/>
      <c r="K508" s="39"/>
      <c r="R508" s="38">
        <f t="shared" ref="R508:AU508" si="356">ROUNDDOWN((R507-InServiceYr+1)/5,0)</f>
        <v>0</v>
      </c>
      <c r="S508" s="38">
        <f t="shared" si="356"/>
        <v>0</v>
      </c>
      <c r="T508" s="38">
        <f t="shared" si="356"/>
        <v>0</v>
      </c>
      <c r="U508" s="38">
        <f t="shared" si="356"/>
        <v>0</v>
      </c>
      <c r="V508" s="38">
        <f t="shared" si="356"/>
        <v>1</v>
      </c>
      <c r="W508" s="38">
        <f t="shared" si="356"/>
        <v>1</v>
      </c>
      <c r="X508" s="38">
        <f t="shared" si="356"/>
        <v>1</v>
      </c>
      <c r="Y508" s="38">
        <f t="shared" si="356"/>
        <v>1</v>
      </c>
      <c r="Z508" s="38">
        <f t="shared" si="356"/>
        <v>1</v>
      </c>
      <c r="AA508" s="38">
        <f t="shared" si="356"/>
        <v>2</v>
      </c>
      <c r="AB508" s="38">
        <f t="shared" si="356"/>
        <v>2</v>
      </c>
      <c r="AC508" s="38">
        <f t="shared" si="356"/>
        <v>2</v>
      </c>
      <c r="AD508" s="38">
        <f t="shared" si="356"/>
        <v>2</v>
      </c>
      <c r="AE508" s="38">
        <f t="shared" si="356"/>
        <v>2</v>
      </c>
      <c r="AF508" s="38">
        <f t="shared" si="356"/>
        <v>3</v>
      </c>
      <c r="AG508" s="38">
        <f t="shared" si="356"/>
        <v>3</v>
      </c>
      <c r="AH508" s="38">
        <f t="shared" si="356"/>
        <v>3</v>
      </c>
      <c r="AI508" s="38">
        <f t="shared" si="356"/>
        <v>3</v>
      </c>
      <c r="AJ508" s="38">
        <f t="shared" si="356"/>
        <v>3</v>
      </c>
      <c r="AK508" s="38">
        <f t="shared" si="356"/>
        <v>4</v>
      </c>
      <c r="AL508" s="38">
        <f t="shared" si="356"/>
        <v>4</v>
      </c>
      <c r="AM508" s="38">
        <f t="shared" si="356"/>
        <v>4</v>
      </c>
      <c r="AN508" s="38">
        <f t="shared" si="356"/>
        <v>4</v>
      </c>
      <c r="AO508" s="38">
        <f t="shared" si="356"/>
        <v>4</v>
      </c>
      <c r="AP508" s="38">
        <f t="shared" si="356"/>
        <v>5</v>
      </c>
      <c r="AQ508" s="38">
        <f t="shared" si="356"/>
        <v>5</v>
      </c>
      <c r="AR508" s="38">
        <f t="shared" si="356"/>
        <v>5</v>
      </c>
      <c r="AS508" s="38">
        <f t="shared" si="356"/>
        <v>5</v>
      </c>
      <c r="AT508" s="38">
        <f t="shared" si="356"/>
        <v>5</v>
      </c>
      <c r="AU508" s="38">
        <f t="shared" si="356"/>
        <v>6</v>
      </c>
    </row>
    <row r="509" spans="1:16384">
      <c r="E509" s="325"/>
      <c r="G509" s="38" t="s">
        <v>310</v>
      </c>
      <c r="N509" s="320"/>
      <c r="P509" s="320"/>
      <c r="R509" s="38">
        <f>R508-Q508</f>
        <v>0</v>
      </c>
      <c r="S509" s="38">
        <f t="shared" ref="S509:AU509" si="357">S508-R508</f>
        <v>0</v>
      </c>
      <c r="T509" s="38">
        <f t="shared" si="357"/>
        <v>0</v>
      </c>
      <c r="U509" s="38">
        <f t="shared" si="357"/>
        <v>0</v>
      </c>
      <c r="V509" s="38">
        <f t="shared" si="357"/>
        <v>1</v>
      </c>
      <c r="W509" s="38">
        <f t="shared" si="357"/>
        <v>0</v>
      </c>
      <c r="X509" s="38">
        <f t="shared" si="357"/>
        <v>0</v>
      </c>
      <c r="Y509" s="38">
        <f t="shared" si="357"/>
        <v>0</v>
      </c>
      <c r="Z509" s="38">
        <f t="shared" si="357"/>
        <v>0</v>
      </c>
      <c r="AA509" s="38">
        <f t="shared" si="357"/>
        <v>1</v>
      </c>
      <c r="AB509" s="38">
        <f t="shared" si="357"/>
        <v>0</v>
      </c>
      <c r="AC509" s="38">
        <f t="shared" si="357"/>
        <v>0</v>
      </c>
      <c r="AD509" s="38">
        <f t="shared" si="357"/>
        <v>0</v>
      </c>
      <c r="AE509" s="38">
        <f t="shared" si="357"/>
        <v>0</v>
      </c>
      <c r="AF509" s="38">
        <f t="shared" si="357"/>
        <v>1</v>
      </c>
      <c r="AG509" s="38">
        <f t="shared" si="357"/>
        <v>0</v>
      </c>
      <c r="AH509" s="38">
        <f t="shared" si="357"/>
        <v>0</v>
      </c>
      <c r="AI509" s="38">
        <f t="shared" si="357"/>
        <v>0</v>
      </c>
      <c r="AJ509" s="38">
        <f t="shared" si="357"/>
        <v>0</v>
      </c>
      <c r="AK509" s="38">
        <f t="shared" si="357"/>
        <v>1</v>
      </c>
      <c r="AL509" s="38">
        <f t="shared" si="357"/>
        <v>0</v>
      </c>
      <c r="AM509" s="38">
        <f t="shared" si="357"/>
        <v>0</v>
      </c>
      <c r="AN509" s="38">
        <f t="shared" si="357"/>
        <v>0</v>
      </c>
      <c r="AO509" s="38">
        <f t="shared" si="357"/>
        <v>0</v>
      </c>
      <c r="AP509" s="38">
        <f t="shared" si="357"/>
        <v>1</v>
      </c>
      <c r="AQ509" s="38">
        <f t="shared" si="357"/>
        <v>0</v>
      </c>
      <c r="AR509" s="38">
        <f t="shared" si="357"/>
        <v>0</v>
      </c>
      <c r="AS509" s="38">
        <f t="shared" si="357"/>
        <v>0</v>
      </c>
      <c r="AT509" s="38">
        <f t="shared" si="357"/>
        <v>0</v>
      </c>
      <c r="AU509" s="38">
        <f t="shared" si="357"/>
        <v>1</v>
      </c>
    </row>
    <row r="511" spans="1:16384">
      <c r="E511" s="327"/>
      <c r="F511" s="28"/>
      <c r="G511" s="324" t="s">
        <v>865</v>
      </c>
      <c r="H511" s="324"/>
      <c r="I511" s="324"/>
      <c r="J511" s="324"/>
      <c r="K511" s="324"/>
      <c r="L511" s="405"/>
      <c r="M511" s="256"/>
      <c r="N511" s="325"/>
      <c r="O511" s="311"/>
      <c r="P511" s="325"/>
      <c r="Q511" s="310"/>
      <c r="R511" s="325"/>
      <c r="S511" s="325"/>
      <c r="T511" s="325"/>
      <c r="U511" s="325"/>
      <c r="V511" s="325"/>
      <c r="W511" s="325"/>
      <c r="X511" s="325"/>
      <c r="Y511" s="325"/>
      <c r="Z511" s="325"/>
      <c r="AA511" s="325"/>
      <c r="AB511" s="325"/>
      <c r="AC511" s="325"/>
      <c r="AD511" s="325"/>
      <c r="AE511" s="325"/>
      <c r="AF511" s="325"/>
      <c r="AG511" s="325"/>
      <c r="AH511" s="325"/>
      <c r="AI511" s="325"/>
      <c r="AJ511" s="325"/>
      <c r="AK511" s="325"/>
      <c r="AL511" s="325"/>
      <c r="AM511" s="325"/>
      <c r="AN511" s="325"/>
      <c r="AO511" s="325"/>
      <c r="AP511" s="325"/>
      <c r="AQ511" s="325"/>
      <c r="AR511" s="325"/>
      <c r="AS511" s="325"/>
      <c r="AT511" s="325"/>
      <c r="AU511" s="325"/>
    </row>
    <row r="512" spans="1:16384">
      <c r="E512" s="325"/>
      <c r="G512" s="39"/>
      <c r="H512" s="39"/>
      <c r="I512" s="39"/>
      <c r="J512" s="39"/>
      <c r="K512" s="39"/>
    </row>
    <row r="513" spans="5:47">
      <c r="E513" s="325"/>
      <c r="G513" s="36" t="s">
        <v>865</v>
      </c>
      <c r="H513" s="39"/>
      <c r="I513" s="39"/>
      <c r="J513" s="70"/>
      <c r="K513" s="39"/>
      <c r="L513" s="43"/>
      <c r="N513" s="320"/>
      <c r="P513" s="320"/>
      <c r="Q513" s="52"/>
      <c r="R513" s="52">
        <f>Assumptions!M56</f>
        <v>0</v>
      </c>
      <c r="S513" s="52">
        <f>Assumptions!N56</f>
        <v>0</v>
      </c>
      <c r="T513" s="52">
        <f>Assumptions!O56</f>
        <v>0</v>
      </c>
      <c r="U513" s="52">
        <f>Assumptions!P56</f>
        <v>0</v>
      </c>
      <c r="V513" s="52">
        <f>Assumptions!Q56</f>
        <v>0</v>
      </c>
      <c r="W513" s="52">
        <f>Assumptions!R56</f>
        <v>0</v>
      </c>
      <c r="X513" s="52">
        <f>Assumptions!S56</f>
        <v>0</v>
      </c>
      <c r="Y513" s="52">
        <f>Assumptions!T56</f>
        <v>0</v>
      </c>
      <c r="Z513" s="52">
        <f>Assumptions!U56</f>
        <v>0</v>
      </c>
      <c r="AA513" s="52">
        <f>Assumptions!V56</f>
        <v>0</v>
      </c>
      <c r="AB513" s="52">
        <f>Assumptions!W56</f>
        <v>0</v>
      </c>
      <c r="AC513" s="52">
        <f>Assumptions!X56</f>
        <v>0</v>
      </c>
      <c r="AD513" s="52">
        <f>Assumptions!Y56</f>
        <v>0</v>
      </c>
      <c r="AE513" s="52">
        <f>Assumptions!Z56</f>
        <v>0</v>
      </c>
      <c r="AF513" s="52">
        <f>Assumptions!AA56</f>
        <v>0</v>
      </c>
      <c r="AG513" s="52">
        <f>Assumptions!AB56</f>
        <v>0</v>
      </c>
      <c r="AH513" s="52">
        <f>Assumptions!AC56</f>
        <v>0</v>
      </c>
      <c r="AI513" s="52">
        <f>Assumptions!AD56</f>
        <v>0</v>
      </c>
      <c r="AJ513" s="52">
        <f>Assumptions!AE56</f>
        <v>0</v>
      </c>
      <c r="AK513" s="52">
        <f>Assumptions!AF56</f>
        <v>0</v>
      </c>
      <c r="AL513" s="52">
        <f>Assumptions!AG56</f>
        <v>0</v>
      </c>
      <c r="AM513" s="52">
        <f>Assumptions!AH56</f>
        <v>0</v>
      </c>
      <c r="AN513" s="52">
        <f>Assumptions!AI56</f>
        <v>0</v>
      </c>
      <c r="AO513" s="52">
        <f>Assumptions!AJ56</f>
        <v>0</v>
      </c>
      <c r="AP513" s="52">
        <f>Assumptions!AK56</f>
        <v>0</v>
      </c>
      <c r="AQ513" s="52">
        <f>Assumptions!AL56</f>
        <v>0</v>
      </c>
      <c r="AR513" s="52">
        <f>Assumptions!AM56</f>
        <v>0</v>
      </c>
      <c r="AS513" s="52">
        <f>Assumptions!AN56</f>
        <v>0</v>
      </c>
      <c r="AT513" s="52">
        <f>Assumptions!AO56</f>
        <v>0</v>
      </c>
      <c r="AU513" s="52">
        <f>Assumptions!AP56</f>
        <v>0</v>
      </c>
    </row>
    <row r="525" spans="5:47">
      <c r="N525" s="200"/>
      <c r="O525" s="316"/>
      <c r="P525" s="200"/>
      <c r="Q525" s="316"/>
      <c r="R525" s="198"/>
      <c r="S525" s="199"/>
    </row>
    <row r="526" spans="5:47">
      <c r="N526" s="200"/>
      <c r="O526" s="316"/>
      <c r="P526" s="200"/>
      <c r="Q526" s="316"/>
      <c r="R526" s="198"/>
      <c r="S526" s="199"/>
    </row>
    <row r="527" spans="5:47">
      <c r="N527" s="200"/>
      <c r="O527" s="316"/>
      <c r="P527" s="200"/>
      <c r="Q527" s="316"/>
      <c r="R527" s="198"/>
      <c r="S527" s="199"/>
    </row>
    <row r="528" spans="5:47">
      <c r="N528" s="200"/>
      <c r="O528" s="316"/>
      <c r="P528" s="200"/>
      <c r="Q528" s="316"/>
      <c r="R528" s="198"/>
      <c r="S528" s="199"/>
    </row>
    <row r="529" spans="14:19">
      <c r="N529" s="200"/>
      <c r="O529" s="316"/>
      <c r="P529" s="200"/>
      <c r="Q529" s="316"/>
      <c r="R529" s="198"/>
      <c r="S529" s="199"/>
    </row>
    <row r="530" spans="14:19">
      <c r="N530" s="200"/>
      <c r="O530" s="316"/>
      <c r="P530" s="200"/>
      <c r="Q530" s="316"/>
      <c r="R530" s="198"/>
      <c r="S530" s="199"/>
    </row>
    <row r="531" spans="14:19">
      <c r="N531" s="200"/>
      <c r="O531" s="316"/>
      <c r="P531" s="200"/>
      <c r="Q531" s="316"/>
      <c r="R531" s="198"/>
      <c r="S531" s="199"/>
    </row>
    <row r="532" spans="14:19">
      <c r="N532" s="200"/>
      <c r="O532" s="316"/>
      <c r="P532" s="200"/>
      <c r="Q532" s="316"/>
      <c r="R532" s="198"/>
      <c r="S532" s="199"/>
    </row>
    <row r="533" spans="14:19">
      <c r="N533" s="200"/>
      <c r="O533" s="316"/>
      <c r="P533" s="200"/>
      <c r="Q533" s="316"/>
      <c r="R533" s="198"/>
      <c r="S533" s="199"/>
    </row>
    <row r="534" spans="14:19">
      <c r="N534" s="200"/>
      <c r="O534" s="316"/>
      <c r="P534" s="200"/>
      <c r="Q534" s="316"/>
      <c r="R534" s="198"/>
      <c r="S534" s="199"/>
    </row>
  </sheetData>
  <dataConsolidate/>
  <dataValidations count="1">
    <dataValidation type="list" allowBlank="1" showInputMessage="1" showErrorMessage="1" sqref="J4">
      <formula1>ConfigDropdown</formula1>
    </dataValidation>
  </dataValidations>
  <pageMargins left="0.75" right="0.75" top="1" bottom="1" header="0.5" footer="0.5"/>
  <pageSetup scale="60" pageOrder="overThenDown" orientation="landscape" r:id="rId1"/>
  <headerFooter alignWithMargins="0"/>
  <rowBreaks count="2" manualBreakCount="2">
    <brk id="39" min="17" max="46" man="1"/>
    <brk id="66" min="17" max="46" man="1"/>
  </rowBreaks>
</worksheet>
</file>

<file path=xl/worksheets/sheet22.xml><?xml version="1.0" encoding="utf-8"?>
<worksheet xmlns="http://schemas.openxmlformats.org/spreadsheetml/2006/main" xmlns:r="http://schemas.openxmlformats.org/officeDocument/2006/relationships">
  <sheetPr>
    <tabColor rgb="FFC00000"/>
  </sheetPr>
  <dimension ref="A1:XFD534"/>
  <sheetViews>
    <sheetView showGridLines="0" topLeftCell="AB482" zoomScale="55" zoomScaleNormal="55" zoomScalePageLayoutView="85" workbookViewId="0">
      <selection activeCell="AM518" sqref="AM518"/>
    </sheetView>
  </sheetViews>
  <sheetFormatPr defaultColWidth="8.85546875" defaultRowHeight="15" outlineLevelCol="1"/>
  <cols>
    <col min="1" max="2" width="8.85546875" style="38" hidden="1" customWidth="1" outlineLevel="1"/>
    <col min="3" max="3" width="42.28515625" style="38" hidden="1" customWidth="1" outlineLevel="1"/>
    <col min="4" max="4" width="13" style="38" hidden="1" customWidth="1" outlineLevel="1"/>
    <col min="5" max="5" width="3.7109375" style="38" customWidth="1" collapsed="1"/>
    <col min="6" max="6" width="3.28515625" style="38" customWidth="1"/>
    <col min="7" max="7" width="7.140625" style="38" customWidth="1"/>
    <col min="8" max="8" width="28.42578125" style="38" customWidth="1"/>
    <col min="9" max="9" width="1.85546875" style="38" customWidth="1"/>
    <col min="10" max="10" width="10.140625" style="38" customWidth="1"/>
    <col min="11" max="11" width="1.42578125" style="38" customWidth="1"/>
    <col min="12" max="12" width="25.7109375" style="408" customWidth="1"/>
    <col min="13" max="13" width="0.85546875" style="38" customWidth="1"/>
    <col min="14" max="14" width="18.28515625" style="38" customWidth="1"/>
    <col min="15" max="15" width="1" style="42" customWidth="1"/>
    <col min="16" max="16" width="18.28515625" style="38" customWidth="1"/>
    <col min="17" max="17" width="1" style="42" customWidth="1"/>
    <col min="18" max="47" width="14.28515625" style="38" customWidth="1"/>
    <col min="48" max="68" width="9.42578125" style="38" customWidth="1"/>
    <col min="69" max="16384" width="8.85546875" style="38"/>
  </cols>
  <sheetData>
    <row r="1" spans="1:47" s="28" customFormat="1">
      <c r="L1" s="406"/>
      <c r="O1" s="197"/>
      <c r="Q1" s="197"/>
    </row>
    <row r="2" spans="1:47" s="28" customFormat="1" ht="18.75">
      <c r="H2" s="29" t="s">
        <v>17</v>
      </c>
      <c r="I2" s="29"/>
      <c r="J2" s="29" t="s">
        <v>294</v>
      </c>
      <c r="K2" s="29"/>
      <c r="L2" s="406"/>
      <c r="O2" s="197"/>
      <c r="Q2" s="197"/>
    </row>
    <row r="3" spans="1:47" s="28" customFormat="1" ht="18.75">
      <c r="H3" s="29" t="s">
        <v>18</v>
      </c>
      <c r="I3" s="29"/>
      <c r="J3" s="29" t="s">
        <v>295</v>
      </c>
      <c r="K3" s="29"/>
      <c r="L3" s="406"/>
      <c r="O3" s="197"/>
      <c r="Q3" s="197"/>
      <c r="R3" s="193"/>
    </row>
    <row r="4" spans="1:47" s="28" customFormat="1" ht="18.75">
      <c r="G4" s="968"/>
      <c r="H4" s="29" t="s">
        <v>297</v>
      </c>
      <c r="J4" s="29" t="s">
        <v>620</v>
      </c>
      <c r="L4" s="406"/>
      <c r="O4" s="197"/>
      <c r="Q4" s="197"/>
    </row>
    <row r="5" spans="1:47" s="28" customFormat="1">
      <c r="H5" s="31"/>
      <c r="I5" s="31"/>
      <c r="J5" s="31"/>
      <c r="K5" s="31"/>
      <c r="L5" s="406"/>
      <c r="O5" s="197"/>
      <c r="Q5" s="197"/>
    </row>
    <row r="6" spans="1:47" s="42" customFormat="1">
      <c r="A6" s="317"/>
      <c r="B6" s="317"/>
      <c r="C6" s="317"/>
      <c r="D6" s="317"/>
      <c r="E6" s="317"/>
      <c r="F6" s="317"/>
      <c r="G6" s="318" t="s">
        <v>505</v>
      </c>
      <c r="H6" s="317"/>
      <c r="I6" s="317"/>
      <c r="J6" s="317"/>
      <c r="K6" s="317"/>
      <c r="L6" s="40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row>
    <row r="7" spans="1:47" s="28" customFormat="1">
      <c r="L7" s="406"/>
      <c r="O7" s="197"/>
      <c r="Q7" s="197"/>
    </row>
    <row r="8" spans="1:47" s="28" customFormat="1">
      <c r="A8" s="40" t="s">
        <v>254</v>
      </c>
      <c r="B8" s="40" t="s">
        <v>44</v>
      </c>
      <c r="C8" s="40" t="s">
        <v>302</v>
      </c>
      <c r="D8" s="40" t="s">
        <v>298</v>
      </c>
      <c r="G8" s="324" t="s">
        <v>489</v>
      </c>
      <c r="H8" s="324"/>
      <c r="I8" s="324"/>
      <c r="J8" s="324"/>
      <c r="K8" s="324"/>
      <c r="L8" s="405"/>
      <c r="M8" s="256"/>
      <c r="N8" s="325" t="str">
        <f>"NPV "&amp;FirstYr-1&amp;" $"</f>
        <v>NPV 2013 $</v>
      </c>
      <c r="O8" s="311"/>
      <c r="P8" s="325" t="s">
        <v>491</v>
      </c>
      <c r="Q8" s="310"/>
      <c r="R8" s="325">
        <f>FirstYr</f>
        <v>2014</v>
      </c>
      <c r="S8" s="325">
        <f>R8+1</f>
        <v>2015</v>
      </c>
      <c r="T8" s="325">
        <f t="shared" ref="T8:AU8" si="0">S8+1</f>
        <v>2016</v>
      </c>
      <c r="U8" s="325">
        <f t="shared" si="0"/>
        <v>2017</v>
      </c>
      <c r="V8" s="325">
        <f t="shared" si="0"/>
        <v>2018</v>
      </c>
      <c r="W8" s="325">
        <f t="shared" si="0"/>
        <v>2019</v>
      </c>
      <c r="X8" s="325">
        <f t="shared" si="0"/>
        <v>2020</v>
      </c>
      <c r="Y8" s="325">
        <f t="shared" si="0"/>
        <v>2021</v>
      </c>
      <c r="Z8" s="325">
        <f t="shared" si="0"/>
        <v>2022</v>
      </c>
      <c r="AA8" s="325">
        <f t="shared" si="0"/>
        <v>2023</v>
      </c>
      <c r="AB8" s="325">
        <f t="shared" si="0"/>
        <v>2024</v>
      </c>
      <c r="AC8" s="325">
        <f t="shared" si="0"/>
        <v>2025</v>
      </c>
      <c r="AD8" s="325">
        <f t="shared" si="0"/>
        <v>2026</v>
      </c>
      <c r="AE8" s="325">
        <f t="shared" si="0"/>
        <v>2027</v>
      </c>
      <c r="AF8" s="325">
        <f t="shared" si="0"/>
        <v>2028</v>
      </c>
      <c r="AG8" s="325">
        <f t="shared" si="0"/>
        <v>2029</v>
      </c>
      <c r="AH8" s="325">
        <f t="shared" si="0"/>
        <v>2030</v>
      </c>
      <c r="AI8" s="325">
        <f t="shared" si="0"/>
        <v>2031</v>
      </c>
      <c r="AJ8" s="325">
        <f t="shared" si="0"/>
        <v>2032</v>
      </c>
      <c r="AK8" s="325">
        <f t="shared" si="0"/>
        <v>2033</v>
      </c>
      <c r="AL8" s="325">
        <f t="shared" si="0"/>
        <v>2034</v>
      </c>
      <c r="AM8" s="325">
        <f t="shared" si="0"/>
        <v>2035</v>
      </c>
      <c r="AN8" s="325">
        <f t="shared" si="0"/>
        <v>2036</v>
      </c>
      <c r="AO8" s="325">
        <f t="shared" si="0"/>
        <v>2037</v>
      </c>
      <c r="AP8" s="325">
        <f t="shared" si="0"/>
        <v>2038</v>
      </c>
      <c r="AQ8" s="325">
        <f t="shared" si="0"/>
        <v>2039</v>
      </c>
      <c r="AR8" s="325">
        <f t="shared" si="0"/>
        <v>2040</v>
      </c>
      <c r="AS8" s="325">
        <f t="shared" si="0"/>
        <v>2041</v>
      </c>
      <c r="AT8" s="325">
        <f t="shared" si="0"/>
        <v>2042</v>
      </c>
      <c r="AU8" s="325">
        <f t="shared" si="0"/>
        <v>2043</v>
      </c>
    </row>
    <row r="9" spans="1:47" s="28" customFormat="1">
      <c r="L9" s="406"/>
      <c r="O9" s="197"/>
      <c r="Q9" s="197"/>
    </row>
    <row r="10" spans="1:47" s="28" customFormat="1">
      <c r="B10" s="38" t="s">
        <v>306</v>
      </c>
      <c r="E10" s="254"/>
      <c r="G10" s="36" t="s">
        <v>8</v>
      </c>
      <c r="L10" s="43" t="str">
        <f>"["&amp;FirstYr-1&amp;" $]"</f>
        <v>[2013 $]</v>
      </c>
      <c r="N10" s="191">
        <f t="shared" ref="N10:N13" ca="1" si="1">NPV(DiscountRt,R10:AU10)</f>
        <v>31473301.886792451</v>
      </c>
      <c r="O10" s="189"/>
      <c r="P10" s="321"/>
      <c r="Q10" s="189"/>
      <c r="R10" s="190">
        <f t="shared" ref="R10:AU10" ca="1" si="2">IF($P10=0,SUMIF($B$96:$B$496,$B10,R$96:R$496),$P10*R$97)</f>
        <v>33361700</v>
      </c>
      <c r="S10" s="190">
        <f t="shared" ca="1" si="2"/>
        <v>0</v>
      </c>
      <c r="T10" s="190">
        <f t="shared" ca="1" si="2"/>
        <v>0</v>
      </c>
      <c r="U10" s="190">
        <f t="shared" ca="1" si="2"/>
        <v>0</v>
      </c>
      <c r="V10" s="190">
        <f t="shared" ca="1" si="2"/>
        <v>0</v>
      </c>
      <c r="W10" s="190">
        <f t="shared" ca="1" si="2"/>
        <v>0</v>
      </c>
      <c r="X10" s="190">
        <f t="shared" ca="1" si="2"/>
        <v>0</v>
      </c>
      <c r="Y10" s="190">
        <f t="shared" ca="1" si="2"/>
        <v>0</v>
      </c>
      <c r="Z10" s="190">
        <f t="shared" ca="1" si="2"/>
        <v>0</v>
      </c>
      <c r="AA10" s="190">
        <f t="shared" ca="1" si="2"/>
        <v>0</v>
      </c>
      <c r="AB10" s="190">
        <f t="shared" ca="1" si="2"/>
        <v>0</v>
      </c>
      <c r="AC10" s="190">
        <f t="shared" ca="1" si="2"/>
        <v>0</v>
      </c>
      <c r="AD10" s="190">
        <f t="shared" ca="1" si="2"/>
        <v>0</v>
      </c>
      <c r="AE10" s="190">
        <f t="shared" ca="1" si="2"/>
        <v>0</v>
      </c>
      <c r="AF10" s="190">
        <f t="shared" ca="1" si="2"/>
        <v>0</v>
      </c>
      <c r="AG10" s="190">
        <f t="shared" ca="1" si="2"/>
        <v>0</v>
      </c>
      <c r="AH10" s="190">
        <f t="shared" ca="1" si="2"/>
        <v>0</v>
      </c>
      <c r="AI10" s="190">
        <f t="shared" ca="1" si="2"/>
        <v>0</v>
      </c>
      <c r="AJ10" s="190">
        <f t="shared" ca="1" si="2"/>
        <v>0</v>
      </c>
      <c r="AK10" s="190">
        <f t="shared" ca="1" si="2"/>
        <v>0</v>
      </c>
      <c r="AL10" s="190">
        <f t="shared" ca="1" si="2"/>
        <v>0</v>
      </c>
      <c r="AM10" s="190">
        <f t="shared" ca="1" si="2"/>
        <v>0</v>
      </c>
      <c r="AN10" s="190">
        <f t="shared" ca="1" si="2"/>
        <v>0</v>
      </c>
      <c r="AO10" s="190">
        <f t="shared" ca="1" si="2"/>
        <v>0</v>
      </c>
      <c r="AP10" s="190">
        <f t="shared" ca="1" si="2"/>
        <v>0</v>
      </c>
      <c r="AQ10" s="190">
        <f t="shared" ca="1" si="2"/>
        <v>0</v>
      </c>
      <c r="AR10" s="190">
        <f t="shared" ca="1" si="2"/>
        <v>0</v>
      </c>
      <c r="AS10" s="190">
        <f t="shared" ca="1" si="2"/>
        <v>0</v>
      </c>
      <c r="AT10" s="190">
        <f t="shared" ca="1" si="2"/>
        <v>0</v>
      </c>
      <c r="AU10" s="190">
        <f t="shared" ca="1" si="2"/>
        <v>0</v>
      </c>
    </row>
    <row r="11" spans="1:47" s="28" customFormat="1">
      <c r="B11" s="38"/>
      <c r="E11" s="254"/>
      <c r="G11" s="36" t="s">
        <v>494</v>
      </c>
      <c r="L11" s="43" t="str">
        <f>"["&amp;FirstYr-1&amp;" $]"</f>
        <v>[2013 $]</v>
      </c>
      <c r="N11" s="191">
        <f t="shared" si="1"/>
        <v>0</v>
      </c>
      <c r="O11" s="189"/>
      <c r="P11" s="319"/>
      <c r="Q11" s="189"/>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row>
    <row r="12" spans="1:47" s="28" customFormat="1">
      <c r="B12" s="38"/>
      <c r="E12" s="254"/>
      <c r="G12" s="36" t="s">
        <v>495</v>
      </c>
      <c r="L12" s="43" t="str">
        <f>"["&amp;FirstYr-1&amp;" $]"</f>
        <v>[2013 $]</v>
      </c>
      <c r="N12" s="191">
        <f t="shared" si="1"/>
        <v>0</v>
      </c>
      <c r="O12" s="189"/>
      <c r="P12" s="319"/>
      <c r="Q12" s="189"/>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row>
    <row r="13" spans="1:47" s="28" customFormat="1">
      <c r="B13" s="38"/>
      <c r="E13" s="254"/>
      <c r="G13" s="36" t="s">
        <v>496</v>
      </c>
      <c r="L13" s="43" t="str">
        <f>"["&amp;FirstYr-1&amp;" $]"</f>
        <v>[2013 $]</v>
      </c>
      <c r="N13" s="191">
        <f t="shared" si="1"/>
        <v>0</v>
      </c>
      <c r="O13" s="189"/>
      <c r="P13" s="319"/>
      <c r="Q13" s="189"/>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row>
    <row r="14" spans="1:47">
      <c r="E14" s="49"/>
      <c r="G14" s="39" t="s">
        <v>114</v>
      </c>
      <c r="H14" s="42"/>
      <c r="I14" s="42"/>
      <c r="J14" s="42"/>
      <c r="K14" s="42"/>
      <c r="L14" s="43"/>
      <c r="M14" s="43"/>
      <c r="N14" s="189">
        <f ca="1">SUBTOTAL(9,N10:N13)</f>
        <v>31473301.886792451</v>
      </c>
      <c r="O14" s="189"/>
      <c r="P14" s="189"/>
      <c r="Q14" s="189"/>
      <c r="R14" s="189">
        <f t="shared" ref="R14:AU14" ca="1" si="3">SUBTOTAL(9,R10:R13)</f>
        <v>33361700</v>
      </c>
      <c r="S14" s="189">
        <f t="shared" ca="1" si="3"/>
        <v>0</v>
      </c>
      <c r="T14" s="189">
        <f t="shared" ca="1" si="3"/>
        <v>0</v>
      </c>
      <c r="U14" s="189">
        <f t="shared" ca="1" si="3"/>
        <v>0</v>
      </c>
      <c r="V14" s="189">
        <f t="shared" ca="1" si="3"/>
        <v>0</v>
      </c>
      <c r="W14" s="189">
        <f t="shared" ca="1" si="3"/>
        <v>0</v>
      </c>
      <c r="X14" s="189">
        <f t="shared" ca="1" si="3"/>
        <v>0</v>
      </c>
      <c r="Y14" s="189">
        <f t="shared" ca="1" si="3"/>
        <v>0</v>
      </c>
      <c r="Z14" s="189">
        <f t="shared" ca="1" si="3"/>
        <v>0</v>
      </c>
      <c r="AA14" s="189">
        <f t="shared" ca="1" si="3"/>
        <v>0</v>
      </c>
      <c r="AB14" s="189">
        <f t="shared" ca="1" si="3"/>
        <v>0</v>
      </c>
      <c r="AC14" s="189">
        <f t="shared" ca="1" si="3"/>
        <v>0</v>
      </c>
      <c r="AD14" s="189">
        <f t="shared" ca="1" si="3"/>
        <v>0</v>
      </c>
      <c r="AE14" s="189">
        <f t="shared" ca="1" si="3"/>
        <v>0</v>
      </c>
      <c r="AF14" s="189">
        <f t="shared" ca="1" si="3"/>
        <v>0</v>
      </c>
      <c r="AG14" s="189">
        <f t="shared" ca="1" si="3"/>
        <v>0</v>
      </c>
      <c r="AH14" s="189">
        <f t="shared" ca="1" si="3"/>
        <v>0</v>
      </c>
      <c r="AI14" s="189">
        <f t="shared" ca="1" si="3"/>
        <v>0</v>
      </c>
      <c r="AJ14" s="189">
        <f t="shared" ca="1" si="3"/>
        <v>0</v>
      </c>
      <c r="AK14" s="189">
        <f t="shared" ca="1" si="3"/>
        <v>0</v>
      </c>
      <c r="AL14" s="189">
        <f t="shared" ca="1" si="3"/>
        <v>0</v>
      </c>
      <c r="AM14" s="189">
        <f t="shared" ca="1" si="3"/>
        <v>0</v>
      </c>
      <c r="AN14" s="189">
        <f t="shared" ca="1" si="3"/>
        <v>0</v>
      </c>
      <c r="AO14" s="189">
        <f t="shared" ca="1" si="3"/>
        <v>0</v>
      </c>
      <c r="AP14" s="189">
        <f t="shared" ca="1" si="3"/>
        <v>0</v>
      </c>
      <c r="AQ14" s="189">
        <f t="shared" ca="1" si="3"/>
        <v>0</v>
      </c>
      <c r="AR14" s="189">
        <f t="shared" ca="1" si="3"/>
        <v>0</v>
      </c>
      <c r="AS14" s="189">
        <f t="shared" ca="1" si="3"/>
        <v>0</v>
      </c>
      <c r="AT14" s="189">
        <f t="shared" ca="1" si="3"/>
        <v>0</v>
      </c>
      <c r="AU14" s="189">
        <f t="shared" ca="1" si="3"/>
        <v>0</v>
      </c>
    </row>
    <row r="15" spans="1:47" s="28" customFormat="1">
      <c r="L15" s="406"/>
      <c r="O15" s="197"/>
      <c r="Q15" s="197"/>
    </row>
    <row r="16" spans="1:47" s="28" customFormat="1">
      <c r="A16" s="40"/>
      <c r="B16" s="40"/>
      <c r="C16" s="40"/>
      <c r="D16" s="40"/>
      <c r="G16" s="324" t="s">
        <v>400</v>
      </c>
      <c r="H16" s="324"/>
      <c r="I16" s="324"/>
      <c r="J16" s="324"/>
      <c r="K16" s="324"/>
      <c r="L16" s="405" t="s">
        <v>401</v>
      </c>
      <c r="M16" s="256"/>
      <c r="N16" s="325" t="str">
        <f>"NPV "&amp;FirstYr-1&amp;" $"</f>
        <v>NPV 2013 $</v>
      </c>
      <c r="O16" s="311"/>
      <c r="P16" s="325" t="s">
        <v>491</v>
      </c>
      <c r="Q16" s="310"/>
      <c r="R16" s="325">
        <f>R$8</f>
        <v>2014</v>
      </c>
      <c r="S16" s="325">
        <f t="shared" ref="S16:AU16" si="4">S$8</f>
        <v>2015</v>
      </c>
      <c r="T16" s="325">
        <f t="shared" si="4"/>
        <v>2016</v>
      </c>
      <c r="U16" s="325">
        <f t="shared" si="4"/>
        <v>2017</v>
      </c>
      <c r="V16" s="325">
        <f t="shared" si="4"/>
        <v>2018</v>
      </c>
      <c r="W16" s="325">
        <f t="shared" si="4"/>
        <v>2019</v>
      </c>
      <c r="X16" s="325">
        <f t="shared" si="4"/>
        <v>2020</v>
      </c>
      <c r="Y16" s="325">
        <f t="shared" si="4"/>
        <v>2021</v>
      </c>
      <c r="Z16" s="325">
        <f t="shared" si="4"/>
        <v>2022</v>
      </c>
      <c r="AA16" s="325">
        <f t="shared" si="4"/>
        <v>2023</v>
      </c>
      <c r="AB16" s="325">
        <f t="shared" si="4"/>
        <v>2024</v>
      </c>
      <c r="AC16" s="325">
        <f t="shared" si="4"/>
        <v>2025</v>
      </c>
      <c r="AD16" s="325">
        <f t="shared" si="4"/>
        <v>2026</v>
      </c>
      <c r="AE16" s="325">
        <f t="shared" si="4"/>
        <v>2027</v>
      </c>
      <c r="AF16" s="325">
        <f t="shared" si="4"/>
        <v>2028</v>
      </c>
      <c r="AG16" s="325">
        <f t="shared" si="4"/>
        <v>2029</v>
      </c>
      <c r="AH16" s="325">
        <f t="shared" si="4"/>
        <v>2030</v>
      </c>
      <c r="AI16" s="325">
        <f t="shared" si="4"/>
        <v>2031</v>
      </c>
      <c r="AJ16" s="325">
        <f t="shared" si="4"/>
        <v>2032</v>
      </c>
      <c r="AK16" s="325">
        <f t="shared" si="4"/>
        <v>2033</v>
      </c>
      <c r="AL16" s="325">
        <f t="shared" si="4"/>
        <v>2034</v>
      </c>
      <c r="AM16" s="325">
        <f t="shared" si="4"/>
        <v>2035</v>
      </c>
      <c r="AN16" s="325">
        <f t="shared" si="4"/>
        <v>2036</v>
      </c>
      <c r="AO16" s="325">
        <f t="shared" si="4"/>
        <v>2037</v>
      </c>
      <c r="AP16" s="325">
        <f t="shared" si="4"/>
        <v>2038</v>
      </c>
      <c r="AQ16" s="325">
        <f t="shared" si="4"/>
        <v>2039</v>
      </c>
      <c r="AR16" s="325">
        <f t="shared" si="4"/>
        <v>2040</v>
      </c>
      <c r="AS16" s="325">
        <f t="shared" si="4"/>
        <v>2041</v>
      </c>
      <c r="AT16" s="325">
        <f t="shared" si="4"/>
        <v>2042</v>
      </c>
      <c r="AU16" s="325">
        <f t="shared" si="4"/>
        <v>2043</v>
      </c>
    </row>
    <row r="17" spans="2:47">
      <c r="E17" s="49"/>
      <c r="G17" s="39"/>
      <c r="H17" s="28"/>
      <c r="I17" s="28"/>
      <c r="J17" s="28"/>
      <c r="K17" s="28"/>
      <c r="L17" s="406"/>
      <c r="M17" s="28"/>
      <c r="N17" s="28"/>
      <c r="O17" s="197"/>
      <c r="Q17" s="197"/>
    </row>
    <row r="18" spans="2:47">
      <c r="E18" s="49"/>
      <c r="G18" s="39" t="s">
        <v>23</v>
      </c>
      <c r="H18" s="28"/>
      <c r="I18" s="28"/>
      <c r="J18" s="28"/>
      <c r="K18" s="28"/>
      <c r="L18" s="406"/>
      <c r="M18" s="28"/>
      <c r="N18" s="28"/>
      <c r="O18" s="197"/>
      <c r="Q18" s="197"/>
    </row>
    <row r="19" spans="2:47">
      <c r="B19" s="38" t="s">
        <v>262</v>
      </c>
      <c r="E19" s="49"/>
      <c r="G19" s="36" t="s">
        <v>125</v>
      </c>
      <c r="H19" s="28"/>
      <c r="I19" s="28"/>
      <c r="J19" s="527"/>
      <c r="K19" s="28"/>
      <c r="L19" s="43" t="str">
        <f t="shared" ref="L19:L29" si="5">"["&amp;FirstYr-1&amp;" $]"</f>
        <v>[2013 $]</v>
      </c>
      <c r="M19" s="28"/>
      <c r="N19" s="191">
        <f t="shared" ref="N19:N29" ca="1" si="6">NPV(DiscountRt,R19:AU19)</f>
        <v>11189020.942429367</v>
      </c>
      <c r="O19" s="189"/>
      <c r="P19" s="321"/>
      <c r="Q19" s="189"/>
      <c r="R19" s="190">
        <f t="shared" ref="R19:AU19" ca="1" si="7">IF($P19=0,SUMIF($B$96:$B$496,$B19,R$96:R$496),IF(OR(S$99&lt;InServiceYr,S$99&gt;(InServiceYr+analysis_period)),0,$P19*(1+LaborEsc)^(R$16-FirstYr)))</f>
        <v>833952</v>
      </c>
      <c r="S19" s="190">
        <f t="shared" ca="1" si="7"/>
        <v>850631.04</v>
      </c>
      <c r="T19" s="190">
        <f t="shared" ca="1" si="7"/>
        <v>867643.66079999995</v>
      </c>
      <c r="U19" s="190">
        <f t="shared" ca="1" si="7"/>
        <v>884996.53401599999</v>
      </c>
      <c r="V19" s="190">
        <f t="shared" ca="1" si="7"/>
        <v>902696.46469632001</v>
      </c>
      <c r="W19" s="190">
        <f t="shared" ca="1" si="7"/>
        <v>920750.39399024646</v>
      </c>
      <c r="X19" s="190">
        <f t="shared" ca="1" si="7"/>
        <v>939165.40187005117</v>
      </c>
      <c r="Y19" s="190">
        <f t="shared" ca="1" si="7"/>
        <v>957948.70990745234</v>
      </c>
      <c r="Z19" s="190">
        <f t="shared" ca="1" si="7"/>
        <v>977107.68410560128</v>
      </c>
      <c r="AA19" s="190">
        <f t="shared" ca="1" si="7"/>
        <v>996649.83778771339</v>
      </c>
      <c r="AB19" s="190">
        <f t="shared" ca="1" si="7"/>
        <v>1016582.8345434675</v>
      </c>
      <c r="AC19" s="190">
        <f t="shared" ca="1" si="7"/>
        <v>1036914.491234337</v>
      </c>
      <c r="AD19" s="190">
        <f t="shared" ca="1" si="7"/>
        <v>1057652.7810590237</v>
      </c>
      <c r="AE19" s="190">
        <f t="shared" ca="1" si="7"/>
        <v>1078805.8366802044</v>
      </c>
      <c r="AF19" s="190">
        <f t="shared" ca="1" si="7"/>
        <v>1100381.953413808</v>
      </c>
      <c r="AG19" s="190">
        <f t="shared" ca="1" si="7"/>
        <v>1122389.5924820844</v>
      </c>
      <c r="AH19" s="190">
        <f t="shared" ca="1" si="7"/>
        <v>1144837.3843317262</v>
      </c>
      <c r="AI19" s="190">
        <f t="shared" ca="1" si="7"/>
        <v>1167734.1320183605</v>
      </c>
      <c r="AJ19" s="190">
        <f t="shared" ca="1" si="7"/>
        <v>1191088.8146587277</v>
      </c>
      <c r="AK19" s="190">
        <f t="shared" ca="1" si="7"/>
        <v>1214910.5909519023</v>
      </c>
      <c r="AL19" s="190">
        <f t="shared" si="7"/>
        <v>0</v>
      </c>
      <c r="AM19" s="190">
        <f t="shared" si="7"/>
        <v>0</v>
      </c>
      <c r="AN19" s="190">
        <f t="shared" si="7"/>
        <v>0</v>
      </c>
      <c r="AO19" s="190">
        <f t="shared" si="7"/>
        <v>0</v>
      </c>
      <c r="AP19" s="190">
        <f t="shared" si="7"/>
        <v>0</v>
      </c>
      <c r="AQ19" s="190">
        <f t="shared" si="7"/>
        <v>0</v>
      </c>
      <c r="AR19" s="190">
        <f t="shared" si="7"/>
        <v>0</v>
      </c>
      <c r="AS19" s="190">
        <f t="shared" si="7"/>
        <v>0</v>
      </c>
      <c r="AT19" s="190">
        <f t="shared" si="7"/>
        <v>0</v>
      </c>
      <c r="AU19" s="190">
        <f t="shared" si="7"/>
        <v>0</v>
      </c>
    </row>
    <row r="20" spans="2:47">
      <c r="B20" s="38" t="s">
        <v>270</v>
      </c>
      <c r="E20" s="49"/>
      <c r="G20" s="36" t="s">
        <v>126</v>
      </c>
      <c r="H20" s="28"/>
      <c r="I20" s="28"/>
      <c r="J20" s="527"/>
      <c r="K20" s="28"/>
      <c r="L20" s="43" t="str">
        <f t="shared" si="5"/>
        <v>[2013 $]</v>
      </c>
      <c r="M20" s="28"/>
      <c r="N20" s="191">
        <f t="shared" ca="1" si="6"/>
        <v>3065485.1897066766</v>
      </c>
      <c r="O20" s="189"/>
      <c r="P20" s="321"/>
      <c r="Q20" s="189"/>
      <c r="R20" s="190">
        <f t="shared" ref="R20:AU20" ca="1" si="8">IF($P20=0,SUMIF($B$96:$B$496,$B20,R$96:R$496),IF(OR(S$99&lt;InServiceYr,S$99&gt;(InServiceYr+analysis_period)),0,$P20*(1+LaborEsc)^(R$16-FirstYr)))</f>
        <v>228480</v>
      </c>
      <c r="S20" s="190">
        <f t="shared" ca="1" si="8"/>
        <v>233049.60000000001</v>
      </c>
      <c r="T20" s="190">
        <f t="shared" ca="1" si="8"/>
        <v>237710.59199999998</v>
      </c>
      <c r="U20" s="190">
        <f t="shared" ca="1" si="8"/>
        <v>242464.80384000001</v>
      </c>
      <c r="V20" s="190">
        <f t="shared" ca="1" si="8"/>
        <v>247314.09991680001</v>
      </c>
      <c r="W20" s="190">
        <f t="shared" ca="1" si="8"/>
        <v>252260.38191513604</v>
      </c>
      <c r="X20" s="190">
        <f t="shared" ca="1" si="8"/>
        <v>257305.58955343868</v>
      </c>
      <c r="Y20" s="190">
        <f t="shared" ca="1" si="8"/>
        <v>262451.70134450746</v>
      </c>
      <c r="Z20" s="190">
        <f t="shared" ca="1" si="8"/>
        <v>267700.73537139758</v>
      </c>
      <c r="AA20" s="190">
        <f t="shared" ca="1" si="8"/>
        <v>273054.75007882557</v>
      </c>
      <c r="AB20" s="190">
        <f t="shared" ca="1" si="8"/>
        <v>278515.84508040204</v>
      </c>
      <c r="AC20" s="190">
        <f t="shared" ca="1" si="8"/>
        <v>284086.16198201012</v>
      </c>
      <c r="AD20" s="190">
        <f t="shared" ca="1" si="8"/>
        <v>289767.8852216503</v>
      </c>
      <c r="AE20" s="190">
        <f t="shared" ca="1" si="8"/>
        <v>295563.24292608339</v>
      </c>
      <c r="AF20" s="190">
        <f t="shared" ca="1" si="8"/>
        <v>301474.50778460497</v>
      </c>
      <c r="AG20" s="190">
        <f t="shared" ca="1" si="8"/>
        <v>307503.99794029712</v>
      </c>
      <c r="AH20" s="190">
        <f t="shared" ca="1" si="8"/>
        <v>313654.07789910311</v>
      </c>
      <c r="AI20" s="190">
        <f t="shared" ca="1" si="8"/>
        <v>319927.15945708507</v>
      </c>
      <c r="AJ20" s="190">
        <f t="shared" ca="1" si="8"/>
        <v>326325.7026462268</v>
      </c>
      <c r="AK20" s="190">
        <f t="shared" ca="1" si="8"/>
        <v>332852.21669915132</v>
      </c>
      <c r="AL20" s="190">
        <f t="shared" si="8"/>
        <v>0</v>
      </c>
      <c r="AM20" s="190">
        <f t="shared" si="8"/>
        <v>0</v>
      </c>
      <c r="AN20" s="190">
        <f t="shared" si="8"/>
        <v>0</v>
      </c>
      <c r="AO20" s="190">
        <f t="shared" si="8"/>
        <v>0</v>
      </c>
      <c r="AP20" s="190">
        <f t="shared" si="8"/>
        <v>0</v>
      </c>
      <c r="AQ20" s="190">
        <f t="shared" si="8"/>
        <v>0</v>
      </c>
      <c r="AR20" s="190">
        <f t="shared" si="8"/>
        <v>0</v>
      </c>
      <c r="AS20" s="190">
        <f t="shared" si="8"/>
        <v>0</v>
      </c>
      <c r="AT20" s="190">
        <f t="shared" si="8"/>
        <v>0</v>
      </c>
      <c r="AU20" s="190">
        <f t="shared" si="8"/>
        <v>0</v>
      </c>
    </row>
    <row r="21" spans="2:47">
      <c r="B21" s="38" t="s">
        <v>263</v>
      </c>
      <c r="E21" s="49"/>
      <c r="G21" s="36" t="s">
        <v>127</v>
      </c>
      <c r="H21" s="28"/>
      <c r="I21" s="28"/>
      <c r="J21" s="527"/>
      <c r="K21" s="28"/>
      <c r="L21" s="43" t="str">
        <f t="shared" si="5"/>
        <v>[2013 $]</v>
      </c>
      <c r="M21" s="28"/>
      <c r="N21" s="191">
        <f t="shared" ca="1" si="6"/>
        <v>2134891.471402864</v>
      </c>
      <c r="O21" s="189"/>
      <c r="P21" s="321"/>
      <c r="Q21" s="189"/>
      <c r="R21" s="190">
        <f t="shared" ref="R21:AU21" ca="1" si="9">IF($P21=0,SUMIF($B$96:$B$496,$B21,R$96:R$496),IF(OR(S$99&lt;InServiceYr,S$99&gt;(InServiceYr+analysis_period)),0,$P21*(1+LaborEsc)^(R$16-FirstYr)))</f>
        <v>159120</v>
      </c>
      <c r="S21" s="190">
        <f t="shared" ca="1" si="9"/>
        <v>162302.39999999999</v>
      </c>
      <c r="T21" s="190">
        <f t="shared" ca="1" si="9"/>
        <v>165548.44799999997</v>
      </c>
      <c r="U21" s="190">
        <f t="shared" ca="1" si="9"/>
        <v>168859.41696</v>
      </c>
      <c r="V21" s="190">
        <f t="shared" ca="1" si="9"/>
        <v>172236.60529919999</v>
      </c>
      <c r="W21" s="190">
        <f t="shared" ca="1" si="9"/>
        <v>175681.33740518399</v>
      </c>
      <c r="X21" s="190">
        <f t="shared" ca="1" si="9"/>
        <v>179194.96415328764</v>
      </c>
      <c r="Y21" s="190">
        <f t="shared" ca="1" si="9"/>
        <v>182778.86343635342</v>
      </c>
      <c r="Z21" s="190">
        <f t="shared" ca="1" si="9"/>
        <v>186434.44070508049</v>
      </c>
      <c r="AA21" s="190">
        <f t="shared" ca="1" si="9"/>
        <v>190163.12951918211</v>
      </c>
      <c r="AB21" s="190">
        <f t="shared" ca="1" si="9"/>
        <v>193966.39210956573</v>
      </c>
      <c r="AC21" s="190">
        <f t="shared" ca="1" si="9"/>
        <v>197845.71995175706</v>
      </c>
      <c r="AD21" s="190">
        <f t="shared" ca="1" si="9"/>
        <v>201802.63435079218</v>
      </c>
      <c r="AE21" s="190">
        <f t="shared" ca="1" si="9"/>
        <v>205838.68703780806</v>
      </c>
      <c r="AF21" s="190">
        <f t="shared" ca="1" si="9"/>
        <v>209955.46077856416</v>
      </c>
      <c r="AG21" s="190">
        <f t="shared" ca="1" si="9"/>
        <v>214154.56999413547</v>
      </c>
      <c r="AH21" s="190">
        <f t="shared" ca="1" si="9"/>
        <v>218437.66139401821</v>
      </c>
      <c r="AI21" s="190">
        <f t="shared" ca="1" si="9"/>
        <v>222806.41462189856</v>
      </c>
      <c r="AJ21" s="190">
        <f t="shared" ca="1" si="9"/>
        <v>227262.54291433649</v>
      </c>
      <c r="AK21" s="190">
        <f t="shared" ca="1" si="9"/>
        <v>231807.79377262326</v>
      </c>
      <c r="AL21" s="190">
        <f t="shared" si="9"/>
        <v>0</v>
      </c>
      <c r="AM21" s="190">
        <f t="shared" si="9"/>
        <v>0</v>
      </c>
      <c r="AN21" s="190">
        <f t="shared" si="9"/>
        <v>0</v>
      </c>
      <c r="AO21" s="190">
        <f t="shared" si="9"/>
        <v>0</v>
      </c>
      <c r="AP21" s="190">
        <f t="shared" si="9"/>
        <v>0</v>
      </c>
      <c r="AQ21" s="190">
        <f t="shared" si="9"/>
        <v>0</v>
      </c>
      <c r="AR21" s="190">
        <f t="shared" si="9"/>
        <v>0</v>
      </c>
      <c r="AS21" s="190">
        <f t="shared" si="9"/>
        <v>0</v>
      </c>
      <c r="AT21" s="190">
        <f t="shared" si="9"/>
        <v>0</v>
      </c>
      <c r="AU21" s="190">
        <f t="shared" si="9"/>
        <v>0</v>
      </c>
    </row>
    <row r="22" spans="2:47">
      <c r="B22" s="38" t="s">
        <v>277</v>
      </c>
      <c r="E22" s="49"/>
      <c r="G22" s="36" t="s">
        <v>276</v>
      </c>
      <c r="H22" s="28"/>
      <c r="I22" s="28"/>
      <c r="J22" s="527"/>
      <c r="K22" s="28"/>
      <c r="L22" s="43" t="str">
        <f t="shared" si="5"/>
        <v>[2013 $]</v>
      </c>
      <c r="M22" s="28"/>
      <c r="N22" s="191">
        <f t="shared" ca="1" si="6"/>
        <v>1669594.6122509574</v>
      </c>
      <c r="O22" s="189"/>
      <c r="P22" s="321"/>
      <c r="Q22" s="189"/>
      <c r="R22" s="190">
        <f t="shared" ref="R22:AU22" ca="1" si="10">IF($P22=0,SUMIF($B$96:$B$496,$B22,R$96:R$496),IF(OR(S$99&lt;InServiceYr,S$99&gt;(InServiceYr+analysis_period)),0,$P22*(1+LaborEsc)^(R$16-FirstYr)))</f>
        <v>124440</v>
      </c>
      <c r="S22" s="190">
        <f t="shared" ca="1" si="10"/>
        <v>126928.8</v>
      </c>
      <c r="T22" s="190">
        <f t="shared" ca="1" si="10"/>
        <v>129467.37599999999</v>
      </c>
      <c r="U22" s="190">
        <f t="shared" ca="1" si="10"/>
        <v>132056.72352</v>
      </c>
      <c r="V22" s="190">
        <f t="shared" ca="1" si="10"/>
        <v>134697.85799039999</v>
      </c>
      <c r="W22" s="190">
        <f t="shared" ca="1" si="10"/>
        <v>137391.81515020801</v>
      </c>
      <c r="X22" s="190">
        <f t="shared" ca="1" si="10"/>
        <v>140139.65145321214</v>
      </c>
      <c r="Y22" s="190">
        <f t="shared" ca="1" si="10"/>
        <v>142942.44448227639</v>
      </c>
      <c r="Z22" s="190">
        <f t="shared" ca="1" si="10"/>
        <v>145801.29337192193</v>
      </c>
      <c r="AA22" s="190">
        <f t="shared" ca="1" si="10"/>
        <v>148717.31923936037</v>
      </c>
      <c r="AB22" s="190">
        <f t="shared" ca="1" si="10"/>
        <v>151691.66562414754</v>
      </c>
      <c r="AC22" s="190">
        <f t="shared" ca="1" si="10"/>
        <v>154725.49893663052</v>
      </c>
      <c r="AD22" s="190">
        <f t="shared" ca="1" si="10"/>
        <v>157820.00891536311</v>
      </c>
      <c r="AE22" s="190">
        <f t="shared" ca="1" si="10"/>
        <v>160976.4090936704</v>
      </c>
      <c r="AF22" s="190">
        <f t="shared" ca="1" si="10"/>
        <v>164195.93727554375</v>
      </c>
      <c r="AG22" s="190">
        <f t="shared" ca="1" si="10"/>
        <v>167479.85602105467</v>
      </c>
      <c r="AH22" s="190">
        <f t="shared" ca="1" si="10"/>
        <v>170829.45314147577</v>
      </c>
      <c r="AI22" s="190">
        <f t="shared" ca="1" si="10"/>
        <v>174246.04220430527</v>
      </c>
      <c r="AJ22" s="190">
        <f t="shared" ca="1" si="10"/>
        <v>177730.96304839136</v>
      </c>
      <c r="AK22" s="190">
        <f t="shared" ca="1" si="10"/>
        <v>181285.58230935922</v>
      </c>
      <c r="AL22" s="190">
        <f t="shared" si="10"/>
        <v>0</v>
      </c>
      <c r="AM22" s="190">
        <f t="shared" si="10"/>
        <v>0</v>
      </c>
      <c r="AN22" s="190">
        <f t="shared" si="10"/>
        <v>0</v>
      </c>
      <c r="AO22" s="190">
        <f t="shared" si="10"/>
        <v>0</v>
      </c>
      <c r="AP22" s="190">
        <f t="shared" si="10"/>
        <v>0</v>
      </c>
      <c r="AQ22" s="190">
        <f t="shared" si="10"/>
        <v>0</v>
      </c>
      <c r="AR22" s="190">
        <f t="shared" si="10"/>
        <v>0</v>
      </c>
      <c r="AS22" s="190">
        <f t="shared" si="10"/>
        <v>0</v>
      </c>
      <c r="AT22" s="190">
        <f t="shared" si="10"/>
        <v>0</v>
      </c>
      <c r="AU22" s="190">
        <f t="shared" si="10"/>
        <v>0</v>
      </c>
    </row>
    <row r="23" spans="2:47">
      <c r="B23" s="38" t="s">
        <v>274</v>
      </c>
      <c r="E23" s="49"/>
      <c r="G23" s="36" t="s">
        <v>16</v>
      </c>
      <c r="H23" s="28"/>
      <c r="I23" s="28"/>
      <c r="J23" s="527"/>
      <c r="K23" s="28"/>
      <c r="L23" s="43" t="str">
        <f t="shared" si="5"/>
        <v>[2013 $]</v>
      </c>
      <c r="M23" s="28"/>
      <c r="N23" s="191">
        <f t="shared" ca="1" si="6"/>
        <v>181994.54263963987</v>
      </c>
      <c r="O23" s="189"/>
      <c r="P23" s="321"/>
      <c r="Q23" s="189"/>
      <c r="R23" s="190">
        <f t="shared" ref="R23:AU23" ca="1" si="11">IF($P23=0,SUMIF($B$96:$B$496,$B23,R$96:R$496),IF(OR(S$99&lt;InServiceYr,S$99&gt;(InServiceYr+analysis_period)),0,$P23*(1+LaborEsc)^(R$16-FirstYr)))</f>
        <v>10715.248621989449</v>
      </c>
      <c r="S23" s="190">
        <f t="shared" ca="1" si="11"/>
        <v>10997.555399812476</v>
      </c>
      <c r="T23" s="190">
        <f t="shared" ca="1" si="11"/>
        <v>12289.727371740839</v>
      </c>
      <c r="U23" s="190">
        <f t="shared" ca="1" si="11"/>
        <v>12993.914615435611</v>
      </c>
      <c r="V23" s="190">
        <f t="shared" ca="1" si="11"/>
        <v>13863.410437601218</v>
      </c>
      <c r="W23" s="190">
        <f t="shared" ca="1" si="11"/>
        <v>14422.918549395286</v>
      </c>
      <c r="X23" s="190">
        <f t="shared" ca="1" si="11"/>
        <v>14877.177049494727</v>
      </c>
      <c r="Y23" s="190">
        <f t="shared" ca="1" si="11"/>
        <v>15439.837562862853</v>
      </c>
      <c r="Z23" s="190">
        <f t="shared" ca="1" si="11"/>
        <v>16241.546250958922</v>
      </c>
      <c r="AA23" s="190">
        <f t="shared" ca="1" si="11"/>
        <v>17054.819189388843</v>
      </c>
      <c r="AB23" s="190">
        <f t="shared" ca="1" si="11"/>
        <v>17648.385371778721</v>
      </c>
      <c r="AC23" s="190">
        <f t="shared" ca="1" si="11"/>
        <v>18087.59821284817</v>
      </c>
      <c r="AD23" s="190">
        <f t="shared" ca="1" si="11"/>
        <v>18729.773447488798</v>
      </c>
      <c r="AE23" s="190">
        <f t="shared" ca="1" si="11"/>
        <v>19188.8270513889</v>
      </c>
      <c r="AF23" s="190">
        <f t="shared" ca="1" si="11"/>
        <v>19855.782822459205</v>
      </c>
      <c r="AG23" s="190">
        <f t="shared" ca="1" si="11"/>
        <v>20506.281237273528</v>
      </c>
      <c r="AH23" s="190">
        <f t="shared" ca="1" si="11"/>
        <v>21127.55401943421</v>
      </c>
      <c r="AI23" s="190">
        <f t="shared" ca="1" si="11"/>
        <v>21900.006740886663</v>
      </c>
      <c r="AJ23" s="190">
        <f t="shared" ca="1" si="11"/>
        <v>22619.486982298957</v>
      </c>
      <c r="AK23" s="190">
        <f t="shared" ca="1" si="11"/>
        <v>23525.850269209273</v>
      </c>
      <c r="AL23" s="190">
        <f t="shared" si="11"/>
        <v>0</v>
      </c>
      <c r="AM23" s="190">
        <f t="shared" si="11"/>
        <v>0</v>
      </c>
      <c r="AN23" s="190">
        <f t="shared" si="11"/>
        <v>0</v>
      </c>
      <c r="AO23" s="190">
        <f t="shared" si="11"/>
        <v>0</v>
      </c>
      <c r="AP23" s="190">
        <f t="shared" si="11"/>
        <v>0</v>
      </c>
      <c r="AQ23" s="190">
        <f t="shared" si="11"/>
        <v>0</v>
      </c>
      <c r="AR23" s="190">
        <f t="shared" si="11"/>
        <v>0</v>
      </c>
      <c r="AS23" s="190">
        <f t="shared" si="11"/>
        <v>0</v>
      </c>
      <c r="AT23" s="190">
        <f t="shared" si="11"/>
        <v>0</v>
      </c>
      <c r="AU23" s="190">
        <f t="shared" si="11"/>
        <v>0</v>
      </c>
    </row>
    <row r="24" spans="2:47">
      <c r="B24" s="38" t="s">
        <v>257</v>
      </c>
      <c r="E24" s="49"/>
      <c r="G24" s="36" t="s">
        <v>284</v>
      </c>
      <c r="H24" s="28"/>
      <c r="I24" s="28"/>
      <c r="J24" s="527"/>
      <c r="K24" s="28"/>
      <c r="L24" s="43" t="str">
        <f t="shared" si="5"/>
        <v>[2013 $]</v>
      </c>
      <c r="M24" s="28"/>
      <c r="N24" s="191">
        <f t="shared" ca="1" si="6"/>
        <v>518234.64341922704</v>
      </c>
      <c r="O24" s="189"/>
      <c r="P24" s="321"/>
      <c r="Q24" s="189"/>
      <c r="R24" s="190">
        <f t="shared" ref="R24:AU24" ca="1" si="12">IF($P24=0,SUMIF($B$96:$B$496,$B24,R$96:R$496),IF(OR(S$99&lt;InServiceYr,S$99&gt;(InServiceYr+analysis_period)),0,$P24*(1+LaborEsc)^(R$16-FirstYr)))</f>
        <v>37740.169731963499</v>
      </c>
      <c r="S24" s="190">
        <f t="shared" ca="1" si="12"/>
        <v>37975.424260517218</v>
      </c>
      <c r="T24" s="190">
        <f t="shared" ca="1" si="12"/>
        <v>39612.542578726847</v>
      </c>
      <c r="U24" s="190">
        <f t="shared" ca="1" si="12"/>
        <v>40800.819731709707</v>
      </c>
      <c r="V24" s="190">
        <f t="shared" ca="1" si="12"/>
        <v>41785.388814267222</v>
      </c>
      <c r="W24" s="190">
        <f t="shared" ca="1" si="12"/>
        <v>42319.961110697659</v>
      </c>
      <c r="X24" s="190">
        <f t="shared" ca="1" si="12"/>
        <v>43008.611544785199</v>
      </c>
      <c r="Y24" s="190">
        <f t="shared" ca="1" si="12"/>
        <v>44068.256136865668</v>
      </c>
      <c r="Z24" s="190">
        <f t="shared" ca="1" si="12"/>
        <v>45123.280237794766</v>
      </c>
      <c r="AA24" s="190">
        <f t="shared" ca="1" si="12"/>
        <v>46251.473073761335</v>
      </c>
      <c r="AB24" s="190">
        <f t="shared" ca="1" si="12"/>
        <v>47253.270869982465</v>
      </c>
      <c r="AC24" s="190">
        <f t="shared" ca="1" si="12"/>
        <v>48163.196804629726</v>
      </c>
      <c r="AD24" s="190">
        <f t="shared" ca="1" si="12"/>
        <v>49275.756879244989</v>
      </c>
      <c r="AE24" s="190">
        <f t="shared" ca="1" si="12"/>
        <v>50398.833104052959</v>
      </c>
      <c r="AF24" s="190">
        <f t="shared" ca="1" si="12"/>
        <v>51597.146226819983</v>
      </c>
      <c r="AG24" s="190">
        <f t="shared" ca="1" si="12"/>
        <v>52939.539374006672</v>
      </c>
      <c r="AH24" s="190">
        <f t="shared" ca="1" si="12"/>
        <v>54236.952966323923</v>
      </c>
      <c r="AI24" s="190">
        <f t="shared" ca="1" si="12"/>
        <v>55643.945321837382</v>
      </c>
      <c r="AJ24" s="190">
        <f t="shared" ca="1" si="12"/>
        <v>57133.451002082133</v>
      </c>
      <c r="AK24" s="190">
        <f t="shared" ca="1" si="12"/>
        <v>58687.667467844025</v>
      </c>
      <c r="AL24" s="190">
        <f t="shared" si="12"/>
        <v>0</v>
      </c>
      <c r="AM24" s="190">
        <f t="shared" si="12"/>
        <v>0</v>
      </c>
      <c r="AN24" s="190">
        <f t="shared" si="12"/>
        <v>0</v>
      </c>
      <c r="AO24" s="190">
        <f t="shared" si="12"/>
        <v>0</v>
      </c>
      <c r="AP24" s="190">
        <f t="shared" si="12"/>
        <v>0</v>
      </c>
      <c r="AQ24" s="190">
        <f t="shared" si="12"/>
        <v>0</v>
      </c>
      <c r="AR24" s="190">
        <f t="shared" si="12"/>
        <v>0</v>
      </c>
      <c r="AS24" s="190">
        <f t="shared" si="12"/>
        <v>0</v>
      </c>
      <c r="AT24" s="190">
        <f t="shared" si="12"/>
        <v>0</v>
      </c>
      <c r="AU24" s="190">
        <f t="shared" si="12"/>
        <v>0</v>
      </c>
    </row>
    <row r="25" spans="2:47">
      <c r="B25" s="38" t="s">
        <v>864</v>
      </c>
      <c r="E25" s="49"/>
      <c r="G25" s="36" t="s">
        <v>865</v>
      </c>
      <c r="H25" s="28"/>
      <c r="I25" s="28"/>
      <c r="J25" s="527"/>
      <c r="K25" s="28"/>
      <c r="L25" s="43" t="str">
        <f t="shared" si="5"/>
        <v>[2013 $]</v>
      </c>
      <c r="M25" s="28"/>
      <c r="N25" s="191">
        <f t="shared" ca="1" si="6"/>
        <v>0</v>
      </c>
      <c r="O25" s="189"/>
      <c r="P25" s="321"/>
      <c r="Q25" s="189"/>
      <c r="R25" s="190">
        <f t="shared" ref="R25:AU25" ca="1" si="13">IF($P25=0,SUMIF($B$96:$B$496,$B25,R$96:R$496),IF(OR(S$99&lt;InServiceYr,S$99&gt;(InServiceYr+analysis_period)),0,$P25*(1+LaborEsc)^(R$16-FirstYr)))</f>
        <v>0</v>
      </c>
      <c r="S25" s="190">
        <f t="shared" ca="1" si="13"/>
        <v>0</v>
      </c>
      <c r="T25" s="190">
        <f t="shared" ca="1" si="13"/>
        <v>0</v>
      </c>
      <c r="U25" s="190">
        <f t="shared" ca="1" si="13"/>
        <v>0</v>
      </c>
      <c r="V25" s="190">
        <f t="shared" ca="1" si="13"/>
        <v>0</v>
      </c>
      <c r="W25" s="190">
        <f t="shared" ca="1" si="13"/>
        <v>0</v>
      </c>
      <c r="X25" s="190">
        <f t="shared" ca="1" si="13"/>
        <v>0</v>
      </c>
      <c r="Y25" s="190">
        <f t="shared" ca="1" si="13"/>
        <v>0</v>
      </c>
      <c r="Z25" s="190">
        <f t="shared" ca="1" si="13"/>
        <v>0</v>
      </c>
      <c r="AA25" s="190">
        <f t="shared" ca="1" si="13"/>
        <v>0</v>
      </c>
      <c r="AB25" s="190">
        <f t="shared" ca="1" si="13"/>
        <v>0</v>
      </c>
      <c r="AC25" s="190">
        <f t="shared" ca="1" si="13"/>
        <v>0</v>
      </c>
      <c r="AD25" s="190">
        <f t="shared" ca="1" si="13"/>
        <v>0</v>
      </c>
      <c r="AE25" s="190">
        <f t="shared" ca="1" si="13"/>
        <v>0</v>
      </c>
      <c r="AF25" s="190">
        <f t="shared" ca="1" si="13"/>
        <v>0</v>
      </c>
      <c r="AG25" s="190">
        <f t="shared" ca="1" si="13"/>
        <v>0</v>
      </c>
      <c r="AH25" s="190">
        <f t="shared" ca="1" si="13"/>
        <v>0</v>
      </c>
      <c r="AI25" s="190">
        <f t="shared" ca="1" si="13"/>
        <v>0</v>
      </c>
      <c r="AJ25" s="190">
        <f t="shared" ca="1" si="13"/>
        <v>0</v>
      </c>
      <c r="AK25" s="190">
        <f t="shared" ca="1" si="13"/>
        <v>0</v>
      </c>
      <c r="AL25" s="190">
        <f t="shared" si="13"/>
        <v>0</v>
      </c>
      <c r="AM25" s="190">
        <f t="shared" si="13"/>
        <v>0</v>
      </c>
      <c r="AN25" s="190">
        <f t="shared" si="13"/>
        <v>0</v>
      </c>
      <c r="AO25" s="190">
        <f t="shared" si="13"/>
        <v>0</v>
      </c>
      <c r="AP25" s="190">
        <f t="shared" si="13"/>
        <v>0</v>
      </c>
      <c r="AQ25" s="190">
        <f t="shared" si="13"/>
        <v>0</v>
      </c>
      <c r="AR25" s="190">
        <f t="shared" si="13"/>
        <v>0</v>
      </c>
      <c r="AS25" s="190">
        <f t="shared" si="13"/>
        <v>0</v>
      </c>
      <c r="AT25" s="190">
        <f t="shared" si="13"/>
        <v>0</v>
      </c>
      <c r="AU25" s="190">
        <f t="shared" si="13"/>
        <v>0</v>
      </c>
    </row>
    <row r="26" spans="2:47">
      <c r="B26" s="38" t="s">
        <v>273</v>
      </c>
      <c r="E26" s="49"/>
      <c r="G26" s="36" t="s">
        <v>291</v>
      </c>
      <c r="H26" s="28"/>
      <c r="I26" s="28"/>
      <c r="J26" s="527"/>
      <c r="K26" s="28"/>
      <c r="L26" s="43" t="str">
        <f t="shared" si="5"/>
        <v>[2013 $]</v>
      </c>
      <c r="M26" s="28"/>
      <c r="N26" s="191">
        <f t="shared" ca="1" si="6"/>
        <v>0</v>
      </c>
      <c r="O26" s="189"/>
      <c r="P26" s="321"/>
      <c r="Q26" s="189"/>
      <c r="R26" s="190">
        <f t="shared" ref="R26:AU26" ca="1" si="14">IF($P26=0,SUMIF($B$96:$B$496,$B26,R$96:R$496),IF(OR(S$99&lt;InServiceYr,S$99&gt;(InServiceYr+analysis_period)),0,$P26*(1+LaborEsc)^(R$16-FirstYr)))</f>
        <v>0</v>
      </c>
      <c r="S26" s="190">
        <f t="shared" ca="1" si="14"/>
        <v>0</v>
      </c>
      <c r="T26" s="190">
        <f t="shared" ca="1" si="14"/>
        <v>0</v>
      </c>
      <c r="U26" s="190">
        <f t="shared" ca="1" si="14"/>
        <v>0</v>
      </c>
      <c r="V26" s="190">
        <f t="shared" ca="1" si="14"/>
        <v>0</v>
      </c>
      <c r="W26" s="190">
        <f t="shared" ca="1" si="14"/>
        <v>0</v>
      </c>
      <c r="X26" s="190">
        <f t="shared" ca="1" si="14"/>
        <v>0</v>
      </c>
      <c r="Y26" s="190">
        <f t="shared" ca="1" si="14"/>
        <v>0</v>
      </c>
      <c r="Z26" s="190">
        <f t="shared" ca="1" si="14"/>
        <v>0</v>
      </c>
      <c r="AA26" s="190">
        <f t="shared" ca="1" si="14"/>
        <v>0</v>
      </c>
      <c r="AB26" s="190">
        <f t="shared" ca="1" si="14"/>
        <v>0</v>
      </c>
      <c r="AC26" s="190">
        <f t="shared" ca="1" si="14"/>
        <v>0</v>
      </c>
      <c r="AD26" s="190">
        <f t="shared" ca="1" si="14"/>
        <v>0</v>
      </c>
      <c r="AE26" s="190">
        <f t="shared" ca="1" si="14"/>
        <v>0</v>
      </c>
      <c r="AF26" s="190">
        <f t="shared" ca="1" si="14"/>
        <v>0</v>
      </c>
      <c r="AG26" s="190">
        <f t="shared" ca="1" si="14"/>
        <v>0</v>
      </c>
      <c r="AH26" s="190">
        <f t="shared" ca="1" si="14"/>
        <v>0</v>
      </c>
      <c r="AI26" s="190">
        <f t="shared" ca="1" si="14"/>
        <v>0</v>
      </c>
      <c r="AJ26" s="190">
        <f t="shared" ca="1" si="14"/>
        <v>0</v>
      </c>
      <c r="AK26" s="190">
        <f t="shared" ca="1" si="14"/>
        <v>0</v>
      </c>
      <c r="AL26" s="190">
        <f t="shared" si="14"/>
        <v>0</v>
      </c>
      <c r="AM26" s="190">
        <f t="shared" si="14"/>
        <v>0</v>
      </c>
      <c r="AN26" s="190">
        <f t="shared" si="14"/>
        <v>0</v>
      </c>
      <c r="AO26" s="190">
        <f t="shared" si="14"/>
        <v>0</v>
      </c>
      <c r="AP26" s="190">
        <f t="shared" si="14"/>
        <v>0</v>
      </c>
      <c r="AQ26" s="190">
        <f t="shared" si="14"/>
        <v>0</v>
      </c>
      <c r="AR26" s="190">
        <f t="shared" si="14"/>
        <v>0</v>
      </c>
      <c r="AS26" s="190">
        <f t="shared" si="14"/>
        <v>0</v>
      </c>
      <c r="AT26" s="190">
        <f t="shared" si="14"/>
        <v>0</v>
      </c>
      <c r="AU26" s="190">
        <f t="shared" si="14"/>
        <v>0</v>
      </c>
    </row>
    <row r="27" spans="2:47">
      <c r="E27" s="49"/>
      <c r="G27" s="36" t="s">
        <v>497</v>
      </c>
      <c r="H27" s="28"/>
      <c r="I27" s="28"/>
      <c r="J27" s="527"/>
      <c r="K27" s="28"/>
      <c r="L27" s="43" t="str">
        <f t="shared" si="5"/>
        <v>[2013 $]</v>
      </c>
      <c r="M27" s="28"/>
      <c r="N27" s="191">
        <f t="shared" si="6"/>
        <v>0</v>
      </c>
      <c r="O27" s="189"/>
      <c r="P27" s="319"/>
      <c r="Q27" s="189"/>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row>
    <row r="28" spans="2:47">
      <c r="E28" s="49"/>
      <c r="G28" s="36" t="s">
        <v>498</v>
      </c>
      <c r="H28" s="28"/>
      <c r="I28" s="28"/>
      <c r="J28" s="527"/>
      <c r="K28" s="28"/>
      <c r="L28" s="43" t="str">
        <f t="shared" si="5"/>
        <v>[2013 $]</v>
      </c>
      <c r="M28" s="28"/>
      <c r="N28" s="191">
        <f t="shared" si="6"/>
        <v>0</v>
      </c>
      <c r="O28" s="189"/>
      <c r="P28" s="319"/>
      <c r="Q28" s="189"/>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row>
    <row r="29" spans="2:47">
      <c r="E29" s="49"/>
      <c r="G29" s="36" t="s">
        <v>499</v>
      </c>
      <c r="H29" s="28"/>
      <c r="I29" s="28"/>
      <c r="J29" s="527"/>
      <c r="K29" s="28"/>
      <c r="L29" s="43" t="str">
        <f t="shared" si="5"/>
        <v>[2013 $]</v>
      </c>
      <c r="M29" s="28"/>
      <c r="N29" s="191">
        <f t="shared" si="6"/>
        <v>0</v>
      </c>
      <c r="O29" s="189"/>
      <c r="P29" s="319"/>
      <c r="Q29" s="189"/>
      <c r="R29" s="321"/>
      <c r="S29" s="321"/>
      <c r="T29" s="321"/>
      <c r="U29" s="321"/>
      <c r="V29" s="321"/>
      <c r="W29" s="32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c r="AT29" s="321"/>
      <c r="AU29" s="321"/>
    </row>
    <row r="30" spans="2:47">
      <c r="E30" s="49"/>
      <c r="G30" s="39" t="s">
        <v>304</v>
      </c>
      <c r="H30" s="28"/>
      <c r="I30" s="28"/>
      <c r="J30" s="28"/>
      <c r="K30" s="28"/>
      <c r="L30" s="968"/>
      <c r="M30" s="28"/>
      <c r="N30" s="60"/>
      <c r="O30" s="312"/>
      <c r="Q30" s="312"/>
    </row>
    <row r="31" spans="2:47">
      <c r="B31" s="38" t="s">
        <v>265</v>
      </c>
      <c r="E31" s="49"/>
      <c r="G31" s="36" t="s">
        <v>108</v>
      </c>
      <c r="H31" s="28"/>
      <c r="I31" s="28"/>
      <c r="J31" s="28"/>
      <c r="K31" s="28"/>
      <c r="L31" s="43" t="str">
        <f>"["&amp;FirstYr-1&amp;" $]"</f>
        <v>[2013 $]</v>
      </c>
      <c r="M31" s="28"/>
      <c r="N31" s="191">
        <f t="shared" ref="N31:N36" ca="1" si="15">NPV(DiscountRt,R31:AU31)</f>
        <v>0</v>
      </c>
      <c r="O31" s="189"/>
      <c r="P31" s="321"/>
      <c r="Q31" s="189"/>
      <c r="R31" s="190">
        <f t="shared" ref="R31:AU31" ca="1" si="16">IF($P31=0,SUMIF($B$96:$B$496,$B31,R$96:R$496),IF(OR(S$99&lt;InServiceYr,S$99&gt;(InServiceYr+analysis_period)),0,$P31*(1+LaborEsc)^(R$16-FirstYr)))</f>
        <v>0</v>
      </c>
      <c r="S31" s="190">
        <f t="shared" ca="1" si="16"/>
        <v>0</v>
      </c>
      <c r="T31" s="190">
        <f t="shared" ca="1" si="16"/>
        <v>0</v>
      </c>
      <c r="U31" s="190">
        <f t="shared" ca="1" si="16"/>
        <v>0</v>
      </c>
      <c r="V31" s="190">
        <f t="shared" ca="1" si="16"/>
        <v>0</v>
      </c>
      <c r="W31" s="190">
        <f t="shared" ca="1" si="16"/>
        <v>0</v>
      </c>
      <c r="X31" s="190">
        <f t="shared" ca="1" si="16"/>
        <v>0</v>
      </c>
      <c r="Y31" s="190">
        <f t="shared" ca="1" si="16"/>
        <v>0</v>
      </c>
      <c r="Z31" s="190">
        <f t="shared" ca="1" si="16"/>
        <v>0</v>
      </c>
      <c r="AA31" s="190">
        <f t="shared" ca="1" si="16"/>
        <v>0</v>
      </c>
      <c r="AB31" s="190">
        <f t="shared" ca="1" si="16"/>
        <v>0</v>
      </c>
      <c r="AC31" s="190">
        <f t="shared" ca="1" si="16"/>
        <v>0</v>
      </c>
      <c r="AD31" s="190">
        <f t="shared" ca="1" si="16"/>
        <v>0</v>
      </c>
      <c r="AE31" s="190">
        <f t="shared" ca="1" si="16"/>
        <v>0</v>
      </c>
      <c r="AF31" s="190">
        <f t="shared" ca="1" si="16"/>
        <v>0</v>
      </c>
      <c r="AG31" s="190">
        <f t="shared" ca="1" si="16"/>
        <v>0</v>
      </c>
      <c r="AH31" s="190">
        <f t="shared" ca="1" si="16"/>
        <v>0</v>
      </c>
      <c r="AI31" s="190">
        <f t="shared" ca="1" si="16"/>
        <v>0</v>
      </c>
      <c r="AJ31" s="190">
        <f t="shared" ca="1" si="16"/>
        <v>0</v>
      </c>
      <c r="AK31" s="190">
        <f t="shared" ca="1" si="16"/>
        <v>0</v>
      </c>
      <c r="AL31" s="190">
        <f t="shared" si="16"/>
        <v>0</v>
      </c>
      <c r="AM31" s="190">
        <f t="shared" si="16"/>
        <v>0</v>
      </c>
      <c r="AN31" s="190">
        <f t="shared" si="16"/>
        <v>0</v>
      </c>
      <c r="AO31" s="190">
        <f t="shared" si="16"/>
        <v>0</v>
      </c>
      <c r="AP31" s="190">
        <f t="shared" si="16"/>
        <v>0</v>
      </c>
      <c r="AQ31" s="190">
        <f t="shared" si="16"/>
        <v>0</v>
      </c>
      <c r="AR31" s="190">
        <f t="shared" si="16"/>
        <v>0</v>
      </c>
      <c r="AS31" s="190">
        <f t="shared" si="16"/>
        <v>0</v>
      </c>
      <c r="AT31" s="190">
        <f t="shared" si="16"/>
        <v>0</v>
      </c>
      <c r="AU31" s="190">
        <f t="shared" si="16"/>
        <v>0</v>
      </c>
    </row>
    <row r="32" spans="2:47">
      <c r="B32" s="38" t="s">
        <v>289</v>
      </c>
      <c r="E32" s="49"/>
      <c r="G32" s="36" t="s">
        <v>292</v>
      </c>
      <c r="H32" s="28"/>
      <c r="I32" s="28"/>
      <c r="J32" s="28"/>
      <c r="K32" s="28"/>
      <c r="L32" s="43" t="str">
        <f>"["&amp;FirstYr-1&amp;" $]"</f>
        <v>[2013 $]</v>
      </c>
      <c r="M32" s="28"/>
      <c r="N32" s="191">
        <f t="shared" ca="1" si="15"/>
        <v>0</v>
      </c>
      <c r="O32" s="189"/>
      <c r="P32" s="321"/>
      <c r="Q32" s="189"/>
      <c r="R32" s="190">
        <f t="shared" ref="R32:AU32" ca="1" si="17">IF($P32=0,SUMIF($B$96:$B$496,$B32,R$96:R$496),IF(OR(S$99&lt;InServiceYr,S$99&gt;(InServiceYr+analysis_period)),0,$P32*(1+LaborEsc)^(R$16-FirstYr)))</f>
        <v>0</v>
      </c>
      <c r="S32" s="190">
        <f t="shared" ca="1" si="17"/>
        <v>0</v>
      </c>
      <c r="T32" s="190">
        <f t="shared" ca="1" si="17"/>
        <v>0</v>
      </c>
      <c r="U32" s="190">
        <f t="shared" ca="1" si="17"/>
        <v>0</v>
      </c>
      <c r="V32" s="190">
        <f t="shared" ca="1" si="17"/>
        <v>0</v>
      </c>
      <c r="W32" s="190">
        <f t="shared" ca="1" si="17"/>
        <v>0</v>
      </c>
      <c r="X32" s="190">
        <f t="shared" ca="1" si="17"/>
        <v>0</v>
      </c>
      <c r="Y32" s="190">
        <f t="shared" ca="1" si="17"/>
        <v>0</v>
      </c>
      <c r="Z32" s="190">
        <f t="shared" ca="1" si="17"/>
        <v>0</v>
      </c>
      <c r="AA32" s="190">
        <f t="shared" ca="1" si="17"/>
        <v>0</v>
      </c>
      <c r="AB32" s="190">
        <f t="shared" ca="1" si="17"/>
        <v>0</v>
      </c>
      <c r="AC32" s="190">
        <f t="shared" ca="1" si="17"/>
        <v>0</v>
      </c>
      <c r="AD32" s="190">
        <f t="shared" ca="1" si="17"/>
        <v>0</v>
      </c>
      <c r="AE32" s="190">
        <f t="shared" ca="1" si="17"/>
        <v>0</v>
      </c>
      <c r="AF32" s="190">
        <f t="shared" ca="1" si="17"/>
        <v>0</v>
      </c>
      <c r="AG32" s="190">
        <f t="shared" ca="1" si="17"/>
        <v>0</v>
      </c>
      <c r="AH32" s="190">
        <f t="shared" ca="1" si="17"/>
        <v>0</v>
      </c>
      <c r="AI32" s="190">
        <f t="shared" ca="1" si="17"/>
        <v>0</v>
      </c>
      <c r="AJ32" s="190">
        <f t="shared" ca="1" si="17"/>
        <v>0</v>
      </c>
      <c r="AK32" s="190">
        <f t="shared" ca="1" si="17"/>
        <v>0</v>
      </c>
      <c r="AL32" s="190">
        <f t="shared" si="17"/>
        <v>0</v>
      </c>
      <c r="AM32" s="190">
        <f t="shared" si="17"/>
        <v>0</v>
      </c>
      <c r="AN32" s="190">
        <f t="shared" si="17"/>
        <v>0</v>
      </c>
      <c r="AO32" s="190">
        <f t="shared" si="17"/>
        <v>0</v>
      </c>
      <c r="AP32" s="190">
        <f t="shared" si="17"/>
        <v>0</v>
      </c>
      <c r="AQ32" s="190">
        <f t="shared" si="17"/>
        <v>0</v>
      </c>
      <c r="AR32" s="190">
        <f t="shared" si="17"/>
        <v>0</v>
      </c>
      <c r="AS32" s="190">
        <f t="shared" si="17"/>
        <v>0</v>
      </c>
      <c r="AT32" s="190">
        <f t="shared" si="17"/>
        <v>0</v>
      </c>
      <c r="AU32" s="190">
        <f t="shared" si="17"/>
        <v>0</v>
      </c>
    </row>
    <row r="33" spans="1:47">
      <c r="E33" s="49"/>
      <c r="G33" s="36" t="s">
        <v>500</v>
      </c>
      <c r="H33" s="28"/>
      <c r="I33" s="28"/>
      <c r="J33" s="28"/>
      <c r="K33" s="28"/>
      <c r="L33" s="43" t="str">
        <f>"["&amp;FirstYr-1&amp;" $]"</f>
        <v>[2013 $]</v>
      </c>
      <c r="M33" s="28"/>
      <c r="N33" s="191">
        <f t="shared" si="15"/>
        <v>0</v>
      </c>
      <c r="O33" s="189"/>
      <c r="P33" s="319"/>
      <c r="Q33" s="189"/>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row>
    <row r="34" spans="1:47">
      <c r="E34" s="49"/>
      <c r="G34" s="36" t="s">
        <v>501</v>
      </c>
      <c r="H34" s="28"/>
      <c r="I34" s="28"/>
      <c r="J34" s="28"/>
      <c r="K34" s="28"/>
      <c r="L34" s="43" t="str">
        <f>"["&amp;FirstYr-1&amp;" $]"</f>
        <v>[2013 $]</v>
      </c>
      <c r="M34" s="28"/>
      <c r="N34" s="191">
        <f t="shared" si="15"/>
        <v>0</v>
      </c>
      <c r="O34" s="189"/>
      <c r="P34" s="319"/>
      <c r="Q34" s="189"/>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row>
    <row r="35" spans="1:47">
      <c r="E35" s="49"/>
      <c r="G35" s="36" t="s">
        <v>502</v>
      </c>
      <c r="H35" s="28"/>
      <c r="I35" s="28"/>
      <c r="J35" s="28"/>
      <c r="K35" s="28"/>
      <c r="L35" s="43" t="str">
        <f>"["&amp;FirstYr-1&amp;" $]"</f>
        <v>[2013 $]</v>
      </c>
      <c r="M35" s="28"/>
      <c r="N35" s="191">
        <f t="shared" si="15"/>
        <v>0</v>
      </c>
      <c r="O35" s="189"/>
      <c r="P35" s="319"/>
      <c r="Q35" s="189"/>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row>
    <row r="36" spans="1:47">
      <c r="E36" s="49"/>
      <c r="G36" s="39" t="s">
        <v>305</v>
      </c>
      <c r="H36" s="42"/>
      <c r="I36" s="42"/>
      <c r="J36" s="42"/>
      <c r="K36" s="42"/>
      <c r="L36" s="43"/>
      <c r="M36" s="43"/>
      <c r="N36" s="189">
        <f t="shared" ca="1" si="15"/>
        <v>18759221.401848733</v>
      </c>
      <c r="O36" s="189"/>
      <c r="P36" s="189"/>
      <c r="Q36" s="189"/>
      <c r="R36" s="189">
        <f t="shared" ref="R36:AU36" ca="1" si="18">SUM(R19:R29)-SUM(R31:R35)</f>
        <v>1394447.4183539529</v>
      </c>
      <c r="S36" s="189">
        <f t="shared" ca="1" si="18"/>
        <v>1421884.8196603297</v>
      </c>
      <c r="T36" s="189">
        <f t="shared" ca="1" si="18"/>
        <v>1452272.3467504673</v>
      </c>
      <c r="U36" s="189">
        <f t="shared" ca="1" si="18"/>
        <v>1482172.2126831454</v>
      </c>
      <c r="V36" s="189">
        <f t="shared" ca="1" si="18"/>
        <v>1512593.8271545882</v>
      </c>
      <c r="W36" s="189">
        <f t="shared" ca="1" si="18"/>
        <v>1542826.8081208677</v>
      </c>
      <c r="X36" s="189">
        <f t="shared" ca="1" si="18"/>
        <v>1573691.3956242695</v>
      </c>
      <c r="Y36" s="189">
        <f t="shared" ca="1" si="18"/>
        <v>1605629.8128703181</v>
      </c>
      <c r="Z36" s="189">
        <f t="shared" ca="1" si="18"/>
        <v>1638408.9800427551</v>
      </c>
      <c r="AA36" s="189">
        <f t="shared" ca="1" si="18"/>
        <v>1671891.3288882314</v>
      </c>
      <c r="AB36" s="189">
        <f t="shared" ca="1" si="18"/>
        <v>1705658.3935993437</v>
      </c>
      <c r="AC36" s="189">
        <f t="shared" ca="1" si="18"/>
        <v>1739822.6671222125</v>
      </c>
      <c r="AD36" s="189">
        <f t="shared" ca="1" si="18"/>
        <v>1775048.8398735633</v>
      </c>
      <c r="AE36" s="189">
        <f t="shared" ca="1" si="18"/>
        <v>1810771.8358932079</v>
      </c>
      <c r="AF36" s="189">
        <f t="shared" ca="1" si="18"/>
        <v>1847460.7883018004</v>
      </c>
      <c r="AG36" s="189">
        <f t="shared" ca="1" si="18"/>
        <v>1884973.8370488521</v>
      </c>
      <c r="AH36" s="189">
        <f t="shared" ca="1" si="18"/>
        <v>1923123.0837520813</v>
      </c>
      <c r="AI36" s="189">
        <f t="shared" ca="1" si="18"/>
        <v>1962257.7003643734</v>
      </c>
      <c r="AJ36" s="189">
        <f t="shared" ca="1" si="18"/>
        <v>2002160.9612520635</v>
      </c>
      <c r="AK36" s="189">
        <f t="shared" ca="1" si="18"/>
        <v>2043069.7014700894</v>
      </c>
      <c r="AL36" s="189">
        <f t="shared" si="18"/>
        <v>0</v>
      </c>
      <c r="AM36" s="189">
        <f t="shared" si="18"/>
        <v>0</v>
      </c>
      <c r="AN36" s="189">
        <f t="shared" si="18"/>
        <v>0</v>
      </c>
      <c r="AO36" s="189">
        <f t="shared" si="18"/>
        <v>0</v>
      </c>
      <c r="AP36" s="189">
        <f t="shared" si="18"/>
        <v>0</v>
      </c>
      <c r="AQ36" s="189">
        <f t="shared" si="18"/>
        <v>0</v>
      </c>
      <c r="AR36" s="189">
        <f t="shared" si="18"/>
        <v>0</v>
      </c>
      <c r="AS36" s="189">
        <f t="shared" si="18"/>
        <v>0</v>
      </c>
      <c r="AT36" s="189">
        <f t="shared" si="18"/>
        <v>0</v>
      </c>
      <c r="AU36" s="189">
        <f t="shared" si="18"/>
        <v>0</v>
      </c>
    </row>
    <row r="37" spans="1:47" s="28" customFormat="1">
      <c r="E37" s="254"/>
      <c r="L37" s="406"/>
      <c r="O37" s="197"/>
      <c r="Q37" s="197"/>
    </row>
    <row r="38" spans="1:47" s="39" customFormat="1">
      <c r="E38" s="254"/>
      <c r="G38" s="194" t="s">
        <v>488</v>
      </c>
      <c r="L38" s="174"/>
      <c r="N38" s="192">
        <f ca="1">SUM(N36,N14)</f>
        <v>50232523.288641185</v>
      </c>
      <c r="O38" s="189"/>
      <c r="P38" s="320"/>
      <c r="Q38" s="189"/>
      <c r="R38" s="192">
        <f t="shared" ref="R38:AU38" ca="1" si="19">SUM(R36,R14)</f>
        <v>34756147.418353952</v>
      </c>
      <c r="S38" s="192">
        <f t="shared" ca="1" si="19"/>
        <v>1421884.8196603297</v>
      </c>
      <c r="T38" s="192">
        <f t="shared" ca="1" si="19"/>
        <v>1452272.3467504673</v>
      </c>
      <c r="U38" s="192">
        <f t="shared" ca="1" si="19"/>
        <v>1482172.2126831454</v>
      </c>
      <c r="V38" s="192">
        <f t="shared" ca="1" si="19"/>
        <v>1512593.8271545882</v>
      </c>
      <c r="W38" s="192">
        <f t="shared" ca="1" si="19"/>
        <v>1542826.8081208677</v>
      </c>
      <c r="X38" s="192">
        <f t="shared" ca="1" si="19"/>
        <v>1573691.3956242695</v>
      </c>
      <c r="Y38" s="192">
        <f t="shared" ca="1" si="19"/>
        <v>1605629.8128703181</v>
      </c>
      <c r="Z38" s="192">
        <f t="shared" ca="1" si="19"/>
        <v>1638408.9800427551</v>
      </c>
      <c r="AA38" s="192">
        <f t="shared" ca="1" si="19"/>
        <v>1671891.3288882314</v>
      </c>
      <c r="AB38" s="192">
        <f t="shared" ca="1" si="19"/>
        <v>1705658.3935993437</v>
      </c>
      <c r="AC38" s="192">
        <f t="shared" ca="1" si="19"/>
        <v>1739822.6671222125</v>
      </c>
      <c r="AD38" s="192">
        <f t="shared" ca="1" si="19"/>
        <v>1775048.8398735633</v>
      </c>
      <c r="AE38" s="192">
        <f t="shared" ca="1" si="19"/>
        <v>1810771.8358932079</v>
      </c>
      <c r="AF38" s="192">
        <f t="shared" ca="1" si="19"/>
        <v>1847460.7883018004</v>
      </c>
      <c r="AG38" s="192">
        <f t="shared" ca="1" si="19"/>
        <v>1884973.8370488521</v>
      </c>
      <c r="AH38" s="192">
        <f t="shared" ca="1" si="19"/>
        <v>1923123.0837520813</v>
      </c>
      <c r="AI38" s="192">
        <f t="shared" ca="1" si="19"/>
        <v>1962257.7003643734</v>
      </c>
      <c r="AJ38" s="192">
        <f t="shared" ca="1" si="19"/>
        <v>2002160.9612520635</v>
      </c>
      <c r="AK38" s="192">
        <f t="shared" ca="1" si="19"/>
        <v>2043069.7014700894</v>
      </c>
      <c r="AL38" s="192">
        <f t="shared" ca="1" si="19"/>
        <v>0</v>
      </c>
      <c r="AM38" s="192">
        <f t="shared" ca="1" si="19"/>
        <v>0</v>
      </c>
      <c r="AN38" s="192">
        <f t="shared" ca="1" si="19"/>
        <v>0</v>
      </c>
      <c r="AO38" s="192">
        <f t="shared" ca="1" si="19"/>
        <v>0</v>
      </c>
      <c r="AP38" s="192">
        <f t="shared" ca="1" si="19"/>
        <v>0</v>
      </c>
      <c r="AQ38" s="192">
        <f t="shared" ca="1" si="19"/>
        <v>0</v>
      </c>
      <c r="AR38" s="192">
        <f t="shared" ca="1" si="19"/>
        <v>0</v>
      </c>
      <c r="AS38" s="192">
        <f t="shared" ca="1" si="19"/>
        <v>0</v>
      </c>
      <c r="AT38" s="192">
        <f t="shared" ca="1" si="19"/>
        <v>0</v>
      </c>
      <c r="AU38" s="192">
        <f t="shared" ca="1" si="19"/>
        <v>0</v>
      </c>
    </row>
    <row r="39" spans="1:47">
      <c r="G39" s="194" t="s">
        <v>537</v>
      </c>
      <c r="Q39" s="42">
        <v>0</v>
      </c>
      <c r="R39" s="198">
        <f ca="1">IF(OR(R$99&lt;InServiceYr,R$99&gt;(InServiceYr+analysis_period-1)),0,NPV(DiscountRt,$R38:R38))</f>
        <v>32788818.319201842</v>
      </c>
      <c r="S39" s="198">
        <f ca="1">IF(OR(S$99&lt;InServiceYr,S$99&gt;(InServiceYr+analysis_period-1)),0,NPV(DiscountRt,$R38:S38))</f>
        <v>34054290.746809825</v>
      </c>
      <c r="T39" s="198">
        <f ca="1">IF(OR(T$99&lt;InServiceYr,T$99&gt;(InServiceYr+analysis_period-1)),0,NPV(DiscountRt,$R38:T38))</f>
        <v>35273646.613356091</v>
      </c>
      <c r="U39" s="198">
        <f ca="1">IF(OR(U$99&lt;InServiceYr,U$99&gt;(InServiceYr+analysis_period-1)),0,NPV(DiscountRt,$R38:U38))</f>
        <v>36447665.830849886</v>
      </c>
      <c r="V39" s="198">
        <f ca="1">IF(OR(V$99&lt;InServiceYr,V$99&gt;(InServiceYr+analysis_period-1)),0,NPV(DiscountRt,$R38:V38))</f>
        <v>37577963.930417895</v>
      </c>
      <c r="W39" s="198">
        <f ca="1">IF(OR(W$99&lt;InServiceYr,W$99&gt;(InServiceYr+analysis_period-1)),0,NPV(DiscountRt,$R38:W38))</f>
        <v>38665595.950875603</v>
      </c>
      <c r="X39" s="198">
        <f ca="1">IF(OR(X$99&lt;InServiceYr,X$99&gt;(InServiceYr+analysis_period-1)),0,NPV(DiscountRt,$R38:X38))</f>
        <v>39712190.60818179</v>
      </c>
      <c r="Y39" s="198">
        <f ca="1">IF(OR(Y$99&lt;InServiceYr,Y$99&gt;(InServiceYr+analysis_period-1)),0,NPV(DiscountRt,$R38:Y38))</f>
        <v>40719582.616571888</v>
      </c>
      <c r="Z39" s="198">
        <f ca="1">IF(OR(Z$99&lt;InServiceYr,Z$99&gt;(InServiceYr+analysis_period-1)),0,NPV(DiscountRt,$R38:Z38))</f>
        <v>41689354.374492995</v>
      </c>
      <c r="AA39" s="198">
        <f ca="1">IF(OR(AA$99&lt;InServiceYr,AA$99&gt;(InServiceYr+analysis_period-1)),0,NPV(DiscountRt,$R38:AA38))</f>
        <v>42622929.760113865</v>
      </c>
      <c r="AB39" s="198">
        <f ca="1">IF(OR(AB$99&lt;InServiceYr,AB$99&gt;(InServiceYr+analysis_period-1)),0,NPV(DiscountRt,$R38:AB38))</f>
        <v>43521449.324441507</v>
      </c>
      <c r="AC39" s="198">
        <f ca="1">IF(OR(AC$99&lt;InServiceYr,AC$99&gt;(InServiceYr+analysis_period-1)),0,NPV(DiscountRt,$R38:AC38))</f>
        <v>44386087.888058074</v>
      </c>
      <c r="AD39" s="198">
        <f ca="1">IF(OR(AD$99&lt;InServiceYr,AD$99&gt;(InServiceYr+analysis_period-1)),0,NPV(DiscountRt,$R38:AD38))</f>
        <v>45218300.050577</v>
      </c>
      <c r="AE39" s="198">
        <f ca="1">IF(OR(AE$99&lt;InServiceYr,AE$99&gt;(InServiceYr+analysis_period-1)),0,NPV(DiscountRt,$R38:AE38))</f>
        <v>46019206.179864116</v>
      </c>
      <c r="AF39" s="198">
        <f ca="1">IF(OR(AF$99&lt;InServiceYr,AF$99&gt;(InServiceYr+analysis_period-1)),0,NPV(DiscountRt,$R38:AF38))</f>
        <v>46790087.017901398</v>
      </c>
      <c r="AG39" s="198">
        <f ca="1">IF(OR(AG$99&lt;InServiceYr,AG$99&gt;(InServiceYr+analysis_period-1)),0,NPV(DiscountRt,$R38:AG38))</f>
        <v>47532099.963751487</v>
      </c>
      <c r="AH39" s="198">
        <f ca="1">IF(OR(AH$99&lt;InServiceYr,AH$99&gt;(InServiceYr+analysis_period-1)),0,NPV(DiscountRt,$R38:AH38))</f>
        <v>48246279.449639469</v>
      </c>
      <c r="AI39" s="198">
        <f ca="1">IF(OR(AI$99&lt;InServiceYr,AI$99&gt;(InServiceYr+analysis_period-1)),0,NPV(DiscountRt,$R38:AI38))</f>
        <v>48933744.251557596</v>
      </c>
      <c r="AJ39" s="198">
        <f ca="1">IF(OR(AJ$99&lt;InServiceYr,AJ$99&gt;(InServiceYr+analysis_period-1)),0,NPV(DiscountRt,$R38:AJ38))</f>
        <v>49595484.498365089</v>
      </c>
      <c r="AK39" s="198">
        <f ca="1">IF(OR(AK$99&lt;InServiceYr,AK$99&gt;(InServiceYr+analysis_period-1)),0,NPV(DiscountRt,$R38:AK38))</f>
        <v>50232523.288641199</v>
      </c>
      <c r="AL39" s="198">
        <f>IF(OR(AL$99&lt;InServiceYr,AL$99&gt;(InServiceYr+analysis_period-1)),0,NPV(DiscountRt,$R38:AL38))</f>
        <v>0</v>
      </c>
      <c r="AM39" s="198">
        <f>IF(OR(AM$99&lt;InServiceYr,AM$99&gt;(InServiceYr+analysis_period-1)),0,NPV(DiscountRt,$R38:AM38))</f>
        <v>0</v>
      </c>
      <c r="AN39" s="198">
        <f>IF(OR(AN$99&lt;InServiceYr,AN$99&gt;(InServiceYr+analysis_period-1)),0,NPV(DiscountRt,$R38:AN38))</f>
        <v>0</v>
      </c>
      <c r="AO39" s="198">
        <f>IF(OR(AO$99&lt;InServiceYr,AO$99&gt;(InServiceYr+analysis_period-1)),0,NPV(DiscountRt,$R38:AO38))</f>
        <v>0</v>
      </c>
      <c r="AP39" s="198">
        <f>IF(OR(AP$99&lt;InServiceYr,AP$99&gt;(InServiceYr+analysis_period-1)),0,NPV(DiscountRt,$R38:AP38))</f>
        <v>0</v>
      </c>
      <c r="AQ39" s="198">
        <f>IF(OR(AQ$99&lt;InServiceYr,AQ$99&gt;(InServiceYr+analysis_period-1)),0,NPV(DiscountRt,$R38:AQ38))</f>
        <v>0</v>
      </c>
      <c r="AR39" s="198">
        <f>IF(OR(AR$99&lt;InServiceYr,AR$99&gt;(InServiceYr+analysis_period-1)),0,NPV(DiscountRt,$R38:AR38))</f>
        <v>0</v>
      </c>
      <c r="AS39" s="198">
        <f>IF(OR(AS$99&lt;InServiceYr,AS$99&gt;(InServiceYr+analysis_period-1)),0,NPV(DiscountRt,$R38:AS38))</f>
        <v>0</v>
      </c>
      <c r="AT39" s="198">
        <f>IF(OR(AT$99&lt;InServiceYr,AT$99&gt;(InServiceYr+analysis_period-1)),0,NPV(DiscountRt,$R38:AT38))</f>
        <v>0</v>
      </c>
      <c r="AU39" s="198">
        <f>IF(OR(AU$99&lt;InServiceYr,AU$99&gt;(InServiceYr+analysis_period-1)),0,NPV(DiscountRt,$R38:AU38))</f>
        <v>0</v>
      </c>
    </row>
    <row r="40" spans="1:47" s="42" customFormat="1">
      <c r="A40" s="317"/>
      <c r="B40" s="317"/>
      <c r="C40" s="317"/>
      <c r="D40" s="317"/>
      <c r="E40" s="317"/>
      <c r="F40" s="317"/>
      <c r="G40" s="318" t="s">
        <v>504</v>
      </c>
      <c r="H40" s="317"/>
      <c r="I40" s="317"/>
      <c r="J40" s="317"/>
      <c r="K40" s="317"/>
      <c r="L40" s="407"/>
      <c r="M40" s="317"/>
      <c r="N40" s="317"/>
      <c r="O40" s="317"/>
      <c r="P40" s="317"/>
      <c r="Q40" s="317"/>
      <c r="R40" s="317">
        <f ca="1">R38/(1+DiscountRt)^(R$8-FirstYr)</f>
        <v>34756147.418353952</v>
      </c>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row>
    <row r="42" spans="1:47" s="28" customFormat="1">
      <c r="A42" s="40"/>
      <c r="B42" s="40"/>
      <c r="C42" s="40"/>
      <c r="D42" s="40"/>
      <c r="G42" s="324" t="s">
        <v>492</v>
      </c>
      <c r="H42" s="324"/>
      <c r="I42" s="324"/>
      <c r="J42" s="324"/>
      <c r="K42" s="324"/>
      <c r="L42" s="405" t="s">
        <v>11</v>
      </c>
      <c r="M42" s="256"/>
      <c r="N42" s="325" t="str">
        <f>"NPV "&amp;FirstYr-1&amp;" $"</f>
        <v>NPV 2013 $</v>
      </c>
      <c r="O42" s="311"/>
      <c r="P42" s="325"/>
      <c r="Q42" s="310"/>
      <c r="R42" s="325">
        <f>R$8</f>
        <v>2014</v>
      </c>
      <c r="S42" s="325">
        <f t="shared" ref="S42:AU42" si="20">S$8</f>
        <v>2015</v>
      </c>
      <c r="T42" s="325">
        <f t="shared" si="20"/>
        <v>2016</v>
      </c>
      <c r="U42" s="325">
        <f t="shared" si="20"/>
        <v>2017</v>
      </c>
      <c r="V42" s="325">
        <f t="shared" si="20"/>
        <v>2018</v>
      </c>
      <c r="W42" s="325">
        <f t="shared" si="20"/>
        <v>2019</v>
      </c>
      <c r="X42" s="325">
        <f t="shared" si="20"/>
        <v>2020</v>
      </c>
      <c r="Y42" s="325">
        <f t="shared" si="20"/>
        <v>2021</v>
      </c>
      <c r="Z42" s="325">
        <f t="shared" si="20"/>
        <v>2022</v>
      </c>
      <c r="AA42" s="325">
        <f t="shared" si="20"/>
        <v>2023</v>
      </c>
      <c r="AB42" s="325">
        <f t="shared" si="20"/>
        <v>2024</v>
      </c>
      <c r="AC42" s="325">
        <f t="shared" si="20"/>
        <v>2025</v>
      </c>
      <c r="AD42" s="325">
        <f t="shared" si="20"/>
        <v>2026</v>
      </c>
      <c r="AE42" s="325">
        <f t="shared" si="20"/>
        <v>2027</v>
      </c>
      <c r="AF42" s="325">
        <f t="shared" si="20"/>
        <v>2028</v>
      </c>
      <c r="AG42" s="325">
        <f t="shared" si="20"/>
        <v>2029</v>
      </c>
      <c r="AH42" s="325">
        <f t="shared" si="20"/>
        <v>2030</v>
      </c>
      <c r="AI42" s="325">
        <f t="shared" si="20"/>
        <v>2031</v>
      </c>
      <c r="AJ42" s="325">
        <f t="shared" si="20"/>
        <v>2032</v>
      </c>
      <c r="AK42" s="325">
        <f t="shared" si="20"/>
        <v>2033</v>
      </c>
      <c r="AL42" s="325">
        <f t="shared" si="20"/>
        <v>2034</v>
      </c>
      <c r="AM42" s="325">
        <f t="shared" si="20"/>
        <v>2035</v>
      </c>
      <c r="AN42" s="325">
        <f t="shared" si="20"/>
        <v>2036</v>
      </c>
      <c r="AO42" s="325">
        <f t="shared" si="20"/>
        <v>2037</v>
      </c>
      <c r="AP42" s="325">
        <f t="shared" si="20"/>
        <v>2038</v>
      </c>
      <c r="AQ42" s="325">
        <f t="shared" si="20"/>
        <v>2039</v>
      </c>
      <c r="AR42" s="325">
        <f t="shared" si="20"/>
        <v>2040</v>
      </c>
      <c r="AS42" s="325">
        <f t="shared" si="20"/>
        <v>2041</v>
      </c>
      <c r="AT42" s="325">
        <f t="shared" si="20"/>
        <v>2042</v>
      </c>
      <c r="AU42" s="325">
        <f t="shared" si="20"/>
        <v>2043</v>
      </c>
    </row>
    <row r="43" spans="1:47" s="28" customFormat="1">
      <c r="E43" s="254"/>
      <c r="L43" s="406"/>
      <c r="O43" s="197"/>
      <c r="Q43" s="197"/>
    </row>
    <row r="44" spans="1:47" s="28" customFormat="1">
      <c r="E44" s="254"/>
      <c r="G44" s="39" t="s">
        <v>19</v>
      </c>
      <c r="L44" s="406"/>
      <c r="O44" s="197"/>
      <c r="Q44" s="197"/>
    </row>
    <row r="45" spans="1:47" s="28" customFormat="1">
      <c r="E45" s="254"/>
      <c r="G45" s="36" t="s">
        <v>315</v>
      </c>
      <c r="L45" s="43" t="s">
        <v>12</v>
      </c>
      <c r="N45" s="189">
        <f t="shared" ref="N45:N64" ca="1" si="21">NPV(DiscountRt,R45:AU45)</f>
        <v>0</v>
      </c>
      <c r="O45" s="189"/>
      <c r="P45" s="319"/>
      <c r="Q45" s="189"/>
      <c r="R45" s="190">
        <f t="shared" ref="R45:AU45" ca="1" si="22">R96</f>
        <v>0</v>
      </c>
      <c r="S45" s="190">
        <f t="shared" ca="1" si="22"/>
        <v>0</v>
      </c>
      <c r="T45" s="190">
        <f t="shared" ca="1" si="22"/>
        <v>0</v>
      </c>
      <c r="U45" s="190">
        <f t="shared" ca="1" si="22"/>
        <v>0</v>
      </c>
      <c r="V45" s="190">
        <f t="shared" ca="1" si="22"/>
        <v>0</v>
      </c>
      <c r="W45" s="190">
        <f t="shared" ca="1" si="22"/>
        <v>0</v>
      </c>
      <c r="X45" s="190">
        <f t="shared" ca="1" si="22"/>
        <v>0</v>
      </c>
      <c r="Y45" s="190">
        <f t="shared" ca="1" si="22"/>
        <v>0</v>
      </c>
      <c r="Z45" s="190">
        <f t="shared" ca="1" si="22"/>
        <v>0</v>
      </c>
      <c r="AA45" s="190">
        <f t="shared" ca="1" si="22"/>
        <v>0</v>
      </c>
      <c r="AB45" s="190">
        <f t="shared" ca="1" si="22"/>
        <v>0</v>
      </c>
      <c r="AC45" s="190">
        <f t="shared" ca="1" si="22"/>
        <v>0</v>
      </c>
      <c r="AD45" s="190">
        <f t="shared" ca="1" si="22"/>
        <v>0</v>
      </c>
      <c r="AE45" s="190">
        <f t="shared" ca="1" si="22"/>
        <v>0</v>
      </c>
      <c r="AF45" s="190">
        <f t="shared" ca="1" si="22"/>
        <v>0</v>
      </c>
      <c r="AG45" s="190">
        <f t="shared" ca="1" si="22"/>
        <v>0</v>
      </c>
      <c r="AH45" s="190">
        <f t="shared" ca="1" si="22"/>
        <v>0</v>
      </c>
      <c r="AI45" s="190">
        <f t="shared" ca="1" si="22"/>
        <v>0</v>
      </c>
      <c r="AJ45" s="190">
        <f t="shared" ca="1" si="22"/>
        <v>0</v>
      </c>
      <c r="AK45" s="190">
        <f t="shared" ca="1" si="22"/>
        <v>0</v>
      </c>
      <c r="AL45" s="190">
        <f t="shared" ca="1" si="22"/>
        <v>0</v>
      </c>
      <c r="AM45" s="190">
        <f t="shared" ca="1" si="22"/>
        <v>0</v>
      </c>
      <c r="AN45" s="190">
        <f t="shared" ca="1" si="22"/>
        <v>0</v>
      </c>
      <c r="AO45" s="190">
        <f t="shared" ca="1" si="22"/>
        <v>0</v>
      </c>
      <c r="AP45" s="190">
        <f t="shared" ca="1" si="22"/>
        <v>0</v>
      </c>
      <c r="AQ45" s="190">
        <f t="shared" ca="1" si="22"/>
        <v>0</v>
      </c>
      <c r="AR45" s="190">
        <f t="shared" ca="1" si="22"/>
        <v>0</v>
      </c>
      <c r="AS45" s="190">
        <f t="shared" ca="1" si="22"/>
        <v>0</v>
      </c>
      <c r="AT45" s="190">
        <f t="shared" ca="1" si="22"/>
        <v>0</v>
      </c>
      <c r="AU45" s="190">
        <f t="shared" ca="1" si="22"/>
        <v>0</v>
      </c>
    </row>
    <row r="46" spans="1:47" s="28" customFormat="1">
      <c r="E46" s="254"/>
      <c r="G46" s="36" t="s">
        <v>153</v>
      </c>
      <c r="L46" s="43" t="s">
        <v>12</v>
      </c>
      <c r="N46" s="189">
        <f t="shared" ca="1" si="21"/>
        <v>935745.28301886783</v>
      </c>
      <c r="O46" s="189"/>
      <c r="P46" s="319"/>
      <c r="Q46" s="189"/>
      <c r="R46" s="190">
        <f t="shared" ref="R46:AU46" ca="1" si="23">R117</f>
        <v>991890</v>
      </c>
      <c r="S46" s="190">
        <f t="shared" ca="1" si="23"/>
        <v>0</v>
      </c>
      <c r="T46" s="190">
        <f t="shared" ca="1" si="23"/>
        <v>0</v>
      </c>
      <c r="U46" s="190">
        <f t="shared" ca="1" si="23"/>
        <v>0</v>
      </c>
      <c r="V46" s="190">
        <f t="shared" ca="1" si="23"/>
        <v>0</v>
      </c>
      <c r="W46" s="190">
        <f t="shared" ca="1" si="23"/>
        <v>0</v>
      </c>
      <c r="X46" s="190">
        <f t="shared" ca="1" si="23"/>
        <v>0</v>
      </c>
      <c r="Y46" s="190">
        <f t="shared" ca="1" si="23"/>
        <v>0</v>
      </c>
      <c r="Z46" s="190">
        <f t="shared" ca="1" si="23"/>
        <v>0</v>
      </c>
      <c r="AA46" s="190">
        <f t="shared" ca="1" si="23"/>
        <v>0</v>
      </c>
      <c r="AB46" s="190">
        <f t="shared" ca="1" si="23"/>
        <v>0</v>
      </c>
      <c r="AC46" s="190">
        <f t="shared" ca="1" si="23"/>
        <v>0</v>
      </c>
      <c r="AD46" s="190">
        <f t="shared" ca="1" si="23"/>
        <v>0</v>
      </c>
      <c r="AE46" s="190">
        <f t="shared" ca="1" si="23"/>
        <v>0</v>
      </c>
      <c r="AF46" s="190">
        <f t="shared" ca="1" si="23"/>
        <v>0</v>
      </c>
      <c r="AG46" s="190">
        <f t="shared" ca="1" si="23"/>
        <v>0</v>
      </c>
      <c r="AH46" s="190">
        <f t="shared" ca="1" si="23"/>
        <v>0</v>
      </c>
      <c r="AI46" s="190">
        <f t="shared" ca="1" si="23"/>
        <v>0</v>
      </c>
      <c r="AJ46" s="190">
        <f t="shared" ca="1" si="23"/>
        <v>0</v>
      </c>
      <c r="AK46" s="190">
        <f t="shared" ca="1" si="23"/>
        <v>0</v>
      </c>
      <c r="AL46" s="190">
        <f t="shared" ca="1" si="23"/>
        <v>0</v>
      </c>
      <c r="AM46" s="190">
        <f t="shared" ca="1" si="23"/>
        <v>0</v>
      </c>
      <c r="AN46" s="190">
        <f t="shared" ca="1" si="23"/>
        <v>0</v>
      </c>
      <c r="AO46" s="190">
        <f t="shared" ca="1" si="23"/>
        <v>0</v>
      </c>
      <c r="AP46" s="190">
        <f t="shared" ca="1" si="23"/>
        <v>0</v>
      </c>
      <c r="AQ46" s="190">
        <f t="shared" ca="1" si="23"/>
        <v>0</v>
      </c>
      <c r="AR46" s="190">
        <f t="shared" ca="1" si="23"/>
        <v>0</v>
      </c>
      <c r="AS46" s="190">
        <f t="shared" ca="1" si="23"/>
        <v>0</v>
      </c>
      <c r="AT46" s="190">
        <f t="shared" ca="1" si="23"/>
        <v>0</v>
      </c>
      <c r="AU46" s="190">
        <f t="shared" ca="1" si="23"/>
        <v>0</v>
      </c>
    </row>
    <row r="47" spans="1:47" s="28" customFormat="1">
      <c r="E47" s="254"/>
      <c r="G47" s="36" t="s">
        <v>143</v>
      </c>
      <c r="L47" s="43" t="s">
        <v>12</v>
      </c>
      <c r="N47" s="189">
        <f t="shared" ca="1" si="21"/>
        <v>0</v>
      </c>
      <c r="O47" s="189"/>
      <c r="P47" s="319"/>
      <c r="Q47" s="189"/>
      <c r="R47" s="190">
        <f t="shared" ref="R47:AU47" ca="1" si="24">R138</f>
        <v>0</v>
      </c>
      <c r="S47" s="190">
        <f t="shared" ca="1" si="24"/>
        <v>0</v>
      </c>
      <c r="T47" s="190">
        <f t="shared" ca="1" si="24"/>
        <v>0</v>
      </c>
      <c r="U47" s="190">
        <f t="shared" ca="1" si="24"/>
        <v>0</v>
      </c>
      <c r="V47" s="190">
        <f t="shared" ca="1" si="24"/>
        <v>0</v>
      </c>
      <c r="W47" s="190">
        <f t="shared" ca="1" si="24"/>
        <v>0</v>
      </c>
      <c r="X47" s="190">
        <f t="shared" ca="1" si="24"/>
        <v>0</v>
      </c>
      <c r="Y47" s="190">
        <f t="shared" ca="1" si="24"/>
        <v>0</v>
      </c>
      <c r="Z47" s="190">
        <f t="shared" ca="1" si="24"/>
        <v>0</v>
      </c>
      <c r="AA47" s="190">
        <f t="shared" ca="1" si="24"/>
        <v>0</v>
      </c>
      <c r="AB47" s="190">
        <f t="shared" ca="1" si="24"/>
        <v>0</v>
      </c>
      <c r="AC47" s="190">
        <f t="shared" ca="1" si="24"/>
        <v>0</v>
      </c>
      <c r="AD47" s="190">
        <f t="shared" ca="1" si="24"/>
        <v>0</v>
      </c>
      <c r="AE47" s="190">
        <f t="shared" ca="1" si="24"/>
        <v>0</v>
      </c>
      <c r="AF47" s="190">
        <f t="shared" ca="1" si="24"/>
        <v>0</v>
      </c>
      <c r="AG47" s="190">
        <f t="shared" ca="1" si="24"/>
        <v>0</v>
      </c>
      <c r="AH47" s="190">
        <f t="shared" ca="1" si="24"/>
        <v>0</v>
      </c>
      <c r="AI47" s="190">
        <f t="shared" ca="1" si="24"/>
        <v>0</v>
      </c>
      <c r="AJ47" s="190">
        <f t="shared" ca="1" si="24"/>
        <v>0</v>
      </c>
      <c r="AK47" s="190">
        <f t="shared" ca="1" si="24"/>
        <v>0</v>
      </c>
      <c r="AL47" s="190">
        <f t="shared" ca="1" si="24"/>
        <v>0</v>
      </c>
      <c r="AM47" s="190">
        <f t="shared" ca="1" si="24"/>
        <v>0</v>
      </c>
      <c r="AN47" s="190">
        <f t="shared" ca="1" si="24"/>
        <v>0</v>
      </c>
      <c r="AO47" s="190">
        <f t="shared" ca="1" si="24"/>
        <v>0</v>
      </c>
      <c r="AP47" s="190">
        <f t="shared" ca="1" si="24"/>
        <v>0</v>
      </c>
      <c r="AQ47" s="190">
        <f t="shared" ca="1" si="24"/>
        <v>0</v>
      </c>
      <c r="AR47" s="190">
        <f t="shared" ca="1" si="24"/>
        <v>0</v>
      </c>
      <c r="AS47" s="190">
        <f t="shared" ca="1" si="24"/>
        <v>0</v>
      </c>
      <c r="AT47" s="190">
        <f t="shared" ca="1" si="24"/>
        <v>0</v>
      </c>
      <c r="AU47" s="190">
        <f t="shared" ca="1" si="24"/>
        <v>0</v>
      </c>
    </row>
    <row r="48" spans="1:47" s="28" customFormat="1">
      <c r="E48" s="254"/>
      <c r="G48" s="36" t="s">
        <v>316</v>
      </c>
      <c r="L48" s="43" t="s">
        <v>12</v>
      </c>
      <c r="N48" s="189">
        <f t="shared" ca="1" si="21"/>
        <v>0</v>
      </c>
      <c r="O48" s="189"/>
      <c r="P48" s="319"/>
      <c r="Q48" s="189"/>
      <c r="R48" s="190">
        <f t="shared" ref="R48:AU48" ca="1" si="25">R159</f>
        <v>0</v>
      </c>
      <c r="S48" s="190">
        <f t="shared" ca="1" si="25"/>
        <v>0</v>
      </c>
      <c r="T48" s="190">
        <f t="shared" ca="1" si="25"/>
        <v>0</v>
      </c>
      <c r="U48" s="190">
        <f t="shared" ca="1" si="25"/>
        <v>0</v>
      </c>
      <c r="V48" s="190">
        <f t="shared" ca="1" si="25"/>
        <v>0</v>
      </c>
      <c r="W48" s="190">
        <f t="shared" ca="1" si="25"/>
        <v>0</v>
      </c>
      <c r="X48" s="190">
        <f t="shared" ca="1" si="25"/>
        <v>0</v>
      </c>
      <c r="Y48" s="190">
        <f t="shared" ca="1" si="25"/>
        <v>0</v>
      </c>
      <c r="Z48" s="190">
        <f t="shared" ca="1" si="25"/>
        <v>0</v>
      </c>
      <c r="AA48" s="190">
        <f t="shared" ca="1" si="25"/>
        <v>0</v>
      </c>
      <c r="AB48" s="190">
        <f t="shared" ca="1" si="25"/>
        <v>0</v>
      </c>
      <c r="AC48" s="190">
        <f t="shared" ca="1" si="25"/>
        <v>0</v>
      </c>
      <c r="AD48" s="190">
        <f t="shared" ca="1" si="25"/>
        <v>0</v>
      </c>
      <c r="AE48" s="190">
        <f t="shared" ca="1" si="25"/>
        <v>0</v>
      </c>
      <c r="AF48" s="190">
        <f t="shared" ca="1" si="25"/>
        <v>0</v>
      </c>
      <c r="AG48" s="190">
        <f t="shared" ca="1" si="25"/>
        <v>0</v>
      </c>
      <c r="AH48" s="190">
        <f t="shared" ca="1" si="25"/>
        <v>0</v>
      </c>
      <c r="AI48" s="190">
        <f t="shared" ca="1" si="25"/>
        <v>0</v>
      </c>
      <c r="AJ48" s="190">
        <f t="shared" ca="1" si="25"/>
        <v>0</v>
      </c>
      <c r="AK48" s="190">
        <f t="shared" ca="1" si="25"/>
        <v>0</v>
      </c>
      <c r="AL48" s="190">
        <f t="shared" ca="1" si="25"/>
        <v>0</v>
      </c>
      <c r="AM48" s="190">
        <f t="shared" ca="1" si="25"/>
        <v>0</v>
      </c>
      <c r="AN48" s="190">
        <f t="shared" ca="1" si="25"/>
        <v>0</v>
      </c>
      <c r="AO48" s="190">
        <f t="shared" ca="1" si="25"/>
        <v>0</v>
      </c>
      <c r="AP48" s="190">
        <f t="shared" ca="1" si="25"/>
        <v>0</v>
      </c>
      <c r="AQ48" s="190">
        <f t="shared" ca="1" si="25"/>
        <v>0</v>
      </c>
      <c r="AR48" s="190">
        <f t="shared" ca="1" si="25"/>
        <v>0</v>
      </c>
      <c r="AS48" s="190">
        <f t="shared" ca="1" si="25"/>
        <v>0</v>
      </c>
      <c r="AT48" s="190">
        <f t="shared" ca="1" si="25"/>
        <v>0</v>
      </c>
      <c r="AU48" s="190">
        <f t="shared" ca="1" si="25"/>
        <v>0</v>
      </c>
    </row>
    <row r="49" spans="5:47" s="28" customFormat="1">
      <c r="E49" s="254"/>
      <c r="G49" s="36" t="s">
        <v>317</v>
      </c>
      <c r="L49" s="43" t="s">
        <v>12</v>
      </c>
      <c r="N49" s="189">
        <f t="shared" ca="1" si="21"/>
        <v>0</v>
      </c>
      <c r="O49" s="189"/>
      <c r="P49" s="319"/>
      <c r="Q49" s="189"/>
      <c r="R49" s="190">
        <f t="shared" ref="R49:AU49" ca="1" si="26">R180</f>
        <v>0</v>
      </c>
      <c r="S49" s="190">
        <f t="shared" ca="1" si="26"/>
        <v>0</v>
      </c>
      <c r="T49" s="190">
        <f t="shared" ca="1" si="26"/>
        <v>0</v>
      </c>
      <c r="U49" s="190">
        <f t="shared" ca="1" si="26"/>
        <v>0</v>
      </c>
      <c r="V49" s="190">
        <f t="shared" ca="1" si="26"/>
        <v>0</v>
      </c>
      <c r="W49" s="190">
        <f t="shared" ca="1" si="26"/>
        <v>0</v>
      </c>
      <c r="X49" s="190">
        <f t="shared" ca="1" si="26"/>
        <v>0</v>
      </c>
      <c r="Y49" s="190">
        <f t="shared" ca="1" si="26"/>
        <v>0</v>
      </c>
      <c r="Z49" s="190">
        <f t="shared" ca="1" si="26"/>
        <v>0</v>
      </c>
      <c r="AA49" s="190">
        <f t="shared" ca="1" si="26"/>
        <v>0</v>
      </c>
      <c r="AB49" s="190">
        <f t="shared" ca="1" si="26"/>
        <v>0</v>
      </c>
      <c r="AC49" s="190">
        <f t="shared" ca="1" si="26"/>
        <v>0</v>
      </c>
      <c r="AD49" s="190">
        <f t="shared" ca="1" si="26"/>
        <v>0</v>
      </c>
      <c r="AE49" s="190">
        <f t="shared" ca="1" si="26"/>
        <v>0</v>
      </c>
      <c r="AF49" s="190">
        <f t="shared" ca="1" si="26"/>
        <v>0</v>
      </c>
      <c r="AG49" s="190">
        <f t="shared" ca="1" si="26"/>
        <v>0</v>
      </c>
      <c r="AH49" s="190">
        <f t="shared" ca="1" si="26"/>
        <v>0</v>
      </c>
      <c r="AI49" s="190">
        <f t="shared" ca="1" si="26"/>
        <v>0</v>
      </c>
      <c r="AJ49" s="190">
        <f t="shared" ca="1" si="26"/>
        <v>0</v>
      </c>
      <c r="AK49" s="190">
        <f t="shared" ca="1" si="26"/>
        <v>0</v>
      </c>
      <c r="AL49" s="190">
        <f t="shared" ca="1" si="26"/>
        <v>0</v>
      </c>
      <c r="AM49" s="190">
        <f t="shared" ca="1" si="26"/>
        <v>0</v>
      </c>
      <c r="AN49" s="190">
        <f t="shared" ca="1" si="26"/>
        <v>0</v>
      </c>
      <c r="AO49" s="190">
        <f t="shared" ca="1" si="26"/>
        <v>0</v>
      </c>
      <c r="AP49" s="190">
        <f t="shared" ca="1" si="26"/>
        <v>0</v>
      </c>
      <c r="AQ49" s="190">
        <f t="shared" ca="1" si="26"/>
        <v>0</v>
      </c>
      <c r="AR49" s="190">
        <f t="shared" ca="1" si="26"/>
        <v>0</v>
      </c>
      <c r="AS49" s="190">
        <f t="shared" ca="1" si="26"/>
        <v>0</v>
      </c>
      <c r="AT49" s="190">
        <f t="shared" ca="1" si="26"/>
        <v>0</v>
      </c>
      <c r="AU49" s="190">
        <f t="shared" ca="1" si="26"/>
        <v>0</v>
      </c>
    </row>
    <row r="50" spans="5:47" s="28" customFormat="1">
      <c r="E50" s="254"/>
      <c r="G50" s="36" t="s">
        <v>318</v>
      </c>
      <c r="L50" s="43" t="s">
        <v>12</v>
      </c>
      <c r="N50" s="189">
        <f t="shared" ca="1" si="21"/>
        <v>0</v>
      </c>
      <c r="O50" s="189"/>
      <c r="P50" s="319"/>
      <c r="Q50" s="189"/>
      <c r="R50" s="190">
        <f t="shared" ref="R50:AU50" ca="1" si="27">R201</f>
        <v>0</v>
      </c>
      <c r="S50" s="190">
        <f t="shared" ca="1" si="27"/>
        <v>0</v>
      </c>
      <c r="T50" s="190">
        <f t="shared" ca="1" si="27"/>
        <v>0</v>
      </c>
      <c r="U50" s="190">
        <f t="shared" ca="1" si="27"/>
        <v>0</v>
      </c>
      <c r="V50" s="190">
        <f t="shared" ca="1" si="27"/>
        <v>0</v>
      </c>
      <c r="W50" s="190">
        <f t="shared" ca="1" si="27"/>
        <v>0</v>
      </c>
      <c r="X50" s="190">
        <f t="shared" ca="1" si="27"/>
        <v>0</v>
      </c>
      <c r="Y50" s="190">
        <f t="shared" ca="1" si="27"/>
        <v>0</v>
      </c>
      <c r="Z50" s="190">
        <f t="shared" ca="1" si="27"/>
        <v>0</v>
      </c>
      <c r="AA50" s="190">
        <f t="shared" ca="1" si="27"/>
        <v>0</v>
      </c>
      <c r="AB50" s="190">
        <f t="shared" ca="1" si="27"/>
        <v>0</v>
      </c>
      <c r="AC50" s="190">
        <f t="shared" ca="1" si="27"/>
        <v>0</v>
      </c>
      <c r="AD50" s="190">
        <f t="shared" ca="1" si="27"/>
        <v>0</v>
      </c>
      <c r="AE50" s="190">
        <f t="shared" ca="1" si="27"/>
        <v>0</v>
      </c>
      <c r="AF50" s="190">
        <f t="shared" ca="1" si="27"/>
        <v>0</v>
      </c>
      <c r="AG50" s="190">
        <f t="shared" ca="1" si="27"/>
        <v>0</v>
      </c>
      <c r="AH50" s="190">
        <f t="shared" ca="1" si="27"/>
        <v>0</v>
      </c>
      <c r="AI50" s="190">
        <f t="shared" ca="1" si="27"/>
        <v>0</v>
      </c>
      <c r="AJ50" s="190">
        <f t="shared" ca="1" si="27"/>
        <v>0</v>
      </c>
      <c r="AK50" s="190">
        <f t="shared" ca="1" si="27"/>
        <v>0</v>
      </c>
      <c r="AL50" s="190">
        <f t="shared" ca="1" si="27"/>
        <v>0</v>
      </c>
      <c r="AM50" s="190">
        <f t="shared" ca="1" si="27"/>
        <v>0</v>
      </c>
      <c r="AN50" s="190">
        <f t="shared" ca="1" si="27"/>
        <v>0</v>
      </c>
      <c r="AO50" s="190">
        <f t="shared" ca="1" si="27"/>
        <v>0</v>
      </c>
      <c r="AP50" s="190">
        <f t="shared" ca="1" si="27"/>
        <v>0</v>
      </c>
      <c r="AQ50" s="190">
        <f t="shared" ca="1" si="27"/>
        <v>0</v>
      </c>
      <c r="AR50" s="190">
        <f t="shared" ca="1" si="27"/>
        <v>0</v>
      </c>
      <c r="AS50" s="190">
        <f t="shared" ca="1" si="27"/>
        <v>0</v>
      </c>
      <c r="AT50" s="190">
        <f t="shared" ca="1" si="27"/>
        <v>0</v>
      </c>
      <c r="AU50" s="190">
        <f t="shared" ca="1" si="27"/>
        <v>0</v>
      </c>
    </row>
    <row r="51" spans="5:47" s="28" customFormat="1">
      <c r="E51" s="254"/>
      <c r="G51" s="36" t="s">
        <v>319</v>
      </c>
      <c r="L51" s="43" t="s">
        <v>12</v>
      </c>
      <c r="N51" s="189">
        <f t="shared" ca="1" si="21"/>
        <v>4690386.7924528299</v>
      </c>
      <c r="O51" s="189"/>
      <c r="P51" s="319"/>
      <c r="Q51" s="189"/>
      <c r="R51" s="190">
        <f t="shared" ref="R51:AU51" ca="1" si="28">R222</f>
        <v>4971810</v>
      </c>
      <c r="S51" s="190">
        <f t="shared" ca="1" si="28"/>
        <v>0</v>
      </c>
      <c r="T51" s="190">
        <f t="shared" ca="1" si="28"/>
        <v>0</v>
      </c>
      <c r="U51" s="190">
        <f t="shared" ca="1" si="28"/>
        <v>0</v>
      </c>
      <c r="V51" s="190">
        <f t="shared" ca="1" si="28"/>
        <v>0</v>
      </c>
      <c r="W51" s="190">
        <f t="shared" ca="1" si="28"/>
        <v>0</v>
      </c>
      <c r="X51" s="190">
        <f t="shared" ca="1" si="28"/>
        <v>0</v>
      </c>
      <c r="Y51" s="190">
        <f t="shared" ca="1" si="28"/>
        <v>0</v>
      </c>
      <c r="Z51" s="190">
        <f t="shared" ca="1" si="28"/>
        <v>0</v>
      </c>
      <c r="AA51" s="190">
        <f t="shared" ca="1" si="28"/>
        <v>0</v>
      </c>
      <c r="AB51" s="190">
        <f t="shared" ca="1" si="28"/>
        <v>0</v>
      </c>
      <c r="AC51" s="190">
        <f t="shared" ca="1" si="28"/>
        <v>0</v>
      </c>
      <c r="AD51" s="190">
        <f t="shared" ca="1" si="28"/>
        <v>0</v>
      </c>
      <c r="AE51" s="190">
        <f t="shared" ca="1" si="28"/>
        <v>0</v>
      </c>
      <c r="AF51" s="190">
        <f t="shared" ca="1" si="28"/>
        <v>0</v>
      </c>
      <c r="AG51" s="190">
        <f t="shared" ca="1" si="28"/>
        <v>0</v>
      </c>
      <c r="AH51" s="190">
        <f t="shared" ca="1" si="28"/>
        <v>0</v>
      </c>
      <c r="AI51" s="190">
        <f t="shared" ca="1" si="28"/>
        <v>0</v>
      </c>
      <c r="AJ51" s="190">
        <f t="shared" ca="1" si="28"/>
        <v>0</v>
      </c>
      <c r="AK51" s="190">
        <f t="shared" ca="1" si="28"/>
        <v>0</v>
      </c>
      <c r="AL51" s="190">
        <f t="shared" ca="1" si="28"/>
        <v>0</v>
      </c>
      <c r="AM51" s="190">
        <f t="shared" ca="1" si="28"/>
        <v>0</v>
      </c>
      <c r="AN51" s="190">
        <f t="shared" ca="1" si="28"/>
        <v>0</v>
      </c>
      <c r="AO51" s="190">
        <f t="shared" ca="1" si="28"/>
        <v>0</v>
      </c>
      <c r="AP51" s="190">
        <f t="shared" ca="1" si="28"/>
        <v>0</v>
      </c>
      <c r="AQ51" s="190">
        <f t="shared" ca="1" si="28"/>
        <v>0</v>
      </c>
      <c r="AR51" s="190">
        <f t="shared" ca="1" si="28"/>
        <v>0</v>
      </c>
      <c r="AS51" s="190">
        <f t="shared" ca="1" si="28"/>
        <v>0</v>
      </c>
      <c r="AT51" s="190">
        <f t="shared" ca="1" si="28"/>
        <v>0</v>
      </c>
      <c r="AU51" s="190">
        <f t="shared" ca="1" si="28"/>
        <v>0</v>
      </c>
    </row>
    <row r="52" spans="5:47" s="28" customFormat="1">
      <c r="E52" s="254"/>
      <c r="G52" s="36" t="s">
        <v>320</v>
      </c>
      <c r="L52" s="43" t="s">
        <v>12</v>
      </c>
      <c r="N52" s="189">
        <f t="shared" ca="1" si="21"/>
        <v>9687830.1886792444</v>
      </c>
      <c r="O52" s="189"/>
      <c r="P52" s="319"/>
      <c r="Q52" s="189"/>
      <c r="R52" s="190">
        <f t="shared" ref="R52:AU52" ca="1" si="29">R243</f>
        <v>10269100</v>
      </c>
      <c r="S52" s="190">
        <f t="shared" ca="1" si="29"/>
        <v>0</v>
      </c>
      <c r="T52" s="190">
        <f t="shared" ca="1" si="29"/>
        <v>0</v>
      </c>
      <c r="U52" s="190">
        <f t="shared" ca="1" si="29"/>
        <v>0</v>
      </c>
      <c r="V52" s="190">
        <f t="shared" ca="1" si="29"/>
        <v>0</v>
      </c>
      <c r="W52" s="190">
        <f t="shared" ca="1" si="29"/>
        <v>0</v>
      </c>
      <c r="X52" s="190">
        <f t="shared" ca="1" si="29"/>
        <v>0</v>
      </c>
      <c r="Y52" s="190">
        <f t="shared" ca="1" si="29"/>
        <v>0</v>
      </c>
      <c r="Z52" s="190">
        <f t="shared" ca="1" si="29"/>
        <v>0</v>
      </c>
      <c r="AA52" s="190">
        <f t="shared" ca="1" si="29"/>
        <v>0</v>
      </c>
      <c r="AB52" s="190">
        <f t="shared" ca="1" si="29"/>
        <v>0</v>
      </c>
      <c r="AC52" s="190">
        <f t="shared" ca="1" si="29"/>
        <v>0</v>
      </c>
      <c r="AD52" s="190">
        <f t="shared" ca="1" si="29"/>
        <v>0</v>
      </c>
      <c r="AE52" s="190">
        <f t="shared" ca="1" si="29"/>
        <v>0</v>
      </c>
      <c r="AF52" s="190">
        <f t="shared" ca="1" si="29"/>
        <v>0</v>
      </c>
      <c r="AG52" s="190">
        <f t="shared" ca="1" si="29"/>
        <v>0</v>
      </c>
      <c r="AH52" s="190">
        <f t="shared" ca="1" si="29"/>
        <v>0</v>
      </c>
      <c r="AI52" s="190">
        <f t="shared" ca="1" si="29"/>
        <v>0</v>
      </c>
      <c r="AJ52" s="190">
        <f t="shared" ca="1" si="29"/>
        <v>0</v>
      </c>
      <c r="AK52" s="190">
        <f t="shared" ca="1" si="29"/>
        <v>0</v>
      </c>
      <c r="AL52" s="190">
        <f t="shared" ca="1" si="29"/>
        <v>0</v>
      </c>
      <c r="AM52" s="190">
        <f t="shared" ca="1" si="29"/>
        <v>0</v>
      </c>
      <c r="AN52" s="190">
        <f t="shared" ca="1" si="29"/>
        <v>0</v>
      </c>
      <c r="AO52" s="190">
        <f t="shared" ca="1" si="29"/>
        <v>0</v>
      </c>
      <c r="AP52" s="190">
        <f t="shared" ca="1" si="29"/>
        <v>0</v>
      </c>
      <c r="AQ52" s="190">
        <f t="shared" ca="1" si="29"/>
        <v>0</v>
      </c>
      <c r="AR52" s="190">
        <f t="shared" ca="1" si="29"/>
        <v>0</v>
      </c>
      <c r="AS52" s="190">
        <f t="shared" ca="1" si="29"/>
        <v>0</v>
      </c>
      <c r="AT52" s="190">
        <f t="shared" ca="1" si="29"/>
        <v>0</v>
      </c>
      <c r="AU52" s="190">
        <f t="shared" ca="1" si="29"/>
        <v>0</v>
      </c>
    </row>
    <row r="53" spans="5:47" s="28" customFormat="1">
      <c r="E53" s="254"/>
      <c r="G53" s="36" t="s">
        <v>321</v>
      </c>
      <c r="L53" s="43" t="s">
        <v>12</v>
      </c>
      <c r="N53" s="189">
        <f t="shared" ca="1" si="21"/>
        <v>0</v>
      </c>
      <c r="O53" s="189"/>
      <c r="P53" s="319"/>
      <c r="Q53" s="189"/>
      <c r="R53" s="190">
        <f t="shared" ref="R53:AU53" ca="1" si="30">R264</f>
        <v>0</v>
      </c>
      <c r="S53" s="190">
        <f t="shared" ca="1" si="30"/>
        <v>0</v>
      </c>
      <c r="T53" s="190">
        <f t="shared" ca="1" si="30"/>
        <v>0</v>
      </c>
      <c r="U53" s="190">
        <f t="shared" ca="1" si="30"/>
        <v>0</v>
      </c>
      <c r="V53" s="190">
        <f t="shared" ca="1" si="30"/>
        <v>0</v>
      </c>
      <c r="W53" s="190">
        <f t="shared" ca="1" si="30"/>
        <v>0</v>
      </c>
      <c r="X53" s="190">
        <f t="shared" ca="1" si="30"/>
        <v>0</v>
      </c>
      <c r="Y53" s="190">
        <f t="shared" ca="1" si="30"/>
        <v>0</v>
      </c>
      <c r="Z53" s="190">
        <f t="shared" ca="1" si="30"/>
        <v>0</v>
      </c>
      <c r="AA53" s="190">
        <f t="shared" ca="1" si="30"/>
        <v>0</v>
      </c>
      <c r="AB53" s="190">
        <f t="shared" ca="1" si="30"/>
        <v>0</v>
      </c>
      <c r="AC53" s="190">
        <f t="shared" ca="1" si="30"/>
        <v>0</v>
      </c>
      <c r="AD53" s="190">
        <f t="shared" ca="1" si="30"/>
        <v>0</v>
      </c>
      <c r="AE53" s="190">
        <f t="shared" ca="1" si="30"/>
        <v>0</v>
      </c>
      <c r="AF53" s="190">
        <f t="shared" ca="1" si="30"/>
        <v>0</v>
      </c>
      <c r="AG53" s="190">
        <f t="shared" ca="1" si="30"/>
        <v>0</v>
      </c>
      <c r="AH53" s="190">
        <f t="shared" ca="1" si="30"/>
        <v>0</v>
      </c>
      <c r="AI53" s="190">
        <f t="shared" ca="1" si="30"/>
        <v>0</v>
      </c>
      <c r="AJ53" s="190">
        <f t="shared" ca="1" si="30"/>
        <v>0</v>
      </c>
      <c r="AK53" s="190">
        <f t="shared" ca="1" si="30"/>
        <v>0</v>
      </c>
      <c r="AL53" s="190">
        <f t="shared" ca="1" si="30"/>
        <v>0</v>
      </c>
      <c r="AM53" s="190">
        <f t="shared" ca="1" si="30"/>
        <v>0</v>
      </c>
      <c r="AN53" s="190">
        <f t="shared" ca="1" si="30"/>
        <v>0</v>
      </c>
      <c r="AO53" s="190">
        <f t="shared" ca="1" si="30"/>
        <v>0</v>
      </c>
      <c r="AP53" s="190">
        <f t="shared" ca="1" si="30"/>
        <v>0</v>
      </c>
      <c r="AQ53" s="190">
        <f t="shared" ca="1" si="30"/>
        <v>0</v>
      </c>
      <c r="AR53" s="190">
        <f t="shared" ca="1" si="30"/>
        <v>0</v>
      </c>
      <c r="AS53" s="190">
        <f t="shared" ca="1" si="30"/>
        <v>0</v>
      </c>
      <c r="AT53" s="190">
        <f t="shared" ca="1" si="30"/>
        <v>0</v>
      </c>
      <c r="AU53" s="190">
        <f t="shared" ca="1" si="30"/>
        <v>0</v>
      </c>
    </row>
    <row r="54" spans="5:47" s="28" customFormat="1">
      <c r="E54" s="254"/>
      <c r="G54" s="36" t="s">
        <v>160</v>
      </c>
      <c r="L54" s="43" t="s">
        <v>12</v>
      </c>
      <c r="N54" s="189">
        <f t="shared" ca="1" si="21"/>
        <v>0</v>
      </c>
      <c r="O54" s="189"/>
      <c r="P54" s="319"/>
      <c r="Q54" s="189"/>
      <c r="R54" s="190">
        <f t="shared" ref="R54:AU54" ca="1" si="31">R285</f>
        <v>0</v>
      </c>
      <c r="S54" s="190">
        <f t="shared" ca="1" si="31"/>
        <v>0</v>
      </c>
      <c r="T54" s="190">
        <f t="shared" ca="1" si="31"/>
        <v>0</v>
      </c>
      <c r="U54" s="190">
        <f t="shared" ca="1" si="31"/>
        <v>0</v>
      </c>
      <c r="V54" s="190">
        <f t="shared" ca="1" si="31"/>
        <v>0</v>
      </c>
      <c r="W54" s="190">
        <f t="shared" ca="1" si="31"/>
        <v>0</v>
      </c>
      <c r="X54" s="190">
        <f t="shared" ca="1" si="31"/>
        <v>0</v>
      </c>
      <c r="Y54" s="190">
        <f t="shared" ca="1" si="31"/>
        <v>0</v>
      </c>
      <c r="Z54" s="190">
        <f t="shared" ca="1" si="31"/>
        <v>0</v>
      </c>
      <c r="AA54" s="190">
        <f t="shared" ca="1" si="31"/>
        <v>0</v>
      </c>
      <c r="AB54" s="190">
        <f t="shared" ca="1" si="31"/>
        <v>0</v>
      </c>
      <c r="AC54" s="190">
        <f t="shared" ca="1" si="31"/>
        <v>0</v>
      </c>
      <c r="AD54" s="190">
        <f t="shared" ca="1" si="31"/>
        <v>0</v>
      </c>
      <c r="AE54" s="190">
        <f t="shared" ca="1" si="31"/>
        <v>0</v>
      </c>
      <c r="AF54" s="190">
        <f t="shared" ca="1" si="31"/>
        <v>0</v>
      </c>
      <c r="AG54" s="190">
        <f t="shared" ca="1" si="31"/>
        <v>0</v>
      </c>
      <c r="AH54" s="190">
        <f t="shared" ca="1" si="31"/>
        <v>0</v>
      </c>
      <c r="AI54" s="190">
        <f t="shared" ca="1" si="31"/>
        <v>0</v>
      </c>
      <c r="AJ54" s="190">
        <f t="shared" ca="1" si="31"/>
        <v>0</v>
      </c>
      <c r="AK54" s="190">
        <f t="shared" ca="1" si="31"/>
        <v>0</v>
      </c>
      <c r="AL54" s="190">
        <f t="shared" ca="1" si="31"/>
        <v>0</v>
      </c>
      <c r="AM54" s="190">
        <f t="shared" ca="1" si="31"/>
        <v>0</v>
      </c>
      <c r="AN54" s="190">
        <f t="shared" ca="1" si="31"/>
        <v>0</v>
      </c>
      <c r="AO54" s="190">
        <f t="shared" ca="1" si="31"/>
        <v>0</v>
      </c>
      <c r="AP54" s="190">
        <f t="shared" ca="1" si="31"/>
        <v>0</v>
      </c>
      <c r="AQ54" s="190">
        <f t="shared" ca="1" si="31"/>
        <v>0</v>
      </c>
      <c r="AR54" s="190">
        <f t="shared" ca="1" si="31"/>
        <v>0</v>
      </c>
      <c r="AS54" s="190">
        <f t="shared" ca="1" si="31"/>
        <v>0</v>
      </c>
      <c r="AT54" s="190">
        <f t="shared" ca="1" si="31"/>
        <v>0</v>
      </c>
      <c r="AU54" s="190">
        <f t="shared" ca="1" si="31"/>
        <v>0</v>
      </c>
    </row>
    <row r="55" spans="5:47" s="28" customFormat="1">
      <c r="E55" s="254"/>
      <c r="G55" s="36" t="s">
        <v>161</v>
      </c>
      <c r="L55" s="43" t="s">
        <v>12</v>
      </c>
      <c r="N55" s="189">
        <f t="shared" ca="1" si="21"/>
        <v>0</v>
      </c>
      <c r="O55" s="189"/>
      <c r="P55" s="319"/>
      <c r="Q55" s="189"/>
      <c r="R55" s="190">
        <f t="shared" ref="R55:AU55" ca="1" si="32">R306</f>
        <v>0</v>
      </c>
      <c r="S55" s="190">
        <f t="shared" ca="1" si="32"/>
        <v>0</v>
      </c>
      <c r="T55" s="190">
        <f t="shared" ca="1" si="32"/>
        <v>0</v>
      </c>
      <c r="U55" s="190">
        <f t="shared" ca="1" si="32"/>
        <v>0</v>
      </c>
      <c r="V55" s="190">
        <f t="shared" ca="1" si="32"/>
        <v>0</v>
      </c>
      <c r="W55" s="190">
        <f t="shared" ca="1" si="32"/>
        <v>0</v>
      </c>
      <c r="X55" s="190">
        <f t="shared" ca="1" si="32"/>
        <v>0</v>
      </c>
      <c r="Y55" s="190">
        <f t="shared" ca="1" si="32"/>
        <v>0</v>
      </c>
      <c r="Z55" s="190">
        <f t="shared" ca="1" si="32"/>
        <v>0</v>
      </c>
      <c r="AA55" s="190">
        <f t="shared" ca="1" si="32"/>
        <v>0</v>
      </c>
      <c r="AB55" s="190">
        <f t="shared" ca="1" si="32"/>
        <v>0</v>
      </c>
      <c r="AC55" s="190">
        <f t="shared" ca="1" si="32"/>
        <v>0</v>
      </c>
      <c r="AD55" s="190">
        <f t="shared" ca="1" si="32"/>
        <v>0</v>
      </c>
      <c r="AE55" s="190">
        <f t="shared" ca="1" si="32"/>
        <v>0</v>
      </c>
      <c r="AF55" s="190">
        <f t="shared" ca="1" si="32"/>
        <v>0</v>
      </c>
      <c r="AG55" s="190">
        <f t="shared" ca="1" si="32"/>
        <v>0</v>
      </c>
      <c r="AH55" s="190">
        <f t="shared" ca="1" si="32"/>
        <v>0</v>
      </c>
      <c r="AI55" s="190">
        <f t="shared" ca="1" si="32"/>
        <v>0</v>
      </c>
      <c r="AJ55" s="190">
        <f t="shared" ca="1" si="32"/>
        <v>0</v>
      </c>
      <c r="AK55" s="190">
        <f t="shared" ca="1" si="32"/>
        <v>0</v>
      </c>
      <c r="AL55" s="190">
        <f t="shared" ca="1" si="32"/>
        <v>0</v>
      </c>
      <c r="AM55" s="190">
        <f t="shared" ca="1" si="32"/>
        <v>0</v>
      </c>
      <c r="AN55" s="190">
        <f t="shared" ca="1" si="32"/>
        <v>0</v>
      </c>
      <c r="AO55" s="190">
        <f t="shared" ca="1" si="32"/>
        <v>0</v>
      </c>
      <c r="AP55" s="190">
        <f t="shared" ca="1" si="32"/>
        <v>0</v>
      </c>
      <c r="AQ55" s="190">
        <f t="shared" ca="1" si="32"/>
        <v>0</v>
      </c>
      <c r="AR55" s="190">
        <f t="shared" ca="1" si="32"/>
        <v>0</v>
      </c>
      <c r="AS55" s="190">
        <f t="shared" ca="1" si="32"/>
        <v>0</v>
      </c>
      <c r="AT55" s="190">
        <f t="shared" ca="1" si="32"/>
        <v>0</v>
      </c>
      <c r="AU55" s="190">
        <f t="shared" ca="1" si="32"/>
        <v>0</v>
      </c>
    </row>
    <row r="56" spans="5:47" s="28" customFormat="1">
      <c r="E56" s="254"/>
      <c r="G56" s="36" t="s">
        <v>162</v>
      </c>
      <c r="L56" s="43" t="s">
        <v>12</v>
      </c>
      <c r="N56" s="189">
        <f t="shared" ca="1" si="21"/>
        <v>0</v>
      </c>
      <c r="O56" s="189"/>
      <c r="P56" s="319"/>
      <c r="Q56" s="189"/>
      <c r="R56" s="190">
        <f t="shared" ref="R56:AU56" ca="1" si="33">R327</f>
        <v>0</v>
      </c>
      <c r="S56" s="190">
        <f t="shared" ca="1" si="33"/>
        <v>0</v>
      </c>
      <c r="T56" s="190">
        <f t="shared" ca="1" si="33"/>
        <v>0</v>
      </c>
      <c r="U56" s="190">
        <f t="shared" ca="1" si="33"/>
        <v>0</v>
      </c>
      <c r="V56" s="190">
        <f t="shared" ca="1" si="33"/>
        <v>0</v>
      </c>
      <c r="W56" s="190">
        <f t="shared" ca="1" si="33"/>
        <v>0</v>
      </c>
      <c r="X56" s="190">
        <f t="shared" ca="1" si="33"/>
        <v>0</v>
      </c>
      <c r="Y56" s="190">
        <f t="shared" ca="1" si="33"/>
        <v>0</v>
      </c>
      <c r="Z56" s="190">
        <f t="shared" ca="1" si="33"/>
        <v>0</v>
      </c>
      <c r="AA56" s="190">
        <f t="shared" ca="1" si="33"/>
        <v>0</v>
      </c>
      <c r="AB56" s="190">
        <f t="shared" ca="1" si="33"/>
        <v>0</v>
      </c>
      <c r="AC56" s="190">
        <f t="shared" ca="1" si="33"/>
        <v>0</v>
      </c>
      <c r="AD56" s="190">
        <f t="shared" ca="1" si="33"/>
        <v>0</v>
      </c>
      <c r="AE56" s="190">
        <f t="shared" ca="1" si="33"/>
        <v>0</v>
      </c>
      <c r="AF56" s="190">
        <f t="shared" ca="1" si="33"/>
        <v>0</v>
      </c>
      <c r="AG56" s="190">
        <f t="shared" ca="1" si="33"/>
        <v>0</v>
      </c>
      <c r="AH56" s="190">
        <f t="shared" ca="1" si="33"/>
        <v>0</v>
      </c>
      <c r="AI56" s="190">
        <f t="shared" ca="1" si="33"/>
        <v>0</v>
      </c>
      <c r="AJ56" s="190">
        <f t="shared" ca="1" si="33"/>
        <v>0</v>
      </c>
      <c r="AK56" s="190">
        <f t="shared" ca="1" si="33"/>
        <v>0</v>
      </c>
      <c r="AL56" s="190">
        <f t="shared" ca="1" si="33"/>
        <v>0</v>
      </c>
      <c r="AM56" s="190">
        <f t="shared" ca="1" si="33"/>
        <v>0</v>
      </c>
      <c r="AN56" s="190">
        <f t="shared" ca="1" si="33"/>
        <v>0</v>
      </c>
      <c r="AO56" s="190">
        <f t="shared" ca="1" si="33"/>
        <v>0</v>
      </c>
      <c r="AP56" s="190">
        <f t="shared" ca="1" si="33"/>
        <v>0</v>
      </c>
      <c r="AQ56" s="190">
        <f t="shared" ca="1" si="33"/>
        <v>0</v>
      </c>
      <c r="AR56" s="190">
        <f t="shared" ca="1" si="33"/>
        <v>0</v>
      </c>
      <c r="AS56" s="190">
        <f t="shared" ca="1" si="33"/>
        <v>0</v>
      </c>
      <c r="AT56" s="190">
        <f t="shared" ca="1" si="33"/>
        <v>0</v>
      </c>
      <c r="AU56" s="190">
        <f t="shared" ca="1" si="33"/>
        <v>0</v>
      </c>
    </row>
    <row r="57" spans="5:47" s="28" customFormat="1">
      <c r="E57" s="254"/>
      <c r="G57" s="36" t="s">
        <v>135</v>
      </c>
      <c r="L57" s="43" t="s">
        <v>12</v>
      </c>
      <c r="N57" s="189">
        <f t="shared" ca="1" si="21"/>
        <v>1991981.1320754716</v>
      </c>
      <c r="O57" s="189"/>
      <c r="P57" s="319"/>
      <c r="Q57" s="189"/>
      <c r="R57" s="190">
        <f t="shared" ref="R57:AU57" ca="1" si="34">R348</f>
        <v>2111500</v>
      </c>
      <c r="S57" s="190">
        <f t="shared" ca="1" si="34"/>
        <v>0</v>
      </c>
      <c r="T57" s="190">
        <f t="shared" ca="1" si="34"/>
        <v>0</v>
      </c>
      <c r="U57" s="190">
        <f t="shared" ca="1" si="34"/>
        <v>0</v>
      </c>
      <c r="V57" s="190">
        <f t="shared" ca="1" si="34"/>
        <v>0</v>
      </c>
      <c r="W57" s="190">
        <f t="shared" ca="1" si="34"/>
        <v>0</v>
      </c>
      <c r="X57" s="190">
        <f t="shared" ca="1" si="34"/>
        <v>0</v>
      </c>
      <c r="Y57" s="190">
        <f t="shared" ca="1" si="34"/>
        <v>0</v>
      </c>
      <c r="Z57" s="190">
        <f t="shared" ca="1" si="34"/>
        <v>0</v>
      </c>
      <c r="AA57" s="190">
        <f t="shared" ca="1" si="34"/>
        <v>0</v>
      </c>
      <c r="AB57" s="190">
        <f t="shared" ca="1" si="34"/>
        <v>0</v>
      </c>
      <c r="AC57" s="190">
        <f t="shared" ca="1" si="34"/>
        <v>0</v>
      </c>
      <c r="AD57" s="190">
        <f t="shared" ca="1" si="34"/>
        <v>0</v>
      </c>
      <c r="AE57" s="190">
        <f t="shared" ca="1" si="34"/>
        <v>0</v>
      </c>
      <c r="AF57" s="190">
        <f t="shared" ca="1" si="34"/>
        <v>0</v>
      </c>
      <c r="AG57" s="190">
        <f t="shared" ca="1" si="34"/>
        <v>0</v>
      </c>
      <c r="AH57" s="190">
        <f t="shared" ca="1" si="34"/>
        <v>0</v>
      </c>
      <c r="AI57" s="190">
        <f t="shared" ca="1" si="34"/>
        <v>0</v>
      </c>
      <c r="AJ57" s="190">
        <f t="shared" ca="1" si="34"/>
        <v>0</v>
      </c>
      <c r="AK57" s="190">
        <f t="shared" ca="1" si="34"/>
        <v>0</v>
      </c>
      <c r="AL57" s="190">
        <f t="shared" ca="1" si="34"/>
        <v>0</v>
      </c>
      <c r="AM57" s="190">
        <f t="shared" ca="1" si="34"/>
        <v>0</v>
      </c>
      <c r="AN57" s="190">
        <f t="shared" ca="1" si="34"/>
        <v>0</v>
      </c>
      <c r="AO57" s="190">
        <f t="shared" ca="1" si="34"/>
        <v>0</v>
      </c>
      <c r="AP57" s="190">
        <f t="shared" ca="1" si="34"/>
        <v>0</v>
      </c>
      <c r="AQ57" s="190">
        <f t="shared" ca="1" si="34"/>
        <v>0</v>
      </c>
      <c r="AR57" s="190">
        <f t="shared" ca="1" si="34"/>
        <v>0</v>
      </c>
      <c r="AS57" s="190">
        <f t="shared" ca="1" si="34"/>
        <v>0</v>
      </c>
      <c r="AT57" s="190">
        <f t="shared" ca="1" si="34"/>
        <v>0</v>
      </c>
      <c r="AU57" s="190">
        <f t="shared" ca="1" si="34"/>
        <v>0</v>
      </c>
    </row>
    <row r="58" spans="5:47" s="28" customFormat="1">
      <c r="E58" s="254"/>
      <c r="G58" s="36" t="s">
        <v>29</v>
      </c>
      <c r="L58" s="43" t="s">
        <v>12</v>
      </c>
      <c r="N58" s="189">
        <f t="shared" ca="1" si="21"/>
        <v>999877.35849056602</v>
      </c>
      <c r="O58" s="189"/>
      <c r="P58" s="319"/>
      <c r="Q58" s="189"/>
      <c r="R58" s="190">
        <f t="shared" ref="R58:AU58" ca="1" si="35">R369</f>
        <v>1059870</v>
      </c>
      <c r="S58" s="190">
        <f t="shared" ca="1" si="35"/>
        <v>0</v>
      </c>
      <c r="T58" s="190">
        <f t="shared" ca="1" si="35"/>
        <v>0</v>
      </c>
      <c r="U58" s="190">
        <f t="shared" ca="1" si="35"/>
        <v>0</v>
      </c>
      <c r="V58" s="190">
        <f t="shared" ca="1" si="35"/>
        <v>0</v>
      </c>
      <c r="W58" s="190">
        <f t="shared" ca="1" si="35"/>
        <v>0</v>
      </c>
      <c r="X58" s="190">
        <f t="shared" ca="1" si="35"/>
        <v>0</v>
      </c>
      <c r="Y58" s="190">
        <f t="shared" ca="1" si="35"/>
        <v>0</v>
      </c>
      <c r="Z58" s="190">
        <f t="shared" ca="1" si="35"/>
        <v>0</v>
      </c>
      <c r="AA58" s="190">
        <f t="shared" ca="1" si="35"/>
        <v>0</v>
      </c>
      <c r="AB58" s="190">
        <f t="shared" ca="1" si="35"/>
        <v>0</v>
      </c>
      <c r="AC58" s="190">
        <f t="shared" ca="1" si="35"/>
        <v>0</v>
      </c>
      <c r="AD58" s="190">
        <f t="shared" ca="1" si="35"/>
        <v>0</v>
      </c>
      <c r="AE58" s="190">
        <f t="shared" ca="1" si="35"/>
        <v>0</v>
      </c>
      <c r="AF58" s="190">
        <f t="shared" ca="1" si="35"/>
        <v>0</v>
      </c>
      <c r="AG58" s="190">
        <f t="shared" ca="1" si="35"/>
        <v>0</v>
      </c>
      <c r="AH58" s="190">
        <f t="shared" ca="1" si="35"/>
        <v>0</v>
      </c>
      <c r="AI58" s="190">
        <f t="shared" ca="1" si="35"/>
        <v>0</v>
      </c>
      <c r="AJ58" s="190">
        <f t="shared" ca="1" si="35"/>
        <v>0</v>
      </c>
      <c r="AK58" s="190">
        <f t="shared" ca="1" si="35"/>
        <v>0</v>
      </c>
      <c r="AL58" s="190">
        <f t="shared" ca="1" si="35"/>
        <v>0</v>
      </c>
      <c r="AM58" s="190">
        <f t="shared" ca="1" si="35"/>
        <v>0</v>
      </c>
      <c r="AN58" s="190">
        <f t="shared" ca="1" si="35"/>
        <v>0</v>
      </c>
      <c r="AO58" s="190">
        <f t="shared" ca="1" si="35"/>
        <v>0</v>
      </c>
      <c r="AP58" s="190">
        <f t="shared" ca="1" si="35"/>
        <v>0</v>
      </c>
      <c r="AQ58" s="190">
        <f t="shared" ca="1" si="35"/>
        <v>0</v>
      </c>
      <c r="AR58" s="190">
        <f t="shared" ca="1" si="35"/>
        <v>0</v>
      </c>
      <c r="AS58" s="190">
        <f t="shared" ca="1" si="35"/>
        <v>0</v>
      </c>
      <c r="AT58" s="190">
        <f t="shared" ca="1" si="35"/>
        <v>0</v>
      </c>
      <c r="AU58" s="190">
        <f t="shared" ca="1" si="35"/>
        <v>0</v>
      </c>
    </row>
    <row r="59" spans="5:47" s="28" customFormat="1">
      <c r="E59" s="254"/>
      <c r="G59" s="36" t="s">
        <v>163</v>
      </c>
      <c r="L59" s="43" t="s">
        <v>12</v>
      </c>
      <c r="N59" s="189">
        <f t="shared" ca="1" si="21"/>
        <v>0</v>
      </c>
      <c r="O59" s="189"/>
      <c r="P59" s="319"/>
      <c r="Q59" s="189"/>
      <c r="R59" s="190">
        <f t="shared" ref="R59:AU59" ca="1" si="36">R390</f>
        <v>0</v>
      </c>
      <c r="S59" s="190">
        <f t="shared" ca="1" si="36"/>
        <v>0</v>
      </c>
      <c r="T59" s="190">
        <f t="shared" ca="1" si="36"/>
        <v>0</v>
      </c>
      <c r="U59" s="190">
        <f t="shared" ca="1" si="36"/>
        <v>0</v>
      </c>
      <c r="V59" s="190">
        <f t="shared" ca="1" si="36"/>
        <v>0</v>
      </c>
      <c r="W59" s="190">
        <f t="shared" ca="1" si="36"/>
        <v>0</v>
      </c>
      <c r="X59" s="190">
        <f t="shared" ca="1" si="36"/>
        <v>0</v>
      </c>
      <c r="Y59" s="190">
        <f t="shared" ca="1" si="36"/>
        <v>0</v>
      </c>
      <c r="Z59" s="190">
        <f t="shared" ca="1" si="36"/>
        <v>0</v>
      </c>
      <c r="AA59" s="190">
        <f t="shared" ca="1" si="36"/>
        <v>0</v>
      </c>
      <c r="AB59" s="190">
        <f t="shared" ca="1" si="36"/>
        <v>0</v>
      </c>
      <c r="AC59" s="190">
        <f t="shared" ca="1" si="36"/>
        <v>0</v>
      </c>
      <c r="AD59" s="190">
        <f t="shared" ca="1" si="36"/>
        <v>0</v>
      </c>
      <c r="AE59" s="190">
        <f t="shared" ca="1" si="36"/>
        <v>0</v>
      </c>
      <c r="AF59" s="190">
        <f t="shared" ca="1" si="36"/>
        <v>0</v>
      </c>
      <c r="AG59" s="190">
        <f t="shared" ca="1" si="36"/>
        <v>0</v>
      </c>
      <c r="AH59" s="190">
        <f t="shared" ca="1" si="36"/>
        <v>0</v>
      </c>
      <c r="AI59" s="190">
        <f t="shared" ca="1" si="36"/>
        <v>0</v>
      </c>
      <c r="AJ59" s="190">
        <f t="shared" ca="1" si="36"/>
        <v>0</v>
      </c>
      <c r="AK59" s="190">
        <f t="shared" ca="1" si="36"/>
        <v>0</v>
      </c>
      <c r="AL59" s="190">
        <f t="shared" ca="1" si="36"/>
        <v>0</v>
      </c>
      <c r="AM59" s="190">
        <f t="shared" ca="1" si="36"/>
        <v>0</v>
      </c>
      <c r="AN59" s="190">
        <f t="shared" ca="1" si="36"/>
        <v>0</v>
      </c>
      <c r="AO59" s="190">
        <f t="shared" ca="1" si="36"/>
        <v>0</v>
      </c>
      <c r="AP59" s="190">
        <f t="shared" ca="1" si="36"/>
        <v>0</v>
      </c>
      <c r="AQ59" s="190">
        <f t="shared" ca="1" si="36"/>
        <v>0</v>
      </c>
      <c r="AR59" s="190">
        <f t="shared" ca="1" si="36"/>
        <v>0</v>
      </c>
      <c r="AS59" s="190">
        <f t="shared" ca="1" si="36"/>
        <v>0</v>
      </c>
      <c r="AT59" s="190">
        <f t="shared" ca="1" si="36"/>
        <v>0</v>
      </c>
      <c r="AU59" s="190">
        <f t="shared" ca="1" si="36"/>
        <v>0</v>
      </c>
    </row>
    <row r="60" spans="5:47" s="28" customFormat="1">
      <c r="E60" s="254"/>
      <c r="G60" s="36" t="s">
        <v>138</v>
      </c>
      <c r="L60" s="43" t="s">
        <v>12</v>
      </c>
      <c r="N60" s="189">
        <f t="shared" ca="1" si="21"/>
        <v>0</v>
      </c>
      <c r="O60" s="189"/>
      <c r="P60" s="319"/>
      <c r="Q60" s="189"/>
      <c r="R60" s="190">
        <f t="shared" ref="R60:AU60" ca="1" si="37">R411</f>
        <v>0</v>
      </c>
      <c r="S60" s="190">
        <f t="shared" ca="1" si="37"/>
        <v>0</v>
      </c>
      <c r="T60" s="190">
        <f t="shared" ca="1" si="37"/>
        <v>0</v>
      </c>
      <c r="U60" s="190">
        <f t="shared" ca="1" si="37"/>
        <v>0</v>
      </c>
      <c r="V60" s="190">
        <f t="shared" ca="1" si="37"/>
        <v>0</v>
      </c>
      <c r="W60" s="190">
        <f t="shared" ca="1" si="37"/>
        <v>0</v>
      </c>
      <c r="X60" s="190">
        <f t="shared" ca="1" si="37"/>
        <v>0</v>
      </c>
      <c r="Y60" s="190">
        <f t="shared" ca="1" si="37"/>
        <v>0</v>
      </c>
      <c r="Z60" s="190">
        <f t="shared" ca="1" si="37"/>
        <v>0</v>
      </c>
      <c r="AA60" s="190">
        <f t="shared" ca="1" si="37"/>
        <v>0</v>
      </c>
      <c r="AB60" s="190">
        <f t="shared" ca="1" si="37"/>
        <v>0</v>
      </c>
      <c r="AC60" s="190">
        <f t="shared" ca="1" si="37"/>
        <v>0</v>
      </c>
      <c r="AD60" s="190">
        <f t="shared" ca="1" si="37"/>
        <v>0</v>
      </c>
      <c r="AE60" s="190">
        <f t="shared" ca="1" si="37"/>
        <v>0</v>
      </c>
      <c r="AF60" s="190">
        <f t="shared" ca="1" si="37"/>
        <v>0</v>
      </c>
      <c r="AG60" s="190">
        <f t="shared" ca="1" si="37"/>
        <v>0</v>
      </c>
      <c r="AH60" s="190">
        <f t="shared" ca="1" si="37"/>
        <v>0</v>
      </c>
      <c r="AI60" s="190">
        <f t="shared" ca="1" si="37"/>
        <v>0</v>
      </c>
      <c r="AJ60" s="190">
        <f t="shared" ca="1" si="37"/>
        <v>0</v>
      </c>
      <c r="AK60" s="190">
        <f t="shared" ca="1" si="37"/>
        <v>0</v>
      </c>
      <c r="AL60" s="190">
        <f t="shared" ca="1" si="37"/>
        <v>0</v>
      </c>
      <c r="AM60" s="190">
        <f t="shared" ca="1" si="37"/>
        <v>0</v>
      </c>
      <c r="AN60" s="190">
        <f t="shared" ca="1" si="37"/>
        <v>0</v>
      </c>
      <c r="AO60" s="190">
        <f t="shared" ca="1" si="37"/>
        <v>0</v>
      </c>
      <c r="AP60" s="190">
        <f t="shared" ca="1" si="37"/>
        <v>0</v>
      </c>
      <c r="AQ60" s="190">
        <f t="shared" ca="1" si="37"/>
        <v>0</v>
      </c>
      <c r="AR60" s="190">
        <f t="shared" ca="1" si="37"/>
        <v>0</v>
      </c>
      <c r="AS60" s="190">
        <f t="shared" ca="1" si="37"/>
        <v>0</v>
      </c>
      <c r="AT60" s="190">
        <f t="shared" ca="1" si="37"/>
        <v>0</v>
      </c>
      <c r="AU60" s="190">
        <f t="shared" ca="1" si="37"/>
        <v>0</v>
      </c>
    </row>
    <row r="61" spans="5:47" s="28" customFormat="1">
      <c r="E61" s="254"/>
      <c r="G61" s="36" t="s">
        <v>113</v>
      </c>
      <c r="L61" s="43" t="s">
        <v>12</v>
      </c>
      <c r="N61" s="189">
        <f t="shared" ca="1" si="21"/>
        <v>915339.6226415094</v>
      </c>
      <c r="O61" s="189"/>
      <c r="P61" s="319"/>
      <c r="Q61" s="189"/>
      <c r="R61" s="190">
        <f t="shared" ref="R61:AU61" ca="1" si="38">R432</f>
        <v>970260</v>
      </c>
      <c r="S61" s="190">
        <f t="shared" ca="1" si="38"/>
        <v>0</v>
      </c>
      <c r="T61" s="190">
        <f t="shared" ca="1" si="38"/>
        <v>0</v>
      </c>
      <c r="U61" s="190">
        <f t="shared" ca="1" si="38"/>
        <v>0</v>
      </c>
      <c r="V61" s="190">
        <f t="shared" ca="1" si="38"/>
        <v>0</v>
      </c>
      <c r="W61" s="190">
        <f t="shared" ca="1" si="38"/>
        <v>0</v>
      </c>
      <c r="X61" s="190">
        <f t="shared" ca="1" si="38"/>
        <v>0</v>
      </c>
      <c r="Y61" s="190">
        <f t="shared" ca="1" si="38"/>
        <v>0</v>
      </c>
      <c r="Z61" s="190">
        <f t="shared" ca="1" si="38"/>
        <v>0</v>
      </c>
      <c r="AA61" s="190">
        <f t="shared" ca="1" si="38"/>
        <v>0</v>
      </c>
      <c r="AB61" s="190">
        <f t="shared" ca="1" si="38"/>
        <v>0</v>
      </c>
      <c r="AC61" s="190">
        <f t="shared" ca="1" si="38"/>
        <v>0</v>
      </c>
      <c r="AD61" s="190">
        <f t="shared" ca="1" si="38"/>
        <v>0</v>
      </c>
      <c r="AE61" s="190">
        <f t="shared" ca="1" si="38"/>
        <v>0</v>
      </c>
      <c r="AF61" s="190">
        <f t="shared" ca="1" si="38"/>
        <v>0</v>
      </c>
      <c r="AG61" s="190">
        <f t="shared" ca="1" si="38"/>
        <v>0</v>
      </c>
      <c r="AH61" s="190">
        <f t="shared" ca="1" si="38"/>
        <v>0</v>
      </c>
      <c r="AI61" s="190">
        <f t="shared" ca="1" si="38"/>
        <v>0</v>
      </c>
      <c r="AJ61" s="190">
        <f t="shared" ca="1" si="38"/>
        <v>0</v>
      </c>
      <c r="AK61" s="190">
        <f t="shared" ca="1" si="38"/>
        <v>0</v>
      </c>
      <c r="AL61" s="190">
        <f t="shared" ca="1" si="38"/>
        <v>0</v>
      </c>
      <c r="AM61" s="190">
        <f t="shared" ca="1" si="38"/>
        <v>0</v>
      </c>
      <c r="AN61" s="190">
        <f t="shared" ca="1" si="38"/>
        <v>0</v>
      </c>
      <c r="AO61" s="190">
        <f t="shared" ca="1" si="38"/>
        <v>0</v>
      </c>
      <c r="AP61" s="190">
        <f t="shared" ca="1" si="38"/>
        <v>0</v>
      </c>
      <c r="AQ61" s="190">
        <f t="shared" ca="1" si="38"/>
        <v>0</v>
      </c>
      <c r="AR61" s="190">
        <f t="shared" ca="1" si="38"/>
        <v>0</v>
      </c>
      <c r="AS61" s="190">
        <f t="shared" ca="1" si="38"/>
        <v>0</v>
      </c>
      <c r="AT61" s="190">
        <f t="shared" ca="1" si="38"/>
        <v>0</v>
      </c>
      <c r="AU61" s="190">
        <f t="shared" ca="1" si="38"/>
        <v>0</v>
      </c>
    </row>
    <row r="62" spans="5:47" s="28" customFormat="1">
      <c r="E62" s="254"/>
      <c r="G62" s="36" t="s">
        <v>115</v>
      </c>
      <c r="L62" s="43" t="s">
        <v>12</v>
      </c>
      <c r="N62" s="189">
        <f t="shared" ca="1" si="21"/>
        <v>1830679.2452830188</v>
      </c>
      <c r="O62" s="189"/>
      <c r="P62" s="319"/>
      <c r="Q62" s="189"/>
      <c r="R62" s="190">
        <f t="shared" ref="R62:AU62" ca="1" si="39">R437</f>
        <v>1940520</v>
      </c>
      <c r="S62" s="190">
        <f t="shared" ca="1" si="39"/>
        <v>0</v>
      </c>
      <c r="T62" s="190">
        <f t="shared" ca="1" si="39"/>
        <v>0</v>
      </c>
      <c r="U62" s="190">
        <f t="shared" ca="1" si="39"/>
        <v>0</v>
      </c>
      <c r="V62" s="190">
        <f t="shared" ca="1" si="39"/>
        <v>0</v>
      </c>
      <c r="W62" s="190">
        <f t="shared" ca="1" si="39"/>
        <v>0</v>
      </c>
      <c r="X62" s="190">
        <f t="shared" ca="1" si="39"/>
        <v>0</v>
      </c>
      <c r="Y62" s="190">
        <f t="shared" ca="1" si="39"/>
        <v>0</v>
      </c>
      <c r="Z62" s="190">
        <f t="shared" ca="1" si="39"/>
        <v>0</v>
      </c>
      <c r="AA62" s="190">
        <f t="shared" ca="1" si="39"/>
        <v>0</v>
      </c>
      <c r="AB62" s="190">
        <f t="shared" ca="1" si="39"/>
        <v>0</v>
      </c>
      <c r="AC62" s="190">
        <f t="shared" ca="1" si="39"/>
        <v>0</v>
      </c>
      <c r="AD62" s="190">
        <f t="shared" ca="1" si="39"/>
        <v>0</v>
      </c>
      <c r="AE62" s="190">
        <f t="shared" ca="1" si="39"/>
        <v>0</v>
      </c>
      <c r="AF62" s="190">
        <f t="shared" ca="1" si="39"/>
        <v>0</v>
      </c>
      <c r="AG62" s="190">
        <f t="shared" ca="1" si="39"/>
        <v>0</v>
      </c>
      <c r="AH62" s="190">
        <f t="shared" ca="1" si="39"/>
        <v>0</v>
      </c>
      <c r="AI62" s="190">
        <f t="shared" ca="1" si="39"/>
        <v>0</v>
      </c>
      <c r="AJ62" s="190">
        <f t="shared" ca="1" si="39"/>
        <v>0</v>
      </c>
      <c r="AK62" s="190">
        <f t="shared" ca="1" si="39"/>
        <v>0</v>
      </c>
      <c r="AL62" s="190">
        <f t="shared" ca="1" si="39"/>
        <v>0</v>
      </c>
      <c r="AM62" s="190">
        <f t="shared" ca="1" si="39"/>
        <v>0</v>
      </c>
      <c r="AN62" s="190">
        <f t="shared" ca="1" si="39"/>
        <v>0</v>
      </c>
      <c r="AO62" s="190">
        <f t="shared" ca="1" si="39"/>
        <v>0</v>
      </c>
      <c r="AP62" s="190">
        <f t="shared" ca="1" si="39"/>
        <v>0</v>
      </c>
      <c r="AQ62" s="190">
        <f t="shared" ca="1" si="39"/>
        <v>0</v>
      </c>
      <c r="AR62" s="190">
        <f t="shared" ca="1" si="39"/>
        <v>0</v>
      </c>
      <c r="AS62" s="190">
        <f t="shared" ca="1" si="39"/>
        <v>0</v>
      </c>
      <c r="AT62" s="190">
        <f t="shared" ca="1" si="39"/>
        <v>0</v>
      </c>
      <c r="AU62" s="190">
        <f t="shared" ca="1" si="39"/>
        <v>0</v>
      </c>
    </row>
    <row r="63" spans="5:47" s="28" customFormat="1">
      <c r="E63" s="254"/>
      <c r="G63" s="36" t="s">
        <v>146</v>
      </c>
      <c r="L63" s="43" t="s">
        <v>12</v>
      </c>
      <c r="N63" s="189">
        <f t="shared" ca="1" si="21"/>
        <v>6316037.7358490564</v>
      </c>
      <c r="O63" s="189"/>
      <c r="P63" s="319"/>
      <c r="Q63" s="189"/>
      <c r="R63" s="190">
        <f t="shared" ref="R63:AU63" ca="1" si="40">R442</f>
        <v>6695000</v>
      </c>
      <c r="S63" s="190">
        <f t="shared" ca="1" si="40"/>
        <v>0</v>
      </c>
      <c r="T63" s="190">
        <f t="shared" ca="1" si="40"/>
        <v>0</v>
      </c>
      <c r="U63" s="190">
        <f t="shared" ca="1" si="40"/>
        <v>0</v>
      </c>
      <c r="V63" s="190">
        <f t="shared" ca="1" si="40"/>
        <v>0</v>
      </c>
      <c r="W63" s="190">
        <f t="shared" ca="1" si="40"/>
        <v>0</v>
      </c>
      <c r="X63" s="190">
        <f t="shared" ca="1" si="40"/>
        <v>0</v>
      </c>
      <c r="Y63" s="190">
        <f t="shared" ca="1" si="40"/>
        <v>0</v>
      </c>
      <c r="Z63" s="190">
        <f t="shared" ca="1" si="40"/>
        <v>0</v>
      </c>
      <c r="AA63" s="190">
        <f t="shared" ca="1" si="40"/>
        <v>0</v>
      </c>
      <c r="AB63" s="190">
        <f t="shared" ca="1" si="40"/>
        <v>0</v>
      </c>
      <c r="AC63" s="190">
        <f t="shared" ca="1" si="40"/>
        <v>0</v>
      </c>
      <c r="AD63" s="190">
        <f t="shared" ca="1" si="40"/>
        <v>0</v>
      </c>
      <c r="AE63" s="190">
        <f t="shared" ca="1" si="40"/>
        <v>0</v>
      </c>
      <c r="AF63" s="190">
        <f t="shared" ca="1" si="40"/>
        <v>0</v>
      </c>
      <c r="AG63" s="190">
        <f t="shared" ca="1" si="40"/>
        <v>0</v>
      </c>
      <c r="AH63" s="190">
        <f t="shared" ca="1" si="40"/>
        <v>0</v>
      </c>
      <c r="AI63" s="190">
        <f t="shared" ca="1" si="40"/>
        <v>0</v>
      </c>
      <c r="AJ63" s="190">
        <f t="shared" ca="1" si="40"/>
        <v>0</v>
      </c>
      <c r="AK63" s="190">
        <f t="shared" ca="1" si="40"/>
        <v>0</v>
      </c>
      <c r="AL63" s="190">
        <f t="shared" ca="1" si="40"/>
        <v>0</v>
      </c>
      <c r="AM63" s="190">
        <f t="shared" ca="1" si="40"/>
        <v>0</v>
      </c>
      <c r="AN63" s="190">
        <f t="shared" ca="1" si="40"/>
        <v>0</v>
      </c>
      <c r="AO63" s="190">
        <f t="shared" ca="1" si="40"/>
        <v>0</v>
      </c>
      <c r="AP63" s="190">
        <f t="shared" ca="1" si="40"/>
        <v>0</v>
      </c>
      <c r="AQ63" s="190">
        <f t="shared" ca="1" si="40"/>
        <v>0</v>
      </c>
      <c r="AR63" s="190">
        <f t="shared" ca="1" si="40"/>
        <v>0</v>
      </c>
      <c r="AS63" s="190">
        <f t="shared" ca="1" si="40"/>
        <v>0</v>
      </c>
      <c r="AT63" s="190">
        <f t="shared" ca="1" si="40"/>
        <v>0</v>
      </c>
      <c r="AU63" s="190">
        <f t="shared" ca="1" si="40"/>
        <v>0</v>
      </c>
    </row>
    <row r="64" spans="5:47" s="28" customFormat="1">
      <c r="E64" s="254"/>
      <c r="G64" s="36" t="s">
        <v>147</v>
      </c>
      <c r="L64" s="43" t="s">
        <v>12</v>
      </c>
      <c r="N64" s="189">
        <f t="shared" ca="1" si="21"/>
        <v>4105424.5283018867</v>
      </c>
      <c r="O64" s="189"/>
      <c r="P64" s="319"/>
      <c r="Q64" s="189"/>
      <c r="R64" s="190">
        <f t="shared" ref="R64:AU64" ca="1" si="41">R447</f>
        <v>4351750</v>
      </c>
      <c r="S64" s="190">
        <f t="shared" ca="1" si="41"/>
        <v>0</v>
      </c>
      <c r="T64" s="190">
        <f t="shared" ca="1" si="41"/>
        <v>0</v>
      </c>
      <c r="U64" s="190">
        <f t="shared" ca="1" si="41"/>
        <v>0</v>
      </c>
      <c r="V64" s="190">
        <f t="shared" ca="1" si="41"/>
        <v>0</v>
      </c>
      <c r="W64" s="190">
        <f t="shared" ca="1" si="41"/>
        <v>0</v>
      </c>
      <c r="X64" s="190">
        <f t="shared" ca="1" si="41"/>
        <v>0</v>
      </c>
      <c r="Y64" s="190">
        <f t="shared" ca="1" si="41"/>
        <v>0</v>
      </c>
      <c r="Z64" s="190">
        <f t="shared" ca="1" si="41"/>
        <v>0</v>
      </c>
      <c r="AA64" s="190">
        <f t="shared" ca="1" si="41"/>
        <v>0</v>
      </c>
      <c r="AB64" s="190">
        <f t="shared" ca="1" si="41"/>
        <v>0</v>
      </c>
      <c r="AC64" s="190">
        <f t="shared" ca="1" si="41"/>
        <v>0</v>
      </c>
      <c r="AD64" s="190">
        <f t="shared" ca="1" si="41"/>
        <v>0</v>
      </c>
      <c r="AE64" s="190">
        <f t="shared" ca="1" si="41"/>
        <v>0</v>
      </c>
      <c r="AF64" s="190">
        <f t="shared" ca="1" si="41"/>
        <v>0</v>
      </c>
      <c r="AG64" s="190">
        <f t="shared" ca="1" si="41"/>
        <v>0</v>
      </c>
      <c r="AH64" s="190">
        <f t="shared" ca="1" si="41"/>
        <v>0</v>
      </c>
      <c r="AI64" s="190">
        <f t="shared" ca="1" si="41"/>
        <v>0</v>
      </c>
      <c r="AJ64" s="190">
        <f t="shared" ca="1" si="41"/>
        <v>0</v>
      </c>
      <c r="AK64" s="190">
        <f t="shared" ca="1" si="41"/>
        <v>0</v>
      </c>
      <c r="AL64" s="190">
        <f t="shared" ca="1" si="41"/>
        <v>0</v>
      </c>
      <c r="AM64" s="190">
        <f t="shared" ca="1" si="41"/>
        <v>0</v>
      </c>
      <c r="AN64" s="190">
        <f t="shared" ca="1" si="41"/>
        <v>0</v>
      </c>
      <c r="AO64" s="190">
        <f t="shared" ca="1" si="41"/>
        <v>0</v>
      </c>
      <c r="AP64" s="190">
        <f t="shared" ca="1" si="41"/>
        <v>0</v>
      </c>
      <c r="AQ64" s="190">
        <f t="shared" ca="1" si="41"/>
        <v>0</v>
      </c>
      <c r="AR64" s="190">
        <f t="shared" ca="1" si="41"/>
        <v>0</v>
      </c>
      <c r="AS64" s="190">
        <f t="shared" ca="1" si="41"/>
        <v>0</v>
      </c>
      <c r="AT64" s="190">
        <f t="shared" ca="1" si="41"/>
        <v>0</v>
      </c>
      <c r="AU64" s="190">
        <f t="shared" ca="1" si="41"/>
        <v>0</v>
      </c>
    </row>
    <row r="65" spans="1:47" s="39" customFormat="1">
      <c r="E65" s="254"/>
      <c r="G65" s="173" t="s">
        <v>114</v>
      </c>
      <c r="L65" s="174" t="s">
        <v>12</v>
      </c>
      <c r="N65" s="189">
        <f ca="1">SUBTOTAL(9,N45:N64)</f>
        <v>31473301.886792451</v>
      </c>
      <c r="O65" s="189"/>
      <c r="P65" s="320"/>
      <c r="Q65" s="189"/>
      <c r="R65" s="189">
        <f t="shared" ref="R65:AU65" ca="1" si="42">SUBTOTAL(9,R45:R64)</f>
        <v>33361700</v>
      </c>
      <c r="S65" s="189">
        <f t="shared" ca="1" si="42"/>
        <v>0</v>
      </c>
      <c r="T65" s="189">
        <f t="shared" ca="1" si="42"/>
        <v>0</v>
      </c>
      <c r="U65" s="189">
        <f t="shared" ca="1" si="42"/>
        <v>0</v>
      </c>
      <c r="V65" s="189">
        <f t="shared" ca="1" si="42"/>
        <v>0</v>
      </c>
      <c r="W65" s="189">
        <f t="shared" ca="1" si="42"/>
        <v>0</v>
      </c>
      <c r="X65" s="189">
        <f t="shared" ca="1" si="42"/>
        <v>0</v>
      </c>
      <c r="Y65" s="189">
        <f t="shared" ca="1" si="42"/>
        <v>0</v>
      </c>
      <c r="Z65" s="189">
        <f t="shared" ca="1" si="42"/>
        <v>0</v>
      </c>
      <c r="AA65" s="189">
        <f t="shared" ca="1" si="42"/>
        <v>0</v>
      </c>
      <c r="AB65" s="189">
        <f t="shared" ca="1" si="42"/>
        <v>0</v>
      </c>
      <c r="AC65" s="189">
        <f t="shared" ca="1" si="42"/>
        <v>0</v>
      </c>
      <c r="AD65" s="189">
        <f t="shared" ca="1" si="42"/>
        <v>0</v>
      </c>
      <c r="AE65" s="189">
        <f t="shared" ca="1" si="42"/>
        <v>0</v>
      </c>
      <c r="AF65" s="189">
        <f t="shared" ca="1" si="42"/>
        <v>0</v>
      </c>
      <c r="AG65" s="189">
        <f t="shared" ca="1" si="42"/>
        <v>0</v>
      </c>
      <c r="AH65" s="189">
        <f t="shared" ca="1" si="42"/>
        <v>0</v>
      </c>
      <c r="AI65" s="189">
        <f t="shared" ca="1" si="42"/>
        <v>0</v>
      </c>
      <c r="AJ65" s="189">
        <f t="shared" ca="1" si="42"/>
        <v>0</v>
      </c>
      <c r="AK65" s="189">
        <f t="shared" ca="1" si="42"/>
        <v>0</v>
      </c>
      <c r="AL65" s="189">
        <f t="shared" ca="1" si="42"/>
        <v>0</v>
      </c>
      <c r="AM65" s="189">
        <f t="shared" ca="1" si="42"/>
        <v>0</v>
      </c>
      <c r="AN65" s="189">
        <f t="shared" ca="1" si="42"/>
        <v>0</v>
      </c>
      <c r="AO65" s="189">
        <f t="shared" ca="1" si="42"/>
        <v>0</v>
      </c>
      <c r="AP65" s="189">
        <f t="shared" ca="1" si="42"/>
        <v>0</v>
      </c>
      <c r="AQ65" s="189">
        <f t="shared" ca="1" si="42"/>
        <v>0</v>
      </c>
      <c r="AR65" s="189">
        <f t="shared" ca="1" si="42"/>
        <v>0</v>
      </c>
      <c r="AS65" s="189">
        <f t="shared" ca="1" si="42"/>
        <v>0</v>
      </c>
      <c r="AT65" s="189">
        <f t="shared" ca="1" si="42"/>
        <v>0</v>
      </c>
      <c r="AU65" s="189">
        <f t="shared" ca="1" si="42"/>
        <v>0</v>
      </c>
    </row>
    <row r="66" spans="1:47" s="28" customFormat="1">
      <c r="E66" s="53"/>
      <c r="G66" s="36"/>
      <c r="L66" s="43"/>
      <c r="N66" s="189"/>
      <c r="O66" s="189"/>
      <c r="P66" s="190"/>
      <c r="Q66" s="189"/>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row>
    <row r="67" spans="1:47" s="28" customFormat="1">
      <c r="A67" s="40"/>
      <c r="B67" s="40"/>
      <c r="C67" s="40"/>
      <c r="D67" s="40"/>
      <c r="G67" s="324" t="s">
        <v>493</v>
      </c>
      <c r="H67" s="324"/>
      <c r="I67" s="324"/>
      <c r="J67" s="324"/>
      <c r="K67" s="324"/>
      <c r="L67" s="405"/>
      <c r="M67" s="256"/>
      <c r="N67" s="325"/>
      <c r="O67" s="311"/>
      <c r="P67" s="325"/>
      <c r="Q67" s="310"/>
      <c r="R67" s="325">
        <f>R42</f>
        <v>2014</v>
      </c>
      <c r="S67" s="325">
        <f t="shared" ref="S67:AU67" si="43">S42</f>
        <v>2015</v>
      </c>
      <c r="T67" s="325">
        <f t="shared" si="43"/>
        <v>2016</v>
      </c>
      <c r="U67" s="325">
        <f t="shared" si="43"/>
        <v>2017</v>
      </c>
      <c r="V67" s="325">
        <f t="shared" si="43"/>
        <v>2018</v>
      </c>
      <c r="W67" s="325">
        <f t="shared" si="43"/>
        <v>2019</v>
      </c>
      <c r="X67" s="325">
        <f t="shared" si="43"/>
        <v>2020</v>
      </c>
      <c r="Y67" s="325">
        <f t="shared" si="43"/>
        <v>2021</v>
      </c>
      <c r="Z67" s="325">
        <f t="shared" si="43"/>
        <v>2022</v>
      </c>
      <c r="AA67" s="325">
        <f t="shared" si="43"/>
        <v>2023</v>
      </c>
      <c r="AB67" s="325">
        <f t="shared" si="43"/>
        <v>2024</v>
      </c>
      <c r="AC67" s="325">
        <f t="shared" si="43"/>
        <v>2025</v>
      </c>
      <c r="AD67" s="325">
        <f t="shared" si="43"/>
        <v>2026</v>
      </c>
      <c r="AE67" s="325">
        <f t="shared" si="43"/>
        <v>2027</v>
      </c>
      <c r="AF67" s="325">
        <f t="shared" si="43"/>
        <v>2028</v>
      </c>
      <c r="AG67" s="325">
        <f t="shared" si="43"/>
        <v>2029</v>
      </c>
      <c r="AH67" s="325">
        <f t="shared" si="43"/>
        <v>2030</v>
      </c>
      <c r="AI67" s="325">
        <f t="shared" si="43"/>
        <v>2031</v>
      </c>
      <c r="AJ67" s="325">
        <f t="shared" si="43"/>
        <v>2032</v>
      </c>
      <c r="AK67" s="325">
        <f t="shared" si="43"/>
        <v>2033</v>
      </c>
      <c r="AL67" s="325">
        <f t="shared" si="43"/>
        <v>2034</v>
      </c>
      <c r="AM67" s="325">
        <f t="shared" si="43"/>
        <v>2035</v>
      </c>
      <c r="AN67" s="325">
        <f t="shared" si="43"/>
        <v>2036</v>
      </c>
      <c r="AO67" s="325">
        <f t="shared" si="43"/>
        <v>2037</v>
      </c>
      <c r="AP67" s="325">
        <f t="shared" si="43"/>
        <v>2038</v>
      </c>
      <c r="AQ67" s="325">
        <f t="shared" si="43"/>
        <v>2039</v>
      </c>
      <c r="AR67" s="325">
        <f t="shared" si="43"/>
        <v>2040</v>
      </c>
      <c r="AS67" s="325">
        <f t="shared" si="43"/>
        <v>2041</v>
      </c>
      <c r="AT67" s="325">
        <f t="shared" si="43"/>
        <v>2042</v>
      </c>
      <c r="AU67" s="325">
        <f t="shared" si="43"/>
        <v>2043</v>
      </c>
    </row>
    <row r="68" spans="1:47" s="28" customFormat="1">
      <c r="E68" s="254"/>
      <c r="G68" s="36"/>
      <c r="L68" s="43"/>
      <c r="N68" s="189"/>
      <c r="O68" s="189"/>
      <c r="P68" s="190"/>
      <c r="Q68" s="189"/>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row>
    <row r="69" spans="1:47" s="28" customFormat="1">
      <c r="E69" s="254"/>
      <c r="G69" s="36" t="s">
        <v>315</v>
      </c>
      <c r="L69" s="43" t="s">
        <v>12</v>
      </c>
      <c r="N69" s="189">
        <f t="shared" ref="N69:N87" ca="1" si="44">NPV(DiscountRt,R69:AU69)</f>
        <v>0</v>
      </c>
      <c r="O69" s="189"/>
      <c r="P69" s="320"/>
      <c r="Q69" s="189"/>
      <c r="R69" s="190">
        <f t="shared" ref="R69:AU69" ca="1" si="45">R113</f>
        <v>0</v>
      </c>
      <c r="S69" s="190">
        <f t="shared" ca="1" si="45"/>
        <v>0</v>
      </c>
      <c r="T69" s="190">
        <f t="shared" ca="1" si="45"/>
        <v>0</v>
      </c>
      <c r="U69" s="190">
        <f t="shared" ca="1" si="45"/>
        <v>0</v>
      </c>
      <c r="V69" s="190">
        <f t="shared" ca="1" si="45"/>
        <v>0</v>
      </c>
      <c r="W69" s="190">
        <f t="shared" ca="1" si="45"/>
        <v>0</v>
      </c>
      <c r="X69" s="190">
        <f t="shared" ca="1" si="45"/>
        <v>0</v>
      </c>
      <c r="Y69" s="190">
        <f t="shared" ca="1" si="45"/>
        <v>0</v>
      </c>
      <c r="Z69" s="190">
        <f t="shared" ca="1" si="45"/>
        <v>0</v>
      </c>
      <c r="AA69" s="190">
        <f t="shared" ca="1" si="45"/>
        <v>0</v>
      </c>
      <c r="AB69" s="190">
        <f t="shared" ca="1" si="45"/>
        <v>0</v>
      </c>
      <c r="AC69" s="190">
        <f t="shared" ca="1" si="45"/>
        <v>0</v>
      </c>
      <c r="AD69" s="190">
        <f t="shared" ca="1" si="45"/>
        <v>0</v>
      </c>
      <c r="AE69" s="190">
        <f t="shared" ca="1" si="45"/>
        <v>0</v>
      </c>
      <c r="AF69" s="190">
        <f t="shared" ca="1" si="45"/>
        <v>0</v>
      </c>
      <c r="AG69" s="190">
        <f t="shared" ca="1" si="45"/>
        <v>0</v>
      </c>
      <c r="AH69" s="190">
        <f t="shared" ca="1" si="45"/>
        <v>0</v>
      </c>
      <c r="AI69" s="190">
        <f t="shared" ca="1" si="45"/>
        <v>0</v>
      </c>
      <c r="AJ69" s="190">
        <f t="shared" ca="1" si="45"/>
        <v>0</v>
      </c>
      <c r="AK69" s="190">
        <f t="shared" ca="1" si="45"/>
        <v>0</v>
      </c>
      <c r="AL69" s="190">
        <f t="shared" si="45"/>
        <v>0</v>
      </c>
      <c r="AM69" s="190">
        <f t="shared" si="45"/>
        <v>0</v>
      </c>
      <c r="AN69" s="190">
        <f t="shared" si="45"/>
        <v>0</v>
      </c>
      <c r="AO69" s="190">
        <f t="shared" si="45"/>
        <v>0</v>
      </c>
      <c r="AP69" s="190">
        <f t="shared" si="45"/>
        <v>0</v>
      </c>
      <c r="AQ69" s="190">
        <f t="shared" si="45"/>
        <v>0</v>
      </c>
      <c r="AR69" s="190">
        <f t="shared" si="45"/>
        <v>0</v>
      </c>
      <c r="AS69" s="190">
        <f t="shared" si="45"/>
        <v>0</v>
      </c>
      <c r="AT69" s="190">
        <f t="shared" si="45"/>
        <v>0</v>
      </c>
      <c r="AU69" s="190">
        <f t="shared" si="45"/>
        <v>0</v>
      </c>
    </row>
    <row r="70" spans="1:47" s="28" customFormat="1">
      <c r="E70" s="254"/>
      <c r="G70" s="36" t="s">
        <v>153</v>
      </c>
      <c r="L70" s="43" t="s">
        <v>12</v>
      </c>
      <c r="N70" s="189">
        <f t="shared" ca="1" si="44"/>
        <v>1669594.6122509574</v>
      </c>
      <c r="O70" s="189"/>
      <c r="P70" s="320"/>
      <c r="Q70" s="189"/>
      <c r="R70" s="190">
        <f t="shared" ref="R70:AU70" ca="1" si="46">R134</f>
        <v>124440</v>
      </c>
      <c r="S70" s="190">
        <f t="shared" ca="1" si="46"/>
        <v>126928.8</v>
      </c>
      <c r="T70" s="190">
        <f t="shared" ca="1" si="46"/>
        <v>129467.37599999999</v>
      </c>
      <c r="U70" s="190">
        <f t="shared" ca="1" si="46"/>
        <v>132056.72352</v>
      </c>
      <c r="V70" s="190">
        <f t="shared" ca="1" si="46"/>
        <v>134697.85799039999</v>
      </c>
      <c r="W70" s="190">
        <f t="shared" ca="1" si="46"/>
        <v>137391.81515020801</v>
      </c>
      <c r="X70" s="190">
        <f t="shared" ca="1" si="46"/>
        <v>140139.65145321214</v>
      </c>
      <c r="Y70" s="190">
        <f t="shared" ca="1" si="46"/>
        <v>142942.44448227639</v>
      </c>
      <c r="Z70" s="190">
        <f t="shared" ca="1" si="46"/>
        <v>145801.29337192193</v>
      </c>
      <c r="AA70" s="190">
        <f t="shared" ca="1" si="46"/>
        <v>148717.31923936037</v>
      </c>
      <c r="AB70" s="190">
        <f t="shared" ca="1" si="46"/>
        <v>151691.66562414754</v>
      </c>
      <c r="AC70" s="190">
        <f t="shared" ca="1" si="46"/>
        <v>154725.49893663052</v>
      </c>
      <c r="AD70" s="190">
        <f t="shared" ca="1" si="46"/>
        <v>157820.00891536311</v>
      </c>
      <c r="AE70" s="190">
        <f t="shared" ca="1" si="46"/>
        <v>160976.4090936704</v>
      </c>
      <c r="AF70" s="190">
        <f t="shared" ca="1" si="46"/>
        <v>164195.93727554375</v>
      </c>
      <c r="AG70" s="190">
        <f t="shared" ca="1" si="46"/>
        <v>167479.85602105467</v>
      </c>
      <c r="AH70" s="190">
        <f t="shared" ca="1" si="46"/>
        <v>170829.45314147577</v>
      </c>
      <c r="AI70" s="190">
        <f t="shared" ca="1" si="46"/>
        <v>174246.04220430527</v>
      </c>
      <c r="AJ70" s="190">
        <f t="shared" ca="1" si="46"/>
        <v>177730.96304839136</v>
      </c>
      <c r="AK70" s="190">
        <f t="shared" ca="1" si="46"/>
        <v>181285.58230935922</v>
      </c>
      <c r="AL70" s="190">
        <f t="shared" si="46"/>
        <v>0</v>
      </c>
      <c r="AM70" s="190">
        <f t="shared" si="46"/>
        <v>0</v>
      </c>
      <c r="AN70" s="190">
        <f t="shared" si="46"/>
        <v>0</v>
      </c>
      <c r="AO70" s="190">
        <f t="shared" si="46"/>
        <v>0</v>
      </c>
      <c r="AP70" s="190">
        <f t="shared" si="46"/>
        <v>0</v>
      </c>
      <c r="AQ70" s="190">
        <f t="shared" si="46"/>
        <v>0</v>
      </c>
      <c r="AR70" s="190">
        <f t="shared" si="46"/>
        <v>0</v>
      </c>
      <c r="AS70" s="190">
        <f t="shared" si="46"/>
        <v>0</v>
      </c>
      <c r="AT70" s="190">
        <f t="shared" si="46"/>
        <v>0</v>
      </c>
      <c r="AU70" s="190">
        <f t="shared" si="46"/>
        <v>0</v>
      </c>
    </row>
    <row r="71" spans="1:47" s="28" customFormat="1">
      <c r="E71" s="254"/>
      <c r="G71" s="36" t="s">
        <v>143</v>
      </c>
      <c r="L71" s="43" t="s">
        <v>12</v>
      </c>
      <c r="N71" s="189">
        <f t="shared" ca="1" si="44"/>
        <v>5076599.1528380131</v>
      </c>
      <c r="O71" s="189"/>
      <c r="P71" s="320"/>
      <c r="Q71" s="189"/>
      <c r="R71" s="190">
        <f t="shared" ref="R71:AU71" ca="1" si="47">R155</f>
        <v>378325.25475647952</v>
      </c>
      <c r="S71" s="190">
        <f t="shared" ca="1" si="47"/>
        <v>385862.87429313839</v>
      </c>
      <c r="T71" s="190">
        <f t="shared" ca="1" si="47"/>
        <v>393628.92459099699</v>
      </c>
      <c r="U71" s="190">
        <f t="shared" ca="1" si="47"/>
        <v>401523.52110967063</v>
      </c>
      <c r="V71" s="190">
        <f t="shared" ca="1" si="47"/>
        <v>409563.36262059165</v>
      </c>
      <c r="W71" s="190">
        <f t="shared" ca="1" si="47"/>
        <v>417737.88752771361</v>
      </c>
      <c r="X71" s="190">
        <f t="shared" ca="1" si="47"/>
        <v>426083.87485811958</v>
      </c>
      <c r="Y71" s="190">
        <f t="shared" ca="1" si="47"/>
        <v>434616.64249699609</v>
      </c>
      <c r="Z71" s="190">
        <f t="shared" ca="1" si="47"/>
        <v>443318.6303320509</v>
      </c>
      <c r="AA71" s="190">
        <f t="shared" ca="1" si="47"/>
        <v>452197.55278252997</v>
      </c>
      <c r="AB71" s="190">
        <f t="shared" ca="1" si="47"/>
        <v>461245.77195686335</v>
      </c>
      <c r="AC71" s="190">
        <f t="shared" ca="1" si="47"/>
        <v>470468.73373264022</v>
      </c>
      <c r="AD71" s="190">
        <f t="shared" ca="1" si="47"/>
        <v>479886.4088822247</v>
      </c>
      <c r="AE71" s="190">
        <f t="shared" ca="1" si="47"/>
        <v>489491.78509663272</v>
      </c>
      <c r="AF71" s="190">
        <f t="shared" ca="1" si="47"/>
        <v>499292.20300809963</v>
      </c>
      <c r="AG71" s="190">
        <f t="shared" ca="1" si="47"/>
        <v>509295.30728889536</v>
      </c>
      <c r="AH71" s="190">
        <f t="shared" ca="1" si="47"/>
        <v>519494.48023868643</v>
      </c>
      <c r="AI71" s="190">
        <f t="shared" ca="1" si="47"/>
        <v>529902.28628412052</v>
      </c>
      <c r="AJ71" s="190">
        <f t="shared" ca="1" si="47"/>
        <v>540521.27147364663</v>
      </c>
      <c r="AK71" s="190">
        <f t="shared" ca="1" si="47"/>
        <v>551354.57786501339</v>
      </c>
      <c r="AL71" s="190">
        <f t="shared" si="47"/>
        <v>0</v>
      </c>
      <c r="AM71" s="190">
        <f t="shared" si="47"/>
        <v>0</v>
      </c>
      <c r="AN71" s="190">
        <f t="shared" si="47"/>
        <v>0</v>
      </c>
      <c r="AO71" s="190">
        <f t="shared" si="47"/>
        <v>0</v>
      </c>
      <c r="AP71" s="190">
        <f t="shared" si="47"/>
        <v>0</v>
      </c>
      <c r="AQ71" s="190">
        <f t="shared" si="47"/>
        <v>0</v>
      </c>
      <c r="AR71" s="190">
        <f t="shared" si="47"/>
        <v>0</v>
      </c>
      <c r="AS71" s="190">
        <f t="shared" si="47"/>
        <v>0</v>
      </c>
      <c r="AT71" s="190">
        <f t="shared" si="47"/>
        <v>0</v>
      </c>
      <c r="AU71" s="190">
        <f t="shared" si="47"/>
        <v>0</v>
      </c>
    </row>
    <row r="72" spans="1:47" s="28" customFormat="1">
      <c r="E72" s="254"/>
      <c r="G72" s="36" t="s">
        <v>316</v>
      </c>
      <c r="L72" s="43" t="s">
        <v>12</v>
      </c>
      <c r="N72" s="189">
        <f t="shared" ca="1" si="44"/>
        <v>0</v>
      </c>
      <c r="O72" s="189"/>
      <c r="P72" s="320"/>
      <c r="Q72" s="189"/>
      <c r="R72" s="190">
        <f t="shared" ref="R72:AU72" ca="1" si="48">R176</f>
        <v>0</v>
      </c>
      <c r="S72" s="190">
        <f t="shared" ca="1" si="48"/>
        <v>0</v>
      </c>
      <c r="T72" s="190">
        <f t="shared" ca="1" si="48"/>
        <v>0</v>
      </c>
      <c r="U72" s="190">
        <f t="shared" ca="1" si="48"/>
        <v>0</v>
      </c>
      <c r="V72" s="190">
        <f t="shared" ca="1" si="48"/>
        <v>0</v>
      </c>
      <c r="W72" s="190">
        <f t="shared" ca="1" si="48"/>
        <v>0</v>
      </c>
      <c r="X72" s="190">
        <f t="shared" ca="1" si="48"/>
        <v>0</v>
      </c>
      <c r="Y72" s="190">
        <f t="shared" ca="1" si="48"/>
        <v>0</v>
      </c>
      <c r="Z72" s="190">
        <f t="shared" ca="1" si="48"/>
        <v>0</v>
      </c>
      <c r="AA72" s="190">
        <f t="shared" ca="1" si="48"/>
        <v>0</v>
      </c>
      <c r="AB72" s="190">
        <f t="shared" ca="1" si="48"/>
        <v>0</v>
      </c>
      <c r="AC72" s="190">
        <f t="shared" ca="1" si="48"/>
        <v>0</v>
      </c>
      <c r="AD72" s="190">
        <f t="shared" ca="1" si="48"/>
        <v>0</v>
      </c>
      <c r="AE72" s="190">
        <f t="shared" ca="1" si="48"/>
        <v>0</v>
      </c>
      <c r="AF72" s="190">
        <f t="shared" ca="1" si="48"/>
        <v>0</v>
      </c>
      <c r="AG72" s="190">
        <f t="shared" ca="1" si="48"/>
        <v>0</v>
      </c>
      <c r="AH72" s="190">
        <f t="shared" ca="1" si="48"/>
        <v>0</v>
      </c>
      <c r="AI72" s="190">
        <f t="shared" ca="1" si="48"/>
        <v>0</v>
      </c>
      <c r="AJ72" s="190">
        <f t="shared" ca="1" si="48"/>
        <v>0</v>
      </c>
      <c r="AK72" s="190">
        <f t="shared" ca="1" si="48"/>
        <v>0</v>
      </c>
      <c r="AL72" s="190">
        <f t="shared" si="48"/>
        <v>0</v>
      </c>
      <c r="AM72" s="190">
        <f t="shared" si="48"/>
        <v>0</v>
      </c>
      <c r="AN72" s="190">
        <f t="shared" si="48"/>
        <v>0</v>
      </c>
      <c r="AO72" s="190">
        <f t="shared" si="48"/>
        <v>0</v>
      </c>
      <c r="AP72" s="190">
        <f t="shared" si="48"/>
        <v>0</v>
      </c>
      <c r="AQ72" s="190">
        <f t="shared" si="48"/>
        <v>0</v>
      </c>
      <c r="AR72" s="190">
        <f t="shared" si="48"/>
        <v>0</v>
      </c>
      <c r="AS72" s="190">
        <f t="shared" si="48"/>
        <v>0</v>
      </c>
      <c r="AT72" s="190">
        <f t="shared" si="48"/>
        <v>0</v>
      </c>
      <c r="AU72" s="190">
        <f t="shared" si="48"/>
        <v>0</v>
      </c>
    </row>
    <row r="73" spans="1:47" s="28" customFormat="1">
      <c r="E73" s="254"/>
      <c r="G73" s="36" t="s">
        <v>317</v>
      </c>
      <c r="L73" s="43" t="s">
        <v>12</v>
      </c>
      <c r="N73" s="189">
        <f t="shared" ca="1" si="44"/>
        <v>0</v>
      </c>
      <c r="O73" s="189"/>
      <c r="P73" s="320"/>
      <c r="Q73" s="189"/>
      <c r="R73" s="190">
        <f t="shared" ref="R73:AU73" ca="1" si="49">R197</f>
        <v>0</v>
      </c>
      <c r="S73" s="190">
        <f t="shared" ca="1" si="49"/>
        <v>0</v>
      </c>
      <c r="T73" s="190">
        <f t="shared" ca="1" si="49"/>
        <v>0</v>
      </c>
      <c r="U73" s="190">
        <f t="shared" ca="1" si="49"/>
        <v>0</v>
      </c>
      <c r="V73" s="190">
        <f t="shared" ca="1" si="49"/>
        <v>0</v>
      </c>
      <c r="W73" s="190">
        <f t="shared" ca="1" si="49"/>
        <v>0</v>
      </c>
      <c r="X73" s="190">
        <f t="shared" ca="1" si="49"/>
        <v>0</v>
      </c>
      <c r="Y73" s="190">
        <f t="shared" ca="1" si="49"/>
        <v>0</v>
      </c>
      <c r="Z73" s="190">
        <f t="shared" ca="1" si="49"/>
        <v>0</v>
      </c>
      <c r="AA73" s="190">
        <f t="shared" ca="1" si="49"/>
        <v>0</v>
      </c>
      <c r="AB73" s="190">
        <f t="shared" ca="1" si="49"/>
        <v>0</v>
      </c>
      <c r="AC73" s="190">
        <f t="shared" ca="1" si="49"/>
        <v>0</v>
      </c>
      <c r="AD73" s="190">
        <f t="shared" ca="1" si="49"/>
        <v>0</v>
      </c>
      <c r="AE73" s="190">
        <f t="shared" ca="1" si="49"/>
        <v>0</v>
      </c>
      <c r="AF73" s="190">
        <f t="shared" ca="1" si="49"/>
        <v>0</v>
      </c>
      <c r="AG73" s="190">
        <f t="shared" ca="1" si="49"/>
        <v>0</v>
      </c>
      <c r="AH73" s="190">
        <f t="shared" ca="1" si="49"/>
        <v>0</v>
      </c>
      <c r="AI73" s="190">
        <f t="shared" ca="1" si="49"/>
        <v>0</v>
      </c>
      <c r="AJ73" s="190">
        <f t="shared" ca="1" si="49"/>
        <v>0</v>
      </c>
      <c r="AK73" s="190">
        <f t="shared" ca="1" si="49"/>
        <v>0</v>
      </c>
      <c r="AL73" s="190">
        <f t="shared" si="49"/>
        <v>0</v>
      </c>
      <c r="AM73" s="190">
        <f t="shared" si="49"/>
        <v>0</v>
      </c>
      <c r="AN73" s="190">
        <f t="shared" si="49"/>
        <v>0</v>
      </c>
      <c r="AO73" s="190">
        <f t="shared" si="49"/>
        <v>0</v>
      </c>
      <c r="AP73" s="190">
        <f t="shared" si="49"/>
        <v>0</v>
      </c>
      <c r="AQ73" s="190">
        <f t="shared" si="49"/>
        <v>0</v>
      </c>
      <c r="AR73" s="190">
        <f t="shared" si="49"/>
        <v>0</v>
      </c>
      <c r="AS73" s="190">
        <f t="shared" si="49"/>
        <v>0</v>
      </c>
      <c r="AT73" s="190">
        <f t="shared" si="49"/>
        <v>0</v>
      </c>
      <c r="AU73" s="190">
        <f t="shared" si="49"/>
        <v>0</v>
      </c>
    </row>
    <row r="74" spans="1:47" s="28" customFormat="1">
      <c r="E74" s="254"/>
      <c r="G74" s="36" t="s">
        <v>318</v>
      </c>
      <c r="L74" s="43" t="s">
        <v>12</v>
      </c>
      <c r="N74" s="189">
        <f t="shared" ca="1" si="44"/>
        <v>0</v>
      </c>
      <c r="O74" s="189"/>
      <c r="P74" s="320"/>
      <c r="Q74" s="189"/>
      <c r="R74" s="190">
        <f t="shared" ref="R74:AU74" ca="1" si="50">R218</f>
        <v>0</v>
      </c>
      <c r="S74" s="190">
        <f t="shared" ca="1" si="50"/>
        <v>0</v>
      </c>
      <c r="T74" s="190">
        <f t="shared" ca="1" si="50"/>
        <v>0</v>
      </c>
      <c r="U74" s="190">
        <f t="shared" ca="1" si="50"/>
        <v>0</v>
      </c>
      <c r="V74" s="190">
        <f t="shared" ca="1" si="50"/>
        <v>0</v>
      </c>
      <c r="W74" s="190">
        <f t="shared" ca="1" si="50"/>
        <v>0</v>
      </c>
      <c r="X74" s="190">
        <f t="shared" ca="1" si="50"/>
        <v>0</v>
      </c>
      <c r="Y74" s="190">
        <f t="shared" ca="1" si="50"/>
        <v>0</v>
      </c>
      <c r="Z74" s="190">
        <f t="shared" ca="1" si="50"/>
        <v>0</v>
      </c>
      <c r="AA74" s="190">
        <f t="shared" ca="1" si="50"/>
        <v>0</v>
      </c>
      <c r="AB74" s="190">
        <f t="shared" ca="1" si="50"/>
        <v>0</v>
      </c>
      <c r="AC74" s="190">
        <f t="shared" ca="1" si="50"/>
        <v>0</v>
      </c>
      <c r="AD74" s="190">
        <f t="shared" ca="1" si="50"/>
        <v>0</v>
      </c>
      <c r="AE74" s="190">
        <f t="shared" ca="1" si="50"/>
        <v>0</v>
      </c>
      <c r="AF74" s="190">
        <f t="shared" ca="1" si="50"/>
        <v>0</v>
      </c>
      <c r="AG74" s="190">
        <f t="shared" ca="1" si="50"/>
        <v>0</v>
      </c>
      <c r="AH74" s="190">
        <f t="shared" ca="1" si="50"/>
        <v>0</v>
      </c>
      <c r="AI74" s="190">
        <f t="shared" ca="1" si="50"/>
        <v>0</v>
      </c>
      <c r="AJ74" s="190">
        <f t="shared" ca="1" si="50"/>
        <v>0</v>
      </c>
      <c r="AK74" s="190">
        <f t="shared" ca="1" si="50"/>
        <v>0</v>
      </c>
      <c r="AL74" s="190">
        <f t="shared" si="50"/>
        <v>0</v>
      </c>
      <c r="AM74" s="190">
        <f t="shared" si="50"/>
        <v>0</v>
      </c>
      <c r="AN74" s="190">
        <f t="shared" si="50"/>
        <v>0</v>
      </c>
      <c r="AO74" s="190">
        <f t="shared" si="50"/>
        <v>0</v>
      </c>
      <c r="AP74" s="190">
        <f t="shared" si="50"/>
        <v>0</v>
      </c>
      <c r="AQ74" s="190">
        <f t="shared" si="50"/>
        <v>0</v>
      </c>
      <c r="AR74" s="190">
        <f t="shared" si="50"/>
        <v>0</v>
      </c>
      <c r="AS74" s="190">
        <f t="shared" si="50"/>
        <v>0</v>
      </c>
      <c r="AT74" s="190">
        <f t="shared" si="50"/>
        <v>0</v>
      </c>
      <c r="AU74" s="190">
        <f t="shared" si="50"/>
        <v>0</v>
      </c>
    </row>
    <row r="75" spans="1:47" s="28" customFormat="1">
      <c r="E75" s="254"/>
      <c r="G75" s="36" t="s">
        <v>319</v>
      </c>
      <c r="L75" s="43" t="s">
        <v>12</v>
      </c>
      <c r="N75" s="189">
        <f t="shared" ca="1" si="44"/>
        <v>90862.460547494265</v>
      </c>
      <c r="O75" s="189"/>
      <c r="P75" s="320"/>
      <c r="Q75" s="189"/>
      <c r="R75" s="190">
        <f t="shared" ref="R75:AU75" ca="1" si="51">R239</f>
        <v>5349.6870897932504</v>
      </c>
      <c r="S75" s="190">
        <f t="shared" ca="1" si="51"/>
        <v>5490.6313625730436</v>
      </c>
      <c r="T75" s="190">
        <f t="shared" ca="1" si="51"/>
        <v>6135.7601841135747</v>
      </c>
      <c r="U75" s="190">
        <f t="shared" ca="1" si="51"/>
        <v>6487.3321857804458</v>
      </c>
      <c r="V75" s="190">
        <f t="shared" ca="1" si="51"/>
        <v>6921.4360258838678</v>
      </c>
      <c r="W75" s="190">
        <f t="shared" ca="1" si="51"/>
        <v>7200.7756313277205</v>
      </c>
      <c r="X75" s="190">
        <f t="shared" ca="1" si="51"/>
        <v>7427.5683935995894</v>
      </c>
      <c r="Y75" s="190">
        <f t="shared" ca="1" si="51"/>
        <v>7708.4818647181946</v>
      </c>
      <c r="Z75" s="190">
        <f t="shared" ca="1" si="51"/>
        <v>8108.7423504787503</v>
      </c>
      <c r="AA75" s="190">
        <f t="shared" ca="1" si="51"/>
        <v>8514.7763952948735</v>
      </c>
      <c r="AB75" s="190">
        <f t="shared" ca="1" si="51"/>
        <v>8811.1198078361922</v>
      </c>
      <c r="AC75" s="190">
        <f t="shared" ca="1" si="51"/>
        <v>9030.4008855256798</v>
      </c>
      <c r="AD75" s="190">
        <f t="shared" ca="1" si="51"/>
        <v>9351.0128174870006</v>
      </c>
      <c r="AE75" s="190">
        <f t="shared" ca="1" si="51"/>
        <v>9580.1995797304571</v>
      </c>
      <c r="AF75" s="190">
        <f t="shared" ca="1" si="51"/>
        <v>9913.1834239537075</v>
      </c>
      <c r="AG75" s="190">
        <f t="shared" ca="1" si="51"/>
        <v>10237.950780683228</v>
      </c>
      <c r="AH75" s="190">
        <f t="shared" ca="1" si="51"/>
        <v>10548.126969702709</v>
      </c>
      <c r="AI75" s="190">
        <f t="shared" ca="1" si="51"/>
        <v>10933.78114322786</v>
      </c>
      <c r="AJ75" s="190">
        <f t="shared" ca="1" si="51"/>
        <v>11292.988315607034</v>
      </c>
      <c r="AK75" s="190">
        <f t="shared" ca="1" si="51"/>
        <v>11745.498578849667</v>
      </c>
      <c r="AL75" s="190">
        <f t="shared" si="51"/>
        <v>0</v>
      </c>
      <c r="AM75" s="190">
        <f t="shared" si="51"/>
        <v>0</v>
      </c>
      <c r="AN75" s="190">
        <f t="shared" si="51"/>
        <v>0</v>
      </c>
      <c r="AO75" s="190">
        <f t="shared" si="51"/>
        <v>0</v>
      </c>
      <c r="AP75" s="190">
        <f t="shared" si="51"/>
        <v>0</v>
      </c>
      <c r="AQ75" s="190">
        <f t="shared" si="51"/>
        <v>0</v>
      </c>
      <c r="AR75" s="190">
        <f t="shared" si="51"/>
        <v>0</v>
      </c>
      <c r="AS75" s="190">
        <f t="shared" si="51"/>
        <v>0</v>
      </c>
      <c r="AT75" s="190">
        <f t="shared" si="51"/>
        <v>0</v>
      </c>
      <c r="AU75" s="190">
        <f t="shared" si="51"/>
        <v>0</v>
      </c>
    </row>
    <row r="76" spans="1:47" s="28" customFormat="1">
      <c r="E76" s="254"/>
      <c r="G76" s="36" t="s">
        <v>320</v>
      </c>
      <c r="L76" s="43" t="s">
        <v>12</v>
      </c>
      <c r="N76" s="189">
        <f t="shared" ca="1" si="44"/>
        <v>7895221.2053766046</v>
      </c>
      <c r="O76" s="189"/>
      <c r="P76" s="320"/>
      <c r="Q76" s="189"/>
      <c r="R76" s="190">
        <f t="shared" ref="R76:AU76" ca="1" si="52">R260</f>
        <v>586292.67792286957</v>
      </c>
      <c r="S76" s="190">
        <f t="shared" ca="1" si="52"/>
        <v>597620.98859261104</v>
      </c>
      <c r="T76" s="190">
        <f t="shared" ca="1" si="52"/>
        <v>610839.35183322581</v>
      </c>
      <c r="U76" s="190">
        <f t="shared" ca="1" si="52"/>
        <v>623614.65756706148</v>
      </c>
      <c r="V76" s="190">
        <f t="shared" ca="1" si="52"/>
        <v>636532.22936590097</v>
      </c>
      <c r="W76" s="190">
        <f t="shared" ca="1" si="52"/>
        <v>649154.04687650688</v>
      </c>
      <c r="X76" s="190">
        <f t="shared" ca="1" si="52"/>
        <v>662089.10728134669</v>
      </c>
      <c r="Y76" s="190">
        <f t="shared" ca="1" si="52"/>
        <v>675629.34787551803</v>
      </c>
      <c r="Z76" s="190">
        <f t="shared" ca="1" si="52"/>
        <v>689533.01607911207</v>
      </c>
      <c r="AA76" s="190">
        <f t="shared" ca="1" si="52"/>
        <v>703755.77296487172</v>
      </c>
      <c r="AB76" s="190">
        <f t="shared" ca="1" si="52"/>
        <v>718021.08252079494</v>
      </c>
      <c r="AC76" s="190">
        <f t="shared" ca="1" si="52"/>
        <v>732395.49992222351</v>
      </c>
      <c r="AD76" s="190">
        <f t="shared" ca="1" si="52"/>
        <v>747307.85099288588</v>
      </c>
      <c r="AE76" s="190">
        <f t="shared" ca="1" si="52"/>
        <v>762410.57293964154</v>
      </c>
      <c r="AF76" s="190">
        <f t="shared" ca="1" si="52"/>
        <v>777958.69807620044</v>
      </c>
      <c r="AG76" s="190">
        <f t="shared" ca="1" si="52"/>
        <v>793902.6450477168</v>
      </c>
      <c r="AH76" s="190">
        <f t="shared" ca="1" si="52"/>
        <v>810084.65415638464</v>
      </c>
      <c r="AI76" s="190">
        <f t="shared" ca="1" si="52"/>
        <v>826729.25611128286</v>
      </c>
      <c r="AJ76" s="190">
        <f t="shared" ca="1" si="52"/>
        <v>843717.65721819573</v>
      </c>
      <c r="AK76" s="190">
        <f t="shared" ca="1" si="52"/>
        <v>861161.20977335214</v>
      </c>
      <c r="AL76" s="190">
        <f t="shared" si="52"/>
        <v>0</v>
      </c>
      <c r="AM76" s="190">
        <f t="shared" si="52"/>
        <v>0</v>
      </c>
      <c r="AN76" s="190">
        <f t="shared" si="52"/>
        <v>0</v>
      </c>
      <c r="AO76" s="190">
        <f t="shared" si="52"/>
        <v>0</v>
      </c>
      <c r="AP76" s="190">
        <f t="shared" si="52"/>
        <v>0</v>
      </c>
      <c r="AQ76" s="190">
        <f t="shared" si="52"/>
        <v>0</v>
      </c>
      <c r="AR76" s="190">
        <f t="shared" si="52"/>
        <v>0</v>
      </c>
      <c r="AS76" s="190">
        <f t="shared" si="52"/>
        <v>0</v>
      </c>
      <c r="AT76" s="190">
        <f t="shared" si="52"/>
        <v>0</v>
      </c>
      <c r="AU76" s="190">
        <f t="shared" si="52"/>
        <v>0</v>
      </c>
    </row>
    <row r="77" spans="1:47" s="28" customFormat="1">
      <c r="E77" s="254"/>
      <c r="G77" s="36" t="s">
        <v>321</v>
      </c>
      <c r="L77" s="43" t="s">
        <v>12</v>
      </c>
      <c r="N77" s="189">
        <f t="shared" ca="1" si="44"/>
        <v>0</v>
      </c>
      <c r="O77" s="189"/>
      <c r="P77" s="320"/>
      <c r="Q77" s="189"/>
      <c r="R77" s="190">
        <f t="shared" ref="R77:AU77" ca="1" si="53">R281</f>
        <v>0</v>
      </c>
      <c r="S77" s="190">
        <f t="shared" ca="1" si="53"/>
        <v>0</v>
      </c>
      <c r="T77" s="190">
        <f t="shared" ca="1" si="53"/>
        <v>0</v>
      </c>
      <c r="U77" s="190">
        <f t="shared" ca="1" si="53"/>
        <v>0</v>
      </c>
      <c r="V77" s="190">
        <f t="shared" ca="1" si="53"/>
        <v>0</v>
      </c>
      <c r="W77" s="190">
        <f t="shared" ca="1" si="53"/>
        <v>0</v>
      </c>
      <c r="X77" s="190">
        <f t="shared" ca="1" si="53"/>
        <v>0</v>
      </c>
      <c r="Y77" s="190">
        <f t="shared" ca="1" si="53"/>
        <v>0</v>
      </c>
      <c r="Z77" s="190">
        <f t="shared" ca="1" si="53"/>
        <v>0</v>
      </c>
      <c r="AA77" s="190">
        <f t="shared" ca="1" si="53"/>
        <v>0</v>
      </c>
      <c r="AB77" s="190">
        <f t="shared" ca="1" si="53"/>
        <v>0</v>
      </c>
      <c r="AC77" s="190">
        <f t="shared" ca="1" si="53"/>
        <v>0</v>
      </c>
      <c r="AD77" s="190">
        <f t="shared" ca="1" si="53"/>
        <v>0</v>
      </c>
      <c r="AE77" s="190">
        <f t="shared" ca="1" si="53"/>
        <v>0</v>
      </c>
      <c r="AF77" s="190">
        <f t="shared" ca="1" si="53"/>
        <v>0</v>
      </c>
      <c r="AG77" s="190">
        <f t="shared" ca="1" si="53"/>
        <v>0</v>
      </c>
      <c r="AH77" s="190">
        <f t="shared" ca="1" si="53"/>
        <v>0</v>
      </c>
      <c r="AI77" s="190">
        <f t="shared" ca="1" si="53"/>
        <v>0</v>
      </c>
      <c r="AJ77" s="190">
        <f t="shared" ca="1" si="53"/>
        <v>0</v>
      </c>
      <c r="AK77" s="190">
        <f t="shared" ca="1" si="53"/>
        <v>0</v>
      </c>
      <c r="AL77" s="190">
        <f t="shared" si="53"/>
        <v>0</v>
      </c>
      <c r="AM77" s="190">
        <f t="shared" si="53"/>
        <v>0</v>
      </c>
      <c r="AN77" s="190">
        <f t="shared" si="53"/>
        <v>0</v>
      </c>
      <c r="AO77" s="190">
        <f t="shared" si="53"/>
        <v>0</v>
      </c>
      <c r="AP77" s="190">
        <f t="shared" si="53"/>
        <v>0</v>
      </c>
      <c r="AQ77" s="190">
        <f t="shared" si="53"/>
        <v>0</v>
      </c>
      <c r="AR77" s="190">
        <f t="shared" si="53"/>
        <v>0</v>
      </c>
      <c r="AS77" s="190">
        <f t="shared" si="53"/>
        <v>0</v>
      </c>
      <c r="AT77" s="190">
        <f t="shared" si="53"/>
        <v>0</v>
      </c>
      <c r="AU77" s="190">
        <f t="shared" si="53"/>
        <v>0</v>
      </c>
    </row>
    <row r="78" spans="1:47" s="28" customFormat="1">
      <c r="E78" s="254"/>
      <c r="G78" s="36" t="s">
        <v>160</v>
      </c>
      <c r="L78" s="43" t="s">
        <v>12</v>
      </c>
      <c r="N78" s="189">
        <f t="shared" ca="1" si="44"/>
        <v>0</v>
      </c>
      <c r="O78" s="189"/>
      <c r="P78" s="320"/>
      <c r="Q78" s="189"/>
      <c r="R78" s="190">
        <f t="shared" ref="R78:AU78" ca="1" si="54">R302</f>
        <v>0</v>
      </c>
      <c r="S78" s="190">
        <f t="shared" ca="1" si="54"/>
        <v>0</v>
      </c>
      <c r="T78" s="190">
        <f t="shared" ca="1" si="54"/>
        <v>0</v>
      </c>
      <c r="U78" s="190">
        <f t="shared" ca="1" si="54"/>
        <v>0</v>
      </c>
      <c r="V78" s="190">
        <f t="shared" ca="1" si="54"/>
        <v>0</v>
      </c>
      <c r="W78" s="190">
        <f t="shared" ca="1" si="54"/>
        <v>0</v>
      </c>
      <c r="X78" s="190">
        <f t="shared" ca="1" si="54"/>
        <v>0</v>
      </c>
      <c r="Y78" s="190">
        <f t="shared" ca="1" si="54"/>
        <v>0</v>
      </c>
      <c r="Z78" s="190">
        <f t="shared" ca="1" si="54"/>
        <v>0</v>
      </c>
      <c r="AA78" s="190">
        <f t="shared" ca="1" si="54"/>
        <v>0</v>
      </c>
      <c r="AB78" s="190">
        <f t="shared" ca="1" si="54"/>
        <v>0</v>
      </c>
      <c r="AC78" s="190">
        <f t="shared" ca="1" si="54"/>
        <v>0</v>
      </c>
      <c r="AD78" s="190">
        <f t="shared" ca="1" si="54"/>
        <v>0</v>
      </c>
      <c r="AE78" s="190">
        <f t="shared" ca="1" si="54"/>
        <v>0</v>
      </c>
      <c r="AF78" s="190">
        <f t="shared" ca="1" si="54"/>
        <v>0</v>
      </c>
      <c r="AG78" s="190">
        <f t="shared" ca="1" si="54"/>
        <v>0</v>
      </c>
      <c r="AH78" s="190">
        <f t="shared" ca="1" si="54"/>
        <v>0</v>
      </c>
      <c r="AI78" s="190">
        <f t="shared" ca="1" si="54"/>
        <v>0</v>
      </c>
      <c r="AJ78" s="190">
        <f t="shared" ca="1" si="54"/>
        <v>0</v>
      </c>
      <c r="AK78" s="190">
        <f t="shared" ca="1" si="54"/>
        <v>0</v>
      </c>
      <c r="AL78" s="190">
        <f t="shared" si="54"/>
        <v>0</v>
      </c>
      <c r="AM78" s="190">
        <f t="shared" si="54"/>
        <v>0</v>
      </c>
      <c r="AN78" s="190">
        <f t="shared" si="54"/>
        <v>0</v>
      </c>
      <c r="AO78" s="190">
        <f t="shared" si="54"/>
        <v>0</v>
      </c>
      <c r="AP78" s="190">
        <f t="shared" si="54"/>
        <v>0</v>
      </c>
      <c r="AQ78" s="190">
        <f t="shared" si="54"/>
        <v>0</v>
      </c>
      <c r="AR78" s="190">
        <f t="shared" si="54"/>
        <v>0</v>
      </c>
      <c r="AS78" s="190">
        <f t="shared" si="54"/>
        <v>0</v>
      </c>
      <c r="AT78" s="190">
        <f t="shared" si="54"/>
        <v>0</v>
      </c>
      <c r="AU78" s="190">
        <f t="shared" si="54"/>
        <v>0</v>
      </c>
    </row>
    <row r="79" spans="1:47" s="28" customFormat="1">
      <c r="E79" s="254"/>
      <c r="G79" s="36" t="s">
        <v>161</v>
      </c>
      <c r="L79" s="43" t="s">
        <v>12</v>
      </c>
      <c r="N79" s="189">
        <f t="shared" ca="1" si="44"/>
        <v>0</v>
      </c>
      <c r="O79" s="189"/>
      <c r="P79" s="320"/>
      <c r="Q79" s="189"/>
      <c r="R79" s="190">
        <f t="shared" ref="R79:AU79" ca="1" si="55">R323</f>
        <v>0</v>
      </c>
      <c r="S79" s="190">
        <f t="shared" ca="1" si="55"/>
        <v>0</v>
      </c>
      <c r="T79" s="190">
        <f t="shared" ca="1" si="55"/>
        <v>0</v>
      </c>
      <c r="U79" s="190">
        <f t="shared" ca="1" si="55"/>
        <v>0</v>
      </c>
      <c r="V79" s="190">
        <f t="shared" ca="1" si="55"/>
        <v>0</v>
      </c>
      <c r="W79" s="190">
        <f t="shared" ca="1" si="55"/>
        <v>0</v>
      </c>
      <c r="X79" s="190">
        <f t="shared" ca="1" si="55"/>
        <v>0</v>
      </c>
      <c r="Y79" s="190">
        <f t="shared" ca="1" si="55"/>
        <v>0</v>
      </c>
      <c r="Z79" s="190">
        <f t="shared" ca="1" si="55"/>
        <v>0</v>
      </c>
      <c r="AA79" s="190">
        <f t="shared" ca="1" si="55"/>
        <v>0</v>
      </c>
      <c r="AB79" s="190">
        <f t="shared" ca="1" si="55"/>
        <v>0</v>
      </c>
      <c r="AC79" s="190">
        <f t="shared" ca="1" si="55"/>
        <v>0</v>
      </c>
      <c r="AD79" s="190">
        <f t="shared" ca="1" si="55"/>
        <v>0</v>
      </c>
      <c r="AE79" s="190">
        <f t="shared" ca="1" si="55"/>
        <v>0</v>
      </c>
      <c r="AF79" s="190">
        <f t="shared" ca="1" si="55"/>
        <v>0</v>
      </c>
      <c r="AG79" s="190">
        <f t="shared" ca="1" si="55"/>
        <v>0</v>
      </c>
      <c r="AH79" s="190">
        <f t="shared" ca="1" si="55"/>
        <v>0</v>
      </c>
      <c r="AI79" s="190">
        <f t="shared" ca="1" si="55"/>
        <v>0</v>
      </c>
      <c r="AJ79" s="190">
        <f t="shared" ca="1" si="55"/>
        <v>0</v>
      </c>
      <c r="AK79" s="190">
        <f t="shared" ca="1" si="55"/>
        <v>0</v>
      </c>
      <c r="AL79" s="190">
        <f t="shared" si="55"/>
        <v>0</v>
      </c>
      <c r="AM79" s="190">
        <f t="shared" si="55"/>
        <v>0</v>
      </c>
      <c r="AN79" s="190">
        <f t="shared" si="55"/>
        <v>0</v>
      </c>
      <c r="AO79" s="190">
        <f t="shared" si="55"/>
        <v>0</v>
      </c>
      <c r="AP79" s="190">
        <f t="shared" si="55"/>
        <v>0</v>
      </c>
      <c r="AQ79" s="190">
        <f t="shared" si="55"/>
        <v>0</v>
      </c>
      <c r="AR79" s="190">
        <f t="shared" si="55"/>
        <v>0</v>
      </c>
      <c r="AS79" s="190">
        <f t="shared" si="55"/>
        <v>0</v>
      </c>
      <c r="AT79" s="190">
        <f t="shared" si="55"/>
        <v>0</v>
      </c>
      <c r="AU79" s="190">
        <f t="shared" si="55"/>
        <v>0</v>
      </c>
    </row>
    <row r="80" spans="1:47" s="28" customFormat="1">
      <c r="E80" s="254"/>
      <c r="G80" s="36" t="s">
        <v>162</v>
      </c>
      <c r="L80" s="43" t="s">
        <v>12</v>
      </c>
      <c r="N80" s="189">
        <f t="shared" ca="1" si="44"/>
        <v>0</v>
      </c>
      <c r="O80" s="189"/>
      <c r="P80" s="320"/>
      <c r="Q80" s="189"/>
      <c r="R80" s="190">
        <f t="shared" ref="R80:AU80" ca="1" si="56">R344</f>
        <v>0</v>
      </c>
      <c r="S80" s="190">
        <f t="shared" ca="1" si="56"/>
        <v>0</v>
      </c>
      <c r="T80" s="190">
        <f t="shared" ca="1" si="56"/>
        <v>0</v>
      </c>
      <c r="U80" s="190">
        <f t="shared" ca="1" si="56"/>
        <v>0</v>
      </c>
      <c r="V80" s="190">
        <f t="shared" ca="1" si="56"/>
        <v>0</v>
      </c>
      <c r="W80" s="190">
        <f t="shared" ca="1" si="56"/>
        <v>0</v>
      </c>
      <c r="X80" s="190">
        <f t="shared" ca="1" si="56"/>
        <v>0</v>
      </c>
      <c r="Y80" s="190">
        <f t="shared" ca="1" si="56"/>
        <v>0</v>
      </c>
      <c r="Z80" s="190">
        <f t="shared" ca="1" si="56"/>
        <v>0</v>
      </c>
      <c r="AA80" s="190">
        <f t="shared" ca="1" si="56"/>
        <v>0</v>
      </c>
      <c r="AB80" s="190">
        <f t="shared" ca="1" si="56"/>
        <v>0</v>
      </c>
      <c r="AC80" s="190">
        <f t="shared" ca="1" si="56"/>
        <v>0</v>
      </c>
      <c r="AD80" s="190">
        <f t="shared" ca="1" si="56"/>
        <v>0</v>
      </c>
      <c r="AE80" s="190">
        <f t="shared" ca="1" si="56"/>
        <v>0</v>
      </c>
      <c r="AF80" s="190">
        <f t="shared" ca="1" si="56"/>
        <v>0</v>
      </c>
      <c r="AG80" s="190">
        <f t="shared" ca="1" si="56"/>
        <v>0</v>
      </c>
      <c r="AH80" s="190">
        <f t="shared" ca="1" si="56"/>
        <v>0</v>
      </c>
      <c r="AI80" s="190">
        <f t="shared" ca="1" si="56"/>
        <v>0</v>
      </c>
      <c r="AJ80" s="190">
        <f t="shared" ca="1" si="56"/>
        <v>0</v>
      </c>
      <c r="AK80" s="190">
        <f t="shared" ca="1" si="56"/>
        <v>0</v>
      </c>
      <c r="AL80" s="190">
        <f t="shared" si="56"/>
        <v>0</v>
      </c>
      <c r="AM80" s="190">
        <f t="shared" si="56"/>
        <v>0</v>
      </c>
      <c r="AN80" s="190">
        <f t="shared" si="56"/>
        <v>0</v>
      </c>
      <c r="AO80" s="190">
        <f t="shared" si="56"/>
        <v>0</v>
      </c>
      <c r="AP80" s="190">
        <f t="shared" si="56"/>
        <v>0</v>
      </c>
      <c r="AQ80" s="190">
        <f t="shared" si="56"/>
        <v>0</v>
      </c>
      <c r="AR80" s="190">
        <f t="shared" si="56"/>
        <v>0</v>
      </c>
      <c r="AS80" s="190">
        <f t="shared" si="56"/>
        <v>0</v>
      </c>
      <c r="AT80" s="190">
        <f t="shared" si="56"/>
        <v>0</v>
      </c>
      <c r="AU80" s="190">
        <f t="shared" si="56"/>
        <v>0</v>
      </c>
    </row>
    <row r="81" spans="1:47" s="28" customFormat="1">
      <c r="E81" s="254"/>
      <c r="G81" s="36" t="s">
        <v>135</v>
      </c>
      <c r="L81" s="43" t="s">
        <v>12</v>
      </c>
      <c r="N81" s="189">
        <f t="shared" ca="1" si="44"/>
        <v>3182681.5596181448</v>
      </c>
      <c r="O81" s="189"/>
      <c r="P81" s="320"/>
      <c r="Q81" s="189"/>
      <c r="R81" s="190">
        <f t="shared" ref="R81:AU81" ca="1" si="57">R365</f>
        <v>237128.16897795754</v>
      </c>
      <c r="S81" s="190">
        <f t="shared" ca="1" si="57"/>
        <v>241819.78033055589</v>
      </c>
      <c r="T81" s="190">
        <f t="shared" ca="1" si="57"/>
        <v>246742.24291332837</v>
      </c>
      <c r="U81" s="190">
        <f t="shared" ca="1" si="57"/>
        <v>251715.92597162526</v>
      </c>
      <c r="V81" s="190">
        <f t="shared" ca="1" si="57"/>
        <v>256766.77441087854</v>
      </c>
      <c r="W81" s="190">
        <f t="shared" ca="1" si="57"/>
        <v>261872.57761813086</v>
      </c>
      <c r="X81" s="190">
        <f t="shared" ca="1" si="57"/>
        <v>267094.55878641538</v>
      </c>
      <c r="Y81" s="190">
        <f t="shared" ca="1" si="57"/>
        <v>272456.01216656464</v>
      </c>
      <c r="Z81" s="190">
        <f t="shared" ca="1" si="57"/>
        <v>277922.16310232243</v>
      </c>
      <c r="AA81" s="190">
        <f t="shared" ca="1" si="57"/>
        <v>283502.74337730679</v>
      </c>
      <c r="AB81" s="190">
        <f t="shared" ca="1" si="57"/>
        <v>289180.32689618302</v>
      </c>
      <c r="AC81" s="190">
        <f t="shared" ca="1" si="57"/>
        <v>294960.48731384845</v>
      </c>
      <c r="AD81" s="190">
        <f t="shared" ca="1" si="57"/>
        <v>300874.33849497727</v>
      </c>
      <c r="AE81" s="190">
        <f t="shared" ca="1" si="57"/>
        <v>306905.31584619166</v>
      </c>
      <c r="AF81" s="190">
        <f t="shared" ca="1" si="57"/>
        <v>313062.08841206628</v>
      </c>
      <c r="AG81" s="190">
        <f t="shared" ca="1" si="57"/>
        <v>319353.77595576213</v>
      </c>
      <c r="AH81" s="190">
        <f t="shared" ca="1" si="57"/>
        <v>325764.25315348589</v>
      </c>
      <c r="AI81" s="190">
        <f t="shared" ca="1" si="57"/>
        <v>332311.14151647076</v>
      </c>
      <c r="AJ81" s="190">
        <f t="shared" ca="1" si="57"/>
        <v>338994.30004002544</v>
      </c>
      <c r="AK81" s="190">
        <f t="shared" ca="1" si="57"/>
        <v>345814.54639558517</v>
      </c>
      <c r="AL81" s="190">
        <f t="shared" si="57"/>
        <v>0</v>
      </c>
      <c r="AM81" s="190">
        <f t="shared" si="57"/>
        <v>0</v>
      </c>
      <c r="AN81" s="190">
        <f t="shared" si="57"/>
        <v>0</v>
      </c>
      <c r="AO81" s="190">
        <f t="shared" si="57"/>
        <v>0</v>
      </c>
      <c r="AP81" s="190">
        <f t="shared" si="57"/>
        <v>0</v>
      </c>
      <c r="AQ81" s="190">
        <f t="shared" si="57"/>
        <v>0</v>
      </c>
      <c r="AR81" s="190">
        <f t="shared" si="57"/>
        <v>0</v>
      </c>
      <c r="AS81" s="190">
        <f t="shared" si="57"/>
        <v>0</v>
      </c>
      <c r="AT81" s="190">
        <f t="shared" si="57"/>
        <v>0</v>
      </c>
      <c r="AU81" s="190">
        <f t="shared" si="57"/>
        <v>0</v>
      </c>
    </row>
    <row r="82" spans="1:47" s="28" customFormat="1">
      <c r="E82" s="254"/>
      <c r="G82" s="36" t="s">
        <v>29</v>
      </c>
      <c r="L82" s="43" t="s">
        <v>12</v>
      </c>
      <c r="N82" s="189">
        <f t="shared" ca="1" si="44"/>
        <v>844262.4112175178</v>
      </c>
      <c r="O82" s="189"/>
      <c r="P82" s="320"/>
      <c r="Q82" s="189"/>
      <c r="R82" s="190">
        <f t="shared" ref="R82:AU82" ca="1" si="58">R386</f>
        <v>62911.629606853123</v>
      </c>
      <c r="S82" s="190">
        <f t="shared" ca="1" si="58"/>
        <v>64161.745081451321</v>
      </c>
      <c r="T82" s="190">
        <f t="shared" ca="1" si="58"/>
        <v>65458.691228802789</v>
      </c>
      <c r="U82" s="190">
        <f t="shared" ca="1" si="58"/>
        <v>66774.052329007478</v>
      </c>
      <c r="V82" s="190">
        <f t="shared" ca="1" si="58"/>
        <v>68112.16674093336</v>
      </c>
      <c r="W82" s="190">
        <f t="shared" ca="1" si="58"/>
        <v>69469.705316980224</v>
      </c>
      <c r="X82" s="190">
        <f t="shared" ca="1" si="58"/>
        <v>70856.634851576076</v>
      </c>
      <c r="Y82" s="190">
        <f t="shared" ca="1" si="58"/>
        <v>72276.88398424472</v>
      </c>
      <c r="Z82" s="190">
        <f t="shared" ca="1" si="58"/>
        <v>73725.134806868969</v>
      </c>
      <c r="AA82" s="190">
        <f t="shared" ca="1" si="58"/>
        <v>75203.164128867851</v>
      </c>
      <c r="AB82" s="190">
        <f t="shared" ca="1" si="58"/>
        <v>76708.426793518913</v>
      </c>
      <c r="AC82" s="190">
        <f t="shared" ca="1" si="58"/>
        <v>78242.046331344303</v>
      </c>
      <c r="AD82" s="190">
        <f t="shared" ca="1" si="58"/>
        <v>79809.219770625132</v>
      </c>
      <c r="AE82" s="190">
        <f t="shared" ca="1" si="58"/>
        <v>81407.55333734116</v>
      </c>
      <c r="AF82" s="190">
        <f t="shared" ca="1" si="58"/>
        <v>83038.678105936182</v>
      </c>
      <c r="AG82" s="190">
        <f t="shared" ca="1" si="58"/>
        <v>84704.301954739611</v>
      </c>
      <c r="AH82" s="190">
        <f t="shared" ca="1" si="58"/>
        <v>86402.116092345925</v>
      </c>
      <c r="AI82" s="190">
        <f t="shared" ca="1" si="58"/>
        <v>88135.193104966282</v>
      </c>
      <c r="AJ82" s="190">
        <f t="shared" ca="1" si="58"/>
        <v>89903.781156197452</v>
      </c>
      <c r="AK82" s="190">
        <f t="shared" ca="1" si="58"/>
        <v>91708.286547929878</v>
      </c>
      <c r="AL82" s="190">
        <f t="shared" si="58"/>
        <v>0</v>
      </c>
      <c r="AM82" s="190">
        <f t="shared" si="58"/>
        <v>0</v>
      </c>
      <c r="AN82" s="190">
        <f t="shared" si="58"/>
        <v>0</v>
      </c>
      <c r="AO82" s="190">
        <f t="shared" si="58"/>
        <v>0</v>
      </c>
      <c r="AP82" s="190">
        <f t="shared" si="58"/>
        <v>0</v>
      </c>
      <c r="AQ82" s="190">
        <f t="shared" si="58"/>
        <v>0</v>
      </c>
      <c r="AR82" s="190">
        <f t="shared" si="58"/>
        <v>0</v>
      </c>
      <c r="AS82" s="190">
        <f t="shared" si="58"/>
        <v>0</v>
      </c>
      <c r="AT82" s="190">
        <f t="shared" si="58"/>
        <v>0</v>
      </c>
      <c r="AU82" s="190">
        <f t="shared" si="58"/>
        <v>0</v>
      </c>
    </row>
    <row r="83" spans="1:47" s="28" customFormat="1">
      <c r="E83" s="254"/>
      <c r="G83" s="36" t="s">
        <v>163</v>
      </c>
      <c r="L83" s="43" t="s">
        <v>12</v>
      </c>
      <c r="N83" s="189">
        <f t="shared" ca="1" si="44"/>
        <v>0</v>
      </c>
      <c r="O83" s="189"/>
      <c r="P83" s="320"/>
      <c r="Q83" s="189"/>
      <c r="R83" s="190">
        <f t="shared" ref="R83:AU83" ca="1" si="59">R407</f>
        <v>0</v>
      </c>
      <c r="S83" s="190">
        <f t="shared" ca="1" si="59"/>
        <v>0</v>
      </c>
      <c r="T83" s="190">
        <f t="shared" ca="1" si="59"/>
        <v>0</v>
      </c>
      <c r="U83" s="190">
        <f t="shared" ca="1" si="59"/>
        <v>0</v>
      </c>
      <c r="V83" s="190">
        <f t="shared" ca="1" si="59"/>
        <v>0</v>
      </c>
      <c r="W83" s="190">
        <f t="shared" ca="1" si="59"/>
        <v>0</v>
      </c>
      <c r="X83" s="190">
        <f t="shared" ca="1" si="59"/>
        <v>0</v>
      </c>
      <c r="Y83" s="190">
        <f t="shared" ca="1" si="59"/>
        <v>0</v>
      </c>
      <c r="Z83" s="190">
        <f t="shared" ca="1" si="59"/>
        <v>0</v>
      </c>
      <c r="AA83" s="190">
        <f t="shared" ca="1" si="59"/>
        <v>0</v>
      </c>
      <c r="AB83" s="190">
        <f t="shared" ca="1" si="59"/>
        <v>0</v>
      </c>
      <c r="AC83" s="190">
        <f t="shared" ca="1" si="59"/>
        <v>0</v>
      </c>
      <c r="AD83" s="190">
        <f t="shared" ca="1" si="59"/>
        <v>0</v>
      </c>
      <c r="AE83" s="190">
        <f t="shared" ca="1" si="59"/>
        <v>0</v>
      </c>
      <c r="AF83" s="190">
        <f t="shared" ca="1" si="59"/>
        <v>0</v>
      </c>
      <c r="AG83" s="190">
        <f t="shared" ca="1" si="59"/>
        <v>0</v>
      </c>
      <c r="AH83" s="190">
        <f t="shared" ca="1" si="59"/>
        <v>0</v>
      </c>
      <c r="AI83" s="190">
        <f t="shared" ca="1" si="59"/>
        <v>0</v>
      </c>
      <c r="AJ83" s="190">
        <f t="shared" ca="1" si="59"/>
        <v>0</v>
      </c>
      <c r="AK83" s="190">
        <f t="shared" ca="1" si="59"/>
        <v>0</v>
      </c>
      <c r="AL83" s="190">
        <f t="shared" si="59"/>
        <v>0</v>
      </c>
      <c r="AM83" s="190">
        <f t="shared" si="59"/>
        <v>0</v>
      </c>
      <c r="AN83" s="190">
        <f t="shared" si="59"/>
        <v>0</v>
      </c>
      <c r="AO83" s="190">
        <f t="shared" si="59"/>
        <v>0</v>
      </c>
      <c r="AP83" s="190">
        <f t="shared" si="59"/>
        <v>0</v>
      </c>
      <c r="AQ83" s="190">
        <f t="shared" si="59"/>
        <v>0</v>
      </c>
      <c r="AR83" s="190">
        <f t="shared" si="59"/>
        <v>0</v>
      </c>
      <c r="AS83" s="190">
        <f t="shared" si="59"/>
        <v>0</v>
      </c>
      <c r="AT83" s="190">
        <f t="shared" si="59"/>
        <v>0</v>
      </c>
      <c r="AU83" s="190">
        <f t="shared" si="59"/>
        <v>0</v>
      </c>
    </row>
    <row r="84" spans="1:47" s="28" customFormat="1">
      <c r="E84" s="254"/>
      <c r="G84" s="36" t="s">
        <v>138</v>
      </c>
      <c r="L84" s="43" t="s">
        <v>12</v>
      </c>
      <c r="N84" s="189">
        <f t="shared" ca="1" si="44"/>
        <v>0</v>
      </c>
      <c r="O84" s="189"/>
      <c r="P84" s="320"/>
      <c r="Q84" s="189"/>
      <c r="R84" s="190">
        <f t="shared" ref="R84:AU84" ca="1" si="60">R428</f>
        <v>0</v>
      </c>
      <c r="S84" s="190">
        <f t="shared" ca="1" si="60"/>
        <v>0</v>
      </c>
      <c r="T84" s="190">
        <f t="shared" ca="1" si="60"/>
        <v>0</v>
      </c>
      <c r="U84" s="190">
        <f t="shared" ca="1" si="60"/>
        <v>0</v>
      </c>
      <c r="V84" s="190">
        <f t="shared" ca="1" si="60"/>
        <v>0</v>
      </c>
      <c r="W84" s="190">
        <f t="shared" ca="1" si="60"/>
        <v>0</v>
      </c>
      <c r="X84" s="190">
        <f t="shared" ca="1" si="60"/>
        <v>0</v>
      </c>
      <c r="Y84" s="190">
        <f t="shared" ca="1" si="60"/>
        <v>0</v>
      </c>
      <c r="Z84" s="190">
        <f t="shared" ca="1" si="60"/>
        <v>0</v>
      </c>
      <c r="AA84" s="190">
        <f t="shared" ca="1" si="60"/>
        <v>0</v>
      </c>
      <c r="AB84" s="190">
        <f t="shared" ca="1" si="60"/>
        <v>0</v>
      </c>
      <c r="AC84" s="190">
        <f t="shared" ca="1" si="60"/>
        <v>0</v>
      </c>
      <c r="AD84" s="190">
        <f t="shared" ca="1" si="60"/>
        <v>0</v>
      </c>
      <c r="AE84" s="190">
        <f t="shared" ca="1" si="60"/>
        <v>0</v>
      </c>
      <c r="AF84" s="190">
        <f t="shared" ca="1" si="60"/>
        <v>0</v>
      </c>
      <c r="AG84" s="190">
        <f t="shared" ca="1" si="60"/>
        <v>0</v>
      </c>
      <c r="AH84" s="190">
        <f t="shared" ca="1" si="60"/>
        <v>0</v>
      </c>
      <c r="AI84" s="190">
        <f t="shared" ca="1" si="60"/>
        <v>0</v>
      </c>
      <c r="AJ84" s="190">
        <f t="shared" ca="1" si="60"/>
        <v>0</v>
      </c>
      <c r="AK84" s="190">
        <f t="shared" ca="1" si="60"/>
        <v>0</v>
      </c>
      <c r="AL84" s="190">
        <f t="shared" si="60"/>
        <v>0</v>
      </c>
      <c r="AM84" s="190">
        <f t="shared" si="60"/>
        <v>0</v>
      </c>
      <c r="AN84" s="190">
        <f t="shared" si="60"/>
        <v>0</v>
      </c>
      <c r="AO84" s="190">
        <f t="shared" si="60"/>
        <v>0</v>
      </c>
      <c r="AP84" s="190">
        <f t="shared" si="60"/>
        <v>0</v>
      </c>
      <c r="AQ84" s="190">
        <f t="shared" si="60"/>
        <v>0</v>
      </c>
      <c r="AR84" s="190">
        <f t="shared" si="60"/>
        <v>0</v>
      </c>
      <c r="AS84" s="190">
        <f t="shared" si="60"/>
        <v>0</v>
      </c>
      <c r="AT84" s="190">
        <f t="shared" si="60"/>
        <v>0</v>
      </c>
      <c r="AU84" s="190">
        <f t="shared" si="60"/>
        <v>0</v>
      </c>
    </row>
    <row r="85" spans="1:47" s="28" customFormat="1">
      <c r="E85" s="254"/>
      <c r="G85" s="36" t="s">
        <v>312</v>
      </c>
      <c r="L85" s="43" t="s">
        <v>12</v>
      </c>
      <c r="N85" s="189">
        <f t="shared" ca="1" si="44"/>
        <v>0</v>
      </c>
      <c r="O85" s="189"/>
      <c r="P85" s="320"/>
      <c r="Q85" s="189"/>
      <c r="R85" s="190">
        <f t="shared" ref="R85:AU85" ca="1" si="61">R464</f>
        <v>0</v>
      </c>
      <c r="S85" s="190">
        <f t="shared" ca="1" si="61"/>
        <v>0</v>
      </c>
      <c r="T85" s="190">
        <f t="shared" ca="1" si="61"/>
        <v>0</v>
      </c>
      <c r="U85" s="190">
        <f t="shared" ca="1" si="61"/>
        <v>0</v>
      </c>
      <c r="V85" s="190">
        <f t="shared" ca="1" si="61"/>
        <v>0</v>
      </c>
      <c r="W85" s="190">
        <f t="shared" ca="1" si="61"/>
        <v>0</v>
      </c>
      <c r="X85" s="190">
        <f t="shared" ca="1" si="61"/>
        <v>0</v>
      </c>
      <c r="Y85" s="190">
        <f t="shared" ca="1" si="61"/>
        <v>0</v>
      </c>
      <c r="Z85" s="190">
        <f t="shared" ca="1" si="61"/>
        <v>0</v>
      </c>
      <c r="AA85" s="190">
        <f t="shared" ca="1" si="61"/>
        <v>0</v>
      </c>
      <c r="AB85" s="190">
        <f t="shared" ca="1" si="61"/>
        <v>0</v>
      </c>
      <c r="AC85" s="190">
        <f t="shared" ca="1" si="61"/>
        <v>0</v>
      </c>
      <c r="AD85" s="190">
        <f t="shared" ca="1" si="61"/>
        <v>0</v>
      </c>
      <c r="AE85" s="190">
        <f t="shared" ca="1" si="61"/>
        <v>0</v>
      </c>
      <c r="AF85" s="190">
        <f t="shared" ca="1" si="61"/>
        <v>0</v>
      </c>
      <c r="AG85" s="190">
        <f t="shared" ca="1" si="61"/>
        <v>0</v>
      </c>
      <c r="AH85" s="190">
        <f t="shared" ca="1" si="61"/>
        <v>0</v>
      </c>
      <c r="AI85" s="190">
        <f t="shared" ca="1" si="61"/>
        <v>0</v>
      </c>
      <c r="AJ85" s="190">
        <f t="shared" ca="1" si="61"/>
        <v>0</v>
      </c>
      <c r="AK85" s="190">
        <f t="shared" ca="1" si="61"/>
        <v>0</v>
      </c>
      <c r="AL85" s="190">
        <f t="shared" si="61"/>
        <v>0</v>
      </c>
      <c r="AM85" s="190">
        <f t="shared" si="61"/>
        <v>0</v>
      </c>
      <c r="AN85" s="190">
        <f t="shared" si="61"/>
        <v>0</v>
      </c>
      <c r="AO85" s="190">
        <f t="shared" si="61"/>
        <v>0</v>
      </c>
      <c r="AP85" s="190">
        <f t="shared" si="61"/>
        <v>0</v>
      </c>
      <c r="AQ85" s="190">
        <f t="shared" si="61"/>
        <v>0</v>
      </c>
      <c r="AR85" s="190">
        <f t="shared" si="61"/>
        <v>0</v>
      </c>
      <c r="AS85" s="190">
        <f t="shared" si="61"/>
        <v>0</v>
      </c>
      <c r="AT85" s="190">
        <f t="shared" si="61"/>
        <v>0</v>
      </c>
      <c r="AU85" s="190">
        <f t="shared" si="61"/>
        <v>0</v>
      </c>
    </row>
    <row r="86" spans="1:47" s="28" customFormat="1">
      <c r="E86" s="254"/>
      <c r="G86" s="36" t="s">
        <v>313</v>
      </c>
      <c r="L86" s="43" t="s">
        <v>12</v>
      </c>
      <c r="N86" s="189">
        <f t="shared" ca="1" si="44"/>
        <v>0</v>
      </c>
      <c r="O86" s="189"/>
      <c r="P86" s="320"/>
      <c r="Q86" s="189"/>
      <c r="R86" s="190">
        <f t="shared" ref="R86:AU86" ca="1" si="62">R480</f>
        <v>0</v>
      </c>
      <c r="S86" s="190">
        <f t="shared" ca="1" si="62"/>
        <v>0</v>
      </c>
      <c r="T86" s="190">
        <f t="shared" ca="1" si="62"/>
        <v>0</v>
      </c>
      <c r="U86" s="190">
        <f t="shared" ca="1" si="62"/>
        <v>0</v>
      </c>
      <c r="V86" s="190">
        <f t="shared" ca="1" si="62"/>
        <v>0</v>
      </c>
      <c r="W86" s="190">
        <f t="shared" ca="1" si="62"/>
        <v>0</v>
      </c>
      <c r="X86" s="190">
        <f t="shared" ca="1" si="62"/>
        <v>0</v>
      </c>
      <c r="Y86" s="190">
        <f t="shared" ca="1" si="62"/>
        <v>0</v>
      </c>
      <c r="Z86" s="190">
        <f t="shared" ca="1" si="62"/>
        <v>0</v>
      </c>
      <c r="AA86" s="190">
        <f t="shared" ca="1" si="62"/>
        <v>0</v>
      </c>
      <c r="AB86" s="190">
        <f t="shared" ca="1" si="62"/>
        <v>0</v>
      </c>
      <c r="AC86" s="190">
        <f t="shared" ca="1" si="62"/>
        <v>0</v>
      </c>
      <c r="AD86" s="190">
        <f t="shared" ca="1" si="62"/>
        <v>0</v>
      </c>
      <c r="AE86" s="190">
        <f t="shared" ca="1" si="62"/>
        <v>0</v>
      </c>
      <c r="AF86" s="190">
        <f t="shared" ca="1" si="62"/>
        <v>0</v>
      </c>
      <c r="AG86" s="190">
        <f t="shared" ca="1" si="62"/>
        <v>0</v>
      </c>
      <c r="AH86" s="190">
        <f t="shared" ca="1" si="62"/>
        <v>0</v>
      </c>
      <c r="AI86" s="190">
        <f t="shared" ca="1" si="62"/>
        <v>0</v>
      </c>
      <c r="AJ86" s="190">
        <f t="shared" ca="1" si="62"/>
        <v>0</v>
      </c>
      <c r="AK86" s="190">
        <f t="shared" ca="1" si="62"/>
        <v>0</v>
      </c>
      <c r="AL86" s="190">
        <f t="shared" si="62"/>
        <v>0</v>
      </c>
      <c r="AM86" s="190">
        <f t="shared" si="62"/>
        <v>0</v>
      </c>
      <c r="AN86" s="190">
        <f t="shared" si="62"/>
        <v>0</v>
      </c>
      <c r="AO86" s="190">
        <f t="shared" si="62"/>
        <v>0</v>
      </c>
      <c r="AP86" s="190">
        <f t="shared" si="62"/>
        <v>0</v>
      </c>
      <c r="AQ86" s="190">
        <f t="shared" si="62"/>
        <v>0</v>
      </c>
      <c r="AR86" s="190">
        <f t="shared" si="62"/>
        <v>0</v>
      </c>
      <c r="AS86" s="190">
        <f t="shared" si="62"/>
        <v>0</v>
      </c>
      <c r="AT86" s="190">
        <f t="shared" si="62"/>
        <v>0</v>
      </c>
      <c r="AU86" s="190">
        <f t="shared" si="62"/>
        <v>0</v>
      </c>
    </row>
    <row r="87" spans="1:47" s="28" customFormat="1">
      <c r="E87" s="254"/>
      <c r="G87" s="36" t="s">
        <v>314</v>
      </c>
      <c r="L87" s="43" t="s">
        <v>12</v>
      </c>
      <c r="N87" s="189">
        <f t="shared" ca="1" si="44"/>
        <v>0</v>
      </c>
      <c r="O87" s="189"/>
      <c r="P87" s="320"/>
      <c r="Q87" s="189"/>
      <c r="R87" s="190">
        <f t="shared" ref="R87:AU87" ca="1" si="63">R496</f>
        <v>0</v>
      </c>
      <c r="S87" s="190">
        <f t="shared" ca="1" si="63"/>
        <v>0</v>
      </c>
      <c r="T87" s="190">
        <f t="shared" ca="1" si="63"/>
        <v>0</v>
      </c>
      <c r="U87" s="190">
        <f t="shared" ca="1" si="63"/>
        <v>0</v>
      </c>
      <c r="V87" s="190">
        <f t="shared" ca="1" si="63"/>
        <v>0</v>
      </c>
      <c r="W87" s="190">
        <f t="shared" ca="1" si="63"/>
        <v>0</v>
      </c>
      <c r="X87" s="190">
        <f t="shared" ca="1" si="63"/>
        <v>0</v>
      </c>
      <c r="Y87" s="190">
        <f t="shared" ca="1" si="63"/>
        <v>0</v>
      </c>
      <c r="Z87" s="190">
        <f t="shared" ca="1" si="63"/>
        <v>0</v>
      </c>
      <c r="AA87" s="190">
        <f t="shared" ca="1" si="63"/>
        <v>0</v>
      </c>
      <c r="AB87" s="190">
        <f t="shared" ca="1" si="63"/>
        <v>0</v>
      </c>
      <c r="AC87" s="190">
        <f t="shared" ca="1" si="63"/>
        <v>0</v>
      </c>
      <c r="AD87" s="190">
        <f t="shared" ca="1" si="63"/>
        <v>0</v>
      </c>
      <c r="AE87" s="190">
        <f t="shared" ca="1" si="63"/>
        <v>0</v>
      </c>
      <c r="AF87" s="190">
        <f t="shared" ca="1" si="63"/>
        <v>0</v>
      </c>
      <c r="AG87" s="190">
        <f t="shared" ca="1" si="63"/>
        <v>0</v>
      </c>
      <c r="AH87" s="190">
        <f t="shared" ca="1" si="63"/>
        <v>0</v>
      </c>
      <c r="AI87" s="190">
        <f t="shared" ca="1" si="63"/>
        <v>0</v>
      </c>
      <c r="AJ87" s="190">
        <f t="shared" ca="1" si="63"/>
        <v>0</v>
      </c>
      <c r="AK87" s="190">
        <f t="shared" ca="1" si="63"/>
        <v>0</v>
      </c>
      <c r="AL87" s="190">
        <f t="shared" si="63"/>
        <v>0</v>
      </c>
      <c r="AM87" s="190">
        <f t="shared" si="63"/>
        <v>0</v>
      </c>
      <c r="AN87" s="190">
        <f t="shared" si="63"/>
        <v>0</v>
      </c>
      <c r="AO87" s="190">
        <f t="shared" si="63"/>
        <v>0</v>
      </c>
      <c r="AP87" s="190">
        <f t="shared" si="63"/>
        <v>0</v>
      </c>
      <c r="AQ87" s="190">
        <f t="shared" si="63"/>
        <v>0</v>
      </c>
      <c r="AR87" s="190">
        <f t="shared" si="63"/>
        <v>0</v>
      </c>
      <c r="AS87" s="190">
        <f t="shared" si="63"/>
        <v>0</v>
      </c>
      <c r="AT87" s="190">
        <f t="shared" si="63"/>
        <v>0</v>
      </c>
      <c r="AU87" s="190">
        <f t="shared" si="63"/>
        <v>0</v>
      </c>
    </row>
    <row r="88" spans="1:47" s="39" customFormat="1">
      <c r="E88" s="254"/>
      <c r="G88" s="173" t="s">
        <v>252</v>
      </c>
      <c r="L88" s="174" t="s">
        <v>12</v>
      </c>
      <c r="N88" s="189">
        <f ca="1">SUBTOTAL(9,N69:N87)</f>
        <v>18759221.401848733</v>
      </c>
      <c r="O88" s="189"/>
      <c r="P88" s="320"/>
      <c r="Q88" s="189"/>
      <c r="R88" s="189">
        <f ca="1">SUBTOTAL(9,R69:R87)</f>
        <v>1394447.4183539529</v>
      </c>
      <c r="S88" s="189">
        <f t="shared" ref="S88:AU88" ca="1" si="64">SUBTOTAL(9,S69:S87)</f>
        <v>1421884.8196603297</v>
      </c>
      <c r="T88" s="189">
        <f t="shared" ca="1" si="64"/>
        <v>1452272.3467504673</v>
      </c>
      <c r="U88" s="189">
        <f t="shared" ca="1" si="64"/>
        <v>1482172.2126831454</v>
      </c>
      <c r="V88" s="189">
        <f t="shared" ca="1" si="64"/>
        <v>1512593.8271545884</v>
      </c>
      <c r="W88" s="189">
        <f t="shared" ca="1" si="64"/>
        <v>1542826.8081208675</v>
      </c>
      <c r="X88" s="189">
        <f t="shared" ca="1" si="64"/>
        <v>1573691.3956242695</v>
      </c>
      <c r="Y88" s="189">
        <f t="shared" ca="1" si="64"/>
        <v>1605629.8128703181</v>
      </c>
      <c r="Z88" s="189">
        <f t="shared" ca="1" si="64"/>
        <v>1638408.9800427551</v>
      </c>
      <c r="AA88" s="189">
        <f t="shared" ca="1" si="64"/>
        <v>1671891.3288882317</v>
      </c>
      <c r="AB88" s="189">
        <f t="shared" ca="1" si="64"/>
        <v>1705658.3935993437</v>
      </c>
      <c r="AC88" s="189">
        <f t="shared" ca="1" si="64"/>
        <v>1739822.6671222127</v>
      </c>
      <c r="AD88" s="189">
        <f t="shared" ca="1" si="64"/>
        <v>1775048.8398735633</v>
      </c>
      <c r="AE88" s="189">
        <f t="shared" ca="1" si="64"/>
        <v>1810771.8358932082</v>
      </c>
      <c r="AF88" s="189">
        <f t="shared" ca="1" si="64"/>
        <v>1847460.7883017999</v>
      </c>
      <c r="AG88" s="189">
        <f t="shared" ca="1" si="64"/>
        <v>1884973.8370488519</v>
      </c>
      <c r="AH88" s="189">
        <f t="shared" ca="1" si="64"/>
        <v>1923123.0837520813</v>
      </c>
      <c r="AI88" s="189">
        <f t="shared" ca="1" si="64"/>
        <v>1962257.7003643736</v>
      </c>
      <c r="AJ88" s="189">
        <f t="shared" ca="1" si="64"/>
        <v>2002160.9612520637</v>
      </c>
      <c r="AK88" s="189">
        <f t="shared" ca="1" si="64"/>
        <v>2043069.7014700896</v>
      </c>
      <c r="AL88" s="189">
        <f t="shared" si="64"/>
        <v>0</v>
      </c>
      <c r="AM88" s="189">
        <f t="shared" si="64"/>
        <v>0</v>
      </c>
      <c r="AN88" s="189">
        <f t="shared" si="64"/>
        <v>0</v>
      </c>
      <c r="AO88" s="189">
        <f t="shared" si="64"/>
        <v>0</v>
      </c>
      <c r="AP88" s="189">
        <f t="shared" si="64"/>
        <v>0</v>
      </c>
      <c r="AQ88" s="189">
        <f t="shared" si="64"/>
        <v>0</v>
      </c>
      <c r="AR88" s="189">
        <f t="shared" si="64"/>
        <v>0</v>
      </c>
      <c r="AS88" s="189">
        <f t="shared" si="64"/>
        <v>0</v>
      </c>
      <c r="AT88" s="189">
        <f t="shared" si="64"/>
        <v>0</v>
      </c>
      <c r="AU88" s="189">
        <f t="shared" si="64"/>
        <v>0</v>
      </c>
    </row>
    <row r="89" spans="1:47" s="28" customFormat="1">
      <c r="E89" s="254"/>
      <c r="G89" s="36"/>
      <c r="L89" s="43"/>
      <c r="N89" s="189"/>
      <c r="O89" s="189"/>
      <c r="P89" s="190"/>
      <c r="Q89" s="189"/>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row>
    <row r="90" spans="1:47" s="39" customFormat="1">
      <c r="E90" s="254"/>
      <c r="G90" s="194" t="s">
        <v>13</v>
      </c>
      <c r="L90" s="174" t="s">
        <v>12</v>
      </c>
      <c r="N90" s="192">
        <f ca="1">NPV(DiscountRt,R90:AU90)</f>
        <v>50260388.017367341</v>
      </c>
      <c r="O90" s="189"/>
      <c r="P90" s="320"/>
      <c r="Q90" s="189"/>
      <c r="R90" s="195">
        <f t="shared" ref="R90:AU90" ca="1" si="65">SUBTOTAL(9,R45:R89)</f>
        <v>34758161.418353952</v>
      </c>
      <c r="S90" s="195">
        <f t="shared" ca="1" si="65"/>
        <v>1423899.8196603297</v>
      </c>
      <c r="T90" s="195">
        <f t="shared" ca="1" si="65"/>
        <v>1454288.3467504673</v>
      </c>
      <c r="U90" s="195">
        <f t="shared" ca="1" si="65"/>
        <v>1484189.2126831454</v>
      </c>
      <c r="V90" s="195">
        <f t="shared" ca="1" si="65"/>
        <v>1514611.8271545884</v>
      </c>
      <c r="W90" s="195">
        <f t="shared" ca="1" si="65"/>
        <v>1544845.8081208675</v>
      </c>
      <c r="X90" s="195">
        <f t="shared" ca="1" si="65"/>
        <v>1575711.3956242695</v>
      </c>
      <c r="Y90" s="195">
        <f t="shared" ca="1" si="65"/>
        <v>1607650.8128703181</v>
      </c>
      <c r="Z90" s="195">
        <f t="shared" ca="1" si="65"/>
        <v>1640430.9800427551</v>
      </c>
      <c r="AA90" s="195">
        <f t="shared" ca="1" si="65"/>
        <v>1673914.3288882317</v>
      </c>
      <c r="AB90" s="195">
        <f t="shared" ca="1" si="65"/>
        <v>1707682.3935993437</v>
      </c>
      <c r="AC90" s="195">
        <f t="shared" ca="1" si="65"/>
        <v>1741847.6671222127</v>
      </c>
      <c r="AD90" s="195">
        <f t="shared" ca="1" si="65"/>
        <v>1777074.8398735633</v>
      </c>
      <c r="AE90" s="195">
        <f t="shared" ca="1" si="65"/>
        <v>1812798.8358932082</v>
      </c>
      <c r="AF90" s="195">
        <f t="shared" ca="1" si="65"/>
        <v>1849488.7883017999</v>
      </c>
      <c r="AG90" s="195">
        <f t="shared" ca="1" si="65"/>
        <v>1887002.8370488519</v>
      </c>
      <c r="AH90" s="195">
        <f t="shared" ca="1" si="65"/>
        <v>1925153.0837520813</v>
      </c>
      <c r="AI90" s="195">
        <f t="shared" ca="1" si="65"/>
        <v>1964288.7003643736</v>
      </c>
      <c r="AJ90" s="195">
        <f t="shared" ca="1" si="65"/>
        <v>2004192.9612520637</v>
      </c>
      <c r="AK90" s="195">
        <f t="shared" ca="1" si="65"/>
        <v>2045102.7014700896</v>
      </c>
      <c r="AL90" s="195">
        <f t="shared" ca="1" si="65"/>
        <v>2034</v>
      </c>
      <c r="AM90" s="195">
        <f t="shared" ca="1" si="65"/>
        <v>2035</v>
      </c>
      <c r="AN90" s="195">
        <f t="shared" ca="1" si="65"/>
        <v>2036</v>
      </c>
      <c r="AO90" s="195">
        <f t="shared" ca="1" si="65"/>
        <v>2037</v>
      </c>
      <c r="AP90" s="195">
        <f t="shared" ca="1" si="65"/>
        <v>2038</v>
      </c>
      <c r="AQ90" s="195">
        <f t="shared" ca="1" si="65"/>
        <v>2039</v>
      </c>
      <c r="AR90" s="195">
        <f t="shared" ca="1" si="65"/>
        <v>2040</v>
      </c>
      <c r="AS90" s="195">
        <f t="shared" ca="1" si="65"/>
        <v>2041</v>
      </c>
      <c r="AT90" s="195">
        <f t="shared" ca="1" si="65"/>
        <v>2042</v>
      </c>
      <c r="AU90" s="195">
        <f t="shared" ca="1" si="65"/>
        <v>2043</v>
      </c>
    </row>
    <row r="91" spans="1:47">
      <c r="G91" s="194"/>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row>
    <row r="92" spans="1:47" s="317" customFormat="1">
      <c r="G92" s="318" t="s">
        <v>503</v>
      </c>
      <c r="L92" s="407"/>
    </row>
    <row r="94" spans="1:47" s="28" customFormat="1">
      <c r="A94" s="40"/>
      <c r="B94" s="40"/>
      <c r="C94" s="40"/>
      <c r="D94" s="40"/>
      <c r="E94" s="327"/>
      <c r="G94" s="324" t="str">
        <f>C96&amp;" Capital Costs"</f>
        <v>Anaerobic Digestion Capital Costs</v>
      </c>
      <c r="H94" s="324"/>
      <c r="I94" s="324"/>
      <c r="J94" s="324"/>
      <c r="K94" s="324"/>
      <c r="L94" s="405" t="s">
        <v>79</v>
      </c>
      <c r="M94" s="256"/>
      <c r="N94" s="325" t="s">
        <v>490</v>
      </c>
      <c r="O94" s="311"/>
      <c r="P94" s="325" t="s">
        <v>491</v>
      </c>
      <c r="Q94" s="310"/>
      <c r="R94" s="325">
        <f>R$8</f>
        <v>2014</v>
      </c>
      <c r="S94" s="325">
        <f t="shared" ref="S94:AU94" si="66">S$8</f>
        <v>2015</v>
      </c>
      <c r="T94" s="325">
        <f t="shared" si="66"/>
        <v>2016</v>
      </c>
      <c r="U94" s="325">
        <f t="shared" si="66"/>
        <v>2017</v>
      </c>
      <c r="V94" s="325">
        <f t="shared" si="66"/>
        <v>2018</v>
      </c>
      <c r="W94" s="325">
        <f t="shared" si="66"/>
        <v>2019</v>
      </c>
      <c r="X94" s="325">
        <f t="shared" si="66"/>
        <v>2020</v>
      </c>
      <c r="Y94" s="325">
        <f t="shared" si="66"/>
        <v>2021</v>
      </c>
      <c r="Z94" s="325">
        <f t="shared" si="66"/>
        <v>2022</v>
      </c>
      <c r="AA94" s="325">
        <f t="shared" si="66"/>
        <v>2023</v>
      </c>
      <c r="AB94" s="325">
        <f t="shared" si="66"/>
        <v>2024</v>
      </c>
      <c r="AC94" s="325">
        <f t="shared" si="66"/>
        <v>2025</v>
      </c>
      <c r="AD94" s="325">
        <f t="shared" si="66"/>
        <v>2026</v>
      </c>
      <c r="AE94" s="325">
        <f t="shared" si="66"/>
        <v>2027</v>
      </c>
      <c r="AF94" s="325">
        <f t="shared" si="66"/>
        <v>2028</v>
      </c>
      <c r="AG94" s="325">
        <f t="shared" si="66"/>
        <v>2029</v>
      </c>
      <c r="AH94" s="325">
        <f t="shared" si="66"/>
        <v>2030</v>
      </c>
      <c r="AI94" s="325">
        <f t="shared" si="66"/>
        <v>2031</v>
      </c>
      <c r="AJ94" s="325">
        <f t="shared" si="66"/>
        <v>2032</v>
      </c>
      <c r="AK94" s="325">
        <f t="shared" si="66"/>
        <v>2033</v>
      </c>
      <c r="AL94" s="325">
        <f t="shared" si="66"/>
        <v>2034</v>
      </c>
      <c r="AM94" s="325">
        <f t="shared" si="66"/>
        <v>2035</v>
      </c>
      <c r="AN94" s="325">
        <f t="shared" si="66"/>
        <v>2036</v>
      </c>
      <c r="AO94" s="325">
        <f t="shared" si="66"/>
        <v>2037</v>
      </c>
      <c r="AP94" s="325">
        <f t="shared" si="66"/>
        <v>2038</v>
      </c>
      <c r="AQ94" s="325">
        <f t="shared" si="66"/>
        <v>2039</v>
      </c>
      <c r="AR94" s="325">
        <f t="shared" si="66"/>
        <v>2040</v>
      </c>
      <c r="AS94" s="325">
        <f t="shared" si="66"/>
        <v>2041</v>
      </c>
      <c r="AT94" s="325">
        <f t="shared" si="66"/>
        <v>2042</v>
      </c>
      <c r="AU94" s="325">
        <f t="shared" si="66"/>
        <v>2043</v>
      </c>
    </row>
    <row r="95" spans="1:47">
      <c r="E95" s="325"/>
      <c r="G95" s="39"/>
      <c r="H95" s="39"/>
      <c r="I95" s="39"/>
      <c r="J95" s="39"/>
      <c r="K95" s="39"/>
    </row>
    <row r="96" spans="1:47">
      <c r="A96" s="38" t="str">
        <f>$J$4&amp;"-"</f>
        <v>4Y-</v>
      </c>
      <c r="B96" s="38" t="s">
        <v>306</v>
      </c>
      <c r="C96" s="38" t="s">
        <v>315</v>
      </c>
      <c r="D96" s="186">
        <f>CapExEsc</f>
        <v>0.03</v>
      </c>
      <c r="E96" s="325"/>
      <c r="G96" s="36" t="s">
        <v>8</v>
      </c>
      <c r="H96" s="39"/>
      <c r="I96" s="39"/>
      <c r="J96" s="70"/>
      <c r="K96" s="39"/>
      <c r="L96" s="43" t="str">
        <f>"["&amp;CostBaseYr&amp;" $]"</f>
        <v>[2013 $]</v>
      </c>
      <c r="N96" s="52">
        <f ca="1">SUMIFS(OFFSET(Assumptions!$I$65,0,MATCH($A96,Configurations,0)-1,COUNT(Assumptions!$A$65:$A$84),1),Assumptions!$E$65:$E$84,$C96)</f>
        <v>0</v>
      </c>
      <c r="O96" s="52"/>
      <c r="P96" s="322"/>
      <c r="Q96" s="52"/>
      <c r="R96" s="52">
        <f t="shared" ref="R96:AU96" ca="1" si="67">R97*IF($P96=0,$N96,$P96)*(1+$D96)^(R$8-CostBaseYr)</f>
        <v>0</v>
      </c>
      <c r="S96" s="52">
        <f t="shared" ca="1" si="67"/>
        <v>0</v>
      </c>
      <c r="T96" s="52">
        <f t="shared" ca="1" si="67"/>
        <v>0</v>
      </c>
      <c r="U96" s="52">
        <f t="shared" ca="1" si="67"/>
        <v>0</v>
      </c>
      <c r="V96" s="52">
        <f t="shared" ca="1" si="67"/>
        <v>0</v>
      </c>
      <c r="W96" s="52">
        <f t="shared" ca="1" si="67"/>
        <v>0</v>
      </c>
      <c r="X96" s="52">
        <f t="shared" ca="1" si="67"/>
        <v>0</v>
      </c>
      <c r="Y96" s="52">
        <f t="shared" ca="1" si="67"/>
        <v>0</v>
      </c>
      <c r="Z96" s="52">
        <f t="shared" ca="1" si="67"/>
        <v>0</v>
      </c>
      <c r="AA96" s="52">
        <f t="shared" ca="1" si="67"/>
        <v>0</v>
      </c>
      <c r="AB96" s="52">
        <f t="shared" ca="1" si="67"/>
        <v>0</v>
      </c>
      <c r="AC96" s="52">
        <f t="shared" ca="1" si="67"/>
        <v>0</v>
      </c>
      <c r="AD96" s="52">
        <f t="shared" ca="1" si="67"/>
        <v>0</v>
      </c>
      <c r="AE96" s="52">
        <f t="shared" ca="1" si="67"/>
        <v>0</v>
      </c>
      <c r="AF96" s="52">
        <f t="shared" ca="1" si="67"/>
        <v>0</v>
      </c>
      <c r="AG96" s="52">
        <f t="shared" ca="1" si="67"/>
        <v>0</v>
      </c>
      <c r="AH96" s="52">
        <f t="shared" ca="1" si="67"/>
        <v>0</v>
      </c>
      <c r="AI96" s="52">
        <f t="shared" ca="1" si="67"/>
        <v>0</v>
      </c>
      <c r="AJ96" s="52">
        <f t="shared" ca="1" si="67"/>
        <v>0</v>
      </c>
      <c r="AK96" s="52">
        <f t="shared" ca="1" si="67"/>
        <v>0</v>
      </c>
      <c r="AL96" s="52">
        <f t="shared" ca="1" si="67"/>
        <v>0</v>
      </c>
      <c r="AM96" s="52">
        <f t="shared" ca="1" si="67"/>
        <v>0</v>
      </c>
      <c r="AN96" s="52">
        <f t="shared" ca="1" si="67"/>
        <v>0</v>
      </c>
      <c r="AO96" s="52">
        <f t="shared" ca="1" si="67"/>
        <v>0</v>
      </c>
      <c r="AP96" s="52">
        <f t="shared" ca="1" si="67"/>
        <v>0</v>
      </c>
      <c r="AQ96" s="52">
        <f t="shared" ca="1" si="67"/>
        <v>0</v>
      </c>
      <c r="AR96" s="52">
        <f t="shared" ca="1" si="67"/>
        <v>0</v>
      </c>
      <c r="AS96" s="52">
        <f t="shared" ca="1" si="67"/>
        <v>0</v>
      </c>
      <c r="AT96" s="52">
        <f t="shared" ca="1" si="67"/>
        <v>0</v>
      </c>
      <c r="AU96" s="52">
        <f t="shared" ca="1" si="67"/>
        <v>0</v>
      </c>
    </row>
    <row r="97" spans="1:47">
      <c r="E97" s="325"/>
      <c r="G97" s="36" t="s">
        <v>10</v>
      </c>
      <c r="H97" s="39"/>
      <c r="I97" s="39"/>
      <c r="J97" s="39"/>
      <c r="K97" s="39"/>
      <c r="L97" s="43"/>
      <c r="R97" s="54">
        <f>Assumptions!M$60</f>
        <v>1</v>
      </c>
      <c r="S97" s="54">
        <f>Assumptions!N$60</f>
        <v>0</v>
      </c>
      <c r="T97" s="54">
        <f>Assumptions!O$60</f>
        <v>0</v>
      </c>
      <c r="U97" s="54">
        <f>Assumptions!P$60</f>
        <v>0</v>
      </c>
      <c r="V97" s="54">
        <f>Assumptions!Q$60</f>
        <v>0</v>
      </c>
      <c r="W97" s="54">
        <f>Assumptions!R$60</f>
        <v>0</v>
      </c>
      <c r="X97" s="54">
        <f>Assumptions!S$60</f>
        <v>0</v>
      </c>
      <c r="Y97" s="54">
        <f>Assumptions!T$60</f>
        <v>0</v>
      </c>
      <c r="Z97" s="54">
        <f>Assumptions!U$60</f>
        <v>0</v>
      </c>
      <c r="AA97" s="54">
        <f>Assumptions!V$60</f>
        <v>0</v>
      </c>
      <c r="AB97" s="54">
        <f>Assumptions!W$60</f>
        <v>0</v>
      </c>
      <c r="AC97" s="54">
        <f>Assumptions!X$60</f>
        <v>0</v>
      </c>
      <c r="AD97" s="54">
        <f>Assumptions!Y$60</f>
        <v>0</v>
      </c>
      <c r="AE97" s="54">
        <f>Assumptions!Z$60</f>
        <v>0</v>
      </c>
      <c r="AF97" s="54">
        <f>Assumptions!AA$60</f>
        <v>0</v>
      </c>
      <c r="AG97" s="54">
        <f>Assumptions!AB$60</f>
        <v>0</v>
      </c>
      <c r="AH97" s="54">
        <f>Assumptions!AC$60</f>
        <v>0</v>
      </c>
      <c r="AI97" s="54">
        <f>Assumptions!AD$60</f>
        <v>0</v>
      </c>
      <c r="AJ97" s="54">
        <f>Assumptions!AE$60</f>
        <v>0</v>
      </c>
      <c r="AK97" s="54">
        <f>Assumptions!AF$60</f>
        <v>0</v>
      </c>
      <c r="AL97" s="54">
        <f>Assumptions!AG$60</f>
        <v>0</v>
      </c>
      <c r="AM97" s="54">
        <f>Assumptions!AH$60</f>
        <v>0</v>
      </c>
      <c r="AN97" s="54">
        <f>Assumptions!AI$60</f>
        <v>0</v>
      </c>
      <c r="AO97" s="54">
        <f>Assumptions!AJ$60</f>
        <v>0</v>
      </c>
      <c r="AP97" s="54">
        <f>Assumptions!AK$60</f>
        <v>0</v>
      </c>
      <c r="AQ97" s="54">
        <f>Assumptions!AL$60</f>
        <v>0</v>
      </c>
      <c r="AR97" s="54">
        <f>Assumptions!AM$60</f>
        <v>0</v>
      </c>
      <c r="AS97" s="54">
        <f>Assumptions!AN$60</f>
        <v>0</v>
      </c>
      <c r="AT97" s="54">
        <f>Assumptions!AO$60</f>
        <v>0</v>
      </c>
      <c r="AU97" s="54">
        <f>Assumptions!AP$60</f>
        <v>0</v>
      </c>
    </row>
    <row r="98" spans="1:47">
      <c r="E98" s="326"/>
      <c r="G98" s="39"/>
      <c r="H98" s="39"/>
      <c r="I98" s="39"/>
      <c r="J98" s="39"/>
      <c r="K98" s="39"/>
    </row>
    <row r="99" spans="1:47" s="28" customFormat="1">
      <c r="A99" s="40"/>
      <c r="B99" s="40"/>
      <c r="C99" s="40"/>
      <c r="D99" s="40"/>
      <c r="E99" s="327"/>
      <c r="G99" s="324" t="str">
        <f>C96&amp;" O&amp;M"</f>
        <v>Anaerobic Digestion O&amp;M</v>
      </c>
      <c r="H99" s="324"/>
      <c r="I99" s="324"/>
      <c r="J99" s="324"/>
      <c r="K99" s="324"/>
      <c r="L99" s="405" t="s">
        <v>79</v>
      </c>
      <c r="M99" s="256"/>
      <c r="N99" s="325" t="s">
        <v>490</v>
      </c>
      <c r="O99" s="311"/>
      <c r="P99" s="325" t="s">
        <v>491</v>
      </c>
      <c r="Q99" s="310"/>
      <c r="R99" s="325">
        <f>R$8</f>
        <v>2014</v>
      </c>
      <c r="S99" s="325">
        <f t="shared" ref="S99:AU99" si="68">S$8</f>
        <v>2015</v>
      </c>
      <c r="T99" s="325">
        <f t="shared" si="68"/>
        <v>2016</v>
      </c>
      <c r="U99" s="325">
        <f t="shared" si="68"/>
        <v>2017</v>
      </c>
      <c r="V99" s="325">
        <f t="shared" si="68"/>
        <v>2018</v>
      </c>
      <c r="W99" s="325">
        <f t="shared" si="68"/>
        <v>2019</v>
      </c>
      <c r="X99" s="325">
        <f t="shared" si="68"/>
        <v>2020</v>
      </c>
      <c r="Y99" s="325">
        <f t="shared" si="68"/>
        <v>2021</v>
      </c>
      <c r="Z99" s="325">
        <f t="shared" si="68"/>
        <v>2022</v>
      </c>
      <c r="AA99" s="325">
        <f t="shared" si="68"/>
        <v>2023</v>
      </c>
      <c r="AB99" s="325">
        <f t="shared" si="68"/>
        <v>2024</v>
      </c>
      <c r="AC99" s="325">
        <f t="shared" si="68"/>
        <v>2025</v>
      </c>
      <c r="AD99" s="325">
        <f t="shared" si="68"/>
        <v>2026</v>
      </c>
      <c r="AE99" s="325">
        <f t="shared" si="68"/>
        <v>2027</v>
      </c>
      <c r="AF99" s="325">
        <f t="shared" si="68"/>
        <v>2028</v>
      </c>
      <c r="AG99" s="325">
        <f t="shared" si="68"/>
        <v>2029</v>
      </c>
      <c r="AH99" s="325">
        <f t="shared" si="68"/>
        <v>2030</v>
      </c>
      <c r="AI99" s="325">
        <f t="shared" si="68"/>
        <v>2031</v>
      </c>
      <c r="AJ99" s="325">
        <f t="shared" si="68"/>
        <v>2032</v>
      </c>
      <c r="AK99" s="325">
        <f t="shared" si="68"/>
        <v>2033</v>
      </c>
      <c r="AL99" s="325">
        <f t="shared" si="68"/>
        <v>2034</v>
      </c>
      <c r="AM99" s="325">
        <f t="shared" si="68"/>
        <v>2035</v>
      </c>
      <c r="AN99" s="325">
        <f t="shared" si="68"/>
        <v>2036</v>
      </c>
      <c r="AO99" s="325">
        <f t="shared" si="68"/>
        <v>2037</v>
      </c>
      <c r="AP99" s="325">
        <f t="shared" si="68"/>
        <v>2038</v>
      </c>
      <c r="AQ99" s="325">
        <f t="shared" si="68"/>
        <v>2039</v>
      </c>
      <c r="AR99" s="325">
        <f t="shared" si="68"/>
        <v>2040</v>
      </c>
      <c r="AS99" s="325">
        <f t="shared" si="68"/>
        <v>2041</v>
      </c>
      <c r="AT99" s="325">
        <f t="shared" si="68"/>
        <v>2042</v>
      </c>
      <c r="AU99" s="325">
        <f t="shared" si="68"/>
        <v>2043</v>
      </c>
    </row>
    <row r="100" spans="1:47">
      <c r="E100" s="325"/>
      <c r="G100" s="39"/>
      <c r="H100" s="39"/>
      <c r="I100" s="39"/>
      <c r="J100" s="39"/>
      <c r="K100" s="39"/>
    </row>
    <row r="101" spans="1:47">
      <c r="E101" s="325"/>
      <c r="G101" s="39" t="s">
        <v>23</v>
      </c>
      <c r="H101" s="39"/>
      <c r="I101" s="39"/>
      <c r="J101" s="39"/>
      <c r="K101" s="39"/>
    </row>
    <row r="102" spans="1:47">
      <c r="A102" s="38" t="str">
        <f t="shared" ref="A102:A109" si="69">$J$4&amp;"-"</f>
        <v>4Y-</v>
      </c>
      <c r="B102" s="38" t="s">
        <v>262</v>
      </c>
      <c r="C102" s="38" t="str">
        <f>C96</f>
        <v>Anaerobic Digestion</v>
      </c>
      <c r="D102" s="186">
        <f>LaborEsc</f>
        <v>0.02</v>
      </c>
      <c r="E102" s="325"/>
      <c r="G102" s="36" t="s">
        <v>125</v>
      </c>
      <c r="I102" s="39"/>
      <c r="K102" s="39"/>
      <c r="L102" s="43" t="s">
        <v>266</v>
      </c>
      <c r="N102" s="70">
        <f ca="1">SUMIFS(OFFSET(Assumptions!$I$90,0,MATCH($A102,Configurations,0)-1,COUNT(Assumptions!$A$90:$A$183),1),Assumptions!$D$90:$D$183,$B102&amp;$C102)</f>
        <v>0</v>
      </c>
      <c r="O102" s="313"/>
      <c r="P102" s="323"/>
      <c r="Q102" s="313"/>
      <c r="R102" s="50">
        <f t="shared" ref="R102:AU102" ca="1" si="70">IF(OR(R$99&lt;InServiceYr,R$99&gt;(InServiceYr+analysis_period-1)),0,IF($P102=0,$N102,$P102)*LaborCost*(1+$D102)^(R$99-CostBaseYr))</f>
        <v>0</v>
      </c>
      <c r="S102" s="50">
        <f t="shared" ca="1" si="70"/>
        <v>0</v>
      </c>
      <c r="T102" s="50">
        <f t="shared" ca="1" si="70"/>
        <v>0</v>
      </c>
      <c r="U102" s="50">
        <f t="shared" ca="1" si="70"/>
        <v>0</v>
      </c>
      <c r="V102" s="50">
        <f t="shared" ca="1" si="70"/>
        <v>0</v>
      </c>
      <c r="W102" s="50">
        <f t="shared" ca="1" si="70"/>
        <v>0</v>
      </c>
      <c r="X102" s="50">
        <f t="shared" ca="1" si="70"/>
        <v>0</v>
      </c>
      <c r="Y102" s="50">
        <f t="shared" ca="1" si="70"/>
        <v>0</v>
      </c>
      <c r="Z102" s="50">
        <f t="shared" ca="1" si="70"/>
        <v>0</v>
      </c>
      <c r="AA102" s="50">
        <f t="shared" ca="1" si="70"/>
        <v>0</v>
      </c>
      <c r="AB102" s="50">
        <f t="shared" ca="1" si="70"/>
        <v>0</v>
      </c>
      <c r="AC102" s="50">
        <f t="shared" ca="1" si="70"/>
        <v>0</v>
      </c>
      <c r="AD102" s="50">
        <f t="shared" ca="1" si="70"/>
        <v>0</v>
      </c>
      <c r="AE102" s="50">
        <f t="shared" ca="1" si="70"/>
        <v>0</v>
      </c>
      <c r="AF102" s="50">
        <f t="shared" ca="1" si="70"/>
        <v>0</v>
      </c>
      <c r="AG102" s="50">
        <f t="shared" ca="1" si="70"/>
        <v>0</v>
      </c>
      <c r="AH102" s="50">
        <f t="shared" ca="1" si="70"/>
        <v>0</v>
      </c>
      <c r="AI102" s="50">
        <f t="shared" ca="1" si="70"/>
        <v>0</v>
      </c>
      <c r="AJ102" s="50">
        <f t="shared" ca="1" si="70"/>
        <v>0</v>
      </c>
      <c r="AK102" s="50">
        <f t="shared" ca="1" si="70"/>
        <v>0</v>
      </c>
      <c r="AL102" s="50">
        <f t="shared" si="70"/>
        <v>0</v>
      </c>
      <c r="AM102" s="50">
        <f t="shared" si="70"/>
        <v>0</v>
      </c>
      <c r="AN102" s="50">
        <f t="shared" si="70"/>
        <v>0</v>
      </c>
      <c r="AO102" s="50">
        <f t="shared" si="70"/>
        <v>0</v>
      </c>
      <c r="AP102" s="50">
        <f t="shared" si="70"/>
        <v>0</v>
      </c>
      <c r="AQ102" s="50">
        <f t="shared" si="70"/>
        <v>0</v>
      </c>
      <c r="AR102" s="50">
        <f t="shared" si="70"/>
        <v>0</v>
      </c>
      <c r="AS102" s="50">
        <f t="shared" si="70"/>
        <v>0</v>
      </c>
      <c r="AT102" s="50">
        <f t="shared" si="70"/>
        <v>0</v>
      </c>
      <c r="AU102" s="50">
        <f t="shared" si="70"/>
        <v>0</v>
      </c>
    </row>
    <row r="103" spans="1:47">
      <c r="A103" s="38" t="str">
        <f t="shared" si="69"/>
        <v>4Y-</v>
      </c>
      <c r="B103" s="38" t="s">
        <v>270</v>
      </c>
      <c r="C103" s="38" t="str">
        <f>C102</f>
        <v>Anaerobic Digestion</v>
      </c>
      <c r="D103" s="186">
        <f>OMEsc</f>
        <v>0.02</v>
      </c>
      <c r="E103" s="325"/>
      <c r="G103" s="36" t="s">
        <v>126</v>
      </c>
      <c r="I103" s="39"/>
      <c r="K103" s="39"/>
      <c r="L103" s="43" t="str">
        <f>"["&amp;CostBaseYr&amp;" $]"</f>
        <v>[2013 $]</v>
      </c>
      <c r="N103" s="70">
        <f ca="1">SUMIFS(OFFSET(Assumptions!$I$90,0,MATCH($A103,Configurations,0)-1,COUNT(Assumptions!$A$90:$A$183),1),Assumptions!$D$90:$D$183,$B103&amp;$C103)</f>
        <v>0</v>
      </c>
      <c r="O103" s="313"/>
      <c r="P103" s="323"/>
      <c r="Q103" s="313"/>
      <c r="R103" s="50">
        <f t="shared" ref="R103:AG105" ca="1" si="71">IF(OR(R$99&lt;InServiceYr,R$99&gt;(InServiceYr+analysis_period-1)),0,IF($P103=0,$N103,$P103)*(1+$D103)^(R$99-CostBaseYr))</f>
        <v>0</v>
      </c>
      <c r="S103" s="50">
        <f t="shared" ca="1" si="71"/>
        <v>0</v>
      </c>
      <c r="T103" s="50">
        <f t="shared" ca="1" si="71"/>
        <v>0</v>
      </c>
      <c r="U103" s="50">
        <f t="shared" ca="1" si="71"/>
        <v>0</v>
      </c>
      <c r="V103" s="50">
        <f t="shared" ca="1" si="71"/>
        <v>0</v>
      </c>
      <c r="W103" s="50">
        <f t="shared" ca="1" si="71"/>
        <v>0</v>
      </c>
      <c r="X103" s="50">
        <f t="shared" ca="1" si="71"/>
        <v>0</v>
      </c>
      <c r="Y103" s="50">
        <f t="shared" ca="1" si="71"/>
        <v>0</v>
      </c>
      <c r="Z103" s="50">
        <f t="shared" ca="1" si="71"/>
        <v>0</v>
      </c>
      <c r="AA103" s="50">
        <f t="shared" ca="1" si="71"/>
        <v>0</v>
      </c>
      <c r="AB103" s="50">
        <f t="shared" ca="1" si="71"/>
        <v>0</v>
      </c>
      <c r="AC103" s="50">
        <f t="shared" ca="1" si="71"/>
        <v>0</v>
      </c>
      <c r="AD103" s="50">
        <f t="shared" ca="1" si="71"/>
        <v>0</v>
      </c>
      <c r="AE103" s="50">
        <f t="shared" ca="1" si="71"/>
        <v>0</v>
      </c>
      <c r="AF103" s="50">
        <f t="shared" ca="1" si="71"/>
        <v>0</v>
      </c>
      <c r="AG103" s="50">
        <f t="shared" ca="1" si="71"/>
        <v>0</v>
      </c>
      <c r="AH103" s="50">
        <f t="shared" ref="S103:AU105" ca="1" si="72">IF(OR(AH$99&lt;InServiceYr,AH$99&gt;(InServiceYr+analysis_period-1)),0,IF($P103=0,$N103,$P103)*(1+$D103)^(AH$99-CostBaseYr))</f>
        <v>0</v>
      </c>
      <c r="AI103" s="50">
        <f t="shared" ca="1" si="72"/>
        <v>0</v>
      </c>
      <c r="AJ103" s="50">
        <f t="shared" ca="1" si="72"/>
        <v>0</v>
      </c>
      <c r="AK103" s="50">
        <f t="shared" ca="1" si="72"/>
        <v>0</v>
      </c>
      <c r="AL103" s="50">
        <f t="shared" si="72"/>
        <v>0</v>
      </c>
      <c r="AM103" s="50">
        <f t="shared" si="72"/>
        <v>0</v>
      </c>
      <c r="AN103" s="50">
        <f t="shared" si="72"/>
        <v>0</v>
      </c>
      <c r="AO103" s="50">
        <f t="shared" si="72"/>
        <v>0</v>
      </c>
      <c r="AP103" s="50">
        <f t="shared" si="72"/>
        <v>0</v>
      </c>
      <c r="AQ103" s="50">
        <f t="shared" si="72"/>
        <v>0</v>
      </c>
      <c r="AR103" s="50">
        <f t="shared" si="72"/>
        <v>0</v>
      </c>
      <c r="AS103" s="50">
        <f t="shared" si="72"/>
        <v>0</v>
      </c>
      <c r="AT103" s="50">
        <f t="shared" si="72"/>
        <v>0</v>
      </c>
      <c r="AU103" s="50">
        <f t="shared" si="72"/>
        <v>0</v>
      </c>
    </row>
    <row r="104" spans="1:47">
      <c r="A104" s="38" t="str">
        <f t="shared" si="69"/>
        <v>4Y-</v>
      </c>
      <c r="B104" s="38" t="s">
        <v>263</v>
      </c>
      <c r="C104" s="38" t="str">
        <f t="shared" ref="C104:C108" si="73">C103</f>
        <v>Anaerobic Digestion</v>
      </c>
      <c r="D104" s="186">
        <f>OMEsc</f>
        <v>0.02</v>
      </c>
      <c r="E104" s="325"/>
      <c r="G104" s="36" t="s">
        <v>127</v>
      </c>
      <c r="I104" s="39"/>
      <c r="K104" s="39"/>
      <c r="L104" s="43" t="str">
        <f>"["&amp;CostBaseYr&amp;" $]"</f>
        <v>[2013 $]</v>
      </c>
      <c r="N104" s="70">
        <f ca="1">SUMIFS(OFFSET(Assumptions!$I$90,0,MATCH($A104,Configurations,0)-1,COUNT(Assumptions!$A$90:$A$183),1),Assumptions!$D$90:$D$183,$B104&amp;$C104)</f>
        <v>0</v>
      </c>
      <c r="O104" s="313"/>
      <c r="P104" s="323"/>
      <c r="Q104" s="313"/>
      <c r="R104" s="50">
        <f t="shared" ca="1" si="71"/>
        <v>0</v>
      </c>
      <c r="S104" s="50">
        <f t="shared" ca="1" si="72"/>
        <v>0</v>
      </c>
      <c r="T104" s="50">
        <f t="shared" ca="1" si="72"/>
        <v>0</v>
      </c>
      <c r="U104" s="50">
        <f t="shared" ca="1" si="72"/>
        <v>0</v>
      </c>
      <c r="V104" s="50">
        <f t="shared" ca="1" si="72"/>
        <v>0</v>
      </c>
      <c r="W104" s="50">
        <f t="shared" ca="1" si="72"/>
        <v>0</v>
      </c>
      <c r="X104" s="50">
        <f t="shared" ca="1" si="72"/>
        <v>0</v>
      </c>
      <c r="Y104" s="50">
        <f t="shared" ca="1" si="72"/>
        <v>0</v>
      </c>
      <c r="Z104" s="50">
        <f t="shared" ca="1" si="72"/>
        <v>0</v>
      </c>
      <c r="AA104" s="50">
        <f t="shared" ca="1" si="72"/>
        <v>0</v>
      </c>
      <c r="AB104" s="50">
        <f t="shared" ca="1" si="72"/>
        <v>0</v>
      </c>
      <c r="AC104" s="50">
        <f t="shared" ca="1" si="72"/>
        <v>0</v>
      </c>
      <c r="AD104" s="50">
        <f t="shared" ca="1" si="72"/>
        <v>0</v>
      </c>
      <c r="AE104" s="50">
        <f t="shared" ca="1" si="72"/>
        <v>0</v>
      </c>
      <c r="AF104" s="50">
        <f t="shared" ca="1" si="72"/>
        <v>0</v>
      </c>
      <c r="AG104" s="50">
        <f t="shared" ca="1" si="72"/>
        <v>0</v>
      </c>
      <c r="AH104" s="50">
        <f t="shared" ca="1" si="72"/>
        <v>0</v>
      </c>
      <c r="AI104" s="50">
        <f t="shared" ca="1" si="72"/>
        <v>0</v>
      </c>
      <c r="AJ104" s="50">
        <f t="shared" ca="1" si="72"/>
        <v>0</v>
      </c>
      <c r="AK104" s="50">
        <f t="shared" ca="1" si="72"/>
        <v>0</v>
      </c>
      <c r="AL104" s="50">
        <f t="shared" si="72"/>
        <v>0</v>
      </c>
      <c r="AM104" s="50">
        <f t="shared" si="72"/>
        <v>0</v>
      </c>
      <c r="AN104" s="50">
        <f t="shared" si="72"/>
        <v>0</v>
      </c>
      <c r="AO104" s="50">
        <f t="shared" si="72"/>
        <v>0</v>
      </c>
      <c r="AP104" s="50">
        <f t="shared" si="72"/>
        <v>0</v>
      </c>
      <c r="AQ104" s="50">
        <f t="shared" si="72"/>
        <v>0</v>
      </c>
      <c r="AR104" s="50">
        <f t="shared" si="72"/>
        <v>0</v>
      </c>
      <c r="AS104" s="50">
        <f t="shared" si="72"/>
        <v>0</v>
      </c>
      <c r="AT104" s="50">
        <f t="shared" si="72"/>
        <v>0</v>
      </c>
      <c r="AU104" s="50">
        <f t="shared" si="72"/>
        <v>0</v>
      </c>
    </row>
    <row r="105" spans="1:47">
      <c r="A105" s="38" t="str">
        <f t="shared" si="69"/>
        <v>4Y-</v>
      </c>
      <c r="B105" s="38" t="s">
        <v>277</v>
      </c>
      <c r="C105" s="38" t="str">
        <f t="shared" si="73"/>
        <v>Anaerobic Digestion</v>
      </c>
      <c r="D105" s="186">
        <f>OMEsc</f>
        <v>0.02</v>
      </c>
      <c r="E105" s="325"/>
      <c r="G105" s="36" t="s">
        <v>276</v>
      </c>
      <c r="I105" s="39"/>
      <c r="K105" s="39"/>
      <c r="L105" s="43" t="str">
        <f>"["&amp;CostBaseYr&amp;" $]"</f>
        <v>[2013 $]</v>
      </c>
      <c r="N105" s="70">
        <f ca="1">SUMIFS(OFFSET(Assumptions!$I$90,0,MATCH($A105,Configurations,0)-1,COUNT(Assumptions!$A$90:$A$183),1),Assumptions!$D$90:$D$183,$B105&amp;$C105)</f>
        <v>0</v>
      </c>
      <c r="O105" s="313"/>
      <c r="P105" s="323"/>
      <c r="Q105" s="313"/>
      <c r="R105" s="50">
        <f t="shared" ca="1" si="71"/>
        <v>0</v>
      </c>
      <c r="S105" s="50">
        <f t="shared" ca="1" si="72"/>
        <v>0</v>
      </c>
      <c r="T105" s="50">
        <f t="shared" ca="1" si="72"/>
        <v>0</v>
      </c>
      <c r="U105" s="50">
        <f t="shared" ca="1" si="72"/>
        <v>0</v>
      </c>
      <c r="V105" s="50">
        <f t="shared" ca="1" si="72"/>
        <v>0</v>
      </c>
      <c r="W105" s="50">
        <f t="shared" ca="1" si="72"/>
        <v>0</v>
      </c>
      <c r="X105" s="50">
        <f t="shared" ca="1" si="72"/>
        <v>0</v>
      </c>
      <c r="Y105" s="50">
        <f t="shared" ca="1" si="72"/>
        <v>0</v>
      </c>
      <c r="Z105" s="50">
        <f t="shared" ca="1" si="72"/>
        <v>0</v>
      </c>
      <c r="AA105" s="50">
        <f t="shared" ca="1" si="72"/>
        <v>0</v>
      </c>
      <c r="AB105" s="50">
        <f t="shared" ca="1" si="72"/>
        <v>0</v>
      </c>
      <c r="AC105" s="50">
        <f t="shared" ca="1" si="72"/>
        <v>0</v>
      </c>
      <c r="AD105" s="50">
        <f t="shared" ca="1" si="72"/>
        <v>0</v>
      </c>
      <c r="AE105" s="50">
        <f t="shared" ca="1" si="72"/>
        <v>0</v>
      </c>
      <c r="AF105" s="50">
        <f t="shared" ca="1" si="72"/>
        <v>0</v>
      </c>
      <c r="AG105" s="50">
        <f t="shared" ca="1" si="72"/>
        <v>0</v>
      </c>
      <c r="AH105" s="50">
        <f t="shared" ca="1" si="72"/>
        <v>0</v>
      </c>
      <c r="AI105" s="50">
        <f t="shared" ca="1" si="72"/>
        <v>0</v>
      </c>
      <c r="AJ105" s="50">
        <f t="shared" ca="1" si="72"/>
        <v>0</v>
      </c>
      <c r="AK105" s="50">
        <f t="shared" ca="1" si="72"/>
        <v>0</v>
      </c>
      <c r="AL105" s="50">
        <f t="shared" si="72"/>
        <v>0</v>
      </c>
      <c r="AM105" s="50">
        <f t="shared" si="72"/>
        <v>0</v>
      </c>
      <c r="AN105" s="50">
        <f t="shared" si="72"/>
        <v>0</v>
      </c>
      <c r="AO105" s="50">
        <f t="shared" si="72"/>
        <v>0</v>
      </c>
      <c r="AP105" s="50">
        <f t="shared" si="72"/>
        <v>0</v>
      </c>
      <c r="AQ105" s="50">
        <f t="shared" si="72"/>
        <v>0</v>
      </c>
      <c r="AR105" s="50">
        <f t="shared" si="72"/>
        <v>0</v>
      </c>
      <c r="AS105" s="50">
        <f t="shared" si="72"/>
        <v>0</v>
      </c>
      <c r="AT105" s="50">
        <f t="shared" si="72"/>
        <v>0</v>
      </c>
      <c r="AU105" s="50">
        <f t="shared" si="72"/>
        <v>0</v>
      </c>
    </row>
    <row r="106" spans="1:47">
      <c r="A106" s="38" t="str">
        <f t="shared" si="69"/>
        <v>4Y-</v>
      </c>
      <c r="B106" s="38" t="s">
        <v>274</v>
      </c>
      <c r="C106" s="38" t="str">
        <f t="shared" si="73"/>
        <v>Anaerobic Digestion</v>
      </c>
      <c r="D106" s="186"/>
      <c r="E106" s="325"/>
      <c r="G106" s="36" t="s">
        <v>16</v>
      </c>
      <c r="I106" s="39"/>
      <c r="K106" s="39"/>
      <c r="L106" s="43" t="s">
        <v>275</v>
      </c>
      <c r="N106" s="70">
        <f ca="1">SUMIFS(OFFSET(Assumptions!$I$90,0,MATCH($A106,Configurations,0)-1,COUNT(Assumptions!$A$90:$A$183),1),Assumptions!$D$90:$D$183,$B106&amp;$C106)</f>
        <v>0</v>
      </c>
      <c r="O106" s="313"/>
      <c r="P106" s="323"/>
      <c r="Q106" s="313"/>
      <c r="R106" s="50">
        <f t="shared" ref="R106:AU106" ca="1" si="74">IF(OR(R$99&lt;InServiceYr,R$99&gt;(InServiceYr+analysis_period-1)),0,IF($P106=0,$N106,$P106)*R$505)</f>
        <v>0</v>
      </c>
      <c r="S106" s="50">
        <f t="shared" ca="1" si="74"/>
        <v>0</v>
      </c>
      <c r="T106" s="50">
        <f t="shared" ca="1" si="74"/>
        <v>0</v>
      </c>
      <c r="U106" s="50">
        <f t="shared" ca="1" si="74"/>
        <v>0</v>
      </c>
      <c r="V106" s="50">
        <f t="shared" ca="1" si="74"/>
        <v>0</v>
      </c>
      <c r="W106" s="50">
        <f t="shared" ca="1" si="74"/>
        <v>0</v>
      </c>
      <c r="X106" s="50">
        <f t="shared" ca="1" si="74"/>
        <v>0</v>
      </c>
      <c r="Y106" s="50">
        <f t="shared" ca="1" si="74"/>
        <v>0</v>
      </c>
      <c r="Z106" s="50">
        <f t="shared" ca="1" si="74"/>
        <v>0</v>
      </c>
      <c r="AA106" s="50">
        <f t="shared" ca="1" si="74"/>
        <v>0</v>
      </c>
      <c r="AB106" s="50">
        <f t="shared" ca="1" si="74"/>
        <v>0</v>
      </c>
      <c r="AC106" s="50">
        <f t="shared" ca="1" si="74"/>
        <v>0</v>
      </c>
      <c r="AD106" s="50">
        <f t="shared" ca="1" si="74"/>
        <v>0</v>
      </c>
      <c r="AE106" s="50">
        <f t="shared" ca="1" si="74"/>
        <v>0</v>
      </c>
      <c r="AF106" s="50">
        <f t="shared" ca="1" si="74"/>
        <v>0</v>
      </c>
      <c r="AG106" s="50">
        <f t="shared" ca="1" si="74"/>
        <v>0</v>
      </c>
      <c r="AH106" s="50">
        <f t="shared" ca="1" si="74"/>
        <v>0</v>
      </c>
      <c r="AI106" s="50">
        <f t="shared" ca="1" si="74"/>
        <v>0</v>
      </c>
      <c r="AJ106" s="50">
        <f t="shared" ca="1" si="74"/>
        <v>0</v>
      </c>
      <c r="AK106" s="50">
        <f t="shared" ca="1" si="74"/>
        <v>0</v>
      </c>
      <c r="AL106" s="50">
        <f t="shared" si="74"/>
        <v>0</v>
      </c>
      <c r="AM106" s="50">
        <f t="shared" si="74"/>
        <v>0</v>
      </c>
      <c r="AN106" s="50">
        <f t="shared" si="74"/>
        <v>0</v>
      </c>
      <c r="AO106" s="50">
        <f t="shared" si="74"/>
        <v>0</v>
      </c>
      <c r="AP106" s="50">
        <f t="shared" si="74"/>
        <v>0</v>
      </c>
      <c r="AQ106" s="50">
        <f t="shared" si="74"/>
        <v>0</v>
      </c>
      <c r="AR106" s="50">
        <f t="shared" si="74"/>
        <v>0</v>
      </c>
      <c r="AS106" s="50">
        <f t="shared" si="74"/>
        <v>0</v>
      </c>
      <c r="AT106" s="50">
        <f t="shared" si="74"/>
        <v>0</v>
      </c>
      <c r="AU106" s="50">
        <f t="shared" si="74"/>
        <v>0</v>
      </c>
    </row>
    <row r="107" spans="1:47">
      <c r="A107" s="38" t="str">
        <f t="shared" si="69"/>
        <v>4Y-</v>
      </c>
      <c r="B107" s="38" t="s">
        <v>257</v>
      </c>
      <c r="C107" s="38" t="str">
        <f t="shared" si="73"/>
        <v>Anaerobic Digestion</v>
      </c>
      <c r="D107" s="186"/>
      <c r="E107" s="325"/>
      <c r="G107" s="36" t="s">
        <v>284</v>
      </c>
      <c r="I107" s="39"/>
      <c r="K107" s="39"/>
      <c r="L107" s="43" t="s">
        <v>293</v>
      </c>
      <c r="N107" s="70">
        <f ca="1">SUMIFS(OFFSET(Assumptions!$I$90,0,MATCH($A107,Configurations,0)-1,COUNT(Assumptions!$A$90:$A$183),1),Assumptions!$D$90:$D$183,$B107&amp;$C107)</f>
        <v>0</v>
      </c>
      <c r="O107" s="313"/>
      <c r="P107" s="323"/>
      <c r="Q107" s="313"/>
      <c r="R107" s="50">
        <f t="shared" ref="R107:AU107" ca="1" si="75">IF(OR(R$99&lt;InServiceYr,R$99&gt;(InServiceYr+analysis_period-1)),0,IF($P107=0,$N107,$P107)*R$501)</f>
        <v>0</v>
      </c>
      <c r="S107" s="50">
        <f t="shared" ca="1" si="75"/>
        <v>0</v>
      </c>
      <c r="T107" s="50">
        <f t="shared" ca="1" si="75"/>
        <v>0</v>
      </c>
      <c r="U107" s="50">
        <f t="shared" ca="1" si="75"/>
        <v>0</v>
      </c>
      <c r="V107" s="50">
        <f t="shared" ca="1" si="75"/>
        <v>0</v>
      </c>
      <c r="W107" s="50">
        <f t="shared" ca="1" si="75"/>
        <v>0</v>
      </c>
      <c r="X107" s="50">
        <f t="shared" ca="1" si="75"/>
        <v>0</v>
      </c>
      <c r="Y107" s="50">
        <f t="shared" ca="1" si="75"/>
        <v>0</v>
      </c>
      <c r="Z107" s="50">
        <f t="shared" ca="1" si="75"/>
        <v>0</v>
      </c>
      <c r="AA107" s="50">
        <f t="shared" ca="1" si="75"/>
        <v>0</v>
      </c>
      <c r="AB107" s="50">
        <f t="shared" ca="1" si="75"/>
        <v>0</v>
      </c>
      <c r="AC107" s="50">
        <f t="shared" ca="1" si="75"/>
        <v>0</v>
      </c>
      <c r="AD107" s="50">
        <f t="shared" ca="1" si="75"/>
        <v>0</v>
      </c>
      <c r="AE107" s="50">
        <f t="shared" ca="1" si="75"/>
        <v>0</v>
      </c>
      <c r="AF107" s="50">
        <f t="shared" ca="1" si="75"/>
        <v>0</v>
      </c>
      <c r="AG107" s="50">
        <f t="shared" ca="1" si="75"/>
        <v>0</v>
      </c>
      <c r="AH107" s="50">
        <f t="shared" ca="1" si="75"/>
        <v>0</v>
      </c>
      <c r="AI107" s="50">
        <f t="shared" ca="1" si="75"/>
        <v>0</v>
      </c>
      <c r="AJ107" s="50">
        <f t="shared" ca="1" si="75"/>
        <v>0</v>
      </c>
      <c r="AK107" s="50">
        <f t="shared" ca="1" si="75"/>
        <v>0</v>
      </c>
      <c r="AL107" s="50">
        <f t="shared" si="75"/>
        <v>0</v>
      </c>
      <c r="AM107" s="50">
        <f t="shared" si="75"/>
        <v>0</v>
      </c>
      <c r="AN107" s="50">
        <f t="shared" si="75"/>
        <v>0</v>
      </c>
      <c r="AO107" s="50">
        <f t="shared" si="75"/>
        <v>0</v>
      </c>
      <c r="AP107" s="50">
        <f t="shared" si="75"/>
        <v>0</v>
      </c>
      <c r="AQ107" s="50">
        <f t="shared" si="75"/>
        <v>0</v>
      </c>
      <c r="AR107" s="50">
        <f t="shared" si="75"/>
        <v>0</v>
      </c>
      <c r="AS107" s="50">
        <f t="shared" si="75"/>
        <v>0</v>
      </c>
      <c r="AT107" s="50">
        <f t="shared" si="75"/>
        <v>0</v>
      </c>
      <c r="AU107" s="50">
        <f t="shared" si="75"/>
        <v>0</v>
      </c>
    </row>
    <row r="108" spans="1:47">
      <c r="A108" s="38" t="str">
        <f t="shared" si="69"/>
        <v>4Y-</v>
      </c>
      <c r="B108" s="38" t="s">
        <v>864</v>
      </c>
      <c r="C108" s="38" t="str">
        <f t="shared" si="73"/>
        <v>Anaerobic Digestion</v>
      </c>
      <c r="D108" s="186">
        <f>GHGEsc</f>
        <v>0.02</v>
      </c>
      <c r="E108" s="325"/>
      <c r="G108" s="36" t="s">
        <v>865</v>
      </c>
      <c r="I108" s="39"/>
      <c r="K108" s="39"/>
      <c r="L108" s="43" t="s">
        <v>866</v>
      </c>
      <c r="N108" s="70">
        <f ca="1">SUMIFS(OFFSET(Assumptions!$I$90,0,MATCH($A108,Configurations,0)-1,COUNT(Assumptions!$A$90:$A$183),1),Assumptions!$D$90:$D$183,$B108&amp;$C108)</f>
        <v>0</v>
      </c>
      <c r="O108" s="313"/>
      <c r="P108" s="323"/>
      <c r="Q108" s="313"/>
      <c r="R108" s="50">
        <f t="shared" ref="R108:AU108" ca="1" si="76">IF(OR(R$99&lt;InServiceYr,R$99&gt;(InServiceYr+analysis_period-1)),0,IF($P108=0,$N108,$P108)*R$513)</f>
        <v>0</v>
      </c>
      <c r="S108" s="50">
        <f t="shared" ca="1" si="76"/>
        <v>0</v>
      </c>
      <c r="T108" s="50">
        <f t="shared" ca="1" si="76"/>
        <v>0</v>
      </c>
      <c r="U108" s="50">
        <f t="shared" ca="1" si="76"/>
        <v>0</v>
      </c>
      <c r="V108" s="50">
        <f t="shared" ca="1" si="76"/>
        <v>0</v>
      </c>
      <c r="W108" s="50">
        <f t="shared" ca="1" si="76"/>
        <v>0</v>
      </c>
      <c r="X108" s="50">
        <f t="shared" ca="1" si="76"/>
        <v>0</v>
      </c>
      <c r="Y108" s="50">
        <f t="shared" ca="1" si="76"/>
        <v>0</v>
      </c>
      <c r="Z108" s="50">
        <f t="shared" ca="1" si="76"/>
        <v>0</v>
      </c>
      <c r="AA108" s="50">
        <f t="shared" ca="1" si="76"/>
        <v>0</v>
      </c>
      <c r="AB108" s="50">
        <f t="shared" ca="1" si="76"/>
        <v>0</v>
      </c>
      <c r="AC108" s="50">
        <f t="shared" ca="1" si="76"/>
        <v>0</v>
      </c>
      <c r="AD108" s="50">
        <f t="shared" ca="1" si="76"/>
        <v>0</v>
      </c>
      <c r="AE108" s="50">
        <f t="shared" ca="1" si="76"/>
        <v>0</v>
      </c>
      <c r="AF108" s="50">
        <f t="shared" ca="1" si="76"/>
        <v>0</v>
      </c>
      <c r="AG108" s="50">
        <f t="shared" ca="1" si="76"/>
        <v>0</v>
      </c>
      <c r="AH108" s="50">
        <f t="shared" ca="1" si="76"/>
        <v>0</v>
      </c>
      <c r="AI108" s="50">
        <f t="shared" ca="1" si="76"/>
        <v>0</v>
      </c>
      <c r="AJ108" s="50">
        <f t="shared" ca="1" si="76"/>
        <v>0</v>
      </c>
      <c r="AK108" s="50">
        <f t="shared" ca="1" si="76"/>
        <v>0</v>
      </c>
      <c r="AL108" s="50">
        <f t="shared" si="76"/>
        <v>0</v>
      </c>
      <c r="AM108" s="50">
        <f t="shared" si="76"/>
        <v>0</v>
      </c>
      <c r="AN108" s="50">
        <f t="shared" si="76"/>
        <v>0</v>
      </c>
      <c r="AO108" s="50">
        <f t="shared" si="76"/>
        <v>0</v>
      </c>
      <c r="AP108" s="50">
        <f t="shared" si="76"/>
        <v>0</v>
      </c>
      <c r="AQ108" s="50">
        <f t="shared" si="76"/>
        <v>0</v>
      </c>
      <c r="AR108" s="50">
        <f t="shared" si="76"/>
        <v>0</v>
      </c>
      <c r="AS108" s="50">
        <f t="shared" si="76"/>
        <v>0</v>
      </c>
      <c r="AT108" s="50">
        <f t="shared" si="76"/>
        <v>0</v>
      </c>
      <c r="AU108" s="50">
        <f t="shared" si="76"/>
        <v>0</v>
      </c>
    </row>
    <row r="109" spans="1:47">
      <c r="A109" s="38" t="str">
        <f t="shared" si="69"/>
        <v>4Y-</v>
      </c>
      <c r="B109" s="38" t="s">
        <v>273</v>
      </c>
      <c r="C109" s="38" t="str">
        <f>C107</f>
        <v>Anaerobic Digestion</v>
      </c>
      <c r="D109" s="186">
        <f>LaborEsc</f>
        <v>0.02</v>
      </c>
      <c r="E109" s="325"/>
      <c r="G109" s="36" t="s">
        <v>291</v>
      </c>
      <c r="I109" s="39"/>
      <c r="K109" s="39"/>
      <c r="L109" s="43" t="str">
        <f>"["&amp;CostBaseYr&amp;" $]"</f>
        <v>[2013 $]</v>
      </c>
      <c r="N109" s="70">
        <f ca="1">SUMIFS(OFFSET(Assumptions!$I$90,0,MATCH($A109,Configurations,0)-1,COUNT(Assumptions!$A$90:$A$183),1),Assumptions!$D$90:$D$183,$B109&amp;$C109)</f>
        <v>0</v>
      </c>
      <c r="O109" s="313"/>
      <c r="P109" s="323"/>
      <c r="Q109" s="313"/>
      <c r="R109" s="50">
        <f t="shared" ref="R109:AU109" ca="1" si="77">IF(OR(R$99&lt;InServiceYr,R$99&gt;(InServiceYr+analysis_period-1)),0,IF($P109=0,$N109,$P109)*(1+$D109)^(R$99-CostBaseYr))*R$509</f>
        <v>0</v>
      </c>
      <c r="S109" s="50">
        <f t="shared" ca="1" si="77"/>
        <v>0</v>
      </c>
      <c r="T109" s="50">
        <f t="shared" ca="1" si="77"/>
        <v>0</v>
      </c>
      <c r="U109" s="50">
        <f t="shared" ca="1" si="77"/>
        <v>0</v>
      </c>
      <c r="V109" s="50">
        <f t="shared" ca="1" si="77"/>
        <v>0</v>
      </c>
      <c r="W109" s="50">
        <f t="shared" ca="1" si="77"/>
        <v>0</v>
      </c>
      <c r="X109" s="50">
        <f t="shared" ca="1" si="77"/>
        <v>0</v>
      </c>
      <c r="Y109" s="50">
        <f t="shared" ca="1" si="77"/>
        <v>0</v>
      </c>
      <c r="Z109" s="50">
        <f t="shared" ca="1" si="77"/>
        <v>0</v>
      </c>
      <c r="AA109" s="50">
        <f t="shared" ca="1" si="77"/>
        <v>0</v>
      </c>
      <c r="AB109" s="50">
        <f t="shared" ca="1" si="77"/>
        <v>0</v>
      </c>
      <c r="AC109" s="50">
        <f t="shared" ca="1" si="77"/>
        <v>0</v>
      </c>
      <c r="AD109" s="50">
        <f t="shared" ca="1" si="77"/>
        <v>0</v>
      </c>
      <c r="AE109" s="50">
        <f t="shared" ca="1" si="77"/>
        <v>0</v>
      </c>
      <c r="AF109" s="50">
        <f t="shared" ca="1" si="77"/>
        <v>0</v>
      </c>
      <c r="AG109" s="50">
        <f t="shared" ca="1" si="77"/>
        <v>0</v>
      </c>
      <c r="AH109" s="50">
        <f t="shared" ca="1" si="77"/>
        <v>0</v>
      </c>
      <c r="AI109" s="50">
        <f t="shared" ca="1" si="77"/>
        <v>0</v>
      </c>
      <c r="AJ109" s="50">
        <f t="shared" ca="1" si="77"/>
        <v>0</v>
      </c>
      <c r="AK109" s="50">
        <f t="shared" ca="1" si="77"/>
        <v>0</v>
      </c>
      <c r="AL109" s="50">
        <f t="shared" si="77"/>
        <v>0</v>
      </c>
      <c r="AM109" s="50">
        <f t="shared" si="77"/>
        <v>0</v>
      </c>
      <c r="AN109" s="50">
        <f t="shared" si="77"/>
        <v>0</v>
      </c>
      <c r="AO109" s="50">
        <f t="shared" si="77"/>
        <v>0</v>
      </c>
      <c r="AP109" s="50">
        <f t="shared" si="77"/>
        <v>0</v>
      </c>
      <c r="AQ109" s="50">
        <f t="shared" si="77"/>
        <v>0</v>
      </c>
      <c r="AR109" s="50">
        <f t="shared" si="77"/>
        <v>0</v>
      </c>
      <c r="AS109" s="50">
        <f t="shared" si="77"/>
        <v>0</v>
      </c>
      <c r="AT109" s="50">
        <f t="shared" si="77"/>
        <v>0</v>
      </c>
      <c r="AU109" s="50">
        <f t="shared" si="77"/>
        <v>0</v>
      </c>
    </row>
    <row r="110" spans="1:47">
      <c r="D110" s="186"/>
      <c r="E110" s="325"/>
      <c r="G110" s="39" t="s">
        <v>304</v>
      </c>
      <c r="I110" s="39"/>
      <c r="K110" s="39"/>
      <c r="L110" s="43"/>
      <c r="N110" s="70"/>
      <c r="O110" s="313"/>
      <c r="P110" s="70"/>
      <c r="Q110" s="313"/>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row>
    <row r="111" spans="1:47">
      <c r="A111" s="38" t="str">
        <f>$J$4&amp;"-"</f>
        <v>4Y-</v>
      </c>
      <c r="B111" s="38" t="s">
        <v>265</v>
      </c>
      <c r="C111" s="38" t="str">
        <f>C102</f>
        <v>Anaerobic Digestion</v>
      </c>
      <c r="D111" s="186"/>
      <c r="E111" s="325"/>
      <c r="G111" s="36" t="s">
        <v>108</v>
      </c>
      <c r="I111" s="39"/>
      <c r="K111" s="39"/>
      <c r="L111" s="43" t="s">
        <v>293</v>
      </c>
      <c r="N111" s="70">
        <f ca="1">SUMIFS(OFFSET(Assumptions!$I$90,0,MATCH($A111,Configurations,0)-1,COUNT(Assumptions!$A$90:$A$183),1),Assumptions!$D$90:$D$183,$B111&amp;$C111)</f>
        <v>0</v>
      </c>
      <c r="O111" s="313"/>
      <c r="P111" s="323"/>
      <c r="Q111" s="313"/>
      <c r="R111" s="50">
        <f t="shared" ref="R111:AU111" ca="1" si="78">IF(OR(R$99&lt;InServiceYr,R$99&gt;(InServiceYr+analysis_period-1)),0,IF($P111=0,$N111,$P111)*R$501)</f>
        <v>0</v>
      </c>
      <c r="S111" s="50">
        <f t="shared" ca="1" si="78"/>
        <v>0</v>
      </c>
      <c r="T111" s="50">
        <f t="shared" ca="1" si="78"/>
        <v>0</v>
      </c>
      <c r="U111" s="50">
        <f t="shared" ca="1" si="78"/>
        <v>0</v>
      </c>
      <c r="V111" s="50">
        <f t="shared" ca="1" si="78"/>
        <v>0</v>
      </c>
      <c r="W111" s="50">
        <f t="shared" ca="1" si="78"/>
        <v>0</v>
      </c>
      <c r="X111" s="50">
        <f t="shared" ca="1" si="78"/>
        <v>0</v>
      </c>
      <c r="Y111" s="50">
        <f t="shared" ca="1" si="78"/>
        <v>0</v>
      </c>
      <c r="Z111" s="50">
        <f t="shared" ca="1" si="78"/>
        <v>0</v>
      </c>
      <c r="AA111" s="50">
        <f t="shared" ca="1" si="78"/>
        <v>0</v>
      </c>
      <c r="AB111" s="50">
        <f t="shared" ca="1" si="78"/>
        <v>0</v>
      </c>
      <c r="AC111" s="50">
        <f t="shared" ca="1" si="78"/>
        <v>0</v>
      </c>
      <c r="AD111" s="50">
        <f t="shared" ca="1" si="78"/>
        <v>0</v>
      </c>
      <c r="AE111" s="50">
        <f t="shared" ca="1" si="78"/>
        <v>0</v>
      </c>
      <c r="AF111" s="50">
        <f t="shared" ca="1" si="78"/>
        <v>0</v>
      </c>
      <c r="AG111" s="50">
        <f t="shared" ca="1" si="78"/>
        <v>0</v>
      </c>
      <c r="AH111" s="50">
        <f t="shared" ca="1" si="78"/>
        <v>0</v>
      </c>
      <c r="AI111" s="50">
        <f t="shared" ca="1" si="78"/>
        <v>0</v>
      </c>
      <c r="AJ111" s="50">
        <f t="shared" ca="1" si="78"/>
        <v>0</v>
      </c>
      <c r="AK111" s="50">
        <f t="shared" ca="1" si="78"/>
        <v>0</v>
      </c>
      <c r="AL111" s="50">
        <f t="shared" si="78"/>
        <v>0</v>
      </c>
      <c r="AM111" s="50">
        <f t="shared" si="78"/>
        <v>0</v>
      </c>
      <c r="AN111" s="50">
        <f t="shared" si="78"/>
        <v>0</v>
      </c>
      <c r="AO111" s="50">
        <f t="shared" si="78"/>
        <v>0</v>
      </c>
      <c r="AP111" s="50">
        <f t="shared" si="78"/>
        <v>0</v>
      </c>
      <c r="AQ111" s="50">
        <f t="shared" si="78"/>
        <v>0</v>
      </c>
      <c r="AR111" s="50">
        <f t="shared" si="78"/>
        <v>0</v>
      </c>
      <c r="AS111" s="50">
        <f t="shared" si="78"/>
        <v>0</v>
      </c>
      <c r="AT111" s="50">
        <f t="shared" si="78"/>
        <v>0</v>
      </c>
      <c r="AU111" s="50">
        <f t="shared" si="78"/>
        <v>0</v>
      </c>
    </row>
    <row r="112" spans="1:47">
      <c r="A112" s="38" t="str">
        <f>$J$4&amp;"-"</f>
        <v>4Y-</v>
      </c>
      <c r="B112" s="38" t="s">
        <v>289</v>
      </c>
      <c r="C112" s="38" t="str">
        <f>C102</f>
        <v>Anaerobic Digestion</v>
      </c>
      <c r="D112" s="186">
        <f>LaborEsc</f>
        <v>0.02</v>
      </c>
      <c r="E112" s="325"/>
      <c r="G112" s="36" t="s">
        <v>292</v>
      </c>
      <c r="I112" s="39"/>
      <c r="K112" s="39"/>
      <c r="L112" s="43" t="str">
        <f>"["&amp;CostBaseYr&amp;" $]"</f>
        <v>[2013 $]</v>
      </c>
      <c r="N112" s="70">
        <f ca="1">SUMIFS(OFFSET(Assumptions!$I$90,0,MATCH($A112,Configurations,0)-1,COUNT(Assumptions!$A$90:$A$183),1),Assumptions!$D$90:$D$183,$B112&amp;$C112)</f>
        <v>0</v>
      </c>
      <c r="O112" s="313"/>
      <c r="P112" s="323"/>
      <c r="Q112" s="313"/>
      <c r="R112" s="50">
        <f t="shared" ref="R112:AU112" ca="1" si="79">IF(OR(R$99&lt;InServiceYr,R$99&gt;(InServiceYr+analysis_period-1)),0,IF($P112=0,$N112,$P112)*(1+$D112)^(R$99-CostBaseYr))</f>
        <v>0</v>
      </c>
      <c r="S112" s="50">
        <f t="shared" ca="1" si="79"/>
        <v>0</v>
      </c>
      <c r="T112" s="50">
        <f t="shared" ca="1" si="79"/>
        <v>0</v>
      </c>
      <c r="U112" s="50">
        <f t="shared" ca="1" si="79"/>
        <v>0</v>
      </c>
      <c r="V112" s="50">
        <f t="shared" ca="1" si="79"/>
        <v>0</v>
      </c>
      <c r="W112" s="50">
        <f t="shared" ca="1" si="79"/>
        <v>0</v>
      </c>
      <c r="X112" s="50">
        <f t="shared" ca="1" si="79"/>
        <v>0</v>
      </c>
      <c r="Y112" s="50">
        <f t="shared" ca="1" si="79"/>
        <v>0</v>
      </c>
      <c r="Z112" s="50">
        <f t="shared" ca="1" si="79"/>
        <v>0</v>
      </c>
      <c r="AA112" s="50">
        <f t="shared" ca="1" si="79"/>
        <v>0</v>
      </c>
      <c r="AB112" s="50">
        <f t="shared" ca="1" si="79"/>
        <v>0</v>
      </c>
      <c r="AC112" s="50">
        <f t="shared" ca="1" si="79"/>
        <v>0</v>
      </c>
      <c r="AD112" s="50">
        <f t="shared" ca="1" si="79"/>
        <v>0</v>
      </c>
      <c r="AE112" s="50">
        <f t="shared" ca="1" si="79"/>
        <v>0</v>
      </c>
      <c r="AF112" s="50">
        <f t="shared" ca="1" si="79"/>
        <v>0</v>
      </c>
      <c r="AG112" s="50">
        <f t="shared" ca="1" si="79"/>
        <v>0</v>
      </c>
      <c r="AH112" s="50">
        <f t="shared" ca="1" si="79"/>
        <v>0</v>
      </c>
      <c r="AI112" s="50">
        <f t="shared" ca="1" si="79"/>
        <v>0</v>
      </c>
      <c r="AJ112" s="50">
        <f t="shared" ca="1" si="79"/>
        <v>0</v>
      </c>
      <c r="AK112" s="50">
        <f t="shared" ca="1" si="79"/>
        <v>0</v>
      </c>
      <c r="AL112" s="50">
        <f t="shared" si="79"/>
        <v>0</v>
      </c>
      <c r="AM112" s="50">
        <f t="shared" si="79"/>
        <v>0</v>
      </c>
      <c r="AN112" s="50">
        <f t="shared" si="79"/>
        <v>0</v>
      </c>
      <c r="AO112" s="50">
        <f t="shared" si="79"/>
        <v>0</v>
      </c>
      <c r="AP112" s="50">
        <f t="shared" si="79"/>
        <v>0</v>
      </c>
      <c r="AQ112" s="50">
        <f t="shared" si="79"/>
        <v>0</v>
      </c>
      <c r="AR112" s="50">
        <f t="shared" si="79"/>
        <v>0</v>
      </c>
      <c r="AS112" s="50">
        <f t="shared" si="79"/>
        <v>0</v>
      </c>
      <c r="AT112" s="50">
        <f t="shared" si="79"/>
        <v>0</v>
      </c>
      <c r="AU112" s="50">
        <f t="shared" si="79"/>
        <v>0</v>
      </c>
    </row>
    <row r="113" spans="1:47" s="60" customFormat="1">
      <c r="D113" s="187"/>
      <c r="E113" s="325"/>
      <c r="G113" s="39" t="s">
        <v>305</v>
      </c>
      <c r="I113" s="39"/>
      <c r="K113" s="39"/>
      <c r="L113" s="174"/>
      <c r="N113" s="188"/>
      <c r="O113" s="314"/>
      <c r="P113" s="185"/>
      <c r="Q113" s="314"/>
      <c r="R113" s="185">
        <f ca="1">SUM(R102:R109)-SUM(R111:R112)</f>
        <v>0</v>
      </c>
      <c r="S113" s="185">
        <f t="shared" ref="S113:AU113" ca="1" si="80">SUM(S102:S109)-SUM(S111:S112)</f>
        <v>0</v>
      </c>
      <c r="T113" s="185">
        <f t="shared" ca="1" si="80"/>
        <v>0</v>
      </c>
      <c r="U113" s="185">
        <f t="shared" ca="1" si="80"/>
        <v>0</v>
      </c>
      <c r="V113" s="185">
        <f t="shared" ca="1" si="80"/>
        <v>0</v>
      </c>
      <c r="W113" s="185">
        <f t="shared" ca="1" si="80"/>
        <v>0</v>
      </c>
      <c r="X113" s="185">
        <f t="shared" ca="1" si="80"/>
        <v>0</v>
      </c>
      <c r="Y113" s="185">
        <f t="shared" ca="1" si="80"/>
        <v>0</v>
      </c>
      <c r="Z113" s="185">
        <f t="shared" ca="1" si="80"/>
        <v>0</v>
      </c>
      <c r="AA113" s="185">
        <f t="shared" ca="1" si="80"/>
        <v>0</v>
      </c>
      <c r="AB113" s="185">
        <f t="shared" ca="1" si="80"/>
        <v>0</v>
      </c>
      <c r="AC113" s="185">
        <f t="shared" ca="1" si="80"/>
        <v>0</v>
      </c>
      <c r="AD113" s="185">
        <f t="shared" ca="1" si="80"/>
        <v>0</v>
      </c>
      <c r="AE113" s="185">
        <f t="shared" ca="1" si="80"/>
        <v>0</v>
      </c>
      <c r="AF113" s="185">
        <f t="shared" ca="1" si="80"/>
        <v>0</v>
      </c>
      <c r="AG113" s="185">
        <f t="shared" ca="1" si="80"/>
        <v>0</v>
      </c>
      <c r="AH113" s="185">
        <f t="shared" ca="1" si="80"/>
        <v>0</v>
      </c>
      <c r="AI113" s="185">
        <f t="shared" ca="1" si="80"/>
        <v>0</v>
      </c>
      <c r="AJ113" s="185">
        <f t="shared" ca="1" si="80"/>
        <v>0</v>
      </c>
      <c r="AK113" s="185">
        <f t="shared" ca="1" si="80"/>
        <v>0</v>
      </c>
      <c r="AL113" s="185">
        <f t="shared" si="80"/>
        <v>0</v>
      </c>
      <c r="AM113" s="185">
        <f t="shared" si="80"/>
        <v>0</v>
      </c>
      <c r="AN113" s="185">
        <f t="shared" si="80"/>
        <v>0</v>
      </c>
      <c r="AO113" s="185">
        <f t="shared" si="80"/>
        <v>0</v>
      </c>
      <c r="AP113" s="185">
        <f t="shared" si="80"/>
        <v>0</v>
      </c>
      <c r="AQ113" s="185">
        <f t="shared" si="80"/>
        <v>0</v>
      </c>
      <c r="AR113" s="185">
        <f t="shared" si="80"/>
        <v>0</v>
      </c>
      <c r="AS113" s="185">
        <f t="shared" si="80"/>
        <v>0</v>
      </c>
      <c r="AT113" s="185">
        <f t="shared" si="80"/>
        <v>0</v>
      </c>
      <c r="AU113" s="185">
        <f t="shared" si="80"/>
        <v>0</v>
      </c>
    </row>
    <row r="114" spans="1:47">
      <c r="G114" s="28"/>
      <c r="H114" s="28"/>
      <c r="I114" s="28"/>
      <c r="J114" s="28"/>
      <c r="K114" s="28"/>
      <c r="L114" s="409"/>
      <c r="M114" s="46"/>
      <c r="N114" s="46"/>
      <c r="O114" s="315"/>
      <c r="P114" s="46"/>
      <c r="Q114" s="315"/>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row>
    <row r="115" spans="1:47" s="28" customFormat="1">
      <c r="A115" s="40"/>
      <c r="B115" s="40"/>
      <c r="C115" s="40"/>
      <c r="D115" s="40"/>
      <c r="E115" s="327"/>
      <c r="G115" s="324" t="str">
        <f>C117&amp;" Capital Costs"</f>
        <v>Ash Conveyance &amp; Storage Capital Costs</v>
      </c>
      <c r="H115" s="324"/>
      <c r="I115" s="324"/>
      <c r="J115" s="324"/>
      <c r="K115" s="324"/>
      <c r="L115" s="405" t="s">
        <v>79</v>
      </c>
      <c r="M115" s="256"/>
      <c r="N115" s="325" t="s">
        <v>490</v>
      </c>
      <c r="O115" s="311"/>
      <c r="P115" s="325" t="s">
        <v>491</v>
      </c>
      <c r="Q115" s="310"/>
      <c r="R115" s="325">
        <f>R$8</f>
        <v>2014</v>
      </c>
      <c r="S115" s="325">
        <f t="shared" ref="S115:AU115" si="81">S$8</f>
        <v>2015</v>
      </c>
      <c r="T115" s="325">
        <f t="shared" si="81"/>
        <v>2016</v>
      </c>
      <c r="U115" s="325">
        <f t="shared" si="81"/>
        <v>2017</v>
      </c>
      <c r="V115" s="325">
        <f t="shared" si="81"/>
        <v>2018</v>
      </c>
      <c r="W115" s="325">
        <f t="shared" si="81"/>
        <v>2019</v>
      </c>
      <c r="X115" s="325">
        <f t="shared" si="81"/>
        <v>2020</v>
      </c>
      <c r="Y115" s="325">
        <f t="shared" si="81"/>
        <v>2021</v>
      </c>
      <c r="Z115" s="325">
        <f t="shared" si="81"/>
        <v>2022</v>
      </c>
      <c r="AA115" s="325">
        <f t="shared" si="81"/>
        <v>2023</v>
      </c>
      <c r="AB115" s="325">
        <f t="shared" si="81"/>
        <v>2024</v>
      </c>
      <c r="AC115" s="325">
        <f t="shared" si="81"/>
        <v>2025</v>
      </c>
      <c r="AD115" s="325">
        <f t="shared" si="81"/>
        <v>2026</v>
      </c>
      <c r="AE115" s="325">
        <f t="shared" si="81"/>
        <v>2027</v>
      </c>
      <c r="AF115" s="325">
        <f t="shared" si="81"/>
        <v>2028</v>
      </c>
      <c r="AG115" s="325">
        <f t="shared" si="81"/>
        <v>2029</v>
      </c>
      <c r="AH115" s="325">
        <f t="shared" si="81"/>
        <v>2030</v>
      </c>
      <c r="AI115" s="325">
        <f t="shared" si="81"/>
        <v>2031</v>
      </c>
      <c r="AJ115" s="325">
        <f t="shared" si="81"/>
        <v>2032</v>
      </c>
      <c r="AK115" s="325">
        <f t="shared" si="81"/>
        <v>2033</v>
      </c>
      <c r="AL115" s="325">
        <f t="shared" si="81"/>
        <v>2034</v>
      </c>
      <c r="AM115" s="325">
        <f t="shared" si="81"/>
        <v>2035</v>
      </c>
      <c r="AN115" s="325">
        <f t="shared" si="81"/>
        <v>2036</v>
      </c>
      <c r="AO115" s="325">
        <f t="shared" si="81"/>
        <v>2037</v>
      </c>
      <c r="AP115" s="325">
        <f t="shared" si="81"/>
        <v>2038</v>
      </c>
      <c r="AQ115" s="325">
        <f t="shared" si="81"/>
        <v>2039</v>
      </c>
      <c r="AR115" s="325">
        <f t="shared" si="81"/>
        <v>2040</v>
      </c>
      <c r="AS115" s="325">
        <f t="shared" si="81"/>
        <v>2041</v>
      </c>
      <c r="AT115" s="325">
        <f t="shared" si="81"/>
        <v>2042</v>
      </c>
      <c r="AU115" s="325">
        <f t="shared" si="81"/>
        <v>2043</v>
      </c>
    </row>
    <row r="116" spans="1:47">
      <c r="E116" s="325"/>
      <c r="G116" s="39"/>
      <c r="H116" s="39"/>
      <c r="I116" s="39"/>
      <c r="J116" s="39"/>
      <c r="K116" s="39"/>
    </row>
    <row r="117" spans="1:47">
      <c r="A117" s="38" t="str">
        <f>$J$4&amp;"-"</f>
        <v>4Y-</v>
      </c>
      <c r="B117" s="38" t="s">
        <v>306</v>
      </c>
      <c r="C117" s="38" t="s">
        <v>153</v>
      </c>
      <c r="D117" s="186">
        <f>CapExEsc</f>
        <v>0.03</v>
      </c>
      <c r="E117" s="325"/>
      <c r="G117" s="36" t="s">
        <v>8</v>
      </c>
      <c r="H117" s="39"/>
      <c r="I117" s="39"/>
      <c r="J117" s="70"/>
      <c r="K117" s="39"/>
      <c r="L117" s="43" t="str">
        <f>"["&amp;CostBaseYr&amp;" $]"</f>
        <v>[2013 $]</v>
      </c>
      <c r="N117" s="52">
        <f ca="1">SUMIFS(OFFSET(Assumptions!$I$65,0,MATCH($A117,Configurations,0)-1,COUNT(Assumptions!$A$65:$A$84),1),Assumptions!$E$65:$E$84,$C117)</f>
        <v>963000</v>
      </c>
      <c r="O117" s="52"/>
      <c r="P117" s="322"/>
      <c r="Q117" s="52"/>
      <c r="R117" s="52">
        <f t="shared" ref="R117:AU117" ca="1" si="82">R118*IF($P117=0,$N117,$P117)*(1+$D117)^(R$8-CostBaseYr)</f>
        <v>991890</v>
      </c>
      <c r="S117" s="52">
        <f t="shared" ca="1" si="82"/>
        <v>0</v>
      </c>
      <c r="T117" s="52">
        <f t="shared" ca="1" si="82"/>
        <v>0</v>
      </c>
      <c r="U117" s="52">
        <f t="shared" ca="1" si="82"/>
        <v>0</v>
      </c>
      <c r="V117" s="52">
        <f t="shared" ca="1" si="82"/>
        <v>0</v>
      </c>
      <c r="W117" s="52">
        <f t="shared" ca="1" si="82"/>
        <v>0</v>
      </c>
      <c r="X117" s="52">
        <f t="shared" ca="1" si="82"/>
        <v>0</v>
      </c>
      <c r="Y117" s="52">
        <f t="shared" ca="1" si="82"/>
        <v>0</v>
      </c>
      <c r="Z117" s="52">
        <f t="shared" ca="1" si="82"/>
        <v>0</v>
      </c>
      <c r="AA117" s="52">
        <f t="shared" ca="1" si="82"/>
        <v>0</v>
      </c>
      <c r="AB117" s="52">
        <f t="shared" ca="1" si="82"/>
        <v>0</v>
      </c>
      <c r="AC117" s="52">
        <f t="shared" ca="1" si="82"/>
        <v>0</v>
      </c>
      <c r="AD117" s="52">
        <f t="shared" ca="1" si="82"/>
        <v>0</v>
      </c>
      <c r="AE117" s="52">
        <f t="shared" ca="1" si="82"/>
        <v>0</v>
      </c>
      <c r="AF117" s="52">
        <f t="shared" ca="1" si="82"/>
        <v>0</v>
      </c>
      <c r="AG117" s="52">
        <f t="shared" ca="1" si="82"/>
        <v>0</v>
      </c>
      <c r="AH117" s="52">
        <f t="shared" ca="1" si="82"/>
        <v>0</v>
      </c>
      <c r="AI117" s="52">
        <f t="shared" ca="1" si="82"/>
        <v>0</v>
      </c>
      <c r="AJ117" s="52">
        <f t="shared" ca="1" si="82"/>
        <v>0</v>
      </c>
      <c r="AK117" s="52">
        <f t="shared" ca="1" si="82"/>
        <v>0</v>
      </c>
      <c r="AL117" s="52">
        <f t="shared" ca="1" si="82"/>
        <v>0</v>
      </c>
      <c r="AM117" s="52">
        <f t="shared" ca="1" si="82"/>
        <v>0</v>
      </c>
      <c r="AN117" s="52">
        <f t="shared" ca="1" si="82"/>
        <v>0</v>
      </c>
      <c r="AO117" s="52">
        <f t="shared" ca="1" si="82"/>
        <v>0</v>
      </c>
      <c r="AP117" s="52">
        <f t="shared" ca="1" si="82"/>
        <v>0</v>
      </c>
      <c r="AQ117" s="52">
        <f t="shared" ca="1" si="82"/>
        <v>0</v>
      </c>
      <c r="AR117" s="52">
        <f t="shared" ca="1" si="82"/>
        <v>0</v>
      </c>
      <c r="AS117" s="52">
        <f t="shared" ca="1" si="82"/>
        <v>0</v>
      </c>
      <c r="AT117" s="52">
        <f t="shared" ca="1" si="82"/>
        <v>0</v>
      </c>
      <c r="AU117" s="52">
        <f t="shared" ca="1" si="82"/>
        <v>0</v>
      </c>
    </row>
    <row r="118" spans="1:47">
      <c r="E118" s="325"/>
      <c r="G118" s="36" t="s">
        <v>10</v>
      </c>
      <c r="H118" s="39"/>
      <c r="I118" s="39"/>
      <c r="J118" s="39"/>
      <c r="K118" s="39"/>
      <c r="L118" s="43"/>
      <c r="R118" s="54">
        <f>Assumptions!M$60</f>
        <v>1</v>
      </c>
      <c r="S118" s="54">
        <f>Assumptions!N$60</f>
        <v>0</v>
      </c>
      <c r="T118" s="54">
        <f>Assumptions!O$60</f>
        <v>0</v>
      </c>
      <c r="U118" s="54">
        <f>Assumptions!P$60</f>
        <v>0</v>
      </c>
      <c r="V118" s="54">
        <f>Assumptions!Q$60</f>
        <v>0</v>
      </c>
      <c r="W118" s="54">
        <f>Assumptions!R$60</f>
        <v>0</v>
      </c>
      <c r="X118" s="54">
        <f>Assumptions!S$60</f>
        <v>0</v>
      </c>
      <c r="Y118" s="54">
        <f>Assumptions!T$60</f>
        <v>0</v>
      </c>
      <c r="Z118" s="54">
        <f>Assumptions!U$60</f>
        <v>0</v>
      </c>
      <c r="AA118" s="54">
        <f>Assumptions!V$60</f>
        <v>0</v>
      </c>
      <c r="AB118" s="54">
        <f>Assumptions!W$60</f>
        <v>0</v>
      </c>
      <c r="AC118" s="54">
        <f>Assumptions!X$60</f>
        <v>0</v>
      </c>
      <c r="AD118" s="54">
        <f>Assumptions!Y$60</f>
        <v>0</v>
      </c>
      <c r="AE118" s="54">
        <f>Assumptions!Z$60</f>
        <v>0</v>
      </c>
      <c r="AF118" s="54">
        <f>Assumptions!AA$60</f>
        <v>0</v>
      </c>
      <c r="AG118" s="54">
        <f>Assumptions!AB$60</f>
        <v>0</v>
      </c>
      <c r="AH118" s="54">
        <f>Assumptions!AC$60</f>
        <v>0</v>
      </c>
      <c r="AI118" s="54">
        <f>Assumptions!AD$60</f>
        <v>0</v>
      </c>
      <c r="AJ118" s="54">
        <f>Assumptions!AE$60</f>
        <v>0</v>
      </c>
      <c r="AK118" s="54">
        <f>Assumptions!AF$60</f>
        <v>0</v>
      </c>
      <c r="AL118" s="54">
        <f>Assumptions!AG$60</f>
        <v>0</v>
      </c>
      <c r="AM118" s="54">
        <f>Assumptions!AH$60</f>
        <v>0</v>
      </c>
      <c r="AN118" s="54">
        <f>Assumptions!AI$60</f>
        <v>0</v>
      </c>
      <c r="AO118" s="54">
        <f>Assumptions!AJ$60</f>
        <v>0</v>
      </c>
      <c r="AP118" s="54">
        <f>Assumptions!AK$60</f>
        <v>0</v>
      </c>
      <c r="AQ118" s="54">
        <f>Assumptions!AL$60</f>
        <v>0</v>
      </c>
      <c r="AR118" s="54">
        <f>Assumptions!AM$60</f>
        <v>0</v>
      </c>
      <c r="AS118" s="54">
        <f>Assumptions!AN$60</f>
        <v>0</v>
      </c>
      <c r="AT118" s="54">
        <f>Assumptions!AO$60</f>
        <v>0</v>
      </c>
      <c r="AU118" s="54">
        <f>Assumptions!AP$60</f>
        <v>0</v>
      </c>
    </row>
    <row r="119" spans="1:47">
      <c r="E119" s="326"/>
      <c r="G119" s="39"/>
      <c r="H119" s="39"/>
      <c r="I119" s="39"/>
      <c r="J119" s="39"/>
      <c r="K119" s="39"/>
    </row>
    <row r="120" spans="1:47" s="255" customFormat="1">
      <c r="E120" s="327"/>
      <c r="F120" s="28"/>
      <c r="G120" s="324" t="str">
        <f>C117&amp;" O&amp;M"</f>
        <v>Ash Conveyance &amp; Storage O&amp;M</v>
      </c>
      <c r="H120" s="324"/>
      <c r="I120" s="324"/>
      <c r="J120" s="324"/>
      <c r="K120" s="324"/>
      <c r="L120" s="405" t="s">
        <v>79</v>
      </c>
      <c r="M120" s="256"/>
      <c r="N120" s="325" t="s">
        <v>490</v>
      </c>
      <c r="O120" s="311"/>
      <c r="P120" s="325" t="s">
        <v>491</v>
      </c>
      <c r="Q120" s="310"/>
      <c r="R120" s="325">
        <f>R$8</f>
        <v>2014</v>
      </c>
      <c r="S120" s="325">
        <f t="shared" ref="S120:AU120" si="83">S$8</f>
        <v>2015</v>
      </c>
      <c r="T120" s="325">
        <f t="shared" si="83"/>
        <v>2016</v>
      </c>
      <c r="U120" s="325">
        <f t="shared" si="83"/>
        <v>2017</v>
      </c>
      <c r="V120" s="325">
        <f t="shared" si="83"/>
        <v>2018</v>
      </c>
      <c r="W120" s="325">
        <f t="shared" si="83"/>
        <v>2019</v>
      </c>
      <c r="X120" s="325">
        <f t="shared" si="83"/>
        <v>2020</v>
      </c>
      <c r="Y120" s="325">
        <f t="shared" si="83"/>
        <v>2021</v>
      </c>
      <c r="Z120" s="325">
        <f t="shared" si="83"/>
        <v>2022</v>
      </c>
      <c r="AA120" s="325">
        <f t="shared" si="83"/>
        <v>2023</v>
      </c>
      <c r="AB120" s="325">
        <f t="shared" si="83"/>
        <v>2024</v>
      </c>
      <c r="AC120" s="325">
        <f t="shared" si="83"/>
        <v>2025</v>
      </c>
      <c r="AD120" s="325">
        <f t="shared" si="83"/>
        <v>2026</v>
      </c>
      <c r="AE120" s="325">
        <f t="shared" si="83"/>
        <v>2027</v>
      </c>
      <c r="AF120" s="325">
        <f t="shared" si="83"/>
        <v>2028</v>
      </c>
      <c r="AG120" s="325">
        <f t="shared" si="83"/>
        <v>2029</v>
      </c>
      <c r="AH120" s="325">
        <f t="shared" si="83"/>
        <v>2030</v>
      </c>
      <c r="AI120" s="325">
        <f t="shared" si="83"/>
        <v>2031</v>
      </c>
      <c r="AJ120" s="325">
        <f t="shared" si="83"/>
        <v>2032</v>
      </c>
      <c r="AK120" s="325">
        <f t="shared" si="83"/>
        <v>2033</v>
      </c>
      <c r="AL120" s="325">
        <f t="shared" si="83"/>
        <v>2034</v>
      </c>
      <c r="AM120" s="325">
        <f t="shared" si="83"/>
        <v>2035</v>
      </c>
      <c r="AN120" s="325">
        <f t="shared" si="83"/>
        <v>2036</v>
      </c>
      <c r="AO120" s="325">
        <f t="shared" si="83"/>
        <v>2037</v>
      </c>
      <c r="AP120" s="325">
        <f t="shared" si="83"/>
        <v>2038</v>
      </c>
      <c r="AQ120" s="325">
        <f t="shared" si="83"/>
        <v>2039</v>
      </c>
      <c r="AR120" s="325">
        <f t="shared" si="83"/>
        <v>2040</v>
      </c>
      <c r="AS120" s="325">
        <f t="shared" si="83"/>
        <v>2041</v>
      </c>
      <c r="AT120" s="325">
        <f t="shared" si="83"/>
        <v>2042</v>
      </c>
      <c r="AU120" s="325">
        <f t="shared" si="83"/>
        <v>2043</v>
      </c>
    </row>
    <row r="121" spans="1:47">
      <c r="E121" s="325"/>
      <c r="G121" s="39"/>
      <c r="H121" s="39"/>
      <c r="I121" s="39"/>
      <c r="J121" s="39"/>
      <c r="K121" s="39"/>
    </row>
    <row r="122" spans="1:47">
      <c r="E122" s="325"/>
      <c r="G122" s="39" t="s">
        <v>23</v>
      </c>
      <c r="H122" s="39"/>
      <c r="I122" s="39"/>
      <c r="J122" s="39"/>
      <c r="K122" s="39"/>
    </row>
    <row r="123" spans="1:47">
      <c r="A123" s="38" t="str">
        <f t="shared" ref="A123:A130" si="84">$J$4&amp;"-"</f>
        <v>4Y-</v>
      </c>
      <c r="B123" s="38" t="s">
        <v>262</v>
      </c>
      <c r="C123" s="38" t="str">
        <f>C117</f>
        <v>Ash Conveyance &amp; Storage</v>
      </c>
      <c r="D123" s="186">
        <f>LaborEsc</f>
        <v>0.02</v>
      </c>
      <c r="E123" s="325"/>
      <c r="G123" s="36" t="s">
        <v>125</v>
      </c>
      <c r="I123" s="39"/>
      <c r="K123" s="39"/>
      <c r="L123" s="43" t="s">
        <v>266</v>
      </c>
      <c r="N123" s="70">
        <f ca="1">SUMIFS(OFFSET(Assumptions!$I$90,0,MATCH($A123,Configurations,0)-1,COUNT(Assumptions!$A$90:$A$183),1),Assumptions!$D$90:$D$183,$B123&amp;$C123)</f>
        <v>0</v>
      </c>
      <c r="O123" s="313"/>
      <c r="P123" s="323"/>
      <c r="Q123" s="313"/>
      <c r="R123" s="50">
        <f t="shared" ref="R123:AU123" ca="1" si="85">IF(OR(R$99&lt;InServiceYr,R$99&gt;(InServiceYr+analysis_period-1)),0,IF($P123=0,$N123,$P123)*LaborCost*(1+$D123)^(R$99-CostBaseYr))</f>
        <v>0</v>
      </c>
      <c r="S123" s="50">
        <f t="shared" ca="1" si="85"/>
        <v>0</v>
      </c>
      <c r="T123" s="50">
        <f t="shared" ca="1" si="85"/>
        <v>0</v>
      </c>
      <c r="U123" s="50">
        <f t="shared" ca="1" si="85"/>
        <v>0</v>
      </c>
      <c r="V123" s="50">
        <f t="shared" ca="1" si="85"/>
        <v>0</v>
      </c>
      <c r="W123" s="50">
        <f t="shared" ca="1" si="85"/>
        <v>0</v>
      </c>
      <c r="X123" s="50">
        <f t="shared" ca="1" si="85"/>
        <v>0</v>
      </c>
      <c r="Y123" s="50">
        <f t="shared" ca="1" si="85"/>
        <v>0</v>
      </c>
      <c r="Z123" s="50">
        <f t="shared" ca="1" si="85"/>
        <v>0</v>
      </c>
      <c r="AA123" s="50">
        <f t="shared" ca="1" si="85"/>
        <v>0</v>
      </c>
      <c r="AB123" s="50">
        <f t="shared" ca="1" si="85"/>
        <v>0</v>
      </c>
      <c r="AC123" s="50">
        <f t="shared" ca="1" si="85"/>
        <v>0</v>
      </c>
      <c r="AD123" s="50">
        <f t="shared" ca="1" si="85"/>
        <v>0</v>
      </c>
      <c r="AE123" s="50">
        <f t="shared" ca="1" si="85"/>
        <v>0</v>
      </c>
      <c r="AF123" s="50">
        <f t="shared" ca="1" si="85"/>
        <v>0</v>
      </c>
      <c r="AG123" s="50">
        <f t="shared" ca="1" si="85"/>
        <v>0</v>
      </c>
      <c r="AH123" s="50">
        <f t="shared" ca="1" si="85"/>
        <v>0</v>
      </c>
      <c r="AI123" s="50">
        <f t="shared" ca="1" si="85"/>
        <v>0</v>
      </c>
      <c r="AJ123" s="50">
        <f t="shared" ca="1" si="85"/>
        <v>0</v>
      </c>
      <c r="AK123" s="50">
        <f t="shared" ca="1" si="85"/>
        <v>0</v>
      </c>
      <c r="AL123" s="50">
        <f t="shared" si="85"/>
        <v>0</v>
      </c>
      <c r="AM123" s="50">
        <f t="shared" si="85"/>
        <v>0</v>
      </c>
      <c r="AN123" s="50">
        <f t="shared" si="85"/>
        <v>0</v>
      </c>
      <c r="AO123" s="50">
        <f t="shared" si="85"/>
        <v>0</v>
      </c>
      <c r="AP123" s="50">
        <f t="shared" si="85"/>
        <v>0</v>
      </c>
      <c r="AQ123" s="50">
        <f t="shared" si="85"/>
        <v>0</v>
      </c>
      <c r="AR123" s="50">
        <f t="shared" si="85"/>
        <v>0</v>
      </c>
      <c r="AS123" s="50">
        <f t="shared" si="85"/>
        <v>0</v>
      </c>
      <c r="AT123" s="50">
        <f t="shared" si="85"/>
        <v>0</v>
      </c>
      <c r="AU123" s="50">
        <f t="shared" si="85"/>
        <v>0</v>
      </c>
    </row>
    <row r="124" spans="1:47">
      <c r="A124" s="38" t="str">
        <f t="shared" si="84"/>
        <v>4Y-</v>
      </c>
      <c r="B124" s="38" t="s">
        <v>270</v>
      </c>
      <c r="C124" s="38" t="str">
        <f>C123</f>
        <v>Ash Conveyance &amp; Storage</v>
      </c>
      <c r="D124" s="186">
        <f>OMEsc</f>
        <v>0.02</v>
      </c>
      <c r="E124" s="325"/>
      <c r="G124" s="36" t="s">
        <v>126</v>
      </c>
      <c r="I124" s="39"/>
      <c r="K124" s="39"/>
      <c r="L124" s="43" t="str">
        <f>"["&amp;CostBaseYr&amp;" $]"</f>
        <v>[2013 $]</v>
      </c>
      <c r="N124" s="70">
        <f ca="1">SUMIFS(OFFSET(Assumptions!$I$90,0,MATCH($A124,Configurations,0)-1,COUNT(Assumptions!$A$90:$A$183),1),Assumptions!$D$90:$D$183,$B124&amp;$C124)</f>
        <v>0</v>
      </c>
      <c r="O124" s="313"/>
      <c r="P124" s="323"/>
      <c r="Q124" s="313"/>
      <c r="R124" s="50">
        <f t="shared" ref="R124:AG126" ca="1" si="86">IF(OR(R$99&lt;InServiceYr,R$99&gt;(InServiceYr+analysis_period-1)),0,IF($P124=0,$N124,$P124)*(1+$D124)^(R$99-CostBaseYr))</f>
        <v>0</v>
      </c>
      <c r="S124" s="50">
        <f t="shared" ca="1" si="86"/>
        <v>0</v>
      </c>
      <c r="T124" s="50">
        <f t="shared" ca="1" si="86"/>
        <v>0</v>
      </c>
      <c r="U124" s="50">
        <f t="shared" ca="1" si="86"/>
        <v>0</v>
      </c>
      <c r="V124" s="50">
        <f t="shared" ca="1" si="86"/>
        <v>0</v>
      </c>
      <c r="W124" s="50">
        <f t="shared" ca="1" si="86"/>
        <v>0</v>
      </c>
      <c r="X124" s="50">
        <f t="shared" ca="1" si="86"/>
        <v>0</v>
      </c>
      <c r="Y124" s="50">
        <f t="shared" ca="1" si="86"/>
        <v>0</v>
      </c>
      <c r="Z124" s="50">
        <f t="shared" ca="1" si="86"/>
        <v>0</v>
      </c>
      <c r="AA124" s="50">
        <f t="shared" ca="1" si="86"/>
        <v>0</v>
      </c>
      <c r="AB124" s="50">
        <f t="shared" ca="1" si="86"/>
        <v>0</v>
      </c>
      <c r="AC124" s="50">
        <f t="shared" ca="1" si="86"/>
        <v>0</v>
      </c>
      <c r="AD124" s="50">
        <f t="shared" ca="1" si="86"/>
        <v>0</v>
      </c>
      <c r="AE124" s="50">
        <f t="shared" ca="1" si="86"/>
        <v>0</v>
      </c>
      <c r="AF124" s="50">
        <f t="shared" ca="1" si="86"/>
        <v>0</v>
      </c>
      <c r="AG124" s="50">
        <f t="shared" ca="1" si="86"/>
        <v>0</v>
      </c>
      <c r="AH124" s="50">
        <f t="shared" ref="S124:AU126" ca="1" si="87">IF(OR(AH$99&lt;InServiceYr,AH$99&gt;(InServiceYr+analysis_period-1)),0,IF($P124=0,$N124,$P124)*(1+$D124)^(AH$99-CostBaseYr))</f>
        <v>0</v>
      </c>
      <c r="AI124" s="50">
        <f t="shared" ca="1" si="87"/>
        <v>0</v>
      </c>
      <c r="AJ124" s="50">
        <f t="shared" ca="1" si="87"/>
        <v>0</v>
      </c>
      <c r="AK124" s="50">
        <f t="shared" ca="1" si="87"/>
        <v>0</v>
      </c>
      <c r="AL124" s="50">
        <f t="shared" si="87"/>
        <v>0</v>
      </c>
      <c r="AM124" s="50">
        <f t="shared" si="87"/>
        <v>0</v>
      </c>
      <c r="AN124" s="50">
        <f t="shared" si="87"/>
        <v>0</v>
      </c>
      <c r="AO124" s="50">
        <f t="shared" si="87"/>
        <v>0</v>
      </c>
      <c r="AP124" s="50">
        <f t="shared" si="87"/>
        <v>0</v>
      </c>
      <c r="AQ124" s="50">
        <f t="shared" si="87"/>
        <v>0</v>
      </c>
      <c r="AR124" s="50">
        <f t="shared" si="87"/>
        <v>0</v>
      </c>
      <c r="AS124" s="50">
        <f t="shared" si="87"/>
        <v>0</v>
      </c>
      <c r="AT124" s="50">
        <f t="shared" si="87"/>
        <v>0</v>
      </c>
      <c r="AU124" s="50">
        <f t="shared" si="87"/>
        <v>0</v>
      </c>
    </row>
    <row r="125" spans="1:47">
      <c r="A125" s="38" t="str">
        <f t="shared" si="84"/>
        <v>4Y-</v>
      </c>
      <c r="B125" s="38" t="s">
        <v>263</v>
      </c>
      <c r="C125" s="38" t="str">
        <f t="shared" ref="C125:C129" si="88">C124</f>
        <v>Ash Conveyance &amp; Storage</v>
      </c>
      <c r="D125" s="186">
        <f>OMEsc</f>
        <v>0.02</v>
      </c>
      <c r="E125" s="325"/>
      <c r="G125" s="36" t="s">
        <v>127</v>
      </c>
      <c r="I125" s="39"/>
      <c r="K125" s="39"/>
      <c r="L125" s="43" t="str">
        <f>"["&amp;CostBaseYr&amp;" $]"</f>
        <v>[2013 $]</v>
      </c>
      <c r="N125" s="70">
        <f ca="1">SUMIFS(OFFSET(Assumptions!$I$90,0,MATCH($A125,Configurations,0)-1,COUNT(Assumptions!$A$90:$A$183),1),Assumptions!$D$90:$D$183,$B125&amp;$C125)</f>
        <v>0</v>
      </c>
      <c r="O125" s="313"/>
      <c r="P125" s="323"/>
      <c r="Q125" s="313"/>
      <c r="R125" s="50">
        <f t="shared" ca="1" si="86"/>
        <v>0</v>
      </c>
      <c r="S125" s="50">
        <f t="shared" ca="1" si="87"/>
        <v>0</v>
      </c>
      <c r="T125" s="50">
        <f t="shared" ca="1" si="87"/>
        <v>0</v>
      </c>
      <c r="U125" s="50">
        <f t="shared" ca="1" si="87"/>
        <v>0</v>
      </c>
      <c r="V125" s="50">
        <f t="shared" ca="1" si="87"/>
        <v>0</v>
      </c>
      <c r="W125" s="50">
        <f t="shared" ca="1" si="87"/>
        <v>0</v>
      </c>
      <c r="X125" s="50">
        <f t="shared" ca="1" si="87"/>
        <v>0</v>
      </c>
      <c r="Y125" s="50">
        <f t="shared" ca="1" si="87"/>
        <v>0</v>
      </c>
      <c r="Z125" s="50">
        <f t="shared" ca="1" si="87"/>
        <v>0</v>
      </c>
      <c r="AA125" s="50">
        <f t="shared" ca="1" si="87"/>
        <v>0</v>
      </c>
      <c r="AB125" s="50">
        <f t="shared" ca="1" si="87"/>
        <v>0</v>
      </c>
      <c r="AC125" s="50">
        <f t="shared" ca="1" si="87"/>
        <v>0</v>
      </c>
      <c r="AD125" s="50">
        <f t="shared" ca="1" si="87"/>
        <v>0</v>
      </c>
      <c r="AE125" s="50">
        <f t="shared" ca="1" si="87"/>
        <v>0</v>
      </c>
      <c r="AF125" s="50">
        <f t="shared" ca="1" si="87"/>
        <v>0</v>
      </c>
      <c r="AG125" s="50">
        <f t="shared" ca="1" si="87"/>
        <v>0</v>
      </c>
      <c r="AH125" s="50">
        <f t="shared" ca="1" si="87"/>
        <v>0</v>
      </c>
      <c r="AI125" s="50">
        <f t="shared" ca="1" si="87"/>
        <v>0</v>
      </c>
      <c r="AJ125" s="50">
        <f t="shared" ca="1" si="87"/>
        <v>0</v>
      </c>
      <c r="AK125" s="50">
        <f t="shared" ca="1" si="87"/>
        <v>0</v>
      </c>
      <c r="AL125" s="50">
        <f t="shared" si="87"/>
        <v>0</v>
      </c>
      <c r="AM125" s="50">
        <f t="shared" si="87"/>
        <v>0</v>
      </c>
      <c r="AN125" s="50">
        <f t="shared" si="87"/>
        <v>0</v>
      </c>
      <c r="AO125" s="50">
        <f t="shared" si="87"/>
        <v>0</v>
      </c>
      <c r="AP125" s="50">
        <f t="shared" si="87"/>
        <v>0</v>
      </c>
      <c r="AQ125" s="50">
        <f t="shared" si="87"/>
        <v>0</v>
      </c>
      <c r="AR125" s="50">
        <f t="shared" si="87"/>
        <v>0</v>
      </c>
      <c r="AS125" s="50">
        <f t="shared" si="87"/>
        <v>0</v>
      </c>
      <c r="AT125" s="50">
        <f t="shared" si="87"/>
        <v>0</v>
      </c>
      <c r="AU125" s="50">
        <f t="shared" si="87"/>
        <v>0</v>
      </c>
    </row>
    <row r="126" spans="1:47">
      <c r="A126" s="38" t="str">
        <f t="shared" si="84"/>
        <v>4Y-</v>
      </c>
      <c r="B126" s="38" t="s">
        <v>277</v>
      </c>
      <c r="C126" s="38" t="str">
        <f t="shared" si="88"/>
        <v>Ash Conveyance &amp; Storage</v>
      </c>
      <c r="D126" s="186">
        <f>OMEsc</f>
        <v>0.02</v>
      </c>
      <c r="E126" s="325"/>
      <c r="G126" s="36" t="s">
        <v>276</v>
      </c>
      <c r="I126" s="39"/>
      <c r="K126" s="39"/>
      <c r="L126" s="43" t="str">
        <f>"["&amp;CostBaseYr&amp;" $]"</f>
        <v>[2013 $]</v>
      </c>
      <c r="N126" s="70">
        <f ca="1">SUMIFS(OFFSET(Assumptions!$I$90,0,MATCH($A126,Configurations,0)-1,COUNT(Assumptions!$A$90:$A$183),1),Assumptions!$D$90:$D$183,$B126&amp;$C126)</f>
        <v>122000</v>
      </c>
      <c r="O126" s="313"/>
      <c r="P126" s="323"/>
      <c r="Q126" s="313"/>
      <c r="R126" s="50">
        <f t="shared" ca="1" si="86"/>
        <v>124440</v>
      </c>
      <c r="S126" s="50">
        <f t="shared" ca="1" si="87"/>
        <v>126928.8</v>
      </c>
      <c r="T126" s="50">
        <f t="shared" ca="1" si="87"/>
        <v>129467.37599999999</v>
      </c>
      <c r="U126" s="50">
        <f t="shared" ca="1" si="87"/>
        <v>132056.72352</v>
      </c>
      <c r="V126" s="50">
        <f t="shared" ca="1" si="87"/>
        <v>134697.85799039999</v>
      </c>
      <c r="W126" s="50">
        <f t="shared" ca="1" si="87"/>
        <v>137391.81515020801</v>
      </c>
      <c r="X126" s="50">
        <f t="shared" ca="1" si="87"/>
        <v>140139.65145321214</v>
      </c>
      <c r="Y126" s="50">
        <f t="shared" ca="1" si="87"/>
        <v>142942.44448227639</v>
      </c>
      <c r="Z126" s="50">
        <f t="shared" ca="1" si="87"/>
        <v>145801.29337192193</v>
      </c>
      <c r="AA126" s="50">
        <f t="shared" ca="1" si="87"/>
        <v>148717.31923936037</v>
      </c>
      <c r="AB126" s="50">
        <f t="shared" ca="1" si="87"/>
        <v>151691.66562414754</v>
      </c>
      <c r="AC126" s="50">
        <f t="shared" ca="1" si="87"/>
        <v>154725.49893663052</v>
      </c>
      <c r="AD126" s="50">
        <f t="shared" ca="1" si="87"/>
        <v>157820.00891536311</v>
      </c>
      <c r="AE126" s="50">
        <f t="shared" ca="1" si="87"/>
        <v>160976.4090936704</v>
      </c>
      <c r="AF126" s="50">
        <f t="shared" ca="1" si="87"/>
        <v>164195.93727554375</v>
      </c>
      <c r="AG126" s="50">
        <f t="shared" ca="1" si="87"/>
        <v>167479.85602105467</v>
      </c>
      <c r="AH126" s="50">
        <f t="shared" ca="1" si="87"/>
        <v>170829.45314147577</v>
      </c>
      <c r="AI126" s="50">
        <f t="shared" ca="1" si="87"/>
        <v>174246.04220430527</v>
      </c>
      <c r="AJ126" s="50">
        <f t="shared" ca="1" si="87"/>
        <v>177730.96304839136</v>
      </c>
      <c r="AK126" s="50">
        <f t="shared" ca="1" si="87"/>
        <v>181285.58230935922</v>
      </c>
      <c r="AL126" s="50">
        <f t="shared" si="87"/>
        <v>0</v>
      </c>
      <c r="AM126" s="50">
        <f t="shared" si="87"/>
        <v>0</v>
      </c>
      <c r="AN126" s="50">
        <f t="shared" si="87"/>
        <v>0</v>
      </c>
      <c r="AO126" s="50">
        <f t="shared" si="87"/>
        <v>0</v>
      </c>
      <c r="AP126" s="50">
        <f t="shared" si="87"/>
        <v>0</v>
      </c>
      <c r="AQ126" s="50">
        <f t="shared" si="87"/>
        <v>0</v>
      </c>
      <c r="AR126" s="50">
        <f t="shared" si="87"/>
        <v>0</v>
      </c>
      <c r="AS126" s="50">
        <f t="shared" si="87"/>
        <v>0</v>
      </c>
      <c r="AT126" s="50">
        <f t="shared" si="87"/>
        <v>0</v>
      </c>
      <c r="AU126" s="50">
        <f t="shared" si="87"/>
        <v>0</v>
      </c>
    </row>
    <row r="127" spans="1:47">
      <c r="A127" s="38" t="str">
        <f t="shared" si="84"/>
        <v>4Y-</v>
      </c>
      <c r="B127" s="38" t="s">
        <v>274</v>
      </c>
      <c r="C127" s="38" t="str">
        <f t="shared" si="88"/>
        <v>Ash Conveyance &amp; Storage</v>
      </c>
      <c r="D127" s="186"/>
      <c r="E127" s="325"/>
      <c r="G127" s="36" t="s">
        <v>16</v>
      </c>
      <c r="I127" s="39"/>
      <c r="K127" s="39"/>
      <c r="L127" s="43" t="s">
        <v>275</v>
      </c>
      <c r="N127" s="70">
        <f ca="1">SUMIFS(OFFSET(Assumptions!$I$90,0,MATCH($A127,Configurations,0)-1,COUNT(Assumptions!$A$90:$A$183),1),Assumptions!$D$90:$D$183,$B127&amp;$C127)</f>
        <v>0</v>
      </c>
      <c r="O127" s="313"/>
      <c r="P127" s="323"/>
      <c r="Q127" s="313"/>
      <c r="R127" s="50">
        <f t="shared" ref="R127:AU127" ca="1" si="89">IF(OR(R$99&lt;InServiceYr,R$99&gt;(InServiceYr+analysis_period-1)),0,IF($P127=0,$N127,$P127)*R$505)</f>
        <v>0</v>
      </c>
      <c r="S127" s="50">
        <f t="shared" ca="1" si="89"/>
        <v>0</v>
      </c>
      <c r="T127" s="50">
        <f t="shared" ca="1" si="89"/>
        <v>0</v>
      </c>
      <c r="U127" s="50">
        <f t="shared" ca="1" si="89"/>
        <v>0</v>
      </c>
      <c r="V127" s="50">
        <f t="shared" ca="1" si="89"/>
        <v>0</v>
      </c>
      <c r="W127" s="50">
        <f t="shared" ca="1" si="89"/>
        <v>0</v>
      </c>
      <c r="X127" s="50">
        <f t="shared" ca="1" si="89"/>
        <v>0</v>
      </c>
      <c r="Y127" s="50">
        <f t="shared" ca="1" si="89"/>
        <v>0</v>
      </c>
      <c r="Z127" s="50">
        <f t="shared" ca="1" si="89"/>
        <v>0</v>
      </c>
      <c r="AA127" s="50">
        <f t="shared" ca="1" si="89"/>
        <v>0</v>
      </c>
      <c r="AB127" s="50">
        <f t="shared" ca="1" si="89"/>
        <v>0</v>
      </c>
      <c r="AC127" s="50">
        <f t="shared" ca="1" si="89"/>
        <v>0</v>
      </c>
      <c r="AD127" s="50">
        <f t="shared" ca="1" si="89"/>
        <v>0</v>
      </c>
      <c r="AE127" s="50">
        <f t="shared" ca="1" si="89"/>
        <v>0</v>
      </c>
      <c r="AF127" s="50">
        <f t="shared" ca="1" si="89"/>
        <v>0</v>
      </c>
      <c r="AG127" s="50">
        <f t="shared" ca="1" si="89"/>
        <v>0</v>
      </c>
      <c r="AH127" s="50">
        <f t="shared" ca="1" si="89"/>
        <v>0</v>
      </c>
      <c r="AI127" s="50">
        <f t="shared" ca="1" si="89"/>
        <v>0</v>
      </c>
      <c r="AJ127" s="50">
        <f t="shared" ca="1" si="89"/>
        <v>0</v>
      </c>
      <c r="AK127" s="50">
        <f t="shared" ca="1" si="89"/>
        <v>0</v>
      </c>
      <c r="AL127" s="50">
        <f t="shared" si="89"/>
        <v>0</v>
      </c>
      <c r="AM127" s="50">
        <f t="shared" si="89"/>
        <v>0</v>
      </c>
      <c r="AN127" s="50">
        <f t="shared" si="89"/>
        <v>0</v>
      </c>
      <c r="AO127" s="50">
        <f t="shared" si="89"/>
        <v>0</v>
      </c>
      <c r="AP127" s="50">
        <f t="shared" si="89"/>
        <v>0</v>
      </c>
      <c r="AQ127" s="50">
        <f t="shared" si="89"/>
        <v>0</v>
      </c>
      <c r="AR127" s="50">
        <f t="shared" si="89"/>
        <v>0</v>
      </c>
      <c r="AS127" s="50">
        <f t="shared" si="89"/>
        <v>0</v>
      </c>
      <c r="AT127" s="50">
        <f t="shared" si="89"/>
        <v>0</v>
      </c>
      <c r="AU127" s="50">
        <f t="shared" si="89"/>
        <v>0</v>
      </c>
    </row>
    <row r="128" spans="1:47">
      <c r="A128" s="38" t="str">
        <f t="shared" si="84"/>
        <v>4Y-</v>
      </c>
      <c r="B128" s="38" t="s">
        <v>257</v>
      </c>
      <c r="C128" s="38" t="str">
        <f t="shared" si="88"/>
        <v>Ash Conveyance &amp; Storage</v>
      </c>
      <c r="D128" s="186"/>
      <c r="E128" s="325"/>
      <c r="G128" s="36" t="s">
        <v>284</v>
      </c>
      <c r="I128" s="39"/>
      <c r="K128" s="39"/>
      <c r="L128" s="43" t="s">
        <v>293</v>
      </c>
      <c r="N128" s="70">
        <f ca="1">SUMIFS(OFFSET(Assumptions!$I$90,0,MATCH($A128,Configurations,0)-1,COUNT(Assumptions!$A$90:$A$183),1),Assumptions!$D$90:$D$183,$B128&amp;$C128)</f>
        <v>0</v>
      </c>
      <c r="O128" s="313"/>
      <c r="P128" s="323"/>
      <c r="Q128" s="313"/>
      <c r="R128" s="50">
        <f t="shared" ref="R128:AU128" ca="1" si="90">IF(OR(R$99&lt;InServiceYr,R$99&gt;(InServiceYr+analysis_period-1)),0,IF($P128=0,$N128,$P128)*R$501)</f>
        <v>0</v>
      </c>
      <c r="S128" s="50">
        <f t="shared" ca="1" si="90"/>
        <v>0</v>
      </c>
      <c r="T128" s="50">
        <f t="shared" ca="1" si="90"/>
        <v>0</v>
      </c>
      <c r="U128" s="50">
        <f t="shared" ca="1" si="90"/>
        <v>0</v>
      </c>
      <c r="V128" s="50">
        <f t="shared" ca="1" si="90"/>
        <v>0</v>
      </c>
      <c r="W128" s="50">
        <f t="shared" ca="1" si="90"/>
        <v>0</v>
      </c>
      <c r="X128" s="50">
        <f t="shared" ca="1" si="90"/>
        <v>0</v>
      </c>
      <c r="Y128" s="50">
        <f t="shared" ca="1" si="90"/>
        <v>0</v>
      </c>
      <c r="Z128" s="50">
        <f t="shared" ca="1" si="90"/>
        <v>0</v>
      </c>
      <c r="AA128" s="50">
        <f t="shared" ca="1" si="90"/>
        <v>0</v>
      </c>
      <c r="AB128" s="50">
        <f t="shared" ca="1" si="90"/>
        <v>0</v>
      </c>
      <c r="AC128" s="50">
        <f t="shared" ca="1" si="90"/>
        <v>0</v>
      </c>
      <c r="AD128" s="50">
        <f t="shared" ca="1" si="90"/>
        <v>0</v>
      </c>
      <c r="AE128" s="50">
        <f t="shared" ca="1" si="90"/>
        <v>0</v>
      </c>
      <c r="AF128" s="50">
        <f t="shared" ca="1" si="90"/>
        <v>0</v>
      </c>
      <c r="AG128" s="50">
        <f t="shared" ca="1" si="90"/>
        <v>0</v>
      </c>
      <c r="AH128" s="50">
        <f t="shared" ca="1" si="90"/>
        <v>0</v>
      </c>
      <c r="AI128" s="50">
        <f t="shared" ca="1" si="90"/>
        <v>0</v>
      </c>
      <c r="AJ128" s="50">
        <f t="shared" ca="1" si="90"/>
        <v>0</v>
      </c>
      <c r="AK128" s="50">
        <f t="shared" ca="1" si="90"/>
        <v>0</v>
      </c>
      <c r="AL128" s="50">
        <f t="shared" si="90"/>
        <v>0</v>
      </c>
      <c r="AM128" s="50">
        <f t="shared" si="90"/>
        <v>0</v>
      </c>
      <c r="AN128" s="50">
        <f t="shared" si="90"/>
        <v>0</v>
      </c>
      <c r="AO128" s="50">
        <f t="shared" si="90"/>
        <v>0</v>
      </c>
      <c r="AP128" s="50">
        <f t="shared" si="90"/>
        <v>0</v>
      </c>
      <c r="AQ128" s="50">
        <f t="shared" si="90"/>
        <v>0</v>
      </c>
      <c r="AR128" s="50">
        <f t="shared" si="90"/>
        <v>0</v>
      </c>
      <c r="AS128" s="50">
        <f t="shared" si="90"/>
        <v>0</v>
      </c>
      <c r="AT128" s="50">
        <f t="shared" si="90"/>
        <v>0</v>
      </c>
      <c r="AU128" s="50">
        <f t="shared" si="90"/>
        <v>0</v>
      </c>
    </row>
    <row r="129" spans="1:47">
      <c r="A129" s="38" t="str">
        <f t="shared" si="84"/>
        <v>4Y-</v>
      </c>
      <c r="B129" s="38" t="s">
        <v>864</v>
      </c>
      <c r="C129" s="38" t="str">
        <f t="shared" si="88"/>
        <v>Ash Conveyance &amp; Storage</v>
      </c>
      <c r="D129" s="186">
        <f>GHGEsc</f>
        <v>0.02</v>
      </c>
      <c r="E129" s="325"/>
      <c r="G129" s="36" t="s">
        <v>865</v>
      </c>
      <c r="I129" s="39"/>
      <c r="K129" s="39"/>
      <c r="L129" s="43" t="s">
        <v>866</v>
      </c>
      <c r="N129" s="70">
        <f ca="1">SUMIFS(OFFSET(Assumptions!$I$90,0,MATCH($A129,Configurations,0)-1,COUNT(Assumptions!$A$90:$A$183),1),Assumptions!$D$90:$D$183,$B129&amp;$C129)</f>
        <v>0</v>
      </c>
      <c r="O129" s="313"/>
      <c r="P129" s="323"/>
      <c r="Q129" s="313"/>
      <c r="R129" s="50">
        <f t="shared" ref="R129:AU129" ca="1" si="91">IF(OR(R$99&lt;InServiceYr,R$99&gt;(InServiceYr+analysis_period-1)),0,IF($P129=0,$N129,$P129)*R$513)</f>
        <v>0</v>
      </c>
      <c r="S129" s="50">
        <f t="shared" ca="1" si="91"/>
        <v>0</v>
      </c>
      <c r="T129" s="50">
        <f t="shared" ca="1" si="91"/>
        <v>0</v>
      </c>
      <c r="U129" s="50">
        <f t="shared" ca="1" si="91"/>
        <v>0</v>
      </c>
      <c r="V129" s="50">
        <f t="shared" ca="1" si="91"/>
        <v>0</v>
      </c>
      <c r="W129" s="50">
        <f t="shared" ca="1" si="91"/>
        <v>0</v>
      </c>
      <c r="X129" s="50">
        <f t="shared" ca="1" si="91"/>
        <v>0</v>
      </c>
      <c r="Y129" s="50">
        <f t="shared" ca="1" si="91"/>
        <v>0</v>
      </c>
      <c r="Z129" s="50">
        <f t="shared" ca="1" si="91"/>
        <v>0</v>
      </c>
      <c r="AA129" s="50">
        <f t="shared" ca="1" si="91"/>
        <v>0</v>
      </c>
      <c r="AB129" s="50">
        <f t="shared" ca="1" si="91"/>
        <v>0</v>
      </c>
      <c r="AC129" s="50">
        <f t="shared" ca="1" si="91"/>
        <v>0</v>
      </c>
      <c r="AD129" s="50">
        <f t="shared" ca="1" si="91"/>
        <v>0</v>
      </c>
      <c r="AE129" s="50">
        <f t="shared" ca="1" si="91"/>
        <v>0</v>
      </c>
      <c r="AF129" s="50">
        <f t="shared" ca="1" si="91"/>
        <v>0</v>
      </c>
      <c r="AG129" s="50">
        <f t="shared" ca="1" si="91"/>
        <v>0</v>
      </c>
      <c r="AH129" s="50">
        <f t="shared" ca="1" si="91"/>
        <v>0</v>
      </c>
      <c r="AI129" s="50">
        <f t="shared" ca="1" si="91"/>
        <v>0</v>
      </c>
      <c r="AJ129" s="50">
        <f t="shared" ca="1" si="91"/>
        <v>0</v>
      </c>
      <c r="AK129" s="50">
        <f t="shared" ca="1" si="91"/>
        <v>0</v>
      </c>
      <c r="AL129" s="50">
        <f t="shared" si="91"/>
        <v>0</v>
      </c>
      <c r="AM129" s="50">
        <f t="shared" si="91"/>
        <v>0</v>
      </c>
      <c r="AN129" s="50">
        <f t="shared" si="91"/>
        <v>0</v>
      </c>
      <c r="AO129" s="50">
        <f t="shared" si="91"/>
        <v>0</v>
      </c>
      <c r="AP129" s="50">
        <f t="shared" si="91"/>
        <v>0</v>
      </c>
      <c r="AQ129" s="50">
        <f t="shared" si="91"/>
        <v>0</v>
      </c>
      <c r="AR129" s="50">
        <f t="shared" si="91"/>
        <v>0</v>
      </c>
      <c r="AS129" s="50">
        <f t="shared" si="91"/>
        <v>0</v>
      </c>
      <c r="AT129" s="50">
        <f t="shared" si="91"/>
        <v>0</v>
      </c>
      <c r="AU129" s="50">
        <f t="shared" si="91"/>
        <v>0</v>
      </c>
    </row>
    <row r="130" spans="1:47">
      <c r="A130" s="38" t="str">
        <f t="shared" si="84"/>
        <v>4Y-</v>
      </c>
      <c r="B130" s="38" t="s">
        <v>273</v>
      </c>
      <c r="C130" s="38" t="str">
        <f>C128</f>
        <v>Ash Conveyance &amp; Storage</v>
      </c>
      <c r="D130" s="186">
        <f>LaborEsc</f>
        <v>0.02</v>
      </c>
      <c r="E130" s="325"/>
      <c r="G130" s="36" t="s">
        <v>291</v>
      </c>
      <c r="I130" s="39"/>
      <c r="K130" s="39"/>
      <c r="L130" s="43" t="str">
        <f>"["&amp;CostBaseYr&amp;" $]"</f>
        <v>[2013 $]</v>
      </c>
      <c r="N130" s="70">
        <f ca="1">SUMIFS(OFFSET(Assumptions!$I$90,0,MATCH($A130,Configurations,0)-1,COUNT(Assumptions!$A$90:$A$183),1),Assumptions!$D$90:$D$183,$B130&amp;$C130)</f>
        <v>0</v>
      </c>
      <c r="O130" s="313"/>
      <c r="P130" s="323"/>
      <c r="Q130" s="313"/>
      <c r="R130" s="50">
        <f t="shared" ref="R130:AU130" ca="1" si="92">IF(OR(R$99&lt;InServiceYr,R$99&gt;(InServiceYr+analysis_period-1)),0,IF($P130=0,$N130,$P130)*(1+$D130)^(R$99-CostBaseYr))*R$509</f>
        <v>0</v>
      </c>
      <c r="S130" s="50">
        <f t="shared" ca="1" si="92"/>
        <v>0</v>
      </c>
      <c r="T130" s="50">
        <f t="shared" ca="1" si="92"/>
        <v>0</v>
      </c>
      <c r="U130" s="50">
        <f t="shared" ca="1" si="92"/>
        <v>0</v>
      </c>
      <c r="V130" s="50">
        <f t="shared" ca="1" si="92"/>
        <v>0</v>
      </c>
      <c r="W130" s="50">
        <f t="shared" ca="1" si="92"/>
        <v>0</v>
      </c>
      <c r="X130" s="50">
        <f t="shared" ca="1" si="92"/>
        <v>0</v>
      </c>
      <c r="Y130" s="50">
        <f t="shared" ca="1" si="92"/>
        <v>0</v>
      </c>
      <c r="Z130" s="50">
        <f t="shared" ca="1" si="92"/>
        <v>0</v>
      </c>
      <c r="AA130" s="50">
        <f t="shared" ca="1" si="92"/>
        <v>0</v>
      </c>
      <c r="AB130" s="50">
        <f t="shared" ca="1" si="92"/>
        <v>0</v>
      </c>
      <c r="AC130" s="50">
        <f t="shared" ca="1" si="92"/>
        <v>0</v>
      </c>
      <c r="AD130" s="50">
        <f t="shared" ca="1" si="92"/>
        <v>0</v>
      </c>
      <c r="AE130" s="50">
        <f t="shared" ca="1" si="92"/>
        <v>0</v>
      </c>
      <c r="AF130" s="50">
        <f t="shared" ca="1" si="92"/>
        <v>0</v>
      </c>
      <c r="AG130" s="50">
        <f t="shared" ca="1" si="92"/>
        <v>0</v>
      </c>
      <c r="AH130" s="50">
        <f t="shared" ca="1" si="92"/>
        <v>0</v>
      </c>
      <c r="AI130" s="50">
        <f t="shared" ca="1" si="92"/>
        <v>0</v>
      </c>
      <c r="AJ130" s="50">
        <f t="shared" ca="1" si="92"/>
        <v>0</v>
      </c>
      <c r="AK130" s="50">
        <f t="shared" ca="1" si="92"/>
        <v>0</v>
      </c>
      <c r="AL130" s="50">
        <f t="shared" si="92"/>
        <v>0</v>
      </c>
      <c r="AM130" s="50">
        <f t="shared" si="92"/>
        <v>0</v>
      </c>
      <c r="AN130" s="50">
        <f t="shared" si="92"/>
        <v>0</v>
      </c>
      <c r="AO130" s="50">
        <f t="shared" si="92"/>
        <v>0</v>
      </c>
      <c r="AP130" s="50">
        <f t="shared" si="92"/>
        <v>0</v>
      </c>
      <c r="AQ130" s="50">
        <f t="shared" si="92"/>
        <v>0</v>
      </c>
      <c r="AR130" s="50">
        <f t="shared" si="92"/>
        <v>0</v>
      </c>
      <c r="AS130" s="50">
        <f t="shared" si="92"/>
        <v>0</v>
      </c>
      <c r="AT130" s="50">
        <f t="shared" si="92"/>
        <v>0</v>
      </c>
      <c r="AU130" s="50">
        <f t="shared" si="92"/>
        <v>0</v>
      </c>
    </row>
    <row r="131" spans="1:47">
      <c r="D131" s="186"/>
      <c r="E131" s="325"/>
      <c r="G131" s="39" t="s">
        <v>304</v>
      </c>
      <c r="I131" s="39"/>
      <c r="K131" s="39"/>
      <c r="L131" s="43"/>
      <c r="N131" s="70"/>
      <c r="O131" s="313"/>
      <c r="P131" s="70"/>
      <c r="Q131" s="313"/>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row>
    <row r="132" spans="1:47">
      <c r="A132" s="38" t="str">
        <f>$J$4&amp;"-"</f>
        <v>4Y-</v>
      </c>
      <c r="B132" s="38" t="s">
        <v>265</v>
      </c>
      <c r="C132" s="38" t="str">
        <f>C123</f>
        <v>Ash Conveyance &amp; Storage</v>
      </c>
      <c r="D132" s="186"/>
      <c r="E132" s="325"/>
      <c r="G132" s="36" t="s">
        <v>108</v>
      </c>
      <c r="I132" s="39"/>
      <c r="K132" s="39"/>
      <c r="L132" s="43" t="s">
        <v>293</v>
      </c>
      <c r="N132" s="70">
        <f ca="1">SUMIFS(OFFSET(Assumptions!$I$90,0,MATCH($A132,Configurations,0)-1,COUNT(Assumptions!$A$90:$A$183),1),Assumptions!$D$90:$D$183,$B132&amp;$C132)</f>
        <v>0</v>
      </c>
      <c r="O132" s="313"/>
      <c r="P132" s="323"/>
      <c r="Q132" s="313"/>
      <c r="R132" s="50">
        <f t="shared" ref="R132:AU132" ca="1" si="93">IF(OR(R$99&lt;InServiceYr,R$99&gt;(InServiceYr+analysis_period-1)),0,IF($P132=0,$N132,$P132)*R$501)</f>
        <v>0</v>
      </c>
      <c r="S132" s="50">
        <f t="shared" ca="1" si="93"/>
        <v>0</v>
      </c>
      <c r="T132" s="50">
        <f t="shared" ca="1" si="93"/>
        <v>0</v>
      </c>
      <c r="U132" s="50">
        <f t="shared" ca="1" si="93"/>
        <v>0</v>
      </c>
      <c r="V132" s="50">
        <f t="shared" ca="1" si="93"/>
        <v>0</v>
      </c>
      <c r="W132" s="50">
        <f t="shared" ca="1" si="93"/>
        <v>0</v>
      </c>
      <c r="X132" s="50">
        <f t="shared" ca="1" si="93"/>
        <v>0</v>
      </c>
      <c r="Y132" s="50">
        <f t="shared" ca="1" si="93"/>
        <v>0</v>
      </c>
      <c r="Z132" s="50">
        <f t="shared" ca="1" si="93"/>
        <v>0</v>
      </c>
      <c r="AA132" s="50">
        <f t="shared" ca="1" si="93"/>
        <v>0</v>
      </c>
      <c r="AB132" s="50">
        <f t="shared" ca="1" si="93"/>
        <v>0</v>
      </c>
      <c r="AC132" s="50">
        <f t="shared" ca="1" si="93"/>
        <v>0</v>
      </c>
      <c r="AD132" s="50">
        <f t="shared" ca="1" si="93"/>
        <v>0</v>
      </c>
      <c r="AE132" s="50">
        <f t="shared" ca="1" si="93"/>
        <v>0</v>
      </c>
      <c r="AF132" s="50">
        <f t="shared" ca="1" si="93"/>
        <v>0</v>
      </c>
      <c r="AG132" s="50">
        <f t="shared" ca="1" si="93"/>
        <v>0</v>
      </c>
      <c r="AH132" s="50">
        <f t="shared" ca="1" si="93"/>
        <v>0</v>
      </c>
      <c r="AI132" s="50">
        <f t="shared" ca="1" si="93"/>
        <v>0</v>
      </c>
      <c r="AJ132" s="50">
        <f t="shared" ca="1" si="93"/>
        <v>0</v>
      </c>
      <c r="AK132" s="50">
        <f t="shared" ca="1" si="93"/>
        <v>0</v>
      </c>
      <c r="AL132" s="50">
        <f t="shared" si="93"/>
        <v>0</v>
      </c>
      <c r="AM132" s="50">
        <f t="shared" si="93"/>
        <v>0</v>
      </c>
      <c r="AN132" s="50">
        <f t="shared" si="93"/>
        <v>0</v>
      </c>
      <c r="AO132" s="50">
        <f t="shared" si="93"/>
        <v>0</v>
      </c>
      <c r="AP132" s="50">
        <f t="shared" si="93"/>
        <v>0</v>
      </c>
      <c r="AQ132" s="50">
        <f t="shared" si="93"/>
        <v>0</v>
      </c>
      <c r="AR132" s="50">
        <f t="shared" si="93"/>
        <v>0</v>
      </c>
      <c r="AS132" s="50">
        <f t="shared" si="93"/>
        <v>0</v>
      </c>
      <c r="AT132" s="50">
        <f t="shared" si="93"/>
        <v>0</v>
      </c>
      <c r="AU132" s="50">
        <f t="shared" si="93"/>
        <v>0</v>
      </c>
    </row>
    <row r="133" spans="1:47">
      <c r="A133" s="38" t="str">
        <f>$J$4&amp;"-"</f>
        <v>4Y-</v>
      </c>
      <c r="B133" s="38" t="s">
        <v>289</v>
      </c>
      <c r="C133" s="38" t="str">
        <f>C123</f>
        <v>Ash Conveyance &amp; Storage</v>
      </c>
      <c r="D133" s="186">
        <f>LaborEsc</f>
        <v>0.02</v>
      </c>
      <c r="E133" s="325"/>
      <c r="G133" s="36" t="s">
        <v>292</v>
      </c>
      <c r="I133" s="39"/>
      <c r="K133" s="39"/>
      <c r="L133" s="43" t="str">
        <f>"["&amp;CostBaseYr&amp;" $]"</f>
        <v>[2013 $]</v>
      </c>
      <c r="N133" s="70">
        <f ca="1">SUMIFS(OFFSET(Assumptions!$I$90,0,MATCH($A133,Configurations,0)-1,COUNT(Assumptions!$A$90:$A$183),1),Assumptions!$D$90:$D$183,$B133&amp;$C133)</f>
        <v>0</v>
      </c>
      <c r="O133" s="313"/>
      <c r="P133" s="323"/>
      <c r="Q133" s="313"/>
      <c r="R133" s="50">
        <f t="shared" ref="R133:AU133" ca="1" si="94">IF(OR(R$99&lt;InServiceYr,R$99&gt;(InServiceYr+analysis_period-1)),0,IF($P133=0,$N133,$P133)*(1+$D133)^(R$99-CostBaseYr))</f>
        <v>0</v>
      </c>
      <c r="S133" s="50">
        <f t="shared" ca="1" si="94"/>
        <v>0</v>
      </c>
      <c r="T133" s="50">
        <f t="shared" ca="1" si="94"/>
        <v>0</v>
      </c>
      <c r="U133" s="50">
        <f t="shared" ca="1" si="94"/>
        <v>0</v>
      </c>
      <c r="V133" s="50">
        <f t="shared" ca="1" si="94"/>
        <v>0</v>
      </c>
      <c r="W133" s="50">
        <f t="shared" ca="1" si="94"/>
        <v>0</v>
      </c>
      <c r="X133" s="50">
        <f t="shared" ca="1" si="94"/>
        <v>0</v>
      </c>
      <c r="Y133" s="50">
        <f t="shared" ca="1" si="94"/>
        <v>0</v>
      </c>
      <c r="Z133" s="50">
        <f t="shared" ca="1" si="94"/>
        <v>0</v>
      </c>
      <c r="AA133" s="50">
        <f t="shared" ca="1" si="94"/>
        <v>0</v>
      </c>
      <c r="AB133" s="50">
        <f t="shared" ca="1" si="94"/>
        <v>0</v>
      </c>
      <c r="AC133" s="50">
        <f t="shared" ca="1" si="94"/>
        <v>0</v>
      </c>
      <c r="AD133" s="50">
        <f t="shared" ca="1" si="94"/>
        <v>0</v>
      </c>
      <c r="AE133" s="50">
        <f t="shared" ca="1" si="94"/>
        <v>0</v>
      </c>
      <c r="AF133" s="50">
        <f t="shared" ca="1" si="94"/>
        <v>0</v>
      </c>
      <c r="AG133" s="50">
        <f t="shared" ca="1" si="94"/>
        <v>0</v>
      </c>
      <c r="AH133" s="50">
        <f t="shared" ca="1" si="94"/>
        <v>0</v>
      </c>
      <c r="AI133" s="50">
        <f t="shared" ca="1" si="94"/>
        <v>0</v>
      </c>
      <c r="AJ133" s="50">
        <f t="shared" ca="1" si="94"/>
        <v>0</v>
      </c>
      <c r="AK133" s="50">
        <f t="shared" ca="1" si="94"/>
        <v>0</v>
      </c>
      <c r="AL133" s="50">
        <f t="shared" si="94"/>
        <v>0</v>
      </c>
      <c r="AM133" s="50">
        <f t="shared" si="94"/>
        <v>0</v>
      </c>
      <c r="AN133" s="50">
        <f t="shared" si="94"/>
        <v>0</v>
      </c>
      <c r="AO133" s="50">
        <f t="shared" si="94"/>
        <v>0</v>
      </c>
      <c r="AP133" s="50">
        <f t="shared" si="94"/>
        <v>0</v>
      </c>
      <c r="AQ133" s="50">
        <f t="shared" si="94"/>
        <v>0</v>
      </c>
      <c r="AR133" s="50">
        <f t="shared" si="94"/>
        <v>0</v>
      </c>
      <c r="AS133" s="50">
        <f t="shared" si="94"/>
        <v>0</v>
      </c>
      <c r="AT133" s="50">
        <f t="shared" si="94"/>
        <v>0</v>
      </c>
      <c r="AU133" s="50">
        <f t="shared" si="94"/>
        <v>0</v>
      </c>
    </row>
    <row r="134" spans="1:47">
      <c r="D134" s="186"/>
      <c r="E134" s="325"/>
      <c r="F134" s="60"/>
      <c r="G134" s="39" t="s">
        <v>305</v>
      </c>
      <c r="H134" s="60"/>
      <c r="I134" s="39"/>
      <c r="J134" s="60"/>
      <c r="K134" s="39"/>
      <c r="L134" s="174"/>
      <c r="M134" s="60"/>
      <c r="N134" s="188"/>
      <c r="O134" s="314"/>
      <c r="P134" s="185"/>
      <c r="Q134" s="314"/>
      <c r="R134" s="185">
        <f ca="1">SUM(R123:R130)-SUM(R132:R133)</f>
        <v>124440</v>
      </c>
      <c r="S134" s="185">
        <f t="shared" ref="S134:AU134" ca="1" si="95">SUM(S123:S130)-SUM(S132:S133)</f>
        <v>126928.8</v>
      </c>
      <c r="T134" s="185">
        <f t="shared" ca="1" si="95"/>
        <v>129467.37599999999</v>
      </c>
      <c r="U134" s="185">
        <f t="shared" ca="1" si="95"/>
        <v>132056.72352</v>
      </c>
      <c r="V134" s="185">
        <f t="shared" ca="1" si="95"/>
        <v>134697.85799039999</v>
      </c>
      <c r="W134" s="185">
        <f t="shared" ca="1" si="95"/>
        <v>137391.81515020801</v>
      </c>
      <c r="X134" s="185">
        <f t="shared" ca="1" si="95"/>
        <v>140139.65145321214</v>
      </c>
      <c r="Y134" s="185">
        <f t="shared" ca="1" si="95"/>
        <v>142942.44448227639</v>
      </c>
      <c r="Z134" s="185">
        <f t="shared" ca="1" si="95"/>
        <v>145801.29337192193</v>
      </c>
      <c r="AA134" s="185">
        <f t="shared" ca="1" si="95"/>
        <v>148717.31923936037</v>
      </c>
      <c r="AB134" s="185">
        <f t="shared" ca="1" si="95"/>
        <v>151691.66562414754</v>
      </c>
      <c r="AC134" s="185">
        <f t="shared" ca="1" si="95"/>
        <v>154725.49893663052</v>
      </c>
      <c r="AD134" s="185">
        <f t="shared" ca="1" si="95"/>
        <v>157820.00891536311</v>
      </c>
      <c r="AE134" s="185">
        <f t="shared" ca="1" si="95"/>
        <v>160976.4090936704</v>
      </c>
      <c r="AF134" s="185">
        <f t="shared" ca="1" si="95"/>
        <v>164195.93727554375</v>
      </c>
      <c r="AG134" s="185">
        <f t="shared" ca="1" si="95"/>
        <v>167479.85602105467</v>
      </c>
      <c r="AH134" s="185">
        <f t="shared" ca="1" si="95"/>
        <v>170829.45314147577</v>
      </c>
      <c r="AI134" s="185">
        <f t="shared" ca="1" si="95"/>
        <v>174246.04220430527</v>
      </c>
      <c r="AJ134" s="185">
        <f t="shared" ca="1" si="95"/>
        <v>177730.96304839136</v>
      </c>
      <c r="AK134" s="185">
        <f t="shared" ca="1" si="95"/>
        <v>181285.58230935922</v>
      </c>
      <c r="AL134" s="185">
        <f t="shared" si="95"/>
        <v>0</v>
      </c>
      <c r="AM134" s="185">
        <f t="shared" si="95"/>
        <v>0</v>
      </c>
      <c r="AN134" s="185">
        <f t="shared" si="95"/>
        <v>0</v>
      </c>
      <c r="AO134" s="185">
        <f t="shared" si="95"/>
        <v>0</v>
      </c>
      <c r="AP134" s="185">
        <f t="shared" si="95"/>
        <v>0</v>
      </c>
      <c r="AQ134" s="185">
        <f t="shared" si="95"/>
        <v>0</v>
      </c>
      <c r="AR134" s="185">
        <f t="shared" si="95"/>
        <v>0</v>
      </c>
      <c r="AS134" s="185">
        <f t="shared" si="95"/>
        <v>0</v>
      </c>
      <c r="AT134" s="185">
        <f t="shared" si="95"/>
        <v>0</v>
      </c>
      <c r="AU134" s="185">
        <f t="shared" si="95"/>
        <v>0</v>
      </c>
    </row>
    <row r="135" spans="1:47">
      <c r="G135" s="28"/>
      <c r="H135" s="28"/>
      <c r="I135" s="28"/>
      <c r="J135" s="28"/>
      <c r="K135" s="28"/>
      <c r="L135" s="409"/>
      <c r="M135" s="46"/>
      <c r="N135" s="46"/>
      <c r="O135" s="315"/>
      <c r="P135" s="46"/>
      <c r="Q135" s="315"/>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row>
    <row r="136" spans="1:47" s="255" customFormat="1">
      <c r="E136" s="327"/>
      <c r="F136" s="28"/>
      <c r="G136" s="324" t="str">
        <f>C138&amp;" Capital Costs"</f>
        <v>Belt Filter Press Dewatering Capital Costs</v>
      </c>
      <c r="H136" s="324"/>
      <c r="I136" s="324"/>
      <c r="J136" s="324"/>
      <c r="K136" s="324"/>
      <c r="L136" s="405" t="s">
        <v>79</v>
      </c>
      <c r="M136" s="256"/>
      <c r="N136" s="325" t="s">
        <v>490</v>
      </c>
      <c r="O136" s="311"/>
      <c r="P136" s="325" t="s">
        <v>491</v>
      </c>
      <c r="Q136" s="310"/>
      <c r="R136" s="325">
        <f>R$8</f>
        <v>2014</v>
      </c>
      <c r="S136" s="325">
        <f t="shared" ref="S136:AU136" si="96">S$8</f>
        <v>2015</v>
      </c>
      <c r="T136" s="325">
        <f t="shared" si="96"/>
        <v>2016</v>
      </c>
      <c r="U136" s="325">
        <f t="shared" si="96"/>
        <v>2017</v>
      </c>
      <c r="V136" s="325">
        <f t="shared" si="96"/>
        <v>2018</v>
      </c>
      <c r="W136" s="325">
        <f t="shared" si="96"/>
        <v>2019</v>
      </c>
      <c r="X136" s="325">
        <f t="shared" si="96"/>
        <v>2020</v>
      </c>
      <c r="Y136" s="325">
        <f t="shared" si="96"/>
        <v>2021</v>
      </c>
      <c r="Z136" s="325">
        <f t="shared" si="96"/>
        <v>2022</v>
      </c>
      <c r="AA136" s="325">
        <f t="shared" si="96"/>
        <v>2023</v>
      </c>
      <c r="AB136" s="325">
        <f t="shared" si="96"/>
        <v>2024</v>
      </c>
      <c r="AC136" s="325">
        <f t="shared" si="96"/>
        <v>2025</v>
      </c>
      <c r="AD136" s="325">
        <f t="shared" si="96"/>
        <v>2026</v>
      </c>
      <c r="AE136" s="325">
        <f t="shared" si="96"/>
        <v>2027</v>
      </c>
      <c r="AF136" s="325">
        <f t="shared" si="96"/>
        <v>2028</v>
      </c>
      <c r="AG136" s="325">
        <f t="shared" si="96"/>
        <v>2029</v>
      </c>
      <c r="AH136" s="325">
        <f t="shared" si="96"/>
        <v>2030</v>
      </c>
      <c r="AI136" s="325">
        <f t="shared" si="96"/>
        <v>2031</v>
      </c>
      <c r="AJ136" s="325">
        <f t="shared" si="96"/>
        <v>2032</v>
      </c>
      <c r="AK136" s="325">
        <f t="shared" si="96"/>
        <v>2033</v>
      </c>
      <c r="AL136" s="325">
        <f t="shared" si="96"/>
        <v>2034</v>
      </c>
      <c r="AM136" s="325">
        <f t="shared" si="96"/>
        <v>2035</v>
      </c>
      <c r="AN136" s="325">
        <f t="shared" si="96"/>
        <v>2036</v>
      </c>
      <c r="AO136" s="325">
        <f t="shared" si="96"/>
        <v>2037</v>
      </c>
      <c r="AP136" s="325">
        <f t="shared" si="96"/>
        <v>2038</v>
      </c>
      <c r="AQ136" s="325">
        <f t="shared" si="96"/>
        <v>2039</v>
      </c>
      <c r="AR136" s="325">
        <f t="shared" si="96"/>
        <v>2040</v>
      </c>
      <c r="AS136" s="325">
        <f t="shared" si="96"/>
        <v>2041</v>
      </c>
      <c r="AT136" s="325">
        <f t="shared" si="96"/>
        <v>2042</v>
      </c>
      <c r="AU136" s="325">
        <f t="shared" si="96"/>
        <v>2043</v>
      </c>
    </row>
    <row r="137" spans="1:47">
      <c r="E137" s="325"/>
      <c r="G137" s="39"/>
      <c r="H137" s="39"/>
      <c r="I137" s="39"/>
      <c r="J137" s="39"/>
      <c r="K137" s="39"/>
    </row>
    <row r="138" spans="1:47">
      <c r="A138" s="38" t="str">
        <f>$J$4&amp;"-"</f>
        <v>4Y-</v>
      </c>
      <c r="B138" s="38" t="s">
        <v>306</v>
      </c>
      <c r="C138" s="38" t="s">
        <v>143</v>
      </c>
      <c r="D138" s="186">
        <f>CapExEsc</f>
        <v>0.03</v>
      </c>
      <c r="E138" s="325"/>
      <c r="G138" s="36" t="s">
        <v>8</v>
      </c>
      <c r="H138" s="39"/>
      <c r="I138" s="39"/>
      <c r="J138" s="70"/>
      <c r="K138" s="39"/>
      <c r="L138" s="43" t="str">
        <f>"["&amp;CostBaseYr&amp;" $]"</f>
        <v>[2013 $]</v>
      </c>
      <c r="N138" s="52">
        <f ca="1">SUMIFS(OFFSET(Assumptions!$I$65,0,MATCH($A138,Configurations,0)-1,COUNT(Assumptions!$A$65:$A$84),1),Assumptions!$E$65:$E$84,$C138)</f>
        <v>0</v>
      </c>
      <c r="O138" s="52"/>
      <c r="P138" s="322"/>
      <c r="Q138" s="52"/>
      <c r="R138" s="52">
        <f t="shared" ref="R138:AU138" ca="1" si="97">R139*IF($P138=0,$N138,$P138)*(1+$D138)^(R$8-CostBaseYr)</f>
        <v>0</v>
      </c>
      <c r="S138" s="52">
        <f t="shared" ca="1" si="97"/>
        <v>0</v>
      </c>
      <c r="T138" s="52">
        <f t="shared" ca="1" si="97"/>
        <v>0</v>
      </c>
      <c r="U138" s="52">
        <f t="shared" ca="1" si="97"/>
        <v>0</v>
      </c>
      <c r="V138" s="52">
        <f t="shared" ca="1" si="97"/>
        <v>0</v>
      </c>
      <c r="W138" s="52">
        <f t="shared" ca="1" si="97"/>
        <v>0</v>
      </c>
      <c r="X138" s="52">
        <f t="shared" ca="1" si="97"/>
        <v>0</v>
      </c>
      <c r="Y138" s="52">
        <f t="shared" ca="1" si="97"/>
        <v>0</v>
      </c>
      <c r="Z138" s="52">
        <f t="shared" ca="1" si="97"/>
        <v>0</v>
      </c>
      <c r="AA138" s="52">
        <f t="shared" ca="1" si="97"/>
        <v>0</v>
      </c>
      <c r="AB138" s="52">
        <f t="shared" ca="1" si="97"/>
        <v>0</v>
      </c>
      <c r="AC138" s="52">
        <f t="shared" ca="1" si="97"/>
        <v>0</v>
      </c>
      <c r="AD138" s="52">
        <f t="shared" ca="1" si="97"/>
        <v>0</v>
      </c>
      <c r="AE138" s="52">
        <f t="shared" ca="1" si="97"/>
        <v>0</v>
      </c>
      <c r="AF138" s="52">
        <f t="shared" ca="1" si="97"/>
        <v>0</v>
      </c>
      <c r="AG138" s="52">
        <f t="shared" ca="1" si="97"/>
        <v>0</v>
      </c>
      <c r="AH138" s="52">
        <f t="shared" ca="1" si="97"/>
        <v>0</v>
      </c>
      <c r="AI138" s="52">
        <f t="shared" ca="1" si="97"/>
        <v>0</v>
      </c>
      <c r="AJ138" s="52">
        <f t="shared" ca="1" si="97"/>
        <v>0</v>
      </c>
      <c r="AK138" s="52">
        <f t="shared" ca="1" si="97"/>
        <v>0</v>
      </c>
      <c r="AL138" s="52">
        <f t="shared" ca="1" si="97"/>
        <v>0</v>
      </c>
      <c r="AM138" s="52">
        <f t="shared" ca="1" si="97"/>
        <v>0</v>
      </c>
      <c r="AN138" s="52">
        <f t="shared" ca="1" si="97"/>
        <v>0</v>
      </c>
      <c r="AO138" s="52">
        <f t="shared" ca="1" si="97"/>
        <v>0</v>
      </c>
      <c r="AP138" s="52">
        <f t="shared" ca="1" si="97"/>
        <v>0</v>
      </c>
      <c r="AQ138" s="52">
        <f t="shared" ca="1" si="97"/>
        <v>0</v>
      </c>
      <c r="AR138" s="52">
        <f t="shared" ca="1" si="97"/>
        <v>0</v>
      </c>
      <c r="AS138" s="52">
        <f t="shared" ca="1" si="97"/>
        <v>0</v>
      </c>
      <c r="AT138" s="52">
        <f t="shared" ca="1" si="97"/>
        <v>0</v>
      </c>
      <c r="AU138" s="52">
        <f t="shared" ca="1" si="97"/>
        <v>0</v>
      </c>
    </row>
    <row r="139" spans="1:47">
      <c r="E139" s="325"/>
      <c r="G139" s="36" t="s">
        <v>10</v>
      </c>
      <c r="H139" s="39"/>
      <c r="I139" s="39"/>
      <c r="J139" s="39"/>
      <c r="K139" s="39"/>
      <c r="L139" s="43"/>
      <c r="R139" s="54">
        <f>Assumptions!M$60</f>
        <v>1</v>
      </c>
      <c r="S139" s="54">
        <f>Assumptions!N$60</f>
        <v>0</v>
      </c>
      <c r="T139" s="54">
        <f>Assumptions!O$60</f>
        <v>0</v>
      </c>
      <c r="U139" s="54">
        <f>Assumptions!P$60</f>
        <v>0</v>
      </c>
      <c r="V139" s="54">
        <f>Assumptions!Q$60</f>
        <v>0</v>
      </c>
      <c r="W139" s="54">
        <f>Assumptions!R$60</f>
        <v>0</v>
      </c>
      <c r="X139" s="54">
        <f>Assumptions!S$60</f>
        <v>0</v>
      </c>
      <c r="Y139" s="54">
        <f>Assumptions!T$60</f>
        <v>0</v>
      </c>
      <c r="Z139" s="54">
        <f>Assumptions!U$60</f>
        <v>0</v>
      </c>
      <c r="AA139" s="54">
        <f>Assumptions!V$60</f>
        <v>0</v>
      </c>
      <c r="AB139" s="54">
        <f>Assumptions!W$60</f>
        <v>0</v>
      </c>
      <c r="AC139" s="54">
        <f>Assumptions!X$60</f>
        <v>0</v>
      </c>
      <c r="AD139" s="54">
        <f>Assumptions!Y$60</f>
        <v>0</v>
      </c>
      <c r="AE139" s="54">
        <f>Assumptions!Z$60</f>
        <v>0</v>
      </c>
      <c r="AF139" s="54">
        <f>Assumptions!AA$60</f>
        <v>0</v>
      </c>
      <c r="AG139" s="54">
        <f>Assumptions!AB$60</f>
        <v>0</v>
      </c>
      <c r="AH139" s="54">
        <f>Assumptions!AC$60</f>
        <v>0</v>
      </c>
      <c r="AI139" s="54">
        <f>Assumptions!AD$60</f>
        <v>0</v>
      </c>
      <c r="AJ139" s="54">
        <f>Assumptions!AE$60</f>
        <v>0</v>
      </c>
      <c r="AK139" s="54">
        <f>Assumptions!AF$60</f>
        <v>0</v>
      </c>
      <c r="AL139" s="54">
        <f>Assumptions!AG$60</f>
        <v>0</v>
      </c>
      <c r="AM139" s="54">
        <f>Assumptions!AH$60</f>
        <v>0</v>
      </c>
      <c r="AN139" s="54">
        <f>Assumptions!AI$60</f>
        <v>0</v>
      </c>
      <c r="AO139" s="54">
        <f>Assumptions!AJ$60</f>
        <v>0</v>
      </c>
      <c r="AP139" s="54">
        <f>Assumptions!AK$60</f>
        <v>0</v>
      </c>
      <c r="AQ139" s="54">
        <f>Assumptions!AL$60</f>
        <v>0</v>
      </c>
      <c r="AR139" s="54">
        <f>Assumptions!AM$60</f>
        <v>0</v>
      </c>
      <c r="AS139" s="54">
        <f>Assumptions!AN$60</f>
        <v>0</v>
      </c>
      <c r="AT139" s="54">
        <f>Assumptions!AO$60</f>
        <v>0</v>
      </c>
      <c r="AU139" s="54">
        <f>Assumptions!AP$60</f>
        <v>0</v>
      </c>
    </row>
    <row r="140" spans="1:47">
      <c r="E140" s="326"/>
      <c r="G140" s="39"/>
      <c r="H140" s="39"/>
      <c r="I140" s="39"/>
      <c r="J140" s="39"/>
      <c r="K140" s="39"/>
    </row>
    <row r="141" spans="1:47">
      <c r="E141" s="327"/>
      <c r="F141" s="28"/>
      <c r="G141" s="324" t="str">
        <f>C138&amp;" O&amp;M"</f>
        <v>Belt Filter Press Dewatering O&amp;M</v>
      </c>
      <c r="H141" s="324"/>
      <c r="I141" s="324"/>
      <c r="J141" s="324"/>
      <c r="K141" s="324"/>
      <c r="L141" s="405" t="s">
        <v>79</v>
      </c>
      <c r="M141" s="256"/>
      <c r="N141" s="325" t="s">
        <v>490</v>
      </c>
      <c r="O141" s="311"/>
      <c r="P141" s="325" t="s">
        <v>491</v>
      </c>
      <c r="Q141" s="310"/>
      <c r="R141" s="325">
        <f>R$8</f>
        <v>2014</v>
      </c>
      <c r="S141" s="325">
        <f t="shared" ref="S141:AU141" si="98">S$8</f>
        <v>2015</v>
      </c>
      <c r="T141" s="325">
        <f t="shared" si="98"/>
        <v>2016</v>
      </c>
      <c r="U141" s="325">
        <f t="shared" si="98"/>
        <v>2017</v>
      </c>
      <c r="V141" s="325">
        <f t="shared" si="98"/>
        <v>2018</v>
      </c>
      <c r="W141" s="325">
        <f t="shared" si="98"/>
        <v>2019</v>
      </c>
      <c r="X141" s="325">
        <f t="shared" si="98"/>
        <v>2020</v>
      </c>
      <c r="Y141" s="325">
        <f t="shared" si="98"/>
        <v>2021</v>
      </c>
      <c r="Z141" s="325">
        <f t="shared" si="98"/>
        <v>2022</v>
      </c>
      <c r="AA141" s="325">
        <f t="shared" si="98"/>
        <v>2023</v>
      </c>
      <c r="AB141" s="325">
        <f t="shared" si="98"/>
        <v>2024</v>
      </c>
      <c r="AC141" s="325">
        <f t="shared" si="98"/>
        <v>2025</v>
      </c>
      <c r="AD141" s="325">
        <f t="shared" si="98"/>
        <v>2026</v>
      </c>
      <c r="AE141" s="325">
        <f t="shared" si="98"/>
        <v>2027</v>
      </c>
      <c r="AF141" s="325">
        <f t="shared" si="98"/>
        <v>2028</v>
      </c>
      <c r="AG141" s="325">
        <f t="shared" si="98"/>
        <v>2029</v>
      </c>
      <c r="AH141" s="325">
        <f t="shared" si="98"/>
        <v>2030</v>
      </c>
      <c r="AI141" s="325">
        <f t="shared" si="98"/>
        <v>2031</v>
      </c>
      <c r="AJ141" s="325">
        <f t="shared" si="98"/>
        <v>2032</v>
      </c>
      <c r="AK141" s="325">
        <f t="shared" si="98"/>
        <v>2033</v>
      </c>
      <c r="AL141" s="325">
        <f t="shared" si="98"/>
        <v>2034</v>
      </c>
      <c r="AM141" s="325">
        <f t="shared" si="98"/>
        <v>2035</v>
      </c>
      <c r="AN141" s="325">
        <f t="shared" si="98"/>
        <v>2036</v>
      </c>
      <c r="AO141" s="325">
        <f t="shared" si="98"/>
        <v>2037</v>
      </c>
      <c r="AP141" s="325">
        <f t="shared" si="98"/>
        <v>2038</v>
      </c>
      <c r="AQ141" s="325">
        <f t="shared" si="98"/>
        <v>2039</v>
      </c>
      <c r="AR141" s="325">
        <f t="shared" si="98"/>
        <v>2040</v>
      </c>
      <c r="AS141" s="325">
        <f t="shared" si="98"/>
        <v>2041</v>
      </c>
      <c r="AT141" s="325">
        <f t="shared" si="98"/>
        <v>2042</v>
      </c>
      <c r="AU141" s="325">
        <f t="shared" si="98"/>
        <v>2043</v>
      </c>
    </row>
    <row r="142" spans="1:47">
      <c r="E142" s="325"/>
      <c r="G142" s="39"/>
      <c r="H142" s="39"/>
      <c r="I142" s="39"/>
      <c r="J142" s="39"/>
      <c r="K142" s="39"/>
    </row>
    <row r="143" spans="1:47">
      <c r="E143" s="325"/>
      <c r="G143" s="39" t="s">
        <v>23</v>
      </c>
      <c r="H143" s="39"/>
      <c r="I143" s="39"/>
      <c r="J143" s="39"/>
      <c r="K143" s="39"/>
    </row>
    <row r="144" spans="1:47">
      <c r="A144" s="38" t="str">
        <f t="shared" ref="A144:A151" si="99">$J$4&amp;"-"</f>
        <v>4Y-</v>
      </c>
      <c r="B144" s="38" t="s">
        <v>262</v>
      </c>
      <c r="C144" s="38" t="str">
        <f>C138</f>
        <v>Belt Filter Press Dewatering</v>
      </c>
      <c r="D144" s="186">
        <f>LaborEsc</f>
        <v>0.02</v>
      </c>
      <c r="E144" s="325"/>
      <c r="G144" s="36" t="s">
        <v>125</v>
      </c>
      <c r="I144" s="39"/>
      <c r="K144" s="39"/>
      <c r="L144" s="43" t="s">
        <v>266</v>
      </c>
      <c r="N144" s="70">
        <f ca="1">SUMIFS(OFFSET(Assumptions!$I$90,0,MATCH($A144,Configurations,0)-1,COUNT(Assumptions!$A$90:$A$183),1),Assumptions!$D$90:$D$183,$B144&amp;$C144)</f>
        <v>5110</v>
      </c>
      <c r="O144" s="313"/>
      <c r="P144" s="323"/>
      <c r="Q144" s="313"/>
      <c r="R144" s="50">
        <f t="shared" ref="R144:AU144" ca="1" si="100">IF(OR(R$99&lt;InServiceYr,R$99&gt;(InServiceYr+analysis_period-1)),0,IF($P144=0,$N144,$P144)*LaborCost*(1+$D144)^(R$99-CostBaseYr))</f>
        <v>182427</v>
      </c>
      <c r="S144" s="50">
        <f t="shared" ca="1" si="100"/>
        <v>186075.54</v>
      </c>
      <c r="T144" s="50">
        <f t="shared" ca="1" si="100"/>
        <v>189797.0508</v>
      </c>
      <c r="U144" s="50">
        <f t="shared" ca="1" si="100"/>
        <v>193592.99181599999</v>
      </c>
      <c r="V144" s="50">
        <f t="shared" ca="1" si="100"/>
        <v>197464.85165232001</v>
      </c>
      <c r="W144" s="50">
        <f t="shared" ca="1" si="100"/>
        <v>201414.14868536641</v>
      </c>
      <c r="X144" s="50">
        <f t="shared" ca="1" si="100"/>
        <v>205442.43165907369</v>
      </c>
      <c r="Y144" s="50">
        <f t="shared" ca="1" si="100"/>
        <v>209551.28029225519</v>
      </c>
      <c r="Z144" s="50">
        <f t="shared" ca="1" si="100"/>
        <v>213742.30589810028</v>
      </c>
      <c r="AA144" s="50">
        <f t="shared" ca="1" si="100"/>
        <v>218017.15201606232</v>
      </c>
      <c r="AB144" s="50">
        <f t="shared" ca="1" si="100"/>
        <v>222377.49505638352</v>
      </c>
      <c r="AC144" s="50">
        <f t="shared" ca="1" si="100"/>
        <v>226825.04495751121</v>
      </c>
      <c r="AD144" s="50">
        <f t="shared" ca="1" si="100"/>
        <v>231361.54585666143</v>
      </c>
      <c r="AE144" s="50">
        <f t="shared" ca="1" si="100"/>
        <v>235988.77677379467</v>
      </c>
      <c r="AF144" s="50">
        <f t="shared" ca="1" si="100"/>
        <v>240708.55230927051</v>
      </c>
      <c r="AG144" s="50">
        <f t="shared" ca="1" si="100"/>
        <v>245522.72335545596</v>
      </c>
      <c r="AH144" s="50">
        <f t="shared" ca="1" si="100"/>
        <v>250433.17782256511</v>
      </c>
      <c r="AI144" s="50">
        <f t="shared" ca="1" si="100"/>
        <v>255441.84137901638</v>
      </c>
      <c r="AJ144" s="50">
        <f t="shared" ca="1" si="100"/>
        <v>260550.6782065967</v>
      </c>
      <c r="AK144" s="50">
        <f t="shared" ca="1" si="100"/>
        <v>265761.69177072868</v>
      </c>
      <c r="AL144" s="50">
        <f t="shared" si="100"/>
        <v>0</v>
      </c>
      <c r="AM144" s="50">
        <f t="shared" si="100"/>
        <v>0</v>
      </c>
      <c r="AN144" s="50">
        <f t="shared" si="100"/>
        <v>0</v>
      </c>
      <c r="AO144" s="50">
        <f t="shared" si="100"/>
        <v>0</v>
      </c>
      <c r="AP144" s="50">
        <f t="shared" si="100"/>
        <v>0</v>
      </c>
      <c r="AQ144" s="50">
        <f t="shared" si="100"/>
        <v>0</v>
      </c>
      <c r="AR144" s="50">
        <f t="shared" si="100"/>
        <v>0</v>
      </c>
      <c r="AS144" s="50">
        <f t="shared" si="100"/>
        <v>0</v>
      </c>
      <c r="AT144" s="50">
        <f t="shared" si="100"/>
        <v>0</v>
      </c>
      <c r="AU144" s="50">
        <f t="shared" si="100"/>
        <v>0</v>
      </c>
    </row>
    <row r="145" spans="1:47">
      <c r="A145" s="38" t="str">
        <f t="shared" si="99"/>
        <v>4Y-</v>
      </c>
      <c r="B145" s="38" t="s">
        <v>270</v>
      </c>
      <c r="C145" s="38" t="str">
        <f>C144</f>
        <v>Belt Filter Press Dewatering</v>
      </c>
      <c r="D145" s="186">
        <f>OMEsc</f>
        <v>0.02</v>
      </c>
      <c r="E145" s="325"/>
      <c r="G145" s="36" t="s">
        <v>126</v>
      </c>
      <c r="I145" s="39"/>
      <c r="K145" s="39"/>
      <c r="L145" s="43" t="str">
        <f>"["&amp;CostBaseYr&amp;" $]"</f>
        <v>[2013 $]</v>
      </c>
      <c r="N145" s="70">
        <f ca="1">SUMIFS(OFFSET(Assumptions!$I$90,0,MATCH($A145,Configurations,0)-1,COUNT(Assumptions!$A$90:$A$183),1),Assumptions!$D$90:$D$183,$B145&amp;$C145)</f>
        <v>59000</v>
      </c>
      <c r="O145" s="313"/>
      <c r="P145" s="323"/>
      <c r="Q145" s="313"/>
      <c r="R145" s="50">
        <f t="shared" ref="R145:AG147" ca="1" si="101">IF(OR(R$99&lt;InServiceYr,R$99&gt;(InServiceYr+analysis_period-1)),0,IF($P145=0,$N145,$P145)*(1+$D145)^(R$99-CostBaseYr))</f>
        <v>60180</v>
      </c>
      <c r="S145" s="50">
        <f t="shared" ca="1" si="101"/>
        <v>61383.6</v>
      </c>
      <c r="T145" s="50">
        <f t="shared" ca="1" si="101"/>
        <v>62611.271999999997</v>
      </c>
      <c r="U145" s="50">
        <f t="shared" ca="1" si="101"/>
        <v>63863.497439999999</v>
      </c>
      <c r="V145" s="50">
        <f t="shared" ca="1" si="101"/>
        <v>65140.767388799999</v>
      </c>
      <c r="W145" s="50">
        <f t="shared" ca="1" si="101"/>
        <v>66443.582736576005</v>
      </c>
      <c r="X145" s="50">
        <f t="shared" ca="1" si="101"/>
        <v>67772.454391307503</v>
      </c>
      <c r="Y145" s="50">
        <f t="shared" ca="1" si="101"/>
        <v>69127.90347913366</v>
      </c>
      <c r="Z145" s="50">
        <f t="shared" ca="1" si="101"/>
        <v>70510.461548716339</v>
      </c>
      <c r="AA145" s="50">
        <f t="shared" ca="1" si="101"/>
        <v>71920.67077969067</v>
      </c>
      <c r="AB145" s="50">
        <f t="shared" ca="1" si="101"/>
        <v>73359.084195284464</v>
      </c>
      <c r="AC145" s="50">
        <f t="shared" ca="1" si="101"/>
        <v>74826.265879190178</v>
      </c>
      <c r="AD145" s="50">
        <f t="shared" ca="1" si="101"/>
        <v>76322.791196773964</v>
      </c>
      <c r="AE145" s="50">
        <f t="shared" ca="1" si="101"/>
        <v>77849.247020709459</v>
      </c>
      <c r="AF145" s="50">
        <f t="shared" ca="1" si="101"/>
        <v>79406.231961123631</v>
      </c>
      <c r="AG145" s="50">
        <f t="shared" ca="1" si="101"/>
        <v>80994.356600346116</v>
      </c>
      <c r="AH145" s="50">
        <f t="shared" ref="S145:AU147" ca="1" si="102">IF(OR(AH$99&lt;InServiceYr,AH$99&gt;(InServiceYr+analysis_period-1)),0,IF($P145=0,$N145,$P145)*(1+$D145)^(AH$99-CostBaseYr))</f>
        <v>82614.243732353047</v>
      </c>
      <c r="AI145" s="50">
        <f t="shared" ca="1" si="102"/>
        <v>84266.528607000088</v>
      </c>
      <c r="AJ145" s="50">
        <f t="shared" ca="1" si="102"/>
        <v>85951.859179140083</v>
      </c>
      <c r="AK145" s="50">
        <f t="shared" ca="1" si="102"/>
        <v>87670.896362722895</v>
      </c>
      <c r="AL145" s="50">
        <f t="shared" si="102"/>
        <v>0</v>
      </c>
      <c r="AM145" s="50">
        <f t="shared" si="102"/>
        <v>0</v>
      </c>
      <c r="AN145" s="50">
        <f t="shared" si="102"/>
        <v>0</v>
      </c>
      <c r="AO145" s="50">
        <f t="shared" si="102"/>
        <v>0</v>
      </c>
      <c r="AP145" s="50">
        <f t="shared" si="102"/>
        <v>0</v>
      </c>
      <c r="AQ145" s="50">
        <f t="shared" si="102"/>
        <v>0</v>
      </c>
      <c r="AR145" s="50">
        <f t="shared" si="102"/>
        <v>0</v>
      </c>
      <c r="AS145" s="50">
        <f t="shared" si="102"/>
        <v>0</v>
      </c>
      <c r="AT145" s="50">
        <f t="shared" si="102"/>
        <v>0</v>
      </c>
      <c r="AU145" s="50">
        <f t="shared" si="102"/>
        <v>0</v>
      </c>
    </row>
    <row r="146" spans="1:47">
      <c r="A146" s="38" t="str">
        <f t="shared" si="99"/>
        <v>4Y-</v>
      </c>
      <c r="B146" s="38" t="s">
        <v>263</v>
      </c>
      <c r="C146" s="38" t="str">
        <f t="shared" ref="C146:C150" si="103">C145</f>
        <v>Belt Filter Press Dewatering</v>
      </c>
      <c r="D146" s="186">
        <f>OMEsc</f>
        <v>0.02</v>
      </c>
      <c r="E146" s="325"/>
      <c r="G146" s="36" t="s">
        <v>127</v>
      </c>
      <c r="I146" s="39"/>
      <c r="K146" s="39"/>
      <c r="L146" s="43" t="str">
        <f>"["&amp;CostBaseYr&amp;" $]"</f>
        <v>[2013 $]</v>
      </c>
      <c r="N146" s="70">
        <f ca="1">SUMIFS(OFFSET(Assumptions!$I$90,0,MATCH($A146,Configurations,0)-1,COUNT(Assumptions!$A$90:$A$183),1),Assumptions!$D$90:$D$183,$B146&amp;$C146)</f>
        <v>131000</v>
      </c>
      <c r="O146" s="313"/>
      <c r="P146" s="323"/>
      <c r="Q146" s="313"/>
      <c r="R146" s="50">
        <f t="shared" ca="1" si="101"/>
        <v>133620</v>
      </c>
      <c r="S146" s="50">
        <f t="shared" ca="1" si="102"/>
        <v>136292.4</v>
      </c>
      <c r="T146" s="50">
        <f t="shared" ca="1" si="102"/>
        <v>139018.24799999999</v>
      </c>
      <c r="U146" s="50">
        <f t="shared" ca="1" si="102"/>
        <v>141798.61296</v>
      </c>
      <c r="V146" s="50">
        <f t="shared" ca="1" si="102"/>
        <v>144634.5852192</v>
      </c>
      <c r="W146" s="50">
        <f t="shared" ca="1" si="102"/>
        <v>147527.276923584</v>
      </c>
      <c r="X146" s="50">
        <f t="shared" ca="1" si="102"/>
        <v>150477.82246205566</v>
      </c>
      <c r="Y146" s="50">
        <f t="shared" ca="1" si="102"/>
        <v>153487.37891129678</v>
      </c>
      <c r="Z146" s="50">
        <f t="shared" ca="1" si="102"/>
        <v>156557.12648952272</v>
      </c>
      <c r="AA146" s="50">
        <f t="shared" ca="1" si="102"/>
        <v>159688.26901931319</v>
      </c>
      <c r="AB146" s="50">
        <f t="shared" ca="1" si="102"/>
        <v>162882.03439969942</v>
      </c>
      <c r="AC146" s="50">
        <f t="shared" ca="1" si="102"/>
        <v>166139.67508769344</v>
      </c>
      <c r="AD146" s="50">
        <f t="shared" ca="1" si="102"/>
        <v>169462.46858944729</v>
      </c>
      <c r="AE146" s="50">
        <f t="shared" ca="1" si="102"/>
        <v>172851.71796123625</v>
      </c>
      <c r="AF146" s="50">
        <f t="shared" ca="1" si="102"/>
        <v>176308.75232046092</v>
      </c>
      <c r="AG146" s="50">
        <f t="shared" ca="1" si="102"/>
        <v>179834.92736687016</v>
      </c>
      <c r="AH146" s="50">
        <f t="shared" ca="1" si="102"/>
        <v>183431.6259142076</v>
      </c>
      <c r="AI146" s="50">
        <f t="shared" ca="1" si="102"/>
        <v>187100.25843249174</v>
      </c>
      <c r="AJ146" s="50">
        <f t="shared" ca="1" si="102"/>
        <v>190842.26360114155</v>
      </c>
      <c r="AK146" s="50">
        <f t="shared" ca="1" si="102"/>
        <v>194659.1088731644</v>
      </c>
      <c r="AL146" s="50">
        <f t="shared" si="102"/>
        <v>0</v>
      </c>
      <c r="AM146" s="50">
        <f t="shared" si="102"/>
        <v>0</v>
      </c>
      <c r="AN146" s="50">
        <f t="shared" si="102"/>
        <v>0</v>
      </c>
      <c r="AO146" s="50">
        <f t="shared" si="102"/>
        <v>0</v>
      </c>
      <c r="AP146" s="50">
        <f t="shared" si="102"/>
        <v>0</v>
      </c>
      <c r="AQ146" s="50">
        <f t="shared" si="102"/>
        <v>0</v>
      </c>
      <c r="AR146" s="50">
        <f t="shared" si="102"/>
        <v>0</v>
      </c>
      <c r="AS146" s="50">
        <f t="shared" si="102"/>
        <v>0</v>
      </c>
      <c r="AT146" s="50">
        <f t="shared" si="102"/>
        <v>0</v>
      </c>
      <c r="AU146" s="50">
        <f t="shared" si="102"/>
        <v>0</v>
      </c>
    </row>
    <row r="147" spans="1:47">
      <c r="A147" s="38" t="str">
        <f t="shared" si="99"/>
        <v>4Y-</v>
      </c>
      <c r="B147" s="38" t="s">
        <v>277</v>
      </c>
      <c r="C147" s="38" t="str">
        <f t="shared" si="103"/>
        <v>Belt Filter Press Dewatering</v>
      </c>
      <c r="D147" s="186">
        <f>OMEsc</f>
        <v>0.02</v>
      </c>
      <c r="E147" s="325"/>
      <c r="G147" s="36" t="s">
        <v>276</v>
      </c>
      <c r="I147" s="39"/>
      <c r="K147" s="39"/>
      <c r="L147" s="43" t="str">
        <f>"["&amp;CostBaseYr&amp;" $]"</f>
        <v>[2013 $]</v>
      </c>
      <c r="N147" s="70">
        <f ca="1">SUMIFS(OFFSET(Assumptions!$I$90,0,MATCH($A147,Configurations,0)-1,COUNT(Assumptions!$A$90:$A$183),1),Assumptions!$D$90:$D$183,$B147&amp;$C147)</f>
        <v>0</v>
      </c>
      <c r="O147" s="313"/>
      <c r="P147" s="323"/>
      <c r="Q147" s="313"/>
      <c r="R147" s="50">
        <f t="shared" ca="1" si="101"/>
        <v>0</v>
      </c>
      <c r="S147" s="50">
        <f t="shared" ca="1" si="102"/>
        <v>0</v>
      </c>
      <c r="T147" s="50">
        <f t="shared" ca="1" si="102"/>
        <v>0</v>
      </c>
      <c r="U147" s="50">
        <f t="shared" ca="1" si="102"/>
        <v>0</v>
      </c>
      <c r="V147" s="50">
        <f t="shared" ca="1" si="102"/>
        <v>0</v>
      </c>
      <c r="W147" s="50">
        <f t="shared" ca="1" si="102"/>
        <v>0</v>
      </c>
      <c r="X147" s="50">
        <f t="shared" ca="1" si="102"/>
        <v>0</v>
      </c>
      <c r="Y147" s="50">
        <f t="shared" ca="1" si="102"/>
        <v>0</v>
      </c>
      <c r="Z147" s="50">
        <f t="shared" ca="1" si="102"/>
        <v>0</v>
      </c>
      <c r="AA147" s="50">
        <f t="shared" ca="1" si="102"/>
        <v>0</v>
      </c>
      <c r="AB147" s="50">
        <f t="shared" ca="1" si="102"/>
        <v>0</v>
      </c>
      <c r="AC147" s="50">
        <f t="shared" ca="1" si="102"/>
        <v>0</v>
      </c>
      <c r="AD147" s="50">
        <f t="shared" ca="1" si="102"/>
        <v>0</v>
      </c>
      <c r="AE147" s="50">
        <f t="shared" ca="1" si="102"/>
        <v>0</v>
      </c>
      <c r="AF147" s="50">
        <f t="shared" ca="1" si="102"/>
        <v>0</v>
      </c>
      <c r="AG147" s="50">
        <f t="shared" ca="1" si="102"/>
        <v>0</v>
      </c>
      <c r="AH147" s="50">
        <f t="shared" ca="1" si="102"/>
        <v>0</v>
      </c>
      <c r="AI147" s="50">
        <f t="shared" ca="1" si="102"/>
        <v>0</v>
      </c>
      <c r="AJ147" s="50">
        <f t="shared" ca="1" si="102"/>
        <v>0</v>
      </c>
      <c r="AK147" s="50">
        <f t="shared" ca="1" si="102"/>
        <v>0</v>
      </c>
      <c r="AL147" s="50">
        <f t="shared" si="102"/>
        <v>0</v>
      </c>
      <c r="AM147" s="50">
        <f t="shared" si="102"/>
        <v>0</v>
      </c>
      <c r="AN147" s="50">
        <f t="shared" si="102"/>
        <v>0</v>
      </c>
      <c r="AO147" s="50">
        <f t="shared" si="102"/>
        <v>0</v>
      </c>
      <c r="AP147" s="50">
        <f t="shared" si="102"/>
        <v>0</v>
      </c>
      <c r="AQ147" s="50">
        <f t="shared" si="102"/>
        <v>0</v>
      </c>
      <c r="AR147" s="50">
        <f t="shared" si="102"/>
        <v>0</v>
      </c>
      <c r="AS147" s="50">
        <f t="shared" si="102"/>
        <v>0</v>
      </c>
      <c r="AT147" s="50">
        <f t="shared" si="102"/>
        <v>0</v>
      </c>
      <c r="AU147" s="50">
        <f t="shared" si="102"/>
        <v>0</v>
      </c>
    </row>
    <row r="148" spans="1:47">
      <c r="A148" s="38" t="str">
        <f t="shared" si="99"/>
        <v>4Y-</v>
      </c>
      <c r="B148" s="38" t="s">
        <v>274</v>
      </c>
      <c r="C148" s="38" t="str">
        <f t="shared" si="103"/>
        <v>Belt Filter Press Dewatering</v>
      </c>
      <c r="D148" s="186"/>
      <c r="E148" s="325"/>
      <c r="G148" s="36" t="s">
        <v>16</v>
      </c>
      <c r="I148" s="39"/>
      <c r="K148" s="39"/>
      <c r="L148" s="43" t="s">
        <v>275</v>
      </c>
      <c r="N148" s="70">
        <f ca="1">SUMIFS(OFFSET(Assumptions!$I$90,0,MATCH($A148,Configurations,0)-1,COUNT(Assumptions!$A$90:$A$183),1),Assumptions!$D$90:$D$183,$B148&amp;$C148)</f>
        <v>0</v>
      </c>
      <c r="O148" s="313"/>
      <c r="P148" s="323"/>
      <c r="Q148" s="313"/>
      <c r="R148" s="50">
        <f t="shared" ref="R148:AU148" ca="1" si="104">IF(OR(R$99&lt;InServiceYr,R$99&gt;(InServiceYr+analysis_period-1)),0,IF($P148=0,$N148,$P148)*R$505)</f>
        <v>0</v>
      </c>
      <c r="S148" s="50">
        <f t="shared" ca="1" si="104"/>
        <v>0</v>
      </c>
      <c r="T148" s="50">
        <f t="shared" ca="1" si="104"/>
        <v>0</v>
      </c>
      <c r="U148" s="50">
        <f t="shared" ca="1" si="104"/>
        <v>0</v>
      </c>
      <c r="V148" s="50">
        <f t="shared" ca="1" si="104"/>
        <v>0</v>
      </c>
      <c r="W148" s="50">
        <f t="shared" ca="1" si="104"/>
        <v>0</v>
      </c>
      <c r="X148" s="50">
        <f t="shared" ca="1" si="104"/>
        <v>0</v>
      </c>
      <c r="Y148" s="50">
        <f t="shared" ca="1" si="104"/>
        <v>0</v>
      </c>
      <c r="Z148" s="50">
        <f t="shared" ca="1" si="104"/>
        <v>0</v>
      </c>
      <c r="AA148" s="50">
        <f t="shared" ca="1" si="104"/>
        <v>0</v>
      </c>
      <c r="AB148" s="50">
        <f t="shared" ca="1" si="104"/>
        <v>0</v>
      </c>
      <c r="AC148" s="50">
        <f t="shared" ca="1" si="104"/>
        <v>0</v>
      </c>
      <c r="AD148" s="50">
        <f t="shared" ca="1" si="104"/>
        <v>0</v>
      </c>
      <c r="AE148" s="50">
        <f t="shared" ca="1" si="104"/>
        <v>0</v>
      </c>
      <c r="AF148" s="50">
        <f t="shared" ca="1" si="104"/>
        <v>0</v>
      </c>
      <c r="AG148" s="50">
        <f t="shared" ca="1" si="104"/>
        <v>0</v>
      </c>
      <c r="AH148" s="50">
        <f t="shared" ca="1" si="104"/>
        <v>0</v>
      </c>
      <c r="AI148" s="50">
        <f t="shared" ca="1" si="104"/>
        <v>0</v>
      </c>
      <c r="AJ148" s="50">
        <f t="shared" ca="1" si="104"/>
        <v>0</v>
      </c>
      <c r="AK148" s="50">
        <f t="shared" ca="1" si="104"/>
        <v>0</v>
      </c>
      <c r="AL148" s="50">
        <f t="shared" si="104"/>
        <v>0</v>
      </c>
      <c r="AM148" s="50">
        <f t="shared" si="104"/>
        <v>0</v>
      </c>
      <c r="AN148" s="50">
        <f t="shared" si="104"/>
        <v>0</v>
      </c>
      <c r="AO148" s="50">
        <f t="shared" si="104"/>
        <v>0</v>
      </c>
      <c r="AP148" s="50">
        <f t="shared" si="104"/>
        <v>0</v>
      </c>
      <c r="AQ148" s="50">
        <f t="shared" si="104"/>
        <v>0</v>
      </c>
      <c r="AR148" s="50">
        <f t="shared" si="104"/>
        <v>0</v>
      </c>
      <c r="AS148" s="50">
        <f t="shared" si="104"/>
        <v>0</v>
      </c>
      <c r="AT148" s="50">
        <f t="shared" si="104"/>
        <v>0</v>
      </c>
      <c r="AU148" s="50">
        <f t="shared" si="104"/>
        <v>0</v>
      </c>
    </row>
    <row r="149" spans="1:47">
      <c r="A149" s="38" t="str">
        <f t="shared" si="99"/>
        <v>4Y-</v>
      </c>
      <c r="B149" s="38" t="s">
        <v>257</v>
      </c>
      <c r="C149" s="38" t="str">
        <f t="shared" si="103"/>
        <v>Belt Filter Press Dewatering</v>
      </c>
      <c r="D149" s="186"/>
      <c r="E149" s="325"/>
      <c r="G149" s="36" t="s">
        <v>284</v>
      </c>
      <c r="I149" s="39"/>
      <c r="K149" s="39"/>
      <c r="L149" s="43" t="s">
        <v>293</v>
      </c>
      <c r="N149" s="70">
        <f ca="1">SUMIFS(OFFSET(Assumptions!$I$90,0,MATCH($A149,Configurations,0)-1,COUNT(Assumptions!$A$90:$A$183),1),Assumptions!$D$90:$D$183,$B149&amp;$C149)</f>
        <v>32490</v>
      </c>
      <c r="O149" s="313"/>
      <c r="P149" s="323"/>
      <c r="Q149" s="313"/>
      <c r="R149" s="50">
        <f t="shared" ref="R149:AU149" ca="1" si="105">IF(OR(R$99&lt;InServiceYr,R$99&gt;(InServiceYr+analysis_period-1)),0,IF($P149=0,$N149,$P149)*R$501)</f>
        <v>2098.2547564795068</v>
      </c>
      <c r="S149" s="50">
        <f t="shared" ca="1" si="105"/>
        <v>2111.3342931383763</v>
      </c>
      <c r="T149" s="50">
        <f t="shared" ca="1" si="105"/>
        <v>2202.3537909970146</v>
      </c>
      <c r="U149" s="50">
        <f t="shared" ca="1" si="105"/>
        <v>2268.4188936706396</v>
      </c>
      <c r="V149" s="50">
        <f t="shared" ca="1" si="105"/>
        <v>2323.1583602716419</v>
      </c>
      <c r="W149" s="50">
        <f t="shared" ca="1" si="105"/>
        <v>2352.8791821872192</v>
      </c>
      <c r="X149" s="50">
        <f t="shared" ca="1" si="105"/>
        <v>2391.166345682725</v>
      </c>
      <c r="Y149" s="50">
        <f t="shared" ca="1" si="105"/>
        <v>2450.0798143104926</v>
      </c>
      <c r="Z149" s="50">
        <f t="shared" ca="1" si="105"/>
        <v>2508.7363957116122</v>
      </c>
      <c r="AA149" s="50">
        <f t="shared" ca="1" si="105"/>
        <v>2571.4609674638173</v>
      </c>
      <c r="AB149" s="50">
        <f t="shared" ca="1" si="105"/>
        <v>2627.1583054959615</v>
      </c>
      <c r="AC149" s="50">
        <f t="shared" ca="1" si="105"/>
        <v>2677.7478082453536</v>
      </c>
      <c r="AD149" s="50">
        <f t="shared" ca="1" si="105"/>
        <v>2739.6032393419855</v>
      </c>
      <c r="AE149" s="50">
        <f t="shared" ca="1" si="105"/>
        <v>2802.0433408923659</v>
      </c>
      <c r="AF149" s="50">
        <f t="shared" ca="1" si="105"/>
        <v>2868.6664172445689</v>
      </c>
      <c r="AG149" s="50">
        <f t="shared" ca="1" si="105"/>
        <v>2943.2999662231368</v>
      </c>
      <c r="AH149" s="50">
        <f t="shared" ca="1" si="105"/>
        <v>3015.4327695606694</v>
      </c>
      <c r="AI149" s="50">
        <f t="shared" ca="1" si="105"/>
        <v>3093.657865612267</v>
      </c>
      <c r="AJ149" s="50">
        <f t="shared" ca="1" si="105"/>
        <v>3176.4704867682817</v>
      </c>
      <c r="AK149" s="50">
        <f t="shared" ca="1" si="105"/>
        <v>3262.880858397365</v>
      </c>
      <c r="AL149" s="50">
        <f t="shared" si="105"/>
        <v>0</v>
      </c>
      <c r="AM149" s="50">
        <f t="shared" si="105"/>
        <v>0</v>
      </c>
      <c r="AN149" s="50">
        <f t="shared" si="105"/>
        <v>0</v>
      </c>
      <c r="AO149" s="50">
        <f t="shared" si="105"/>
        <v>0</v>
      </c>
      <c r="AP149" s="50">
        <f t="shared" si="105"/>
        <v>0</v>
      </c>
      <c r="AQ149" s="50">
        <f t="shared" si="105"/>
        <v>0</v>
      </c>
      <c r="AR149" s="50">
        <f t="shared" si="105"/>
        <v>0</v>
      </c>
      <c r="AS149" s="50">
        <f t="shared" si="105"/>
        <v>0</v>
      </c>
      <c r="AT149" s="50">
        <f t="shared" si="105"/>
        <v>0</v>
      </c>
      <c r="AU149" s="50">
        <f t="shared" si="105"/>
        <v>0</v>
      </c>
    </row>
    <row r="150" spans="1:47">
      <c r="A150" s="38" t="str">
        <f t="shared" si="99"/>
        <v>4Y-</v>
      </c>
      <c r="B150" s="38" t="s">
        <v>864</v>
      </c>
      <c r="C150" s="38" t="str">
        <f t="shared" si="103"/>
        <v>Belt Filter Press Dewatering</v>
      </c>
      <c r="D150" s="186">
        <f>GHGEsc</f>
        <v>0.02</v>
      </c>
      <c r="E150" s="325"/>
      <c r="G150" s="36" t="s">
        <v>865</v>
      </c>
      <c r="I150" s="39"/>
      <c r="K150" s="39"/>
      <c r="L150" s="43" t="s">
        <v>866</v>
      </c>
      <c r="N150" s="70">
        <f ca="1">SUMIFS(OFFSET(Assumptions!$I$90,0,MATCH($A150,Configurations,0)-1,COUNT(Assumptions!$A$90:$A$183),1),Assumptions!$D$90:$D$183,$B150&amp;$C150)</f>
        <v>0</v>
      </c>
      <c r="O150" s="313"/>
      <c r="P150" s="323"/>
      <c r="Q150" s="313"/>
      <c r="R150" s="50">
        <f t="shared" ref="R150:AU150" ca="1" si="106">IF(OR(R$99&lt;InServiceYr,R$99&gt;(InServiceYr+analysis_period-1)),0,IF($P150=0,$N150,$P150)*R$513)</f>
        <v>0</v>
      </c>
      <c r="S150" s="50">
        <f t="shared" ca="1" si="106"/>
        <v>0</v>
      </c>
      <c r="T150" s="50">
        <f t="shared" ca="1" si="106"/>
        <v>0</v>
      </c>
      <c r="U150" s="50">
        <f t="shared" ca="1" si="106"/>
        <v>0</v>
      </c>
      <c r="V150" s="50">
        <f t="shared" ca="1" si="106"/>
        <v>0</v>
      </c>
      <c r="W150" s="50">
        <f t="shared" ca="1" si="106"/>
        <v>0</v>
      </c>
      <c r="X150" s="50">
        <f t="shared" ca="1" si="106"/>
        <v>0</v>
      </c>
      <c r="Y150" s="50">
        <f t="shared" ca="1" si="106"/>
        <v>0</v>
      </c>
      <c r="Z150" s="50">
        <f t="shared" ca="1" si="106"/>
        <v>0</v>
      </c>
      <c r="AA150" s="50">
        <f t="shared" ca="1" si="106"/>
        <v>0</v>
      </c>
      <c r="AB150" s="50">
        <f t="shared" ca="1" si="106"/>
        <v>0</v>
      </c>
      <c r="AC150" s="50">
        <f t="shared" ca="1" si="106"/>
        <v>0</v>
      </c>
      <c r="AD150" s="50">
        <f t="shared" ca="1" si="106"/>
        <v>0</v>
      </c>
      <c r="AE150" s="50">
        <f t="shared" ca="1" si="106"/>
        <v>0</v>
      </c>
      <c r="AF150" s="50">
        <f t="shared" ca="1" si="106"/>
        <v>0</v>
      </c>
      <c r="AG150" s="50">
        <f t="shared" ca="1" si="106"/>
        <v>0</v>
      </c>
      <c r="AH150" s="50">
        <f t="shared" ca="1" si="106"/>
        <v>0</v>
      </c>
      <c r="AI150" s="50">
        <f t="shared" ca="1" si="106"/>
        <v>0</v>
      </c>
      <c r="AJ150" s="50">
        <f t="shared" ca="1" si="106"/>
        <v>0</v>
      </c>
      <c r="AK150" s="50">
        <f t="shared" ca="1" si="106"/>
        <v>0</v>
      </c>
      <c r="AL150" s="50">
        <f t="shared" si="106"/>
        <v>0</v>
      </c>
      <c r="AM150" s="50">
        <f t="shared" si="106"/>
        <v>0</v>
      </c>
      <c r="AN150" s="50">
        <f t="shared" si="106"/>
        <v>0</v>
      </c>
      <c r="AO150" s="50">
        <f t="shared" si="106"/>
        <v>0</v>
      </c>
      <c r="AP150" s="50">
        <f t="shared" si="106"/>
        <v>0</v>
      </c>
      <c r="AQ150" s="50">
        <f t="shared" si="106"/>
        <v>0</v>
      </c>
      <c r="AR150" s="50">
        <f t="shared" si="106"/>
        <v>0</v>
      </c>
      <c r="AS150" s="50">
        <f t="shared" si="106"/>
        <v>0</v>
      </c>
      <c r="AT150" s="50">
        <f t="shared" si="106"/>
        <v>0</v>
      </c>
      <c r="AU150" s="50">
        <f t="shared" si="106"/>
        <v>0</v>
      </c>
    </row>
    <row r="151" spans="1:47">
      <c r="A151" s="38" t="str">
        <f t="shared" si="99"/>
        <v>4Y-</v>
      </c>
      <c r="B151" s="38" t="s">
        <v>273</v>
      </c>
      <c r="C151" s="38" t="str">
        <f>C149</f>
        <v>Belt Filter Press Dewatering</v>
      </c>
      <c r="D151" s="186">
        <f>LaborEsc</f>
        <v>0.02</v>
      </c>
      <c r="E151" s="325"/>
      <c r="G151" s="36" t="s">
        <v>291</v>
      </c>
      <c r="I151" s="39"/>
      <c r="K151" s="39"/>
      <c r="L151" s="43" t="str">
        <f>"["&amp;CostBaseYr&amp;" $]"</f>
        <v>[2013 $]</v>
      </c>
      <c r="N151" s="70">
        <f ca="1">SUMIFS(OFFSET(Assumptions!$I$90,0,MATCH($A151,Configurations,0)-1,COUNT(Assumptions!$A$90:$A$183),1),Assumptions!$D$90:$D$183,$B151&amp;$C151)</f>
        <v>0</v>
      </c>
      <c r="O151" s="313"/>
      <c r="P151" s="323"/>
      <c r="Q151" s="313"/>
      <c r="R151" s="50">
        <f t="shared" ref="R151:AU151" ca="1" si="107">IF(OR(R$99&lt;InServiceYr,R$99&gt;(InServiceYr+analysis_period-1)),0,IF($P151=0,$N151,$P151)*(1+$D151)^(R$99-CostBaseYr))*R$509</f>
        <v>0</v>
      </c>
      <c r="S151" s="50">
        <f t="shared" ca="1" si="107"/>
        <v>0</v>
      </c>
      <c r="T151" s="50">
        <f t="shared" ca="1" si="107"/>
        <v>0</v>
      </c>
      <c r="U151" s="50">
        <f t="shared" ca="1" si="107"/>
        <v>0</v>
      </c>
      <c r="V151" s="50">
        <f t="shared" ca="1" si="107"/>
        <v>0</v>
      </c>
      <c r="W151" s="50">
        <f t="shared" ca="1" si="107"/>
        <v>0</v>
      </c>
      <c r="X151" s="50">
        <f t="shared" ca="1" si="107"/>
        <v>0</v>
      </c>
      <c r="Y151" s="50">
        <f t="shared" ca="1" si="107"/>
        <v>0</v>
      </c>
      <c r="Z151" s="50">
        <f t="shared" ca="1" si="107"/>
        <v>0</v>
      </c>
      <c r="AA151" s="50">
        <f t="shared" ca="1" si="107"/>
        <v>0</v>
      </c>
      <c r="AB151" s="50">
        <f t="shared" ca="1" si="107"/>
        <v>0</v>
      </c>
      <c r="AC151" s="50">
        <f t="shared" ca="1" si="107"/>
        <v>0</v>
      </c>
      <c r="AD151" s="50">
        <f t="shared" ca="1" si="107"/>
        <v>0</v>
      </c>
      <c r="AE151" s="50">
        <f t="shared" ca="1" si="107"/>
        <v>0</v>
      </c>
      <c r="AF151" s="50">
        <f t="shared" ca="1" si="107"/>
        <v>0</v>
      </c>
      <c r="AG151" s="50">
        <f t="shared" ca="1" si="107"/>
        <v>0</v>
      </c>
      <c r="AH151" s="50">
        <f t="shared" ca="1" si="107"/>
        <v>0</v>
      </c>
      <c r="AI151" s="50">
        <f t="shared" ca="1" si="107"/>
        <v>0</v>
      </c>
      <c r="AJ151" s="50">
        <f t="shared" ca="1" si="107"/>
        <v>0</v>
      </c>
      <c r="AK151" s="50">
        <f t="shared" ca="1" si="107"/>
        <v>0</v>
      </c>
      <c r="AL151" s="50">
        <f t="shared" si="107"/>
        <v>0</v>
      </c>
      <c r="AM151" s="50">
        <f t="shared" si="107"/>
        <v>0</v>
      </c>
      <c r="AN151" s="50">
        <f t="shared" si="107"/>
        <v>0</v>
      </c>
      <c r="AO151" s="50">
        <f t="shared" si="107"/>
        <v>0</v>
      </c>
      <c r="AP151" s="50">
        <f t="shared" si="107"/>
        <v>0</v>
      </c>
      <c r="AQ151" s="50">
        <f t="shared" si="107"/>
        <v>0</v>
      </c>
      <c r="AR151" s="50">
        <f t="shared" si="107"/>
        <v>0</v>
      </c>
      <c r="AS151" s="50">
        <f t="shared" si="107"/>
        <v>0</v>
      </c>
      <c r="AT151" s="50">
        <f t="shared" si="107"/>
        <v>0</v>
      </c>
      <c r="AU151" s="50">
        <f t="shared" si="107"/>
        <v>0</v>
      </c>
    </row>
    <row r="152" spans="1:47">
      <c r="D152" s="186"/>
      <c r="E152" s="325"/>
      <c r="G152" s="39" t="s">
        <v>304</v>
      </c>
      <c r="I152" s="39"/>
      <c r="K152" s="39"/>
      <c r="L152" s="43"/>
      <c r="N152" s="70"/>
      <c r="O152" s="313"/>
      <c r="P152" s="70"/>
      <c r="Q152" s="313"/>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row>
    <row r="153" spans="1:47">
      <c r="A153" s="38" t="str">
        <f>$J$4&amp;"-"</f>
        <v>4Y-</v>
      </c>
      <c r="B153" s="38" t="s">
        <v>265</v>
      </c>
      <c r="C153" s="38" t="str">
        <f>C144</f>
        <v>Belt Filter Press Dewatering</v>
      </c>
      <c r="D153" s="186"/>
      <c r="E153" s="325"/>
      <c r="G153" s="36" t="s">
        <v>108</v>
      </c>
      <c r="I153" s="39"/>
      <c r="K153" s="39"/>
      <c r="L153" s="43" t="s">
        <v>293</v>
      </c>
      <c r="N153" s="70">
        <f ca="1">SUMIFS(OFFSET(Assumptions!$I$90,0,MATCH($A153,Configurations,0)-1,COUNT(Assumptions!$A$90:$A$183),1),Assumptions!$D$90:$D$183,$B153&amp;$C153)</f>
        <v>0</v>
      </c>
      <c r="O153" s="313"/>
      <c r="P153" s="323"/>
      <c r="Q153" s="313"/>
      <c r="R153" s="50">
        <f t="shared" ref="R153:AU153" ca="1" si="108">IF(OR(R$99&lt;InServiceYr,R$99&gt;(InServiceYr+analysis_period-1)),0,IF($P153=0,$N153,$P153)*R$501)</f>
        <v>0</v>
      </c>
      <c r="S153" s="50">
        <f t="shared" ca="1" si="108"/>
        <v>0</v>
      </c>
      <c r="T153" s="50">
        <f t="shared" ca="1" si="108"/>
        <v>0</v>
      </c>
      <c r="U153" s="50">
        <f t="shared" ca="1" si="108"/>
        <v>0</v>
      </c>
      <c r="V153" s="50">
        <f t="shared" ca="1" si="108"/>
        <v>0</v>
      </c>
      <c r="W153" s="50">
        <f t="shared" ca="1" si="108"/>
        <v>0</v>
      </c>
      <c r="X153" s="50">
        <f t="shared" ca="1" si="108"/>
        <v>0</v>
      </c>
      <c r="Y153" s="50">
        <f t="shared" ca="1" si="108"/>
        <v>0</v>
      </c>
      <c r="Z153" s="50">
        <f t="shared" ca="1" si="108"/>
        <v>0</v>
      </c>
      <c r="AA153" s="50">
        <f t="shared" ca="1" si="108"/>
        <v>0</v>
      </c>
      <c r="AB153" s="50">
        <f t="shared" ca="1" si="108"/>
        <v>0</v>
      </c>
      <c r="AC153" s="50">
        <f t="shared" ca="1" si="108"/>
        <v>0</v>
      </c>
      <c r="AD153" s="50">
        <f t="shared" ca="1" si="108"/>
        <v>0</v>
      </c>
      <c r="AE153" s="50">
        <f t="shared" ca="1" si="108"/>
        <v>0</v>
      </c>
      <c r="AF153" s="50">
        <f t="shared" ca="1" si="108"/>
        <v>0</v>
      </c>
      <c r="AG153" s="50">
        <f t="shared" ca="1" si="108"/>
        <v>0</v>
      </c>
      <c r="AH153" s="50">
        <f t="shared" ca="1" si="108"/>
        <v>0</v>
      </c>
      <c r="AI153" s="50">
        <f t="shared" ca="1" si="108"/>
        <v>0</v>
      </c>
      <c r="AJ153" s="50">
        <f t="shared" ca="1" si="108"/>
        <v>0</v>
      </c>
      <c r="AK153" s="50">
        <f t="shared" ca="1" si="108"/>
        <v>0</v>
      </c>
      <c r="AL153" s="50">
        <f t="shared" si="108"/>
        <v>0</v>
      </c>
      <c r="AM153" s="50">
        <f t="shared" si="108"/>
        <v>0</v>
      </c>
      <c r="AN153" s="50">
        <f t="shared" si="108"/>
        <v>0</v>
      </c>
      <c r="AO153" s="50">
        <f t="shared" si="108"/>
        <v>0</v>
      </c>
      <c r="AP153" s="50">
        <f t="shared" si="108"/>
        <v>0</v>
      </c>
      <c r="AQ153" s="50">
        <f t="shared" si="108"/>
        <v>0</v>
      </c>
      <c r="AR153" s="50">
        <f t="shared" si="108"/>
        <v>0</v>
      </c>
      <c r="AS153" s="50">
        <f t="shared" si="108"/>
        <v>0</v>
      </c>
      <c r="AT153" s="50">
        <f t="shared" si="108"/>
        <v>0</v>
      </c>
      <c r="AU153" s="50">
        <f t="shared" si="108"/>
        <v>0</v>
      </c>
    </row>
    <row r="154" spans="1:47">
      <c r="A154" s="38" t="str">
        <f>$J$4&amp;"-"</f>
        <v>4Y-</v>
      </c>
      <c r="B154" s="38" t="s">
        <v>289</v>
      </c>
      <c r="C154" s="38" t="str">
        <f>C144</f>
        <v>Belt Filter Press Dewatering</v>
      </c>
      <c r="D154" s="186">
        <f>LaborEsc</f>
        <v>0.02</v>
      </c>
      <c r="E154" s="325"/>
      <c r="G154" s="36" t="s">
        <v>292</v>
      </c>
      <c r="I154" s="39"/>
      <c r="K154" s="39"/>
      <c r="L154" s="43" t="str">
        <f>"["&amp;CostBaseYr&amp;" $]"</f>
        <v>[2013 $]</v>
      </c>
      <c r="N154" s="70">
        <f ca="1">SUMIFS(OFFSET(Assumptions!$I$90,0,MATCH($A154,Configurations,0)-1,COUNT(Assumptions!$A$90:$A$183),1),Assumptions!$D$90:$D$183,$B154&amp;$C154)</f>
        <v>0</v>
      </c>
      <c r="O154" s="313"/>
      <c r="P154" s="323"/>
      <c r="Q154" s="313"/>
      <c r="R154" s="50">
        <f t="shared" ref="R154:AU154" ca="1" si="109">IF(OR(R$99&lt;InServiceYr,R$99&gt;(InServiceYr+analysis_period-1)),0,IF($P154=0,$N154,$P154)*(1+$D154)^(R$99-CostBaseYr))</f>
        <v>0</v>
      </c>
      <c r="S154" s="50">
        <f t="shared" ca="1" si="109"/>
        <v>0</v>
      </c>
      <c r="T154" s="50">
        <f t="shared" ca="1" si="109"/>
        <v>0</v>
      </c>
      <c r="U154" s="50">
        <f t="shared" ca="1" si="109"/>
        <v>0</v>
      </c>
      <c r="V154" s="50">
        <f t="shared" ca="1" si="109"/>
        <v>0</v>
      </c>
      <c r="W154" s="50">
        <f t="shared" ca="1" si="109"/>
        <v>0</v>
      </c>
      <c r="X154" s="50">
        <f t="shared" ca="1" si="109"/>
        <v>0</v>
      </c>
      <c r="Y154" s="50">
        <f t="shared" ca="1" si="109"/>
        <v>0</v>
      </c>
      <c r="Z154" s="50">
        <f t="shared" ca="1" si="109"/>
        <v>0</v>
      </c>
      <c r="AA154" s="50">
        <f t="shared" ca="1" si="109"/>
        <v>0</v>
      </c>
      <c r="AB154" s="50">
        <f t="shared" ca="1" si="109"/>
        <v>0</v>
      </c>
      <c r="AC154" s="50">
        <f t="shared" ca="1" si="109"/>
        <v>0</v>
      </c>
      <c r="AD154" s="50">
        <f t="shared" ca="1" si="109"/>
        <v>0</v>
      </c>
      <c r="AE154" s="50">
        <f t="shared" ca="1" si="109"/>
        <v>0</v>
      </c>
      <c r="AF154" s="50">
        <f t="shared" ca="1" si="109"/>
        <v>0</v>
      </c>
      <c r="AG154" s="50">
        <f t="shared" ca="1" si="109"/>
        <v>0</v>
      </c>
      <c r="AH154" s="50">
        <f t="shared" ca="1" si="109"/>
        <v>0</v>
      </c>
      <c r="AI154" s="50">
        <f t="shared" ca="1" si="109"/>
        <v>0</v>
      </c>
      <c r="AJ154" s="50">
        <f t="shared" ca="1" si="109"/>
        <v>0</v>
      </c>
      <c r="AK154" s="50">
        <f t="shared" ca="1" si="109"/>
        <v>0</v>
      </c>
      <c r="AL154" s="50">
        <f t="shared" si="109"/>
        <v>0</v>
      </c>
      <c r="AM154" s="50">
        <f t="shared" si="109"/>
        <v>0</v>
      </c>
      <c r="AN154" s="50">
        <f t="shared" si="109"/>
        <v>0</v>
      </c>
      <c r="AO154" s="50">
        <f t="shared" si="109"/>
        <v>0</v>
      </c>
      <c r="AP154" s="50">
        <f t="shared" si="109"/>
        <v>0</v>
      </c>
      <c r="AQ154" s="50">
        <f t="shared" si="109"/>
        <v>0</v>
      </c>
      <c r="AR154" s="50">
        <f t="shared" si="109"/>
        <v>0</v>
      </c>
      <c r="AS154" s="50">
        <f t="shared" si="109"/>
        <v>0</v>
      </c>
      <c r="AT154" s="50">
        <f t="shared" si="109"/>
        <v>0</v>
      </c>
      <c r="AU154" s="50">
        <f t="shared" si="109"/>
        <v>0</v>
      </c>
    </row>
    <row r="155" spans="1:47" s="60" customFormat="1">
      <c r="D155" s="187"/>
      <c r="E155" s="325"/>
      <c r="G155" s="39" t="s">
        <v>305</v>
      </c>
      <c r="I155" s="39"/>
      <c r="K155" s="39"/>
      <c r="L155" s="174"/>
      <c r="N155" s="188"/>
      <c r="O155" s="314"/>
      <c r="P155" s="185"/>
      <c r="Q155" s="314"/>
      <c r="R155" s="185">
        <f ca="1">SUM(R144:R151)-SUM(R153:R154)</f>
        <v>378325.25475647952</v>
      </c>
      <c r="S155" s="185">
        <f t="shared" ref="S155:AU155" ca="1" si="110">SUM(S144:S151)-SUM(S153:S154)</f>
        <v>385862.87429313839</v>
      </c>
      <c r="T155" s="185">
        <f t="shared" ca="1" si="110"/>
        <v>393628.92459099699</v>
      </c>
      <c r="U155" s="185">
        <f t="shared" ca="1" si="110"/>
        <v>401523.52110967063</v>
      </c>
      <c r="V155" s="185">
        <f t="shared" ca="1" si="110"/>
        <v>409563.36262059165</v>
      </c>
      <c r="W155" s="185">
        <f t="shared" ca="1" si="110"/>
        <v>417737.88752771361</v>
      </c>
      <c r="X155" s="185">
        <f t="shared" ca="1" si="110"/>
        <v>426083.87485811958</v>
      </c>
      <c r="Y155" s="185">
        <f t="shared" ca="1" si="110"/>
        <v>434616.64249699609</v>
      </c>
      <c r="Z155" s="185">
        <f t="shared" ca="1" si="110"/>
        <v>443318.6303320509</v>
      </c>
      <c r="AA155" s="185">
        <f t="shared" ca="1" si="110"/>
        <v>452197.55278252997</v>
      </c>
      <c r="AB155" s="185">
        <f t="shared" ca="1" si="110"/>
        <v>461245.77195686335</v>
      </c>
      <c r="AC155" s="185">
        <f t="shared" ca="1" si="110"/>
        <v>470468.73373264022</v>
      </c>
      <c r="AD155" s="185">
        <f t="shared" ca="1" si="110"/>
        <v>479886.4088822247</v>
      </c>
      <c r="AE155" s="185">
        <f t="shared" ca="1" si="110"/>
        <v>489491.78509663272</v>
      </c>
      <c r="AF155" s="185">
        <f t="shared" ca="1" si="110"/>
        <v>499292.20300809963</v>
      </c>
      <c r="AG155" s="185">
        <f t="shared" ca="1" si="110"/>
        <v>509295.30728889536</v>
      </c>
      <c r="AH155" s="185">
        <f t="shared" ca="1" si="110"/>
        <v>519494.48023868643</v>
      </c>
      <c r="AI155" s="185">
        <f t="shared" ca="1" si="110"/>
        <v>529902.28628412052</v>
      </c>
      <c r="AJ155" s="185">
        <f t="shared" ca="1" si="110"/>
        <v>540521.27147364663</v>
      </c>
      <c r="AK155" s="185">
        <f t="shared" ca="1" si="110"/>
        <v>551354.57786501339</v>
      </c>
      <c r="AL155" s="185">
        <f t="shared" si="110"/>
        <v>0</v>
      </c>
      <c r="AM155" s="185">
        <f t="shared" si="110"/>
        <v>0</v>
      </c>
      <c r="AN155" s="185">
        <f t="shared" si="110"/>
        <v>0</v>
      </c>
      <c r="AO155" s="185">
        <f t="shared" si="110"/>
        <v>0</v>
      </c>
      <c r="AP155" s="185">
        <f t="shared" si="110"/>
        <v>0</v>
      </c>
      <c r="AQ155" s="185">
        <f t="shared" si="110"/>
        <v>0</v>
      </c>
      <c r="AR155" s="185">
        <f t="shared" si="110"/>
        <v>0</v>
      </c>
      <c r="AS155" s="185">
        <f t="shared" si="110"/>
        <v>0</v>
      </c>
      <c r="AT155" s="185">
        <f t="shared" si="110"/>
        <v>0</v>
      </c>
      <c r="AU155" s="185">
        <f t="shared" si="110"/>
        <v>0</v>
      </c>
    </row>
    <row r="156" spans="1:47">
      <c r="G156" s="28"/>
      <c r="H156" s="28"/>
      <c r="I156" s="28"/>
      <c r="J156" s="28"/>
      <c r="K156" s="28"/>
      <c r="L156" s="409"/>
      <c r="M156" s="46"/>
      <c r="N156" s="46"/>
      <c r="O156" s="315"/>
      <c r="P156" s="46"/>
      <c r="Q156" s="315"/>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row>
    <row r="157" spans="1:47">
      <c r="E157" s="327"/>
      <c r="F157" s="28"/>
      <c r="G157" s="324" t="str">
        <f>C159&amp;" Capital Costs"</f>
        <v>Cake Storage/Load Out Capital Costs</v>
      </c>
      <c r="H157" s="324"/>
      <c r="I157" s="324"/>
      <c r="J157" s="324"/>
      <c r="K157" s="324"/>
      <c r="L157" s="405" t="s">
        <v>79</v>
      </c>
      <c r="M157" s="256"/>
      <c r="N157" s="325" t="s">
        <v>490</v>
      </c>
      <c r="O157" s="311"/>
      <c r="P157" s="325" t="s">
        <v>491</v>
      </c>
      <c r="Q157" s="310"/>
      <c r="R157" s="325">
        <f>R$8</f>
        <v>2014</v>
      </c>
      <c r="S157" s="325">
        <f t="shared" ref="S157:AU157" si="111">S$8</f>
        <v>2015</v>
      </c>
      <c r="T157" s="325">
        <f t="shared" si="111"/>
        <v>2016</v>
      </c>
      <c r="U157" s="325">
        <f t="shared" si="111"/>
        <v>2017</v>
      </c>
      <c r="V157" s="325">
        <f t="shared" si="111"/>
        <v>2018</v>
      </c>
      <c r="W157" s="325">
        <f t="shared" si="111"/>
        <v>2019</v>
      </c>
      <c r="X157" s="325">
        <f t="shared" si="111"/>
        <v>2020</v>
      </c>
      <c r="Y157" s="325">
        <f t="shared" si="111"/>
        <v>2021</v>
      </c>
      <c r="Z157" s="325">
        <f t="shared" si="111"/>
        <v>2022</v>
      </c>
      <c r="AA157" s="325">
        <f t="shared" si="111"/>
        <v>2023</v>
      </c>
      <c r="AB157" s="325">
        <f t="shared" si="111"/>
        <v>2024</v>
      </c>
      <c r="AC157" s="325">
        <f t="shared" si="111"/>
        <v>2025</v>
      </c>
      <c r="AD157" s="325">
        <f t="shared" si="111"/>
        <v>2026</v>
      </c>
      <c r="AE157" s="325">
        <f t="shared" si="111"/>
        <v>2027</v>
      </c>
      <c r="AF157" s="325">
        <f t="shared" si="111"/>
        <v>2028</v>
      </c>
      <c r="AG157" s="325">
        <f t="shared" si="111"/>
        <v>2029</v>
      </c>
      <c r="AH157" s="325">
        <f t="shared" si="111"/>
        <v>2030</v>
      </c>
      <c r="AI157" s="325">
        <f t="shared" si="111"/>
        <v>2031</v>
      </c>
      <c r="AJ157" s="325">
        <f t="shared" si="111"/>
        <v>2032</v>
      </c>
      <c r="AK157" s="325">
        <f t="shared" si="111"/>
        <v>2033</v>
      </c>
      <c r="AL157" s="325">
        <f t="shared" si="111"/>
        <v>2034</v>
      </c>
      <c r="AM157" s="325">
        <f t="shared" si="111"/>
        <v>2035</v>
      </c>
      <c r="AN157" s="325">
        <f t="shared" si="111"/>
        <v>2036</v>
      </c>
      <c r="AO157" s="325">
        <f t="shared" si="111"/>
        <v>2037</v>
      </c>
      <c r="AP157" s="325">
        <f t="shared" si="111"/>
        <v>2038</v>
      </c>
      <c r="AQ157" s="325">
        <f t="shared" si="111"/>
        <v>2039</v>
      </c>
      <c r="AR157" s="325">
        <f t="shared" si="111"/>
        <v>2040</v>
      </c>
      <c r="AS157" s="325">
        <f t="shared" si="111"/>
        <v>2041</v>
      </c>
      <c r="AT157" s="325">
        <f t="shared" si="111"/>
        <v>2042</v>
      </c>
      <c r="AU157" s="325">
        <f t="shared" si="111"/>
        <v>2043</v>
      </c>
    </row>
    <row r="158" spans="1:47">
      <c r="E158" s="325"/>
      <c r="G158" s="39"/>
      <c r="H158" s="39"/>
      <c r="I158" s="39"/>
      <c r="J158" s="39"/>
      <c r="K158" s="39"/>
    </row>
    <row r="159" spans="1:47">
      <c r="A159" s="38" t="str">
        <f>$J$4&amp;"-"</f>
        <v>4Y-</v>
      </c>
      <c r="B159" s="38" t="s">
        <v>306</v>
      </c>
      <c r="C159" s="38" t="s">
        <v>316</v>
      </c>
      <c r="D159" s="186">
        <f>CapExEsc</f>
        <v>0.03</v>
      </c>
      <c r="E159" s="325"/>
      <c r="G159" s="36" t="s">
        <v>8</v>
      </c>
      <c r="H159" s="39"/>
      <c r="I159" s="39"/>
      <c r="J159" s="70"/>
      <c r="K159" s="39"/>
      <c r="L159" s="43" t="str">
        <f>"["&amp;CostBaseYr&amp;" $]"</f>
        <v>[2013 $]</v>
      </c>
      <c r="N159" s="52">
        <f ca="1">SUMIFS(OFFSET(Assumptions!$I$65,0,MATCH($A159,Configurations,0)-1,COUNT(Assumptions!$A$65:$A$84),1),Assumptions!$E$65:$E$84,$C159)</f>
        <v>0</v>
      </c>
      <c r="O159" s="52"/>
      <c r="P159" s="322"/>
      <c r="Q159" s="52"/>
      <c r="R159" s="52">
        <f t="shared" ref="R159:AU159" ca="1" si="112">R160*IF($P159=0,$N159,$P159)*(1+$D159)^(R$8-CostBaseYr)</f>
        <v>0</v>
      </c>
      <c r="S159" s="52">
        <f t="shared" ca="1" si="112"/>
        <v>0</v>
      </c>
      <c r="T159" s="52">
        <f t="shared" ca="1" si="112"/>
        <v>0</v>
      </c>
      <c r="U159" s="52">
        <f t="shared" ca="1" si="112"/>
        <v>0</v>
      </c>
      <c r="V159" s="52">
        <f t="shared" ca="1" si="112"/>
        <v>0</v>
      </c>
      <c r="W159" s="52">
        <f t="shared" ca="1" si="112"/>
        <v>0</v>
      </c>
      <c r="X159" s="52">
        <f t="shared" ca="1" si="112"/>
        <v>0</v>
      </c>
      <c r="Y159" s="52">
        <f t="shared" ca="1" si="112"/>
        <v>0</v>
      </c>
      <c r="Z159" s="52">
        <f t="shared" ca="1" si="112"/>
        <v>0</v>
      </c>
      <c r="AA159" s="52">
        <f t="shared" ca="1" si="112"/>
        <v>0</v>
      </c>
      <c r="AB159" s="52">
        <f t="shared" ca="1" si="112"/>
        <v>0</v>
      </c>
      <c r="AC159" s="52">
        <f t="shared" ca="1" si="112"/>
        <v>0</v>
      </c>
      <c r="AD159" s="52">
        <f t="shared" ca="1" si="112"/>
        <v>0</v>
      </c>
      <c r="AE159" s="52">
        <f t="shared" ca="1" si="112"/>
        <v>0</v>
      </c>
      <c r="AF159" s="52">
        <f t="shared" ca="1" si="112"/>
        <v>0</v>
      </c>
      <c r="AG159" s="52">
        <f t="shared" ca="1" si="112"/>
        <v>0</v>
      </c>
      <c r="AH159" s="52">
        <f t="shared" ca="1" si="112"/>
        <v>0</v>
      </c>
      <c r="AI159" s="52">
        <f t="shared" ca="1" si="112"/>
        <v>0</v>
      </c>
      <c r="AJ159" s="52">
        <f t="shared" ca="1" si="112"/>
        <v>0</v>
      </c>
      <c r="AK159" s="52">
        <f t="shared" ca="1" si="112"/>
        <v>0</v>
      </c>
      <c r="AL159" s="52">
        <f t="shared" ca="1" si="112"/>
        <v>0</v>
      </c>
      <c r="AM159" s="52">
        <f t="shared" ca="1" si="112"/>
        <v>0</v>
      </c>
      <c r="AN159" s="52">
        <f t="shared" ca="1" si="112"/>
        <v>0</v>
      </c>
      <c r="AO159" s="52">
        <f t="shared" ca="1" si="112"/>
        <v>0</v>
      </c>
      <c r="AP159" s="52">
        <f t="shared" ca="1" si="112"/>
        <v>0</v>
      </c>
      <c r="AQ159" s="52">
        <f t="shared" ca="1" si="112"/>
        <v>0</v>
      </c>
      <c r="AR159" s="52">
        <f t="shared" ca="1" si="112"/>
        <v>0</v>
      </c>
      <c r="AS159" s="52">
        <f t="shared" ca="1" si="112"/>
        <v>0</v>
      </c>
      <c r="AT159" s="52">
        <f t="shared" ca="1" si="112"/>
        <v>0</v>
      </c>
      <c r="AU159" s="52">
        <f t="shared" ca="1" si="112"/>
        <v>0</v>
      </c>
    </row>
    <row r="160" spans="1:47">
      <c r="E160" s="325"/>
      <c r="G160" s="36" t="s">
        <v>10</v>
      </c>
      <c r="H160" s="39"/>
      <c r="I160" s="39"/>
      <c r="J160" s="39"/>
      <c r="K160" s="39"/>
      <c r="L160" s="43"/>
      <c r="R160" s="54">
        <f>Assumptions!M$60</f>
        <v>1</v>
      </c>
      <c r="S160" s="54">
        <f>Assumptions!N$60</f>
        <v>0</v>
      </c>
      <c r="T160" s="54">
        <f>Assumptions!O$60</f>
        <v>0</v>
      </c>
      <c r="U160" s="54">
        <f>Assumptions!P$60</f>
        <v>0</v>
      </c>
      <c r="V160" s="54">
        <f>Assumptions!Q$60</f>
        <v>0</v>
      </c>
      <c r="W160" s="54">
        <f>Assumptions!R$60</f>
        <v>0</v>
      </c>
      <c r="X160" s="54">
        <f>Assumptions!S$60</f>
        <v>0</v>
      </c>
      <c r="Y160" s="54">
        <f>Assumptions!T$60</f>
        <v>0</v>
      </c>
      <c r="Z160" s="54">
        <f>Assumptions!U$60</f>
        <v>0</v>
      </c>
      <c r="AA160" s="54">
        <f>Assumptions!V$60</f>
        <v>0</v>
      </c>
      <c r="AB160" s="54">
        <f>Assumptions!W$60</f>
        <v>0</v>
      </c>
      <c r="AC160" s="54">
        <f>Assumptions!X$60</f>
        <v>0</v>
      </c>
      <c r="AD160" s="54">
        <f>Assumptions!Y$60</f>
        <v>0</v>
      </c>
      <c r="AE160" s="54">
        <f>Assumptions!Z$60</f>
        <v>0</v>
      </c>
      <c r="AF160" s="54">
        <f>Assumptions!AA$60</f>
        <v>0</v>
      </c>
      <c r="AG160" s="54">
        <f>Assumptions!AB$60</f>
        <v>0</v>
      </c>
      <c r="AH160" s="54">
        <f>Assumptions!AC$60</f>
        <v>0</v>
      </c>
      <c r="AI160" s="54">
        <f>Assumptions!AD$60</f>
        <v>0</v>
      </c>
      <c r="AJ160" s="54">
        <f>Assumptions!AE$60</f>
        <v>0</v>
      </c>
      <c r="AK160" s="54">
        <f>Assumptions!AF$60</f>
        <v>0</v>
      </c>
      <c r="AL160" s="54">
        <f>Assumptions!AG$60</f>
        <v>0</v>
      </c>
      <c r="AM160" s="54">
        <f>Assumptions!AH$60</f>
        <v>0</v>
      </c>
      <c r="AN160" s="54">
        <f>Assumptions!AI$60</f>
        <v>0</v>
      </c>
      <c r="AO160" s="54">
        <f>Assumptions!AJ$60</f>
        <v>0</v>
      </c>
      <c r="AP160" s="54">
        <f>Assumptions!AK$60</f>
        <v>0</v>
      </c>
      <c r="AQ160" s="54">
        <f>Assumptions!AL$60</f>
        <v>0</v>
      </c>
      <c r="AR160" s="54">
        <f>Assumptions!AM$60</f>
        <v>0</v>
      </c>
      <c r="AS160" s="54">
        <f>Assumptions!AN$60</f>
        <v>0</v>
      </c>
      <c r="AT160" s="54">
        <f>Assumptions!AO$60</f>
        <v>0</v>
      </c>
      <c r="AU160" s="54">
        <f>Assumptions!AP$60</f>
        <v>0</v>
      </c>
    </row>
    <row r="161" spans="1:47">
      <c r="E161" s="326"/>
      <c r="G161" s="39"/>
      <c r="H161" s="39"/>
      <c r="I161" s="39"/>
      <c r="J161" s="39"/>
      <c r="K161" s="39"/>
    </row>
    <row r="162" spans="1:47">
      <c r="E162" s="327"/>
      <c r="F162" s="28"/>
      <c r="G162" s="324" t="str">
        <f>C159&amp;" O&amp;M"</f>
        <v>Cake Storage/Load Out O&amp;M</v>
      </c>
      <c r="H162" s="324"/>
      <c r="I162" s="324"/>
      <c r="J162" s="324"/>
      <c r="K162" s="324"/>
      <c r="L162" s="405" t="s">
        <v>79</v>
      </c>
      <c r="M162" s="256"/>
      <c r="N162" s="325" t="s">
        <v>490</v>
      </c>
      <c r="O162" s="311"/>
      <c r="P162" s="325" t="s">
        <v>491</v>
      </c>
      <c r="Q162" s="310"/>
      <c r="R162" s="325">
        <f>R$8</f>
        <v>2014</v>
      </c>
      <c r="S162" s="325">
        <f t="shared" ref="S162:AU162" si="113">S$8</f>
        <v>2015</v>
      </c>
      <c r="T162" s="325">
        <f t="shared" si="113"/>
        <v>2016</v>
      </c>
      <c r="U162" s="325">
        <f t="shared" si="113"/>
        <v>2017</v>
      </c>
      <c r="V162" s="325">
        <f t="shared" si="113"/>
        <v>2018</v>
      </c>
      <c r="W162" s="325">
        <f t="shared" si="113"/>
        <v>2019</v>
      </c>
      <c r="X162" s="325">
        <f t="shared" si="113"/>
        <v>2020</v>
      </c>
      <c r="Y162" s="325">
        <f t="shared" si="113"/>
        <v>2021</v>
      </c>
      <c r="Z162" s="325">
        <f t="shared" si="113"/>
        <v>2022</v>
      </c>
      <c r="AA162" s="325">
        <f t="shared" si="113"/>
        <v>2023</v>
      </c>
      <c r="AB162" s="325">
        <f t="shared" si="113"/>
        <v>2024</v>
      </c>
      <c r="AC162" s="325">
        <f t="shared" si="113"/>
        <v>2025</v>
      </c>
      <c r="AD162" s="325">
        <f t="shared" si="113"/>
        <v>2026</v>
      </c>
      <c r="AE162" s="325">
        <f t="shared" si="113"/>
        <v>2027</v>
      </c>
      <c r="AF162" s="325">
        <f t="shared" si="113"/>
        <v>2028</v>
      </c>
      <c r="AG162" s="325">
        <f t="shared" si="113"/>
        <v>2029</v>
      </c>
      <c r="AH162" s="325">
        <f t="shared" si="113"/>
        <v>2030</v>
      </c>
      <c r="AI162" s="325">
        <f t="shared" si="113"/>
        <v>2031</v>
      </c>
      <c r="AJ162" s="325">
        <f t="shared" si="113"/>
        <v>2032</v>
      </c>
      <c r="AK162" s="325">
        <f t="shared" si="113"/>
        <v>2033</v>
      </c>
      <c r="AL162" s="325">
        <f t="shared" si="113"/>
        <v>2034</v>
      </c>
      <c r="AM162" s="325">
        <f t="shared" si="113"/>
        <v>2035</v>
      </c>
      <c r="AN162" s="325">
        <f t="shared" si="113"/>
        <v>2036</v>
      </c>
      <c r="AO162" s="325">
        <f t="shared" si="113"/>
        <v>2037</v>
      </c>
      <c r="AP162" s="325">
        <f t="shared" si="113"/>
        <v>2038</v>
      </c>
      <c r="AQ162" s="325">
        <f t="shared" si="113"/>
        <v>2039</v>
      </c>
      <c r="AR162" s="325">
        <f t="shared" si="113"/>
        <v>2040</v>
      </c>
      <c r="AS162" s="325">
        <f t="shared" si="113"/>
        <v>2041</v>
      </c>
      <c r="AT162" s="325">
        <f t="shared" si="113"/>
        <v>2042</v>
      </c>
      <c r="AU162" s="325">
        <f t="shared" si="113"/>
        <v>2043</v>
      </c>
    </row>
    <row r="163" spans="1:47">
      <c r="E163" s="325"/>
      <c r="G163" s="39"/>
      <c r="H163" s="39"/>
      <c r="I163" s="39"/>
      <c r="J163" s="39"/>
      <c r="K163" s="39"/>
    </row>
    <row r="164" spans="1:47">
      <c r="E164" s="325"/>
      <c r="G164" s="39" t="s">
        <v>23</v>
      </c>
      <c r="H164" s="39"/>
      <c r="I164" s="39"/>
      <c r="J164" s="39"/>
      <c r="K164" s="39"/>
    </row>
    <row r="165" spans="1:47">
      <c r="A165" s="38" t="str">
        <f t="shared" ref="A165:A172" si="114">$J$4&amp;"-"</f>
        <v>4Y-</v>
      </c>
      <c r="B165" s="38" t="s">
        <v>262</v>
      </c>
      <c r="C165" s="38" t="str">
        <f>C159</f>
        <v>Cake Storage/Load Out</v>
      </c>
      <c r="D165" s="186">
        <f>LaborEsc</f>
        <v>0.02</v>
      </c>
      <c r="E165" s="325"/>
      <c r="G165" s="36" t="s">
        <v>125</v>
      </c>
      <c r="I165" s="39"/>
      <c r="K165" s="39"/>
      <c r="L165" s="43" t="s">
        <v>266</v>
      </c>
      <c r="N165" s="70">
        <f ca="1">SUMIFS(OFFSET(Assumptions!$I$90,0,MATCH($A165,Configurations,0)-1,COUNT(Assumptions!$A$90:$A$183),1),Assumptions!$D$90:$D$183,$B165&amp;$C165)</f>
        <v>0</v>
      </c>
      <c r="O165" s="313"/>
      <c r="P165" s="323"/>
      <c r="Q165" s="313"/>
      <c r="R165" s="50">
        <f t="shared" ref="R165:AU165" ca="1" si="115">IF(OR(R$99&lt;InServiceYr,R$99&gt;(InServiceYr+analysis_period-1)),0,IF($P165=0,$N165,$P165)*LaborCost*(1+$D165)^(R$99-CostBaseYr))</f>
        <v>0</v>
      </c>
      <c r="S165" s="50">
        <f t="shared" ca="1" si="115"/>
        <v>0</v>
      </c>
      <c r="T165" s="50">
        <f t="shared" ca="1" si="115"/>
        <v>0</v>
      </c>
      <c r="U165" s="50">
        <f t="shared" ca="1" si="115"/>
        <v>0</v>
      </c>
      <c r="V165" s="50">
        <f t="shared" ca="1" si="115"/>
        <v>0</v>
      </c>
      <c r="W165" s="50">
        <f t="shared" ca="1" si="115"/>
        <v>0</v>
      </c>
      <c r="X165" s="50">
        <f t="shared" ca="1" si="115"/>
        <v>0</v>
      </c>
      <c r="Y165" s="50">
        <f t="shared" ca="1" si="115"/>
        <v>0</v>
      </c>
      <c r="Z165" s="50">
        <f t="shared" ca="1" si="115"/>
        <v>0</v>
      </c>
      <c r="AA165" s="50">
        <f t="shared" ca="1" si="115"/>
        <v>0</v>
      </c>
      <c r="AB165" s="50">
        <f t="shared" ca="1" si="115"/>
        <v>0</v>
      </c>
      <c r="AC165" s="50">
        <f t="shared" ca="1" si="115"/>
        <v>0</v>
      </c>
      <c r="AD165" s="50">
        <f t="shared" ca="1" si="115"/>
        <v>0</v>
      </c>
      <c r="AE165" s="50">
        <f t="shared" ca="1" si="115"/>
        <v>0</v>
      </c>
      <c r="AF165" s="50">
        <f t="shared" ca="1" si="115"/>
        <v>0</v>
      </c>
      <c r="AG165" s="50">
        <f t="shared" ca="1" si="115"/>
        <v>0</v>
      </c>
      <c r="AH165" s="50">
        <f t="shared" ca="1" si="115"/>
        <v>0</v>
      </c>
      <c r="AI165" s="50">
        <f t="shared" ca="1" si="115"/>
        <v>0</v>
      </c>
      <c r="AJ165" s="50">
        <f t="shared" ca="1" si="115"/>
        <v>0</v>
      </c>
      <c r="AK165" s="50">
        <f t="shared" ca="1" si="115"/>
        <v>0</v>
      </c>
      <c r="AL165" s="50">
        <f t="shared" si="115"/>
        <v>0</v>
      </c>
      <c r="AM165" s="50">
        <f t="shared" si="115"/>
        <v>0</v>
      </c>
      <c r="AN165" s="50">
        <f t="shared" si="115"/>
        <v>0</v>
      </c>
      <c r="AO165" s="50">
        <f t="shared" si="115"/>
        <v>0</v>
      </c>
      <c r="AP165" s="50">
        <f t="shared" si="115"/>
        <v>0</v>
      </c>
      <c r="AQ165" s="50">
        <f t="shared" si="115"/>
        <v>0</v>
      </c>
      <c r="AR165" s="50">
        <f t="shared" si="115"/>
        <v>0</v>
      </c>
      <c r="AS165" s="50">
        <f t="shared" si="115"/>
        <v>0</v>
      </c>
      <c r="AT165" s="50">
        <f t="shared" si="115"/>
        <v>0</v>
      </c>
      <c r="AU165" s="50">
        <f t="shared" si="115"/>
        <v>0</v>
      </c>
    </row>
    <row r="166" spans="1:47">
      <c r="A166" s="38" t="str">
        <f t="shared" si="114"/>
        <v>4Y-</v>
      </c>
      <c r="B166" s="38" t="s">
        <v>270</v>
      </c>
      <c r="C166" s="38" t="str">
        <f>C165</f>
        <v>Cake Storage/Load Out</v>
      </c>
      <c r="D166" s="186">
        <f>OMEsc</f>
        <v>0.02</v>
      </c>
      <c r="E166" s="325"/>
      <c r="G166" s="36" t="s">
        <v>126</v>
      </c>
      <c r="I166" s="39"/>
      <c r="K166" s="39"/>
      <c r="L166" s="43" t="str">
        <f>"["&amp;CostBaseYr&amp;" $]"</f>
        <v>[2013 $]</v>
      </c>
      <c r="N166" s="70">
        <f ca="1">SUMIFS(OFFSET(Assumptions!$I$90,0,MATCH($A166,Configurations,0)-1,COUNT(Assumptions!$A$90:$A$183),1),Assumptions!$D$90:$D$183,$B166&amp;$C166)</f>
        <v>0</v>
      </c>
      <c r="O166" s="313"/>
      <c r="P166" s="323"/>
      <c r="Q166" s="313"/>
      <c r="R166" s="50">
        <f t="shared" ref="R166:AG168" ca="1" si="116">IF(OR(R$99&lt;InServiceYr,R$99&gt;(InServiceYr+analysis_period-1)),0,IF($P166=0,$N166,$P166)*(1+$D166)^(R$99-CostBaseYr))</f>
        <v>0</v>
      </c>
      <c r="S166" s="50">
        <f t="shared" ca="1" si="116"/>
        <v>0</v>
      </c>
      <c r="T166" s="50">
        <f t="shared" ca="1" si="116"/>
        <v>0</v>
      </c>
      <c r="U166" s="50">
        <f t="shared" ca="1" si="116"/>
        <v>0</v>
      </c>
      <c r="V166" s="50">
        <f t="shared" ca="1" si="116"/>
        <v>0</v>
      </c>
      <c r="W166" s="50">
        <f t="shared" ca="1" si="116"/>
        <v>0</v>
      </c>
      <c r="X166" s="50">
        <f t="shared" ca="1" si="116"/>
        <v>0</v>
      </c>
      <c r="Y166" s="50">
        <f t="shared" ca="1" si="116"/>
        <v>0</v>
      </c>
      <c r="Z166" s="50">
        <f t="shared" ca="1" si="116"/>
        <v>0</v>
      </c>
      <c r="AA166" s="50">
        <f t="shared" ca="1" si="116"/>
        <v>0</v>
      </c>
      <c r="AB166" s="50">
        <f t="shared" ca="1" si="116"/>
        <v>0</v>
      </c>
      <c r="AC166" s="50">
        <f t="shared" ca="1" si="116"/>
        <v>0</v>
      </c>
      <c r="AD166" s="50">
        <f t="shared" ca="1" si="116"/>
        <v>0</v>
      </c>
      <c r="AE166" s="50">
        <f t="shared" ca="1" si="116"/>
        <v>0</v>
      </c>
      <c r="AF166" s="50">
        <f t="shared" ca="1" si="116"/>
        <v>0</v>
      </c>
      <c r="AG166" s="50">
        <f t="shared" ca="1" si="116"/>
        <v>0</v>
      </c>
      <c r="AH166" s="50">
        <f t="shared" ref="S166:AU168" ca="1" si="117">IF(OR(AH$99&lt;InServiceYr,AH$99&gt;(InServiceYr+analysis_period-1)),0,IF($P166=0,$N166,$P166)*(1+$D166)^(AH$99-CostBaseYr))</f>
        <v>0</v>
      </c>
      <c r="AI166" s="50">
        <f t="shared" ca="1" si="117"/>
        <v>0</v>
      </c>
      <c r="AJ166" s="50">
        <f t="shared" ca="1" si="117"/>
        <v>0</v>
      </c>
      <c r="AK166" s="50">
        <f t="shared" ca="1" si="117"/>
        <v>0</v>
      </c>
      <c r="AL166" s="50">
        <f t="shared" si="117"/>
        <v>0</v>
      </c>
      <c r="AM166" s="50">
        <f t="shared" si="117"/>
        <v>0</v>
      </c>
      <c r="AN166" s="50">
        <f t="shared" si="117"/>
        <v>0</v>
      </c>
      <c r="AO166" s="50">
        <f t="shared" si="117"/>
        <v>0</v>
      </c>
      <c r="AP166" s="50">
        <f t="shared" si="117"/>
        <v>0</v>
      </c>
      <c r="AQ166" s="50">
        <f t="shared" si="117"/>
        <v>0</v>
      </c>
      <c r="AR166" s="50">
        <f t="shared" si="117"/>
        <v>0</v>
      </c>
      <c r="AS166" s="50">
        <f t="shared" si="117"/>
        <v>0</v>
      </c>
      <c r="AT166" s="50">
        <f t="shared" si="117"/>
        <v>0</v>
      </c>
      <c r="AU166" s="50">
        <f t="shared" si="117"/>
        <v>0</v>
      </c>
    </row>
    <row r="167" spans="1:47">
      <c r="A167" s="38" t="str">
        <f t="shared" si="114"/>
        <v>4Y-</v>
      </c>
      <c r="B167" s="38" t="s">
        <v>263</v>
      </c>
      <c r="C167" s="38" t="str">
        <f t="shared" ref="C167:C171" si="118">C166</f>
        <v>Cake Storage/Load Out</v>
      </c>
      <c r="D167" s="186">
        <f>OMEsc</f>
        <v>0.02</v>
      </c>
      <c r="E167" s="325"/>
      <c r="G167" s="36" t="s">
        <v>127</v>
      </c>
      <c r="I167" s="39"/>
      <c r="K167" s="39"/>
      <c r="L167" s="43" t="str">
        <f>"["&amp;CostBaseYr&amp;" $]"</f>
        <v>[2013 $]</v>
      </c>
      <c r="N167" s="70">
        <f ca="1">SUMIFS(OFFSET(Assumptions!$I$90,0,MATCH($A167,Configurations,0)-1,COUNT(Assumptions!$A$90:$A$183),1),Assumptions!$D$90:$D$183,$B167&amp;$C167)</f>
        <v>0</v>
      </c>
      <c r="O167" s="313"/>
      <c r="P167" s="323"/>
      <c r="Q167" s="313"/>
      <c r="R167" s="50">
        <f t="shared" ca="1" si="116"/>
        <v>0</v>
      </c>
      <c r="S167" s="50">
        <f t="shared" ca="1" si="117"/>
        <v>0</v>
      </c>
      <c r="T167" s="50">
        <f t="shared" ca="1" si="117"/>
        <v>0</v>
      </c>
      <c r="U167" s="50">
        <f t="shared" ca="1" si="117"/>
        <v>0</v>
      </c>
      <c r="V167" s="50">
        <f t="shared" ca="1" si="117"/>
        <v>0</v>
      </c>
      <c r="W167" s="50">
        <f t="shared" ca="1" si="117"/>
        <v>0</v>
      </c>
      <c r="X167" s="50">
        <f t="shared" ca="1" si="117"/>
        <v>0</v>
      </c>
      <c r="Y167" s="50">
        <f t="shared" ca="1" si="117"/>
        <v>0</v>
      </c>
      <c r="Z167" s="50">
        <f t="shared" ca="1" si="117"/>
        <v>0</v>
      </c>
      <c r="AA167" s="50">
        <f t="shared" ca="1" si="117"/>
        <v>0</v>
      </c>
      <c r="AB167" s="50">
        <f t="shared" ca="1" si="117"/>
        <v>0</v>
      </c>
      <c r="AC167" s="50">
        <f t="shared" ca="1" si="117"/>
        <v>0</v>
      </c>
      <c r="AD167" s="50">
        <f t="shared" ca="1" si="117"/>
        <v>0</v>
      </c>
      <c r="AE167" s="50">
        <f t="shared" ca="1" si="117"/>
        <v>0</v>
      </c>
      <c r="AF167" s="50">
        <f t="shared" ca="1" si="117"/>
        <v>0</v>
      </c>
      <c r="AG167" s="50">
        <f t="shared" ca="1" si="117"/>
        <v>0</v>
      </c>
      <c r="AH167" s="50">
        <f t="shared" ca="1" si="117"/>
        <v>0</v>
      </c>
      <c r="AI167" s="50">
        <f t="shared" ca="1" si="117"/>
        <v>0</v>
      </c>
      <c r="AJ167" s="50">
        <f t="shared" ca="1" si="117"/>
        <v>0</v>
      </c>
      <c r="AK167" s="50">
        <f t="shared" ca="1" si="117"/>
        <v>0</v>
      </c>
      <c r="AL167" s="50">
        <f t="shared" si="117"/>
        <v>0</v>
      </c>
      <c r="AM167" s="50">
        <f t="shared" si="117"/>
        <v>0</v>
      </c>
      <c r="AN167" s="50">
        <f t="shared" si="117"/>
        <v>0</v>
      </c>
      <c r="AO167" s="50">
        <f t="shared" si="117"/>
        <v>0</v>
      </c>
      <c r="AP167" s="50">
        <f t="shared" si="117"/>
        <v>0</v>
      </c>
      <c r="AQ167" s="50">
        <f t="shared" si="117"/>
        <v>0</v>
      </c>
      <c r="AR167" s="50">
        <f t="shared" si="117"/>
        <v>0</v>
      </c>
      <c r="AS167" s="50">
        <f t="shared" si="117"/>
        <v>0</v>
      </c>
      <c r="AT167" s="50">
        <f t="shared" si="117"/>
        <v>0</v>
      </c>
      <c r="AU167" s="50">
        <f t="shared" si="117"/>
        <v>0</v>
      </c>
    </row>
    <row r="168" spans="1:47">
      <c r="A168" s="38" t="str">
        <f t="shared" si="114"/>
        <v>4Y-</v>
      </c>
      <c r="B168" s="38" t="s">
        <v>277</v>
      </c>
      <c r="C168" s="38" t="str">
        <f t="shared" si="118"/>
        <v>Cake Storage/Load Out</v>
      </c>
      <c r="D168" s="186">
        <f>OMEsc</f>
        <v>0.02</v>
      </c>
      <c r="E168" s="325"/>
      <c r="G168" s="36" t="s">
        <v>276</v>
      </c>
      <c r="I168" s="39"/>
      <c r="K168" s="39"/>
      <c r="L168" s="43" t="str">
        <f>"["&amp;CostBaseYr&amp;" $]"</f>
        <v>[2013 $]</v>
      </c>
      <c r="N168" s="70">
        <f ca="1">SUMIFS(OFFSET(Assumptions!$I$90,0,MATCH($A168,Configurations,0)-1,COUNT(Assumptions!$A$90:$A$183),1),Assumptions!$D$90:$D$183,$B168&amp;$C168)</f>
        <v>0</v>
      </c>
      <c r="O168" s="313"/>
      <c r="P168" s="323"/>
      <c r="Q168" s="313"/>
      <c r="R168" s="50">
        <f t="shared" ca="1" si="116"/>
        <v>0</v>
      </c>
      <c r="S168" s="50">
        <f t="shared" ca="1" si="117"/>
        <v>0</v>
      </c>
      <c r="T168" s="50">
        <f t="shared" ca="1" si="117"/>
        <v>0</v>
      </c>
      <c r="U168" s="50">
        <f t="shared" ca="1" si="117"/>
        <v>0</v>
      </c>
      <c r="V168" s="50">
        <f t="shared" ca="1" si="117"/>
        <v>0</v>
      </c>
      <c r="W168" s="50">
        <f t="shared" ca="1" si="117"/>
        <v>0</v>
      </c>
      <c r="X168" s="50">
        <f t="shared" ca="1" si="117"/>
        <v>0</v>
      </c>
      <c r="Y168" s="50">
        <f t="shared" ca="1" si="117"/>
        <v>0</v>
      </c>
      <c r="Z168" s="50">
        <f t="shared" ca="1" si="117"/>
        <v>0</v>
      </c>
      <c r="AA168" s="50">
        <f t="shared" ca="1" si="117"/>
        <v>0</v>
      </c>
      <c r="AB168" s="50">
        <f t="shared" ca="1" si="117"/>
        <v>0</v>
      </c>
      <c r="AC168" s="50">
        <f t="shared" ca="1" si="117"/>
        <v>0</v>
      </c>
      <c r="AD168" s="50">
        <f t="shared" ca="1" si="117"/>
        <v>0</v>
      </c>
      <c r="AE168" s="50">
        <f t="shared" ca="1" si="117"/>
        <v>0</v>
      </c>
      <c r="AF168" s="50">
        <f t="shared" ca="1" si="117"/>
        <v>0</v>
      </c>
      <c r="AG168" s="50">
        <f t="shared" ca="1" si="117"/>
        <v>0</v>
      </c>
      <c r="AH168" s="50">
        <f t="shared" ca="1" si="117"/>
        <v>0</v>
      </c>
      <c r="AI168" s="50">
        <f t="shared" ca="1" si="117"/>
        <v>0</v>
      </c>
      <c r="AJ168" s="50">
        <f t="shared" ca="1" si="117"/>
        <v>0</v>
      </c>
      <c r="AK168" s="50">
        <f t="shared" ca="1" si="117"/>
        <v>0</v>
      </c>
      <c r="AL168" s="50">
        <f t="shared" si="117"/>
        <v>0</v>
      </c>
      <c r="AM168" s="50">
        <f t="shared" si="117"/>
        <v>0</v>
      </c>
      <c r="AN168" s="50">
        <f t="shared" si="117"/>
        <v>0</v>
      </c>
      <c r="AO168" s="50">
        <f t="shared" si="117"/>
        <v>0</v>
      </c>
      <c r="AP168" s="50">
        <f t="shared" si="117"/>
        <v>0</v>
      </c>
      <c r="AQ168" s="50">
        <f t="shared" si="117"/>
        <v>0</v>
      </c>
      <c r="AR168" s="50">
        <f t="shared" si="117"/>
        <v>0</v>
      </c>
      <c r="AS168" s="50">
        <f t="shared" si="117"/>
        <v>0</v>
      </c>
      <c r="AT168" s="50">
        <f t="shared" si="117"/>
        <v>0</v>
      </c>
      <c r="AU168" s="50">
        <f t="shared" si="117"/>
        <v>0</v>
      </c>
    </row>
    <row r="169" spans="1:47">
      <c r="A169" s="38" t="str">
        <f t="shared" si="114"/>
        <v>4Y-</v>
      </c>
      <c r="B169" s="38" t="s">
        <v>274</v>
      </c>
      <c r="C169" s="38" t="str">
        <f t="shared" si="118"/>
        <v>Cake Storage/Load Out</v>
      </c>
      <c r="D169" s="186"/>
      <c r="E169" s="325"/>
      <c r="G169" s="36" t="s">
        <v>16</v>
      </c>
      <c r="I169" s="39"/>
      <c r="K169" s="39"/>
      <c r="L169" s="43" t="s">
        <v>275</v>
      </c>
      <c r="N169" s="70">
        <f ca="1">SUMIFS(OFFSET(Assumptions!$I$90,0,MATCH($A169,Configurations,0)-1,COUNT(Assumptions!$A$90:$A$183),1),Assumptions!$D$90:$D$183,$B169&amp;$C169)</f>
        <v>0</v>
      </c>
      <c r="O169" s="313"/>
      <c r="P169" s="323"/>
      <c r="Q169" s="313"/>
      <c r="R169" s="50">
        <f t="shared" ref="R169:AU169" ca="1" si="119">IF(OR(R$99&lt;InServiceYr,R$99&gt;(InServiceYr+analysis_period-1)),0,IF($P169=0,$N169,$P169)*R$505)</f>
        <v>0</v>
      </c>
      <c r="S169" s="50">
        <f t="shared" ca="1" si="119"/>
        <v>0</v>
      </c>
      <c r="T169" s="50">
        <f t="shared" ca="1" si="119"/>
        <v>0</v>
      </c>
      <c r="U169" s="50">
        <f t="shared" ca="1" si="119"/>
        <v>0</v>
      </c>
      <c r="V169" s="50">
        <f t="shared" ca="1" si="119"/>
        <v>0</v>
      </c>
      <c r="W169" s="50">
        <f t="shared" ca="1" si="119"/>
        <v>0</v>
      </c>
      <c r="X169" s="50">
        <f t="shared" ca="1" si="119"/>
        <v>0</v>
      </c>
      <c r="Y169" s="50">
        <f t="shared" ca="1" si="119"/>
        <v>0</v>
      </c>
      <c r="Z169" s="50">
        <f t="shared" ca="1" si="119"/>
        <v>0</v>
      </c>
      <c r="AA169" s="50">
        <f t="shared" ca="1" si="119"/>
        <v>0</v>
      </c>
      <c r="AB169" s="50">
        <f t="shared" ca="1" si="119"/>
        <v>0</v>
      </c>
      <c r="AC169" s="50">
        <f t="shared" ca="1" si="119"/>
        <v>0</v>
      </c>
      <c r="AD169" s="50">
        <f t="shared" ca="1" si="119"/>
        <v>0</v>
      </c>
      <c r="AE169" s="50">
        <f t="shared" ca="1" si="119"/>
        <v>0</v>
      </c>
      <c r="AF169" s="50">
        <f t="shared" ca="1" si="119"/>
        <v>0</v>
      </c>
      <c r="AG169" s="50">
        <f t="shared" ca="1" si="119"/>
        <v>0</v>
      </c>
      <c r="AH169" s="50">
        <f t="shared" ca="1" si="119"/>
        <v>0</v>
      </c>
      <c r="AI169" s="50">
        <f t="shared" ca="1" si="119"/>
        <v>0</v>
      </c>
      <c r="AJ169" s="50">
        <f t="shared" ca="1" si="119"/>
        <v>0</v>
      </c>
      <c r="AK169" s="50">
        <f t="shared" ca="1" si="119"/>
        <v>0</v>
      </c>
      <c r="AL169" s="50">
        <f t="shared" si="119"/>
        <v>0</v>
      </c>
      <c r="AM169" s="50">
        <f t="shared" si="119"/>
        <v>0</v>
      </c>
      <c r="AN169" s="50">
        <f t="shared" si="119"/>
        <v>0</v>
      </c>
      <c r="AO169" s="50">
        <f t="shared" si="119"/>
        <v>0</v>
      </c>
      <c r="AP169" s="50">
        <f t="shared" si="119"/>
        <v>0</v>
      </c>
      <c r="AQ169" s="50">
        <f t="shared" si="119"/>
        <v>0</v>
      </c>
      <c r="AR169" s="50">
        <f t="shared" si="119"/>
        <v>0</v>
      </c>
      <c r="AS169" s="50">
        <f t="shared" si="119"/>
        <v>0</v>
      </c>
      <c r="AT169" s="50">
        <f t="shared" si="119"/>
        <v>0</v>
      </c>
      <c r="AU169" s="50">
        <f t="shared" si="119"/>
        <v>0</v>
      </c>
    </row>
    <row r="170" spans="1:47">
      <c r="A170" s="38" t="str">
        <f t="shared" si="114"/>
        <v>4Y-</v>
      </c>
      <c r="B170" s="38" t="s">
        <v>257</v>
      </c>
      <c r="C170" s="38" t="str">
        <f t="shared" si="118"/>
        <v>Cake Storage/Load Out</v>
      </c>
      <c r="D170" s="186"/>
      <c r="E170" s="325"/>
      <c r="G170" s="36" t="s">
        <v>284</v>
      </c>
      <c r="I170" s="39"/>
      <c r="K170" s="39"/>
      <c r="L170" s="43" t="s">
        <v>293</v>
      </c>
      <c r="N170" s="70">
        <f ca="1">SUMIFS(OFFSET(Assumptions!$I$90,0,MATCH($A170,Configurations,0)-1,COUNT(Assumptions!$A$90:$A$183),1),Assumptions!$D$90:$D$183,$B170&amp;$C170)</f>
        <v>0</v>
      </c>
      <c r="O170" s="313"/>
      <c r="P170" s="323"/>
      <c r="Q170" s="313"/>
      <c r="R170" s="50">
        <f t="shared" ref="R170:AU170" ca="1" si="120">IF(OR(R$99&lt;InServiceYr,R$99&gt;(InServiceYr+analysis_period-1)),0,IF($P170=0,$N170,$P170)*R$501)</f>
        <v>0</v>
      </c>
      <c r="S170" s="50">
        <f t="shared" ca="1" si="120"/>
        <v>0</v>
      </c>
      <c r="T170" s="50">
        <f t="shared" ca="1" si="120"/>
        <v>0</v>
      </c>
      <c r="U170" s="50">
        <f t="shared" ca="1" si="120"/>
        <v>0</v>
      </c>
      <c r="V170" s="50">
        <f t="shared" ca="1" si="120"/>
        <v>0</v>
      </c>
      <c r="W170" s="50">
        <f t="shared" ca="1" si="120"/>
        <v>0</v>
      </c>
      <c r="X170" s="50">
        <f t="shared" ca="1" si="120"/>
        <v>0</v>
      </c>
      <c r="Y170" s="50">
        <f t="shared" ca="1" si="120"/>
        <v>0</v>
      </c>
      <c r="Z170" s="50">
        <f t="shared" ca="1" si="120"/>
        <v>0</v>
      </c>
      <c r="AA170" s="50">
        <f t="shared" ca="1" si="120"/>
        <v>0</v>
      </c>
      <c r="AB170" s="50">
        <f t="shared" ca="1" si="120"/>
        <v>0</v>
      </c>
      <c r="AC170" s="50">
        <f t="shared" ca="1" si="120"/>
        <v>0</v>
      </c>
      <c r="AD170" s="50">
        <f t="shared" ca="1" si="120"/>
        <v>0</v>
      </c>
      <c r="AE170" s="50">
        <f t="shared" ca="1" si="120"/>
        <v>0</v>
      </c>
      <c r="AF170" s="50">
        <f t="shared" ca="1" si="120"/>
        <v>0</v>
      </c>
      <c r="AG170" s="50">
        <f t="shared" ca="1" si="120"/>
        <v>0</v>
      </c>
      <c r="AH170" s="50">
        <f t="shared" ca="1" si="120"/>
        <v>0</v>
      </c>
      <c r="AI170" s="50">
        <f t="shared" ca="1" si="120"/>
        <v>0</v>
      </c>
      <c r="AJ170" s="50">
        <f t="shared" ca="1" si="120"/>
        <v>0</v>
      </c>
      <c r="AK170" s="50">
        <f t="shared" ca="1" si="120"/>
        <v>0</v>
      </c>
      <c r="AL170" s="50">
        <f t="shared" si="120"/>
        <v>0</v>
      </c>
      <c r="AM170" s="50">
        <f t="shared" si="120"/>
        <v>0</v>
      </c>
      <c r="AN170" s="50">
        <f t="shared" si="120"/>
        <v>0</v>
      </c>
      <c r="AO170" s="50">
        <f t="shared" si="120"/>
        <v>0</v>
      </c>
      <c r="AP170" s="50">
        <f t="shared" si="120"/>
        <v>0</v>
      </c>
      <c r="AQ170" s="50">
        <f t="shared" si="120"/>
        <v>0</v>
      </c>
      <c r="AR170" s="50">
        <f t="shared" si="120"/>
        <v>0</v>
      </c>
      <c r="AS170" s="50">
        <f t="shared" si="120"/>
        <v>0</v>
      </c>
      <c r="AT170" s="50">
        <f t="shared" si="120"/>
        <v>0</v>
      </c>
      <c r="AU170" s="50">
        <f t="shared" si="120"/>
        <v>0</v>
      </c>
    </row>
    <row r="171" spans="1:47">
      <c r="A171" s="38" t="str">
        <f t="shared" si="114"/>
        <v>4Y-</v>
      </c>
      <c r="B171" s="38" t="s">
        <v>864</v>
      </c>
      <c r="C171" s="38" t="str">
        <f t="shared" si="118"/>
        <v>Cake Storage/Load Out</v>
      </c>
      <c r="D171" s="186">
        <f>GHGEsc</f>
        <v>0.02</v>
      </c>
      <c r="E171" s="325"/>
      <c r="G171" s="36" t="s">
        <v>865</v>
      </c>
      <c r="I171" s="39"/>
      <c r="K171" s="39"/>
      <c r="L171" s="43" t="s">
        <v>866</v>
      </c>
      <c r="N171" s="70">
        <f ca="1">SUMIFS(OFFSET(Assumptions!$I$90,0,MATCH($A171,Configurations,0)-1,COUNT(Assumptions!$A$90:$A$183),1),Assumptions!$D$90:$D$183,$B171&amp;$C171)</f>
        <v>0</v>
      </c>
      <c r="O171" s="313"/>
      <c r="P171" s="323"/>
      <c r="Q171" s="313"/>
      <c r="R171" s="50">
        <f t="shared" ref="R171:AU171" ca="1" si="121">IF(OR(R$99&lt;InServiceYr,R$99&gt;(InServiceYr+analysis_period-1)),0,IF($P171=0,$N171,$P171)*R$513)</f>
        <v>0</v>
      </c>
      <c r="S171" s="50">
        <f t="shared" ca="1" si="121"/>
        <v>0</v>
      </c>
      <c r="T171" s="50">
        <f t="shared" ca="1" si="121"/>
        <v>0</v>
      </c>
      <c r="U171" s="50">
        <f t="shared" ca="1" si="121"/>
        <v>0</v>
      </c>
      <c r="V171" s="50">
        <f t="shared" ca="1" si="121"/>
        <v>0</v>
      </c>
      <c r="W171" s="50">
        <f t="shared" ca="1" si="121"/>
        <v>0</v>
      </c>
      <c r="X171" s="50">
        <f t="shared" ca="1" si="121"/>
        <v>0</v>
      </c>
      <c r="Y171" s="50">
        <f t="shared" ca="1" si="121"/>
        <v>0</v>
      </c>
      <c r="Z171" s="50">
        <f t="shared" ca="1" si="121"/>
        <v>0</v>
      </c>
      <c r="AA171" s="50">
        <f t="shared" ca="1" si="121"/>
        <v>0</v>
      </c>
      <c r="AB171" s="50">
        <f t="shared" ca="1" si="121"/>
        <v>0</v>
      </c>
      <c r="AC171" s="50">
        <f t="shared" ca="1" si="121"/>
        <v>0</v>
      </c>
      <c r="AD171" s="50">
        <f t="shared" ca="1" si="121"/>
        <v>0</v>
      </c>
      <c r="AE171" s="50">
        <f t="shared" ca="1" si="121"/>
        <v>0</v>
      </c>
      <c r="AF171" s="50">
        <f t="shared" ca="1" si="121"/>
        <v>0</v>
      </c>
      <c r="AG171" s="50">
        <f t="shared" ca="1" si="121"/>
        <v>0</v>
      </c>
      <c r="AH171" s="50">
        <f t="shared" ca="1" si="121"/>
        <v>0</v>
      </c>
      <c r="AI171" s="50">
        <f t="shared" ca="1" si="121"/>
        <v>0</v>
      </c>
      <c r="AJ171" s="50">
        <f t="shared" ca="1" si="121"/>
        <v>0</v>
      </c>
      <c r="AK171" s="50">
        <f t="shared" ca="1" si="121"/>
        <v>0</v>
      </c>
      <c r="AL171" s="50">
        <f t="shared" si="121"/>
        <v>0</v>
      </c>
      <c r="AM171" s="50">
        <f t="shared" si="121"/>
        <v>0</v>
      </c>
      <c r="AN171" s="50">
        <f t="shared" si="121"/>
        <v>0</v>
      </c>
      <c r="AO171" s="50">
        <f t="shared" si="121"/>
        <v>0</v>
      </c>
      <c r="AP171" s="50">
        <f t="shared" si="121"/>
        <v>0</v>
      </c>
      <c r="AQ171" s="50">
        <f t="shared" si="121"/>
        <v>0</v>
      </c>
      <c r="AR171" s="50">
        <f t="shared" si="121"/>
        <v>0</v>
      </c>
      <c r="AS171" s="50">
        <f t="shared" si="121"/>
        <v>0</v>
      </c>
      <c r="AT171" s="50">
        <f t="shared" si="121"/>
        <v>0</v>
      </c>
      <c r="AU171" s="50">
        <f t="shared" si="121"/>
        <v>0</v>
      </c>
    </row>
    <row r="172" spans="1:47">
      <c r="A172" s="38" t="str">
        <f t="shared" si="114"/>
        <v>4Y-</v>
      </c>
      <c r="B172" s="38" t="s">
        <v>273</v>
      </c>
      <c r="C172" s="38" t="str">
        <f>C170</f>
        <v>Cake Storage/Load Out</v>
      </c>
      <c r="D172" s="186">
        <f>LaborEsc</f>
        <v>0.02</v>
      </c>
      <c r="E172" s="325"/>
      <c r="G172" s="36" t="s">
        <v>291</v>
      </c>
      <c r="I172" s="39"/>
      <c r="K172" s="39"/>
      <c r="L172" s="43" t="str">
        <f>"["&amp;CostBaseYr&amp;" $]"</f>
        <v>[2013 $]</v>
      </c>
      <c r="N172" s="70">
        <f ca="1">SUMIFS(OFFSET(Assumptions!$I$90,0,MATCH($A172,Configurations,0)-1,COUNT(Assumptions!$A$90:$A$183),1),Assumptions!$D$90:$D$183,$B172&amp;$C172)</f>
        <v>0</v>
      </c>
      <c r="O172" s="313"/>
      <c r="P172" s="323"/>
      <c r="Q172" s="313"/>
      <c r="R172" s="50">
        <f t="shared" ref="R172:AU172" ca="1" si="122">IF(OR(R$99&lt;InServiceYr,R$99&gt;(InServiceYr+analysis_period-1)),0,IF($P172=0,$N172,$P172)*(1+$D172)^(R$99-CostBaseYr))*R$509</f>
        <v>0</v>
      </c>
      <c r="S172" s="50">
        <f t="shared" ca="1" si="122"/>
        <v>0</v>
      </c>
      <c r="T172" s="50">
        <f t="shared" ca="1" si="122"/>
        <v>0</v>
      </c>
      <c r="U172" s="50">
        <f t="shared" ca="1" si="122"/>
        <v>0</v>
      </c>
      <c r="V172" s="50">
        <f t="shared" ca="1" si="122"/>
        <v>0</v>
      </c>
      <c r="W172" s="50">
        <f t="shared" ca="1" si="122"/>
        <v>0</v>
      </c>
      <c r="X172" s="50">
        <f t="shared" ca="1" si="122"/>
        <v>0</v>
      </c>
      <c r="Y172" s="50">
        <f t="shared" ca="1" si="122"/>
        <v>0</v>
      </c>
      <c r="Z172" s="50">
        <f t="shared" ca="1" si="122"/>
        <v>0</v>
      </c>
      <c r="AA172" s="50">
        <f t="shared" ca="1" si="122"/>
        <v>0</v>
      </c>
      <c r="AB172" s="50">
        <f t="shared" ca="1" si="122"/>
        <v>0</v>
      </c>
      <c r="AC172" s="50">
        <f t="shared" ca="1" si="122"/>
        <v>0</v>
      </c>
      <c r="AD172" s="50">
        <f t="shared" ca="1" si="122"/>
        <v>0</v>
      </c>
      <c r="AE172" s="50">
        <f t="shared" ca="1" si="122"/>
        <v>0</v>
      </c>
      <c r="AF172" s="50">
        <f t="shared" ca="1" si="122"/>
        <v>0</v>
      </c>
      <c r="AG172" s="50">
        <f t="shared" ca="1" si="122"/>
        <v>0</v>
      </c>
      <c r="AH172" s="50">
        <f t="shared" ca="1" si="122"/>
        <v>0</v>
      </c>
      <c r="AI172" s="50">
        <f t="shared" ca="1" si="122"/>
        <v>0</v>
      </c>
      <c r="AJ172" s="50">
        <f t="shared" ca="1" si="122"/>
        <v>0</v>
      </c>
      <c r="AK172" s="50">
        <f t="shared" ca="1" si="122"/>
        <v>0</v>
      </c>
      <c r="AL172" s="50">
        <f t="shared" si="122"/>
        <v>0</v>
      </c>
      <c r="AM172" s="50">
        <f t="shared" si="122"/>
        <v>0</v>
      </c>
      <c r="AN172" s="50">
        <f t="shared" si="122"/>
        <v>0</v>
      </c>
      <c r="AO172" s="50">
        <f t="shared" si="122"/>
        <v>0</v>
      </c>
      <c r="AP172" s="50">
        <f t="shared" si="122"/>
        <v>0</v>
      </c>
      <c r="AQ172" s="50">
        <f t="shared" si="122"/>
        <v>0</v>
      </c>
      <c r="AR172" s="50">
        <f t="shared" si="122"/>
        <v>0</v>
      </c>
      <c r="AS172" s="50">
        <f t="shared" si="122"/>
        <v>0</v>
      </c>
      <c r="AT172" s="50">
        <f t="shared" si="122"/>
        <v>0</v>
      </c>
      <c r="AU172" s="50">
        <f t="shared" si="122"/>
        <v>0</v>
      </c>
    </row>
    <row r="173" spans="1:47">
      <c r="D173" s="186"/>
      <c r="E173" s="325"/>
      <c r="G173" s="39" t="s">
        <v>304</v>
      </c>
      <c r="I173" s="39"/>
      <c r="K173" s="39"/>
      <c r="L173" s="43"/>
      <c r="N173" s="70"/>
      <c r="O173" s="313"/>
      <c r="P173" s="70"/>
      <c r="Q173" s="313"/>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row>
    <row r="174" spans="1:47">
      <c r="A174" s="38" t="str">
        <f>$J$4&amp;"-"</f>
        <v>4Y-</v>
      </c>
      <c r="B174" s="38" t="s">
        <v>265</v>
      </c>
      <c r="C174" s="38" t="str">
        <f>C165</f>
        <v>Cake Storage/Load Out</v>
      </c>
      <c r="D174" s="186"/>
      <c r="E174" s="325"/>
      <c r="G174" s="36" t="s">
        <v>108</v>
      </c>
      <c r="I174" s="39"/>
      <c r="K174" s="39"/>
      <c r="L174" s="43" t="s">
        <v>293</v>
      </c>
      <c r="N174" s="70">
        <f ca="1">SUMIFS(OFFSET(Assumptions!$I$90,0,MATCH($A174,Configurations,0)-1,COUNT(Assumptions!$A$90:$A$183),1),Assumptions!$D$90:$D$183,$B174&amp;$C174)</f>
        <v>0</v>
      </c>
      <c r="O174" s="313"/>
      <c r="P174" s="323"/>
      <c r="Q174" s="313"/>
      <c r="R174" s="50">
        <f t="shared" ref="R174:AU174" ca="1" si="123">IF(OR(R$99&lt;InServiceYr,R$99&gt;(InServiceYr+analysis_period-1)),0,IF($P174=0,$N174,$P174)*R$501)</f>
        <v>0</v>
      </c>
      <c r="S174" s="50">
        <f t="shared" ca="1" si="123"/>
        <v>0</v>
      </c>
      <c r="T174" s="50">
        <f t="shared" ca="1" si="123"/>
        <v>0</v>
      </c>
      <c r="U174" s="50">
        <f t="shared" ca="1" si="123"/>
        <v>0</v>
      </c>
      <c r="V174" s="50">
        <f t="shared" ca="1" si="123"/>
        <v>0</v>
      </c>
      <c r="W174" s="50">
        <f t="shared" ca="1" si="123"/>
        <v>0</v>
      </c>
      <c r="X174" s="50">
        <f t="shared" ca="1" si="123"/>
        <v>0</v>
      </c>
      <c r="Y174" s="50">
        <f t="shared" ca="1" si="123"/>
        <v>0</v>
      </c>
      <c r="Z174" s="50">
        <f t="shared" ca="1" si="123"/>
        <v>0</v>
      </c>
      <c r="AA174" s="50">
        <f t="shared" ca="1" si="123"/>
        <v>0</v>
      </c>
      <c r="AB174" s="50">
        <f t="shared" ca="1" si="123"/>
        <v>0</v>
      </c>
      <c r="AC174" s="50">
        <f t="shared" ca="1" si="123"/>
        <v>0</v>
      </c>
      <c r="AD174" s="50">
        <f t="shared" ca="1" si="123"/>
        <v>0</v>
      </c>
      <c r="AE174" s="50">
        <f t="shared" ca="1" si="123"/>
        <v>0</v>
      </c>
      <c r="AF174" s="50">
        <f t="shared" ca="1" si="123"/>
        <v>0</v>
      </c>
      <c r="AG174" s="50">
        <f t="shared" ca="1" si="123"/>
        <v>0</v>
      </c>
      <c r="AH174" s="50">
        <f t="shared" ca="1" si="123"/>
        <v>0</v>
      </c>
      <c r="AI174" s="50">
        <f t="shared" ca="1" si="123"/>
        <v>0</v>
      </c>
      <c r="AJ174" s="50">
        <f t="shared" ca="1" si="123"/>
        <v>0</v>
      </c>
      <c r="AK174" s="50">
        <f t="shared" ca="1" si="123"/>
        <v>0</v>
      </c>
      <c r="AL174" s="50">
        <f t="shared" si="123"/>
        <v>0</v>
      </c>
      <c r="AM174" s="50">
        <f t="shared" si="123"/>
        <v>0</v>
      </c>
      <c r="AN174" s="50">
        <f t="shared" si="123"/>
        <v>0</v>
      </c>
      <c r="AO174" s="50">
        <f t="shared" si="123"/>
        <v>0</v>
      </c>
      <c r="AP174" s="50">
        <f t="shared" si="123"/>
        <v>0</v>
      </c>
      <c r="AQ174" s="50">
        <f t="shared" si="123"/>
        <v>0</v>
      </c>
      <c r="AR174" s="50">
        <f t="shared" si="123"/>
        <v>0</v>
      </c>
      <c r="AS174" s="50">
        <f t="shared" si="123"/>
        <v>0</v>
      </c>
      <c r="AT174" s="50">
        <f t="shared" si="123"/>
        <v>0</v>
      </c>
      <c r="AU174" s="50">
        <f t="shared" si="123"/>
        <v>0</v>
      </c>
    </row>
    <row r="175" spans="1:47">
      <c r="A175" s="38" t="str">
        <f>$J$4&amp;"-"</f>
        <v>4Y-</v>
      </c>
      <c r="B175" s="38" t="s">
        <v>289</v>
      </c>
      <c r="C175" s="38" t="str">
        <f>C165</f>
        <v>Cake Storage/Load Out</v>
      </c>
      <c r="D175" s="186">
        <f>LaborEsc</f>
        <v>0.02</v>
      </c>
      <c r="E175" s="325"/>
      <c r="G175" s="36" t="s">
        <v>292</v>
      </c>
      <c r="I175" s="39"/>
      <c r="K175" s="39"/>
      <c r="L175" s="43" t="str">
        <f>"["&amp;CostBaseYr&amp;" $]"</f>
        <v>[2013 $]</v>
      </c>
      <c r="N175" s="70">
        <f ca="1">SUMIFS(OFFSET(Assumptions!$I$90,0,MATCH($A175,Configurations,0)-1,COUNT(Assumptions!$A$90:$A$183),1),Assumptions!$D$90:$D$183,$B175&amp;$C175)</f>
        <v>0</v>
      </c>
      <c r="O175" s="313"/>
      <c r="P175" s="323"/>
      <c r="Q175" s="313"/>
      <c r="R175" s="50">
        <f t="shared" ref="R175:AU175" ca="1" si="124">IF(OR(R$99&lt;InServiceYr,R$99&gt;(InServiceYr+analysis_period-1)),0,IF($P175=0,$N175,$P175)*(1+$D175)^(R$99-CostBaseYr))</f>
        <v>0</v>
      </c>
      <c r="S175" s="50">
        <f t="shared" ca="1" si="124"/>
        <v>0</v>
      </c>
      <c r="T175" s="50">
        <f t="shared" ca="1" si="124"/>
        <v>0</v>
      </c>
      <c r="U175" s="50">
        <f t="shared" ca="1" si="124"/>
        <v>0</v>
      </c>
      <c r="V175" s="50">
        <f t="shared" ca="1" si="124"/>
        <v>0</v>
      </c>
      <c r="W175" s="50">
        <f t="shared" ca="1" si="124"/>
        <v>0</v>
      </c>
      <c r="X175" s="50">
        <f t="shared" ca="1" si="124"/>
        <v>0</v>
      </c>
      <c r="Y175" s="50">
        <f t="shared" ca="1" si="124"/>
        <v>0</v>
      </c>
      <c r="Z175" s="50">
        <f t="shared" ca="1" si="124"/>
        <v>0</v>
      </c>
      <c r="AA175" s="50">
        <f t="shared" ca="1" si="124"/>
        <v>0</v>
      </c>
      <c r="AB175" s="50">
        <f t="shared" ca="1" si="124"/>
        <v>0</v>
      </c>
      <c r="AC175" s="50">
        <f t="shared" ca="1" si="124"/>
        <v>0</v>
      </c>
      <c r="AD175" s="50">
        <f t="shared" ca="1" si="124"/>
        <v>0</v>
      </c>
      <c r="AE175" s="50">
        <f t="shared" ca="1" si="124"/>
        <v>0</v>
      </c>
      <c r="AF175" s="50">
        <f t="shared" ca="1" si="124"/>
        <v>0</v>
      </c>
      <c r="AG175" s="50">
        <f t="shared" ca="1" si="124"/>
        <v>0</v>
      </c>
      <c r="AH175" s="50">
        <f t="shared" ca="1" si="124"/>
        <v>0</v>
      </c>
      <c r="AI175" s="50">
        <f t="shared" ca="1" si="124"/>
        <v>0</v>
      </c>
      <c r="AJ175" s="50">
        <f t="shared" ca="1" si="124"/>
        <v>0</v>
      </c>
      <c r="AK175" s="50">
        <f t="shared" ca="1" si="124"/>
        <v>0</v>
      </c>
      <c r="AL175" s="50">
        <f t="shared" si="124"/>
        <v>0</v>
      </c>
      <c r="AM175" s="50">
        <f t="shared" si="124"/>
        <v>0</v>
      </c>
      <c r="AN175" s="50">
        <f t="shared" si="124"/>
        <v>0</v>
      </c>
      <c r="AO175" s="50">
        <f t="shared" si="124"/>
        <v>0</v>
      </c>
      <c r="AP175" s="50">
        <f t="shared" si="124"/>
        <v>0</v>
      </c>
      <c r="AQ175" s="50">
        <f t="shared" si="124"/>
        <v>0</v>
      </c>
      <c r="AR175" s="50">
        <f t="shared" si="124"/>
        <v>0</v>
      </c>
      <c r="AS175" s="50">
        <f t="shared" si="124"/>
        <v>0</v>
      </c>
      <c r="AT175" s="50">
        <f t="shared" si="124"/>
        <v>0</v>
      </c>
      <c r="AU175" s="50">
        <f t="shared" si="124"/>
        <v>0</v>
      </c>
    </row>
    <row r="176" spans="1:47" s="60" customFormat="1">
      <c r="D176" s="187"/>
      <c r="E176" s="325"/>
      <c r="G176" s="39" t="s">
        <v>305</v>
      </c>
      <c r="I176" s="39"/>
      <c r="K176" s="39"/>
      <c r="L176" s="174"/>
      <c r="N176" s="188"/>
      <c r="O176" s="314"/>
      <c r="P176" s="185"/>
      <c r="Q176" s="314"/>
      <c r="R176" s="185">
        <f ca="1">SUM(R165:R172)-SUM(R174:R175)</f>
        <v>0</v>
      </c>
      <c r="S176" s="185">
        <f t="shared" ref="S176:AU176" ca="1" si="125">SUM(S165:S172)-SUM(S174:S175)</f>
        <v>0</v>
      </c>
      <c r="T176" s="185">
        <f t="shared" ca="1" si="125"/>
        <v>0</v>
      </c>
      <c r="U176" s="185">
        <f t="shared" ca="1" si="125"/>
        <v>0</v>
      </c>
      <c r="V176" s="185">
        <f t="shared" ca="1" si="125"/>
        <v>0</v>
      </c>
      <c r="W176" s="185">
        <f t="shared" ca="1" si="125"/>
        <v>0</v>
      </c>
      <c r="X176" s="185">
        <f t="shared" ca="1" si="125"/>
        <v>0</v>
      </c>
      <c r="Y176" s="185">
        <f t="shared" ca="1" si="125"/>
        <v>0</v>
      </c>
      <c r="Z176" s="185">
        <f t="shared" ca="1" si="125"/>
        <v>0</v>
      </c>
      <c r="AA176" s="185">
        <f t="shared" ca="1" si="125"/>
        <v>0</v>
      </c>
      <c r="AB176" s="185">
        <f t="shared" ca="1" si="125"/>
        <v>0</v>
      </c>
      <c r="AC176" s="185">
        <f t="shared" ca="1" si="125"/>
        <v>0</v>
      </c>
      <c r="AD176" s="185">
        <f t="shared" ca="1" si="125"/>
        <v>0</v>
      </c>
      <c r="AE176" s="185">
        <f t="shared" ca="1" si="125"/>
        <v>0</v>
      </c>
      <c r="AF176" s="185">
        <f t="shared" ca="1" si="125"/>
        <v>0</v>
      </c>
      <c r="AG176" s="185">
        <f t="shared" ca="1" si="125"/>
        <v>0</v>
      </c>
      <c r="AH176" s="185">
        <f t="shared" ca="1" si="125"/>
        <v>0</v>
      </c>
      <c r="AI176" s="185">
        <f t="shared" ca="1" si="125"/>
        <v>0</v>
      </c>
      <c r="AJ176" s="185">
        <f t="shared" ca="1" si="125"/>
        <v>0</v>
      </c>
      <c r="AK176" s="185">
        <f t="shared" ca="1" si="125"/>
        <v>0</v>
      </c>
      <c r="AL176" s="185">
        <f t="shared" si="125"/>
        <v>0</v>
      </c>
      <c r="AM176" s="185">
        <f t="shared" si="125"/>
        <v>0</v>
      </c>
      <c r="AN176" s="185">
        <f t="shared" si="125"/>
        <v>0</v>
      </c>
      <c r="AO176" s="185">
        <f t="shared" si="125"/>
        <v>0</v>
      </c>
      <c r="AP176" s="185">
        <f t="shared" si="125"/>
        <v>0</v>
      </c>
      <c r="AQ176" s="185">
        <f t="shared" si="125"/>
        <v>0</v>
      </c>
      <c r="AR176" s="185">
        <f t="shared" si="125"/>
        <v>0</v>
      </c>
      <c r="AS176" s="185">
        <f t="shared" si="125"/>
        <v>0</v>
      </c>
      <c r="AT176" s="185">
        <f t="shared" si="125"/>
        <v>0</v>
      </c>
      <c r="AU176" s="185">
        <f t="shared" si="125"/>
        <v>0</v>
      </c>
    </row>
    <row r="177" spans="1:47">
      <c r="G177" s="28"/>
      <c r="H177" s="28"/>
      <c r="I177" s="28"/>
      <c r="J177" s="28"/>
      <c r="K177" s="28"/>
      <c r="L177" s="409"/>
      <c r="M177" s="46"/>
      <c r="N177" s="46"/>
      <c r="O177" s="315"/>
      <c r="P177" s="46"/>
      <c r="Q177" s="315"/>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row>
    <row r="178" spans="1:47">
      <c r="E178" s="327"/>
      <c r="F178" s="28"/>
      <c r="G178" s="324" t="str">
        <f>C180&amp;" Capital Costs"</f>
        <v>Cake Storage Capital Costs</v>
      </c>
      <c r="H178" s="324"/>
      <c r="I178" s="324"/>
      <c r="J178" s="324"/>
      <c r="K178" s="324"/>
      <c r="L178" s="405" t="s">
        <v>79</v>
      </c>
      <c r="M178" s="256"/>
      <c r="N178" s="325" t="s">
        <v>490</v>
      </c>
      <c r="O178" s="311"/>
      <c r="P178" s="325" t="s">
        <v>491</v>
      </c>
      <c r="Q178" s="310"/>
      <c r="R178" s="325">
        <f>R$8</f>
        <v>2014</v>
      </c>
      <c r="S178" s="325">
        <f t="shared" ref="S178:AU178" si="126">S$8</f>
        <v>2015</v>
      </c>
      <c r="T178" s="325">
        <f t="shared" si="126"/>
        <v>2016</v>
      </c>
      <c r="U178" s="325">
        <f t="shared" si="126"/>
        <v>2017</v>
      </c>
      <c r="V178" s="325">
        <f t="shared" si="126"/>
        <v>2018</v>
      </c>
      <c r="W178" s="325">
        <f t="shared" si="126"/>
        <v>2019</v>
      </c>
      <c r="X178" s="325">
        <f t="shared" si="126"/>
        <v>2020</v>
      </c>
      <c r="Y178" s="325">
        <f t="shared" si="126"/>
        <v>2021</v>
      </c>
      <c r="Z178" s="325">
        <f t="shared" si="126"/>
        <v>2022</v>
      </c>
      <c r="AA178" s="325">
        <f t="shared" si="126"/>
        <v>2023</v>
      </c>
      <c r="AB178" s="325">
        <f t="shared" si="126"/>
        <v>2024</v>
      </c>
      <c r="AC178" s="325">
        <f t="shared" si="126"/>
        <v>2025</v>
      </c>
      <c r="AD178" s="325">
        <f t="shared" si="126"/>
        <v>2026</v>
      </c>
      <c r="AE178" s="325">
        <f t="shared" si="126"/>
        <v>2027</v>
      </c>
      <c r="AF178" s="325">
        <f t="shared" si="126"/>
        <v>2028</v>
      </c>
      <c r="AG178" s="325">
        <f t="shared" si="126"/>
        <v>2029</v>
      </c>
      <c r="AH178" s="325">
        <f t="shared" si="126"/>
        <v>2030</v>
      </c>
      <c r="AI178" s="325">
        <f t="shared" si="126"/>
        <v>2031</v>
      </c>
      <c r="AJ178" s="325">
        <f t="shared" si="126"/>
        <v>2032</v>
      </c>
      <c r="AK178" s="325">
        <f t="shared" si="126"/>
        <v>2033</v>
      </c>
      <c r="AL178" s="325">
        <f t="shared" si="126"/>
        <v>2034</v>
      </c>
      <c r="AM178" s="325">
        <f t="shared" si="126"/>
        <v>2035</v>
      </c>
      <c r="AN178" s="325">
        <f t="shared" si="126"/>
        <v>2036</v>
      </c>
      <c r="AO178" s="325">
        <f t="shared" si="126"/>
        <v>2037</v>
      </c>
      <c r="AP178" s="325">
        <f t="shared" si="126"/>
        <v>2038</v>
      </c>
      <c r="AQ178" s="325">
        <f t="shared" si="126"/>
        <v>2039</v>
      </c>
      <c r="AR178" s="325">
        <f t="shared" si="126"/>
        <v>2040</v>
      </c>
      <c r="AS178" s="325">
        <f t="shared" si="126"/>
        <v>2041</v>
      </c>
      <c r="AT178" s="325">
        <f t="shared" si="126"/>
        <v>2042</v>
      </c>
      <c r="AU178" s="325">
        <f t="shared" si="126"/>
        <v>2043</v>
      </c>
    </row>
    <row r="179" spans="1:47">
      <c r="E179" s="325"/>
      <c r="G179" s="39"/>
      <c r="H179" s="39"/>
      <c r="I179" s="39"/>
      <c r="J179" s="39"/>
      <c r="K179" s="39"/>
    </row>
    <row r="180" spans="1:47">
      <c r="A180" s="38" t="str">
        <f>$J$4&amp;"-"</f>
        <v>4Y-</v>
      </c>
      <c r="B180" s="38" t="s">
        <v>306</v>
      </c>
      <c r="C180" s="38" t="s">
        <v>317</v>
      </c>
      <c r="D180" s="186">
        <f>CapExEsc</f>
        <v>0.03</v>
      </c>
      <c r="E180" s="325"/>
      <c r="G180" s="36" t="s">
        <v>8</v>
      </c>
      <c r="H180" s="39"/>
      <c r="I180" s="39"/>
      <c r="J180" s="70"/>
      <c r="K180" s="39"/>
      <c r="L180" s="43" t="str">
        <f>"["&amp;CostBaseYr&amp;" $]"</f>
        <v>[2013 $]</v>
      </c>
      <c r="N180" s="52">
        <f ca="1">SUMIFS(OFFSET(Assumptions!$I$65,0,MATCH($A180,Configurations,0)-1,COUNT(Assumptions!$A$65:$A$84),1),Assumptions!$E$65:$E$84,$C180)</f>
        <v>0</v>
      </c>
      <c r="O180" s="52"/>
      <c r="P180" s="322"/>
      <c r="Q180" s="52"/>
      <c r="R180" s="52">
        <f t="shared" ref="R180:AU180" ca="1" si="127">R181*IF($P180=0,$N180,$P180)*(1+$D180)^(R$8-CostBaseYr)</f>
        <v>0</v>
      </c>
      <c r="S180" s="52">
        <f t="shared" ca="1" si="127"/>
        <v>0</v>
      </c>
      <c r="T180" s="52">
        <f t="shared" ca="1" si="127"/>
        <v>0</v>
      </c>
      <c r="U180" s="52">
        <f t="shared" ca="1" si="127"/>
        <v>0</v>
      </c>
      <c r="V180" s="52">
        <f t="shared" ca="1" si="127"/>
        <v>0</v>
      </c>
      <c r="W180" s="52">
        <f t="shared" ca="1" si="127"/>
        <v>0</v>
      </c>
      <c r="X180" s="52">
        <f t="shared" ca="1" si="127"/>
        <v>0</v>
      </c>
      <c r="Y180" s="52">
        <f t="shared" ca="1" si="127"/>
        <v>0</v>
      </c>
      <c r="Z180" s="52">
        <f t="shared" ca="1" si="127"/>
        <v>0</v>
      </c>
      <c r="AA180" s="52">
        <f t="shared" ca="1" si="127"/>
        <v>0</v>
      </c>
      <c r="AB180" s="52">
        <f t="shared" ca="1" si="127"/>
        <v>0</v>
      </c>
      <c r="AC180" s="52">
        <f t="shared" ca="1" si="127"/>
        <v>0</v>
      </c>
      <c r="AD180" s="52">
        <f t="shared" ca="1" si="127"/>
        <v>0</v>
      </c>
      <c r="AE180" s="52">
        <f t="shared" ca="1" si="127"/>
        <v>0</v>
      </c>
      <c r="AF180" s="52">
        <f t="shared" ca="1" si="127"/>
        <v>0</v>
      </c>
      <c r="AG180" s="52">
        <f t="shared" ca="1" si="127"/>
        <v>0</v>
      </c>
      <c r="AH180" s="52">
        <f t="shared" ca="1" si="127"/>
        <v>0</v>
      </c>
      <c r="AI180" s="52">
        <f t="shared" ca="1" si="127"/>
        <v>0</v>
      </c>
      <c r="AJ180" s="52">
        <f t="shared" ca="1" si="127"/>
        <v>0</v>
      </c>
      <c r="AK180" s="52">
        <f t="shared" ca="1" si="127"/>
        <v>0</v>
      </c>
      <c r="AL180" s="52">
        <f t="shared" ca="1" si="127"/>
        <v>0</v>
      </c>
      <c r="AM180" s="52">
        <f t="shared" ca="1" si="127"/>
        <v>0</v>
      </c>
      <c r="AN180" s="52">
        <f t="shared" ca="1" si="127"/>
        <v>0</v>
      </c>
      <c r="AO180" s="52">
        <f t="shared" ca="1" si="127"/>
        <v>0</v>
      </c>
      <c r="AP180" s="52">
        <f t="shared" ca="1" si="127"/>
        <v>0</v>
      </c>
      <c r="AQ180" s="52">
        <f t="shared" ca="1" si="127"/>
        <v>0</v>
      </c>
      <c r="AR180" s="52">
        <f t="shared" ca="1" si="127"/>
        <v>0</v>
      </c>
      <c r="AS180" s="52">
        <f t="shared" ca="1" si="127"/>
        <v>0</v>
      </c>
      <c r="AT180" s="52">
        <f t="shared" ca="1" si="127"/>
        <v>0</v>
      </c>
      <c r="AU180" s="52">
        <f t="shared" ca="1" si="127"/>
        <v>0</v>
      </c>
    </row>
    <row r="181" spans="1:47">
      <c r="E181" s="325"/>
      <c r="G181" s="36" t="s">
        <v>10</v>
      </c>
      <c r="H181" s="39"/>
      <c r="I181" s="39"/>
      <c r="J181" s="39"/>
      <c r="K181" s="39"/>
      <c r="L181" s="43"/>
      <c r="R181" s="54">
        <f>Assumptions!M$60</f>
        <v>1</v>
      </c>
      <c r="S181" s="54">
        <f>Assumptions!N$60</f>
        <v>0</v>
      </c>
      <c r="T181" s="54">
        <f>Assumptions!O$60</f>
        <v>0</v>
      </c>
      <c r="U181" s="54">
        <f>Assumptions!P$60</f>
        <v>0</v>
      </c>
      <c r="V181" s="54">
        <f>Assumptions!Q$60</f>
        <v>0</v>
      </c>
      <c r="W181" s="54">
        <f>Assumptions!R$60</f>
        <v>0</v>
      </c>
      <c r="X181" s="54">
        <f>Assumptions!S$60</f>
        <v>0</v>
      </c>
      <c r="Y181" s="54">
        <f>Assumptions!T$60</f>
        <v>0</v>
      </c>
      <c r="Z181" s="54">
        <f>Assumptions!U$60</f>
        <v>0</v>
      </c>
      <c r="AA181" s="54">
        <f>Assumptions!V$60</f>
        <v>0</v>
      </c>
      <c r="AB181" s="54">
        <f>Assumptions!W$60</f>
        <v>0</v>
      </c>
      <c r="AC181" s="54">
        <f>Assumptions!X$60</f>
        <v>0</v>
      </c>
      <c r="AD181" s="54">
        <f>Assumptions!Y$60</f>
        <v>0</v>
      </c>
      <c r="AE181" s="54">
        <f>Assumptions!Z$60</f>
        <v>0</v>
      </c>
      <c r="AF181" s="54">
        <f>Assumptions!AA$60</f>
        <v>0</v>
      </c>
      <c r="AG181" s="54">
        <f>Assumptions!AB$60</f>
        <v>0</v>
      </c>
      <c r="AH181" s="54">
        <f>Assumptions!AC$60</f>
        <v>0</v>
      </c>
      <c r="AI181" s="54">
        <f>Assumptions!AD$60</f>
        <v>0</v>
      </c>
      <c r="AJ181" s="54">
        <f>Assumptions!AE$60</f>
        <v>0</v>
      </c>
      <c r="AK181" s="54">
        <f>Assumptions!AF$60</f>
        <v>0</v>
      </c>
      <c r="AL181" s="54">
        <f>Assumptions!AG$60</f>
        <v>0</v>
      </c>
      <c r="AM181" s="54">
        <f>Assumptions!AH$60</f>
        <v>0</v>
      </c>
      <c r="AN181" s="54">
        <f>Assumptions!AI$60</f>
        <v>0</v>
      </c>
      <c r="AO181" s="54">
        <f>Assumptions!AJ$60</f>
        <v>0</v>
      </c>
      <c r="AP181" s="54">
        <f>Assumptions!AK$60</f>
        <v>0</v>
      </c>
      <c r="AQ181" s="54">
        <f>Assumptions!AL$60</f>
        <v>0</v>
      </c>
      <c r="AR181" s="54">
        <f>Assumptions!AM$60</f>
        <v>0</v>
      </c>
      <c r="AS181" s="54">
        <f>Assumptions!AN$60</f>
        <v>0</v>
      </c>
      <c r="AT181" s="54">
        <f>Assumptions!AO$60</f>
        <v>0</v>
      </c>
      <c r="AU181" s="54">
        <f>Assumptions!AP$60</f>
        <v>0</v>
      </c>
    </row>
    <row r="182" spans="1:47">
      <c r="E182" s="326"/>
      <c r="G182" s="39"/>
      <c r="H182" s="39"/>
      <c r="I182" s="39"/>
      <c r="J182" s="39"/>
      <c r="K182" s="39"/>
    </row>
    <row r="183" spans="1:47">
      <c r="E183" s="327"/>
      <c r="F183" s="28"/>
      <c r="G183" s="324" t="str">
        <f>C180&amp;" O&amp;M"</f>
        <v>Cake Storage O&amp;M</v>
      </c>
      <c r="H183" s="324"/>
      <c r="I183" s="324"/>
      <c r="J183" s="324"/>
      <c r="K183" s="324"/>
      <c r="L183" s="405" t="s">
        <v>79</v>
      </c>
      <c r="M183" s="256"/>
      <c r="N183" s="325" t="s">
        <v>490</v>
      </c>
      <c r="O183" s="311"/>
      <c r="P183" s="325" t="s">
        <v>491</v>
      </c>
      <c r="Q183" s="310"/>
      <c r="R183" s="325">
        <f>R$8</f>
        <v>2014</v>
      </c>
      <c r="S183" s="325">
        <f t="shared" ref="S183:AU183" si="128">S$8</f>
        <v>2015</v>
      </c>
      <c r="T183" s="325">
        <f t="shared" si="128"/>
        <v>2016</v>
      </c>
      <c r="U183" s="325">
        <f t="shared" si="128"/>
        <v>2017</v>
      </c>
      <c r="V183" s="325">
        <f t="shared" si="128"/>
        <v>2018</v>
      </c>
      <c r="W183" s="325">
        <f t="shared" si="128"/>
        <v>2019</v>
      </c>
      <c r="X183" s="325">
        <f t="shared" si="128"/>
        <v>2020</v>
      </c>
      <c r="Y183" s="325">
        <f t="shared" si="128"/>
        <v>2021</v>
      </c>
      <c r="Z183" s="325">
        <f t="shared" si="128"/>
        <v>2022</v>
      </c>
      <c r="AA183" s="325">
        <f t="shared" si="128"/>
        <v>2023</v>
      </c>
      <c r="AB183" s="325">
        <f t="shared" si="128"/>
        <v>2024</v>
      </c>
      <c r="AC183" s="325">
        <f t="shared" si="128"/>
        <v>2025</v>
      </c>
      <c r="AD183" s="325">
        <f t="shared" si="128"/>
        <v>2026</v>
      </c>
      <c r="AE183" s="325">
        <f t="shared" si="128"/>
        <v>2027</v>
      </c>
      <c r="AF183" s="325">
        <f t="shared" si="128"/>
        <v>2028</v>
      </c>
      <c r="AG183" s="325">
        <f t="shared" si="128"/>
        <v>2029</v>
      </c>
      <c r="AH183" s="325">
        <f t="shared" si="128"/>
        <v>2030</v>
      </c>
      <c r="AI183" s="325">
        <f t="shared" si="128"/>
        <v>2031</v>
      </c>
      <c r="AJ183" s="325">
        <f t="shared" si="128"/>
        <v>2032</v>
      </c>
      <c r="AK183" s="325">
        <f t="shared" si="128"/>
        <v>2033</v>
      </c>
      <c r="AL183" s="325">
        <f t="shared" si="128"/>
        <v>2034</v>
      </c>
      <c r="AM183" s="325">
        <f t="shared" si="128"/>
        <v>2035</v>
      </c>
      <c r="AN183" s="325">
        <f t="shared" si="128"/>
        <v>2036</v>
      </c>
      <c r="AO183" s="325">
        <f t="shared" si="128"/>
        <v>2037</v>
      </c>
      <c r="AP183" s="325">
        <f t="shared" si="128"/>
        <v>2038</v>
      </c>
      <c r="AQ183" s="325">
        <f t="shared" si="128"/>
        <v>2039</v>
      </c>
      <c r="AR183" s="325">
        <f t="shared" si="128"/>
        <v>2040</v>
      </c>
      <c r="AS183" s="325">
        <f t="shared" si="128"/>
        <v>2041</v>
      </c>
      <c r="AT183" s="325">
        <f t="shared" si="128"/>
        <v>2042</v>
      </c>
      <c r="AU183" s="325">
        <f t="shared" si="128"/>
        <v>2043</v>
      </c>
    </row>
    <row r="184" spans="1:47">
      <c r="E184" s="325"/>
      <c r="G184" s="39"/>
      <c r="H184" s="39"/>
      <c r="I184" s="39"/>
      <c r="J184" s="39"/>
      <c r="K184" s="39"/>
    </row>
    <row r="185" spans="1:47">
      <c r="E185" s="325"/>
      <c r="G185" s="39" t="s">
        <v>23</v>
      </c>
      <c r="H185" s="39"/>
      <c r="I185" s="39"/>
      <c r="J185" s="39"/>
      <c r="K185" s="39"/>
    </row>
    <row r="186" spans="1:47">
      <c r="A186" s="38" t="str">
        <f t="shared" ref="A186:A193" si="129">$J$4&amp;"-"</f>
        <v>4Y-</v>
      </c>
      <c r="B186" s="38" t="s">
        <v>262</v>
      </c>
      <c r="C186" s="38" t="str">
        <f>C180</f>
        <v>Cake Storage</v>
      </c>
      <c r="D186" s="186">
        <f>LaborEsc</f>
        <v>0.02</v>
      </c>
      <c r="E186" s="325"/>
      <c r="G186" s="36" t="s">
        <v>125</v>
      </c>
      <c r="I186" s="39"/>
      <c r="K186" s="39"/>
      <c r="L186" s="43" t="s">
        <v>266</v>
      </c>
      <c r="N186" s="70">
        <f ca="1">SUMIFS(OFFSET(Assumptions!$I$90,0,MATCH($A186,Configurations,0)-1,COUNT(Assumptions!$A$90:$A$183),1),Assumptions!$D$90:$D$183,$B186&amp;$C186)</f>
        <v>0</v>
      </c>
      <c r="O186" s="313"/>
      <c r="P186" s="323"/>
      <c r="Q186" s="313"/>
      <c r="R186" s="50">
        <f t="shared" ref="R186:AU186" ca="1" si="130">IF(OR(R$99&lt;InServiceYr,R$99&gt;(InServiceYr+analysis_period-1)),0,IF($P186=0,$N186,$P186)*LaborCost*(1+$D186)^(R$99-CostBaseYr))</f>
        <v>0</v>
      </c>
      <c r="S186" s="50">
        <f t="shared" ca="1" si="130"/>
        <v>0</v>
      </c>
      <c r="T186" s="50">
        <f t="shared" ca="1" si="130"/>
        <v>0</v>
      </c>
      <c r="U186" s="50">
        <f t="shared" ca="1" si="130"/>
        <v>0</v>
      </c>
      <c r="V186" s="50">
        <f t="shared" ca="1" si="130"/>
        <v>0</v>
      </c>
      <c r="W186" s="50">
        <f t="shared" ca="1" si="130"/>
        <v>0</v>
      </c>
      <c r="X186" s="50">
        <f t="shared" ca="1" si="130"/>
        <v>0</v>
      </c>
      <c r="Y186" s="50">
        <f t="shared" ca="1" si="130"/>
        <v>0</v>
      </c>
      <c r="Z186" s="50">
        <f t="shared" ca="1" si="130"/>
        <v>0</v>
      </c>
      <c r="AA186" s="50">
        <f t="shared" ca="1" si="130"/>
        <v>0</v>
      </c>
      <c r="AB186" s="50">
        <f t="shared" ca="1" si="130"/>
        <v>0</v>
      </c>
      <c r="AC186" s="50">
        <f t="shared" ca="1" si="130"/>
        <v>0</v>
      </c>
      <c r="AD186" s="50">
        <f t="shared" ca="1" si="130"/>
        <v>0</v>
      </c>
      <c r="AE186" s="50">
        <f t="shared" ca="1" si="130"/>
        <v>0</v>
      </c>
      <c r="AF186" s="50">
        <f t="shared" ca="1" si="130"/>
        <v>0</v>
      </c>
      <c r="AG186" s="50">
        <f t="shared" ca="1" si="130"/>
        <v>0</v>
      </c>
      <c r="AH186" s="50">
        <f t="shared" ca="1" si="130"/>
        <v>0</v>
      </c>
      <c r="AI186" s="50">
        <f t="shared" ca="1" si="130"/>
        <v>0</v>
      </c>
      <c r="AJ186" s="50">
        <f t="shared" ca="1" si="130"/>
        <v>0</v>
      </c>
      <c r="AK186" s="50">
        <f t="shared" ca="1" si="130"/>
        <v>0</v>
      </c>
      <c r="AL186" s="50">
        <f t="shared" si="130"/>
        <v>0</v>
      </c>
      <c r="AM186" s="50">
        <f t="shared" si="130"/>
        <v>0</v>
      </c>
      <c r="AN186" s="50">
        <f t="shared" si="130"/>
        <v>0</v>
      </c>
      <c r="AO186" s="50">
        <f t="shared" si="130"/>
        <v>0</v>
      </c>
      <c r="AP186" s="50">
        <f t="shared" si="130"/>
        <v>0</v>
      </c>
      <c r="AQ186" s="50">
        <f t="shared" si="130"/>
        <v>0</v>
      </c>
      <c r="AR186" s="50">
        <f t="shared" si="130"/>
        <v>0</v>
      </c>
      <c r="AS186" s="50">
        <f t="shared" si="130"/>
        <v>0</v>
      </c>
      <c r="AT186" s="50">
        <f t="shared" si="130"/>
        <v>0</v>
      </c>
      <c r="AU186" s="50">
        <f t="shared" si="130"/>
        <v>0</v>
      </c>
    </row>
    <row r="187" spans="1:47">
      <c r="A187" s="38" t="str">
        <f t="shared" si="129"/>
        <v>4Y-</v>
      </c>
      <c r="B187" s="38" t="s">
        <v>270</v>
      </c>
      <c r="C187" s="38" t="str">
        <f>C186</f>
        <v>Cake Storage</v>
      </c>
      <c r="D187" s="186">
        <f>OMEsc</f>
        <v>0.02</v>
      </c>
      <c r="E187" s="325"/>
      <c r="G187" s="36" t="s">
        <v>126</v>
      </c>
      <c r="I187" s="39"/>
      <c r="K187" s="39"/>
      <c r="L187" s="43" t="str">
        <f>"["&amp;CostBaseYr&amp;" $]"</f>
        <v>[2013 $]</v>
      </c>
      <c r="N187" s="70">
        <f ca="1">SUMIFS(OFFSET(Assumptions!$I$90,0,MATCH($A187,Configurations,0)-1,COUNT(Assumptions!$A$90:$A$183),1),Assumptions!$D$90:$D$183,$B187&amp;$C187)</f>
        <v>0</v>
      </c>
      <c r="O187" s="313"/>
      <c r="P187" s="323"/>
      <c r="Q187" s="313"/>
      <c r="R187" s="50">
        <f t="shared" ref="R187:AG189" ca="1" si="131">IF(OR(R$99&lt;InServiceYr,R$99&gt;(InServiceYr+analysis_period-1)),0,IF($P187=0,$N187,$P187)*(1+$D187)^(R$99-CostBaseYr))</f>
        <v>0</v>
      </c>
      <c r="S187" s="50">
        <f t="shared" ca="1" si="131"/>
        <v>0</v>
      </c>
      <c r="T187" s="50">
        <f t="shared" ca="1" si="131"/>
        <v>0</v>
      </c>
      <c r="U187" s="50">
        <f t="shared" ca="1" si="131"/>
        <v>0</v>
      </c>
      <c r="V187" s="50">
        <f t="shared" ca="1" si="131"/>
        <v>0</v>
      </c>
      <c r="W187" s="50">
        <f t="shared" ca="1" si="131"/>
        <v>0</v>
      </c>
      <c r="X187" s="50">
        <f t="shared" ca="1" si="131"/>
        <v>0</v>
      </c>
      <c r="Y187" s="50">
        <f t="shared" ca="1" si="131"/>
        <v>0</v>
      </c>
      <c r="Z187" s="50">
        <f t="shared" ca="1" si="131"/>
        <v>0</v>
      </c>
      <c r="AA187" s="50">
        <f t="shared" ca="1" si="131"/>
        <v>0</v>
      </c>
      <c r="AB187" s="50">
        <f t="shared" ca="1" si="131"/>
        <v>0</v>
      </c>
      <c r="AC187" s="50">
        <f t="shared" ca="1" si="131"/>
        <v>0</v>
      </c>
      <c r="AD187" s="50">
        <f t="shared" ca="1" si="131"/>
        <v>0</v>
      </c>
      <c r="AE187" s="50">
        <f t="shared" ca="1" si="131"/>
        <v>0</v>
      </c>
      <c r="AF187" s="50">
        <f t="shared" ca="1" si="131"/>
        <v>0</v>
      </c>
      <c r="AG187" s="50">
        <f t="shared" ca="1" si="131"/>
        <v>0</v>
      </c>
      <c r="AH187" s="50">
        <f t="shared" ref="S187:AU189" ca="1" si="132">IF(OR(AH$99&lt;InServiceYr,AH$99&gt;(InServiceYr+analysis_period-1)),0,IF($P187=0,$N187,$P187)*(1+$D187)^(AH$99-CostBaseYr))</f>
        <v>0</v>
      </c>
      <c r="AI187" s="50">
        <f t="shared" ca="1" si="132"/>
        <v>0</v>
      </c>
      <c r="AJ187" s="50">
        <f t="shared" ca="1" si="132"/>
        <v>0</v>
      </c>
      <c r="AK187" s="50">
        <f t="shared" ca="1" si="132"/>
        <v>0</v>
      </c>
      <c r="AL187" s="50">
        <f t="shared" si="132"/>
        <v>0</v>
      </c>
      <c r="AM187" s="50">
        <f t="shared" si="132"/>
        <v>0</v>
      </c>
      <c r="AN187" s="50">
        <f t="shared" si="132"/>
        <v>0</v>
      </c>
      <c r="AO187" s="50">
        <f t="shared" si="132"/>
        <v>0</v>
      </c>
      <c r="AP187" s="50">
        <f t="shared" si="132"/>
        <v>0</v>
      </c>
      <c r="AQ187" s="50">
        <f t="shared" si="132"/>
        <v>0</v>
      </c>
      <c r="AR187" s="50">
        <f t="shared" si="132"/>
        <v>0</v>
      </c>
      <c r="AS187" s="50">
        <f t="shared" si="132"/>
        <v>0</v>
      </c>
      <c r="AT187" s="50">
        <f t="shared" si="132"/>
        <v>0</v>
      </c>
      <c r="AU187" s="50">
        <f t="shared" si="132"/>
        <v>0</v>
      </c>
    </row>
    <row r="188" spans="1:47">
      <c r="A188" s="38" t="str">
        <f t="shared" si="129"/>
        <v>4Y-</v>
      </c>
      <c r="B188" s="38" t="s">
        <v>263</v>
      </c>
      <c r="C188" s="38" t="str">
        <f t="shared" ref="C188:C192" si="133">C187</f>
        <v>Cake Storage</v>
      </c>
      <c r="D188" s="186">
        <f>OMEsc</f>
        <v>0.02</v>
      </c>
      <c r="E188" s="325"/>
      <c r="G188" s="36" t="s">
        <v>127</v>
      </c>
      <c r="I188" s="39"/>
      <c r="K188" s="39"/>
      <c r="L188" s="43" t="str">
        <f>"["&amp;CostBaseYr&amp;" $]"</f>
        <v>[2013 $]</v>
      </c>
      <c r="N188" s="70">
        <f ca="1">SUMIFS(OFFSET(Assumptions!$I$90,0,MATCH($A188,Configurations,0)-1,COUNT(Assumptions!$A$90:$A$183),1),Assumptions!$D$90:$D$183,$B188&amp;$C188)</f>
        <v>0</v>
      </c>
      <c r="O188" s="313"/>
      <c r="P188" s="323"/>
      <c r="Q188" s="313"/>
      <c r="R188" s="50">
        <f t="shared" ca="1" si="131"/>
        <v>0</v>
      </c>
      <c r="S188" s="50">
        <f t="shared" ca="1" si="132"/>
        <v>0</v>
      </c>
      <c r="T188" s="50">
        <f t="shared" ca="1" si="132"/>
        <v>0</v>
      </c>
      <c r="U188" s="50">
        <f t="shared" ca="1" si="132"/>
        <v>0</v>
      </c>
      <c r="V188" s="50">
        <f t="shared" ca="1" si="132"/>
        <v>0</v>
      </c>
      <c r="W188" s="50">
        <f t="shared" ca="1" si="132"/>
        <v>0</v>
      </c>
      <c r="X188" s="50">
        <f t="shared" ca="1" si="132"/>
        <v>0</v>
      </c>
      <c r="Y188" s="50">
        <f t="shared" ca="1" si="132"/>
        <v>0</v>
      </c>
      <c r="Z188" s="50">
        <f t="shared" ca="1" si="132"/>
        <v>0</v>
      </c>
      <c r="AA188" s="50">
        <f t="shared" ca="1" si="132"/>
        <v>0</v>
      </c>
      <c r="AB188" s="50">
        <f t="shared" ca="1" si="132"/>
        <v>0</v>
      </c>
      <c r="AC188" s="50">
        <f t="shared" ca="1" si="132"/>
        <v>0</v>
      </c>
      <c r="AD188" s="50">
        <f t="shared" ca="1" si="132"/>
        <v>0</v>
      </c>
      <c r="AE188" s="50">
        <f t="shared" ca="1" si="132"/>
        <v>0</v>
      </c>
      <c r="AF188" s="50">
        <f t="shared" ca="1" si="132"/>
        <v>0</v>
      </c>
      <c r="AG188" s="50">
        <f t="shared" ca="1" si="132"/>
        <v>0</v>
      </c>
      <c r="AH188" s="50">
        <f t="shared" ca="1" si="132"/>
        <v>0</v>
      </c>
      <c r="AI188" s="50">
        <f t="shared" ca="1" si="132"/>
        <v>0</v>
      </c>
      <c r="AJ188" s="50">
        <f t="shared" ca="1" si="132"/>
        <v>0</v>
      </c>
      <c r="AK188" s="50">
        <f t="shared" ca="1" si="132"/>
        <v>0</v>
      </c>
      <c r="AL188" s="50">
        <f t="shared" si="132"/>
        <v>0</v>
      </c>
      <c r="AM188" s="50">
        <f t="shared" si="132"/>
        <v>0</v>
      </c>
      <c r="AN188" s="50">
        <f t="shared" si="132"/>
        <v>0</v>
      </c>
      <c r="AO188" s="50">
        <f t="shared" si="132"/>
        <v>0</v>
      </c>
      <c r="AP188" s="50">
        <f t="shared" si="132"/>
        <v>0</v>
      </c>
      <c r="AQ188" s="50">
        <f t="shared" si="132"/>
        <v>0</v>
      </c>
      <c r="AR188" s="50">
        <f t="shared" si="132"/>
        <v>0</v>
      </c>
      <c r="AS188" s="50">
        <f t="shared" si="132"/>
        <v>0</v>
      </c>
      <c r="AT188" s="50">
        <f t="shared" si="132"/>
        <v>0</v>
      </c>
      <c r="AU188" s="50">
        <f t="shared" si="132"/>
        <v>0</v>
      </c>
    </row>
    <row r="189" spans="1:47">
      <c r="A189" s="38" t="str">
        <f t="shared" si="129"/>
        <v>4Y-</v>
      </c>
      <c r="B189" s="38" t="s">
        <v>277</v>
      </c>
      <c r="C189" s="38" t="str">
        <f t="shared" si="133"/>
        <v>Cake Storage</v>
      </c>
      <c r="D189" s="186">
        <f>OMEsc</f>
        <v>0.02</v>
      </c>
      <c r="E189" s="325"/>
      <c r="G189" s="36" t="s">
        <v>276</v>
      </c>
      <c r="I189" s="39"/>
      <c r="K189" s="39"/>
      <c r="L189" s="43" t="str">
        <f>"["&amp;CostBaseYr&amp;" $]"</f>
        <v>[2013 $]</v>
      </c>
      <c r="N189" s="70">
        <f ca="1">SUMIFS(OFFSET(Assumptions!$I$90,0,MATCH($A189,Configurations,0)-1,COUNT(Assumptions!$A$90:$A$183),1),Assumptions!$D$90:$D$183,$B189&amp;$C189)</f>
        <v>0</v>
      </c>
      <c r="O189" s="313"/>
      <c r="P189" s="323"/>
      <c r="Q189" s="313"/>
      <c r="R189" s="50">
        <f t="shared" ca="1" si="131"/>
        <v>0</v>
      </c>
      <c r="S189" s="50">
        <f t="shared" ca="1" si="132"/>
        <v>0</v>
      </c>
      <c r="T189" s="50">
        <f t="shared" ca="1" si="132"/>
        <v>0</v>
      </c>
      <c r="U189" s="50">
        <f t="shared" ca="1" si="132"/>
        <v>0</v>
      </c>
      <c r="V189" s="50">
        <f t="shared" ca="1" si="132"/>
        <v>0</v>
      </c>
      <c r="W189" s="50">
        <f t="shared" ca="1" si="132"/>
        <v>0</v>
      </c>
      <c r="X189" s="50">
        <f t="shared" ca="1" si="132"/>
        <v>0</v>
      </c>
      <c r="Y189" s="50">
        <f t="shared" ca="1" si="132"/>
        <v>0</v>
      </c>
      <c r="Z189" s="50">
        <f t="shared" ca="1" si="132"/>
        <v>0</v>
      </c>
      <c r="AA189" s="50">
        <f t="shared" ca="1" si="132"/>
        <v>0</v>
      </c>
      <c r="AB189" s="50">
        <f t="shared" ca="1" si="132"/>
        <v>0</v>
      </c>
      <c r="AC189" s="50">
        <f t="shared" ca="1" si="132"/>
        <v>0</v>
      </c>
      <c r="AD189" s="50">
        <f t="shared" ca="1" si="132"/>
        <v>0</v>
      </c>
      <c r="AE189" s="50">
        <f t="shared" ca="1" si="132"/>
        <v>0</v>
      </c>
      <c r="AF189" s="50">
        <f t="shared" ca="1" si="132"/>
        <v>0</v>
      </c>
      <c r="AG189" s="50">
        <f t="shared" ca="1" si="132"/>
        <v>0</v>
      </c>
      <c r="AH189" s="50">
        <f t="shared" ca="1" si="132"/>
        <v>0</v>
      </c>
      <c r="AI189" s="50">
        <f t="shared" ca="1" si="132"/>
        <v>0</v>
      </c>
      <c r="AJ189" s="50">
        <f t="shared" ca="1" si="132"/>
        <v>0</v>
      </c>
      <c r="AK189" s="50">
        <f t="shared" ca="1" si="132"/>
        <v>0</v>
      </c>
      <c r="AL189" s="50">
        <f t="shared" si="132"/>
        <v>0</v>
      </c>
      <c r="AM189" s="50">
        <f t="shared" si="132"/>
        <v>0</v>
      </c>
      <c r="AN189" s="50">
        <f t="shared" si="132"/>
        <v>0</v>
      </c>
      <c r="AO189" s="50">
        <f t="shared" si="132"/>
        <v>0</v>
      </c>
      <c r="AP189" s="50">
        <f t="shared" si="132"/>
        <v>0</v>
      </c>
      <c r="AQ189" s="50">
        <f t="shared" si="132"/>
        <v>0</v>
      </c>
      <c r="AR189" s="50">
        <f t="shared" si="132"/>
        <v>0</v>
      </c>
      <c r="AS189" s="50">
        <f t="shared" si="132"/>
        <v>0</v>
      </c>
      <c r="AT189" s="50">
        <f t="shared" si="132"/>
        <v>0</v>
      </c>
      <c r="AU189" s="50">
        <f t="shared" si="132"/>
        <v>0</v>
      </c>
    </row>
    <row r="190" spans="1:47">
      <c r="A190" s="38" t="str">
        <f t="shared" si="129"/>
        <v>4Y-</v>
      </c>
      <c r="B190" s="38" t="s">
        <v>274</v>
      </c>
      <c r="C190" s="38" t="str">
        <f t="shared" si="133"/>
        <v>Cake Storage</v>
      </c>
      <c r="D190" s="186"/>
      <c r="E190" s="325"/>
      <c r="G190" s="36" t="s">
        <v>16</v>
      </c>
      <c r="I190" s="39"/>
      <c r="K190" s="39"/>
      <c r="L190" s="43" t="s">
        <v>275</v>
      </c>
      <c r="N190" s="70">
        <f ca="1">SUMIFS(OFFSET(Assumptions!$I$90,0,MATCH($A190,Configurations,0)-1,COUNT(Assumptions!$A$90:$A$183),1),Assumptions!$D$90:$D$183,$B190&amp;$C190)</f>
        <v>0</v>
      </c>
      <c r="O190" s="313"/>
      <c r="P190" s="323"/>
      <c r="Q190" s="313"/>
      <c r="R190" s="50">
        <f t="shared" ref="R190:AU190" ca="1" si="134">IF(OR(R$99&lt;InServiceYr,R$99&gt;(InServiceYr+analysis_period-1)),0,IF($P190=0,$N190,$P190)*R$505)</f>
        <v>0</v>
      </c>
      <c r="S190" s="50">
        <f t="shared" ca="1" si="134"/>
        <v>0</v>
      </c>
      <c r="T190" s="50">
        <f t="shared" ca="1" si="134"/>
        <v>0</v>
      </c>
      <c r="U190" s="50">
        <f t="shared" ca="1" si="134"/>
        <v>0</v>
      </c>
      <c r="V190" s="50">
        <f t="shared" ca="1" si="134"/>
        <v>0</v>
      </c>
      <c r="W190" s="50">
        <f t="shared" ca="1" si="134"/>
        <v>0</v>
      </c>
      <c r="X190" s="50">
        <f t="shared" ca="1" si="134"/>
        <v>0</v>
      </c>
      <c r="Y190" s="50">
        <f t="shared" ca="1" si="134"/>
        <v>0</v>
      </c>
      <c r="Z190" s="50">
        <f t="shared" ca="1" si="134"/>
        <v>0</v>
      </c>
      <c r="AA190" s="50">
        <f t="shared" ca="1" si="134"/>
        <v>0</v>
      </c>
      <c r="AB190" s="50">
        <f t="shared" ca="1" si="134"/>
        <v>0</v>
      </c>
      <c r="AC190" s="50">
        <f t="shared" ca="1" si="134"/>
        <v>0</v>
      </c>
      <c r="AD190" s="50">
        <f t="shared" ca="1" si="134"/>
        <v>0</v>
      </c>
      <c r="AE190" s="50">
        <f t="shared" ca="1" si="134"/>
        <v>0</v>
      </c>
      <c r="AF190" s="50">
        <f t="shared" ca="1" si="134"/>
        <v>0</v>
      </c>
      <c r="AG190" s="50">
        <f t="shared" ca="1" si="134"/>
        <v>0</v>
      </c>
      <c r="AH190" s="50">
        <f t="shared" ca="1" si="134"/>
        <v>0</v>
      </c>
      <c r="AI190" s="50">
        <f t="shared" ca="1" si="134"/>
        <v>0</v>
      </c>
      <c r="AJ190" s="50">
        <f t="shared" ca="1" si="134"/>
        <v>0</v>
      </c>
      <c r="AK190" s="50">
        <f t="shared" ca="1" si="134"/>
        <v>0</v>
      </c>
      <c r="AL190" s="50">
        <f t="shared" si="134"/>
        <v>0</v>
      </c>
      <c r="AM190" s="50">
        <f t="shared" si="134"/>
        <v>0</v>
      </c>
      <c r="AN190" s="50">
        <f t="shared" si="134"/>
        <v>0</v>
      </c>
      <c r="AO190" s="50">
        <f t="shared" si="134"/>
        <v>0</v>
      </c>
      <c r="AP190" s="50">
        <f t="shared" si="134"/>
        <v>0</v>
      </c>
      <c r="AQ190" s="50">
        <f t="shared" si="134"/>
        <v>0</v>
      </c>
      <c r="AR190" s="50">
        <f t="shared" si="134"/>
        <v>0</v>
      </c>
      <c r="AS190" s="50">
        <f t="shared" si="134"/>
        <v>0</v>
      </c>
      <c r="AT190" s="50">
        <f t="shared" si="134"/>
        <v>0</v>
      </c>
      <c r="AU190" s="50">
        <f t="shared" si="134"/>
        <v>0</v>
      </c>
    </row>
    <row r="191" spans="1:47">
      <c r="A191" s="38" t="str">
        <f t="shared" si="129"/>
        <v>4Y-</v>
      </c>
      <c r="B191" s="38" t="s">
        <v>257</v>
      </c>
      <c r="C191" s="38" t="str">
        <f t="shared" si="133"/>
        <v>Cake Storage</v>
      </c>
      <c r="D191" s="186"/>
      <c r="E191" s="325"/>
      <c r="G191" s="36" t="s">
        <v>284</v>
      </c>
      <c r="I191" s="39"/>
      <c r="K191" s="39"/>
      <c r="L191" s="43" t="s">
        <v>293</v>
      </c>
      <c r="N191" s="70">
        <f ca="1">SUMIFS(OFFSET(Assumptions!$I$90,0,MATCH($A191,Configurations,0)-1,COUNT(Assumptions!$A$90:$A$183),1),Assumptions!$D$90:$D$183,$B191&amp;$C191)</f>
        <v>0</v>
      </c>
      <c r="O191" s="313"/>
      <c r="P191" s="323"/>
      <c r="Q191" s="313"/>
      <c r="R191" s="50">
        <f t="shared" ref="R191:AU191" ca="1" si="135">IF(OR(R$99&lt;InServiceYr,R$99&gt;(InServiceYr+analysis_period-1)),0,IF($P191=0,$N191,$P191)*R$501)</f>
        <v>0</v>
      </c>
      <c r="S191" s="50">
        <f t="shared" ca="1" si="135"/>
        <v>0</v>
      </c>
      <c r="T191" s="50">
        <f t="shared" ca="1" si="135"/>
        <v>0</v>
      </c>
      <c r="U191" s="50">
        <f t="shared" ca="1" si="135"/>
        <v>0</v>
      </c>
      <c r="V191" s="50">
        <f t="shared" ca="1" si="135"/>
        <v>0</v>
      </c>
      <c r="W191" s="50">
        <f t="shared" ca="1" si="135"/>
        <v>0</v>
      </c>
      <c r="X191" s="50">
        <f t="shared" ca="1" si="135"/>
        <v>0</v>
      </c>
      <c r="Y191" s="50">
        <f t="shared" ca="1" si="135"/>
        <v>0</v>
      </c>
      <c r="Z191" s="50">
        <f t="shared" ca="1" si="135"/>
        <v>0</v>
      </c>
      <c r="AA191" s="50">
        <f t="shared" ca="1" si="135"/>
        <v>0</v>
      </c>
      <c r="AB191" s="50">
        <f t="shared" ca="1" si="135"/>
        <v>0</v>
      </c>
      <c r="AC191" s="50">
        <f t="shared" ca="1" si="135"/>
        <v>0</v>
      </c>
      <c r="AD191" s="50">
        <f t="shared" ca="1" si="135"/>
        <v>0</v>
      </c>
      <c r="AE191" s="50">
        <f t="shared" ca="1" si="135"/>
        <v>0</v>
      </c>
      <c r="AF191" s="50">
        <f t="shared" ca="1" si="135"/>
        <v>0</v>
      </c>
      <c r="AG191" s="50">
        <f t="shared" ca="1" si="135"/>
        <v>0</v>
      </c>
      <c r="AH191" s="50">
        <f t="shared" ca="1" si="135"/>
        <v>0</v>
      </c>
      <c r="AI191" s="50">
        <f t="shared" ca="1" si="135"/>
        <v>0</v>
      </c>
      <c r="AJ191" s="50">
        <f t="shared" ca="1" si="135"/>
        <v>0</v>
      </c>
      <c r="AK191" s="50">
        <f t="shared" ca="1" si="135"/>
        <v>0</v>
      </c>
      <c r="AL191" s="50">
        <f t="shared" si="135"/>
        <v>0</v>
      </c>
      <c r="AM191" s="50">
        <f t="shared" si="135"/>
        <v>0</v>
      </c>
      <c r="AN191" s="50">
        <f t="shared" si="135"/>
        <v>0</v>
      </c>
      <c r="AO191" s="50">
        <f t="shared" si="135"/>
        <v>0</v>
      </c>
      <c r="AP191" s="50">
        <f t="shared" si="135"/>
        <v>0</v>
      </c>
      <c r="AQ191" s="50">
        <f t="shared" si="135"/>
        <v>0</v>
      </c>
      <c r="AR191" s="50">
        <f t="shared" si="135"/>
        <v>0</v>
      </c>
      <c r="AS191" s="50">
        <f t="shared" si="135"/>
        <v>0</v>
      </c>
      <c r="AT191" s="50">
        <f t="shared" si="135"/>
        <v>0</v>
      </c>
      <c r="AU191" s="50">
        <f t="shared" si="135"/>
        <v>0</v>
      </c>
    </row>
    <row r="192" spans="1:47">
      <c r="A192" s="38" t="str">
        <f t="shared" si="129"/>
        <v>4Y-</v>
      </c>
      <c r="B192" s="38" t="s">
        <v>864</v>
      </c>
      <c r="C192" s="38" t="str">
        <f t="shared" si="133"/>
        <v>Cake Storage</v>
      </c>
      <c r="D192" s="186">
        <f>GHGEsc</f>
        <v>0.02</v>
      </c>
      <c r="E192" s="325"/>
      <c r="G192" s="36" t="s">
        <v>865</v>
      </c>
      <c r="I192" s="39"/>
      <c r="K192" s="39"/>
      <c r="L192" s="43" t="s">
        <v>866</v>
      </c>
      <c r="N192" s="70">
        <f ca="1">SUMIFS(OFFSET(Assumptions!$I$90,0,MATCH($A192,Configurations,0)-1,COUNT(Assumptions!$A$90:$A$183),1),Assumptions!$D$90:$D$183,$B192&amp;$C192)</f>
        <v>0</v>
      </c>
      <c r="O192" s="313"/>
      <c r="P192" s="323"/>
      <c r="Q192" s="313"/>
      <c r="R192" s="50">
        <f t="shared" ref="R192:AU192" ca="1" si="136">IF(OR(R$99&lt;InServiceYr,R$99&gt;(InServiceYr+analysis_period-1)),0,IF($P192=0,$N192,$P192)*R$513)</f>
        <v>0</v>
      </c>
      <c r="S192" s="50">
        <f t="shared" ca="1" si="136"/>
        <v>0</v>
      </c>
      <c r="T192" s="50">
        <f t="shared" ca="1" si="136"/>
        <v>0</v>
      </c>
      <c r="U192" s="50">
        <f t="shared" ca="1" si="136"/>
        <v>0</v>
      </c>
      <c r="V192" s="50">
        <f t="shared" ca="1" si="136"/>
        <v>0</v>
      </c>
      <c r="W192" s="50">
        <f t="shared" ca="1" si="136"/>
        <v>0</v>
      </c>
      <c r="X192" s="50">
        <f t="shared" ca="1" si="136"/>
        <v>0</v>
      </c>
      <c r="Y192" s="50">
        <f t="shared" ca="1" si="136"/>
        <v>0</v>
      </c>
      <c r="Z192" s="50">
        <f t="shared" ca="1" si="136"/>
        <v>0</v>
      </c>
      <c r="AA192" s="50">
        <f t="shared" ca="1" si="136"/>
        <v>0</v>
      </c>
      <c r="AB192" s="50">
        <f t="shared" ca="1" si="136"/>
        <v>0</v>
      </c>
      <c r="AC192" s="50">
        <f t="shared" ca="1" si="136"/>
        <v>0</v>
      </c>
      <c r="AD192" s="50">
        <f t="shared" ca="1" si="136"/>
        <v>0</v>
      </c>
      <c r="AE192" s="50">
        <f t="shared" ca="1" si="136"/>
        <v>0</v>
      </c>
      <c r="AF192" s="50">
        <f t="shared" ca="1" si="136"/>
        <v>0</v>
      </c>
      <c r="AG192" s="50">
        <f t="shared" ca="1" si="136"/>
        <v>0</v>
      </c>
      <c r="AH192" s="50">
        <f t="shared" ca="1" si="136"/>
        <v>0</v>
      </c>
      <c r="AI192" s="50">
        <f t="shared" ca="1" si="136"/>
        <v>0</v>
      </c>
      <c r="AJ192" s="50">
        <f t="shared" ca="1" si="136"/>
        <v>0</v>
      </c>
      <c r="AK192" s="50">
        <f t="shared" ca="1" si="136"/>
        <v>0</v>
      </c>
      <c r="AL192" s="50">
        <f t="shared" si="136"/>
        <v>0</v>
      </c>
      <c r="AM192" s="50">
        <f t="shared" si="136"/>
        <v>0</v>
      </c>
      <c r="AN192" s="50">
        <f t="shared" si="136"/>
        <v>0</v>
      </c>
      <c r="AO192" s="50">
        <f t="shared" si="136"/>
        <v>0</v>
      </c>
      <c r="AP192" s="50">
        <f t="shared" si="136"/>
        <v>0</v>
      </c>
      <c r="AQ192" s="50">
        <f t="shared" si="136"/>
        <v>0</v>
      </c>
      <c r="AR192" s="50">
        <f t="shared" si="136"/>
        <v>0</v>
      </c>
      <c r="AS192" s="50">
        <f t="shared" si="136"/>
        <v>0</v>
      </c>
      <c r="AT192" s="50">
        <f t="shared" si="136"/>
        <v>0</v>
      </c>
      <c r="AU192" s="50">
        <f t="shared" si="136"/>
        <v>0</v>
      </c>
    </row>
    <row r="193" spans="1:47">
      <c r="A193" s="38" t="str">
        <f t="shared" si="129"/>
        <v>4Y-</v>
      </c>
      <c r="B193" s="38" t="s">
        <v>273</v>
      </c>
      <c r="C193" s="38" t="str">
        <f>C191</f>
        <v>Cake Storage</v>
      </c>
      <c r="D193" s="186">
        <f>LaborEsc</f>
        <v>0.02</v>
      </c>
      <c r="E193" s="325"/>
      <c r="G193" s="36" t="s">
        <v>291</v>
      </c>
      <c r="I193" s="39"/>
      <c r="K193" s="39"/>
      <c r="L193" s="43" t="str">
        <f>"["&amp;CostBaseYr&amp;" $]"</f>
        <v>[2013 $]</v>
      </c>
      <c r="N193" s="70">
        <f ca="1">SUMIFS(OFFSET(Assumptions!$I$90,0,MATCH($A193,Configurations,0)-1,COUNT(Assumptions!$A$90:$A$183),1),Assumptions!$D$90:$D$183,$B193&amp;$C193)</f>
        <v>0</v>
      </c>
      <c r="O193" s="313"/>
      <c r="P193" s="323"/>
      <c r="Q193" s="313"/>
      <c r="R193" s="50">
        <f t="shared" ref="R193:AU193" ca="1" si="137">IF(OR(R$99&lt;InServiceYr,R$99&gt;(InServiceYr+analysis_period-1)),0,IF($P193=0,$N193,$P193)*(1+$D193)^(R$99-CostBaseYr))*R$509</f>
        <v>0</v>
      </c>
      <c r="S193" s="50">
        <f t="shared" ca="1" si="137"/>
        <v>0</v>
      </c>
      <c r="T193" s="50">
        <f t="shared" ca="1" si="137"/>
        <v>0</v>
      </c>
      <c r="U193" s="50">
        <f t="shared" ca="1" si="137"/>
        <v>0</v>
      </c>
      <c r="V193" s="50">
        <f t="shared" ca="1" si="137"/>
        <v>0</v>
      </c>
      <c r="W193" s="50">
        <f t="shared" ca="1" si="137"/>
        <v>0</v>
      </c>
      <c r="X193" s="50">
        <f t="shared" ca="1" si="137"/>
        <v>0</v>
      </c>
      <c r="Y193" s="50">
        <f t="shared" ca="1" si="137"/>
        <v>0</v>
      </c>
      <c r="Z193" s="50">
        <f t="shared" ca="1" si="137"/>
        <v>0</v>
      </c>
      <c r="AA193" s="50">
        <f t="shared" ca="1" si="137"/>
        <v>0</v>
      </c>
      <c r="AB193" s="50">
        <f t="shared" ca="1" si="137"/>
        <v>0</v>
      </c>
      <c r="AC193" s="50">
        <f t="shared" ca="1" si="137"/>
        <v>0</v>
      </c>
      <c r="AD193" s="50">
        <f t="shared" ca="1" si="137"/>
        <v>0</v>
      </c>
      <c r="AE193" s="50">
        <f t="shared" ca="1" si="137"/>
        <v>0</v>
      </c>
      <c r="AF193" s="50">
        <f t="shared" ca="1" si="137"/>
        <v>0</v>
      </c>
      <c r="AG193" s="50">
        <f t="shared" ca="1" si="137"/>
        <v>0</v>
      </c>
      <c r="AH193" s="50">
        <f t="shared" ca="1" si="137"/>
        <v>0</v>
      </c>
      <c r="AI193" s="50">
        <f t="shared" ca="1" si="137"/>
        <v>0</v>
      </c>
      <c r="AJ193" s="50">
        <f t="shared" ca="1" si="137"/>
        <v>0</v>
      </c>
      <c r="AK193" s="50">
        <f t="shared" ca="1" si="137"/>
        <v>0</v>
      </c>
      <c r="AL193" s="50">
        <f t="shared" si="137"/>
        <v>0</v>
      </c>
      <c r="AM193" s="50">
        <f t="shared" si="137"/>
        <v>0</v>
      </c>
      <c r="AN193" s="50">
        <f t="shared" si="137"/>
        <v>0</v>
      </c>
      <c r="AO193" s="50">
        <f t="shared" si="137"/>
        <v>0</v>
      </c>
      <c r="AP193" s="50">
        <f t="shared" si="137"/>
        <v>0</v>
      </c>
      <c r="AQ193" s="50">
        <f t="shared" si="137"/>
        <v>0</v>
      </c>
      <c r="AR193" s="50">
        <f t="shared" si="137"/>
        <v>0</v>
      </c>
      <c r="AS193" s="50">
        <f t="shared" si="137"/>
        <v>0</v>
      </c>
      <c r="AT193" s="50">
        <f t="shared" si="137"/>
        <v>0</v>
      </c>
      <c r="AU193" s="50">
        <f t="shared" si="137"/>
        <v>0</v>
      </c>
    </row>
    <row r="194" spans="1:47">
      <c r="D194" s="186"/>
      <c r="E194" s="325"/>
      <c r="G194" s="39" t="s">
        <v>304</v>
      </c>
      <c r="I194" s="39"/>
      <c r="K194" s="39"/>
      <c r="L194" s="43"/>
      <c r="N194" s="70"/>
      <c r="O194" s="313"/>
      <c r="P194" s="70"/>
      <c r="Q194" s="313"/>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row>
    <row r="195" spans="1:47">
      <c r="A195" s="38" t="str">
        <f>$J$4&amp;"-"</f>
        <v>4Y-</v>
      </c>
      <c r="B195" s="38" t="s">
        <v>265</v>
      </c>
      <c r="C195" s="38" t="str">
        <f>C186</f>
        <v>Cake Storage</v>
      </c>
      <c r="D195" s="186"/>
      <c r="E195" s="325"/>
      <c r="G195" s="36" t="s">
        <v>108</v>
      </c>
      <c r="I195" s="39"/>
      <c r="K195" s="39"/>
      <c r="L195" s="43" t="s">
        <v>293</v>
      </c>
      <c r="N195" s="70">
        <f ca="1">SUMIFS(OFFSET(Assumptions!$I$90,0,MATCH($A195,Configurations,0)-1,COUNT(Assumptions!$A$90:$A$183),1),Assumptions!$D$90:$D$183,$B195&amp;$C195)</f>
        <v>0</v>
      </c>
      <c r="O195" s="313"/>
      <c r="P195" s="323"/>
      <c r="Q195" s="313"/>
      <c r="R195" s="50">
        <f t="shared" ref="R195:AU195" ca="1" si="138">IF(OR(R$99&lt;InServiceYr,R$99&gt;(InServiceYr+analysis_period-1)),0,IF($P195=0,$N195,$P195)*R$501)</f>
        <v>0</v>
      </c>
      <c r="S195" s="50">
        <f t="shared" ca="1" si="138"/>
        <v>0</v>
      </c>
      <c r="T195" s="50">
        <f t="shared" ca="1" si="138"/>
        <v>0</v>
      </c>
      <c r="U195" s="50">
        <f t="shared" ca="1" si="138"/>
        <v>0</v>
      </c>
      <c r="V195" s="50">
        <f t="shared" ca="1" si="138"/>
        <v>0</v>
      </c>
      <c r="W195" s="50">
        <f t="shared" ca="1" si="138"/>
        <v>0</v>
      </c>
      <c r="X195" s="50">
        <f t="shared" ca="1" si="138"/>
        <v>0</v>
      </c>
      <c r="Y195" s="50">
        <f t="shared" ca="1" si="138"/>
        <v>0</v>
      </c>
      <c r="Z195" s="50">
        <f t="shared" ca="1" si="138"/>
        <v>0</v>
      </c>
      <c r="AA195" s="50">
        <f t="shared" ca="1" si="138"/>
        <v>0</v>
      </c>
      <c r="AB195" s="50">
        <f t="shared" ca="1" si="138"/>
        <v>0</v>
      </c>
      <c r="AC195" s="50">
        <f t="shared" ca="1" si="138"/>
        <v>0</v>
      </c>
      <c r="AD195" s="50">
        <f t="shared" ca="1" si="138"/>
        <v>0</v>
      </c>
      <c r="AE195" s="50">
        <f t="shared" ca="1" si="138"/>
        <v>0</v>
      </c>
      <c r="AF195" s="50">
        <f t="shared" ca="1" si="138"/>
        <v>0</v>
      </c>
      <c r="AG195" s="50">
        <f t="shared" ca="1" si="138"/>
        <v>0</v>
      </c>
      <c r="AH195" s="50">
        <f t="shared" ca="1" si="138"/>
        <v>0</v>
      </c>
      <c r="AI195" s="50">
        <f t="shared" ca="1" si="138"/>
        <v>0</v>
      </c>
      <c r="AJ195" s="50">
        <f t="shared" ca="1" si="138"/>
        <v>0</v>
      </c>
      <c r="AK195" s="50">
        <f t="shared" ca="1" si="138"/>
        <v>0</v>
      </c>
      <c r="AL195" s="50">
        <f t="shared" si="138"/>
        <v>0</v>
      </c>
      <c r="AM195" s="50">
        <f t="shared" si="138"/>
        <v>0</v>
      </c>
      <c r="AN195" s="50">
        <f t="shared" si="138"/>
        <v>0</v>
      </c>
      <c r="AO195" s="50">
        <f t="shared" si="138"/>
        <v>0</v>
      </c>
      <c r="AP195" s="50">
        <f t="shared" si="138"/>
        <v>0</v>
      </c>
      <c r="AQ195" s="50">
        <f t="shared" si="138"/>
        <v>0</v>
      </c>
      <c r="AR195" s="50">
        <f t="shared" si="138"/>
        <v>0</v>
      </c>
      <c r="AS195" s="50">
        <f t="shared" si="138"/>
        <v>0</v>
      </c>
      <c r="AT195" s="50">
        <f t="shared" si="138"/>
        <v>0</v>
      </c>
      <c r="AU195" s="50">
        <f t="shared" si="138"/>
        <v>0</v>
      </c>
    </row>
    <row r="196" spans="1:47">
      <c r="A196" s="38" t="str">
        <f>$J$4&amp;"-"</f>
        <v>4Y-</v>
      </c>
      <c r="B196" s="38" t="s">
        <v>289</v>
      </c>
      <c r="C196" s="38" t="str">
        <f>C186</f>
        <v>Cake Storage</v>
      </c>
      <c r="D196" s="186">
        <f>LaborEsc</f>
        <v>0.02</v>
      </c>
      <c r="E196" s="325"/>
      <c r="G196" s="36" t="s">
        <v>292</v>
      </c>
      <c r="I196" s="39"/>
      <c r="K196" s="39"/>
      <c r="L196" s="43" t="str">
        <f>"["&amp;CostBaseYr&amp;" $]"</f>
        <v>[2013 $]</v>
      </c>
      <c r="N196" s="70">
        <f ca="1">SUMIFS(OFFSET(Assumptions!$I$90,0,MATCH($A196,Configurations,0)-1,COUNT(Assumptions!$A$90:$A$183),1),Assumptions!$D$90:$D$183,$B196&amp;$C196)</f>
        <v>0</v>
      </c>
      <c r="O196" s="313"/>
      <c r="P196" s="323"/>
      <c r="Q196" s="313"/>
      <c r="R196" s="50">
        <f t="shared" ref="R196:AU196" ca="1" si="139">IF(OR(R$99&lt;InServiceYr,R$99&gt;(InServiceYr+analysis_period-1)),0,IF($P196=0,$N196,$P196)*(1+$D196)^(R$99-CostBaseYr))</f>
        <v>0</v>
      </c>
      <c r="S196" s="50">
        <f t="shared" ca="1" si="139"/>
        <v>0</v>
      </c>
      <c r="T196" s="50">
        <f t="shared" ca="1" si="139"/>
        <v>0</v>
      </c>
      <c r="U196" s="50">
        <f t="shared" ca="1" si="139"/>
        <v>0</v>
      </c>
      <c r="V196" s="50">
        <f t="shared" ca="1" si="139"/>
        <v>0</v>
      </c>
      <c r="W196" s="50">
        <f t="shared" ca="1" si="139"/>
        <v>0</v>
      </c>
      <c r="X196" s="50">
        <f t="shared" ca="1" si="139"/>
        <v>0</v>
      </c>
      <c r="Y196" s="50">
        <f t="shared" ca="1" si="139"/>
        <v>0</v>
      </c>
      <c r="Z196" s="50">
        <f t="shared" ca="1" si="139"/>
        <v>0</v>
      </c>
      <c r="AA196" s="50">
        <f t="shared" ca="1" si="139"/>
        <v>0</v>
      </c>
      <c r="AB196" s="50">
        <f t="shared" ca="1" si="139"/>
        <v>0</v>
      </c>
      <c r="AC196" s="50">
        <f t="shared" ca="1" si="139"/>
        <v>0</v>
      </c>
      <c r="AD196" s="50">
        <f t="shared" ca="1" si="139"/>
        <v>0</v>
      </c>
      <c r="AE196" s="50">
        <f t="shared" ca="1" si="139"/>
        <v>0</v>
      </c>
      <c r="AF196" s="50">
        <f t="shared" ca="1" si="139"/>
        <v>0</v>
      </c>
      <c r="AG196" s="50">
        <f t="shared" ca="1" si="139"/>
        <v>0</v>
      </c>
      <c r="AH196" s="50">
        <f t="shared" ca="1" si="139"/>
        <v>0</v>
      </c>
      <c r="AI196" s="50">
        <f t="shared" ca="1" si="139"/>
        <v>0</v>
      </c>
      <c r="AJ196" s="50">
        <f t="shared" ca="1" si="139"/>
        <v>0</v>
      </c>
      <c r="AK196" s="50">
        <f t="shared" ca="1" si="139"/>
        <v>0</v>
      </c>
      <c r="AL196" s="50">
        <f t="shared" si="139"/>
        <v>0</v>
      </c>
      <c r="AM196" s="50">
        <f t="shared" si="139"/>
        <v>0</v>
      </c>
      <c r="AN196" s="50">
        <f t="shared" si="139"/>
        <v>0</v>
      </c>
      <c r="AO196" s="50">
        <f t="shared" si="139"/>
        <v>0</v>
      </c>
      <c r="AP196" s="50">
        <f t="shared" si="139"/>
        <v>0</v>
      </c>
      <c r="AQ196" s="50">
        <f t="shared" si="139"/>
        <v>0</v>
      </c>
      <c r="AR196" s="50">
        <f t="shared" si="139"/>
        <v>0</v>
      </c>
      <c r="AS196" s="50">
        <f t="shared" si="139"/>
        <v>0</v>
      </c>
      <c r="AT196" s="50">
        <f t="shared" si="139"/>
        <v>0</v>
      </c>
      <c r="AU196" s="50">
        <f t="shared" si="139"/>
        <v>0</v>
      </c>
    </row>
    <row r="197" spans="1:47" s="60" customFormat="1">
      <c r="D197" s="187"/>
      <c r="E197" s="325"/>
      <c r="G197" s="39" t="s">
        <v>305</v>
      </c>
      <c r="I197" s="39"/>
      <c r="K197" s="39"/>
      <c r="L197" s="174"/>
      <c r="N197" s="188"/>
      <c r="O197" s="314"/>
      <c r="P197" s="185"/>
      <c r="Q197" s="314"/>
      <c r="R197" s="185">
        <f ca="1">SUM(R186:R193)-SUM(R195:R196)</f>
        <v>0</v>
      </c>
      <c r="S197" s="185">
        <f t="shared" ref="S197:AU197" ca="1" si="140">SUM(S186:S193)-SUM(S195:S196)</f>
        <v>0</v>
      </c>
      <c r="T197" s="185">
        <f t="shared" ca="1" si="140"/>
        <v>0</v>
      </c>
      <c r="U197" s="185">
        <f t="shared" ca="1" si="140"/>
        <v>0</v>
      </c>
      <c r="V197" s="185">
        <f t="shared" ca="1" si="140"/>
        <v>0</v>
      </c>
      <c r="W197" s="185">
        <f t="shared" ca="1" si="140"/>
        <v>0</v>
      </c>
      <c r="X197" s="185">
        <f t="shared" ca="1" si="140"/>
        <v>0</v>
      </c>
      <c r="Y197" s="185">
        <f t="shared" ca="1" si="140"/>
        <v>0</v>
      </c>
      <c r="Z197" s="185">
        <f t="shared" ca="1" si="140"/>
        <v>0</v>
      </c>
      <c r="AA197" s="185">
        <f t="shared" ca="1" si="140"/>
        <v>0</v>
      </c>
      <c r="AB197" s="185">
        <f t="shared" ca="1" si="140"/>
        <v>0</v>
      </c>
      <c r="AC197" s="185">
        <f t="shared" ca="1" si="140"/>
        <v>0</v>
      </c>
      <c r="AD197" s="185">
        <f t="shared" ca="1" si="140"/>
        <v>0</v>
      </c>
      <c r="AE197" s="185">
        <f t="shared" ca="1" si="140"/>
        <v>0</v>
      </c>
      <c r="AF197" s="185">
        <f t="shared" ca="1" si="140"/>
        <v>0</v>
      </c>
      <c r="AG197" s="185">
        <f t="shared" ca="1" si="140"/>
        <v>0</v>
      </c>
      <c r="AH197" s="185">
        <f t="shared" ca="1" si="140"/>
        <v>0</v>
      </c>
      <c r="AI197" s="185">
        <f t="shared" ca="1" si="140"/>
        <v>0</v>
      </c>
      <c r="AJ197" s="185">
        <f t="shared" ca="1" si="140"/>
        <v>0</v>
      </c>
      <c r="AK197" s="185">
        <f t="shared" ca="1" si="140"/>
        <v>0</v>
      </c>
      <c r="AL197" s="185">
        <f t="shared" si="140"/>
        <v>0</v>
      </c>
      <c r="AM197" s="185">
        <f t="shared" si="140"/>
        <v>0</v>
      </c>
      <c r="AN197" s="185">
        <f t="shared" si="140"/>
        <v>0</v>
      </c>
      <c r="AO197" s="185">
        <f t="shared" si="140"/>
        <v>0</v>
      </c>
      <c r="AP197" s="185">
        <f t="shared" si="140"/>
        <v>0</v>
      </c>
      <c r="AQ197" s="185">
        <f t="shared" si="140"/>
        <v>0</v>
      </c>
      <c r="AR197" s="185">
        <f t="shared" si="140"/>
        <v>0</v>
      </c>
      <c r="AS197" s="185">
        <f t="shared" si="140"/>
        <v>0</v>
      </c>
      <c r="AT197" s="185">
        <f t="shared" si="140"/>
        <v>0</v>
      </c>
      <c r="AU197" s="185">
        <f t="shared" si="140"/>
        <v>0</v>
      </c>
    </row>
    <row r="198" spans="1:47">
      <c r="G198" s="28"/>
      <c r="H198" s="28"/>
      <c r="I198" s="28"/>
      <c r="J198" s="28"/>
      <c r="K198" s="28"/>
      <c r="L198" s="409"/>
      <c r="M198" s="46"/>
      <c r="N198" s="46"/>
      <c r="O198" s="315"/>
      <c r="P198" s="46"/>
      <c r="Q198" s="315"/>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row>
    <row r="199" spans="1:47">
      <c r="E199" s="327"/>
      <c r="F199" s="28"/>
      <c r="G199" s="324" t="str">
        <f>C201&amp;" Capital Costs"</f>
        <v>CHP Capital Costs</v>
      </c>
      <c r="H199" s="324"/>
      <c r="I199" s="324"/>
      <c r="J199" s="324"/>
      <c r="K199" s="324"/>
      <c r="L199" s="405" t="s">
        <v>79</v>
      </c>
      <c r="M199" s="256"/>
      <c r="N199" s="325" t="s">
        <v>490</v>
      </c>
      <c r="O199" s="311"/>
      <c r="P199" s="325" t="s">
        <v>491</v>
      </c>
      <c r="Q199" s="310"/>
      <c r="R199" s="325">
        <f>R$8</f>
        <v>2014</v>
      </c>
      <c r="S199" s="325">
        <f t="shared" ref="S199:AU199" si="141">S$8</f>
        <v>2015</v>
      </c>
      <c r="T199" s="325">
        <f t="shared" si="141"/>
        <v>2016</v>
      </c>
      <c r="U199" s="325">
        <f t="shared" si="141"/>
        <v>2017</v>
      </c>
      <c r="V199" s="325">
        <f t="shared" si="141"/>
        <v>2018</v>
      </c>
      <c r="W199" s="325">
        <f t="shared" si="141"/>
        <v>2019</v>
      </c>
      <c r="X199" s="325">
        <f t="shared" si="141"/>
        <v>2020</v>
      </c>
      <c r="Y199" s="325">
        <f t="shared" si="141"/>
        <v>2021</v>
      </c>
      <c r="Z199" s="325">
        <f t="shared" si="141"/>
        <v>2022</v>
      </c>
      <c r="AA199" s="325">
        <f t="shared" si="141"/>
        <v>2023</v>
      </c>
      <c r="AB199" s="325">
        <f t="shared" si="141"/>
        <v>2024</v>
      </c>
      <c r="AC199" s="325">
        <f t="shared" si="141"/>
        <v>2025</v>
      </c>
      <c r="AD199" s="325">
        <f t="shared" si="141"/>
        <v>2026</v>
      </c>
      <c r="AE199" s="325">
        <f t="shared" si="141"/>
        <v>2027</v>
      </c>
      <c r="AF199" s="325">
        <f t="shared" si="141"/>
        <v>2028</v>
      </c>
      <c r="AG199" s="325">
        <f t="shared" si="141"/>
        <v>2029</v>
      </c>
      <c r="AH199" s="325">
        <f t="shared" si="141"/>
        <v>2030</v>
      </c>
      <c r="AI199" s="325">
        <f t="shared" si="141"/>
        <v>2031</v>
      </c>
      <c r="AJ199" s="325">
        <f t="shared" si="141"/>
        <v>2032</v>
      </c>
      <c r="AK199" s="325">
        <f t="shared" si="141"/>
        <v>2033</v>
      </c>
      <c r="AL199" s="325">
        <f t="shared" si="141"/>
        <v>2034</v>
      </c>
      <c r="AM199" s="325">
        <f t="shared" si="141"/>
        <v>2035</v>
      </c>
      <c r="AN199" s="325">
        <f t="shared" si="141"/>
        <v>2036</v>
      </c>
      <c r="AO199" s="325">
        <f t="shared" si="141"/>
        <v>2037</v>
      </c>
      <c r="AP199" s="325">
        <f t="shared" si="141"/>
        <v>2038</v>
      </c>
      <c r="AQ199" s="325">
        <f t="shared" si="141"/>
        <v>2039</v>
      </c>
      <c r="AR199" s="325">
        <f t="shared" si="141"/>
        <v>2040</v>
      </c>
      <c r="AS199" s="325">
        <f t="shared" si="141"/>
        <v>2041</v>
      </c>
      <c r="AT199" s="325">
        <f t="shared" si="141"/>
        <v>2042</v>
      </c>
      <c r="AU199" s="325">
        <f t="shared" si="141"/>
        <v>2043</v>
      </c>
    </row>
    <row r="200" spans="1:47">
      <c r="E200" s="325"/>
      <c r="G200" s="39"/>
      <c r="H200" s="39"/>
      <c r="I200" s="39"/>
      <c r="J200" s="39"/>
      <c r="K200" s="39"/>
    </row>
    <row r="201" spans="1:47">
      <c r="A201" s="38" t="str">
        <f>$J$4&amp;"-"</f>
        <v>4Y-</v>
      </c>
      <c r="B201" s="38" t="s">
        <v>306</v>
      </c>
      <c r="C201" s="38" t="s">
        <v>318</v>
      </c>
      <c r="D201" s="186">
        <f>CapExEsc</f>
        <v>0.03</v>
      </c>
      <c r="E201" s="325"/>
      <c r="G201" s="36" t="s">
        <v>8</v>
      </c>
      <c r="H201" s="39"/>
      <c r="I201" s="39"/>
      <c r="J201" s="70"/>
      <c r="K201" s="39"/>
      <c r="L201" s="43" t="str">
        <f>"["&amp;CostBaseYr&amp;" $]"</f>
        <v>[2013 $]</v>
      </c>
      <c r="N201" s="52">
        <f ca="1">SUMIFS(OFFSET(Assumptions!$I$65,0,MATCH($A201,Configurations,0)-1,COUNT(Assumptions!$A$65:$A$84),1),Assumptions!$E$65:$E$84,$C201)</f>
        <v>0</v>
      </c>
      <c r="O201" s="52"/>
      <c r="P201" s="322"/>
      <c r="Q201" s="52"/>
      <c r="R201" s="52">
        <f t="shared" ref="R201:AU201" ca="1" si="142">R202*IF($P201=0,$N201,$P201)*(1+$D201)^(R$8-CostBaseYr)</f>
        <v>0</v>
      </c>
      <c r="S201" s="52">
        <f t="shared" ca="1" si="142"/>
        <v>0</v>
      </c>
      <c r="T201" s="52">
        <f t="shared" ca="1" si="142"/>
        <v>0</v>
      </c>
      <c r="U201" s="52">
        <f t="shared" ca="1" si="142"/>
        <v>0</v>
      </c>
      <c r="V201" s="52">
        <f t="shared" ca="1" si="142"/>
        <v>0</v>
      </c>
      <c r="W201" s="52">
        <f t="shared" ca="1" si="142"/>
        <v>0</v>
      </c>
      <c r="X201" s="52">
        <f t="shared" ca="1" si="142"/>
        <v>0</v>
      </c>
      <c r="Y201" s="52">
        <f t="shared" ca="1" si="142"/>
        <v>0</v>
      </c>
      <c r="Z201" s="52">
        <f t="shared" ca="1" si="142"/>
        <v>0</v>
      </c>
      <c r="AA201" s="52">
        <f t="shared" ca="1" si="142"/>
        <v>0</v>
      </c>
      <c r="AB201" s="52">
        <f t="shared" ca="1" si="142"/>
        <v>0</v>
      </c>
      <c r="AC201" s="52">
        <f t="shared" ca="1" si="142"/>
        <v>0</v>
      </c>
      <c r="AD201" s="52">
        <f t="shared" ca="1" si="142"/>
        <v>0</v>
      </c>
      <c r="AE201" s="52">
        <f t="shared" ca="1" si="142"/>
        <v>0</v>
      </c>
      <c r="AF201" s="52">
        <f t="shared" ca="1" si="142"/>
        <v>0</v>
      </c>
      <c r="AG201" s="52">
        <f t="shared" ca="1" si="142"/>
        <v>0</v>
      </c>
      <c r="AH201" s="52">
        <f t="shared" ca="1" si="142"/>
        <v>0</v>
      </c>
      <c r="AI201" s="52">
        <f t="shared" ca="1" si="142"/>
        <v>0</v>
      </c>
      <c r="AJ201" s="52">
        <f t="shared" ca="1" si="142"/>
        <v>0</v>
      </c>
      <c r="AK201" s="52">
        <f t="shared" ca="1" si="142"/>
        <v>0</v>
      </c>
      <c r="AL201" s="52">
        <f t="shared" ca="1" si="142"/>
        <v>0</v>
      </c>
      <c r="AM201" s="52">
        <f t="shared" ca="1" si="142"/>
        <v>0</v>
      </c>
      <c r="AN201" s="52">
        <f t="shared" ca="1" si="142"/>
        <v>0</v>
      </c>
      <c r="AO201" s="52">
        <f t="shared" ca="1" si="142"/>
        <v>0</v>
      </c>
      <c r="AP201" s="52">
        <f t="shared" ca="1" si="142"/>
        <v>0</v>
      </c>
      <c r="AQ201" s="52">
        <f t="shared" ca="1" si="142"/>
        <v>0</v>
      </c>
      <c r="AR201" s="52">
        <f t="shared" ca="1" si="142"/>
        <v>0</v>
      </c>
      <c r="AS201" s="52">
        <f t="shared" ca="1" si="142"/>
        <v>0</v>
      </c>
      <c r="AT201" s="52">
        <f t="shared" ca="1" si="142"/>
        <v>0</v>
      </c>
      <c r="AU201" s="52">
        <f t="shared" ca="1" si="142"/>
        <v>0</v>
      </c>
    </row>
    <row r="202" spans="1:47">
      <c r="E202" s="325"/>
      <c r="G202" s="36" t="s">
        <v>10</v>
      </c>
      <c r="H202" s="39"/>
      <c r="I202" s="39"/>
      <c r="J202" s="39"/>
      <c r="K202" s="39"/>
      <c r="L202" s="43"/>
      <c r="R202" s="54">
        <f>Assumptions!M$60</f>
        <v>1</v>
      </c>
      <c r="S202" s="54">
        <f>Assumptions!N$60</f>
        <v>0</v>
      </c>
      <c r="T202" s="54">
        <f>Assumptions!O$60</f>
        <v>0</v>
      </c>
      <c r="U202" s="54">
        <f>Assumptions!P$60</f>
        <v>0</v>
      </c>
      <c r="V202" s="54">
        <f>Assumptions!Q$60</f>
        <v>0</v>
      </c>
      <c r="W202" s="54">
        <f>Assumptions!R$60</f>
        <v>0</v>
      </c>
      <c r="X202" s="54">
        <f>Assumptions!S$60</f>
        <v>0</v>
      </c>
      <c r="Y202" s="54">
        <f>Assumptions!T$60</f>
        <v>0</v>
      </c>
      <c r="Z202" s="54">
        <f>Assumptions!U$60</f>
        <v>0</v>
      </c>
      <c r="AA202" s="54">
        <f>Assumptions!V$60</f>
        <v>0</v>
      </c>
      <c r="AB202" s="54">
        <f>Assumptions!W$60</f>
        <v>0</v>
      </c>
      <c r="AC202" s="54">
        <f>Assumptions!X$60</f>
        <v>0</v>
      </c>
      <c r="AD202" s="54">
        <f>Assumptions!Y$60</f>
        <v>0</v>
      </c>
      <c r="AE202" s="54">
        <f>Assumptions!Z$60</f>
        <v>0</v>
      </c>
      <c r="AF202" s="54">
        <f>Assumptions!AA$60</f>
        <v>0</v>
      </c>
      <c r="AG202" s="54">
        <f>Assumptions!AB$60</f>
        <v>0</v>
      </c>
      <c r="AH202" s="54">
        <f>Assumptions!AC$60</f>
        <v>0</v>
      </c>
      <c r="AI202" s="54">
        <f>Assumptions!AD$60</f>
        <v>0</v>
      </c>
      <c r="AJ202" s="54">
        <f>Assumptions!AE$60</f>
        <v>0</v>
      </c>
      <c r="AK202" s="54">
        <f>Assumptions!AF$60</f>
        <v>0</v>
      </c>
      <c r="AL202" s="54">
        <f>Assumptions!AG$60</f>
        <v>0</v>
      </c>
      <c r="AM202" s="54">
        <f>Assumptions!AH$60</f>
        <v>0</v>
      </c>
      <c r="AN202" s="54">
        <f>Assumptions!AI$60</f>
        <v>0</v>
      </c>
      <c r="AO202" s="54">
        <f>Assumptions!AJ$60</f>
        <v>0</v>
      </c>
      <c r="AP202" s="54">
        <f>Assumptions!AK$60</f>
        <v>0</v>
      </c>
      <c r="AQ202" s="54">
        <f>Assumptions!AL$60</f>
        <v>0</v>
      </c>
      <c r="AR202" s="54">
        <f>Assumptions!AM$60</f>
        <v>0</v>
      </c>
      <c r="AS202" s="54">
        <f>Assumptions!AN$60</f>
        <v>0</v>
      </c>
      <c r="AT202" s="54">
        <f>Assumptions!AO$60</f>
        <v>0</v>
      </c>
      <c r="AU202" s="54">
        <f>Assumptions!AP$60</f>
        <v>0</v>
      </c>
    </row>
    <row r="203" spans="1:47">
      <c r="E203" s="326"/>
      <c r="G203" s="39"/>
      <c r="H203" s="39"/>
      <c r="I203" s="39"/>
      <c r="J203" s="39"/>
      <c r="K203" s="39"/>
    </row>
    <row r="204" spans="1:47">
      <c r="E204" s="327"/>
      <c r="F204" s="28"/>
      <c r="G204" s="324" t="str">
        <f>C201&amp;" O&amp;M"</f>
        <v>CHP O&amp;M</v>
      </c>
      <c r="H204" s="324"/>
      <c r="I204" s="324"/>
      <c r="J204" s="324"/>
      <c r="K204" s="324"/>
      <c r="L204" s="405" t="s">
        <v>79</v>
      </c>
      <c r="M204" s="256"/>
      <c r="N204" s="325" t="s">
        <v>490</v>
      </c>
      <c r="O204" s="311"/>
      <c r="P204" s="325" t="s">
        <v>491</v>
      </c>
      <c r="Q204" s="310"/>
      <c r="R204" s="325">
        <f>R$8</f>
        <v>2014</v>
      </c>
      <c r="S204" s="325">
        <f t="shared" ref="S204:AU204" si="143">S$8</f>
        <v>2015</v>
      </c>
      <c r="T204" s="325">
        <f t="shared" si="143"/>
        <v>2016</v>
      </c>
      <c r="U204" s="325">
        <f t="shared" si="143"/>
        <v>2017</v>
      </c>
      <c r="V204" s="325">
        <f t="shared" si="143"/>
        <v>2018</v>
      </c>
      <c r="W204" s="325">
        <f t="shared" si="143"/>
        <v>2019</v>
      </c>
      <c r="X204" s="325">
        <f t="shared" si="143"/>
        <v>2020</v>
      </c>
      <c r="Y204" s="325">
        <f t="shared" si="143"/>
        <v>2021</v>
      </c>
      <c r="Z204" s="325">
        <f t="shared" si="143"/>
        <v>2022</v>
      </c>
      <c r="AA204" s="325">
        <f t="shared" si="143"/>
        <v>2023</v>
      </c>
      <c r="AB204" s="325">
        <f t="shared" si="143"/>
        <v>2024</v>
      </c>
      <c r="AC204" s="325">
        <f t="shared" si="143"/>
        <v>2025</v>
      </c>
      <c r="AD204" s="325">
        <f t="shared" si="143"/>
        <v>2026</v>
      </c>
      <c r="AE204" s="325">
        <f t="shared" si="143"/>
        <v>2027</v>
      </c>
      <c r="AF204" s="325">
        <f t="shared" si="143"/>
        <v>2028</v>
      </c>
      <c r="AG204" s="325">
        <f t="shared" si="143"/>
        <v>2029</v>
      </c>
      <c r="AH204" s="325">
        <f t="shared" si="143"/>
        <v>2030</v>
      </c>
      <c r="AI204" s="325">
        <f t="shared" si="143"/>
        <v>2031</v>
      </c>
      <c r="AJ204" s="325">
        <f t="shared" si="143"/>
        <v>2032</v>
      </c>
      <c r="AK204" s="325">
        <f t="shared" si="143"/>
        <v>2033</v>
      </c>
      <c r="AL204" s="325">
        <f t="shared" si="143"/>
        <v>2034</v>
      </c>
      <c r="AM204" s="325">
        <f t="shared" si="143"/>
        <v>2035</v>
      </c>
      <c r="AN204" s="325">
        <f t="shared" si="143"/>
        <v>2036</v>
      </c>
      <c r="AO204" s="325">
        <f t="shared" si="143"/>
        <v>2037</v>
      </c>
      <c r="AP204" s="325">
        <f t="shared" si="143"/>
        <v>2038</v>
      </c>
      <c r="AQ204" s="325">
        <f t="shared" si="143"/>
        <v>2039</v>
      </c>
      <c r="AR204" s="325">
        <f t="shared" si="143"/>
        <v>2040</v>
      </c>
      <c r="AS204" s="325">
        <f t="shared" si="143"/>
        <v>2041</v>
      </c>
      <c r="AT204" s="325">
        <f t="shared" si="143"/>
        <v>2042</v>
      </c>
      <c r="AU204" s="325">
        <f t="shared" si="143"/>
        <v>2043</v>
      </c>
    </row>
    <row r="205" spans="1:47">
      <c r="E205" s="325"/>
      <c r="G205" s="39"/>
      <c r="H205" s="39"/>
      <c r="I205" s="39"/>
      <c r="J205" s="39"/>
      <c r="K205" s="39"/>
    </row>
    <row r="206" spans="1:47">
      <c r="E206" s="325"/>
      <c r="G206" s="39" t="s">
        <v>23</v>
      </c>
      <c r="H206" s="39"/>
      <c r="I206" s="39"/>
      <c r="J206" s="39"/>
      <c r="K206" s="39"/>
    </row>
    <row r="207" spans="1:47">
      <c r="A207" s="38" t="str">
        <f t="shared" ref="A207:A214" si="144">$J$4&amp;"-"</f>
        <v>4Y-</v>
      </c>
      <c r="B207" s="38" t="s">
        <v>262</v>
      </c>
      <c r="C207" s="38" t="str">
        <f>C201</f>
        <v>CHP</v>
      </c>
      <c r="D207" s="186">
        <f>LaborEsc</f>
        <v>0.02</v>
      </c>
      <c r="E207" s="325"/>
      <c r="G207" s="36" t="s">
        <v>125</v>
      </c>
      <c r="I207" s="39"/>
      <c r="K207" s="39"/>
      <c r="L207" s="43" t="s">
        <v>266</v>
      </c>
      <c r="N207" s="70">
        <f ca="1">SUMIFS(OFFSET(Assumptions!$I$90,0,MATCH($A207,Configurations,0)-1,COUNT(Assumptions!$A$90:$A$183),1),Assumptions!$D$90:$D$183,$B207&amp;$C207)</f>
        <v>0</v>
      </c>
      <c r="O207" s="313"/>
      <c r="P207" s="323"/>
      <c r="Q207" s="313"/>
      <c r="R207" s="50">
        <f t="shared" ref="R207:AU207" ca="1" si="145">IF(OR(R$99&lt;InServiceYr,R$99&gt;(InServiceYr+analysis_period-1)),0,IF($P207=0,$N207,$P207)*LaborCost*(1+$D207)^(R$99-CostBaseYr))</f>
        <v>0</v>
      </c>
      <c r="S207" s="50">
        <f t="shared" ca="1" si="145"/>
        <v>0</v>
      </c>
      <c r="T207" s="50">
        <f t="shared" ca="1" si="145"/>
        <v>0</v>
      </c>
      <c r="U207" s="50">
        <f t="shared" ca="1" si="145"/>
        <v>0</v>
      </c>
      <c r="V207" s="50">
        <f t="shared" ca="1" si="145"/>
        <v>0</v>
      </c>
      <c r="W207" s="50">
        <f t="shared" ca="1" si="145"/>
        <v>0</v>
      </c>
      <c r="X207" s="50">
        <f t="shared" ca="1" si="145"/>
        <v>0</v>
      </c>
      <c r="Y207" s="50">
        <f t="shared" ca="1" si="145"/>
        <v>0</v>
      </c>
      <c r="Z207" s="50">
        <f t="shared" ca="1" si="145"/>
        <v>0</v>
      </c>
      <c r="AA207" s="50">
        <f t="shared" ca="1" si="145"/>
        <v>0</v>
      </c>
      <c r="AB207" s="50">
        <f t="shared" ca="1" si="145"/>
        <v>0</v>
      </c>
      <c r="AC207" s="50">
        <f t="shared" ca="1" si="145"/>
        <v>0</v>
      </c>
      <c r="AD207" s="50">
        <f t="shared" ca="1" si="145"/>
        <v>0</v>
      </c>
      <c r="AE207" s="50">
        <f t="shared" ca="1" si="145"/>
        <v>0</v>
      </c>
      <c r="AF207" s="50">
        <f t="shared" ca="1" si="145"/>
        <v>0</v>
      </c>
      <c r="AG207" s="50">
        <f t="shared" ca="1" si="145"/>
        <v>0</v>
      </c>
      <c r="AH207" s="50">
        <f t="shared" ca="1" si="145"/>
        <v>0</v>
      </c>
      <c r="AI207" s="50">
        <f t="shared" ca="1" si="145"/>
        <v>0</v>
      </c>
      <c r="AJ207" s="50">
        <f t="shared" ca="1" si="145"/>
        <v>0</v>
      </c>
      <c r="AK207" s="50">
        <f t="shared" ca="1" si="145"/>
        <v>0</v>
      </c>
      <c r="AL207" s="50">
        <f t="shared" si="145"/>
        <v>0</v>
      </c>
      <c r="AM207" s="50">
        <f t="shared" si="145"/>
        <v>0</v>
      </c>
      <c r="AN207" s="50">
        <f t="shared" si="145"/>
        <v>0</v>
      </c>
      <c r="AO207" s="50">
        <f t="shared" si="145"/>
        <v>0</v>
      </c>
      <c r="AP207" s="50">
        <f t="shared" si="145"/>
        <v>0</v>
      </c>
      <c r="AQ207" s="50">
        <f t="shared" si="145"/>
        <v>0</v>
      </c>
      <c r="AR207" s="50">
        <f t="shared" si="145"/>
        <v>0</v>
      </c>
      <c r="AS207" s="50">
        <f t="shared" si="145"/>
        <v>0</v>
      </c>
      <c r="AT207" s="50">
        <f t="shared" si="145"/>
        <v>0</v>
      </c>
      <c r="AU207" s="50">
        <f t="shared" si="145"/>
        <v>0</v>
      </c>
    </row>
    <row r="208" spans="1:47">
      <c r="A208" s="38" t="str">
        <f t="shared" si="144"/>
        <v>4Y-</v>
      </c>
      <c r="B208" s="38" t="s">
        <v>270</v>
      </c>
      <c r="C208" s="38" t="str">
        <f>C207</f>
        <v>CHP</v>
      </c>
      <c r="D208" s="186">
        <f>OMEsc</f>
        <v>0.02</v>
      </c>
      <c r="E208" s="325"/>
      <c r="G208" s="36" t="s">
        <v>126</v>
      </c>
      <c r="I208" s="39"/>
      <c r="K208" s="39"/>
      <c r="L208" s="43" t="str">
        <f>"["&amp;CostBaseYr&amp;" $]"</f>
        <v>[2013 $]</v>
      </c>
      <c r="N208" s="70">
        <f ca="1">SUMIFS(OFFSET(Assumptions!$I$90,0,MATCH($A208,Configurations,0)-1,COUNT(Assumptions!$A$90:$A$183),1),Assumptions!$D$90:$D$183,$B208&amp;$C208)</f>
        <v>0</v>
      </c>
      <c r="O208" s="313"/>
      <c r="P208" s="323"/>
      <c r="Q208" s="313"/>
      <c r="R208" s="50">
        <f t="shared" ref="R208:AG210" ca="1" si="146">IF(OR(R$99&lt;InServiceYr,R$99&gt;(InServiceYr+analysis_period-1)),0,IF($P208=0,$N208,$P208)*(1+$D208)^(R$99-CostBaseYr))</f>
        <v>0</v>
      </c>
      <c r="S208" s="50">
        <f t="shared" ca="1" si="146"/>
        <v>0</v>
      </c>
      <c r="T208" s="50">
        <f t="shared" ca="1" si="146"/>
        <v>0</v>
      </c>
      <c r="U208" s="50">
        <f t="shared" ca="1" si="146"/>
        <v>0</v>
      </c>
      <c r="V208" s="50">
        <f t="shared" ca="1" si="146"/>
        <v>0</v>
      </c>
      <c r="W208" s="50">
        <f t="shared" ca="1" si="146"/>
        <v>0</v>
      </c>
      <c r="X208" s="50">
        <f t="shared" ca="1" si="146"/>
        <v>0</v>
      </c>
      <c r="Y208" s="50">
        <f t="shared" ca="1" si="146"/>
        <v>0</v>
      </c>
      <c r="Z208" s="50">
        <f t="shared" ca="1" si="146"/>
        <v>0</v>
      </c>
      <c r="AA208" s="50">
        <f t="shared" ca="1" si="146"/>
        <v>0</v>
      </c>
      <c r="AB208" s="50">
        <f t="shared" ca="1" si="146"/>
        <v>0</v>
      </c>
      <c r="AC208" s="50">
        <f t="shared" ca="1" si="146"/>
        <v>0</v>
      </c>
      <c r="AD208" s="50">
        <f t="shared" ca="1" si="146"/>
        <v>0</v>
      </c>
      <c r="AE208" s="50">
        <f t="shared" ca="1" si="146"/>
        <v>0</v>
      </c>
      <c r="AF208" s="50">
        <f t="shared" ca="1" si="146"/>
        <v>0</v>
      </c>
      <c r="AG208" s="50">
        <f t="shared" ca="1" si="146"/>
        <v>0</v>
      </c>
      <c r="AH208" s="50">
        <f t="shared" ref="S208:AU210" ca="1" si="147">IF(OR(AH$99&lt;InServiceYr,AH$99&gt;(InServiceYr+analysis_period-1)),0,IF($P208=0,$N208,$P208)*(1+$D208)^(AH$99-CostBaseYr))</f>
        <v>0</v>
      </c>
      <c r="AI208" s="50">
        <f t="shared" ca="1" si="147"/>
        <v>0</v>
      </c>
      <c r="AJ208" s="50">
        <f t="shared" ca="1" si="147"/>
        <v>0</v>
      </c>
      <c r="AK208" s="50">
        <f t="shared" ca="1" si="147"/>
        <v>0</v>
      </c>
      <c r="AL208" s="50">
        <f t="shared" si="147"/>
        <v>0</v>
      </c>
      <c r="AM208" s="50">
        <f t="shared" si="147"/>
        <v>0</v>
      </c>
      <c r="AN208" s="50">
        <f t="shared" si="147"/>
        <v>0</v>
      </c>
      <c r="AO208" s="50">
        <f t="shared" si="147"/>
        <v>0</v>
      </c>
      <c r="AP208" s="50">
        <f t="shared" si="147"/>
        <v>0</v>
      </c>
      <c r="AQ208" s="50">
        <f t="shared" si="147"/>
        <v>0</v>
      </c>
      <c r="AR208" s="50">
        <f t="shared" si="147"/>
        <v>0</v>
      </c>
      <c r="AS208" s="50">
        <f t="shared" si="147"/>
        <v>0</v>
      </c>
      <c r="AT208" s="50">
        <f t="shared" si="147"/>
        <v>0</v>
      </c>
      <c r="AU208" s="50">
        <f t="shared" si="147"/>
        <v>0</v>
      </c>
    </row>
    <row r="209" spans="1:47">
      <c r="A209" s="38" t="str">
        <f t="shared" si="144"/>
        <v>4Y-</v>
      </c>
      <c r="B209" s="38" t="s">
        <v>263</v>
      </c>
      <c r="C209" s="38" t="str">
        <f t="shared" ref="C209:C213" si="148">C208</f>
        <v>CHP</v>
      </c>
      <c r="D209" s="186">
        <f>OMEsc</f>
        <v>0.02</v>
      </c>
      <c r="E209" s="325"/>
      <c r="G209" s="36" t="s">
        <v>127</v>
      </c>
      <c r="I209" s="39"/>
      <c r="K209" s="39"/>
      <c r="L209" s="43" t="str">
        <f>"["&amp;CostBaseYr&amp;" $]"</f>
        <v>[2013 $]</v>
      </c>
      <c r="N209" s="70">
        <f ca="1">SUMIFS(OFFSET(Assumptions!$I$90,0,MATCH($A209,Configurations,0)-1,COUNT(Assumptions!$A$90:$A$183),1),Assumptions!$D$90:$D$183,$B209&amp;$C209)</f>
        <v>0</v>
      </c>
      <c r="O209" s="313"/>
      <c r="P209" s="323"/>
      <c r="Q209" s="313"/>
      <c r="R209" s="50">
        <f t="shared" ca="1" si="146"/>
        <v>0</v>
      </c>
      <c r="S209" s="50">
        <f t="shared" ca="1" si="147"/>
        <v>0</v>
      </c>
      <c r="T209" s="50">
        <f t="shared" ca="1" si="147"/>
        <v>0</v>
      </c>
      <c r="U209" s="50">
        <f t="shared" ca="1" si="147"/>
        <v>0</v>
      </c>
      <c r="V209" s="50">
        <f t="shared" ca="1" si="147"/>
        <v>0</v>
      </c>
      <c r="W209" s="50">
        <f t="shared" ca="1" si="147"/>
        <v>0</v>
      </c>
      <c r="X209" s="50">
        <f t="shared" ca="1" si="147"/>
        <v>0</v>
      </c>
      <c r="Y209" s="50">
        <f t="shared" ca="1" si="147"/>
        <v>0</v>
      </c>
      <c r="Z209" s="50">
        <f t="shared" ca="1" si="147"/>
        <v>0</v>
      </c>
      <c r="AA209" s="50">
        <f t="shared" ca="1" si="147"/>
        <v>0</v>
      </c>
      <c r="AB209" s="50">
        <f t="shared" ca="1" si="147"/>
        <v>0</v>
      </c>
      <c r="AC209" s="50">
        <f t="shared" ca="1" si="147"/>
        <v>0</v>
      </c>
      <c r="AD209" s="50">
        <f t="shared" ca="1" si="147"/>
        <v>0</v>
      </c>
      <c r="AE209" s="50">
        <f t="shared" ca="1" si="147"/>
        <v>0</v>
      </c>
      <c r="AF209" s="50">
        <f t="shared" ca="1" si="147"/>
        <v>0</v>
      </c>
      <c r="AG209" s="50">
        <f t="shared" ca="1" si="147"/>
        <v>0</v>
      </c>
      <c r="AH209" s="50">
        <f t="shared" ca="1" si="147"/>
        <v>0</v>
      </c>
      <c r="AI209" s="50">
        <f t="shared" ca="1" si="147"/>
        <v>0</v>
      </c>
      <c r="AJ209" s="50">
        <f t="shared" ca="1" si="147"/>
        <v>0</v>
      </c>
      <c r="AK209" s="50">
        <f t="shared" ca="1" si="147"/>
        <v>0</v>
      </c>
      <c r="AL209" s="50">
        <f t="shared" si="147"/>
        <v>0</v>
      </c>
      <c r="AM209" s="50">
        <f t="shared" si="147"/>
        <v>0</v>
      </c>
      <c r="AN209" s="50">
        <f t="shared" si="147"/>
        <v>0</v>
      </c>
      <c r="AO209" s="50">
        <f t="shared" si="147"/>
        <v>0</v>
      </c>
      <c r="AP209" s="50">
        <f t="shared" si="147"/>
        <v>0</v>
      </c>
      <c r="AQ209" s="50">
        <f t="shared" si="147"/>
        <v>0</v>
      </c>
      <c r="AR209" s="50">
        <f t="shared" si="147"/>
        <v>0</v>
      </c>
      <c r="AS209" s="50">
        <f t="shared" si="147"/>
        <v>0</v>
      </c>
      <c r="AT209" s="50">
        <f t="shared" si="147"/>
        <v>0</v>
      </c>
      <c r="AU209" s="50">
        <f t="shared" si="147"/>
        <v>0</v>
      </c>
    </row>
    <row r="210" spans="1:47">
      <c r="A210" s="38" t="str">
        <f t="shared" si="144"/>
        <v>4Y-</v>
      </c>
      <c r="B210" s="38" t="s">
        <v>277</v>
      </c>
      <c r="C210" s="38" t="str">
        <f t="shared" si="148"/>
        <v>CHP</v>
      </c>
      <c r="D210" s="186">
        <f>OMEsc</f>
        <v>0.02</v>
      </c>
      <c r="E210" s="325"/>
      <c r="G210" s="36" t="s">
        <v>276</v>
      </c>
      <c r="I210" s="39"/>
      <c r="K210" s="39"/>
      <c r="L210" s="43" t="str">
        <f>"["&amp;CostBaseYr&amp;" $]"</f>
        <v>[2013 $]</v>
      </c>
      <c r="N210" s="70">
        <f ca="1">SUMIFS(OFFSET(Assumptions!$I$90,0,MATCH($A210,Configurations,0)-1,COUNT(Assumptions!$A$90:$A$183),1),Assumptions!$D$90:$D$183,$B210&amp;$C210)</f>
        <v>0</v>
      </c>
      <c r="O210" s="313"/>
      <c r="P210" s="323"/>
      <c r="Q210" s="313"/>
      <c r="R210" s="50">
        <f t="shared" ca="1" si="146"/>
        <v>0</v>
      </c>
      <c r="S210" s="50">
        <f t="shared" ca="1" si="147"/>
        <v>0</v>
      </c>
      <c r="T210" s="50">
        <f t="shared" ca="1" si="147"/>
        <v>0</v>
      </c>
      <c r="U210" s="50">
        <f t="shared" ca="1" si="147"/>
        <v>0</v>
      </c>
      <c r="V210" s="50">
        <f t="shared" ca="1" si="147"/>
        <v>0</v>
      </c>
      <c r="W210" s="50">
        <f t="shared" ca="1" si="147"/>
        <v>0</v>
      </c>
      <c r="X210" s="50">
        <f t="shared" ca="1" si="147"/>
        <v>0</v>
      </c>
      <c r="Y210" s="50">
        <f t="shared" ca="1" si="147"/>
        <v>0</v>
      </c>
      <c r="Z210" s="50">
        <f t="shared" ca="1" si="147"/>
        <v>0</v>
      </c>
      <c r="AA210" s="50">
        <f t="shared" ca="1" si="147"/>
        <v>0</v>
      </c>
      <c r="AB210" s="50">
        <f t="shared" ca="1" si="147"/>
        <v>0</v>
      </c>
      <c r="AC210" s="50">
        <f t="shared" ca="1" si="147"/>
        <v>0</v>
      </c>
      <c r="AD210" s="50">
        <f t="shared" ca="1" si="147"/>
        <v>0</v>
      </c>
      <c r="AE210" s="50">
        <f t="shared" ca="1" si="147"/>
        <v>0</v>
      </c>
      <c r="AF210" s="50">
        <f t="shared" ca="1" si="147"/>
        <v>0</v>
      </c>
      <c r="AG210" s="50">
        <f t="shared" ca="1" si="147"/>
        <v>0</v>
      </c>
      <c r="AH210" s="50">
        <f t="shared" ca="1" si="147"/>
        <v>0</v>
      </c>
      <c r="AI210" s="50">
        <f t="shared" ca="1" si="147"/>
        <v>0</v>
      </c>
      <c r="AJ210" s="50">
        <f t="shared" ca="1" si="147"/>
        <v>0</v>
      </c>
      <c r="AK210" s="50">
        <f t="shared" ca="1" si="147"/>
        <v>0</v>
      </c>
      <c r="AL210" s="50">
        <f t="shared" si="147"/>
        <v>0</v>
      </c>
      <c r="AM210" s="50">
        <f t="shared" si="147"/>
        <v>0</v>
      </c>
      <c r="AN210" s="50">
        <f t="shared" si="147"/>
        <v>0</v>
      </c>
      <c r="AO210" s="50">
        <f t="shared" si="147"/>
        <v>0</v>
      </c>
      <c r="AP210" s="50">
        <f t="shared" si="147"/>
        <v>0</v>
      </c>
      <c r="AQ210" s="50">
        <f t="shared" si="147"/>
        <v>0</v>
      </c>
      <c r="AR210" s="50">
        <f t="shared" si="147"/>
        <v>0</v>
      </c>
      <c r="AS210" s="50">
        <f t="shared" si="147"/>
        <v>0</v>
      </c>
      <c r="AT210" s="50">
        <f t="shared" si="147"/>
        <v>0</v>
      </c>
      <c r="AU210" s="50">
        <f t="shared" si="147"/>
        <v>0</v>
      </c>
    </row>
    <row r="211" spans="1:47">
      <c r="A211" s="38" t="str">
        <f t="shared" si="144"/>
        <v>4Y-</v>
      </c>
      <c r="B211" s="38" t="s">
        <v>274</v>
      </c>
      <c r="C211" s="38" t="str">
        <f t="shared" si="148"/>
        <v>CHP</v>
      </c>
      <c r="D211" s="186"/>
      <c r="E211" s="325"/>
      <c r="G211" s="36" t="s">
        <v>16</v>
      </c>
      <c r="I211" s="39"/>
      <c r="K211" s="39"/>
      <c r="L211" s="43" t="s">
        <v>275</v>
      </c>
      <c r="N211" s="70">
        <f ca="1">SUMIFS(OFFSET(Assumptions!$I$90,0,MATCH($A211,Configurations,0)-1,COUNT(Assumptions!$A$90:$A$183),1),Assumptions!$D$90:$D$183,$B211&amp;$C211)</f>
        <v>0</v>
      </c>
      <c r="O211" s="313"/>
      <c r="P211" s="323"/>
      <c r="Q211" s="313"/>
      <c r="R211" s="50">
        <f t="shared" ref="R211:AU211" ca="1" si="149">IF(OR(R$99&lt;InServiceYr,R$99&gt;(InServiceYr+analysis_period-1)),0,IF($P211=0,$N211,$P211)*R$505)</f>
        <v>0</v>
      </c>
      <c r="S211" s="50">
        <f t="shared" ca="1" si="149"/>
        <v>0</v>
      </c>
      <c r="T211" s="50">
        <f t="shared" ca="1" si="149"/>
        <v>0</v>
      </c>
      <c r="U211" s="50">
        <f t="shared" ca="1" si="149"/>
        <v>0</v>
      </c>
      <c r="V211" s="50">
        <f t="shared" ca="1" si="149"/>
        <v>0</v>
      </c>
      <c r="W211" s="50">
        <f t="shared" ca="1" si="149"/>
        <v>0</v>
      </c>
      <c r="X211" s="50">
        <f t="shared" ca="1" si="149"/>
        <v>0</v>
      </c>
      <c r="Y211" s="50">
        <f t="shared" ca="1" si="149"/>
        <v>0</v>
      </c>
      <c r="Z211" s="50">
        <f t="shared" ca="1" si="149"/>
        <v>0</v>
      </c>
      <c r="AA211" s="50">
        <f t="shared" ca="1" si="149"/>
        <v>0</v>
      </c>
      <c r="AB211" s="50">
        <f t="shared" ca="1" si="149"/>
        <v>0</v>
      </c>
      <c r="AC211" s="50">
        <f t="shared" ca="1" si="149"/>
        <v>0</v>
      </c>
      <c r="AD211" s="50">
        <f t="shared" ca="1" si="149"/>
        <v>0</v>
      </c>
      <c r="AE211" s="50">
        <f t="shared" ca="1" si="149"/>
        <v>0</v>
      </c>
      <c r="AF211" s="50">
        <f t="shared" ca="1" si="149"/>
        <v>0</v>
      </c>
      <c r="AG211" s="50">
        <f t="shared" ca="1" si="149"/>
        <v>0</v>
      </c>
      <c r="AH211" s="50">
        <f t="shared" ca="1" si="149"/>
        <v>0</v>
      </c>
      <c r="AI211" s="50">
        <f t="shared" ca="1" si="149"/>
        <v>0</v>
      </c>
      <c r="AJ211" s="50">
        <f t="shared" ca="1" si="149"/>
        <v>0</v>
      </c>
      <c r="AK211" s="50">
        <f t="shared" ca="1" si="149"/>
        <v>0</v>
      </c>
      <c r="AL211" s="50">
        <f t="shared" si="149"/>
        <v>0</v>
      </c>
      <c r="AM211" s="50">
        <f t="shared" si="149"/>
        <v>0</v>
      </c>
      <c r="AN211" s="50">
        <f t="shared" si="149"/>
        <v>0</v>
      </c>
      <c r="AO211" s="50">
        <f t="shared" si="149"/>
        <v>0</v>
      </c>
      <c r="AP211" s="50">
        <f t="shared" si="149"/>
        <v>0</v>
      </c>
      <c r="AQ211" s="50">
        <f t="shared" si="149"/>
        <v>0</v>
      </c>
      <c r="AR211" s="50">
        <f t="shared" si="149"/>
        <v>0</v>
      </c>
      <c r="AS211" s="50">
        <f t="shared" si="149"/>
        <v>0</v>
      </c>
      <c r="AT211" s="50">
        <f t="shared" si="149"/>
        <v>0</v>
      </c>
      <c r="AU211" s="50">
        <f t="shared" si="149"/>
        <v>0</v>
      </c>
    </row>
    <row r="212" spans="1:47">
      <c r="A212" s="38" t="str">
        <f t="shared" si="144"/>
        <v>4Y-</v>
      </c>
      <c r="B212" s="38" t="s">
        <v>257</v>
      </c>
      <c r="C212" s="38" t="str">
        <f t="shared" si="148"/>
        <v>CHP</v>
      </c>
      <c r="D212" s="186"/>
      <c r="E212" s="325"/>
      <c r="G212" s="36" t="s">
        <v>284</v>
      </c>
      <c r="I212" s="39"/>
      <c r="K212" s="39"/>
      <c r="L212" s="43" t="s">
        <v>293</v>
      </c>
      <c r="N212" s="70">
        <f ca="1">SUMIFS(OFFSET(Assumptions!$I$90,0,MATCH($A212,Configurations,0)-1,COUNT(Assumptions!$A$90:$A$183),1),Assumptions!$D$90:$D$183,$B212&amp;$C212)</f>
        <v>0</v>
      </c>
      <c r="O212" s="313"/>
      <c r="P212" s="323"/>
      <c r="Q212" s="313"/>
      <c r="R212" s="50">
        <f t="shared" ref="R212:AU212" ca="1" si="150">IF(OR(R$99&lt;InServiceYr,R$99&gt;(InServiceYr+analysis_period-1)),0,IF($P212=0,$N212,$P212)*R$501)</f>
        <v>0</v>
      </c>
      <c r="S212" s="50">
        <f t="shared" ca="1" si="150"/>
        <v>0</v>
      </c>
      <c r="T212" s="50">
        <f t="shared" ca="1" si="150"/>
        <v>0</v>
      </c>
      <c r="U212" s="50">
        <f t="shared" ca="1" si="150"/>
        <v>0</v>
      </c>
      <c r="V212" s="50">
        <f t="shared" ca="1" si="150"/>
        <v>0</v>
      </c>
      <c r="W212" s="50">
        <f t="shared" ca="1" si="150"/>
        <v>0</v>
      </c>
      <c r="X212" s="50">
        <f t="shared" ca="1" si="150"/>
        <v>0</v>
      </c>
      <c r="Y212" s="50">
        <f t="shared" ca="1" si="150"/>
        <v>0</v>
      </c>
      <c r="Z212" s="50">
        <f t="shared" ca="1" si="150"/>
        <v>0</v>
      </c>
      <c r="AA212" s="50">
        <f t="shared" ca="1" si="150"/>
        <v>0</v>
      </c>
      <c r="AB212" s="50">
        <f t="shared" ca="1" si="150"/>
        <v>0</v>
      </c>
      <c r="AC212" s="50">
        <f t="shared" ca="1" si="150"/>
        <v>0</v>
      </c>
      <c r="AD212" s="50">
        <f t="shared" ca="1" si="150"/>
        <v>0</v>
      </c>
      <c r="AE212" s="50">
        <f t="shared" ca="1" si="150"/>
        <v>0</v>
      </c>
      <c r="AF212" s="50">
        <f t="shared" ca="1" si="150"/>
        <v>0</v>
      </c>
      <c r="AG212" s="50">
        <f t="shared" ca="1" si="150"/>
        <v>0</v>
      </c>
      <c r="AH212" s="50">
        <f t="shared" ca="1" si="150"/>
        <v>0</v>
      </c>
      <c r="AI212" s="50">
        <f t="shared" ca="1" si="150"/>
        <v>0</v>
      </c>
      <c r="AJ212" s="50">
        <f t="shared" ca="1" si="150"/>
        <v>0</v>
      </c>
      <c r="AK212" s="50">
        <f t="shared" ca="1" si="150"/>
        <v>0</v>
      </c>
      <c r="AL212" s="50">
        <f t="shared" si="150"/>
        <v>0</v>
      </c>
      <c r="AM212" s="50">
        <f t="shared" si="150"/>
        <v>0</v>
      </c>
      <c r="AN212" s="50">
        <f t="shared" si="150"/>
        <v>0</v>
      </c>
      <c r="AO212" s="50">
        <f t="shared" si="150"/>
        <v>0</v>
      </c>
      <c r="AP212" s="50">
        <f t="shared" si="150"/>
        <v>0</v>
      </c>
      <c r="AQ212" s="50">
        <f t="shared" si="150"/>
        <v>0</v>
      </c>
      <c r="AR212" s="50">
        <f t="shared" si="150"/>
        <v>0</v>
      </c>
      <c r="AS212" s="50">
        <f t="shared" si="150"/>
        <v>0</v>
      </c>
      <c r="AT212" s="50">
        <f t="shared" si="150"/>
        <v>0</v>
      </c>
      <c r="AU212" s="50">
        <f t="shared" si="150"/>
        <v>0</v>
      </c>
    </row>
    <row r="213" spans="1:47">
      <c r="A213" s="38" t="str">
        <f t="shared" si="144"/>
        <v>4Y-</v>
      </c>
      <c r="B213" s="38" t="s">
        <v>864</v>
      </c>
      <c r="C213" s="38" t="str">
        <f t="shared" si="148"/>
        <v>CHP</v>
      </c>
      <c r="D213" s="186">
        <f>GHGEsc</f>
        <v>0.02</v>
      </c>
      <c r="E213" s="325"/>
      <c r="G213" s="36" t="s">
        <v>865</v>
      </c>
      <c r="I213" s="39"/>
      <c r="K213" s="39"/>
      <c r="L213" s="43" t="s">
        <v>866</v>
      </c>
      <c r="N213" s="70">
        <f ca="1">SUMIFS(OFFSET(Assumptions!$I$90,0,MATCH($A213,Configurations,0)-1,COUNT(Assumptions!$A$90:$A$183),1),Assumptions!$D$90:$D$183,$B213&amp;$C213)</f>
        <v>0</v>
      </c>
      <c r="O213" s="313"/>
      <c r="P213" s="323"/>
      <c r="Q213" s="313"/>
      <c r="R213" s="50">
        <f t="shared" ref="R213:AU213" ca="1" si="151">IF(OR(R$99&lt;InServiceYr,R$99&gt;(InServiceYr+analysis_period-1)),0,IF($P213=0,$N213,$P213)*R$513)</f>
        <v>0</v>
      </c>
      <c r="S213" s="50">
        <f t="shared" ca="1" si="151"/>
        <v>0</v>
      </c>
      <c r="T213" s="50">
        <f t="shared" ca="1" si="151"/>
        <v>0</v>
      </c>
      <c r="U213" s="50">
        <f t="shared" ca="1" si="151"/>
        <v>0</v>
      </c>
      <c r="V213" s="50">
        <f t="shared" ca="1" si="151"/>
        <v>0</v>
      </c>
      <c r="W213" s="50">
        <f t="shared" ca="1" si="151"/>
        <v>0</v>
      </c>
      <c r="X213" s="50">
        <f t="shared" ca="1" si="151"/>
        <v>0</v>
      </c>
      <c r="Y213" s="50">
        <f t="shared" ca="1" si="151"/>
        <v>0</v>
      </c>
      <c r="Z213" s="50">
        <f t="shared" ca="1" si="151"/>
        <v>0</v>
      </c>
      <c r="AA213" s="50">
        <f t="shared" ca="1" si="151"/>
        <v>0</v>
      </c>
      <c r="AB213" s="50">
        <f t="shared" ca="1" si="151"/>
        <v>0</v>
      </c>
      <c r="AC213" s="50">
        <f t="shared" ca="1" si="151"/>
        <v>0</v>
      </c>
      <c r="AD213" s="50">
        <f t="shared" ca="1" si="151"/>
        <v>0</v>
      </c>
      <c r="AE213" s="50">
        <f t="shared" ca="1" si="151"/>
        <v>0</v>
      </c>
      <c r="AF213" s="50">
        <f t="shared" ca="1" si="151"/>
        <v>0</v>
      </c>
      <c r="AG213" s="50">
        <f t="shared" ca="1" si="151"/>
        <v>0</v>
      </c>
      <c r="AH213" s="50">
        <f t="shared" ca="1" si="151"/>
        <v>0</v>
      </c>
      <c r="AI213" s="50">
        <f t="shared" ca="1" si="151"/>
        <v>0</v>
      </c>
      <c r="AJ213" s="50">
        <f t="shared" ca="1" si="151"/>
        <v>0</v>
      </c>
      <c r="AK213" s="50">
        <f t="shared" ca="1" si="151"/>
        <v>0</v>
      </c>
      <c r="AL213" s="50">
        <f t="shared" si="151"/>
        <v>0</v>
      </c>
      <c r="AM213" s="50">
        <f t="shared" si="151"/>
        <v>0</v>
      </c>
      <c r="AN213" s="50">
        <f t="shared" si="151"/>
        <v>0</v>
      </c>
      <c r="AO213" s="50">
        <f t="shared" si="151"/>
        <v>0</v>
      </c>
      <c r="AP213" s="50">
        <f t="shared" si="151"/>
        <v>0</v>
      </c>
      <c r="AQ213" s="50">
        <f t="shared" si="151"/>
        <v>0</v>
      </c>
      <c r="AR213" s="50">
        <f t="shared" si="151"/>
        <v>0</v>
      </c>
      <c r="AS213" s="50">
        <f t="shared" si="151"/>
        <v>0</v>
      </c>
      <c r="AT213" s="50">
        <f t="shared" si="151"/>
        <v>0</v>
      </c>
      <c r="AU213" s="50">
        <f t="shared" si="151"/>
        <v>0</v>
      </c>
    </row>
    <row r="214" spans="1:47">
      <c r="A214" s="38" t="str">
        <f t="shared" si="144"/>
        <v>4Y-</v>
      </c>
      <c r="B214" s="38" t="s">
        <v>273</v>
      </c>
      <c r="C214" s="38" t="str">
        <f>C212</f>
        <v>CHP</v>
      </c>
      <c r="D214" s="186">
        <f>LaborEsc</f>
        <v>0.02</v>
      </c>
      <c r="E214" s="325"/>
      <c r="G214" s="36" t="s">
        <v>291</v>
      </c>
      <c r="I214" s="39"/>
      <c r="K214" s="39"/>
      <c r="L214" s="43" t="str">
        <f>"["&amp;CostBaseYr&amp;" $]"</f>
        <v>[2013 $]</v>
      </c>
      <c r="N214" s="70">
        <f ca="1">SUMIFS(OFFSET(Assumptions!$I$90,0,MATCH($A214,Configurations,0)-1,COUNT(Assumptions!$A$90:$A$183),1),Assumptions!$D$90:$D$183,$B214&amp;$C214)</f>
        <v>0</v>
      </c>
      <c r="O214" s="313"/>
      <c r="P214" s="323"/>
      <c r="Q214" s="313"/>
      <c r="R214" s="50">
        <f t="shared" ref="R214:AU214" ca="1" si="152">IF(OR(R$99&lt;InServiceYr,R$99&gt;(InServiceYr+analysis_period-1)),0,IF($P214=0,$N214,$P214)*(1+$D214)^(R$99-CostBaseYr))*R$509</f>
        <v>0</v>
      </c>
      <c r="S214" s="50">
        <f t="shared" ca="1" si="152"/>
        <v>0</v>
      </c>
      <c r="T214" s="50">
        <f t="shared" ca="1" si="152"/>
        <v>0</v>
      </c>
      <c r="U214" s="50">
        <f t="shared" ca="1" si="152"/>
        <v>0</v>
      </c>
      <c r="V214" s="50">
        <f t="shared" ca="1" si="152"/>
        <v>0</v>
      </c>
      <c r="W214" s="50">
        <f t="shared" ca="1" si="152"/>
        <v>0</v>
      </c>
      <c r="X214" s="50">
        <f t="shared" ca="1" si="152"/>
        <v>0</v>
      </c>
      <c r="Y214" s="50">
        <f t="shared" ca="1" si="152"/>
        <v>0</v>
      </c>
      <c r="Z214" s="50">
        <f t="shared" ca="1" si="152"/>
        <v>0</v>
      </c>
      <c r="AA214" s="50">
        <f t="shared" ca="1" si="152"/>
        <v>0</v>
      </c>
      <c r="AB214" s="50">
        <f t="shared" ca="1" si="152"/>
        <v>0</v>
      </c>
      <c r="AC214" s="50">
        <f t="shared" ca="1" si="152"/>
        <v>0</v>
      </c>
      <c r="AD214" s="50">
        <f t="shared" ca="1" si="152"/>
        <v>0</v>
      </c>
      <c r="AE214" s="50">
        <f t="shared" ca="1" si="152"/>
        <v>0</v>
      </c>
      <c r="AF214" s="50">
        <f t="shared" ca="1" si="152"/>
        <v>0</v>
      </c>
      <c r="AG214" s="50">
        <f t="shared" ca="1" si="152"/>
        <v>0</v>
      </c>
      <c r="AH214" s="50">
        <f t="shared" ca="1" si="152"/>
        <v>0</v>
      </c>
      <c r="AI214" s="50">
        <f t="shared" ca="1" si="152"/>
        <v>0</v>
      </c>
      <c r="AJ214" s="50">
        <f t="shared" ca="1" si="152"/>
        <v>0</v>
      </c>
      <c r="AK214" s="50">
        <f t="shared" ca="1" si="152"/>
        <v>0</v>
      </c>
      <c r="AL214" s="50">
        <f t="shared" si="152"/>
        <v>0</v>
      </c>
      <c r="AM214" s="50">
        <f t="shared" si="152"/>
        <v>0</v>
      </c>
      <c r="AN214" s="50">
        <f t="shared" si="152"/>
        <v>0</v>
      </c>
      <c r="AO214" s="50">
        <f t="shared" si="152"/>
        <v>0</v>
      </c>
      <c r="AP214" s="50">
        <f t="shared" si="152"/>
        <v>0</v>
      </c>
      <c r="AQ214" s="50">
        <f t="shared" si="152"/>
        <v>0</v>
      </c>
      <c r="AR214" s="50">
        <f t="shared" si="152"/>
        <v>0</v>
      </c>
      <c r="AS214" s="50">
        <f t="shared" si="152"/>
        <v>0</v>
      </c>
      <c r="AT214" s="50">
        <f t="shared" si="152"/>
        <v>0</v>
      </c>
      <c r="AU214" s="50">
        <f t="shared" si="152"/>
        <v>0</v>
      </c>
    </row>
    <row r="215" spans="1:47">
      <c r="D215" s="186"/>
      <c r="E215" s="325"/>
      <c r="G215" s="39" t="s">
        <v>304</v>
      </c>
      <c r="I215" s="39"/>
      <c r="K215" s="39"/>
      <c r="L215" s="43"/>
      <c r="N215" s="70"/>
      <c r="O215" s="313"/>
      <c r="P215" s="70"/>
      <c r="Q215" s="313"/>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row>
    <row r="216" spans="1:47">
      <c r="A216" s="38" t="str">
        <f>$J$4&amp;"-"</f>
        <v>4Y-</v>
      </c>
      <c r="B216" s="38" t="s">
        <v>265</v>
      </c>
      <c r="C216" s="38" t="str">
        <f>C207</f>
        <v>CHP</v>
      </c>
      <c r="D216" s="186"/>
      <c r="E216" s="325"/>
      <c r="G216" s="36" t="s">
        <v>108</v>
      </c>
      <c r="I216" s="39"/>
      <c r="K216" s="39"/>
      <c r="L216" s="43" t="s">
        <v>293</v>
      </c>
      <c r="N216" s="70">
        <f ca="1">SUMIFS(OFFSET(Assumptions!$I$90,0,MATCH($A216,Configurations,0)-1,COUNT(Assumptions!$A$90:$A$183),1),Assumptions!$D$90:$D$183,$B216&amp;$C216)</f>
        <v>0</v>
      </c>
      <c r="O216" s="313"/>
      <c r="P216" s="323"/>
      <c r="Q216" s="313"/>
      <c r="R216" s="50">
        <f t="shared" ref="R216:AU216" ca="1" si="153">IF(OR(R$99&lt;InServiceYr,R$99&gt;(InServiceYr+analysis_period-1)),0,IF($P216=0,$N216,$P216)*R$501)</f>
        <v>0</v>
      </c>
      <c r="S216" s="50">
        <f t="shared" ca="1" si="153"/>
        <v>0</v>
      </c>
      <c r="T216" s="50">
        <f t="shared" ca="1" si="153"/>
        <v>0</v>
      </c>
      <c r="U216" s="50">
        <f t="shared" ca="1" si="153"/>
        <v>0</v>
      </c>
      <c r="V216" s="50">
        <f t="shared" ca="1" si="153"/>
        <v>0</v>
      </c>
      <c r="W216" s="50">
        <f t="shared" ca="1" si="153"/>
        <v>0</v>
      </c>
      <c r="X216" s="50">
        <f t="shared" ca="1" si="153"/>
        <v>0</v>
      </c>
      <c r="Y216" s="50">
        <f t="shared" ca="1" si="153"/>
        <v>0</v>
      </c>
      <c r="Z216" s="50">
        <f t="shared" ca="1" si="153"/>
        <v>0</v>
      </c>
      <c r="AA216" s="50">
        <f t="shared" ca="1" si="153"/>
        <v>0</v>
      </c>
      <c r="AB216" s="50">
        <f t="shared" ca="1" si="153"/>
        <v>0</v>
      </c>
      <c r="AC216" s="50">
        <f t="shared" ca="1" si="153"/>
        <v>0</v>
      </c>
      <c r="AD216" s="50">
        <f t="shared" ca="1" si="153"/>
        <v>0</v>
      </c>
      <c r="AE216" s="50">
        <f t="shared" ca="1" si="153"/>
        <v>0</v>
      </c>
      <c r="AF216" s="50">
        <f t="shared" ca="1" si="153"/>
        <v>0</v>
      </c>
      <c r="AG216" s="50">
        <f t="shared" ca="1" si="153"/>
        <v>0</v>
      </c>
      <c r="AH216" s="50">
        <f t="shared" ca="1" si="153"/>
        <v>0</v>
      </c>
      <c r="AI216" s="50">
        <f t="shared" ca="1" si="153"/>
        <v>0</v>
      </c>
      <c r="AJ216" s="50">
        <f t="shared" ca="1" si="153"/>
        <v>0</v>
      </c>
      <c r="AK216" s="50">
        <f t="shared" ca="1" si="153"/>
        <v>0</v>
      </c>
      <c r="AL216" s="50">
        <f t="shared" si="153"/>
        <v>0</v>
      </c>
      <c r="AM216" s="50">
        <f t="shared" si="153"/>
        <v>0</v>
      </c>
      <c r="AN216" s="50">
        <f t="shared" si="153"/>
        <v>0</v>
      </c>
      <c r="AO216" s="50">
        <f t="shared" si="153"/>
        <v>0</v>
      </c>
      <c r="AP216" s="50">
        <f t="shared" si="153"/>
        <v>0</v>
      </c>
      <c r="AQ216" s="50">
        <f t="shared" si="153"/>
        <v>0</v>
      </c>
      <c r="AR216" s="50">
        <f t="shared" si="153"/>
        <v>0</v>
      </c>
      <c r="AS216" s="50">
        <f t="shared" si="153"/>
        <v>0</v>
      </c>
      <c r="AT216" s="50">
        <f t="shared" si="153"/>
        <v>0</v>
      </c>
      <c r="AU216" s="50">
        <f t="shared" si="153"/>
        <v>0</v>
      </c>
    </row>
    <row r="217" spans="1:47">
      <c r="A217" s="38" t="str">
        <f>$J$4&amp;"-"</f>
        <v>4Y-</v>
      </c>
      <c r="B217" s="38" t="s">
        <v>289</v>
      </c>
      <c r="C217" s="38" t="str">
        <f>C207</f>
        <v>CHP</v>
      </c>
      <c r="D217" s="186">
        <f>LaborEsc</f>
        <v>0.02</v>
      </c>
      <c r="E217" s="325"/>
      <c r="G217" s="36" t="s">
        <v>292</v>
      </c>
      <c r="I217" s="39"/>
      <c r="K217" s="39"/>
      <c r="L217" s="43" t="str">
        <f>"["&amp;CostBaseYr&amp;" $]"</f>
        <v>[2013 $]</v>
      </c>
      <c r="N217" s="70">
        <f ca="1">SUMIFS(OFFSET(Assumptions!$I$90,0,MATCH($A217,Configurations,0)-1,COUNT(Assumptions!$A$90:$A$183),1),Assumptions!$D$90:$D$183,$B217&amp;$C217)</f>
        <v>0</v>
      </c>
      <c r="O217" s="313"/>
      <c r="P217" s="323"/>
      <c r="Q217" s="313"/>
      <c r="R217" s="50">
        <f t="shared" ref="R217:AU217" ca="1" si="154">IF(OR(R$99&lt;InServiceYr,R$99&gt;(InServiceYr+analysis_period-1)),0,IF($P217=0,$N217,$P217)*(1+$D217)^(R$99-CostBaseYr))</f>
        <v>0</v>
      </c>
      <c r="S217" s="50">
        <f t="shared" ca="1" si="154"/>
        <v>0</v>
      </c>
      <c r="T217" s="50">
        <f t="shared" ca="1" si="154"/>
        <v>0</v>
      </c>
      <c r="U217" s="50">
        <f t="shared" ca="1" si="154"/>
        <v>0</v>
      </c>
      <c r="V217" s="50">
        <f t="shared" ca="1" si="154"/>
        <v>0</v>
      </c>
      <c r="W217" s="50">
        <f t="shared" ca="1" si="154"/>
        <v>0</v>
      </c>
      <c r="X217" s="50">
        <f t="shared" ca="1" si="154"/>
        <v>0</v>
      </c>
      <c r="Y217" s="50">
        <f t="shared" ca="1" si="154"/>
        <v>0</v>
      </c>
      <c r="Z217" s="50">
        <f t="shared" ca="1" si="154"/>
        <v>0</v>
      </c>
      <c r="AA217" s="50">
        <f t="shared" ca="1" si="154"/>
        <v>0</v>
      </c>
      <c r="AB217" s="50">
        <f t="shared" ca="1" si="154"/>
        <v>0</v>
      </c>
      <c r="AC217" s="50">
        <f t="shared" ca="1" si="154"/>
        <v>0</v>
      </c>
      <c r="AD217" s="50">
        <f t="shared" ca="1" si="154"/>
        <v>0</v>
      </c>
      <c r="AE217" s="50">
        <f t="shared" ca="1" si="154"/>
        <v>0</v>
      </c>
      <c r="AF217" s="50">
        <f t="shared" ca="1" si="154"/>
        <v>0</v>
      </c>
      <c r="AG217" s="50">
        <f t="shared" ca="1" si="154"/>
        <v>0</v>
      </c>
      <c r="AH217" s="50">
        <f t="shared" ca="1" si="154"/>
        <v>0</v>
      </c>
      <c r="AI217" s="50">
        <f t="shared" ca="1" si="154"/>
        <v>0</v>
      </c>
      <c r="AJ217" s="50">
        <f t="shared" ca="1" si="154"/>
        <v>0</v>
      </c>
      <c r="AK217" s="50">
        <f t="shared" ca="1" si="154"/>
        <v>0</v>
      </c>
      <c r="AL217" s="50">
        <f t="shared" si="154"/>
        <v>0</v>
      </c>
      <c r="AM217" s="50">
        <f t="shared" si="154"/>
        <v>0</v>
      </c>
      <c r="AN217" s="50">
        <f t="shared" si="154"/>
        <v>0</v>
      </c>
      <c r="AO217" s="50">
        <f t="shared" si="154"/>
        <v>0</v>
      </c>
      <c r="AP217" s="50">
        <f t="shared" si="154"/>
        <v>0</v>
      </c>
      <c r="AQ217" s="50">
        <f t="shared" si="154"/>
        <v>0</v>
      </c>
      <c r="AR217" s="50">
        <f t="shared" si="154"/>
        <v>0</v>
      </c>
      <c r="AS217" s="50">
        <f t="shared" si="154"/>
        <v>0</v>
      </c>
      <c r="AT217" s="50">
        <f t="shared" si="154"/>
        <v>0</v>
      </c>
      <c r="AU217" s="50">
        <f t="shared" si="154"/>
        <v>0</v>
      </c>
    </row>
    <row r="218" spans="1:47" s="60" customFormat="1">
      <c r="D218" s="187"/>
      <c r="E218" s="325"/>
      <c r="G218" s="39" t="s">
        <v>305</v>
      </c>
      <c r="I218" s="39"/>
      <c r="K218" s="39"/>
      <c r="L218" s="174"/>
      <c r="N218" s="188"/>
      <c r="O218" s="314"/>
      <c r="P218" s="185"/>
      <c r="Q218" s="314"/>
      <c r="R218" s="185">
        <f ca="1">SUM(R207:R214)-SUM(R216:R217)</f>
        <v>0</v>
      </c>
      <c r="S218" s="185">
        <f t="shared" ref="S218:AU218" ca="1" si="155">SUM(S207:S214)-SUM(S216:S217)</f>
        <v>0</v>
      </c>
      <c r="T218" s="185">
        <f t="shared" ca="1" si="155"/>
        <v>0</v>
      </c>
      <c r="U218" s="185">
        <f t="shared" ca="1" si="155"/>
        <v>0</v>
      </c>
      <c r="V218" s="185">
        <f t="shared" ca="1" si="155"/>
        <v>0</v>
      </c>
      <c r="W218" s="185">
        <f t="shared" ca="1" si="155"/>
        <v>0</v>
      </c>
      <c r="X218" s="185">
        <f t="shared" ca="1" si="155"/>
        <v>0</v>
      </c>
      <c r="Y218" s="185">
        <f t="shared" ca="1" si="155"/>
        <v>0</v>
      </c>
      <c r="Z218" s="185">
        <f t="shared" ca="1" si="155"/>
        <v>0</v>
      </c>
      <c r="AA218" s="185">
        <f t="shared" ca="1" si="155"/>
        <v>0</v>
      </c>
      <c r="AB218" s="185">
        <f t="shared" ca="1" si="155"/>
        <v>0</v>
      </c>
      <c r="AC218" s="185">
        <f t="shared" ca="1" si="155"/>
        <v>0</v>
      </c>
      <c r="AD218" s="185">
        <f t="shared" ca="1" si="155"/>
        <v>0</v>
      </c>
      <c r="AE218" s="185">
        <f t="shared" ca="1" si="155"/>
        <v>0</v>
      </c>
      <c r="AF218" s="185">
        <f t="shared" ca="1" si="155"/>
        <v>0</v>
      </c>
      <c r="AG218" s="185">
        <f t="shared" ca="1" si="155"/>
        <v>0</v>
      </c>
      <c r="AH218" s="185">
        <f t="shared" ca="1" si="155"/>
        <v>0</v>
      </c>
      <c r="AI218" s="185">
        <f t="shared" ca="1" si="155"/>
        <v>0</v>
      </c>
      <c r="AJ218" s="185">
        <f t="shared" ca="1" si="155"/>
        <v>0</v>
      </c>
      <c r="AK218" s="185">
        <f t="shared" ca="1" si="155"/>
        <v>0</v>
      </c>
      <c r="AL218" s="185">
        <f t="shared" si="155"/>
        <v>0</v>
      </c>
      <c r="AM218" s="185">
        <f t="shared" si="155"/>
        <v>0</v>
      </c>
      <c r="AN218" s="185">
        <f t="shared" si="155"/>
        <v>0</v>
      </c>
      <c r="AO218" s="185">
        <f t="shared" si="155"/>
        <v>0</v>
      </c>
      <c r="AP218" s="185">
        <f t="shared" si="155"/>
        <v>0</v>
      </c>
      <c r="AQ218" s="185">
        <f t="shared" si="155"/>
        <v>0</v>
      </c>
      <c r="AR218" s="185">
        <f t="shared" si="155"/>
        <v>0</v>
      </c>
      <c r="AS218" s="185">
        <f t="shared" si="155"/>
        <v>0</v>
      </c>
      <c r="AT218" s="185">
        <f t="shared" si="155"/>
        <v>0</v>
      </c>
      <c r="AU218" s="185">
        <f t="shared" si="155"/>
        <v>0</v>
      </c>
    </row>
    <row r="219" spans="1:47">
      <c r="E219" s="36"/>
      <c r="G219" s="39"/>
      <c r="H219" s="39"/>
      <c r="I219" s="39"/>
      <c r="J219" s="39"/>
      <c r="K219" s="39"/>
    </row>
    <row r="220" spans="1:47">
      <c r="E220" s="327"/>
      <c r="F220" s="28"/>
      <c r="G220" s="324" t="str">
        <f>C222&amp;" Capital Costs"</f>
        <v>Dewatering Capital Costs</v>
      </c>
      <c r="H220" s="324"/>
      <c r="I220" s="324"/>
      <c r="J220" s="324"/>
      <c r="K220" s="324"/>
      <c r="L220" s="405" t="s">
        <v>79</v>
      </c>
      <c r="M220" s="256"/>
      <c r="N220" s="325" t="s">
        <v>490</v>
      </c>
      <c r="O220" s="311"/>
      <c r="P220" s="325" t="s">
        <v>491</v>
      </c>
      <c r="Q220" s="310"/>
      <c r="R220" s="325">
        <f>R$8</f>
        <v>2014</v>
      </c>
      <c r="S220" s="325">
        <f t="shared" ref="S220:AU220" si="156">S$8</f>
        <v>2015</v>
      </c>
      <c r="T220" s="325">
        <f t="shared" si="156"/>
        <v>2016</v>
      </c>
      <c r="U220" s="325">
        <f t="shared" si="156"/>
        <v>2017</v>
      </c>
      <c r="V220" s="325">
        <f t="shared" si="156"/>
        <v>2018</v>
      </c>
      <c r="W220" s="325">
        <f t="shared" si="156"/>
        <v>2019</v>
      </c>
      <c r="X220" s="325">
        <f t="shared" si="156"/>
        <v>2020</v>
      </c>
      <c r="Y220" s="325">
        <f t="shared" si="156"/>
        <v>2021</v>
      </c>
      <c r="Z220" s="325">
        <f t="shared" si="156"/>
        <v>2022</v>
      </c>
      <c r="AA220" s="325">
        <f t="shared" si="156"/>
        <v>2023</v>
      </c>
      <c r="AB220" s="325">
        <f t="shared" si="156"/>
        <v>2024</v>
      </c>
      <c r="AC220" s="325">
        <f t="shared" si="156"/>
        <v>2025</v>
      </c>
      <c r="AD220" s="325">
        <f t="shared" si="156"/>
        <v>2026</v>
      </c>
      <c r="AE220" s="325">
        <f t="shared" si="156"/>
        <v>2027</v>
      </c>
      <c r="AF220" s="325">
        <f t="shared" si="156"/>
        <v>2028</v>
      </c>
      <c r="AG220" s="325">
        <f t="shared" si="156"/>
        <v>2029</v>
      </c>
      <c r="AH220" s="325">
        <f t="shared" si="156"/>
        <v>2030</v>
      </c>
      <c r="AI220" s="325">
        <f t="shared" si="156"/>
        <v>2031</v>
      </c>
      <c r="AJ220" s="325">
        <f t="shared" si="156"/>
        <v>2032</v>
      </c>
      <c r="AK220" s="325">
        <f t="shared" si="156"/>
        <v>2033</v>
      </c>
      <c r="AL220" s="325">
        <f t="shared" si="156"/>
        <v>2034</v>
      </c>
      <c r="AM220" s="325">
        <f t="shared" si="156"/>
        <v>2035</v>
      </c>
      <c r="AN220" s="325">
        <f t="shared" si="156"/>
        <v>2036</v>
      </c>
      <c r="AO220" s="325">
        <f t="shared" si="156"/>
        <v>2037</v>
      </c>
      <c r="AP220" s="325">
        <f t="shared" si="156"/>
        <v>2038</v>
      </c>
      <c r="AQ220" s="325">
        <f t="shared" si="156"/>
        <v>2039</v>
      </c>
      <c r="AR220" s="325">
        <f t="shared" si="156"/>
        <v>2040</v>
      </c>
      <c r="AS220" s="325">
        <f t="shared" si="156"/>
        <v>2041</v>
      </c>
      <c r="AT220" s="325">
        <f t="shared" si="156"/>
        <v>2042</v>
      </c>
      <c r="AU220" s="325">
        <f t="shared" si="156"/>
        <v>2043</v>
      </c>
    </row>
    <row r="221" spans="1:47">
      <c r="E221" s="325"/>
      <c r="G221" s="39"/>
      <c r="H221" s="39"/>
      <c r="I221" s="39"/>
      <c r="J221" s="39"/>
      <c r="K221" s="39"/>
    </row>
    <row r="222" spans="1:47">
      <c r="A222" s="38" t="str">
        <f>$J$4&amp;"-"</f>
        <v>4Y-</v>
      </c>
      <c r="B222" s="38" t="s">
        <v>306</v>
      </c>
      <c r="C222" s="38" t="s">
        <v>319</v>
      </c>
      <c r="D222" s="186">
        <f>CapExEsc</f>
        <v>0.03</v>
      </c>
      <c r="E222" s="325"/>
      <c r="G222" s="36" t="s">
        <v>8</v>
      </c>
      <c r="H222" s="39"/>
      <c r="I222" s="39"/>
      <c r="J222" s="70"/>
      <c r="K222" s="39"/>
      <c r="L222" s="43" t="str">
        <f>"["&amp;CostBaseYr&amp;" $]"</f>
        <v>[2013 $]</v>
      </c>
      <c r="N222" s="52">
        <f ca="1">SUMIFS(OFFSET(Assumptions!$I$65,0,MATCH($A222,Configurations,0)-1,COUNT(Assumptions!$A$65:$A$84),1),Assumptions!$E$65:$E$84,$C222)</f>
        <v>4827000</v>
      </c>
      <c r="O222" s="52"/>
      <c r="P222" s="322"/>
      <c r="Q222" s="52"/>
      <c r="R222" s="52">
        <f t="shared" ref="R222:AU222" ca="1" si="157">R223*IF($P222=0,$N222,$P222)*(1+$D222)^(R$8-CostBaseYr)</f>
        <v>4971810</v>
      </c>
      <c r="S222" s="52">
        <f t="shared" ca="1" si="157"/>
        <v>0</v>
      </c>
      <c r="T222" s="52">
        <f t="shared" ca="1" si="157"/>
        <v>0</v>
      </c>
      <c r="U222" s="52">
        <f t="shared" ca="1" si="157"/>
        <v>0</v>
      </c>
      <c r="V222" s="52">
        <f t="shared" ca="1" si="157"/>
        <v>0</v>
      </c>
      <c r="W222" s="52">
        <f t="shared" ca="1" si="157"/>
        <v>0</v>
      </c>
      <c r="X222" s="52">
        <f t="shared" ca="1" si="157"/>
        <v>0</v>
      </c>
      <c r="Y222" s="52">
        <f t="shared" ca="1" si="157"/>
        <v>0</v>
      </c>
      <c r="Z222" s="52">
        <f t="shared" ca="1" si="157"/>
        <v>0</v>
      </c>
      <c r="AA222" s="52">
        <f t="shared" ca="1" si="157"/>
        <v>0</v>
      </c>
      <c r="AB222" s="52">
        <f t="shared" ca="1" si="157"/>
        <v>0</v>
      </c>
      <c r="AC222" s="52">
        <f t="shared" ca="1" si="157"/>
        <v>0</v>
      </c>
      <c r="AD222" s="52">
        <f t="shared" ca="1" si="157"/>
        <v>0</v>
      </c>
      <c r="AE222" s="52">
        <f t="shared" ca="1" si="157"/>
        <v>0</v>
      </c>
      <c r="AF222" s="52">
        <f t="shared" ca="1" si="157"/>
        <v>0</v>
      </c>
      <c r="AG222" s="52">
        <f t="shared" ca="1" si="157"/>
        <v>0</v>
      </c>
      <c r="AH222" s="52">
        <f t="shared" ca="1" si="157"/>
        <v>0</v>
      </c>
      <c r="AI222" s="52">
        <f t="shared" ca="1" si="157"/>
        <v>0</v>
      </c>
      <c r="AJ222" s="52">
        <f t="shared" ca="1" si="157"/>
        <v>0</v>
      </c>
      <c r="AK222" s="52">
        <f t="shared" ca="1" si="157"/>
        <v>0</v>
      </c>
      <c r="AL222" s="52">
        <f t="shared" ca="1" si="157"/>
        <v>0</v>
      </c>
      <c r="AM222" s="52">
        <f t="shared" ca="1" si="157"/>
        <v>0</v>
      </c>
      <c r="AN222" s="52">
        <f t="shared" ca="1" si="157"/>
        <v>0</v>
      </c>
      <c r="AO222" s="52">
        <f t="shared" ca="1" si="157"/>
        <v>0</v>
      </c>
      <c r="AP222" s="52">
        <f t="shared" ca="1" si="157"/>
        <v>0</v>
      </c>
      <c r="AQ222" s="52">
        <f t="shared" ca="1" si="157"/>
        <v>0</v>
      </c>
      <c r="AR222" s="52">
        <f t="shared" ca="1" si="157"/>
        <v>0</v>
      </c>
      <c r="AS222" s="52">
        <f t="shared" ca="1" si="157"/>
        <v>0</v>
      </c>
      <c r="AT222" s="52">
        <f t="shared" ca="1" si="157"/>
        <v>0</v>
      </c>
      <c r="AU222" s="52">
        <f t="shared" ca="1" si="157"/>
        <v>0</v>
      </c>
    </row>
    <row r="223" spans="1:47">
      <c r="E223" s="325"/>
      <c r="G223" s="36" t="s">
        <v>10</v>
      </c>
      <c r="H223" s="39"/>
      <c r="I223" s="39"/>
      <c r="J223" s="39"/>
      <c r="K223" s="39"/>
      <c r="L223" s="43"/>
      <c r="R223" s="54">
        <f>Assumptions!M$60</f>
        <v>1</v>
      </c>
      <c r="S223" s="54">
        <f>Assumptions!N$60</f>
        <v>0</v>
      </c>
      <c r="T223" s="54">
        <f>Assumptions!O$60</f>
        <v>0</v>
      </c>
      <c r="U223" s="54">
        <f>Assumptions!P$60</f>
        <v>0</v>
      </c>
      <c r="V223" s="54">
        <f>Assumptions!Q$60</f>
        <v>0</v>
      </c>
      <c r="W223" s="54">
        <f>Assumptions!R$60</f>
        <v>0</v>
      </c>
      <c r="X223" s="54">
        <f>Assumptions!S$60</f>
        <v>0</v>
      </c>
      <c r="Y223" s="54">
        <f>Assumptions!T$60</f>
        <v>0</v>
      </c>
      <c r="Z223" s="54">
        <f>Assumptions!U$60</f>
        <v>0</v>
      </c>
      <c r="AA223" s="54">
        <f>Assumptions!V$60</f>
        <v>0</v>
      </c>
      <c r="AB223" s="54">
        <f>Assumptions!W$60</f>
        <v>0</v>
      </c>
      <c r="AC223" s="54">
        <f>Assumptions!X$60</f>
        <v>0</v>
      </c>
      <c r="AD223" s="54">
        <f>Assumptions!Y$60</f>
        <v>0</v>
      </c>
      <c r="AE223" s="54">
        <f>Assumptions!Z$60</f>
        <v>0</v>
      </c>
      <c r="AF223" s="54">
        <f>Assumptions!AA$60</f>
        <v>0</v>
      </c>
      <c r="AG223" s="54">
        <f>Assumptions!AB$60</f>
        <v>0</v>
      </c>
      <c r="AH223" s="54">
        <f>Assumptions!AC$60</f>
        <v>0</v>
      </c>
      <c r="AI223" s="54">
        <f>Assumptions!AD$60</f>
        <v>0</v>
      </c>
      <c r="AJ223" s="54">
        <f>Assumptions!AE$60</f>
        <v>0</v>
      </c>
      <c r="AK223" s="54">
        <f>Assumptions!AF$60</f>
        <v>0</v>
      </c>
      <c r="AL223" s="54">
        <f>Assumptions!AG$60</f>
        <v>0</v>
      </c>
      <c r="AM223" s="54">
        <f>Assumptions!AH$60</f>
        <v>0</v>
      </c>
      <c r="AN223" s="54">
        <f>Assumptions!AI$60</f>
        <v>0</v>
      </c>
      <c r="AO223" s="54">
        <f>Assumptions!AJ$60</f>
        <v>0</v>
      </c>
      <c r="AP223" s="54">
        <f>Assumptions!AK$60</f>
        <v>0</v>
      </c>
      <c r="AQ223" s="54">
        <f>Assumptions!AL$60</f>
        <v>0</v>
      </c>
      <c r="AR223" s="54">
        <f>Assumptions!AM$60</f>
        <v>0</v>
      </c>
      <c r="AS223" s="54">
        <f>Assumptions!AN$60</f>
        <v>0</v>
      </c>
      <c r="AT223" s="54">
        <f>Assumptions!AO$60</f>
        <v>0</v>
      </c>
      <c r="AU223" s="54">
        <f>Assumptions!AP$60</f>
        <v>0</v>
      </c>
    </row>
    <row r="224" spans="1:47">
      <c r="E224" s="326"/>
      <c r="G224" s="39"/>
      <c r="H224" s="39"/>
      <c r="I224" s="39"/>
      <c r="J224" s="39"/>
      <c r="K224" s="39"/>
    </row>
    <row r="225" spans="1:47">
      <c r="E225" s="327"/>
      <c r="F225" s="28"/>
      <c r="G225" s="324" t="str">
        <f>C222&amp;" O&amp;M"</f>
        <v>Dewatering O&amp;M</v>
      </c>
      <c r="H225" s="324"/>
      <c r="I225" s="324"/>
      <c r="J225" s="324"/>
      <c r="K225" s="324"/>
      <c r="L225" s="405" t="s">
        <v>79</v>
      </c>
      <c r="M225" s="256"/>
      <c r="N225" s="325" t="s">
        <v>490</v>
      </c>
      <c r="O225" s="311"/>
      <c r="P225" s="325" t="s">
        <v>491</v>
      </c>
      <c r="Q225" s="310"/>
      <c r="R225" s="325">
        <f>R$8</f>
        <v>2014</v>
      </c>
      <c r="S225" s="325">
        <f t="shared" ref="S225:AU225" si="158">S$8</f>
        <v>2015</v>
      </c>
      <c r="T225" s="325">
        <f t="shared" si="158"/>
        <v>2016</v>
      </c>
      <c r="U225" s="325">
        <f t="shared" si="158"/>
        <v>2017</v>
      </c>
      <c r="V225" s="325">
        <f t="shared" si="158"/>
        <v>2018</v>
      </c>
      <c r="W225" s="325">
        <f t="shared" si="158"/>
        <v>2019</v>
      </c>
      <c r="X225" s="325">
        <f t="shared" si="158"/>
        <v>2020</v>
      </c>
      <c r="Y225" s="325">
        <f t="shared" si="158"/>
        <v>2021</v>
      </c>
      <c r="Z225" s="325">
        <f t="shared" si="158"/>
        <v>2022</v>
      </c>
      <c r="AA225" s="325">
        <f t="shared" si="158"/>
        <v>2023</v>
      </c>
      <c r="AB225" s="325">
        <f t="shared" si="158"/>
        <v>2024</v>
      </c>
      <c r="AC225" s="325">
        <f t="shared" si="158"/>
        <v>2025</v>
      </c>
      <c r="AD225" s="325">
        <f t="shared" si="158"/>
        <v>2026</v>
      </c>
      <c r="AE225" s="325">
        <f t="shared" si="158"/>
        <v>2027</v>
      </c>
      <c r="AF225" s="325">
        <f t="shared" si="158"/>
        <v>2028</v>
      </c>
      <c r="AG225" s="325">
        <f t="shared" si="158"/>
        <v>2029</v>
      </c>
      <c r="AH225" s="325">
        <f t="shared" si="158"/>
        <v>2030</v>
      </c>
      <c r="AI225" s="325">
        <f t="shared" si="158"/>
        <v>2031</v>
      </c>
      <c r="AJ225" s="325">
        <f t="shared" si="158"/>
        <v>2032</v>
      </c>
      <c r="AK225" s="325">
        <f t="shared" si="158"/>
        <v>2033</v>
      </c>
      <c r="AL225" s="325">
        <f t="shared" si="158"/>
        <v>2034</v>
      </c>
      <c r="AM225" s="325">
        <f t="shared" si="158"/>
        <v>2035</v>
      </c>
      <c r="AN225" s="325">
        <f t="shared" si="158"/>
        <v>2036</v>
      </c>
      <c r="AO225" s="325">
        <f t="shared" si="158"/>
        <v>2037</v>
      </c>
      <c r="AP225" s="325">
        <f t="shared" si="158"/>
        <v>2038</v>
      </c>
      <c r="AQ225" s="325">
        <f t="shared" si="158"/>
        <v>2039</v>
      </c>
      <c r="AR225" s="325">
        <f t="shared" si="158"/>
        <v>2040</v>
      </c>
      <c r="AS225" s="325">
        <f t="shared" si="158"/>
        <v>2041</v>
      </c>
      <c r="AT225" s="325">
        <f t="shared" si="158"/>
        <v>2042</v>
      </c>
      <c r="AU225" s="325">
        <f t="shared" si="158"/>
        <v>2043</v>
      </c>
    </row>
    <row r="226" spans="1:47">
      <c r="E226" s="325"/>
      <c r="G226" s="39"/>
      <c r="H226" s="39"/>
      <c r="I226" s="39"/>
      <c r="J226" s="39"/>
      <c r="K226" s="39"/>
    </row>
    <row r="227" spans="1:47">
      <c r="E227" s="325"/>
      <c r="G227" s="39" t="s">
        <v>23</v>
      </c>
      <c r="H227" s="39"/>
      <c r="I227" s="39"/>
      <c r="J227" s="39"/>
      <c r="K227" s="39"/>
    </row>
    <row r="228" spans="1:47">
      <c r="A228" s="38" t="str">
        <f t="shared" ref="A228:A235" si="159">$J$4&amp;"-"</f>
        <v>4Y-</v>
      </c>
      <c r="B228" s="38" t="s">
        <v>262</v>
      </c>
      <c r="C228" s="38" t="str">
        <f>C222</f>
        <v>Dewatering</v>
      </c>
      <c r="D228" s="186">
        <f>LaborEsc</f>
        <v>0.02</v>
      </c>
      <c r="E228" s="325"/>
      <c r="G228" s="36" t="s">
        <v>125</v>
      </c>
      <c r="I228" s="39"/>
      <c r="K228" s="39"/>
      <c r="L228" s="43" t="s">
        <v>266</v>
      </c>
      <c r="N228" s="70">
        <f ca="1">SUMIFS(OFFSET(Assumptions!$I$90,0,MATCH($A228,Configurations,0)-1,COUNT(Assumptions!$A$90:$A$183),1),Assumptions!$D$90:$D$183,$B228&amp;$C228)</f>
        <v>0</v>
      </c>
      <c r="O228" s="313"/>
      <c r="P228" s="323"/>
      <c r="Q228" s="313"/>
      <c r="R228" s="50">
        <f t="shared" ref="R228:AU228" ca="1" si="160">IF(OR(R$99&lt;InServiceYr,R$99&gt;(InServiceYr+analysis_period-1)),0,IF($P228=0,$N228,$P228)*LaborCost*(1+$D228)^(R$99-CostBaseYr))</f>
        <v>0</v>
      </c>
      <c r="S228" s="50">
        <f t="shared" ca="1" si="160"/>
        <v>0</v>
      </c>
      <c r="T228" s="50">
        <f t="shared" ca="1" si="160"/>
        <v>0</v>
      </c>
      <c r="U228" s="50">
        <f t="shared" ca="1" si="160"/>
        <v>0</v>
      </c>
      <c r="V228" s="50">
        <f t="shared" ca="1" si="160"/>
        <v>0</v>
      </c>
      <c r="W228" s="50">
        <f t="shared" ca="1" si="160"/>
        <v>0</v>
      </c>
      <c r="X228" s="50">
        <f t="shared" ca="1" si="160"/>
        <v>0</v>
      </c>
      <c r="Y228" s="50">
        <f t="shared" ca="1" si="160"/>
        <v>0</v>
      </c>
      <c r="Z228" s="50">
        <f t="shared" ca="1" si="160"/>
        <v>0</v>
      </c>
      <c r="AA228" s="50">
        <f t="shared" ca="1" si="160"/>
        <v>0</v>
      </c>
      <c r="AB228" s="50">
        <f t="shared" ca="1" si="160"/>
        <v>0</v>
      </c>
      <c r="AC228" s="50">
        <f t="shared" ca="1" si="160"/>
        <v>0</v>
      </c>
      <c r="AD228" s="50">
        <f t="shared" ca="1" si="160"/>
        <v>0</v>
      </c>
      <c r="AE228" s="50">
        <f t="shared" ca="1" si="160"/>
        <v>0</v>
      </c>
      <c r="AF228" s="50">
        <f t="shared" ca="1" si="160"/>
        <v>0</v>
      </c>
      <c r="AG228" s="50">
        <f t="shared" ca="1" si="160"/>
        <v>0</v>
      </c>
      <c r="AH228" s="50">
        <f t="shared" ca="1" si="160"/>
        <v>0</v>
      </c>
      <c r="AI228" s="50">
        <f t="shared" ca="1" si="160"/>
        <v>0</v>
      </c>
      <c r="AJ228" s="50">
        <f t="shared" ca="1" si="160"/>
        <v>0</v>
      </c>
      <c r="AK228" s="50">
        <f t="shared" ca="1" si="160"/>
        <v>0</v>
      </c>
      <c r="AL228" s="50">
        <f t="shared" si="160"/>
        <v>0</v>
      </c>
      <c r="AM228" s="50">
        <f t="shared" si="160"/>
        <v>0</v>
      </c>
      <c r="AN228" s="50">
        <f t="shared" si="160"/>
        <v>0</v>
      </c>
      <c r="AO228" s="50">
        <f t="shared" si="160"/>
        <v>0</v>
      </c>
      <c r="AP228" s="50">
        <f t="shared" si="160"/>
        <v>0</v>
      </c>
      <c r="AQ228" s="50">
        <f t="shared" si="160"/>
        <v>0</v>
      </c>
      <c r="AR228" s="50">
        <f t="shared" si="160"/>
        <v>0</v>
      </c>
      <c r="AS228" s="50">
        <f t="shared" si="160"/>
        <v>0</v>
      </c>
      <c r="AT228" s="50">
        <f t="shared" si="160"/>
        <v>0</v>
      </c>
      <c r="AU228" s="50">
        <f t="shared" si="160"/>
        <v>0</v>
      </c>
    </row>
    <row r="229" spans="1:47">
      <c r="A229" s="38" t="str">
        <f t="shared" si="159"/>
        <v>4Y-</v>
      </c>
      <c r="B229" s="38" t="s">
        <v>270</v>
      </c>
      <c r="C229" s="38" t="str">
        <f>C228</f>
        <v>Dewatering</v>
      </c>
      <c r="D229" s="186">
        <f>OMEsc</f>
        <v>0.02</v>
      </c>
      <c r="E229" s="325"/>
      <c r="G229" s="36" t="s">
        <v>126</v>
      </c>
      <c r="I229" s="39"/>
      <c r="K229" s="39"/>
      <c r="L229" s="43" t="str">
        <f>"["&amp;CostBaseYr&amp;" $]"</f>
        <v>[2013 $]</v>
      </c>
      <c r="N229" s="70">
        <f ca="1">SUMIFS(OFFSET(Assumptions!$I$90,0,MATCH($A229,Configurations,0)-1,COUNT(Assumptions!$A$90:$A$183),1),Assumptions!$D$90:$D$183,$B229&amp;$C229)</f>
        <v>0</v>
      </c>
      <c r="O229" s="313"/>
      <c r="P229" s="323"/>
      <c r="Q229" s="313"/>
      <c r="R229" s="50">
        <f t="shared" ref="R229:AG231" ca="1" si="161">IF(OR(R$99&lt;InServiceYr,R$99&gt;(InServiceYr+analysis_period-1)),0,IF($P229=0,$N229,$P229)*(1+$D229)^(R$99-CostBaseYr))</f>
        <v>0</v>
      </c>
      <c r="S229" s="50">
        <f t="shared" ca="1" si="161"/>
        <v>0</v>
      </c>
      <c r="T229" s="50">
        <f t="shared" ca="1" si="161"/>
        <v>0</v>
      </c>
      <c r="U229" s="50">
        <f t="shared" ca="1" si="161"/>
        <v>0</v>
      </c>
      <c r="V229" s="50">
        <f t="shared" ca="1" si="161"/>
        <v>0</v>
      </c>
      <c r="W229" s="50">
        <f t="shared" ca="1" si="161"/>
        <v>0</v>
      </c>
      <c r="X229" s="50">
        <f t="shared" ca="1" si="161"/>
        <v>0</v>
      </c>
      <c r="Y229" s="50">
        <f t="shared" ca="1" si="161"/>
        <v>0</v>
      </c>
      <c r="Z229" s="50">
        <f t="shared" ca="1" si="161"/>
        <v>0</v>
      </c>
      <c r="AA229" s="50">
        <f t="shared" ca="1" si="161"/>
        <v>0</v>
      </c>
      <c r="AB229" s="50">
        <f t="shared" ca="1" si="161"/>
        <v>0</v>
      </c>
      <c r="AC229" s="50">
        <f t="shared" ca="1" si="161"/>
        <v>0</v>
      </c>
      <c r="AD229" s="50">
        <f t="shared" ca="1" si="161"/>
        <v>0</v>
      </c>
      <c r="AE229" s="50">
        <f t="shared" ca="1" si="161"/>
        <v>0</v>
      </c>
      <c r="AF229" s="50">
        <f t="shared" ca="1" si="161"/>
        <v>0</v>
      </c>
      <c r="AG229" s="50">
        <f t="shared" ca="1" si="161"/>
        <v>0</v>
      </c>
      <c r="AH229" s="50">
        <f t="shared" ref="S229:AU231" ca="1" si="162">IF(OR(AH$99&lt;InServiceYr,AH$99&gt;(InServiceYr+analysis_period-1)),0,IF($P229=0,$N229,$P229)*(1+$D229)^(AH$99-CostBaseYr))</f>
        <v>0</v>
      </c>
      <c r="AI229" s="50">
        <f t="shared" ca="1" si="162"/>
        <v>0</v>
      </c>
      <c r="AJ229" s="50">
        <f t="shared" ca="1" si="162"/>
        <v>0</v>
      </c>
      <c r="AK229" s="50">
        <f t="shared" ca="1" si="162"/>
        <v>0</v>
      </c>
      <c r="AL229" s="50">
        <f t="shared" si="162"/>
        <v>0</v>
      </c>
      <c r="AM229" s="50">
        <f t="shared" si="162"/>
        <v>0</v>
      </c>
      <c r="AN229" s="50">
        <f t="shared" si="162"/>
        <v>0</v>
      </c>
      <c r="AO229" s="50">
        <f t="shared" si="162"/>
        <v>0</v>
      </c>
      <c r="AP229" s="50">
        <f t="shared" si="162"/>
        <v>0</v>
      </c>
      <c r="AQ229" s="50">
        <f t="shared" si="162"/>
        <v>0</v>
      </c>
      <c r="AR229" s="50">
        <f t="shared" si="162"/>
        <v>0</v>
      </c>
      <c r="AS229" s="50">
        <f t="shared" si="162"/>
        <v>0</v>
      </c>
      <c r="AT229" s="50">
        <f t="shared" si="162"/>
        <v>0</v>
      </c>
      <c r="AU229" s="50">
        <f t="shared" si="162"/>
        <v>0</v>
      </c>
    </row>
    <row r="230" spans="1:47">
      <c r="A230" s="38" t="str">
        <f t="shared" si="159"/>
        <v>4Y-</v>
      </c>
      <c r="B230" s="38" t="s">
        <v>263</v>
      </c>
      <c r="C230" s="38" t="str">
        <f t="shared" ref="C230:C234" si="163">C229</f>
        <v>Dewatering</v>
      </c>
      <c r="D230" s="186">
        <f>OMEsc</f>
        <v>0.02</v>
      </c>
      <c r="E230" s="325"/>
      <c r="G230" s="36" t="s">
        <v>127</v>
      </c>
      <c r="I230" s="39"/>
      <c r="K230" s="39"/>
      <c r="L230" s="43" t="str">
        <f>"["&amp;CostBaseYr&amp;" $]"</f>
        <v>[2013 $]</v>
      </c>
      <c r="N230" s="70">
        <f ca="1">SUMIFS(OFFSET(Assumptions!$I$90,0,MATCH($A230,Configurations,0)-1,COUNT(Assumptions!$A$90:$A$183),1),Assumptions!$D$90:$D$183,$B230&amp;$C230)</f>
        <v>0</v>
      </c>
      <c r="O230" s="313"/>
      <c r="P230" s="323"/>
      <c r="Q230" s="313"/>
      <c r="R230" s="50">
        <f t="shared" ca="1" si="161"/>
        <v>0</v>
      </c>
      <c r="S230" s="50">
        <f t="shared" ca="1" si="162"/>
        <v>0</v>
      </c>
      <c r="T230" s="50">
        <f t="shared" ca="1" si="162"/>
        <v>0</v>
      </c>
      <c r="U230" s="50">
        <f t="shared" ca="1" si="162"/>
        <v>0</v>
      </c>
      <c r="V230" s="50">
        <f t="shared" ca="1" si="162"/>
        <v>0</v>
      </c>
      <c r="W230" s="50">
        <f t="shared" ca="1" si="162"/>
        <v>0</v>
      </c>
      <c r="X230" s="50">
        <f t="shared" ca="1" si="162"/>
        <v>0</v>
      </c>
      <c r="Y230" s="50">
        <f t="shared" ca="1" si="162"/>
        <v>0</v>
      </c>
      <c r="Z230" s="50">
        <f t="shared" ca="1" si="162"/>
        <v>0</v>
      </c>
      <c r="AA230" s="50">
        <f t="shared" ca="1" si="162"/>
        <v>0</v>
      </c>
      <c r="AB230" s="50">
        <f t="shared" ca="1" si="162"/>
        <v>0</v>
      </c>
      <c r="AC230" s="50">
        <f t="shared" ca="1" si="162"/>
        <v>0</v>
      </c>
      <c r="AD230" s="50">
        <f t="shared" ca="1" si="162"/>
        <v>0</v>
      </c>
      <c r="AE230" s="50">
        <f t="shared" ca="1" si="162"/>
        <v>0</v>
      </c>
      <c r="AF230" s="50">
        <f t="shared" ca="1" si="162"/>
        <v>0</v>
      </c>
      <c r="AG230" s="50">
        <f t="shared" ca="1" si="162"/>
        <v>0</v>
      </c>
      <c r="AH230" s="50">
        <f t="shared" ca="1" si="162"/>
        <v>0</v>
      </c>
      <c r="AI230" s="50">
        <f t="shared" ca="1" si="162"/>
        <v>0</v>
      </c>
      <c r="AJ230" s="50">
        <f t="shared" ca="1" si="162"/>
        <v>0</v>
      </c>
      <c r="AK230" s="50">
        <f t="shared" ca="1" si="162"/>
        <v>0</v>
      </c>
      <c r="AL230" s="50">
        <f t="shared" si="162"/>
        <v>0</v>
      </c>
      <c r="AM230" s="50">
        <f t="shared" si="162"/>
        <v>0</v>
      </c>
      <c r="AN230" s="50">
        <f t="shared" si="162"/>
        <v>0</v>
      </c>
      <c r="AO230" s="50">
        <f t="shared" si="162"/>
        <v>0</v>
      </c>
      <c r="AP230" s="50">
        <f t="shared" si="162"/>
        <v>0</v>
      </c>
      <c r="AQ230" s="50">
        <f t="shared" si="162"/>
        <v>0</v>
      </c>
      <c r="AR230" s="50">
        <f t="shared" si="162"/>
        <v>0</v>
      </c>
      <c r="AS230" s="50">
        <f t="shared" si="162"/>
        <v>0</v>
      </c>
      <c r="AT230" s="50">
        <f t="shared" si="162"/>
        <v>0</v>
      </c>
      <c r="AU230" s="50">
        <f t="shared" si="162"/>
        <v>0</v>
      </c>
    </row>
    <row r="231" spans="1:47">
      <c r="A231" s="38" t="str">
        <f t="shared" si="159"/>
        <v>4Y-</v>
      </c>
      <c r="B231" s="38" t="s">
        <v>277</v>
      </c>
      <c r="C231" s="38" t="str">
        <f t="shared" si="163"/>
        <v>Dewatering</v>
      </c>
      <c r="D231" s="186">
        <f>OMEsc</f>
        <v>0.02</v>
      </c>
      <c r="E231" s="325"/>
      <c r="G231" s="36" t="s">
        <v>276</v>
      </c>
      <c r="I231" s="39"/>
      <c r="K231" s="39"/>
      <c r="L231" s="43" t="str">
        <f>"["&amp;CostBaseYr&amp;" $]"</f>
        <v>[2013 $]</v>
      </c>
      <c r="N231" s="70">
        <f ca="1">SUMIFS(OFFSET(Assumptions!$I$90,0,MATCH($A231,Configurations,0)-1,COUNT(Assumptions!$A$90:$A$183),1),Assumptions!$D$90:$D$183,$B231&amp;$C231)</f>
        <v>0</v>
      </c>
      <c r="O231" s="313"/>
      <c r="P231" s="323"/>
      <c r="Q231" s="313"/>
      <c r="R231" s="50">
        <f t="shared" ca="1" si="161"/>
        <v>0</v>
      </c>
      <c r="S231" s="50">
        <f t="shared" ca="1" si="162"/>
        <v>0</v>
      </c>
      <c r="T231" s="50">
        <f t="shared" ca="1" si="162"/>
        <v>0</v>
      </c>
      <c r="U231" s="50">
        <f t="shared" ca="1" si="162"/>
        <v>0</v>
      </c>
      <c r="V231" s="50">
        <f t="shared" ca="1" si="162"/>
        <v>0</v>
      </c>
      <c r="W231" s="50">
        <f t="shared" ca="1" si="162"/>
        <v>0</v>
      </c>
      <c r="X231" s="50">
        <f t="shared" ca="1" si="162"/>
        <v>0</v>
      </c>
      <c r="Y231" s="50">
        <f t="shared" ca="1" si="162"/>
        <v>0</v>
      </c>
      <c r="Z231" s="50">
        <f t="shared" ca="1" si="162"/>
        <v>0</v>
      </c>
      <c r="AA231" s="50">
        <f t="shared" ca="1" si="162"/>
        <v>0</v>
      </c>
      <c r="AB231" s="50">
        <f t="shared" ca="1" si="162"/>
        <v>0</v>
      </c>
      <c r="AC231" s="50">
        <f t="shared" ca="1" si="162"/>
        <v>0</v>
      </c>
      <c r="AD231" s="50">
        <f t="shared" ca="1" si="162"/>
        <v>0</v>
      </c>
      <c r="AE231" s="50">
        <f t="shared" ca="1" si="162"/>
        <v>0</v>
      </c>
      <c r="AF231" s="50">
        <f t="shared" ca="1" si="162"/>
        <v>0</v>
      </c>
      <c r="AG231" s="50">
        <f t="shared" ca="1" si="162"/>
        <v>0</v>
      </c>
      <c r="AH231" s="50">
        <f t="shared" ca="1" si="162"/>
        <v>0</v>
      </c>
      <c r="AI231" s="50">
        <f t="shared" ca="1" si="162"/>
        <v>0</v>
      </c>
      <c r="AJ231" s="50">
        <f t="shared" ca="1" si="162"/>
        <v>0</v>
      </c>
      <c r="AK231" s="50">
        <f t="shared" ca="1" si="162"/>
        <v>0</v>
      </c>
      <c r="AL231" s="50">
        <f t="shared" si="162"/>
        <v>0</v>
      </c>
      <c r="AM231" s="50">
        <f t="shared" si="162"/>
        <v>0</v>
      </c>
      <c r="AN231" s="50">
        <f t="shared" si="162"/>
        <v>0</v>
      </c>
      <c r="AO231" s="50">
        <f t="shared" si="162"/>
        <v>0</v>
      </c>
      <c r="AP231" s="50">
        <f t="shared" si="162"/>
        <v>0</v>
      </c>
      <c r="AQ231" s="50">
        <f t="shared" si="162"/>
        <v>0</v>
      </c>
      <c r="AR231" s="50">
        <f t="shared" si="162"/>
        <v>0</v>
      </c>
      <c r="AS231" s="50">
        <f t="shared" si="162"/>
        <v>0</v>
      </c>
      <c r="AT231" s="50">
        <f t="shared" si="162"/>
        <v>0</v>
      </c>
      <c r="AU231" s="50">
        <f t="shared" si="162"/>
        <v>0</v>
      </c>
    </row>
    <row r="232" spans="1:47">
      <c r="A232" s="38" t="str">
        <f t="shared" si="159"/>
        <v>4Y-</v>
      </c>
      <c r="B232" s="38" t="s">
        <v>274</v>
      </c>
      <c r="C232" s="38" t="str">
        <f t="shared" si="163"/>
        <v>Dewatering</v>
      </c>
      <c r="D232" s="186"/>
      <c r="E232" s="325"/>
      <c r="G232" s="36" t="s">
        <v>16</v>
      </c>
      <c r="I232" s="39"/>
      <c r="K232" s="39"/>
      <c r="L232" s="43" t="s">
        <v>275</v>
      </c>
      <c r="N232" s="70">
        <f ca="1">SUMIFS(OFFSET(Assumptions!$I$90,0,MATCH($A232,Configurations,0)-1,COUNT(Assumptions!$A$90:$A$183),1),Assumptions!$D$90:$D$183,$B232&amp;$C232)</f>
        <v>1230050</v>
      </c>
      <c r="O232" s="313"/>
      <c r="P232" s="323"/>
      <c r="Q232" s="313"/>
      <c r="R232" s="50">
        <f t="shared" ref="R232:AU232" ca="1" si="164">IF(OR(R$99&lt;InServiceYr,R$99&gt;(InServiceYr+analysis_period-1)),0,IF($P232=0,$N232,$P232)*R$505)</f>
        <v>5349.6870897932504</v>
      </c>
      <c r="S232" s="50">
        <f t="shared" ca="1" si="164"/>
        <v>5490.6313625730436</v>
      </c>
      <c r="T232" s="50">
        <f t="shared" ca="1" si="164"/>
        <v>6135.7601841135747</v>
      </c>
      <c r="U232" s="50">
        <f t="shared" ca="1" si="164"/>
        <v>6487.3321857804458</v>
      </c>
      <c r="V232" s="50">
        <f t="shared" ca="1" si="164"/>
        <v>6921.4360258838678</v>
      </c>
      <c r="W232" s="50">
        <f t="shared" ca="1" si="164"/>
        <v>7200.7756313277205</v>
      </c>
      <c r="X232" s="50">
        <f t="shared" ca="1" si="164"/>
        <v>7427.5683935995894</v>
      </c>
      <c r="Y232" s="50">
        <f t="shared" ca="1" si="164"/>
        <v>7708.4818647181946</v>
      </c>
      <c r="Z232" s="50">
        <f t="shared" ca="1" si="164"/>
        <v>8108.7423504787503</v>
      </c>
      <c r="AA232" s="50">
        <f t="shared" ca="1" si="164"/>
        <v>8514.7763952948735</v>
      </c>
      <c r="AB232" s="50">
        <f t="shared" ca="1" si="164"/>
        <v>8811.1198078361922</v>
      </c>
      <c r="AC232" s="50">
        <f t="shared" ca="1" si="164"/>
        <v>9030.4008855256798</v>
      </c>
      <c r="AD232" s="50">
        <f t="shared" ca="1" si="164"/>
        <v>9351.0128174870006</v>
      </c>
      <c r="AE232" s="50">
        <f t="shared" ca="1" si="164"/>
        <v>9580.1995797304571</v>
      </c>
      <c r="AF232" s="50">
        <f t="shared" ca="1" si="164"/>
        <v>9913.1834239537075</v>
      </c>
      <c r="AG232" s="50">
        <f t="shared" ca="1" si="164"/>
        <v>10237.950780683228</v>
      </c>
      <c r="AH232" s="50">
        <f t="shared" ca="1" si="164"/>
        <v>10548.126969702709</v>
      </c>
      <c r="AI232" s="50">
        <f t="shared" ca="1" si="164"/>
        <v>10933.78114322786</v>
      </c>
      <c r="AJ232" s="50">
        <f t="shared" ca="1" si="164"/>
        <v>11292.988315607034</v>
      </c>
      <c r="AK232" s="50">
        <f t="shared" ca="1" si="164"/>
        <v>11745.498578849667</v>
      </c>
      <c r="AL232" s="50">
        <f t="shared" si="164"/>
        <v>0</v>
      </c>
      <c r="AM232" s="50">
        <f t="shared" si="164"/>
        <v>0</v>
      </c>
      <c r="AN232" s="50">
        <f t="shared" si="164"/>
        <v>0</v>
      </c>
      <c r="AO232" s="50">
        <f t="shared" si="164"/>
        <v>0</v>
      </c>
      <c r="AP232" s="50">
        <f t="shared" si="164"/>
        <v>0</v>
      </c>
      <c r="AQ232" s="50">
        <f t="shared" si="164"/>
        <v>0</v>
      </c>
      <c r="AR232" s="50">
        <f t="shared" si="164"/>
        <v>0</v>
      </c>
      <c r="AS232" s="50">
        <f t="shared" si="164"/>
        <v>0</v>
      </c>
      <c r="AT232" s="50">
        <f t="shared" si="164"/>
        <v>0</v>
      </c>
      <c r="AU232" s="50">
        <f t="shared" si="164"/>
        <v>0</v>
      </c>
    </row>
    <row r="233" spans="1:47">
      <c r="A233" s="38" t="str">
        <f t="shared" si="159"/>
        <v>4Y-</v>
      </c>
      <c r="B233" s="38" t="s">
        <v>257</v>
      </c>
      <c r="C233" s="38" t="str">
        <f t="shared" si="163"/>
        <v>Dewatering</v>
      </c>
      <c r="D233" s="186"/>
      <c r="E233" s="325"/>
      <c r="G233" s="36" t="s">
        <v>284</v>
      </c>
      <c r="I233" s="39"/>
      <c r="K233" s="39"/>
      <c r="L233" s="43" t="s">
        <v>293</v>
      </c>
      <c r="N233" s="70">
        <f ca="1">SUMIFS(OFFSET(Assumptions!$I$90,0,MATCH($A233,Configurations,0)-1,COUNT(Assumptions!$A$90:$A$183),1),Assumptions!$D$90:$D$183,$B233&amp;$C233)</f>
        <v>0</v>
      </c>
      <c r="O233" s="313"/>
      <c r="P233" s="323"/>
      <c r="Q233" s="313"/>
      <c r="R233" s="50">
        <f t="shared" ref="R233:AU233" ca="1" si="165">IF(OR(R$99&lt;InServiceYr,R$99&gt;(InServiceYr+analysis_period-1)),0,IF($P233=0,$N233,$P233)*R$501)</f>
        <v>0</v>
      </c>
      <c r="S233" s="50">
        <f t="shared" ca="1" si="165"/>
        <v>0</v>
      </c>
      <c r="T233" s="50">
        <f t="shared" ca="1" si="165"/>
        <v>0</v>
      </c>
      <c r="U233" s="50">
        <f t="shared" ca="1" si="165"/>
        <v>0</v>
      </c>
      <c r="V233" s="50">
        <f t="shared" ca="1" si="165"/>
        <v>0</v>
      </c>
      <c r="W233" s="50">
        <f t="shared" ca="1" si="165"/>
        <v>0</v>
      </c>
      <c r="X233" s="50">
        <f t="shared" ca="1" si="165"/>
        <v>0</v>
      </c>
      <c r="Y233" s="50">
        <f t="shared" ca="1" si="165"/>
        <v>0</v>
      </c>
      <c r="Z233" s="50">
        <f t="shared" ca="1" si="165"/>
        <v>0</v>
      </c>
      <c r="AA233" s="50">
        <f t="shared" ca="1" si="165"/>
        <v>0</v>
      </c>
      <c r="AB233" s="50">
        <f t="shared" ca="1" si="165"/>
        <v>0</v>
      </c>
      <c r="AC233" s="50">
        <f t="shared" ca="1" si="165"/>
        <v>0</v>
      </c>
      <c r="AD233" s="50">
        <f t="shared" ca="1" si="165"/>
        <v>0</v>
      </c>
      <c r="AE233" s="50">
        <f t="shared" ca="1" si="165"/>
        <v>0</v>
      </c>
      <c r="AF233" s="50">
        <f t="shared" ca="1" si="165"/>
        <v>0</v>
      </c>
      <c r="AG233" s="50">
        <f t="shared" ca="1" si="165"/>
        <v>0</v>
      </c>
      <c r="AH233" s="50">
        <f t="shared" ca="1" si="165"/>
        <v>0</v>
      </c>
      <c r="AI233" s="50">
        <f t="shared" ca="1" si="165"/>
        <v>0</v>
      </c>
      <c r="AJ233" s="50">
        <f t="shared" ca="1" si="165"/>
        <v>0</v>
      </c>
      <c r="AK233" s="50">
        <f t="shared" ca="1" si="165"/>
        <v>0</v>
      </c>
      <c r="AL233" s="50">
        <f t="shared" si="165"/>
        <v>0</v>
      </c>
      <c r="AM233" s="50">
        <f t="shared" si="165"/>
        <v>0</v>
      </c>
      <c r="AN233" s="50">
        <f t="shared" si="165"/>
        <v>0</v>
      </c>
      <c r="AO233" s="50">
        <f t="shared" si="165"/>
        <v>0</v>
      </c>
      <c r="AP233" s="50">
        <f t="shared" si="165"/>
        <v>0</v>
      </c>
      <c r="AQ233" s="50">
        <f t="shared" si="165"/>
        <v>0</v>
      </c>
      <c r="AR233" s="50">
        <f t="shared" si="165"/>
        <v>0</v>
      </c>
      <c r="AS233" s="50">
        <f t="shared" si="165"/>
        <v>0</v>
      </c>
      <c r="AT233" s="50">
        <f t="shared" si="165"/>
        <v>0</v>
      </c>
      <c r="AU233" s="50">
        <f t="shared" si="165"/>
        <v>0</v>
      </c>
    </row>
    <row r="234" spans="1:47">
      <c r="A234" s="38" t="str">
        <f t="shared" si="159"/>
        <v>4Y-</v>
      </c>
      <c r="B234" s="38" t="s">
        <v>864</v>
      </c>
      <c r="C234" s="38" t="str">
        <f t="shared" si="163"/>
        <v>Dewatering</v>
      </c>
      <c r="D234" s="186">
        <f>GHGEsc</f>
        <v>0.02</v>
      </c>
      <c r="E234" s="325"/>
      <c r="G234" s="36" t="s">
        <v>865</v>
      </c>
      <c r="I234" s="39"/>
      <c r="K234" s="39"/>
      <c r="L234" s="43" t="s">
        <v>866</v>
      </c>
      <c r="N234" s="70">
        <f ca="1">SUMIFS(OFFSET(Assumptions!$I$90,0,MATCH($A234,Configurations,0)-1,COUNT(Assumptions!$A$90:$A$183),1),Assumptions!$D$90:$D$183,$B234&amp;$C234)</f>
        <v>0</v>
      </c>
      <c r="O234" s="313"/>
      <c r="P234" s="323"/>
      <c r="Q234" s="313"/>
      <c r="R234" s="50">
        <f t="shared" ref="R234:AU234" ca="1" si="166">IF(OR(R$99&lt;InServiceYr,R$99&gt;(InServiceYr+analysis_period-1)),0,IF($P234=0,$N234,$P234)*R$513)</f>
        <v>0</v>
      </c>
      <c r="S234" s="50">
        <f t="shared" ca="1" si="166"/>
        <v>0</v>
      </c>
      <c r="T234" s="50">
        <f t="shared" ca="1" si="166"/>
        <v>0</v>
      </c>
      <c r="U234" s="50">
        <f t="shared" ca="1" si="166"/>
        <v>0</v>
      </c>
      <c r="V234" s="50">
        <f t="shared" ca="1" si="166"/>
        <v>0</v>
      </c>
      <c r="W234" s="50">
        <f t="shared" ca="1" si="166"/>
        <v>0</v>
      </c>
      <c r="X234" s="50">
        <f t="shared" ca="1" si="166"/>
        <v>0</v>
      </c>
      <c r="Y234" s="50">
        <f t="shared" ca="1" si="166"/>
        <v>0</v>
      </c>
      <c r="Z234" s="50">
        <f t="shared" ca="1" si="166"/>
        <v>0</v>
      </c>
      <c r="AA234" s="50">
        <f t="shared" ca="1" si="166"/>
        <v>0</v>
      </c>
      <c r="AB234" s="50">
        <f t="shared" ca="1" si="166"/>
        <v>0</v>
      </c>
      <c r="AC234" s="50">
        <f t="shared" ca="1" si="166"/>
        <v>0</v>
      </c>
      <c r="AD234" s="50">
        <f t="shared" ca="1" si="166"/>
        <v>0</v>
      </c>
      <c r="AE234" s="50">
        <f t="shared" ca="1" si="166"/>
        <v>0</v>
      </c>
      <c r="AF234" s="50">
        <f t="shared" ca="1" si="166"/>
        <v>0</v>
      </c>
      <c r="AG234" s="50">
        <f t="shared" ca="1" si="166"/>
        <v>0</v>
      </c>
      <c r="AH234" s="50">
        <f t="shared" ca="1" si="166"/>
        <v>0</v>
      </c>
      <c r="AI234" s="50">
        <f t="shared" ca="1" si="166"/>
        <v>0</v>
      </c>
      <c r="AJ234" s="50">
        <f t="shared" ca="1" si="166"/>
        <v>0</v>
      </c>
      <c r="AK234" s="50">
        <f t="shared" ca="1" si="166"/>
        <v>0</v>
      </c>
      <c r="AL234" s="50">
        <f t="shared" si="166"/>
        <v>0</v>
      </c>
      <c r="AM234" s="50">
        <f t="shared" si="166"/>
        <v>0</v>
      </c>
      <c r="AN234" s="50">
        <f t="shared" si="166"/>
        <v>0</v>
      </c>
      <c r="AO234" s="50">
        <f t="shared" si="166"/>
        <v>0</v>
      </c>
      <c r="AP234" s="50">
        <f t="shared" si="166"/>
        <v>0</v>
      </c>
      <c r="AQ234" s="50">
        <f t="shared" si="166"/>
        <v>0</v>
      </c>
      <c r="AR234" s="50">
        <f t="shared" si="166"/>
        <v>0</v>
      </c>
      <c r="AS234" s="50">
        <f t="shared" si="166"/>
        <v>0</v>
      </c>
      <c r="AT234" s="50">
        <f t="shared" si="166"/>
        <v>0</v>
      </c>
      <c r="AU234" s="50">
        <f t="shared" si="166"/>
        <v>0</v>
      </c>
    </row>
    <row r="235" spans="1:47">
      <c r="A235" s="38" t="str">
        <f t="shared" si="159"/>
        <v>4Y-</v>
      </c>
      <c r="B235" s="38" t="s">
        <v>273</v>
      </c>
      <c r="C235" s="38" t="str">
        <f>C233</f>
        <v>Dewatering</v>
      </c>
      <c r="D235" s="186">
        <f>LaborEsc</f>
        <v>0.02</v>
      </c>
      <c r="E235" s="325"/>
      <c r="G235" s="36" t="s">
        <v>291</v>
      </c>
      <c r="I235" s="39"/>
      <c r="K235" s="39"/>
      <c r="L235" s="43" t="str">
        <f>"["&amp;CostBaseYr&amp;" $]"</f>
        <v>[2013 $]</v>
      </c>
      <c r="N235" s="70">
        <f ca="1">SUMIFS(OFFSET(Assumptions!$I$90,0,MATCH($A235,Configurations,0)-1,COUNT(Assumptions!$A$90:$A$183),1),Assumptions!$D$90:$D$183,$B235&amp;$C235)</f>
        <v>0</v>
      </c>
      <c r="O235" s="313"/>
      <c r="P235" s="323"/>
      <c r="Q235" s="313"/>
      <c r="R235" s="50">
        <f t="shared" ref="R235:AU235" ca="1" si="167">IF(OR(R$99&lt;InServiceYr,R$99&gt;(InServiceYr+analysis_period-1)),0,IF($P235=0,$N235,$P235)*(1+$D235)^(R$99-CostBaseYr))*R$509</f>
        <v>0</v>
      </c>
      <c r="S235" s="50">
        <f t="shared" ca="1" si="167"/>
        <v>0</v>
      </c>
      <c r="T235" s="50">
        <f t="shared" ca="1" si="167"/>
        <v>0</v>
      </c>
      <c r="U235" s="50">
        <f t="shared" ca="1" si="167"/>
        <v>0</v>
      </c>
      <c r="V235" s="50">
        <f t="shared" ca="1" si="167"/>
        <v>0</v>
      </c>
      <c r="W235" s="50">
        <f t="shared" ca="1" si="167"/>
        <v>0</v>
      </c>
      <c r="X235" s="50">
        <f t="shared" ca="1" si="167"/>
        <v>0</v>
      </c>
      <c r="Y235" s="50">
        <f t="shared" ca="1" si="167"/>
        <v>0</v>
      </c>
      <c r="Z235" s="50">
        <f t="shared" ca="1" si="167"/>
        <v>0</v>
      </c>
      <c r="AA235" s="50">
        <f t="shared" ca="1" si="167"/>
        <v>0</v>
      </c>
      <c r="AB235" s="50">
        <f t="shared" ca="1" si="167"/>
        <v>0</v>
      </c>
      <c r="AC235" s="50">
        <f t="shared" ca="1" si="167"/>
        <v>0</v>
      </c>
      <c r="AD235" s="50">
        <f t="shared" ca="1" si="167"/>
        <v>0</v>
      </c>
      <c r="AE235" s="50">
        <f t="shared" ca="1" si="167"/>
        <v>0</v>
      </c>
      <c r="AF235" s="50">
        <f t="shared" ca="1" si="167"/>
        <v>0</v>
      </c>
      <c r="AG235" s="50">
        <f t="shared" ca="1" si="167"/>
        <v>0</v>
      </c>
      <c r="AH235" s="50">
        <f t="shared" ca="1" si="167"/>
        <v>0</v>
      </c>
      <c r="AI235" s="50">
        <f t="shared" ca="1" si="167"/>
        <v>0</v>
      </c>
      <c r="AJ235" s="50">
        <f t="shared" ca="1" si="167"/>
        <v>0</v>
      </c>
      <c r="AK235" s="50">
        <f t="shared" ca="1" si="167"/>
        <v>0</v>
      </c>
      <c r="AL235" s="50">
        <f t="shared" si="167"/>
        <v>0</v>
      </c>
      <c r="AM235" s="50">
        <f t="shared" si="167"/>
        <v>0</v>
      </c>
      <c r="AN235" s="50">
        <f t="shared" si="167"/>
        <v>0</v>
      </c>
      <c r="AO235" s="50">
        <f t="shared" si="167"/>
        <v>0</v>
      </c>
      <c r="AP235" s="50">
        <f t="shared" si="167"/>
        <v>0</v>
      </c>
      <c r="AQ235" s="50">
        <f t="shared" si="167"/>
        <v>0</v>
      </c>
      <c r="AR235" s="50">
        <f t="shared" si="167"/>
        <v>0</v>
      </c>
      <c r="AS235" s="50">
        <f t="shared" si="167"/>
        <v>0</v>
      </c>
      <c r="AT235" s="50">
        <f t="shared" si="167"/>
        <v>0</v>
      </c>
      <c r="AU235" s="50">
        <f t="shared" si="167"/>
        <v>0</v>
      </c>
    </row>
    <row r="236" spans="1:47">
      <c r="D236" s="186"/>
      <c r="E236" s="325"/>
      <c r="G236" s="39" t="s">
        <v>304</v>
      </c>
      <c r="I236" s="39"/>
      <c r="K236" s="39"/>
      <c r="L236" s="43"/>
      <c r="N236" s="70"/>
      <c r="O236" s="313"/>
      <c r="P236" s="70"/>
      <c r="Q236" s="313"/>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row>
    <row r="237" spans="1:47">
      <c r="A237" s="38" t="str">
        <f>$J$4&amp;"-"</f>
        <v>4Y-</v>
      </c>
      <c r="B237" s="38" t="s">
        <v>265</v>
      </c>
      <c r="C237" s="38" t="str">
        <f>C228</f>
        <v>Dewatering</v>
      </c>
      <c r="D237" s="186"/>
      <c r="E237" s="325"/>
      <c r="G237" s="36" t="s">
        <v>108</v>
      </c>
      <c r="I237" s="39"/>
      <c r="K237" s="39"/>
      <c r="L237" s="43" t="s">
        <v>293</v>
      </c>
      <c r="N237" s="70">
        <f ca="1">SUMIFS(OFFSET(Assumptions!$I$90,0,MATCH($A237,Configurations,0)-1,COUNT(Assumptions!$A$90:$A$183),1),Assumptions!$D$90:$D$183,$B237&amp;$C237)</f>
        <v>0</v>
      </c>
      <c r="O237" s="313"/>
      <c r="P237" s="323"/>
      <c r="Q237" s="313"/>
      <c r="R237" s="50">
        <f t="shared" ref="R237:AU237" ca="1" si="168">IF(OR(R$99&lt;InServiceYr,R$99&gt;(InServiceYr+analysis_period-1)),0,IF($P237=0,$N237,$P237)*R$501)</f>
        <v>0</v>
      </c>
      <c r="S237" s="50">
        <f t="shared" ca="1" si="168"/>
        <v>0</v>
      </c>
      <c r="T237" s="50">
        <f t="shared" ca="1" si="168"/>
        <v>0</v>
      </c>
      <c r="U237" s="50">
        <f t="shared" ca="1" si="168"/>
        <v>0</v>
      </c>
      <c r="V237" s="50">
        <f t="shared" ca="1" si="168"/>
        <v>0</v>
      </c>
      <c r="W237" s="50">
        <f t="shared" ca="1" si="168"/>
        <v>0</v>
      </c>
      <c r="X237" s="50">
        <f t="shared" ca="1" si="168"/>
        <v>0</v>
      </c>
      <c r="Y237" s="50">
        <f t="shared" ca="1" si="168"/>
        <v>0</v>
      </c>
      <c r="Z237" s="50">
        <f t="shared" ca="1" si="168"/>
        <v>0</v>
      </c>
      <c r="AA237" s="50">
        <f t="shared" ca="1" si="168"/>
        <v>0</v>
      </c>
      <c r="AB237" s="50">
        <f t="shared" ca="1" si="168"/>
        <v>0</v>
      </c>
      <c r="AC237" s="50">
        <f t="shared" ca="1" si="168"/>
        <v>0</v>
      </c>
      <c r="AD237" s="50">
        <f t="shared" ca="1" si="168"/>
        <v>0</v>
      </c>
      <c r="AE237" s="50">
        <f t="shared" ca="1" si="168"/>
        <v>0</v>
      </c>
      <c r="AF237" s="50">
        <f t="shared" ca="1" si="168"/>
        <v>0</v>
      </c>
      <c r="AG237" s="50">
        <f t="shared" ca="1" si="168"/>
        <v>0</v>
      </c>
      <c r="AH237" s="50">
        <f t="shared" ca="1" si="168"/>
        <v>0</v>
      </c>
      <c r="AI237" s="50">
        <f t="shared" ca="1" si="168"/>
        <v>0</v>
      </c>
      <c r="AJ237" s="50">
        <f t="shared" ca="1" si="168"/>
        <v>0</v>
      </c>
      <c r="AK237" s="50">
        <f t="shared" ca="1" si="168"/>
        <v>0</v>
      </c>
      <c r="AL237" s="50">
        <f t="shared" si="168"/>
        <v>0</v>
      </c>
      <c r="AM237" s="50">
        <f t="shared" si="168"/>
        <v>0</v>
      </c>
      <c r="AN237" s="50">
        <f t="shared" si="168"/>
        <v>0</v>
      </c>
      <c r="AO237" s="50">
        <f t="shared" si="168"/>
        <v>0</v>
      </c>
      <c r="AP237" s="50">
        <f t="shared" si="168"/>
        <v>0</v>
      </c>
      <c r="AQ237" s="50">
        <f t="shared" si="168"/>
        <v>0</v>
      </c>
      <c r="AR237" s="50">
        <f t="shared" si="168"/>
        <v>0</v>
      </c>
      <c r="AS237" s="50">
        <f t="shared" si="168"/>
        <v>0</v>
      </c>
      <c r="AT237" s="50">
        <f t="shared" si="168"/>
        <v>0</v>
      </c>
      <c r="AU237" s="50">
        <f t="shared" si="168"/>
        <v>0</v>
      </c>
    </row>
    <row r="238" spans="1:47">
      <c r="A238" s="38" t="str">
        <f>$J$4&amp;"-"</f>
        <v>4Y-</v>
      </c>
      <c r="B238" s="38" t="s">
        <v>289</v>
      </c>
      <c r="C238" s="38" t="str">
        <f>C228</f>
        <v>Dewatering</v>
      </c>
      <c r="D238" s="186">
        <f>LaborEsc</f>
        <v>0.02</v>
      </c>
      <c r="E238" s="325"/>
      <c r="G238" s="36" t="s">
        <v>292</v>
      </c>
      <c r="I238" s="39"/>
      <c r="K238" s="39"/>
      <c r="L238" s="43" t="str">
        <f>"["&amp;CostBaseYr&amp;" $]"</f>
        <v>[2013 $]</v>
      </c>
      <c r="N238" s="70">
        <f ca="1">SUMIFS(OFFSET(Assumptions!$I$90,0,MATCH($A238,Configurations,0)-1,COUNT(Assumptions!$A$90:$A$183),1),Assumptions!$D$90:$D$183,$B238&amp;$C238)</f>
        <v>0</v>
      </c>
      <c r="O238" s="313"/>
      <c r="P238" s="323"/>
      <c r="Q238" s="313"/>
      <c r="R238" s="50">
        <f t="shared" ref="R238:AU238" ca="1" si="169">IF(OR(R$99&lt;InServiceYr,R$99&gt;(InServiceYr+analysis_period-1)),0,IF($P238=0,$N238,$P238)*(1+$D238)^(R$99-CostBaseYr))</f>
        <v>0</v>
      </c>
      <c r="S238" s="50">
        <f t="shared" ca="1" si="169"/>
        <v>0</v>
      </c>
      <c r="T238" s="50">
        <f t="shared" ca="1" si="169"/>
        <v>0</v>
      </c>
      <c r="U238" s="50">
        <f t="shared" ca="1" si="169"/>
        <v>0</v>
      </c>
      <c r="V238" s="50">
        <f t="shared" ca="1" si="169"/>
        <v>0</v>
      </c>
      <c r="W238" s="50">
        <f t="shared" ca="1" si="169"/>
        <v>0</v>
      </c>
      <c r="X238" s="50">
        <f t="shared" ca="1" si="169"/>
        <v>0</v>
      </c>
      <c r="Y238" s="50">
        <f t="shared" ca="1" si="169"/>
        <v>0</v>
      </c>
      <c r="Z238" s="50">
        <f t="shared" ca="1" si="169"/>
        <v>0</v>
      </c>
      <c r="AA238" s="50">
        <f t="shared" ca="1" si="169"/>
        <v>0</v>
      </c>
      <c r="AB238" s="50">
        <f t="shared" ca="1" si="169"/>
        <v>0</v>
      </c>
      <c r="AC238" s="50">
        <f t="shared" ca="1" si="169"/>
        <v>0</v>
      </c>
      <c r="AD238" s="50">
        <f t="shared" ca="1" si="169"/>
        <v>0</v>
      </c>
      <c r="AE238" s="50">
        <f t="shared" ca="1" si="169"/>
        <v>0</v>
      </c>
      <c r="AF238" s="50">
        <f t="shared" ca="1" si="169"/>
        <v>0</v>
      </c>
      <c r="AG238" s="50">
        <f t="shared" ca="1" si="169"/>
        <v>0</v>
      </c>
      <c r="AH238" s="50">
        <f t="shared" ca="1" si="169"/>
        <v>0</v>
      </c>
      <c r="AI238" s="50">
        <f t="shared" ca="1" si="169"/>
        <v>0</v>
      </c>
      <c r="AJ238" s="50">
        <f t="shared" ca="1" si="169"/>
        <v>0</v>
      </c>
      <c r="AK238" s="50">
        <f t="shared" ca="1" si="169"/>
        <v>0</v>
      </c>
      <c r="AL238" s="50">
        <f t="shared" si="169"/>
        <v>0</v>
      </c>
      <c r="AM238" s="50">
        <f t="shared" si="169"/>
        <v>0</v>
      </c>
      <c r="AN238" s="50">
        <f t="shared" si="169"/>
        <v>0</v>
      </c>
      <c r="AO238" s="50">
        <f t="shared" si="169"/>
        <v>0</v>
      </c>
      <c r="AP238" s="50">
        <f t="shared" si="169"/>
        <v>0</v>
      </c>
      <c r="AQ238" s="50">
        <f t="shared" si="169"/>
        <v>0</v>
      </c>
      <c r="AR238" s="50">
        <f t="shared" si="169"/>
        <v>0</v>
      </c>
      <c r="AS238" s="50">
        <f t="shared" si="169"/>
        <v>0</v>
      </c>
      <c r="AT238" s="50">
        <f t="shared" si="169"/>
        <v>0</v>
      </c>
      <c r="AU238" s="50">
        <f t="shared" si="169"/>
        <v>0</v>
      </c>
    </row>
    <row r="239" spans="1:47" s="60" customFormat="1">
      <c r="D239" s="187"/>
      <c r="E239" s="325"/>
      <c r="G239" s="39" t="s">
        <v>305</v>
      </c>
      <c r="I239" s="39"/>
      <c r="K239" s="39"/>
      <c r="L239" s="174"/>
      <c r="N239" s="188"/>
      <c r="O239" s="314"/>
      <c r="P239" s="185"/>
      <c r="Q239" s="314"/>
      <c r="R239" s="185">
        <f ca="1">SUM(R228:R235)-SUM(R237:R238)</f>
        <v>5349.6870897932504</v>
      </c>
      <c r="S239" s="185">
        <f t="shared" ref="S239:AU239" ca="1" si="170">SUM(S228:S235)-SUM(S237:S238)</f>
        <v>5490.6313625730436</v>
      </c>
      <c r="T239" s="185">
        <f t="shared" ca="1" si="170"/>
        <v>6135.7601841135747</v>
      </c>
      <c r="U239" s="185">
        <f t="shared" ca="1" si="170"/>
        <v>6487.3321857804458</v>
      </c>
      <c r="V239" s="185">
        <f t="shared" ca="1" si="170"/>
        <v>6921.4360258838678</v>
      </c>
      <c r="W239" s="185">
        <f t="shared" ca="1" si="170"/>
        <v>7200.7756313277205</v>
      </c>
      <c r="X239" s="185">
        <f t="shared" ca="1" si="170"/>
        <v>7427.5683935995894</v>
      </c>
      <c r="Y239" s="185">
        <f t="shared" ca="1" si="170"/>
        <v>7708.4818647181946</v>
      </c>
      <c r="Z239" s="185">
        <f t="shared" ca="1" si="170"/>
        <v>8108.7423504787503</v>
      </c>
      <c r="AA239" s="185">
        <f t="shared" ca="1" si="170"/>
        <v>8514.7763952948735</v>
      </c>
      <c r="AB239" s="185">
        <f t="shared" ca="1" si="170"/>
        <v>8811.1198078361922</v>
      </c>
      <c r="AC239" s="185">
        <f t="shared" ca="1" si="170"/>
        <v>9030.4008855256798</v>
      </c>
      <c r="AD239" s="185">
        <f t="shared" ca="1" si="170"/>
        <v>9351.0128174870006</v>
      </c>
      <c r="AE239" s="185">
        <f t="shared" ca="1" si="170"/>
        <v>9580.1995797304571</v>
      </c>
      <c r="AF239" s="185">
        <f t="shared" ca="1" si="170"/>
        <v>9913.1834239537075</v>
      </c>
      <c r="AG239" s="185">
        <f t="shared" ca="1" si="170"/>
        <v>10237.950780683228</v>
      </c>
      <c r="AH239" s="185">
        <f t="shared" ca="1" si="170"/>
        <v>10548.126969702709</v>
      </c>
      <c r="AI239" s="185">
        <f t="shared" ca="1" si="170"/>
        <v>10933.78114322786</v>
      </c>
      <c r="AJ239" s="185">
        <f t="shared" ca="1" si="170"/>
        <v>11292.988315607034</v>
      </c>
      <c r="AK239" s="185">
        <f t="shared" ca="1" si="170"/>
        <v>11745.498578849667</v>
      </c>
      <c r="AL239" s="185">
        <f t="shared" si="170"/>
        <v>0</v>
      </c>
      <c r="AM239" s="185">
        <f t="shared" si="170"/>
        <v>0</v>
      </c>
      <c r="AN239" s="185">
        <f t="shared" si="170"/>
        <v>0</v>
      </c>
      <c r="AO239" s="185">
        <f t="shared" si="170"/>
        <v>0</v>
      </c>
      <c r="AP239" s="185">
        <f t="shared" si="170"/>
        <v>0</v>
      </c>
      <c r="AQ239" s="185">
        <f t="shared" si="170"/>
        <v>0</v>
      </c>
      <c r="AR239" s="185">
        <f t="shared" si="170"/>
        <v>0</v>
      </c>
      <c r="AS239" s="185">
        <f t="shared" si="170"/>
        <v>0</v>
      </c>
      <c r="AT239" s="185">
        <f t="shared" si="170"/>
        <v>0</v>
      </c>
      <c r="AU239" s="185">
        <f t="shared" si="170"/>
        <v>0</v>
      </c>
    </row>
    <row r="240" spans="1:47">
      <c r="E240" s="36"/>
      <c r="G240" s="39"/>
      <c r="H240" s="39"/>
      <c r="I240" s="39"/>
      <c r="J240" s="39"/>
      <c r="K240" s="39"/>
    </row>
    <row r="241" spans="1:47">
      <c r="E241" s="327"/>
      <c r="F241" s="28"/>
      <c r="G241" s="324" t="str">
        <f>C243&amp;" Capital Costs"</f>
        <v>Drying/Gasification/Energy Recovery Capital Costs</v>
      </c>
      <c r="H241" s="324"/>
      <c r="I241" s="324"/>
      <c r="J241" s="324"/>
      <c r="K241" s="324"/>
      <c r="L241" s="405" t="s">
        <v>79</v>
      </c>
      <c r="M241" s="256"/>
      <c r="N241" s="325" t="s">
        <v>490</v>
      </c>
      <c r="O241" s="311"/>
      <c r="P241" s="325" t="s">
        <v>491</v>
      </c>
      <c r="Q241" s="310"/>
      <c r="R241" s="325">
        <f>R$8</f>
        <v>2014</v>
      </c>
      <c r="S241" s="325">
        <f t="shared" ref="S241:AU241" si="171">S$8</f>
        <v>2015</v>
      </c>
      <c r="T241" s="325">
        <f t="shared" si="171"/>
        <v>2016</v>
      </c>
      <c r="U241" s="325">
        <f t="shared" si="171"/>
        <v>2017</v>
      </c>
      <c r="V241" s="325">
        <f t="shared" si="171"/>
        <v>2018</v>
      </c>
      <c r="W241" s="325">
        <f t="shared" si="171"/>
        <v>2019</v>
      </c>
      <c r="X241" s="325">
        <f t="shared" si="171"/>
        <v>2020</v>
      </c>
      <c r="Y241" s="325">
        <f t="shared" si="171"/>
        <v>2021</v>
      </c>
      <c r="Z241" s="325">
        <f t="shared" si="171"/>
        <v>2022</v>
      </c>
      <c r="AA241" s="325">
        <f t="shared" si="171"/>
        <v>2023</v>
      </c>
      <c r="AB241" s="325">
        <f t="shared" si="171"/>
        <v>2024</v>
      </c>
      <c r="AC241" s="325">
        <f t="shared" si="171"/>
        <v>2025</v>
      </c>
      <c r="AD241" s="325">
        <f t="shared" si="171"/>
        <v>2026</v>
      </c>
      <c r="AE241" s="325">
        <f t="shared" si="171"/>
        <v>2027</v>
      </c>
      <c r="AF241" s="325">
        <f t="shared" si="171"/>
        <v>2028</v>
      </c>
      <c r="AG241" s="325">
        <f t="shared" si="171"/>
        <v>2029</v>
      </c>
      <c r="AH241" s="325">
        <f t="shared" si="171"/>
        <v>2030</v>
      </c>
      <c r="AI241" s="325">
        <f t="shared" si="171"/>
        <v>2031</v>
      </c>
      <c r="AJ241" s="325">
        <f t="shared" si="171"/>
        <v>2032</v>
      </c>
      <c r="AK241" s="325">
        <f t="shared" si="171"/>
        <v>2033</v>
      </c>
      <c r="AL241" s="325">
        <f t="shared" si="171"/>
        <v>2034</v>
      </c>
      <c r="AM241" s="325">
        <f t="shared" si="171"/>
        <v>2035</v>
      </c>
      <c r="AN241" s="325">
        <f t="shared" si="171"/>
        <v>2036</v>
      </c>
      <c r="AO241" s="325">
        <f t="shared" si="171"/>
        <v>2037</v>
      </c>
      <c r="AP241" s="325">
        <f t="shared" si="171"/>
        <v>2038</v>
      </c>
      <c r="AQ241" s="325">
        <f t="shared" si="171"/>
        <v>2039</v>
      </c>
      <c r="AR241" s="325">
        <f t="shared" si="171"/>
        <v>2040</v>
      </c>
      <c r="AS241" s="325">
        <f t="shared" si="171"/>
        <v>2041</v>
      </c>
      <c r="AT241" s="325">
        <f t="shared" si="171"/>
        <v>2042</v>
      </c>
      <c r="AU241" s="325">
        <f t="shared" si="171"/>
        <v>2043</v>
      </c>
    </row>
    <row r="242" spans="1:47">
      <c r="E242" s="325"/>
      <c r="G242" s="39"/>
      <c r="H242" s="39"/>
      <c r="I242" s="39"/>
      <c r="J242" s="39"/>
      <c r="K242" s="39"/>
    </row>
    <row r="243" spans="1:47">
      <c r="A243" s="38" t="str">
        <f>$J$4&amp;"-"</f>
        <v>4Y-</v>
      </c>
      <c r="B243" s="38" t="s">
        <v>306</v>
      </c>
      <c r="C243" s="38" t="s">
        <v>320</v>
      </c>
      <c r="D243" s="186">
        <f>CapExEsc</f>
        <v>0.03</v>
      </c>
      <c r="E243" s="325"/>
      <c r="G243" s="36" t="s">
        <v>8</v>
      </c>
      <c r="H243" s="39"/>
      <c r="I243" s="39"/>
      <c r="J243" s="70"/>
      <c r="K243" s="39"/>
      <c r="L243" s="43" t="str">
        <f>"["&amp;CostBaseYr&amp;" $]"</f>
        <v>[2013 $]</v>
      </c>
      <c r="N243" s="52">
        <f ca="1">SUMIFS(OFFSET(Assumptions!$I$65,0,MATCH($A243,Configurations,0)-1,COUNT(Assumptions!$A$65:$A$84),1),Assumptions!$E$65:$E$84,$C243)</f>
        <v>9970000</v>
      </c>
      <c r="O243" s="52"/>
      <c r="P243" s="322"/>
      <c r="Q243" s="52"/>
      <c r="R243" s="52">
        <f t="shared" ref="R243:AU243" ca="1" si="172">R244*IF($P243=0,$N243,$P243)*(1+$D243)^(R$8-CostBaseYr)</f>
        <v>10269100</v>
      </c>
      <c r="S243" s="52">
        <f t="shared" ca="1" si="172"/>
        <v>0</v>
      </c>
      <c r="T243" s="52">
        <f t="shared" ca="1" si="172"/>
        <v>0</v>
      </c>
      <c r="U243" s="52">
        <f t="shared" ca="1" si="172"/>
        <v>0</v>
      </c>
      <c r="V243" s="52">
        <f t="shared" ca="1" si="172"/>
        <v>0</v>
      </c>
      <c r="W243" s="52">
        <f t="shared" ca="1" si="172"/>
        <v>0</v>
      </c>
      <c r="X243" s="52">
        <f t="shared" ca="1" si="172"/>
        <v>0</v>
      </c>
      <c r="Y243" s="52">
        <f t="shared" ca="1" si="172"/>
        <v>0</v>
      </c>
      <c r="Z243" s="52">
        <f t="shared" ca="1" si="172"/>
        <v>0</v>
      </c>
      <c r="AA243" s="52">
        <f t="shared" ca="1" si="172"/>
        <v>0</v>
      </c>
      <c r="AB243" s="52">
        <f t="shared" ca="1" si="172"/>
        <v>0</v>
      </c>
      <c r="AC243" s="52">
        <f t="shared" ca="1" si="172"/>
        <v>0</v>
      </c>
      <c r="AD243" s="52">
        <f t="shared" ca="1" si="172"/>
        <v>0</v>
      </c>
      <c r="AE243" s="52">
        <f t="shared" ca="1" si="172"/>
        <v>0</v>
      </c>
      <c r="AF243" s="52">
        <f t="shared" ca="1" si="172"/>
        <v>0</v>
      </c>
      <c r="AG243" s="52">
        <f t="shared" ca="1" si="172"/>
        <v>0</v>
      </c>
      <c r="AH243" s="52">
        <f t="shared" ca="1" si="172"/>
        <v>0</v>
      </c>
      <c r="AI243" s="52">
        <f t="shared" ca="1" si="172"/>
        <v>0</v>
      </c>
      <c r="AJ243" s="52">
        <f t="shared" ca="1" si="172"/>
        <v>0</v>
      </c>
      <c r="AK243" s="52">
        <f t="shared" ca="1" si="172"/>
        <v>0</v>
      </c>
      <c r="AL243" s="52">
        <f t="shared" ca="1" si="172"/>
        <v>0</v>
      </c>
      <c r="AM243" s="52">
        <f t="shared" ca="1" si="172"/>
        <v>0</v>
      </c>
      <c r="AN243" s="52">
        <f t="shared" ca="1" si="172"/>
        <v>0</v>
      </c>
      <c r="AO243" s="52">
        <f t="shared" ca="1" si="172"/>
        <v>0</v>
      </c>
      <c r="AP243" s="52">
        <f t="shared" ca="1" si="172"/>
        <v>0</v>
      </c>
      <c r="AQ243" s="52">
        <f t="shared" ca="1" si="172"/>
        <v>0</v>
      </c>
      <c r="AR243" s="52">
        <f t="shared" ca="1" si="172"/>
        <v>0</v>
      </c>
      <c r="AS243" s="52">
        <f t="shared" ca="1" si="172"/>
        <v>0</v>
      </c>
      <c r="AT243" s="52">
        <f t="shared" ca="1" si="172"/>
        <v>0</v>
      </c>
      <c r="AU243" s="52">
        <f t="shared" ca="1" si="172"/>
        <v>0</v>
      </c>
    </row>
    <row r="244" spans="1:47">
      <c r="E244" s="325"/>
      <c r="G244" s="36" t="s">
        <v>10</v>
      </c>
      <c r="H244" s="39"/>
      <c r="I244" s="39"/>
      <c r="J244" s="39"/>
      <c r="K244" s="39"/>
      <c r="L244" s="43"/>
      <c r="R244" s="54">
        <f>Assumptions!M$60</f>
        <v>1</v>
      </c>
      <c r="S244" s="54">
        <f>Assumptions!N$60</f>
        <v>0</v>
      </c>
      <c r="T244" s="54">
        <f>Assumptions!O$60</f>
        <v>0</v>
      </c>
      <c r="U244" s="54">
        <f>Assumptions!P$60</f>
        <v>0</v>
      </c>
      <c r="V244" s="54">
        <f>Assumptions!Q$60</f>
        <v>0</v>
      </c>
      <c r="W244" s="54">
        <f>Assumptions!R$60</f>
        <v>0</v>
      </c>
      <c r="X244" s="54">
        <f>Assumptions!S$60</f>
        <v>0</v>
      </c>
      <c r="Y244" s="54">
        <f>Assumptions!T$60</f>
        <v>0</v>
      </c>
      <c r="Z244" s="54">
        <f>Assumptions!U$60</f>
        <v>0</v>
      </c>
      <c r="AA244" s="54">
        <f>Assumptions!V$60</f>
        <v>0</v>
      </c>
      <c r="AB244" s="54">
        <f>Assumptions!W$60</f>
        <v>0</v>
      </c>
      <c r="AC244" s="54">
        <f>Assumptions!X$60</f>
        <v>0</v>
      </c>
      <c r="AD244" s="54">
        <f>Assumptions!Y$60</f>
        <v>0</v>
      </c>
      <c r="AE244" s="54">
        <f>Assumptions!Z$60</f>
        <v>0</v>
      </c>
      <c r="AF244" s="54">
        <f>Assumptions!AA$60</f>
        <v>0</v>
      </c>
      <c r="AG244" s="54">
        <f>Assumptions!AB$60</f>
        <v>0</v>
      </c>
      <c r="AH244" s="54">
        <f>Assumptions!AC$60</f>
        <v>0</v>
      </c>
      <c r="AI244" s="54">
        <f>Assumptions!AD$60</f>
        <v>0</v>
      </c>
      <c r="AJ244" s="54">
        <f>Assumptions!AE$60</f>
        <v>0</v>
      </c>
      <c r="AK244" s="54">
        <f>Assumptions!AF$60</f>
        <v>0</v>
      </c>
      <c r="AL244" s="54">
        <f>Assumptions!AG$60</f>
        <v>0</v>
      </c>
      <c r="AM244" s="54">
        <f>Assumptions!AH$60</f>
        <v>0</v>
      </c>
      <c r="AN244" s="54">
        <f>Assumptions!AI$60</f>
        <v>0</v>
      </c>
      <c r="AO244" s="54">
        <f>Assumptions!AJ$60</f>
        <v>0</v>
      </c>
      <c r="AP244" s="54">
        <f>Assumptions!AK$60</f>
        <v>0</v>
      </c>
      <c r="AQ244" s="54">
        <f>Assumptions!AL$60</f>
        <v>0</v>
      </c>
      <c r="AR244" s="54">
        <f>Assumptions!AM$60</f>
        <v>0</v>
      </c>
      <c r="AS244" s="54">
        <f>Assumptions!AN$60</f>
        <v>0</v>
      </c>
      <c r="AT244" s="54">
        <f>Assumptions!AO$60</f>
        <v>0</v>
      </c>
      <c r="AU244" s="54">
        <f>Assumptions!AP$60</f>
        <v>0</v>
      </c>
    </row>
    <row r="245" spans="1:47">
      <c r="E245" s="326"/>
      <c r="G245" s="39"/>
      <c r="H245" s="39"/>
      <c r="I245" s="39"/>
      <c r="J245" s="39"/>
      <c r="K245" s="39"/>
    </row>
    <row r="246" spans="1:47">
      <c r="E246" s="327"/>
      <c r="F246" s="28"/>
      <c r="G246" s="324" t="str">
        <f>C243&amp;" O&amp;M"</f>
        <v>Drying/Gasification/Energy Recovery O&amp;M</v>
      </c>
      <c r="H246" s="324"/>
      <c r="I246" s="324"/>
      <c r="J246" s="324"/>
      <c r="K246" s="324"/>
      <c r="L246" s="405" t="s">
        <v>79</v>
      </c>
      <c r="M246" s="256"/>
      <c r="N246" s="325" t="s">
        <v>490</v>
      </c>
      <c r="O246" s="311"/>
      <c r="P246" s="325" t="s">
        <v>491</v>
      </c>
      <c r="Q246" s="310"/>
      <c r="R246" s="325">
        <f>R$8</f>
        <v>2014</v>
      </c>
      <c r="S246" s="325">
        <f t="shared" ref="S246:AU246" si="173">S$8</f>
        <v>2015</v>
      </c>
      <c r="T246" s="325">
        <f t="shared" si="173"/>
        <v>2016</v>
      </c>
      <c r="U246" s="325">
        <f t="shared" si="173"/>
        <v>2017</v>
      </c>
      <c r="V246" s="325">
        <f t="shared" si="173"/>
        <v>2018</v>
      </c>
      <c r="W246" s="325">
        <f t="shared" si="173"/>
        <v>2019</v>
      </c>
      <c r="X246" s="325">
        <f t="shared" si="173"/>
        <v>2020</v>
      </c>
      <c r="Y246" s="325">
        <f t="shared" si="173"/>
        <v>2021</v>
      </c>
      <c r="Z246" s="325">
        <f t="shared" si="173"/>
        <v>2022</v>
      </c>
      <c r="AA246" s="325">
        <f t="shared" si="173"/>
        <v>2023</v>
      </c>
      <c r="AB246" s="325">
        <f t="shared" si="173"/>
        <v>2024</v>
      </c>
      <c r="AC246" s="325">
        <f t="shared" si="173"/>
        <v>2025</v>
      </c>
      <c r="AD246" s="325">
        <f t="shared" si="173"/>
        <v>2026</v>
      </c>
      <c r="AE246" s="325">
        <f t="shared" si="173"/>
        <v>2027</v>
      </c>
      <c r="AF246" s="325">
        <f t="shared" si="173"/>
        <v>2028</v>
      </c>
      <c r="AG246" s="325">
        <f t="shared" si="173"/>
        <v>2029</v>
      </c>
      <c r="AH246" s="325">
        <f t="shared" si="173"/>
        <v>2030</v>
      </c>
      <c r="AI246" s="325">
        <f t="shared" si="173"/>
        <v>2031</v>
      </c>
      <c r="AJ246" s="325">
        <f t="shared" si="173"/>
        <v>2032</v>
      </c>
      <c r="AK246" s="325">
        <f t="shared" si="173"/>
        <v>2033</v>
      </c>
      <c r="AL246" s="325">
        <f t="shared" si="173"/>
        <v>2034</v>
      </c>
      <c r="AM246" s="325">
        <f t="shared" si="173"/>
        <v>2035</v>
      </c>
      <c r="AN246" s="325">
        <f t="shared" si="173"/>
        <v>2036</v>
      </c>
      <c r="AO246" s="325">
        <f t="shared" si="173"/>
        <v>2037</v>
      </c>
      <c r="AP246" s="325">
        <f t="shared" si="173"/>
        <v>2038</v>
      </c>
      <c r="AQ246" s="325">
        <f t="shared" si="173"/>
        <v>2039</v>
      </c>
      <c r="AR246" s="325">
        <f t="shared" si="173"/>
        <v>2040</v>
      </c>
      <c r="AS246" s="325">
        <f t="shared" si="173"/>
        <v>2041</v>
      </c>
      <c r="AT246" s="325">
        <f t="shared" si="173"/>
        <v>2042</v>
      </c>
      <c r="AU246" s="325">
        <f t="shared" si="173"/>
        <v>2043</v>
      </c>
    </row>
    <row r="247" spans="1:47">
      <c r="E247" s="325"/>
      <c r="G247" s="39"/>
      <c r="H247" s="39"/>
      <c r="I247" s="39"/>
      <c r="J247" s="39"/>
      <c r="K247" s="39"/>
    </row>
    <row r="248" spans="1:47">
      <c r="E248" s="325"/>
      <c r="G248" s="39" t="s">
        <v>23</v>
      </c>
      <c r="H248" s="39"/>
      <c r="I248" s="39"/>
      <c r="J248" s="39"/>
      <c r="K248" s="39"/>
    </row>
    <row r="249" spans="1:47">
      <c r="A249" s="38" t="str">
        <f t="shared" ref="A249:A256" si="174">$J$4&amp;"-"</f>
        <v>4Y-</v>
      </c>
      <c r="B249" s="38" t="s">
        <v>262</v>
      </c>
      <c r="C249" s="38" t="str">
        <f>C243</f>
        <v>Drying/Gasification/Energy Recovery</v>
      </c>
      <c r="D249" s="186">
        <f>LaborEsc</f>
        <v>0.02</v>
      </c>
      <c r="E249" s="325"/>
      <c r="G249" s="36" t="s">
        <v>125</v>
      </c>
      <c r="I249" s="39"/>
      <c r="K249" s="39"/>
      <c r="L249" s="43" t="s">
        <v>266</v>
      </c>
      <c r="N249" s="70">
        <f ca="1">SUMIFS(OFFSET(Assumptions!$I$90,0,MATCH($A249,Configurations,0)-1,COUNT(Assumptions!$A$90:$A$183),1),Assumptions!$D$90:$D$183,$B249&amp;$C249)</f>
        <v>11680</v>
      </c>
      <c r="O249" s="313"/>
      <c r="P249" s="323"/>
      <c r="Q249" s="313"/>
      <c r="R249" s="50">
        <f t="shared" ref="R249:AU249" ca="1" si="175">IF(OR(R$99&lt;InServiceYr,R$99&gt;(InServiceYr+analysis_period-1)),0,IF($P249=0,$N249,$P249)*LaborCost*(1+$D249)^(R$99-CostBaseYr))</f>
        <v>416976</v>
      </c>
      <c r="S249" s="50">
        <f t="shared" ca="1" si="175"/>
        <v>425315.52</v>
      </c>
      <c r="T249" s="50">
        <f t="shared" ca="1" si="175"/>
        <v>433821.83039999998</v>
      </c>
      <c r="U249" s="50">
        <f t="shared" ca="1" si="175"/>
        <v>442498.267008</v>
      </c>
      <c r="V249" s="50">
        <f t="shared" ca="1" si="175"/>
        <v>451348.23234816</v>
      </c>
      <c r="W249" s="50">
        <f t="shared" ca="1" si="175"/>
        <v>460375.19699512323</v>
      </c>
      <c r="X249" s="50">
        <f t="shared" ca="1" si="175"/>
        <v>469582.70093502558</v>
      </c>
      <c r="Y249" s="50">
        <f t="shared" ca="1" si="175"/>
        <v>478974.35495372617</v>
      </c>
      <c r="Z249" s="50">
        <f t="shared" ca="1" si="175"/>
        <v>488553.8420528007</v>
      </c>
      <c r="AA249" s="50">
        <f t="shared" ca="1" si="175"/>
        <v>498324.91889385669</v>
      </c>
      <c r="AB249" s="50">
        <f t="shared" ca="1" si="175"/>
        <v>508291.41727173375</v>
      </c>
      <c r="AC249" s="50">
        <f t="shared" ca="1" si="175"/>
        <v>518457.24561716849</v>
      </c>
      <c r="AD249" s="50">
        <f t="shared" ca="1" si="175"/>
        <v>528826.39052951185</v>
      </c>
      <c r="AE249" s="50">
        <f t="shared" ca="1" si="175"/>
        <v>539402.91834010219</v>
      </c>
      <c r="AF249" s="50">
        <f t="shared" ca="1" si="175"/>
        <v>550190.97670690401</v>
      </c>
      <c r="AG249" s="50">
        <f t="shared" ca="1" si="175"/>
        <v>561194.7962410422</v>
      </c>
      <c r="AH249" s="50">
        <f t="shared" ca="1" si="175"/>
        <v>572418.69216586312</v>
      </c>
      <c r="AI249" s="50">
        <f t="shared" ca="1" si="175"/>
        <v>583867.06600918027</v>
      </c>
      <c r="AJ249" s="50">
        <f t="shared" ca="1" si="175"/>
        <v>595544.40732936386</v>
      </c>
      <c r="AK249" s="50">
        <f t="shared" ca="1" si="175"/>
        <v>607455.29547595116</v>
      </c>
      <c r="AL249" s="50">
        <f t="shared" si="175"/>
        <v>0</v>
      </c>
      <c r="AM249" s="50">
        <f t="shared" si="175"/>
        <v>0</v>
      </c>
      <c r="AN249" s="50">
        <f t="shared" si="175"/>
        <v>0</v>
      </c>
      <c r="AO249" s="50">
        <f t="shared" si="175"/>
        <v>0</v>
      </c>
      <c r="AP249" s="50">
        <f t="shared" si="175"/>
        <v>0</v>
      </c>
      <c r="AQ249" s="50">
        <f t="shared" si="175"/>
        <v>0</v>
      </c>
      <c r="AR249" s="50">
        <f t="shared" si="175"/>
        <v>0</v>
      </c>
      <c r="AS249" s="50">
        <f t="shared" si="175"/>
        <v>0</v>
      </c>
      <c r="AT249" s="50">
        <f t="shared" si="175"/>
        <v>0</v>
      </c>
      <c r="AU249" s="50">
        <f t="shared" si="175"/>
        <v>0</v>
      </c>
    </row>
    <row r="250" spans="1:47">
      <c r="A250" s="38" t="str">
        <f t="shared" si="174"/>
        <v>4Y-</v>
      </c>
      <c r="B250" s="38" t="s">
        <v>270</v>
      </c>
      <c r="C250" s="38" t="str">
        <f>C249</f>
        <v>Drying/Gasification/Energy Recovery</v>
      </c>
      <c r="D250" s="186">
        <f>OMEsc</f>
        <v>0.02</v>
      </c>
      <c r="E250" s="325"/>
      <c r="G250" s="36" t="s">
        <v>126</v>
      </c>
      <c r="I250" s="39"/>
      <c r="K250" s="39"/>
      <c r="L250" s="43" t="str">
        <f>"["&amp;CostBaseYr&amp;" $]"</f>
        <v>[2013 $]</v>
      </c>
      <c r="N250" s="70">
        <f ca="1">SUMIFS(OFFSET(Assumptions!$I$90,0,MATCH($A250,Configurations,0)-1,COUNT(Assumptions!$A$90:$A$183),1),Assumptions!$D$90:$D$183,$B250&amp;$C250)</f>
        <v>130000</v>
      </c>
      <c r="O250" s="313"/>
      <c r="P250" s="323"/>
      <c r="Q250" s="313"/>
      <c r="R250" s="50">
        <f t="shared" ref="R250:AG252" ca="1" si="176">IF(OR(R$99&lt;InServiceYr,R$99&gt;(InServiceYr+analysis_period-1)),0,IF($P250=0,$N250,$P250)*(1+$D250)^(R$99-CostBaseYr))</f>
        <v>132600</v>
      </c>
      <c r="S250" s="50">
        <f t="shared" ca="1" si="176"/>
        <v>135252</v>
      </c>
      <c r="T250" s="50">
        <f t="shared" ca="1" si="176"/>
        <v>137957.03999999998</v>
      </c>
      <c r="U250" s="50">
        <f t="shared" ca="1" si="176"/>
        <v>140716.1808</v>
      </c>
      <c r="V250" s="50">
        <f t="shared" ca="1" si="176"/>
        <v>143530.50441600001</v>
      </c>
      <c r="W250" s="50">
        <f t="shared" ca="1" si="176"/>
        <v>146401.11450432002</v>
      </c>
      <c r="X250" s="50">
        <f t="shared" ca="1" si="176"/>
        <v>149329.13679440637</v>
      </c>
      <c r="Y250" s="50">
        <f t="shared" ca="1" si="176"/>
        <v>152315.7195302945</v>
      </c>
      <c r="Z250" s="50">
        <f t="shared" ca="1" si="176"/>
        <v>155362.0339209004</v>
      </c>
      <c r="AA250" s="50">
        <f t="shared" ca="1" si="176"/>
        <v>158469.27459931842</v>
      </c>
      <c r="AB250" s="50">
        <f t="shared" ca="1" si="176"/>
        <v>161638.66009130477</v>
      </c>
      <c r="AC250" s="50">
        <f t="shared" ca="1" si="176"/>
        <v>164871.43329313089</v>
      </c>
      <c r="AD250" s="50">
        <f t="shared" ca="1" si="176"/>
        <v>168168.86195899348</v>
      </c>
      <c r="AE250" s="50">
        <f t="shared" ca="1" si="176"/>
        <v>171532.23919817337</v>
      </c>
      <c r="AF250" s="50">
        <f t="shared" ca="1" si="176"/>
        <v>174962.88398213679</v>
      </c>
      <c r="AG250" s="50">
        <f t="shared" ca="1" si="176"/>
        <v>178462.14166177958</v>
      </c>
      <c r="AH250" s="50">
        <f t="shared" ref="S250:AU252" ca="1" si="177">IF(OR(AH$99&lt;InServiceYr,AH$99&gt;(InServiceYr+analysis_period-1)),0,IF($P250=0,$N250,$P250)*(1+$D250)^(AH$99-CostBaseYr))</f>
        <v>182031.38449501517</v>
      </c>
      <c r="AI250" s="50">
        <f t="shared" ca="1" si="177"/>
        <v>185672.01218491545</v>
      </c>
      <c r="AJ250" s="50">
        <f t="shared" ca="1" si="177"/>
        <v>189385.45242861376</v>
      </c>
      <c r="AK250" s="50">
        <f t="shared" ca="1" si="177"/>
        <v>193173.16147718605</v>
      </c>
      <c r="AL250" s="50">
        <f t="shared" si="177"/>
        <v>0</v>
      </c>
      <c r="AM250" s="50">
        <f t="shared" si="177"/>
        <v>0</v>
      </c>
      <c r="AN250" s="50">
        <f t="shared" si="177"/>
        <v>0</v>
      </c>
      <c r="AO250" s="50">
        <f t="shared" si="177"/>
        <v>0</v>
      </c>
      <c r="AP250" s="50">
        <f t="shared" si="177"/>
        <v>0</v>
      </c>
      <c r="AQ250" s="50">
        <f t="shared" si="177"/>
        <v>0</v>
      </c>
      <c r="AR250" s="50">
        <f t="shared" si="177"/>
        <v>0</v>
      </c>
      <c r="AS250" s="50">
        <f t="shared" si="177"/>
        <v>0</v>
      </c>
      <c r="AT250" s="50">
        <f t="shared" si="177"/>
        <v>0</v>
      </c>
      <c r="AU250" s="50">
        <f t="shared" si="177"/>
        <v>0</v>
      </c>
    </row>
    <row r="251" spans="1:47">
      <c r="A251" s="38" t="str">
        <f t="shared" si="174"/>
        <v>4Y-</v>
      </c>
      <c r="B251" s="38" t="s">
        <v>263</v>
      </c>
      <c r="C251" s="38" t="str">
        <f t="shared" ref="C251:C255" si="178">C250</f>
        <v>Drying/Gasification/Energy Recovery</v>
      </c>
      <c r="D251" s="186">
        <f>OMEsc</f>
        <v>0.02</v>
      </c>
      <c r="E251" s="325"/>
      <c r="G251" s="36" t="s">
        <v>127</v>
      </c>
      <c r="I251" s="39"/>
      <c r="K251" s="39"/>
      <c r="L251" s="43" t="str">
        <f>"["&amp;CostBaseYr&amp;" $]"</f>
        <v>[2013 $]</v>
      </c>
      <c r="N251" s="70">
        <f ca="1">SUMIFS(OFFSET(Assumptions!$I$90,0,MATCH($A251,Configurations,0)-1,COUNT(Assumptions!$A$90:$A$183),1),Assumptions!$D$90:$D$183,$B251&amp;$C251)</f>
        <v>0</v>
      </c>
      <c r="O251" s="313"/>
      <c r="P251" s="323"/>
      <c r="Q251" s="313"/>
      <c r="R251" s="50">
        <f t="shared" ca="1" si="176"/>
        <v>0</v>
      </c>
      <c r="S251" s="50">
        <f t="shared" ca="1" si="177"/>
        <v>0</v>
      </c>
      <c r="T251" s="50">
        <f t="shared" ca="1" si="177"/>
        <v>0</v>
      </c>
      <c r="U251" s="50">
        <f t="shared" ca="1" si="177"/>
        <v>0</v>
      </c>
      <c r="V251" s="50">
        <f t="shared" ca="1" si="177"/>
        <v>0</v>
      </c>
      <c r="W251" s="50">
        <f t="shared" ca="1" si="177"/>
        <v>0</v>
      </c>
      <c r="X251" s="50">
        <f t="shared" ca="1" si="177"/>
        <v>0</v>
      </c>
      <c r="Y251" s="50">
        <f t="shared" ca="1" si="177"/>
        <v>0</v>
      </c>
      <c r="Z251" s="50">
        <f t="shared" ca="1" si="177"/>
        <v>0</v>
      </c>
      <c r="AA251" s="50">
        <f t="shared" ca="1" si="177"/>
        <v>0</v>
      </c>
      <c r="AB251" s="50">
        <f t="shared" ca="1" si="177"/>
        <v>0</v>
      </c>
      <c r="AC251" s="50">
        <f t="shared" ca="1" si="177"/>
        <v>0</v>
      </c>
      <c r="AD251" s="50">
        <f t="shared" ca="1" si="177"/>
        <v>0</v>
      </c>
      <c r="AE251" s="50">
        <f t="shared" ca="1" si="177"/>
        <v>0</v>
      </c>
      <c r="AF251" s="50">
        <f t="shared" ca="1" si="177"/>
        <v>0</v>
      </c>
      <c r="AG251" s="50">
        <f t="shared" ca="1" si="177"/>
        <v>0</v>
      </c>
      <c r="AH251" s="50">
        <f t="shared" ca="1" si="177"/>
        <v>0</v>
      </c>
      <c r="AI251" s="50">
        <f t="shared" ca="1" si="177"/>
        <v>0</v>
      </c>
      <c r="AJ251" s="50">
        <f t="shared" ca="1" si="177"/>
        <v>0</v>
      </c>
      <c r="AK251" s="50">
        <f t="shared" ca="1" si="177"/>
        <v>0</v>
      </c>
      <c r="AL251" s="50">
        <f t="shared" si="177"/>
        <v>0</v>
      </c>
      <c r="AM251" s="50">
        <f t="shared" si="177"/>
        <v>0</v>
      </c>
      <c r="AN251" s="50">
        <f t="shared" si="177"/>
        <v>0</v>
      </c>
      <c r="AO251" s="50">
        <f t="shared" si="177"/>
        <v>0</v>
      </c>
      <c r="AP251" s="50">
        <f t="shared" si="177"/>
        <v>0</v>
      </c>
      <c r="AQ251" s="50">
        <f t="shared" si="177"/>
        <v>0</v>
      </c>
      <c r="AR251" s="50">
        <f t="shared" si="177"/>
        <v>0</v>
      </c>
      <c r="AS251" s="50">
        <f t="shared" si="177"/>
        <v>0</v>
      </c>
      <c r="AT251" s="50">
        <f t="shared" si="177"/>
        <v>0</v>
      </c>
      <c r="AU251" s="50">
        <f t="shared" si="177"/>
        <v>0</v>
      </c>
    </row>
    <row r="252" spans="1:47">
      <c r="A252" s="38" t="str">
        <f t="shared" si="174"/>
        <v>4Y-</v>
      </c>
      <c r="B252" s="38" t="s">
        <v>277</v>
      </c>
      <c r="C252" s="38" t="str">
        <f t="shared" si="178"/>
        <v>Drying/Gasification/Energy Recovery</v>
      </c>
      <c r="D252" s="186">
        <f>OMEsc</f>
        <v>0.02</v>
      </c>
      <c r="E252" s="325"/>
      <c r="G252" s="36" t="s">
        <v>276</v>
      </c>
      <c r="I252" s="39"/>
      <c r="K252" s="39"/>
      <c r="L252" s="43" t="str">
        <f>"["&amp;CostBaseYr&amp;" $]"</f>
        <v>[2013 $]</v>
      </c>
      <c r="N252" s="70">
        <f ca="1">SUMIFS(OFFSET(Assumptions!$I$90,0,MATCH($A252,Configurations,0)-1,COUNT(Assumptions!$A$90:$A$183),1),Assumptions!$D$90:$D$183,$B252&amp;$C252)</f>
        <v>0</v>
      </c>
      <c r="O252" s="313"/>
      <c r="P252" s="323"/>
      <c r="Q252" s="313"/>
      <c r="R252" s="50">
        <f t="shared" ca="1" si="176"/>
        <v>0</v>
      </c>
      <c r="S252" s="50">
        <f t="shared" ca="1" si="177"/>
        <v>0</v>
      </c>
      <c r="T252" s="50">
        <f t="shared" ca="1" si="177"/>
        <v>0</v>
      </c>
      <c r="U252" s="50">
        <f t="shared" ca="1" si="177"/>
        <v>0</v>
      </c>
      <c r="V252" s="50">
        <f t="shared" ca="1" si="177"/>
        <v>0</v>
      </c>
      <c r="W252" s="50">
        <f t="shared" ca="1" si="177"/>
        <v>0</v>
      </c>
      <c r="X252" s="50">
        <f t="shared" ca="1" si="177"/>
        <v>0</v>
      </c>
      <c r="Y252" s="50">
        <f t="shared" ca="1" si="177"/>
        <v>0</v>
      </c>
      <c r="Z252" s="50">
        <f t="shared" ca="1" si="177"/>
        <v>0</v>
      </c>
      <c r="AA252" s="50">
        <f t="shared" ca="1" si="177"/>
        <v>0</v>
      </c>
      <c r="AB252" s="50">
        <f t="shared" ca="1" si="177"/>
        <v>0</v>
      </c>
      <c r="AC252" s="50">
        <f t="shared" ca="1" si="177"/>
        <v>0</v>
      </c>
      <c r="AD252" s="50">
        <f t="shared" ca="1" si="177"/>
        <v>0</v>
      </c>
      <c r="AE252" s="50">
        <f t="shared" ca="1" si="177"/>
        <v>0</v>
      </c>
      <c r="AF252" s="50">
        <f t="shared" ca="1" si="177"/>
        <v>0</v>
      </c>
      <c r="AG252" s="50">
        <f t="shared" ca="1" si="177"/>
        <v>0</v>
      </c>
      <c r="AH252" s="50">
        <f t="shared" ca="1" si="177"/>
        <v>0</v>
      </c>
      <c r="AI252" s="50">
        <f t="shared" ca="1" si="177"/>
        <v>0</v>
      </c>
      <c r="AJ252" s="50">
        <f t="shared" ca="1" si="177"/>
        <v>0</v>
      </c>
      <c r="AK252" s="50">
        <f t="shared" ca="1" si="177"/>
        <v>0</v>
      </c>
      <c r="AL252" s="50">
        <f t="shared" si="177"/>
        <v>0</v>
      </c>
      <c r="AM252" s="50">
        <f t="shared" si="177"/>
        <v>0</v>
      </c>
      <c r="AN252" s="50">
        <f t="shared" si="177"/>
        <v>0</v>
      </c>
      <c r="AO252" s="50">
        <f t="shared" si="177"/>
        <v>0</v>
      </c>
      <c r="AP252" s="50">
        <f t="shared" si="177"/>
        <v>0</v>
      </c>
      <c r="AQ252" s="50">
        <f t="shared" si="177"/>
        <v>0</v>
      </c>
      <c r="AR252" s="50">
        <f t="shared" si="177"/>
        <v>0</v>
      </c>
      <c r="AS252" s="50">
        <f t="shared" si="177"/>
        <v>0</v>
      </c>
      <c r="AT252" s="50">
        <f t="shared" si="177"/>
        <v>0</v>
      </c>
      <c r="AU252" s="50">
        <f t="shared" si="177"/>
        <v>0</v>
      </c>
    </row>
    <row r="253" spans="1:47">
      <c r="A253" s="38" t="str">
        <f t="shared" si="174"/>
        <v>4Y-</v>
      </c>
      <c r="B253" s="38" t="s">
        <v>274</v>
      </c>
      <c r="C253" s="38" t="str">
        <f t="shared" si="178"/>
        <v>Drying/Gasification/Energy Recovery</v>
      </c>
      <c r="D253" s="186"/>
      <c r="E253" s="325"/>
      <c r="G253" s="36" t="s">
        <v>16</v>
      </c>
      <c r="I253" s="39"/>
      <c r="K253" s="39"/>
      <c r="L253" s="43" t="s">
        <v>275</v>
      </c>
      <c r="N253" s="70">
        <f ca="1">SUMIFS(OFFSET(Assumptions!$I$90,0,MATCH($A253,Configurations,0)-1,COUNT(Assumptions!$A$90:$A$183),1),Assumptions!$D$90:$D$183,$B253&amp;$C253)</f>
        <v>1233700</v>
      </c>
      <c r="O253" s="313"/>
      <c r="P253" s="323"/>
      <c r="Q253" s="313"/>
      <c r="R253" s="50">
        <f t="shared" ref="R253:AU253" ca="1" si="179">IF(OR(R$99&lt;InServiceYr,R$99&gt;(InServiceYr+analysis_period-1)),0,IF($P253=0,$N253,$P253)*R$505)</f>
        <v>5365.5615321961977</v>
      </c>
      <c r="S253" s="50">
        <f t="shared" ca="1" si="179"/>
        <v>5506.9240372394324</v>
      </c>
      <c r="T253" s="50">
        <f t="shared" ca="1" si="179"/>
        <v>6153.967187627265</v>
      </c>
      <c r="U253" s="50">
        <f t="shared" ca="1" si="179"/>
        <v>6506.5824296551655</v>
      </c>
      <c r="V253" s="50">
        <f t="shared" ca="1" si="179"/>
        <v>6941.9744117173504</v>
      </c>
      <c r="W253" s="50">
        <f t="shared" ca="1" si="179"/>
        <v>7222.142918067565</v>
      </c>
      <c r="X253" s="50">
        <f t="shared" ca="1" si="179"/>
        <v>7449.6086558951374</v>
      </c>
      <c r="Y253" s="50">
        <f t="shared" ca="1" si="179"/>
        <v>7731.3556981446582</v>
      </c>
      <c r="Z253" s="50">
        <f t="shared" ca="1" si="179"/>
        <v>8132.8039004801713</v>
      </c>
      <c r="AA253" s="50">
        <f t="shared" ca="1" si="179"/>
        <v>8540.042794093968</v>
      </c>
      <c r="AB253" s="50">
        <f t="shared" ca="1" si="179"/>
        <v>8837.2655639425302</v>
      </c>
      <c r="AC253" s="50">
        <f t="shared" ca="1" si="179"/>
        <v>9057.1973273224921</v>
      </c>
      <c r="AD253" s="50">
        <f t="shared" ca="1" si="179"/>
        <v>9378.7606300017978</v>
      </c>
      <c r="AE253" s="50">
        <f t="shared" ca="1" si="179"/>
        <v>9608.6274716584412</v>
      </c>
      <c r="AF253" s="50">
        <f t="shared" ca="1" si="179"/>
        <v>9942.5993985054974</v>
      </c>
      <c r="AG253" s="50">
        <f t="shared" ca="1" si="179"/>
        <v>10268.3304565903</v>
      </c>
      <c r="AH253" s="50">
        <f t="shared" ca="1" si="179"/>
        <v>10579.427049731501</v>
      </c>
      <c r="AI253" s="50">
        <f t="shared" ca="1" si="179"/>
        <v>10966.225597658804</v>
      </c>
      <c r="AJ253" s="50">
        <f t="shared" ca="1" si="179"/>
        <v>11326.498666691921</v>
      </c>
      <c r="AK253" s="50">
        <f t="shared" ca="1" si="179"/>
        <v>11780.351690359606</v>
      </c>
      <c r="AL253" s="50">
        <f t="shared" si="179"/>
        <v>0</v>
      </c>
      <c r="AM253" s="50">
        <f t="shared" si="179"/>
        <v>0</v>
      </c>
      <c r="AN253" s="50">
        <f t="shared" si="179"/>
        <v>0</v>
      </c>
      <c r="AO253" s="50">
        <f t="shared" si="179"/>
        <v>0</v>
      </c>
      <c r="AP253" s="50">
        <f t="shared" si="179"/>
        <v>0</v>
      </c>
      <c r="AQ253" s="50">
        <f t="shared" si="179"/>
        <v>0</v>
      </c>
      <c r="AR253" s="50">
        <f t="shared" si="179"/>
        <v>0</v>
      </c>
      <c r="AS253" s="50">
        <f t="shared" si="179"/>
        <v>0</v>
      </c>
      <c r="AT253" s="50">
        <f t="shared" si="179"/>
        <v>0</v>
      </c>
      <c r="AU253" s="50">
        <f t="shared" si="179"/>
        <v>0</v>
      </c>
    </row>
    <row r="254" spans="1:47">
      <c r="A254" s="38" t="str">
        <f t="shared" si="174"/>
        <v>4Y-</v>
      </c>
      <c r="B254" s="38" t="s">
        <v>257</v>
      </c>
      <c r="C254" s="38" t="str">
        <f t="shared" si="178"/>
        <v>Drying/Gasification/Energy Recovery</v>
      </c>
      <c r="D254" s="186"/>
      <c r="E254" s="325"/>
      <c r="G254" s="36" t="s">
        <v>284</v>
      </c>
      <c r="I254" s="39"/>
      <c r="K254" s="39"/>
      <c r="L254" s="43" t="s">
        <v>293</v>
      </c>
      <c r="N254" s="70">
        <f ca="1">SUMIFS(OFFSET(Assumptions!$I$90,0,MATCH($A254,Configurations,0)-1,COUNT(Assumptions!$A$90:$A$183),1),Assumptions!$D$90:$D$183,$B254&amp;$C254)</f>
        <v>485450</v>
      </c>
      <c r="O254" s="313"/>
      <c r="P254" s="323"/>
      <c r="Q254" s="313"/>
      <c r="R254" s="50">
        <f t="shared" ref="R254:AU254" ca="1" si="180">IF(OR(R$99&lt;InServiceYr,R$99&gt;(InServiceYr+analysis_period-1)),0,IF($P254=0,$N254,$P254)*R$501)</f>
        <v>31351.116390673331</v>
      </c>
      <c r="S254" s="50">
        <f t="shared" ca="1" si="180"/>
        <v>31546.544555371645</v>
      </c>
      <c r="T254" s="50">
        <f t="shared" ca="1" si="180"/>
        <v>32906.514245598664</v>
      </c>
      <c r="U254" s="50">
        <f t="shared" ca="1" si="180"/>
        <v>33893.627329406343</v>
      </c>
      <c r="V254" s="50">
        <f t="shared" ca="1" si="180"/>
        <v>34711.518190023657</v>
      </c>
      <c r="W254" s="50">
        <f t="shared" ca="1" si="180"/>
        <v>35155.592458996165</v>
      </c>
      <c r="X254" s="50">
        <f t="shared" ca="1" si="180"/>
        <v>35727.660896019668</v>
      </c>
      <c r="Y254" s="50">
        <f t="shared" ca="1" si="180"/>
        <v>36607.917693352676</v>
      </c>
      <c r="Z254" s="50">
        <f t="shared" ca="1" si="180"/>
        <v>37484.336204930813</v>
      </c>
      <c r="AA254" s="50">
        <f t="shared" ca="1" si="180"/>
        <v>38421.536677602649</v>
      </c>
      <c r="AB254" s="50">
        <f t="shared" ca="1" si="180"/>
        <v>39253.739593813931</v>
      </c>
      <c r="AC254" s="50">
        <f t="shared" ca="1" si="180"/>
        <v>40009.623684601633</v>
      </c>
      <c r="AD254" s="50">
        <f t="shared" ca="1" si="180"/>
        <v>40933.837874378791</v>
      </c>
      <c r="AE254" s="50">
        <f t="shared" ca="1" si="180"/>
        <v>41866.787929707571</v>
      </c>
      <c r="AF254" s="50">
        <f t="shared" ca="1" si="180"/>
        <v>42862.237988654233</v>
      </c>
      <c r="AG254" s="50">
        <f t="shared" ca="1" si="180"/>
        <v>43977.376688304765</v>
      </c>
      <c r="AH254" s="50">
        <f t="shared" ca="1" si="180"/>
        <v>45055.150445774918</v>
      </c>
      <c r="AI254" s="50">
        <f t="shared" ca="1" si="180"/>
        <v>46223.952319528318</v>
      </c>
      <c r="AJ254" s="50">
        <f t="shared" ca="1" si="180"/>
        <v>47461.298793526083</v>
      </c>
      <c r="AK254" s="50">
        <f t="shared" ca="1" si="180"/>
        <v>48752.401129855367</v>
      </c>
      <c r="AL254" s="50">
        <f t="shared" si="180"/>
        <v>0</v>
      </c>
      <c r="AM254" s="50">
        <f t="shared" si="180"/>
        <v>0</v>
      </c>
      <c r="AN254" s="50">
        <f t="shared" si="180"/>
        <v>0</v>
      </c>
      <c r="AO254" s="50">
        <f t="shared" si="180"/>
        <v>0</v>
      </c>
      <c r="AP254" s="50">
        <f t="shared" si="180"/>
        <v>0</v>
      </c>
      <c r="AQ254" s="50">
        <f t="shared" si="180"/>
        <v>0</v>
      </c>
      <c r="AR254" s="50">
        <f t="shared" si="180"/>
        <v>0</v>
      </c>
      <c r="AS254" s="50">
        <f t="shared" si="180"/>
        <v>0</v>
      </c>
      <c r="AT254" s="50">
        <f t="shared" si="180"/>
        <v>0</v>
      </c>
      <c r="AU254" s="50">
        <f t="shared" si="180"/>
        <v>0</v>
      </c>
    </row>
    <row r="255" spans="1:47">
      <c r="A255" s="38" t="str">
        <f t="shared" si="174"/>
        <v>4Y-</v>
      </c>
      <c r="B255" s="38" t="s">
        <v>864</v>
      </c>
      <c r="C255" s="38" t="str">
        <f t="shared" si="178"/>
        <v>Drying/Gasification/Energy Recovery</v>
      </c>
      <c r="D255" s="186">
        <f>GHGEsc</f>
        <v>0.02</v>
      </c>
      <c r="E255" s="325"/>
      <c r="G255" s="36" t="s">
        <v>865</v>
      </c>
      <c r="I255" s="39"/>
      <c r="K255" s="39"/>
      <c r="L255" s="43" t="s">
        <v>866</v>
      </c>
      <c r="N255" s="70">
        <f ca="1">SUMIFS(OFFSET(Assumptions!$I$90,0,MATCH($A255,Configurations,0)-1,COUNT(Assumptions!$A$90:$A$183),1),Assumptions!$D$90:$D$183,$B255&amp;$C255)</f>
        <v>308.13051146384481</v>
      </c>
      <c r="O255" s="313"/>
      <c r="P255" s="323"/>
      <c r="Q255" s="313"/>
      <c r="R255" s="50">
        <f t="shared" ref="R255:AU255" ca="1" si="181">IF(OR(R$99&lt;InServiceYr,R$99&gt;(InServiceYr+analysis_period-1)),0,IF($P255=0,$N255,$P255)*R$513)</f>
        <v>0</v>
      </c>
      <c r="S255" s="50">
        <f t="shared" ca="1" si="181"/>
        <v>0</v>
      </c>
      <c r="T255" s="50">
        <f t="shared" ca="1" si="181"/>
        <v>0</v>
      </c>
      <c r="U255" s="50">
        <f t="shared" ca="1" si="181"/>
        <v>0</v>
      </c>
      <c r="V255" s="50">
        <f t="shared" ca="1" si="181"/>
        <v>0</v>
      </c>
      <c r="W255" s="50">
        <f t="shared" ca="1" si="181"/>
        <v>0</v>
      </c>
      <c r="X255" s="50">
        <f t="shared" ca="1" si="181"/>
        <v>0</v>
      </c>
      <c r="Y255" s="50">
        <f t="shared" ca="1" si="181"/>
        <v>0</v>
      </c>
      <c r="Z255" s="50">
        <f t="shared" ca="1" si="181"/>
        <v>0</v>
      </c>
      <c r="AA255" s="50">
        <f t="shared" ca="1" si="181"/>
        <v>0</v>
      </c>
      <c r="AB255" s="50">
        <f t="shared" ca="1" si="181"/>
        <v>0</v>
      </c>
      <c r="AC255" s="50">
        <f t="shared" ca="1" si="181"/>
        <v>0</v>
      </c>
      <c r="AD255" s="50">
        <f t="shared" ca="1" si="181"/>
        <v>0</v>
      </c>
      <c r="AE255" s="50">
        <f t="shared" ca="1" si="181"/>
        <v>0</v>
      </c>
      <c r="AF255" s="50">
        <f t="shared" ca="1" si="181"/>
        <v>0</v>
      </c>
      <c r="AG255" s="50">
        <f t="shared" ca="1" si="181"/>
        <v>0</v>
      </c>
      <c r="AH255" s="50">
        <f t="shared" ca="1" si="181"/>
        <v>0</v>
      </c>
      <c r="AI255" s="50">
        <f t="shared" ca="1" si="181"/>
        <v>0</v>
      </c>
      <c r="AJ255" s="50">
        <f t="shared" ca="1" si="181"/>
        <v>0</v>
      </c>
      <c r="AK255" s="50">
        <f t="shared" ca="1" si="181"/>
        <v>0</v>
      </c>
      <c r="AL255" s="50">
        <f t="shared" si="181"/>
        <v>0</v>
      </c>
      <c r="AM255" s="50">
        <f t="shared" si="181"/>
        <v>0</v>
      </c>
      <c r="AN255" s="50">
        <f t="shared" si="181"/>
        <v>0</v>
      </c>
      <c r="AO255" s="50">
        <f t="shared" si="181"/>
        <v>0</v>
      </c>
      <c r="AP255" s="50">
        <f t="shared" si="181"/>
        <v>0</v>
      </c>
      <c r="AQ255" s="50">
        <f t="shared" si="181"/>
        <v>0</v>
      </c>
      <c r="AR255" s="50">
        <f t="shared" si="181"/>
        <v>0</v>
      </c>
      <c r="AS255" s="50">
        <f t="shared" si="181"/>
        <v>0</v>
      </c>
      <c r="AT255" s="50">
        <f t="shared" si="181"/>
        <v>0</v>
      </c>
      <c r="AU255" s="50">
        <f t="shared" si="181"/>
        <v>0</v>
      </c>
    </row>
    <row r="256" spans="1:47">
      <c r="A256" s="38" t="str">
        <f t="shared" si="174"/>
        <v>4Y-</v>
      </c>
      <c r="B256" s="38" t="s">
        <v>273</v>
      </c>
      <c r="C256" s="38" t="str">
        <f>C254</f>
        <v>Drying/Gasification/Energy Recovery</v>
      </c>
      <c r="D256" s="186">
        <f>LaborEsc</f>
        <v>0.02</v>
      </c>
      <c r="E256" s="325"/>
      <c r="G256" s="36" t="s">
        <v>291</v>
      </c>
      <c r="I256" s="39"/>
      <c r="K256" s="39"/>
      <c r="L256" s="43" t="str">
        <f>"["&amp;CostBaseYr&amp;" $]"</f>
        <v>[2013 $]</v>
      </c>
      <c r="N256" s="70">
        <f ca="1">SUMIFS(OFFSET(Assumptions!$I$90,0,MATCH($A256,Configurations,0)-1,COUNT(Assumptions!$A$90:$A$183),1),Assumptions!$D$90:$D$183,$B256&amp;$C256)</f>
        <v>0</v>
      </c>
      <c r="O256" s="313"/>
      <c r="P256" s="323"/>
      <c r="Q256" s="313"/>
      <c r="R256" s="50">
        <f t="shared" ref="R256:AU256" ca="1" si="182">IF(OR(R$99&lt;InServiceYr,R$99&gt;(InServiceYr+analysis_period-1)),0,IF($P256=0,$N256,$P256)*(1+$D256)^(R$99-CostBaseYr))*R$509</f>
        <v>0</v>
      </c>
      <c r="S256" s="50">
        <f t="shared" ca="1" si="182"/>
        <v>0</v>
      </c>
      <c r="T256" s="50">
        <f t="shared" ca="1" si="182"/>
        <v>0</v>
      </c>
      <c r="U256" s="50">
        <f t="shared" ca="1" si="182"/>
        <v>0</v>
      </c>
      <c r="V256" s="50">
        <f t="shared" ca="1" si="182"/>
        <v>0</v>
      </c>
      <c r="W256" s="50">
        <f t="shared" ca="1" si="182"/>
        <v>0</v>
      </c>
      <c r="X256" s="50">
        <f t="shared" ca="1" si="182"/>
        <v>0</v>
      </c>
      <c r="Y256" s="50">
        <f t="shared" ca="1" si="182"/>
        <v>0</v>
      </c>
      <c r="Z256" s="50">
        <f t="shared" ca="1" si="182"/>
        <v>0</v>
      </c>
      <c r="AA256" s="50">
        <f t="shared" ca="1" si="182"/>
        <v>0</v>
      </c>
      <c r="AB256" s="50">
        <f t="shared" ca="1" si="182"/>
        <v>0</v>
      </c>
      <c r="AC256" s="50">
        <f t="shared" ca="1" si="182"/>
        <v>0</v>
      </c>
      <c r="AD256" s="50">
        <f t="shared" ca="1" si="182"/>
        <v>0</v>
      </c>
      <c r="AE256" s="50">
        <f t="shared" ca="1" si="182"/>
        <v>0</v>
      </c>
      <c r="AF256" s="50">
        <f t="shared" ca="1" si="182"/>
        <v>0</v>
      </c>
      <c r="AG256" s="50">
        <f t="shared" ca="1" si="182"/>
        <v>0</v>
      </c>
      <c r="AH256" s="50">
        <f t="shared" ca="1" si="182"/>
        <v>0</v>
      </c>
      <c r="AI256" s="50">
        <f t="shared" ca="1" si="182"/>
        <v>0</v>
      </c>
      <c r="AJ256" s="50">
        <f t="shared" ca="1" si="182"/>
        <v>0</v>
      </c>
      <c r="AK256" s="50">
        <f t="shared" ca="1" si="182"/>
        <v>0</v>
      </c>
      <c r="AL256" s="50">
        <f t="shared" si="182"/>
        <v>0</v>
      </c>
      <c r="AM256" s="50">
        <f t="shared" si="182"/>
        <v>0</v>
      </c>
      <c r="AN256" s="50">
        <f t="shared" si="182"/>
        <v>0</v>
      </c>
      <c r="AO256" s="50">
        <f t="shared" si="182"/>
        <v>0</v>
      </c>
      <c r="AP256" s="50">
        <f t="shared" si="182"/>
        <v>0</v>
      </c>
      <c r="AQ256" s="50">
        <f t="shared" si="182"/>
        <v>0</v>
      </c>
      <c r="AR256" s="50">
        <f t="shared" si="182"/>
        <v>0</v>
      </c>
      <c r="AS256" s="50">
        <f t="shared" si="182"/>
        <v>0</v>
      </c>
      <c r="AT256" s="50">
        <f t="shared" si="182"/>
        <v>0</v>
      </c>
      <c r="AU256" s="50">
        <f t="shared" si="182"/>
        <v>0</v>
      </c>
    </row>
    <row r="257" spans="1:47">
      <c r="D257" s="186"/>
      <c r="E257" s="325"/>
      <c r="G257" s="39" t="s">
        <v>304</v>
      </c>
      <c r="I257" s="39"/>
      <c r="K257" s="39"/>
      <c r="L257" s="43"/>
      <c r="N257" s="70"/>
      <c r="O257" s="313"/>
      <c r="P257" s="70"/>
      <c r="Q257" s="313"/>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row>
    <row r="258" spans="1:47">
      <c r="A258" s="38" t="str">
        <f>$J$4&amp;"-"</f>
        <v>4Y-</v>
      </c>
      <c r="B258" s="38" t="s">
        <v>265</v>
      </c>
      <c r="C258" s="38" t="str">
        <f>C249</f>
        <v>Drying/Gasification/Energy Recovery</v>
      </c>
      <c r="D258" s="186"/>
      <c r="E258" s="325"/>
      <c r="G258" s="36" t="s">
        <v>108</v>
      </c>
      <c r="I258" s="39"/>
      <c r="K258" s="39"/>
      <c r="L258" s="43" t="s">
        <v>293</v>
      </c>
      <c r="N258" s="70">
        <f ca="1">SUMIFS(OFFSET(Assumptions!$I$90,0,MATCH($A258,Configurations,0)-1,COUNT(Assumptions!$A$90:$A$183),1),Assumptions!$D$90:$D$183,$B258&amp;$C258)</f>
        <v>0</v>
      </c>
      <c r="O258" s="313"/>
      <c r="P258" s="323"/>
      <c r="Q258" s="313"/>
      <c r="R258" s="50">
        <f t="shared" ref="R258:AU258" ca="1" si="183">IF(OR(R$99&lt;InServiceYr,R$99&gt;(InServiceYr+analysis_period-1)),0,IF($P258=0,$N258,$P258)*R$501)</f>
        <v>0</v>
      </c>
      <c r="S258" s="50">
        <f t="shared" ca="1" si="183"/>
        <v>0</v>
      </c>
      <c r="T258" s="50">
        <f t="shared" ca="1" si="183"/>
        <v>0</v>
      </c>
      <c r="U258" s="50">
        <f t="shared" ca="1" si="183"/>
        <v>0</v>
      </c>
      <c r="V258" s="50">
        <f t="shared" ca="1" si="183"/>
        <v>0</v>
      </c>
      <c r="W258" s="50">
        <f t="shared" ca="1" si="183"/>
        <v>0</v>
      </c>
      <c r="X258" s="50">
        <f t="shared" ca="1" si="183"/>
        <v>0</v>
      </c>
      <c r="Y258" s="50">
        <f t="shared" ca="1" si="183"/>
        <v>0</v>
      </c>
      <c r="Z258" s="50">
        <f t="shared" ca="1" si="183"/>
        <v>0</v>
      </c>
      <c r="AA258" s="50">
        <f t="shared" ca="1" si="183"/>
        <v>0</v>
      </c>
      <c r="AB258" s="50">
        <f t="shared" ca="1" si="183"/>
        <v>0</v>
      </c>
      <c r="AC258" s="50">
        <f t="shared" ca="1" si="183"/>
        <v>0</v>
      </c>
      <c r="AD258" s="50">
        <f t="shared" ca="1" si="183"/>
        <v>0</v>
      </c>
      <c r="AE258" s="50">
        <f t="shared" ca="1" si="183"/>
        <v>0</v>
      </c>
      <c r="AF258" s="50">
        <f t="shared" ca="1" si="183"/>
        <v>0</v>
      </c>
      <c r="AG258" s="50">
        <f t="shared" ca="1" si="183"/>
        <v>0</v>
      </c>
      <c r="AH258" s="50">
        <f t="shared" ca="1" si="183"/>
        <v>0</v>
      </c>
      <c r="AI258" s="50">
        <f t="shared" ca="1" si="183"/>
        <v>0</v>
      </c>
      <c r="AJ258" s="50">
        <f t="shared" ca="1" si="183"/>
        <v>0</v>
      </c>
      <c r="AK258" s="50">
        <f t="shared" ca="1" si="183"/>
        <v>0</v>
      </c>
      <c r="AL258" s="50">
        <f t="shared" si="183"/>
        <v>0</v>
      </c>
      <c r="AM258" s="50">
        <f t="shared" si="183"/>
        <v>0</v>
      </c>
      <c r="AN258" s="50">
        <f t="shared" si="183"/>
        <v>0</v>
      </c>
      <c r="AO258" s="50">
        <f t="shared" si="183"/>
        <v>0</v>
      </c>
      <c r="AP258" s="50">
        <f t="shared" si="183"/>
        <v>0</v>
      </c>
      <c r="AQ258" s="50">
        <f t="shared" si="183"/>
        <v>0</v>
      </c>
      <c r="AR258" s="50">
        <f t="shared" si="183"/>
        <v>0</v>
      </c>
      <c r="AS258" s="50">
        <f t="shared" si="183"/>
        <v>0</v>
      </c>
      <c r="AT258" s="50">
        <f t="shared" si="183"/>
        <v>0</v>
      </c>
      <c r="AU258" s="50">
        <f t="shared" si="183"/>
        <v>0</v>
      </c>
    </row>
    <row r="259" spans="1:47">
      <c r="A259" s="38" t="str">
        <f>$J$4&amp;"-"</f>
        <v>4Y-</v>
      </c>
      <c r="B259" s="38" t="s">
        <v>289</v>
      </c>
      <c r="C259" s="38" t="str">
        <f>C249</f>
        <v>Drying/Gasification/Energy Recovery</v>
      </c>
      <c r="D259" s="186">
        <f>LaborEsc</f>
        <v>0.02</v>
      </c>
      <c r="E259" s="325"/>
      <c r="G259" s="36" t="s">
        <v>292</v>
      </c>
      <c r="I259" s="39"/>
      <c r="K259" s="39"/>
      <c r="L259" s="43" t="str">
        <f>"["&amp;CostBaseYr&amp;" $]"</f>
        <v>[2013 $]</v>
      </c>
      <c r="N259" s="70">
        <f ca="1">SUMIFS(OFFSET(Assumptions!$I$90,0,MATCH($A259,Configurations,0)-1,COUNT(Assumptions!$A$90:$A$183),1),Assumptions!$D$90:$D$183,$B259&amp;$C259)</f>
        <v>0</v>
      </c>
      <c r="O259" s="313"/>
      <c r="P259" s="323"/>
      <c r="Q259" s="313"/>
      <c r="R259" s="50">
        <f t="shared" ref="R259:AU259" ca="1" si="184">IF(OR(R$99&lt;InServiceYr,R$99&gt;(InServiceYr+analysis_period-1)),0,IF($P259=0,$N259,$P259)*(1+$D259)^(R$99-CostBaseYr))</f>
        <v>0</v>
      </c>
      <c r="S259" s="50">
        <f t="shared" ca="1" si="184"/>
        <v>0</v>
      </c>
      <c r="T259" s="50">
        <f t="shared" ca="1" si="184"/>
        <v>0</v>
      </c>
      <c r="U259" s="50">
        <f t="shared" ca="1" si="184"/>
        <v>0</v>
      </c>
      <c r="V259" s="50">
        <f t="shared" ca="1" si="184"/>
        <v>0</v>
      </c>
      <c r="W259" s="50">
        <f t="shared" ca="1" si="184"/>
        <v>0</v>
      </c>
      <c r="X259" s="50">
        <f t="shared" ca="1" si="184"/>
        <v>0</v>
      </c>
      <c r="Y259" s="50">
        <f t="shared" ca="1" si="184"/>
        <v>0</v>
      </c>
      <c r="Z259" s="50">
        <f t="shared" ca="1" si="184"/>
        <v>0</v>
      </c>
      <c r="AA259" s="50">
        <f t="shared" ca="1" si="184"/>
        <v>0</v>
      </c>
      <c r="AB259" s="50">
        <f t="shared" ca="1" si="184"/>
        <v>0</v>
      </c>
      <c r="AC259" s="50">
        <f t="shared" ca="1" si="184"/>
        <v>0</v>
      </c>
      <c r="AD259" s="50">
        <f t="shared" ca="1" si="184"/>
        <v>0</v>
      </c>
      <c r="AE259" s="50">
        <f t="shared" ca="1" si="184"/>
        <v>0</v>
      </c>
      <c r="AF259" s="50">
        <f t="shared" ca="1" si="184"/>
        <v>0</v>
      </c>
      <c r="AG259" s="50">
        <f t="shared" ca="1" si="184"/>
        <v>0</v>
      </c>
      <c r="AH259" s="50">
        <f t="shared" ca="1" si="184"/>
        <v>0</v>
      </c>
      <c r="AI259" s="50">
        <f t="shared" ca="1" si="184"/>
        <v>0</v>
      </c>
      <c r="AJ259" s="50">
        <f t="shared" ca="1" si="184"/>
        <v>0</v>
      </c>
      <c r="AK259" s="50">
        <f t="shared" ca="1" si="184"/>
        <v>0</v>
      </c>
      <c r="AL259" s="50">
        <f t="shared" si="184"/>
        <v>0</v>
      </c>
      <c r="AM259" s="50">
        <f t="shared" si="184"/>
        <v>0</v>
      </c>
      <c r="AN259" s="50">
        <f t="shared" si="184"/>
        <v>0</v>
      </c>
      <c r="AO259" s="50">
        <f t="shared" si="184"/>
        <v>0</v>
      </c>
      <c r="AP259" s="50">
        <f t="shared" si="184"/>
        <v>0</v>
      </c>
      <c r="AQ259" s="50">
        <f t="shared" si="184"/>
        <v>0</v>
      </c>
      <c r="AR259" s="50">
        <f t="shared" si="184"/>
        <v>0</v>
      </c>
      <c r="AS259" s="50">
        <f t="shared" si="184"/>
        <v>0</v>
      </c>
      <c r="AT259" s="50">
        <f t="shared" si="184"/>
        <v>0</v>
      </c>
      <c r="AU259" s="50">
        <f t="shared" si="184"/>
        <v>0</v>
      </c>
    </row>
    <row r="260" spans="1:47" s="60" customFormat="1">
      <c r="D260" s="187"/>
      <c r="E260" s="325"/>
      <c r="G260" s="39" t="s">
        <v>305</v>
      </c>
      <c r="I260" s="39"/>
      <c r="K260" s="39"/>
      <c r="L260" s="174"/>
      <c r="N260" s="188"/>
      <c r="O260" s="314"/>
      <c r="P260" s="185"/>
      <c r="Q260" s="314"/>
      <c r="R260" s="185">
        <f ca="1">SUM(R249:R256)-SUM(R258:R259)</f>
        <v>586292.67792286957</v>
      </c>
      <c r="S260" s="185">
        <f t="shared" ref="S260:AU260" ca="1" si="185">SUM(S249:S256)-SUM(S258:S259)</f>
        <v>597620.98859261104</v>
      </c>
      <c r="T260" s="185">
        <f t="shared" ca="1" si="185"/>
        <v>610839.35183322581</v>
      </c>
      <c r="U260" s="185">
        <f t="shared" ca="1" si="185"/>
        <v>623614.65756706148</v>
      </c>
      <c r="V260" s="185">
        <f t="shared" ca="1" si="185"/>
        <v>636532.22936590097</v>
      </c>
      <c r="W260" s="185">
        <f t="shared" ca="1" si="185"/>
        <v>649154.04687650688</v>
      </c>
      <c r="X260" s="185">
        <f t="shared" ca="1" si="185"/>
        <v>662089.10728134669</v>
      </c>
      <c r="Y260" s="185">
        <f t="shared" ca="1" si="185"/>
        <v>675629.34787551803</v>
      </c>
      <c r="Z260" s="185">
        <f t="shared" ca="1" si="185"/>
        <v>689533.01607911207</v>
      </c>
      <c r="AA260" s="185">
        <f t="shared" ca="1" si="185"/>
        <v>703755.77296487172</v>
      </c>
      <c r="AB260" s="185">
        <f t="shared" ca="1" si="185"/>
        <v>718021.08252079494</v>
      </c>
      <c r="AC260" s="185">
        <f t="shared" ca="1" si="185"/>
        <v>732395.49992222351</v>
      </c>
      <c r="AD260" s="185">
        <f t="shared" ca="1" si="185"/>
        <v>747307.85099288588</v>
      </c>
      <c r="AE260" s="185">
        <f t="shared" ca="1" si="185"/>
        <v>762410.57293964154</v>
      </c>
      <c r="AF260" s="185">
        <f t="shared" ca="1" si="185"/>
        <v>777958.69807620044</v>
      </c>
      <c r="AG260" s="185">
        <f t="shared" ca="1" si="185"/>
        <v>793902.6450477168</v>
      </c>
      <c r="AH260" s="185">
        <f t="shared" ca="1" si="185"/>
        <v>810084.65415638464</v>
      </c>
      <c r="AI260" s="185">
        <f t="shared" ca="1" si="185"/>
        <v>826729.25611128286</v>
      </c>
      <c r="AJ260" s="185">
        <f t="shared" ca="1" si="185"/>
        <v>843717.65721819573</v>
      </c>
      <c r="AK260" s="185">
        <f t="shared" ca="1" si="185"/>
        <v>861161.20977335214</v>
      </c>
      <c r="AL260" s="185">
        <f t="shared" si="185"/>
        <v>0</v>
      </c>
      <c r="AM260" s="185">
        <f t="shared" si="185"/>
        <v>0</v>
      </c>
      <c r="AN260" s="185">
        <f t="shared" si="185"/>
        <v>0</v>
      </c>
      <c r="AO260" s="185">
        <f t="shared" si="185"/>
        <v>0</v>
      </c>
      <c r="AP260" s="185">
        <f t="shared" si="185"/>
        <v>0</v>
      </c>
      <c r="AQ260" s="185">
        <f t="shared" si="185"/>
        <v>0</v>
      </c>
      <c r="AR260" s="185">
        <f t="shared" si="185"/>
        <v>0</v>
      </c>
      <c r="AS260" s="185">
        <f t="shared" si="185"/>
        <v>0</v>
      </c>
      <c r="AT260" s="185">
        <f t="shared" si="185"/>
        <v>0</v>
      </c>
      <c r="AU260" s="185">
        <f t="shared" si="185"/>
        <v>0</v>
      </c>
    </row>
    <row r="261" spans="1:47">
      <c r="E261" s="36"/>
      <c r="G261" s="39"/>
      <c r="H261" s="39"/>
      <c r="I261" s="39"/>
      <c r="J261" s="39"/>
      <c r="K261" s="39"/>
    </row>
    <row r="262" spans="1:47">
      <c r="E262" s="327"/>
      <c r="F262" s="28"/>
      <c r="G262" s="324" t="str">
        <f>C264&amp;" Capital Costs"</f>
        <v>Energy Recovery Capital Costs</v>
      </c>
      <c r="H262" s="324"/>
      <c r="I262" s="324"/>
      <c r="J262" s="324"/>
      <c r="K262" s="324"/>
      <c r="L262" s="405" t="s">
        <v>79</v>
      </c>
      <c r="M262" s="256"/>
      <c r="N262" s="325" t="s">
        <v>490</v>
      </c>
      <c r="O262" s="311"/>
      <c r="P262" s="325" t="s">
        <v>491</v>
      </c>
      <c r="Q262" s="310"/>
      <c r="R262" s="325">
        <f>R$8</f>
        <v>2014</v>
      </c>
      <c r="S262" s="325">
        <f t="shared" ref="S262:AU262" si="186">S$8</f>
        <v>2015</v>
      </c>
      <c r="T262" s="325">
        <f t="shared" si="186"/>
        <v>2016</v>
      </c>
      <c r="U262" s="325">
        <f t="shared" si="186"/>
        <v>2017</v>
      </c>
      <c r="V262" s="325">
        <f t="shared" si="186"/>
        <v>2018</v>
      </c>
      <c r="W262" s="325">
        <f t="shared" si="186"/>
        <v>2019</v>
      </c>
      <c r="X262" s="325">
        <f t="shared" si="186"/>
        <v>2020</v>
      </c>
      <c r="Y262" s="325">
        <f t="shared" si="186"/>
        <v>2021</v>
      </c>
      <c r="Z262" s="325">
        <f t="shared" si="186"/>
        <v>2022</v>
      </c>
      <c r="AA262" s="325">
        <f t="shared" si="186"/>
        <v>2023</v>
      </c>
      <c r="AB262" s="325">
        <f t="shared" si="186"/>
        <v>2024</v>
      </c>
      <c r="AC262" s="325">
        <f t="shared" si="186"/>
        <v>2025</v>
      </c>
      <c r="AD262" s="325">
        <f t="shared" si="186"/>
        <v>2026</v>
      </c>
      <c r="AE262" s="325">
        <f t="shared" si="186"/>
        <v>2027</v>
      </c>
      <c r="AF262" s="325">
        <f t="shared" si="186"/>
        <v>2028</v>
      </c>
      <c r="AG262" s="325">
        <f t="shared" si="186"/>
        <v>2029</v>
      </c>
      <c r="AH262" s="325">
        <f t="shared" si="186"/>
        <v>2030</v>
      </c>
      <c r="AI262" s="325">
        <f t="shared" si="186"/>
        <v>2031</v>
      </c>
      <c r="AJ262" s="325">
        <f t="shared" si="186"/>
        <v>2032</v>
      </c>
      <c r="AK262" s="325">
        <f t="shared" si="186"/>
        <v>2033</v>
      </c>
      <c r="AL262" s="325">
        <f t="shared" si="186"/>
        <v>2034</v>
      </c>
      <c r="AM262" s="325">
        <f t="shared" si="186"/>
        <v>2035</v>
      </c>
      <c r="AN262" s="325">
        <f t="shared" si="186"/>
        <v>2036</v>
      </c>
      <c r="AO262" s="325">
        <f t="shared" si="186"/>
        <v>2037</v>
      </c>
      <c r="AP262" s="325">
        <f t="shared" si="186"/>
        <v>2038</v>
      </c>
      <c r="AQ262" s="325">
        <f t="shared" si="186"/>
        <v>2039</v>
      </c>
      <c r="AR262" s="325">
        <f t="shared" si="186"/>
        <v>2040</v>
      </c>
      <c r="AS262" s="325">
        <f t="shared" si="186"/>
        <v>2041</v>
      </c>
      <c r="AT262" s="325">
        <f t="shared" si="186"/>
        <v>2042</v>
      </c>
      <c r="AU262" s="325">
        <f t="shared" si="186"/>
        <v>2043</v>
      </c>
    </row>
    <row r="263" spans="1:47">
      <c r="E263" s="325"/>
      <c r="G263" s="39"/>
      <c r="H263" s="39"/>
      <c r="I263" s="39"/>
      <c r="J263" s="39"/>
      <c r="K263" s="39"/>
    </row>
    <row r="264" spans="1:47">
      <c r="A264" s="38" t="str">
        <f>$J$4&amp;"-"</f>
        <v>4Y-</v>
      </c>
      <c r="B264" s="38" t="s">
        <v>306</v>
      </c>
      <c r="C264" s="38" t="s">
        <v>321</v>
      </c>
      <c r="D264" s="186">
        <f>CapExEsc</f>
        <v>0.03</v>
      </c>
      <c r="E264" s="325"/>
      <c r="G264" s="36" t="s">
        <v>8</v>
      </c>
      <c r="H264" s="39"/>
      <c r="I264" s="39"/>
      <c r="J264" s="70"/>
      <c r="K264" s="39"/>
      <c r="L264" s="43" t="str">
        <f>"["&amp;CostBaseYr&amp;" $]"</f>
        <v>[2013 $]</v>
      </c>
      <c r="N264" s="52">
        <f ca="1">SUMIFS(OFFSET(Assumptions!$I$65,0,MATCH($A264,Configurations,0)-1,COUNT(Assumptions!$A$65:$A$84),1),Assumptions!$E$65:$E$84,$C264)</f>
        <v>0</v>
      </c>
      <c r="O264" s="52"/>
      <c r="P264" s="322"/>
      <c r="Q264" s="52"/>
      <c r="R264" s="52">
        <f t="shared" ref="R264:AU264" ca="1" si="187">R265*IF($P264=0,$N264,$P264)*(1+$D264)^(R$8-CostBaseYr)</f>
        <v>0</v>
      </c>
      <c r="S264" s="52">
        <f t="shared" ca="1" si="187"/>
        <v>0</v>
      </c>
      <c r="T264" s="52">
        <f t="shared" ca="1" si="187"/>
        <v>0</v>
      </c>
      <c r="U264" s="52">
        <f t="shared" ca="1" si="187"/>
        <v>0</v>
      </c>
      <c r="V264" s="52">
        <f t="shared" ca="1" si="187"/>
        <v>0</v>
      </c>
      <c r="W264" s="52">
        <f t="shared" ca="1" si="187"/>
        <v>0</v>
      </c>
      <c r="X264" s="52">
        <f t="shared" ca="1" si="187"/>
        <v>0</v>
      </c>
      <c r="Y264" s="52">
        <f t="shared" ca="1" si="187"/>
        <v>0</v>
      </c>
      <c r="Z264" s="52">
        <f t="shared" ca="1" si="187"/>
        <v>0</v>
      </c>
      <c r="AA264" s="52">
        <f t="shared" ca="1" si="187"/>
        <v>0</v>
      </c>
      <c r="AB264" s="52">
        <f t="shared" ca="1" si="187"/>
        <v>0</v>
      </c>
      <c r="AC264" s="52">
        <f t="shared" ca="1" si="187"/>
        <v>0</v>
      </c>
      <c r="AD264" s="52">
        <f t="shared" ca="1" si="187"/>
        <v>0</v>
      </c>
      <c r="AE264" s="52">
        <f t="shared" ca="1" si="187"/>
        <v>0</v>
      </c>
      <c r="AF264" s="52">
        <f t="shared" ca="1" si="187"/>
        <v>0</v>
      </c>
      <c r="AG264" s="52">
        <f t="shared" ca="1" si="187"/>
        <v>0</v>
      </c>
      <c r="AH264" s="52">
        <f t="shared" ca="1" si="187"/>
        <v>0</v>
      </c>
      <c r="AI264" s="52">
        <f t="shared" ca="1" si="187"/>
        <v>0</v>
      </c>
      <c r="AJ264" s="52">
        <f t="shared" ca="1" si="187"/>
        <v>0</v>
      </c>
      <c r="AK264" s="52">
        <f t="shared" ca="1" si="187"/>
        <v>0</v>
      </c>
      <c r="AL264" s="52">
        <f t="shared" ca="1" si="187"/>
        <v>0</v>
      </c>
      <c r="AM264" s="52">
        <f t="shared" ca="1" si="187"/>
        <v>0</v>
      </c>
      <c r="AN264" s="52">
        <f t="shared" ca="1" si="187"/>
        <v>0</v>
      </c>
      <c r="AO264" s="52">
        <f t="shared" ca="1" si="187"/>
        <v>0</v>
      </c>
      <c r="AP264" s="52">
        <f t="shared" ca="1" si="187"/>
        <v>0</v>
      </c>
      <c r="AQ264" s="52">
        <f t="shared" ca="1" si="187"/>
        <v>0</v>
      </c>
      <c r="AR264" s="52">
        <f t="shared" ca="1" si="187"/>
        <v>0</v>
      </c>
      <c r="AS264" s="52">
        <f t="shared" ca="1" si="187"/>
        <v>0</v>
      </c>
      <c r="AT264" s="52">
        <f t="shared" ca="1" si="187"/>
        <v>0</v>
      </c>
      <c r="AU264" s="52">
        <f t="shared" ca="1" si="187"/>
        <v>0</v>
      </c>
    </row>
    <row r="265" spans="1:47">
      <c r="E265" s="325"/>
      <c r="G265" s="36" t="s">
        <v>10</v>
      </c>
      <c r="H265" s="39"/>
      <c r="I265" s="39"/>
      <c r="J265" s="39"/>
      <c r="K265" s="39"/>
      <c r="L265" s="43"/>
      <c r="R265" s="54">
        <f>Assumptions!M$60</f>
        <v>1</v>
      </c>
      <c r="S265" s="54">
        <f>Assumptions!N$60</f>
        <v>0</v>
      </c>
      <c r="T265" s="54">
        <f>Assumptions!O$60</f>
        <v>0</v>
      </c>
      <c r="U265" s="54">
        <f>Assumptions!P$60</f>
        <v>0</v>
      </c>
      <c r="V265" s="54">
        <f>Assumptions!Q$60</f>
        <v>0</v>
      </c>
      <c r="W265" s="54">
        <f>Assumptions!R$60</f>
        <v>0</v>
      </c>
      <c r="X265" s="54">
        <f>Assumptions!S$60</f>
        <v>0</v>
      </c>
      <c r="Y265" s="54">
        <f>Assumptions!T$60</f>
        <v>0</v>
      </c>
      <c r="Z265" s="54">
        <f>Assumptions!U$60</f>
        <v>0</v>
      </c>
      <c r="AA265" s="54">
        <f>Assumptions!V$60</f>
        <v>0</v>
      </c>
      <c r="AB265" s="54">
        <f>Assumptions!W$60</f>
        <v>0</v>
      </c>
      <c r="AC265" s="54">
        <f>Assumptions!X$60</f>
        <v>0</v>
      </c>
      <c r="AD265" s="54">
        <f>Assumptions!Y$60</f>
        <v>0</v>
      </c>
      <c r="AE265" s="54">
        <f>Assumptions!Z$60</f>
        <v>0</v>
      </c>
      <c r="AF265" s="54">
        <f>Assumptions!AA$60</f>
        <v>0</v>
      </c>
      <c r="AG265" s="54">
        <f>Assumptions!AB$60</f>
        <v>0</v>
      </c>
      <c r="AH265" s="54">
        <f>Assumptions!AC$60</f>
        <v>0</v>
      </c>
      <c r="AI265" s="54">
        <f>Assumptions!AD$60</f>
        <v>0</v>
      </c>
      <c r="AJ265" s="54">
        <f>Assumptions!AE$60</f>
        <v>0</v>
      </c>
      <c r="AK265" s="54">
        <f>Assumptions!AF$60</f>
        <v>0</v>
      </c>
      <c r="AL265" s="54">
        <f>Assumptions!AG$60</f>
        <v>0</v>
      </c>
      <c r="AM265" s="54">
        <f>Assumptions!AH$60</f>
        <v>0</v>
      </c>
      <c r="AN265" s="54">
        <f>Assumptions!AI$60</f>
        <v>0</v>
      </c>
      <c r="AO265" s="54">
        <f>Assumptions!AJ$60</f>
        <v>0</v>
      </c>
      <c r="AP265" s="54">
        <f>Assumptions!AK$60</f>
        <v>0</v>
      </c>
      <c r="AQ265" s="54">
        <f>Assumptions!AL$60</f>
        <v>0</v>
      </c>
      <c r="AR265" s="54">
        <f>Assumptions!AM$60</f>
        <v>0</v>
      </c>
      <c r="AS265" s="54">
        <f>Assumptions!AN$60</f>
        <v>0</v>
      </c>
      <c r="AT265" s="54">
        <f>Assumptions!AO$60</f>
        <v>0</v>
      </c>
      <c r="AU265" s="54">
        <f>Assumptions!AP$60</f>
        <v>0</v>
      </c>
    </row>
    <row r="266" spans="1:47">
      <c r="E266" s="326"/>
      <c r="G266" s="39"/>
      <c r="H266" s="39"/>
      <c r="I266" s="39"/>
      <c r="J266" s="39"/>
      <c r="K266" s="39"/>
    </row>
    <row r="267" spans="1:47">
      <c r="E267" s="327"/>
      <c r="F267" s="28"/>
      <c r="G267" s="324" t="str">
        <f>C264&amp;" O&amp;M"</f>
        <v>Energy Recovery O&amp;M</v>
      </c>
      <c r="H267" s="324"/>
      <c r="I267" s="324"/>
      <c r="J267" s="324"/>
      <c r="K267" s="324"/>
      <c r="L267" s="405" t="s">
        <v>79</v>
      </c>
      <c r="M267" s="256"/>
      <c r="N267" s="325" t="s">
        <v>490</v>
      </c>
      <c r="O267" s="311"/>
      <c r="P267" s="325" t="s">
        <v>491</v>
      </c>
      <c r="Q267" s="310"/>
      <c r="R267" s="325">
        <f>R$8</f>
        <v>2014</v>
      </c>
      <c r="S267" s="325">
        <f t="shared" ref="S267:AU267" si="188">S$8</f>
        <v>2015</v>
      </c>
      <c r="T267" s="325">
        <f t="shared" si="188"/>
        <v>2016</v>
      </c>
      <c r="U267" s="325">
        <f t="shared" si="188"/>
        <v>2017</v>
      </c>
      <c r="V267" s="325">
        <f t="shared" si="188"/>
        <v>2018</v>
      </c>
      <c r="W267" s="325">
        <f t="shared" si="188"/>
        <v>2019</v>
      </c>
      <c r="X267" s="325">
        <f t="shared" si="188"/>
        <v>2020</v>
      </c>
      <c r="Y267" s="325">
        <f t="shared" si="188"/>
        <v>2021</v>
      </c>
      <c r="Z267" s="325">
        <f t="shared" si="188"/>
        <v>2022</v>
      </c>
      <c r="AA267" s="325">
        <f t="shared" si="188"/>
        <v>2023</v>
      </c>
      <c r="AB267" s="325">
        <f t="shared" si="188"/>
        <v>2024</v>
      </c>
      <c r="AC267" s="325">
        <f t="shared" si="188"/>
        <v>2025</v>
      </c>
      <c r="AD267" s="325">
        <f t="shared" si="188"/>
        <v>2026</v>
      </c>
      <c r="AE267" s="325">
        <f t="shared" si="188"/>
        <v>2027</v>
      </c>
      <c r="AF267" s="325">
        <f t="shared" si="188"/>
        <v>2028</v>
      </c>
      <c r="AG267" s="325">
        <f t="shared" si="188"/>
        <v>2029</v>
      </c>
      <c r="AH267" s="325">
        <f t="shared" si="188"/>
        <v>2030</v>
      </c>
      <c r="AI267" s="325">
        <f t="shared" si="188"/>
        <v>2031</v>
      </c>
      <c r="AJ267" s="325">
        <f t="shared" si="188"/>
        <v>2032</v>
      </c>
      <c r="AK267" s="325">
        <f t="shared" si="188"/>
        <v>2033</v>
      </c>
      <c r="AL267" s="325">
        <f t="shared" si="188"/>
        <v>2034</v>
      </c>
      <c r="AM267" s="325">
        <f t="shared" si="188"/>
        <v>2035</v>
      </c>
      <c r="AN267" s="325">
        <f t="shared" si="188"/>
        <v>2036</v>
      </c>
      <c r="AO267" s="325">
        <f t="shared" si="188"/>
        <v>2037</v>
      </c>
      <c r="AP267" s="325">
        <f t="shared" si="188"/>
        <v>2038</v>
      </c>
      <c r="AQ267" s="325">
        <f t="shared" si="188"/>
        <v>2039</v>
      </c>
      <c r="AR267" s="325">
        <f t="shared" si="188"/>
        <v>2040</v>
      </c>
      <c r="AS267" s="325">
        <f t="shared" si="188"/>
        <v>2041</v>
      </c>
      <c r="AT267" s="325">
        <f t="shared" si="188"/>
        <v>2042</v>
      </c>
      <c r="AU267" s="325">
        <f t="shared" si="188"/>
        <v>2043</v>
      </c>
    </row>
    <row r="268" spans="1:47">
      <c r="E268" s="325"/>
      <c r="G268" s="39"/>
      <c r="H268" s="39"/>
      <c r="I268" s="39"/>
      <c r="J268" s="39"/>
      <c r="K268" s="39"/>
    </row>
    <row r="269" spans="1:47">
      <c r="E269" s="325"/>
      <c r="G269" s="39" t="s">
        <v>23</v>
      </c>
      <c r="H269" s="39"/>
      <c r="I269" s="39"/>
      <c r="J269" s="39"/>
      <c r="K269" s="39"/>
    </row>
    <row r="270" spans="1:47">
      <c r="A270" s="38" t="str">
        <f t="shared" ref="A270:A277" si="189">$J$4&amp;"-"</f>
        <v>4Y-</v>
      </c>
      <c r="B270" s="38" t="s">
        <v>262</v>
      </c>
      <c r="C270" s="38" t="str">
        <f>C264</f>
        <v>Energy Recovery</v>
      </c>
      <c r="D270" s="186">
        <f>LaborEsc</f>
        <v>0.02</v>
      </c>
      <c r="E270" s="325"/>
      <c r="G270" s="36" t="s">
        <v>125</v>
      </c>
      <c r="I270" s="39"/>
      <c r="K270" s="39"/>
      <c r="L270" s="43" t="s">
        <v>266</v>
      </c>
      <c r="N270" s="70">
        <f ca="1">SUMIFS(OFFSET(Assumptions!$I$90,0,MATCH($A270,Configurations,0)-1,COUNT(Assumptions!$A$90:$A$183),1),Assumptions!$D$90:$D$183,$B270&amp;$C270)</f>
        <v>0</v>
      </c>
      <c r="O270" s="313"/>
      <c r="P270" s="323"/>
      <c r="Q270" s="313"/>
      <c r="R270" s="50">
        <f t="shared" ref="R270:AU270" ca="1" si="190">IF(OR(R$99&lt;InServiceYr,R$99&gt;(InServiceYr+analysis_period-1)),0,IF($P270=0,$N270,$P270)*LaborCost*(1+$D270)^(R$99-CostBaseYr))</f>
        <v>0</v>
      </c>
      <c r="S270" s="50">
        <f t="shared" ca="1" si="190"/>
        <v>0</v>
      </c>
      <c r="T270" s="50">
        <f t="shared" ca="1" si="190"/>
        <v>0</v>
      </c>
      <c r="U270" s="50">
        <f t="shared" ca="1" si="190"/>
        <v>0</v>
      </c>
      <c r="V270" s="50">
        <f t="shared" ca="1" si="190"/>
        <v>0</v>
      </c>
      <c r="W270" s="50">
        <f t="shared" ca="1" si="190"/>
        <v>0</v>
      </c>
      <c r="X270" s="50">
        <f t="shared" ca="1" si="190"/>
        <v>0</v>
      </c>
      <c r="Y270" s="50">
        <f t="shared" ca="1" si="190"/>
        <v>0</v>
      </c>
      <c r="Z270" s="50">
        <f t="shared" ca="1" si="190"/>
        <v>0</v>
      </c>
      <c r="AA270" s="50">
        <f t="shared" ca="1" si="190"/>
        <v>0</v>
      </c>
      <c r="AB270" s="50">
        <f t="shared" ca="1" si="190"/>
        <v>0</v>
      </c>
      <c r="AC270" s="50">
        <f t="shared" ca="1" si="190"/>
        <v>0</v>
      </c>
      <c r="AD270" s="50">
        <f t="shared" ca="1" si="190"/>
        <v>0</v>
      </c>
      <c r="AE270" s="50">
        <f t="shared" ca="1" si="190"/>
        <v>0</v>
      </c>
      <c r="AF270" s="50">
        <f t="shared" ca="1" si="190"/>
        <v>0</v>
      </c>
      <c r="AG270" s="50">
        <f t="shared" ca="1" si="190"/>
        <v>0</v>
      </c>
      <c r="AH270" s="50">
        <f t="shared" ca="1" si="190"/>
        <v>0</v>
      </c>
      <c r="AI270" s="50">
        <f t="shared" ca="1" si="190"/>
        <v>0</v>
      </c>
      <c r="AJ270" s="50">
        <f t="shared" ca="1" si="190"/>
        <v>0</v>
      </c>
      <c r="AK270" s="50">
        <f t="shared" ca="1" si="190"/>
        <v>0</v>
      </c>
      <c r="AL270" s="50">
        <f t="shared" si="190"/>
        <v>0</v>
      </c>
      <c r="AM270" s="50">
        <f t="shared" si="190"/>
        <v>0</v>
      </c>
      <c r="AN270" s="50">
        <f t="shared" si="190"/>
        <v>0</v>
      </c>
      <c r="AO270" s="50">
        <f t="shared" si="190"/>
        <v>0</v>
      </c>
      <c r="AP270" s="50">
        <f t="shared" si="190"/>
        <v>0</v>
      </c>
      <c r="AQ270" s="50">
        <f t="shared" si="190"/>
        <v>0</v>
      </c>
      <c r="AR270" s="50">
        <f t="shared" si="190"/>
        <v>0</v>
      </c>
      <c r="AS270" s="50">
        <f t="shared" si="190"/>
        <v>0</v>
      </c>
      <c r="AT270" s="50">
        <f t="shared" si="190"/>
        <v>0</v>
      </c>
      <c r="AU270" s="50">
        <f t="shared" si="190"/>
        <v>0</v>
      </c>
    </row>
    <row r="271" spans="1:47">
      <c r="A271" s="38" t="str">
        <f t="shared" si="189"/>
        <v>4Y-</v>
      </c>
      <c r="B271" s="38" t="s">
        <v>270</v>
      </c>
      <c r="C271" s="38" t="str">
        <f>C270</f>
        <v>Energy Recovery</v>
      </c>
      <c r="D271" s="186">
        <f>OMEsc</f>
        <v>0.02</v>
      </c>
      <c r="E271" s="325"/>
      <c r="G271" s="36" t="s">
        <v>126</v>
      </c>
      <c r="I271" s="39"/>
      <c r="K271" s="39"/>
      <c r="L271" s="43" t="str">
        <f>"["&amp;CostBaseYr&amp;" $]"</f>
        <v>[2013 $]</v>
      </c>
      <c r="N271" s="70">
        <f ca="1">SUMIFS(OFFSET(Assumptions!$I$90,0,MATCH($A271,Configurations,0)-1,COUNT(Assumptions!$A$90:$A$183),1),Assumptions!$D$90:$D$183,$B271&amp;$C271)</f>
        <v>0</v>
      </c>
      <c r="O271" s="313"/>
      <c r="P271" s="323"/>
      <c r="Q271" s="313"/>
      <c r="R271" s="50">
        <f t="shared" ref="R271:AG273" ca="1" si="191">IF(OR(R$99&lt;InServiceYr,R$99&gt;(InServiceYr+analysis_period-1)),0,IF($P271=0,$N271,$P271)*(1+$D271)^(R$99-CostBaseYr))</f>
        <v>0</v>
      </c>
      <c r="S271" s="50">
        <f t="shared" ca="1" si="191"/>
        <v>0</v>
      </c>
      <c r="T271" s="50">
        <f t="shared" ca="1" si="191"/>
        <v>0</v>
      </c>
      <c r="U271" s="50">
        <f t="shared" ca="1" si="191"/>
        <v>0</v>
      </c>
      <c r="V271" s="50">
        <f t="shared" ca="1" si="191"/>
        <v>0</v>
      </c>
      <c r="W271" s="50">
        <f t="shared" ca="1" si="191"/>
        <v>0</v>
      </c>
      <c r="X271" s="50">
        <f t="shared" ca="1" si="191"/>
        <v>0</v>
      </c>
      <c r="Y271" s="50">
        <f t="shared" ca="1" si="191"/>
        <v>0</v>
      </c>
      <c r="Z271" s="50">
        <f t="shared" ca="1" si="191"/>
        <v>0</v>
      </c>
      <c r="AA271" s="50">
        <f t="shared" ca="1" si="191"/>
        <v>0</v>
      </c>
      <c r="AB271" s="50">
        <f t="shared" ca="1" si="191"/>
        <v>0</v>
      </c>
      <c r="AC271" s="50">
        <f t="shared" ca="1" si="191"/>
        <v>0</v>
      </c>
      <c r="AD271" s="50">
        <f t="shared" ca="1" si="191"/>
        <v>0</v>
      </c>
      <c r="AE271" s="50">
        <f t="shared" ca="1" si="191"/>
        <v>0</v>
      </c>
      <c r="AF271" s="50">
        <f t="shared" ca="1" si="191"/>
        <v>0</v>
      </c>
      <c r="AG271" s="50">
        <f t="shared" ca="1" si="191"/>
        <v>0</v>
      </c>
      <c r="AH271" s="50">
        <f t="shared" ref="S271:AU273" ca="1" si="192">IF(OR(AH$99&lt;InServiceYr,AH$99&gt;(InServiceYr+analysis_period-1)),0,IF($P271=0,$N271,$P271)*(1+$D271)^(AH$99-CostBaseYr))</f>
        <v>0</v>
      </c>
      <c r="AI271" s="50">
        <f t="shared" ca="1" si="192"/>
        <v>0</v>
      </c>
      <c r="AJ271" s="50">
        <f t="shared" ca="1" si="192"/>
        <v>0</v>
      </c>
      <c r="AK271" s="50">
        <f t="shared" ca="1" si="192"/>
        <v>0</v>
      </c>
      <c r="AL271" s="50">
        <f t="shared" si="192"/>
        <v>0</v>
      </c>
      <c r="AM271" s="50">
        <f t="shared" si="192"/>
        <v>0</v>
      </c>
      <c r="AN271" s="50">
        <f t="shared" si="192"/>
        <v>0</v>
      </c>
      <c r="AO271" s="50">
        <f t="shared" si="192"/>
        <v>0</v>
      </c>
      <c r="AP271" s="50">
        <f t="shared" si="192"/>
        <v>0</v>
      </c>
      <c r="AQ271" s="50">
        <f t="shared" si="192"/>
        <v>0</v>
      </c>
      <c r="AR271" s="50">
        <f t="shared" si="192"/>
        <v>0</v>
      </c>
      <c r="AS271" s="50">
        <f t="shared" si="192"/>
        <v>0</v>
      </c>
      <c r="AT271" s="50">
        <f t="shared" si="192"/>
        <v>0</v>
      </c>
      <c r="AU271" s="50">
        <f t="shared" si="192"/>
        <v>0</v>
      </c>
    </row>
    <row r="272" spans="1:47">
      <c r="A272" s="38" t="str">
        <f t="shared" si="189"/>
        <v>4Y-</v>
      </c>
      <c r="B272" s="38" t="s">
        <v>263</v>
      </c>
      <c r="C272" s="38" t="str">
        <f t="shared" ref="C272:C276" si="193">C271</f>
        <v>Energy Recovery</v>
      </c>
      <c r="D272" s="186">
        <f>OMEsc</f>
        <v>0.02</v>
      </c>
      <c r="E272" s="325"/>
      <c r="G272" s="36" t="s">
        <v>127</v>
      </c>
      <c r="I272" s="39"/>
      <c r="K272" s="39"/>
      <c r="L272" s="43" t="str">
        <f>"["&amp;CostBaseYr&amp;" $]"</f>
        <v>[2013 $]</v>
      </c>
      <c r="N272" s="70">
        <f ca="1">SUMIFS(OFFSET(Assumptions!$I$90,0,MATCH($A272,Configurations,0)-1,COUNT(Assumptions!$A$90:$A$183),1),Assumptions!$D$90:$D$183,$B272&amp;$C272)</f>
        <v>0</v>
      </c>
      <c r="O272" s="313"/>
      <c r="P272" s="323"/>
      <c r="Q272" s="313"/>
      <c r="R272" s="50">
        <f t="shared" ca="1" si="191"/>
        <v>0</v>
      </c>
      <c r="S272" s="50">
        <f t="shared" ca="1" si="192"/>
        <v>0</v>
      </c>
      <c r="T272" s="50">
        <f t="shared" ca="1" si="192"/>
        <v>0</v>
      </c>
      <c r="U272" s="50">
        <f t="shared" ca="1" si="192"/>
        <v>0</v>
      </c>
      <c r="V272" s="50">
        <f t="shared" ca="1" si="192"/>
        <v>0</v>
      </c>
      <c r="W272" s="50">
        <f t="shared" ca="1" si="192"/>
        <v>0</v>
      </c>
      <c r="X272" s="50">
        <f t="shared" ca="1" si="192"/>
        <v>0</v>
      </c>
      <c r="Y272" s="50">
        <f t="shared" ca="1" si="192"/>
        <v>0</v>
      </c>
      <c r="Z272" s="50">
        <f t="shared" ca="1" si="192"/>
        <v>0</v>
      </c>
      <c r="AA272" s="50">
        <f t="shared" ca="1" si="192"/>
        <v>0</v>
      </c>
      <c r="AB272" s="50">
        <f t="shared" ca="1" si="192"/>
        <v>0</v>
      </c>
      <c r="AC272" s="50">
        <f t="shared" ca="1" si="192"/>
        <v>0</v>
      </c>
      <c r="AD272" s="50">
        <f t="shared" ca="1" si="192"/>
        <v>0</v>
      </c>
      <c r="AE272" s="50">
        <f t="shared" ca="1" si="192"/>
        <v>0</v>
      </c>
      <c r="AF272" s="50">
        <f t="shared" ca="1" si="192"/>
        <v>0</v>
      </c>
      <c r="AG272" s="50">
        <f t="shared" ca="1" si="192"/>
        <v>0</v>
      </c>
      <c r="AH272" s="50">
        <f t="shared" ca="1" si="192"/>
        <v>0</v>
      </c>
      <c r="AI272" s="50">
        <f t="shared" ca="1" si="192"/>
        <v>0</v>
      </c>
      <c r="AJ272" s="50">
        <f t="shared" ca="1" si="192"/>
        <v>0</v>
      </c>
      <c r="AK272" s="50">
        <f t="shared" ca="1" si="192"/>
        <v>0</v>
      </c>
      <c r="AL272" s="50">
        <f t="shared" si="192"/>
        <v>0</v>
      </c>
      <c r="AM272" s="50">
        <f t="shared" si="192"/>
        <v>0</v>
      </c>
      <c r="AN272" s="50">
        <f t="shared" si="192"/>
        <v>0</v>
      </c>
      <c r="AO272" s="50">
        <f t="shared" si="192"/>
        <v>0</v>
      </c>
      <c r="AP272" s="50">
        <f t="shared" si="192"/>
        <v>0</v>
      </c>
      <c r="AQ272" s="50">
        <f t="shared" si="192"/>
        <v>0</v>
      </c>
      <c r="AR272" s="50">
        <f t="shared" si="192"/>
        <v>0</v>
      </c>
      <c r="AS272" s="50">
        <f t="shared" si="192"/>
        <v>0</v>
      </c>
      <c r="AT272" s="50">
        <f t="shared" si="192"/>
        <v>0</v>
      </c>
      <c r="AU272" s="50">
        <f t="shared" si="192"/>
        <v>0</v>
      </c>
    </row>
    <row r="273" spans="1:47">
      <c r="A273" s="38" t="str">
        <f t="shared" si="189"/>
        <v>4Y-</v>
      </c>
      <c r="B273" s="38" t="s">
        <v>277</v>
      </c>
      <c r="C273" s="38" t="str">
        <f t="shared" si="193"/>
        <v>Energy Recovery</v>
      </c>
      <c r="D273" s="186">
        <f>OMEsc</f>
        <v>0.02</v>
      </c>
      <c r="E273" s="325"/>
      <c r="G273" s="36" t="s">
        <v>276</v>
      </c>
      <c r="I273" s="39"/>
      <c r="K273" s="39"/>
      <c r="L273" s="43" t="str">
        <f>"["&amp;CostBaseYr&amp;" $]"</f>
        <v>[2013 $]</v>
      </c>
      <c r="N273" s="70">
        <f ca="1">SUMIFS(OFFSET(Assumptions!$I$90,0,MATCH($A273,Configurations,0)-1,COUNT(Assumptions!$A$90:$A$183),1),Assumptions!$D$90:$D$183,$B273&amp;$C273)</f>
        <v>0</v>
      </c>
      <c r="O273" s="313"/>
      <c r="P273" s="323"/>
      <c r="Q273" s="313"/>
      <c r="R273" s="50">
        <f t="shared" ca="1" si="191"/>
        <v>0</v>
      </c>
      <c r="S273" s="50">
        <f t="shared" ca="1" si="192"/>
        <v>0</v>
      </c>
      <c r="T273" s="50">
        <f t="shared" ca="1" si="192"/>
        <v>0</v>
      </c>
      <c r="U273" s="50">
        <f t="shared" ca="1" si="192"/>
        <v>0</v>
      </c>
      <c r="V273" s="50">
        <f t="shared" ca="1" si="192"/>
        <v>0</v>
      </c>
      <c r="W273" s="50">
        <f t="shared" ca="1" si="192"/>
        <v>0</v>
      </c>
      <c r="X273" s="50">
        <f t="shared" ca="1" si="192"/>
        <v>0</v>
      </c>
      <c r="Y273" s="50">
        <f t="shared" ca="1" si="192"/>
        <v>0</v>
      </c>
      <c r="Z273" s="50">
        <f t="shared" ca="1" si="192"/>
        <v>0</v>
      </c>
      <c r="AA273" s="50">
        <f t="shared" ca="1" si="192"/>
        <v>0</v>
      </c>
      <c r="AB273" s="50">
        <f t="shared" ca="1" si="192"/>
        <v>0</v>
      </c>
      <c r="AC273" s="50">
        <f t="shared" ca="1" si="192"/>
        <v>0</v>
      </c>
      <c r="AD273" s="50">
        <f t="shared" ca="1" si="192"/>
        <v>0</v>
      </c>
      <c r="AE273" s="50">
        <f t="shared" ca="1" si="192"/>
        <v>0</v>
      </c>
      <c r="AF273" s="50">
        <f t="shared" ca="1" si="192"/>
        <v>0</v>
      </c>
      <c r="AG273" s="50">
        <f t="shared" ca="1" si="192"/>
        <v>0</v>
      </c>
      <c r="AH273" s="50">
        <f t="shared" ca="1" si="192"/>
        <v>0</v>
      </c>
      <c r="AI273" s="50">
        <f t="shared" ca="1" si="192"/>
        <v>0</v>
      </c>
      <c r="AJ273" s="50">
        <f t="shared" ca="1" si="192"/>
        <v>0</v>
      </c>
      <c r="AK273" s="50">
        <f t="shared" ca="1" si="192"/>
        <v>0</v>
      </c>
      <c r="AL273" s="50">
        <f t="shared" si="192"/>
        <v>0</v>
      </c>
      <c r="AM273" s="50">
        <f t="shared" si="192"/>
        <v>0</v>
      </c>
      <c r="AN273" s="50">
        <f t="shared" si="192"/>
        <v>0</v>
      </c>
      <c r="AO273" s="50">
        <f t="shared" si="192"/>
        <v>0</v>
      </c>
      <c r="AP273" s="50">
        <f t="shared" si="192"/>
        <v>0</v>
      </c>
      <c r="AQ273" s="50">
        <f t="shared" si="192"/>
        <v>0</v>
      </c>
      <c r="AR273" s="50">
        <f t="shared" si="192"/>
        <v>0</v>
      </c>
      <c r="AS273" s="50">
        <f t="shared" si="192"/>
        <v>0</v>
      </c>
      <c r="AT273" s="50">
        <f t="shared" si="192"/>
        <v>0</v>
      </c>
      <c r="AU273" s="50">
        <f t="shared" si="192"/>
        <v>0</v>
      </c>
    </row>
    <row r="274" spans="1:47">
      <c r="A274" s="38" t="str">
        <f t="shared" si="189"/>
        <v>4Y-</v>
      </c>
      <c r="B274" s="38" t="s">
        <v>274</v>
      </c>
      <c r="C274" s="38" t="str">
        <f t="shared" si="193"/>
        <v>Energy Recovery</v>
      </c>
      <c r="D274" s="186"/>
      <c r="E274" s="325"/>
      <c r="G274" s="36" t="s">
        <v>16</v>
      </c>
      <c r="I274" s="39"/>
      <c r="K274" s="39"/>
      <c r="L274" s="43" t="s">
        <v>275</v>
      </c>
      <c r="N274" s="70">
        <f ca="1">SUMIFS(OFFSET(Assumptions!$I$90,0,MATCH($A274,Configurations,0)-1,COUNT(Assumptions!$A$90:$A$183),1),Assumptions!$D$90:$D$183,$B274&amp;$C274)</f>
        <v>0</v>
      </c>
      <c r="O274" s="313"/>
      <c r="P274" s="323"/>
      <c r="Q274" s="313"/>
      <c r="R274" s="50">
        <f t="shared" ref="R274:AU274" ca="1" si="194">IF(OR(R$99&lt;InServiceYr,R$99&gt;(InServiceYr+analysis_period-1)),0,IF($P274=0,$N274,$P274)*R$505)</f>
        <v>0</v>
      </c>
      <c r="S274" s="50">
        <f t="shared" ca="1" si="194"/>
        <v>0</v>
      </c>
      <c r="T274" s="50">
        <f t="shared" ca="1" si="194"/>
        <v>0</v>
      </c>
      <c r="U274" s="50">
        <f t="shared" ca="1" si="194"/>
        <v>0</v>
      </c>
      <c r="V274" s="50">
        <f t="shared" ca="1" si="194"/>
        <v>0</v>
      </c>
      <c r="W274" s="50">
        <f t="shared" ca="1" si="194"/>
        <v>0</v>
      </c>
      <c r="X274" s="50">
        <f t="shared" ca="1" si="194"/>
        <v>0</v>
      </c>
      <c r="Y274" s="50">
        <f t="shared" ca="1" si="194"/>
        <v>0</v>
      </c>
      <c r="Z274" s="50">
        <f t="shared" ca="1" si="194"/>
        <v>0</v>
      </c>
      <c r="AA274" s="50">
        <f t="shared" ca="1" si="194"/>
        <v>0</v>
      </c>
      <c r="AB274" s="50">
        <f t="shared" ca="1" si="194"/>
        <v>0</v>
      </c>
      <c r="AC274" s="50">
        <f t="shared" ca="1" si="194"/>
        <v>0</v>
      </c>
      <c r="AD274" s="50">
        <f t="shared" ca="1" si="194"/>
        <v>0</v>
      </c>
      <c r="AE274" s="50">
        <f t="shared" ca="1" si="194"/>
        <v>0</v>
      </c>
      <c r="AF274" s="50">
        <f t="shared" ca="1" si="194"/>
        <v>0</v>
      </c>
      <c r="AG274" s="50">
        <f t="shared" ca="1" si="194"/>
        <v>0</v>
      </c>
      <c r="AH274" s="50">
        <f t="shared" ca="1" si="194"/>
        <v>0</v>
      </c>
      <c r="AI274" s="50">
        <f t="shared" ca="1" si="194"/>
        <v>0</v>
      </c>
      <c r="AJ274" s="50">
        <f t="shared" ca="1" si="194"/>
        <v>0</v>
      </c>
      <c r="AK274" s="50">
        <f t="shared" ca="1" si="194"/>
        <v>0</v>
      </c>
      <c r="AL274" s="50">
        <f t="shared" si="194"/>
        <v>0</v>
      </c>
      <c r="AM274" s="50">
        <f t="shared" si="194"/>
        <v>0</v>
      </c>
      <c r="AN274" s="50">
        <f t="shared" si="194"/>
        <v>0</v>
      </c>
      <c r="AO274" s="50">
        <f t="shared" si="194"/>
        <v>0</v>
      </c>
      <c r="AP274" s="50">
        <f t="shared" si="194"/>
        <v>0</v>
      </c>
      <c r="AQ274" s="50">
        <f t="shared" si="194"/>
        <v>0</v>
      </c>
      <c r="AR274" s="50">
        <f t="shared" si="194"/>
        <v>0</v>
      </c>
      <c r="AS274" s="50">
        <f t="shared" si="194"/>
        <v>0</v>
      </c>
      <c r="AT274" s="50">
        <f t="shared" si="194"/>
        <v>0</v>
      </c>
      <c r="AU274" s="50">
        <f t="shared" si="194"/>
        <v>0</v>
      </c>
    </row>
    <row r="275" spans="1:47">
      <c r="A275" s="38" t="str">
        <f t="shared" si="189"/>
        <v>4Y-</v>
      </c>
      <c r="B275" s="38" t="s">
        <v>257</v>
      </c>
      <c r="C275" s="38" t="str">
        <f t="shared" si="193"/>
        <v>Energy Recovery</v>
      </c>
      <c r="D275" s="186"/>
      <c r="E275" s="325"/>
      <c r="G275" s="36" t="s">
        <v>284</v>
      </c>
      <c r="I275" s="39"/>
      <c r="K275" s="39"/>
      <c r="L275" s="43" t="s">
        <v>293</v>
      </c>
      <c r="N275" s="70">
        <f ca="1">SUMIFS(OFFSET(Assumptions!$I$90,0,MATCH($A275,Configurations,0)-1,COUNT(Assumptions!$A$90:$A$183),1),Assumptions!$D$90:$D$183,$B275&amp;$C275)</f>
        <v>0</v>
      </c>
      <c r="O275" s="313"/>
      <c r="P275" s="323"/>
      <c r="Q275" s="313"/>
      <c r="R275" s="50">
        <f t="shared" ref="R275:AU275" ca="1" si="195">IF(OR(R$99&lt;InServiceYr,R$99&gt;(InServiceYr+analysis_period-1)),0,IF($P275=0,$N275,$P275)*R$501)</f>
        <v>0</v>
      </c>
      <c r="S275" s="50">
        <f t="shared" ca="1" si="195"/>
        <v>0</v>
      </c>
      <c r="T275" s="50">
        <f t="shared" ca="1" si="195"/>
        <v>0</v>
      </c>
      <c r="U275" s="50">
        <f t="shared" ca="1" si="195"/>
        <v>0</v>
      </c>
      <c r="V275" s="50">
        <f t="shared" ca="1" si="195"/>
        <v>0</v>
      </c>
      <c r="W275" s="50">
        <f t="shared" ca="1" si="195"/>
        <v>0</v>
      </c>
      <c r="X275" s="50">
        <f t="shared" ca="1" si="195"/>
        <v>0</v>
      </c>
      <c r="Y275" s="50">
        <f t="shared" ca="1" si="195"/>
        <v>0</v>
      </c>
      <c r="Z275" s="50">
        <f t="shared" ca="1" si="195"/>
        <v>0</v>
      </c>
      <c r="AA275" s="50">
        <f t="shared" ca="1" si="195"/>
        <v>0</v>
      </c>
      <c r="AB275" s="50">
        <f t="shared" ca="1" si="195"/>
        <v>0</v>
      </c>
      <c r="AC275" s="50">
        <f t="shared" ca="1" si="195"/>
        <v>0</v>
      </c>
      <c r="AD275" s="50">
        <f t="shared" ca="1" si="195"/>
        <v>0</v>
      </c>
      <c r="AE275" s="50">
        <f t="shared" ca="1" si="195"/>
        <v>0</v>
      </c>
      <c r="AF275" s="50">
        <f t="shared" ca="1" si="195"/>
        <v>0</v>
      </c>
      <c r="AG275" s="50">
        <f t="shared" ca="1" si="195"/>
        <v>0</v>
      </c>
      <c r="AH275" s="50">
        <f t="shared" ca="1" si="195"/>
        <v>0</v>
      </c>
      <c r="AI275" s="50">
        <f t="shared" ca="1" si="195"/>
        <v>0</v>
      </c>
      <c r="AJ275" s="50">
        <f t="shared" ca="1" si="195"/>
        <v>0</v>
      </c>
      <c r="AK275" s="50">
        <f t="shared" ca="1" si="195"/>
        <v>0</v>
      </c>
      <c r="AL275" s="50">
        <f t="shared" si="195"/>
        <v>0</v>
      </c>
      <c r="AM275" s="50">
        <f t="shared" si="195"/>
        <v>0</v>
      </c>
      <c r="AN275" s="50">
        <f t="shared" si="195"/>
        <v>0</v>
      </c>
      <c r="AO275" s="50">
        <f t="shared" si="195"/>
        <v>0</v>
      </c>
      <c r="AP275" s="50">
        <f t="shared" si="195"/>
        <v>0</v>
      </c>
      <c r="AQ275" s="50">
        <f t="shared" si="195"/>
        <v>0</v>
      </c>
      <c r="AR275" s="50">
        <f t="shared" si="195"/>
        <v>0</v>
      </c>
      <c r="AS275" s="50">
        <f t="shared" si="195"/>
        <v>0</v>
      </c>
      <c r="AT275" s="50">
        <f t="shared" si="195"/>
        <v>0</v>
      </c>
      <c r="AU275" s="50">
        <f t="shared" si="195"/>
        <v>0</v>
      </c>
    </row>
    <row r="276" spans="1:47">
      <c r="A276" s="38" t="str">
        <f t="shared" si="189"/>
        <v>4Y-</v>
      </c>
      <c r="B276" s="38" t="s">
        <v>864</v>
      </c>
      <c r="C276" s="38" t="str">
        <f t="shared" si="193"/>
        <v>Energy Recovery</v>
      </c>
      <c r="D276" s="186">
        <f>GHGEsc</f>
        <v>0.02</v>
      </c>
      <c r="E276" s="325"/>
      <c r="G276" s="36" t="s">
        <v>865</v>
      </c>
      <c r="I276" s="39"/>
      <c r="K276" s="39"/>
      <c r="L276" s="43" t="s">
        <v>866</v>
      </c>
      <c r="N276" s="70">
        <f ca="1">SUMIFS(OFFSET(Assumptions!$I$90,0,MATCH($A276,Configurations,0)-1,COUNT(Assumptions!$A$90:$A$183),1),Assumptions!$D$90:$D$183,$B276&amp;$C276)</f>
        <v>0</v>
      </c>
      <c r="O276" s="313"/>
      <c r="P276" s="323"/>
      <c r="Q276" s="313"/>
      <c r="R276" s="50">
        <f t="shared" ref="R276:AU276" ca="1" si="196">IF(OR(R$99&lt;InServiceYr,R$99&gt;(InServiceYr+analysis_period-1)),0,IF($P276=0,$N276,$P276)*R$513)</f>
        <v>0</v>
      </c>
      <c r="S276" s="50">
        <f t="shared" ca="1" si="196"/>
        <v>0</v>
      </c>
      <c r="T276" s="50">
        <f t="shared" ca="1" si="196"/>
        <v>0</v>
      </c>
      <c r="U276" s="50">
        <f t="shared" ca="1" si="196"/>
        <v>0</v>
      </c>
      <c r="V276" s="50">
        <f t="shared" ca="1" si="196"/>
        <v>0</v>
      </c>
      <c r="W276" s="50">
        <f t="shared" ca="1" si="196"/>
        <v>0</v>
      </c>
      <c r="X276" s="50">
        <f t="shared" ca="1" si="196"/>
        <v>0</v>
      </c>
      <c r="Y276" s="50">
        <f t="shared" ca="1" si="196"/>
        <v>0</v>
      </c>
      <c r="Z276" s="50">
        <f t="shared" ca="1" si="196"/>
        <v>0</v>
      </c>
      <c r="AA276" s="50">
        <f t="shared" ca="1" si="196"/>
        <v>0</v>
      </c>
      <c r="AB276" s="50">
        <f t="shared" ca="1" si="196"/>
        <v>0</v>
      </c>
      <c r="AC276" s="50">
        <f t="shared" ca="1" si="196"/>
        <v>0</v>
      </c>
      <c r="AD276" s="50">
        <f t="shared" ca="1" si="196"/>
        <v>0</v>
      </c>
      <c r="AE276" s="50">
        <f t="shared" ca="1" si="196"/>
        <v>0</v>
      </c>
      <c r="AF276" s="50">
        <f t="shared" ca="1" si="196"/>
        <v>0</v>
      </c>
      <c r="AG276" s="50">
        <f t="shared" ca="1" si="196"/>
        <v>0</v>
      </c>
      <c r="AH276" s="50">
        <f t="shared" ca="1" si="196"/>
        <v>0</v>
      </c>
      <c r="AI276" s="50">
        <f t="shared" ca="1" si="196"/>
        <v>0</v>
      </c>
      <c r="AJ276" s="50">
        <f t="shared" ca="1" si="196"/>
        <v>0</v>
      </c>
      <c r="AK276" s="50">
        <f t="shared" ca="1" si="196"/>
        <v>0</v>
      </c>
      <c r="AL276" s="50">
        <f t="shared" si="196"/>
        <v>0</v>
      </c>
      <c r="AM276" s="50">
        <f t="shared" si="196"/>
        <v>0</v>
      </c>
      <c r="AN276" s="50">
        <f t="shared" si="196"/>
        <v>0</v>
      </c>
      <c r="AO276" s="50">
        <f t="shared" si="196"/>
        <v>0</v>
      </c>
      <c r="AP276" s="50">
        <f t="shared" si="196"/>
        <v>0</v>
      </c>
      <c r="AQ276" s="50">
        <f t="shared" si="196"/>
        <v>0</v>
      </c>
      <c r="AR276" s="50">
        <f t="shared" si="196"/>
        <v>0</v>
      </c>
      <c r="AS276" s="50">
        <f t="shared" si="196"/>
        <v>0</v>
      </c>
      <c r="AT276" s="50">
        <f t="shared" si="196"/>
        <v>0</v>
      </c>
      <c r="AU276" s="50">
        <f t="shared" si="196"/>
        <v>0</v>
      </c>
    </row>
    <row r="277" spans="1:47">
      <c r="A277" s="38" t="str">
        <f t="shared" si="189"/>
        <v>4Y-</v>
      </c>
      <c r="B277" s="38" t="s">
        <v>273</v>
      </c>
      <c r="C277" s="38" t="str">
        <f>C275</f>
        <v>Energy Recovery</v>
      </c>
      <c r="D277" s="186">
        <f>LaborEsc</f>
        <v>0.02</v>
      </c>
      <c r="E277" s="325"/>
      <c r="G277" s="36" t="s">
        <v>291</v>
      </c>
      <c r="I277" s="39"/>
      <c r="K277" s="39"/>
      <c r="L277" s="43" t="str">
        <f>"["&amp;CostBaseYr&amp;" $]"</f>
        <v>[2013 $]</v>
      </c>
      <c r="N277" s="70">
        <f ca="1">SUMIFS(OFFSET(Assumptions!$I$90,0,MATCH($A277,Configurations,0)-1,COUNT(Assumptions!$A$90:$A$183),1),Assumptions!$D$90:$D$183,$B277&amp;$C277)</f>
        <v>0</v>
      </c>
      <c r="O277" s="313"/>
      <c r="P277" s="323"/>
      <c r="Q277" s="313"/>
      <c r="R277" s="50">
        <f t="shared" ref="R277:AU277" ca="1" si="197">IF(OR(R$99&lt;InServiceYr,R$99&gt;(InServiceYr+analysis_period-1)),0,IF($P277=0,$N277,$P277)*(1+$D277)^(R$99-CostBaseYr))*R$509</f>
        <v>0</v>
      </c>
      <c r="S277" s="50">
        <f t="shared" ca="1" si="197"/>
        <v>0</v>
      </c>
      <c r="T277" s="50">
        <f t="shared" ca="1" si="197"/>
        <v>0</v>
      </c>
      <c r="U277" s="50">
        <f t="shared" ca="1" si="197"/>
        <v>0</v>
      </c>
      <c r="V277" s="50">
        <f t="shared" ca="1" si="197"/>
        <v>0</v>
      </c>
      <c r="W277" s="50">
        <f t="shared" ca="1" si="197"/>
        <v>0</v>
      </c>
      <c r="X277" s="50">
        <f t="shared" ca="1" si="197"/>
        <v>0</v>
      </c>
      <c r="Y277" s="50">
        <f t="shared" ca="1" si="197"/>
        <v>0</v>
      </c>
      <c r="Z277" s="50">
        <f t="shared" ca="1" si="197"/>
        <v>0</v>
      </c>
      <c r="AA277" s="50">
        <f t="shared" ca="1" si="197"/>
        <v>0</v>
      </c>
      <c r="AB277" s="50">
        <f t="shared" ca="1" si="197"/>
        <v>0</v>
      </c>
      <c r="AC277" s="50">
        <f t="shared" ca="1" si="197"/>
        <v>0</v>
      </c>
      <c r="AD277" s="50">
        <f t="shared" ca="1" si="197"/>
        <v>0</v>
      </c>
      <c r="AE277" s="50">
        <f t="shared" ca="1" si="197"/>
        <v>0</v>
      </c>
      <c r="AF277" s="50">
        <f t="shared" ca="1" si="197"/>
        <v>0</v>
      </c>
      <c r="AG277" s="50">
        <f t="shared" ca="1" si="197"/>
        <v>0</v>
      </c>
      <c r="AH277" s="50">
        <f t="shared" ca="1" si="197"/>
        <v>0</v>
      </c>
      <c r="AI277" s="50">
        <f t="shared" ca="1" si="197"/>
        <v>0</v>
      </c>
      <c r="AJ277" s="50">
        <f t="shared" ca="1" si="197"/>
        <v>0</v>
      </c>
      <c r="AK277" s="50">
        <f t="shared" ca="1" si="197"/>
        <v>0</v>
      </c>
      <c r="AL277" s="50">
        <f t="shared" si="197"/>
        <v>0</v>
      </c>
      <c r="AM277" s="50">
        <f t="shared" si="197"/>
        <v>0</v>
      </c>
      <c r="AN277" s="50">
        <f t="shared" si="197"/>
        <v>0</v>
      </c>
      <c r="AO277" s="50">
        <f t="shared" si="197"/>
        <v>0</v>
      </c>
      <c r="AP277" s="50">
        <f t="shared" si="197"/>
        <v>0</v>
      </c>
      <c r="AQ277" s="50">
        <f t="shared" si="197"/>
        <v>0</v>
      </c>
      <c r="AR277" s="50">
        <f t="shared" si="197"/>
        <v>0</v>
      </c>
      <c r="AS277" s="50">
        <f t="shared" si="197"/>
        <v>0</v>
      </c>
      <c r="AT277" s="50">
        <f t="shared" si="197"/>
        <v>0</v>
      </c>
      <c r="AU277" s="50">
        <f t="shared" si="197"/>
        <v>0</v>
      </c>
    </row>
    <row r="278" spans="1:47">
      <c r="D278" s="186"/>
      <c r="E278" s="325"/>
      <c r="G278" s="39" t="s">
        <v>304</v>
      </c>
      <c r="I278" s="39"/>
      <c r="K278" s="39"/>
      <c r="L278" s="43"/>
      <c r="N278" s="70"/>
      <c r="O278" s="313"/>
      <c r="P278" s="70"/>
      <c r="Q278" s="313"/>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row>
    <row r="279" spans="1:47">
      <c r="A279" s="38" t="str">
        <f>$J$4&amp;"-"</f>
        <v>4Y-</v>
      </c>
      <c r="B279" s="38" t="s">
        <v>265</v>
      </c>
      <c r="C279" s="38" t="str">
        <f>C270</f>
        <v>Energy Recovery</v>
      </c>
      <c r="D279" s="186"/>
      <c r="E279" s="325"/>
      <c r="G279" s="36" t="s">
        <v>108</v>
      </c>
      <c r="I279" s="39"/>
      <c r="K279" s="39"/>
      <c r="L279" s="43" t="s">
        <v>293</v>
      </c>
      <c r="N279" s="70">
        <f ca="1">SUMIFS(OFFSET(Assumptions!$I$90,0,MATCH($A279,Configurations,0)-1,COUNT(Assumptions!$A$90:$A$183),1),Assumptions!$D$90:$D$183,$B279&amp;$C279)</f>
        <v>0</v>
      </c>
      <c r="O279" s="313"/>
      <c r="P279" s="323"/>
      <c r="Q279" s="313"/>
      <c r="R279" s="50">
        <f t="shared" ref="R279:AU279" ca="1" si="198">IF(OR(R$99&lt;InServiceYr,R$99&gt;(InServiceYr+analysis_period-1)),0,IF($P279=0,$N279,$P279)*R$501)</f>
        <v>0</v>
      </c>
      <c r="S279" s="50">
        <f t="shared" ca="1" si="198"/>
        <v>0</v>
      </c>
      <c r="T279" s="50">
        <f t="shared" ca="1" si="198"/>
        <v>0</v>
      </c>
      <c r="U279" s="50">
        <f t="shared" ca="1" si="198"/>
        <v>0</v>
      </c>
      <c r="V279" s="50">
        <f t="shared" ca="1" si="198"/>
        <v>0</v>
      </c>
      <c r="W279" s="50">
        <f t="shared" ca="1" si="198"/>
        <v>0</v>
      </c>
      <c r="X279" s="50">
        <f t="shared" ca="1" si="198"/>
        <v>0</v>
      </c>
      <c r="Y279" s="50">
        <f t="shared" ca="1" si="198"/>
        <v>0</v>
      </c>
      <c r="Z279" s="50">
        <f t="shared" ca="1" si="198"/>
        <v>0</v>
      </c>
      <c r="AA279" s="50">
        <f t="shared" ca="1" si="198"/>
        <v>0</v>
      </c>
      <c r="AB279" s="50">
        <f t="shared" ca="1" si="198"/>
        <v>0</v>
      </c>
      <c r="AC279" s="50">
        <f t="shared" ca="1" si="198"/>
        <v>0</v>
      </c>
      <c r="AD279" s="50">
        <f t="shared" ca="1" si="198"/>
        <v>0</v>
      </c>
      <c r="AE279" s="50">
        <f t="shared" ca="1" si="198"/>
        <v>0</v>
      </c>
      <c r="AF279" s="50">
        <f t="shared" ca="1" si="198"/>
        <v>0</v>
      </c>
      <c r="AG279" s="50">
        <f t="shared" ca="1" si="198"/>
        <v>0</v>
      </c>
      <c r="AH279" s="50">
        <f t="shared" ca="1" si="198"/>
        <v>0</v>
      </c>
      <c r="AI279" s="50">
        <f t="shared" ca="1" si="198"/>
        <v>0</v>
      </c>
      <c r="AJ279" s="50">
        <f t="shared" ca="1" si="198"/>
        <v>0</v>
      </c>
      <c r="AK279" s="50">
        <f t="shared" ca="1" si="198"/>
        <v>0</v>
      </c>
      <c r="AL279" s="50">
        <f t="shared" si="198"/>
        <v>0</v>
      </c>
      <c r="AM279" s="50">
        <f t="shared" si="198"/>
        <v>0</v>
      </c>
      <c r="AN279" s="50">
        <f t="shared" si="198"/>
        <v>0</v>
      </c>
      <c r="AO279" s="50">
        <f t="shared" si="198"/>
        <v>0</v>
      </c>
      <c r="AP279" s="50">
        <f t="shared" si="198"/>
        <v>0</v>
      </c>
      <c r="AQ279" s="50">
        <f t="shared" si="198"/>
        <v>0</v>
      </c>
      <c r="AR279" s="50">
        <f t="shared" si="198"/>
        <v>0</v>
      </c>
      <c r="AS279" s="50">
        <f t="shared" si="198"/>
        <v>0</v>
      </c>
      <c r="AT279" s="50">
        <f t="shared" si="198"/>
        <v>0</v>
      </c>
      <c r="AU279" s="50">
        <f t="shared" si="198"/>
        <v>0</v>
      </c>
    </row>
    <row r="280" spans="1:47">
      <c r="A280" s="38" t="str">
        <f>$J$4&amp;"-"</f>
        <v>4Y-</v>
      </c>
      <c r="B280" s="38" t="s">
        <v>289</v>
      </c>
      <c r="C280" s="38" t="str">
        <f>C270</f>
        <v>Energy Recovery</v>
      </c>
      <c r="D280" s="186">
        <f>LaborEsc</f>
        <v>0.02</v>
      </c>
      <c r="E280" s="325"/>
      <c r="G280" s="36" t="s">
        <v>292</v>
      </c>
      <c r="I280" s="39"/>
      <c r="K280" s="39"/>
      <c r="L280" s="43" t="str">
        <f>"["&amp;CostBaseYr&amp;" $]"</f>
        <v>[2013 $]</v>
      </c>
      <c r="N280" s="70">
        <f ca="1">SUMIFS(OFFSET(Assumptions!$I$90,0,MATCH($A280,Configurations,0)-1,COUNT(Assumptions!$A$90:$A$183),1),Assumptions!$D$90:$D$183,$B280&amp;$C280)</f>
        <v>0</v>
      </c>
      <c r="O280" s="313"/>
      <c r="P280" s="323"/>
      <c r="Q280" s="313"/>
      <c r="R280" s="50">
        <f t="shared" ref="R280:AU280" ca="1" si="199">IF(OR(R$99&lt;InServiceYr,R$99&gt;(InServiceYr+analysis_period-1)),0,IF($P280=0,$N280,$P280)*(1+$D280)^(R$99-CostBaseYr))</f>
        <v>0</v>
      </c>
      <c r="S280" s="50">
        <f t="shared" ca="1" si="199"/>
        <v>0</v>
      </c>
      <c r="T280" s="50">
        <f t="shared" ca="1" si="199"/>
        <v>0</v>
      </c>
      <c r="U280" s="50">
        <f t="shared" ca="1" si="199"/>
        <v>0</v>
      </c>
      <c r="V280" s="50">
        <f t="shared" ca="1" si="199"/>
        <v>0</v>
      </c>
      <c r="W280" s="50">
        <f t="shared" ca="1" si="199"/>
        <v>0</v>
      </c>
      <c r="X280" s="50">
        <f t="shared" ca="1" si="199"/>
        <v>0</v>
      </c>
      <c r="Y280" s="50">
        <f t="shared" ca="1" si="199"/>
        <v>0</v>
      </c>
      <c r="Z280" s="50">
        <f t="shared" ca="1" si="199"/>
        <v>0</v>
      </c>
      <c r="AA280" s="50">
        <f t="shared" ca="1" si="199"/>
        <v>0</v>
      </c>
      <c r="AB280" s="50">
        <f t="shared" ca="1" si="199"/>
        <v>0</v>
      </c>
      <c r="AC280" s="50">
        <f t="shared" ca="1" si="199"/>
        <v>0</v>
      </c>
      <c r="AD280" s="50">
        <f t="shared" ca="1" si="199"/>
        <v>0</v>
      </c>
      <c r="AE280" s="50">
        <f t="shared" ca="1" si="199"/>
        <v>0</v>
      </c>
      <c r="AF280" s="50">
        <f t="shared" ca="1" si="199"/>
        <v>0</v>
      </c>
      <c r="AG280" s="50">
        <f t="shared" ca="1" si="199"/>
        <v>0</v>
      </c>
      <c r="AH280" s="50">
        <f t="shared" ca="1" si="199"/>
        <v>0</v>
      </c>
      <c r="AI280" s="50">
        <f t="shared" ca="1" si="199"/>
        <v>0</v>
      </c>
      <c r="AJ280" s="50">
        <f t="shared" ca="1" si="199"/>
        <v>0</v>
      </c>
      <c r="AK280" s="50">
        <f t="shared" ca="1" si="199"/>
        <v>0</v>
      </c>
      <c r="AL280" s="50">
        <f t="shared" si="199"/>
        <v>0</v>
      </c>
      <c r="AM280" s="50">
        <f t="shared" si="199"/>
        <v>0</v>
      </c>
      <c r="AN280" s="50">
        <f t="shared" si="199"/>
        <v>0</v>
      </c>
      <c r="AO280" s="50">
        <f t="shared" si="199"/>
        <v>0</v>
      </c>
      <c r="AP280" s="50">
        <f t="shared" si="199"/>
        <v>0</v>
      </c>
      <c r="AQ280" s="50">
        <f t="shared" si="199"/>
        <v>0</v>
      </c>
      <c r="AR280" s="50">
        <f t="shared" si="199"/>
        <v>0</v>
      </c>
      <c r="AS280" s="50">
        <f t="shared" si="199"/>
        <v>0</v>
      </c>
      <c r="AT280" s="50">
        <f t="shared" si="199"/>
        <v>0</v>
      </c>
      <c r="AU280" s="50">
        <f t="shared" si="199"/>
        <v>0</v>
      </c>
    </row>
    <row r="281" spans="1:47" s="60" customFormat="1">
      <c r="D281" s="187"/>
      <c r="E281" s="325"/>
      <c r="G281" s="39" t="s">
        <v>305</v>
      </c>
      <c r="I281" s="39"/>
      <c r="K281" s="39"/>
      <c r="L281" s="174"/>
      <c r="N281" s="188"/>
      <c r="O281" s="314"/>
      <c r="P281" s="185"/>
      <c r="Q281" s="314"/>
      <c r="R281" s="185">
        <f ca="1">SUM(R270:R277)-SUM(R279:R280)</f>
        <v>0</v>
      </c>
      <c r="S281" s="185">
        <f t="shared" ref="S281:AU281" ca="1" si="200">SUM(S270:S277)-SUM(S279:S280)</f>
        <v>0</v>
      </c>
      <c r="T281" s="185">
        <f t="shared" ca="1" si="200"/>
        <v>0</v>
      </c>
      <c r="U281" s="185">
        <f t="shared" ca="1" si="200"/>
        <v>0</v>
      </c>
      <c r="V281" s="185">
        <f t="shared" ca="1" si="200"/>
        <v>0</v>
      </c>
      <c r="W281" s="185">
        <f t="shared" ca="1" si="200"/>
        <v>0</v>
      </c>
      <c r="X281" s="185">
        <f t="shared" ca="1" si="200"/>
        <v>0</v>
      </c>
      <c r="Y281" s="185">
        <f t="shared" ca="1" si="200"/>
        <v>0</v>
      </c>
      <c r="Z281" s="185">
        <f t="shared" ca="1" si="200"/>
        <v>0</v>
      </c>
      <c r="AA281" s="185">
        <f t="shared" ca="1" si="200"/>
        <v>0</v>
      </c>
      <c r="AB281" s="185">
        <f t="shared" ca="1" si="200"/>
        <v>0</v>
      </c>
      <c r="AC281" s="185">
        <f t="shared" ca="1" si="200"/>
        <v>0</v>
      </c>
      <c r="AD281" s="185">
        <f t="shared" ca="1" si="200"/>
        <v>0</v>
      </c>
      <c r="AE281" s="185">
        <f t="shared" ca="1" si="200"/>
        <v>0</v>
      </c>
      <c r="AF281" s="185">
        <f t="shared" ca="1" si="200"/>
        <v>0</v>
      </c>
      <c r="AG281" s="185">
        <f t="shared" ca="1" si="200"/>
        <v>0</v>
      </c>
      <c r="AH281" s="185">
        <f t="shared" ca="1" si="200"/>
        <v>0</v>
      </c>
      <c r="AI281" s="185">
        <f t="shared" ca="1" si="200"/>
        <v>0</v>
      </c>
      <c r="AJ281" s="185">
        <f t="shared" ca="1" si="200"/>
        <v>0</v>
      </c>
      <c r="AK281" s="185">
        <f t="shared" ca="1" si="200"/>
        <v>0</v>
      </c>
      <c r="AL281" s="185">
        <f t="shared" si="200"/>
        <v>0</v>
      </c>
      <c r="AM281" s="185">
        <f t="shared" si="200"/>
        <v>0</v>
      </c>
      <c r="AN281" s="185">
        <f t="shared" si="200"/>
        <v>0</v>
      </c>
      <c r="AO281" s="185">
        <f t="shared" si="200"/>
        <v>0</v>
      </c>
      <c r="AP281" s="185">
        <f t="shared" si="200"/>
        <v>0</v>
      </c>
      <c r="AQ281" s="185">
        <f t="shared" si="200"/>
        <v>0</v>
      </c>
      <c r="AR281" s="185">
        <f t="shared" si="200"/>
        <v>0</v>
      </c>
      <c r="AS281" s="185">
        <f t="shared" si="200"/>
        <v>0</v>
      </c>
      <c r="AT281" s="185">
        <f t="shared" si="200"/>
        <v>0</v>
      </c>
      <c r="AU281" s="185">
        <f t="shared" si="200"/>
        <v>0</v>
      </c>
    </row>
    <row r="282" spans="1:47">
      <c r="E282" s="36"/>
      <c r="G282" s="39"/>
      <c r="H282" s="39"/>
      <c r="I282" s="39"/>
      <c r="J282" s="39"/>
      <c r="K282" s="39"/>
    </row>
    <row r="283" spans="1:47">
      <c r="E283" s="327"/>
      <c r="F283" s="28"/>
      <c r="G283" s="324" t="str">
        <f>C285&amp;" Capital Costs"</f>
        <v>Fluid Bed Incineration Capital Costs</v>
      </c>
      <c r="H283" s="324"/>
      <c r="I283" s="324"/>
      <c r="J283" s="324"/>
      <c r="K283" s="324"/>
      <c r="L283" s="405" t="s">
        <v>79</v>
      </c>
      <c r="M283" s="256"/>
      <c r="N283" s="325" t="s">
        <v>490</v>
      </c>
      <c r="O283" s="311"/>
      <c r="P283" s="325" t="s">
        <v>491</v>
      </c>
      <c r="Q283" s="310"/>
      <c r="R283" s="325">
        <f>R$8</f>
        <v>2014</v>
      </c>
      <c r="S283" s="325">
        <f t="shared" ref="S283:AU283" si="201">S$8</f>
        <v>2015</v>
      </c>
      <c r="T283" s="325">
        <f t="shared" si="201"/>
        <v>2016</v>
      </c>
      <c r="U283" s="325">
        <f t="shared" si="201"/>
        <v>2017</v>
      </c>
      <c r="V283" s="325">
        <f t="shared" si="201"/>
        <v>2018</v>
      </c>
      <c r="W283" s="325">
        <f t="shared" si="201"/>
        <v>2019</v>
      </c>
      <c r="X283" s="325">
        <f t="shared" si="201"/>
        <v>2020</v>
      </c>
      <c r="Y283" s="325">
        <f t="shared" si="201"/>
        <v>2021</v>
      </c>
      <c r="Z283" s="325">
        <f t="shared" si="201"/>
        <v>2022</v>
      </c>
      <c r="AA283" s="325">
        <f t="shared" si="201"/>
        <v>2023</v>
      </c>
      <c r="AB283" s="325">
        <f t="shared" si="201"/>
        <v>2024</v>
      </c>
      <c r="AC283" s="325">
        <f t="shared" si="201"/>
        <v>2025</v>
      </c>
      <c r="AD283" s="325">
        <f t="shared" si="201"/>
        <v>2026</v>
      </c>
      <c r="AE283" s="325">
        <f t="shared" si="201"/>
        <v>2027</v>
      </c>
      <c r="AF283" s="325">
        <f t="shared" si="201"/>
        <v>2028</v>
      </c>
      <c r="AG283" s="325">
        <f t="shared" si="201"/>
        <v>2029</v>
      </c>
      <c r="AH283" s="325">
        <f t="shared" si="201"/>
        <v>2030</v>
      </c>
      <c r="AI283" s="325">
        <f t="shared" si="201"/>
        <v>2031</v>
      </c>
      <c r="AJ283" s="325">
        <f t="shared" si="201"/>
        <v>2032</v>
      </c>
      <c r="AK283" s="325">
        <f t="shared" si="201"/>
        <v>2033</v>
      </c>
      <c r="AL283" s="325">
        <f t="shared" si="201"/>
        <v>2034</v>
      </c>
      <c r="AM283" s="325">
        <f t="shared" si="201"/>
        <v>2035</v>
      </c>
      <c r="AN283" s="325">
        <f t="shared" si="201"/>
        <v>2036</v>
      </c>
      <c r="AO283" s="325">
        <f t="shared" si="201"/>
        <v>2037</v>
      </c>
      <c r="AP283" s="325">
        <f t="shared" si="201"/>
        <v>2038</v>
      </c>
      <c r="AQ283" s="325">
        <f t="shared" si="201"/>
        <v>2039</v>
      </c>
      <c r="AR283" s="325">
        <f t="shared" si="201"/>
        <v>2040</v>
      </c>
      <c r="AS283" s="325">
        <f t="shared" si="201"/>
        <v>2041</v>
      </c>
      <c r="AT283" s="325">
        <f t="shared" si="201"/>
        <v>2042</v>
      </c>
      <c r="AU283" s="325">
        <f t="shared" si="201"/>
        <v>2043</v>
      </c>
    </row>
    <row r="284" spans="1:47">
      <c r="E284" s="325"/>
      <c r="G284" s="39"/>
      <c r="H284" s="39"/>
      <c r="I284" s="39"/>
      <c r="J284" s="39"/>
      <c r="K284" s="39"/>
    </row>
    <row r="285" spans="1:47">
      <c r="A285" s="38" t="str">
        <f>$J$4&amp;"-"</f>
        <v>4Y-</v>
      </c>
      <c r="B285" s="38" t="s">
        <v>306</v>
      </c>
      <c r="C285" s="38" t="s">
        <v>160</v>
      </c>
      <c r="D285" s="186">
        <f>CapExEsc</f>
        <v>0.03</v>
      </c>
      <c r="E285" s="325"/>
      <c r="G285" s="36" t="s">
        <v>8</v>
      </c>
      <c r="H285" s="39"/>
      <c r="I285" s="39"/>
      <c r="J285" s="70"/>
      <c r="K285" s="39"/>
      <c r="L285" s="43" t="str">
        <f>"["&amp;CostBaseYr&amp;" $]"</f>
        <v>[2013 $]</v>
      </c>
      <c r="N285" s="52">
        <f ca="1">SUMIFS(OFFSET(Assumptions!$I$65,0,MATCH($A285,Configurations,0)-1,COUNT(Assumptions!$A$65:$A$84),1),Assumptions!$E$65:$E$84,$C285)</f>
        <v>0</v>
      </c>
      <c r="O285" s="52"/>
      <c r="P285" s="322"/>
      <c r="Q285" s="52"/>
      <c r="R285" s="52">
        <f t="shared" ref="R285:AU285" ca="1" si="202">R286*IF($P285=0,$N285,$P285)*(1+$D285)^(R$8-CostBaseYr)</f>
        <v>0</v>
      </c>
      <c r="S285" s="52">
        <f t="shared" ca="1" si="202"/>
        <v>0</v>
      </c>
      <c r="T285" s="52">
        <f t="shared" ca="1" si="202"/>
        <v>0</v>
      </c>
      <c r="U285" s="52">
        <f t="shared" ca="1" si="202"/>
        <v>0</v>
      </c>
      <c r="V285" s="52">
        <f t="shared" ca="1" si="202"/>
        <v>0</v>
      </c>
      <c r="W285" s="52">
        <f t="shared" ca="1" si="202"/>
        <v>0</v>
      </c>
      <c r="X285" s="52">
        <f t="shared" ca="1" si="202"/>
        <v>0</v>
      </c>
      <c r="Y285" s="52">
        <f t="shared" ca="1" si="202"/>
        <v>0</v>
      </c>
      <c r="Z285" s="52">
        <f t="shared" ca="1" si="202"/>
        <v>0</v>
      </c>
      <c r="AA285" s="52">
        <f t="shared" ca="1" si="202"/>
        <v>0</v>
      </c>
      <c r="AB285" s="52">
        <f t="shared" ca="1" si="202"/>
        <v>0</v>
      </c>
      <c r="AC285" s="52">
        <f t="shared" ca="1" si="202"/>
        <v>0</v>
      </c>
      <c r="AD285" s="52">
        <f t="shared" ca="1" si="202"/>
        <v>0</v>
      </c>
      <c r="AE285" s="52">
        <f t="shared" ca="1" si="202"/>
        <v>0</v>
      </c>
      <c r="AF285" s="52">
        <f t="shared" ca="1" si="202"/>
        <v>0</v>
      </c>
      <c r="AG285" s="52">
        <f t="shared" ca="1" si="202"/>
        <v>0</v>
      </c>
      <c r="AH285" s="52">
        <f t="shared" ca="1" si="202"/>
        <v>0</v>
      </c>
      <c r="AI285" s="52">
        <f t="shared" ca="1" si="202"/>
        <v>0</v>
      </c>
      <c r="AJ285" s="52">
        <f t="shared" ca="1" si="202"/>
        <v>0</v>
      </c>
      <c r="AK285" s="52">
        <f t="shared" ca="1" si="202"/>
        <v>0</v>
      </c>
      <c r="AL285" s="52">
        <f t="shared" ca="1" si="202"/>
        <v>0</v>
      </c>
      <c r="AM285" s="52">
        <f t="shared" ca="1" si="202"/>
        <v>0</v>
      </c>
      <c r="AN285" s="52">
        <f t="shared" ca="1" si="202"/>
        <v>0</v>
      </c>
      <c r="AO285" s="52">
        <f t="shared" ca="1" si="202"/>
        <v>0</v>
      </c>
      <c r="AP285" s="52">
        <f t="shared" ca="1" si="202"/>
        <v>0</v>
      </c>
      <c r="AQ285" s="52">
        <f t="shared" ca="1" si="202"/>
        <v>0</v>
      </c>
      <c r="AR285" s="52">
        <f t="shared" ca="1" si="202"/>
        <v>0</v>
      </c>
      <c r="AS285" s="52">
        <f t="shared" ca="1" si="202"/>
        <v>0</v>
      </c>
      <c r="AT285" s="52">
        <f t="shared" ca="1" si="202"/>
        <v>0</v>
      </c>
      <c r="AU285" s="52">
        <f t="shared" ca="1" si="202"/>
        <v>0</v>
      </c>
    </row>
    <row r="286" spans="1:47">
      <c r="E286" s="325"/>
      <c r="G286" s="36" t="s">
        <v>10</v>
      </c>
      <c r="H286" s="39"/>
      <c r="I286" s="39"/>
      <c r="J286" s="39"/>
      <c r="K286" s="39"/>
      <c r="L286" s="43"/>
      <c r="R286" s="54">
        <f>Assumptions!M$60</f>
        <v>1</v>
      </c>
      <c r="S286" s="54">
        <f>Assumptions!N$60</f>
        <v>0</v>
      </c>
      <c r="T286" s="54">
        <f>Assumptions!O$60</f>
        <v>0</v>
      </c>
      <c r="U286" s="54">
        <f>Assumptions!P$60</f>
        <v>0</v>
      </c>
      <c r="V286" s="54">
        <f>Assumptions!Q$60</f>
        <v>0</v>
      </c>
      <c r="W286" s="54">
        <f>Assumptions!R$60</f>
        <v>0</v>
      </c>
      <c r="X286" s="54">
        <f>Assumptions!S$60</f>
        <v>0</v>
      </c>
      <c r="Y286" s="54">
        <f>Assumptions!T$60</f>
        <v>0</v>
      </c>
      <c r="Z286" s="54">
        <f>Assumptions!U$60</f>
        <v>0</v>
      </c>
      <c r="AA286" s="54">
        <f>Assumptions!V$60</f>
        <v>0</v>
      </c>
      <c r="AB286" s="54">
        <f>Assumptions!W$60</f>
        <v>0</v>
      </c>
      <c r="AC286" s="54">
        <f>Assumptions!X$60</f>
        <v>0</v>
      </c>
      <c r="AD286" s="54">
        <f>Assumptions!Y$60</f>
        <v>0</v>
      </c>
      <c r="AE286" s="54">
        <f>Assumptions!Z$60</f>
        <v>0</v>
      </c>
      <c r="AF286" s="54">
        <f>Assumptions!AA$60</f>
        <v>0</v>
      </c>
      <c r="AG286" s="54">
        <f>Assumptions!AB$60</f>
        <v>0</v>
      </c>
      <c r="AH286" s="54">
        <f>Assumptions!AC$60</f>
        <v>0</v>
      </c>
      <c r="AI286" s="54">
        <f>Assumptions!AD$60</f>
        <v>0</v>
      </c>
      <c r="AJ286" s="54">
        <f>Assumptions!AE$60</f>
        <v>0</v>
      </c>
      <c r="AK286" s="54">
        <f>Assumptions!AF$60</f>
        <v>0</v>
      </c>
      <c r="AL286" s="54">
        <f>Assumptions!AG$60</f>
        <v>0</v>
      </c>
      <c r="AM286" s="54">
        <f>Assumptions!AH$60</f>
        <v>0</v>
      </c>
      <c r="AN286" s="54">
        <f>Assumptions!AI$60</f>
        <v>0</v>
      </c>
      <c r="AO286" s="54">
        <f>Assumptions!AJ$60</f>
        <v>0</v>
      </c>
      <c r="AP286" s="54">
        <f>Assumptions!AK$60</f>
        <v>0</v>
      </c>
      <c r="AQ286" s="54">
        <f>Assumptions!AL$60</f>
        <v>0</v>
      </c>
      <c r="AR286" s="54">
        <f>Assumptions!AM$60</f>
        <v>0</v>
      </c>
      <c r="AS286" s="54">
        <f>Assumptions!AN$60</f>
        <v>0</v>
      </c>
      <c r="AT286" s="54">
        <f>Assumptions!AO$60</f>
        <v>0</v>
      </c>
      <c r="AU286" s="54">
        <f>Assumptions!AP$60</f>
        <v>0</v>
      </c>
    </row>
    <row r="287" spans="1:47">
      <c r="E287" s="326"/>
      <c r="G287" s="39"/>
      <c r="H287" s="39"/>
      <c r="I287" s="39"/>
      <c r="J287" s="39"/>
      <c r="K287" s="39"/>
    </row>
    <row r="288" spans="1:47">
      <c r="E288" s="327"/>
      <c r="F288" s="28"/>
      <c r="G288" s="324" t="str">
        <f>C285&amp;" O&amp;M"</f>
        <v>Fluid Bed Incineration O&amp;M</v>
      </c>
      <c r="H288" s="324"/>
      <c r="I288" s="324"/>
      <c r="J288" s="324"/>
      <c r="K288" s="324"/>
      <c r="L288" s="405" t="s">
        <v>79</v>
      </c>
      <c r="M288" s="256"/>
      <c r="N288" s="325" t="s">
        <v>490</v>
      </c>
      <c r="O288" s="311"/>
      <c r="P288" s="325" t="s">
        <v>491</v>
      </c>
      <c r="Q288" s="310"/>
      <c r="R288" s="325">
        <f>R$8</f>
        <v>2014</v>
      </c>
      <c r="S288" s="325">
        <f t="shared" ref="S288:AU288" si="203">S$8</f>
        <v>2015</v>
      </c>
      <c r="T288" s="325">
        <f t="shared" si="203"/>
        <v>2016</v>
      </c>
      <c r="U288" s="325">
        <f t="shared" si="203"/>
        <v>2017</v>
      </c>
      <c r="V288" s="325">
        <f t="shared" si="203"/>
        <v>2018</v>
      </c>
      <c r="W288" s="325">
        <f t="shared" si="203"/>
        <v>2019</v>
      </c>
      <c r="X288" s="325">
        <f t="shared" si="203"/>
        <v>2020</v>
      </c>
      <c r="Y288" s="325">
        <f t="shared" si="203"/>
        <v>2021</v>
      </c>
      <c r="Z288" s="325">
        <f t="shared" si="203"/>
        <v>2022</v>
      </c>
      <c r="AA288" s="325">
        <f t="shared" si="203"/>
        <v>2023</v>
      </c>
      <c r="AB288" s="325">
        <f t="shared" si="203"/>
        <v>2024</v>
      </c>
      <c r="AC288" s="325">
        <f t="shared" si="203"/>
        <v>2025</v>
      </c>
      <c r="AD288" s="325">
        <f t="shared" si="203"/>
        <v>2026</v>
      </c>
      <c r="AE288" s="325">
        <f t="shared" si="203"/>
        <v>2027</v>
      </c>
      <c r="AF288" s="325">
        <f t="shared" si="203"/>
        <v>2028</v>
      </c>
      <c r="AG288" s="325">
        <f t="shared" si="203"/>
        <v>2029</v>
      </c>
      <c r="AH288" s="325">
        <f t="shared" si="203"/>
        <v>2030</v>
      </c>
      <c r="AI288" s="325">
        <f t="shared" si="203"/>
        <v>2031</v>
      </c>
      <c r="AJ288" s="325">
        <f t="shared" si="203"/>
        <v>2032</v>
      </c>
      <c r="AK288" s="325">
        <f t="shared" si="203"/>
        <v>2033</v>
      </c>
      <c r="AL288" s="325">
        <f t="shared" si="203"/>
        <v>2034</v>
      </c>
      <c r="AM288" s="325">
        <f t="shared" si="203"/>
        <v>2035</v>
      </c>
      <c r="AN288" s="325">
        <f t="shared" si="203"/>
        <v>2036</v>
      </c>
      <c r="AO288" s="325">
        <f t="shared" si="203"/>
        <v>2037</v>
      </c>
      <c r="AP288" s="325">
        <f t="shared" si="203"/>
        <v>2038</v>
      </c>
      <c r="AQ288" s="325">
        <f t="shared" si="203"/>
        <v>2039</v>
      </c>
      <c r="AR288" s="325">
        <f t="shared" si="203"/>
        <v>2040</v>
      </c>
      <c r="AS288" s="325">
        <f t="shared" si="203"/>
        <v>2041</v>
      </c>
      <c r="AT288" s="325">
        <f t="shared" si="203"/>
        <v>2042</v>
      </c>
      <c r="AU288" s="325">
        <f t="shared" si="203"/>
        <v>2043</v>
      </c>
    </row>
    <row r="289" spans="1:47">
      <c r="E289" s="325"/>
      <c r="G289" s="39"/>
      <c r="H289" s="39"/>
      <c r="I289" s="39"/>
      <c r="J289" s="39"/>
      <c r="K289" s="39"/>
    </row>
    <row r="290" spans="1:47">
      <c r="E290" s="325"/>
      <c r="G290" s="39" t="s">
        <v>23</v>
      </c>
      <c r="H290" s="39"/>
      <c r="I290" s="39"/>
      <c r="J290" s="39"/>
      <c r="K290" s="39"/>
    </row>
    <row r="291" spans="1:47">
      <c r="A291" s="38" t="str">
        <f t="shared" ref="A291:A298" si="204">$J$4&amp;"-"</f>
        <v>4Y-</v>
      </c>
      <c r="B291" s="38" t="s">
        <v>262</v>
      </c>
      <c r="C291" s="38" t="str">
        <f>C285</f>
        <v>Fluid Bed Incineration</v>
      </c>
      <c r="D291" s="186">
        <f>LaborEsc</f>
        <v>0.02</v>
      </c>
      <c r="E291" s="325"/>
      <c r="G291" s="36" t="s">
        <v>125</v>
      </c>
      <c r="I291" s="39"/>
      <c r="K291" s="39"/>
      <c r="L291" s="43" t="s">
        <v>266</v>
      </c>
      <c r="N291" s="70">
        <f ca="1">SUMIFS(OFFSET(Assumptions!$I$90,0,MATCH($A291,Configurations,0)-1,COUNT(Assumptions!$A$90:$A$183),1),Assumptions!$D$90:$D$183,$B291&amp;$C291)</f>
        <v>0</v>
      </c>
      <c r="O291" s="313"/>
      <c r="P291" s="323"/>
      <c r="Q291" s="313"/>
      <c r="R291" s="50">
        <f t="shared" ref="R291:AU291" ca="1" si="205">IF(OR(R$99&lt;InServiceYr,R$99&gt;(InServiceYr+analysis_period-1)),0,IF($P291=0,$N291,$P291)*LaborCost*(1+$D291)^(R$99-CostBaseYr))</f>
        <v>0</v>
      </c>
      <c r="S291" s="50">
        <f t="shared" ca="1" si="205"/>
        <v>0</v>
      </c>
      <c r="T291" s="50">
        <f t="shared" ca="1" si="205"/>
        <v>0</v>
      </c>
      <c r="U291" s="50">
        <f t="shared" ca="1" si="205"/>
        <v>0</v>
      </c>
      <c r="V291" s="50">
        <f t="shared" ca="1" si="205"/>
        <v>0</v>
      </c>
      <c r="W291" s="50">
        <f t="shared" ca="1" si="205"/>
        <v>0</v>
      </c>
      <c r="X291" s="50">
        <f t="shared" ca="1" si="205"/>
        <v>0</v>
      </c>
      <c r="Y291" s="50">
        <f t="shared" ca="1" si="205"/>
        <v>0</v>
      </c>
      <c r="Z291" s="50">
        <f t="shared" ca="1" si="205"/>
        <v>0</v>
      </c>
      <c r="AA291" s="50">
        <f t="shared" ca="1" si="205"/>
        <v>0</v>
      </c>
      <c r="AB291" s="50">
        <f t="shared" ca="1" si="205"/>
        <v>0</v>
      </c>
      <c r="AC291" s="50">
        <f t="shared" ca="1" si="205"/>
        <v>0</v>
      </c>
      <c r="AD291" s="50">
        <f t="shared" ca="1" si="205"/>
        <v>0</v>
      </c>
      <c r="AE291" s="50">
        <f t="shared" ca="1" si="205"/>
        <v>0</v>
      </c>
      <c r="AF291" s="50">
        <f t="shared" ca="1" si="205"/>
        <v>0</v>
      </c>
      <c r="AG291" s="50">
        <f t="shared" ca="1" si="205"/>
        <v>0</v>
      </c>
      <c r="AH291" s="50">
        <f t="shared" ca="1" si="205"/>
        <v>0</v>
      </c>
      <c r="AI291" s="50">
        <f t="shared" ca="1" si="205"/>
        <v>0</v>
      </c>
      <c r="AJ291" s="50">
        <f t="shared" ca="1" si="205"/>
        <v>0</v>
      </c>
      <c r="AK291" s="50">
        <f t="shared" ca="1" si="205"/>
        <v>0</v>
      </c>
      <c r="AL291" s="50">
        <f t="shared" si="205"/>
        <v>0</v>
      </c>
      <c r="AM291" s="50">
        <f t="shared" si="205"/>
        <v>0</v>
      </c>
      <c r="AN291" s="50">
        <f t="shared" si="205"/>
        <v>0</v>
      </c>
      <c r="AO291" s="50">
        <f t="shared" si="205"/>
        <v>0</v>
      </c>
      <c r="AP291" s="50">
        <f t="shared" si="205"/>
        <v>0</v>
      </c>
      <c r="AQ291" s="50">
        <f t="shared" si="205"/>
        <v>0</v>
      </c>
      <c r="AR291" s="50">
        <f t="shared" si="205"/>
        <v>0</v>
      </c>
      <c r="AS291" s="50">
        <f t="shared" si="205"/>
        <v>0</v>
      </c>
      <c r="AT291" s="50">
        <f t="shared" si="205"/>
        <v>0</v>
      </c>
      <c r="AU291" s="50">
        <f t="shared" si="205"/>
        <v>0</v>
      </c>
    </row>
    <row r="292" spans="1:47">
      <c r="A292" s="38" t="str">
        <f t="shared" si="204"/>
        <v>4Y-</v>
      </c>
      <c r="B292" s="38" t="s">
        <v>270</v>
      </c>
      <c r="C292" s="38" t="str">
        <f>C291</f>
        <v>Fluid Bed Incineration</v>
      </c>
      <c r="D292" s="186">
        <f>OMEsc</f>
        <v>0.02</v>
      </c>
      <c r="E292" s="325"/>
      <c r="G292" s="36" t="s">
        <v>126</v>
      </c>
      <c r="I292" s="39"/>
      <c r="K292" s="39"/>
      <c r="L292" s="43" t="str">
        <f>"["&amp;CostBaseYr&amp;" $]"</f>
        <v>[2013 $]</v>
      </c>
      <c r="N292" s="70">
        <f ca="1">SUMIFS(OFFSET(Assumptions!$I$90,0,MATCH($A292,Configurations,0)-1,COUNT(Assumptions!$A$90:$A$183),1),Assumptions!$D$90:$D$183,$B292&amp;$C292)</f>
        <v>0</v>
      </c>
      <c r="O292" s="313"/>
      <c r="P292" s="323"/>
      <c r="Q292" s="313"/>
      <c r="R292" s="50">
        <f t="shared" ref="R292:AG294" ca="1" si="206">IF(OR(R$99&lt;InServiceYr,R$99&gt;(InServiceYr+analysis_period-1)),0,IF($P292=0,$N292,$P292)*(1+$D292)^(R$99-CostBaseYr))</f>
        <v>0</v>
      </c>
      <c r="S292" s="50">
        <f t="shared" ca="1" si="206"/>
        <v>0</v>
      </c>
      <c r="T292" s="50">
        <f t="shared" ca="1" si="206"/>
        <v>0</v>
      </c>
      <c r="U292" s="50">
        <f t="shared" ca="1" si="206"/>
        <v>0</v>
      </c>
      <c r="V292" s="50">
        <f t="shared" ca="1" si="206"/>
        <v>0</v>
      </c>
      <c r="W292" s="50">
        <f t="shared" ca="1" si="206"/>
        <v>0</v>
      </c>
      <c r="X292" s="50">
        <f t="shared" ca="1" si="206"/>
        <v>0</v>
      </c>
      <c r="Y292" s="50">
        <f t="shared" ca="1" si="206"/>
        <v>0</v>
      </c>
      <c r="Z292" s="50">
        <f t="shared" ca="1" si="206"/>
        <v>0</v>
      </c>
      <c r="AA292" s="50">
        <f t="shared" ca="1" si="206"/>
        <v>0</v>
      </c>
      <c r="AB292" s="50">
        <f t="shared" ca="1" si="206"/>
        <v>0</v>
      </c>
      <c r="AC292" s="50">
        <f t="shared" ca="1" si="206"/>
        <v>0</v>
      </c>
      <c r="AD292" s="50">
        <f t="shared" ca="1" si="206"/>
        <v>0</v>
      </c>
      <c r="AE292" s="50">
        <f t="shared" ca="1" si="206"/>
        <v>0</v>
      </c>
      <c r="AF292" s="50">
        <f t="shared" ca="1" si="206"/>
        <v>0</v>
      </c>
      <c r="AG292" s="50">
        <f t="shared" ca="1" si="206"/>
        <v>0</v>
      </c>
      <c r="AH292" s="50">
        <f t="shared" ref="S292:AU294" ca="1" si="207">IF(OR(AH$99&lt;InServiceYr,AH$99&gt;(InServiceYr+analysis_period-1)),0,IF($P292=0,$N292,$P292)*(1+$D292)^(AH$99-CostBaseYr))</f>
        <v>0</v>
      </c>
      <c r="AI292" s="50">
        <f t="shared" ca="1" si="207"/>
        <v>0</v>
      </c>
      <c r="AJ292" s="50">
        <f t="shared" ca="1" si="207"/>
        <v>0</v>
      </c>
      <c r="AK292" s="50">
        <f t="shared" ca="1" si="207"/>
        <v>0</v>
      </c>
      <c r="AL292" s="50">
        <f t="shared" si="207"/>
        <v>0</v>
      </c>
      <c r="AM292" s="50">
        <f t="shared" si="207"/>
        <v>0</v>
      </c>
      <c r="AN292" s="50">
        <f t="shared" si="207"/>
        <v>0</v>
      </c>
      <c r="AO292" s="50">
        <f t="shared" si="207"/>
        <v>0</v>
      </c>
      <c r="AP292" s="50">
        <f t="shared" si="207"/>
        <v>0</v>
      </c>
      <c r="AQ292" s="50">
        <f t="shared" si="207"/>
        <v>0</v>
      </c>
      <c r="AR292" s="50">
        <f t="shared" si="207"/>
        <v>0</v>
      </c>
      <c r="AS292" s="50">
        <f t="shared" si="207"/>
        <v>0</v>
      </c>
      <c r="AT292" s="50">
        <f t="shared" si="207"/>
        <v>0</v>
      </c>
      <c r="AU292" s="50">
        <f t="shared" si="207"/>
        <v>0</v>
      </c>
    </row>
    <row r="293" spans="1:47">
      <c r="A293" s="38" t="str">
        <f t="shared" si="204"/>
        <v>4Y-</v>
      </c>
      <c r="B293" s="38" t="s">
        <v>263</v>
      </c>
      <c r="C293" s="38" t="str">
        <f t="shared" ref="C293:C297" si="208">C292</f>
        <v>Fluid Bed Incineration</v>
      </c>
      <c r="D293" s="186">
        <f>OMEsc</f>
        <v>0.02</v>
      </c>
      <c r="E293" s="325"/>
      <c r="G293" s="36" t="s">
        <v>127</v>
      </c>
      <c r="I293" s="39"/>
      <c r="K293" s="39"/>
      <c r="L293" s="43" t="str">
        <f>"["&amp;CostBaseYr&amp;" $]"</f>
        <v>[2013 $]</v>
      </c>
      <c r="N293" s="70">
        <f ca="1">SUMIFS(OFFSET(Assumptions!$I$90,0,MATCH($A293,Configurations,0)-1,COUNT(Assumptions!$A$90:$A$183),1),Assumptions!$D$90:$D$183,$B293&amp;$C293)</f>
        <v>0</v>
      </c>
      <c r="O293" s="313"/>
      <c r="P293" s="323"/>
      <c r="Q293" s="313"/>
      <c r="R293" s="50">
        <f t="shared" ca="1" si="206"/>
        <v>0</v>
      </c>
      <c r="S293" s="50">
        <f t="shared" ca="1" si="207"/>
        <v>0</v>
      </c>
      <c r="T293" s="50">
        <f t="shared" ca="1" si="207"/>
        <v>0</v>
      </c>
      <c r="U293" s="50">
        <f t="shared" ca="1" si="207"/>
        <v>0</v>
      </c>
      <c r="V293" s="50">
        <f t="shared" ca="1" si="207"/>
        <v>0</v>
      </c>
      <c r="W293" s="50">
        <f t="shared" ca="1" si="207"/>
        <v>0</v>
      </c>
      <c r="X293" s="50">
        <f t="shared" ca="1" si="207"/>
        <v>0</v>
      </c>
      <c r="Y293" s="50">
        <f t="shared" ca="1" si="207"/>
        <v>0</v>
      </c>
      <c r="Z293" s="50">
        <f t="shared" ca="1" si="207"/>
        <v>0</v>
      </c>
      <c r="AA293" s="50">
        <f t="shared" ca="1" si="207"/>
        <v>0</v>
      </c>
      <c r="AB293" s="50">
        <f t="shared" ca="1" si="207"/>
        <v>0</v>
      </c>
      <c r="AC293" s="50">
        <f t="shared" ca="1" si="207"/>
        <v>0</v>
      </c>
      <c r="AD293" s="50">
        <f t="shared" ca="1" si="207"/>
        <v>0</v>
      </c>
      <c r="AE293" s="50">
        <f t="shared" ca="1" si="207"/>
        <v>0</v>
      </c>
      <c r="AF293" s="50">
        <f t="shared" ca="1" si="207"/>
        <v>0</v>
      </c>
      <c r="AG293" s="50">
        <f t="shared" ca="1" si="207"/>
        <v>0</v>
      </c>
      <c r="AH293" s="50">
        <f t="shared" ca="1" si="207"/>
        <v>0</v>
      </c>
      <c r="AI293" s="50">
        <f t="shared" ca="1" si="207"/>
        <v>0</v>
      </c>
      <c r="AJ293" s="50">
        <f t="shared" ca="1" si="207"/>
        <v>0</v>
      </c>
      <c r="AK293" s="50">
        <f t="shared" ca="1" si="207"/>
        <v>0</v>
      </c>
      <c r="AL293" s="50">
        <f t="shared" si="207"/>
        <v>0</v>
      </c>
      <c r="AM293" s="50">
        <f t="shared" si="207"/>
        <v>0</v>
      </c>
      <c r="AN293" s="50">
        <f t="shared" si="207"/>
        <v>0</v>
      </c>
      <c r="AO293" s="50">
        <f t="shared" si="207"/>
        <v>0</v>
      </c>
      <c r="AP293" s="50">
        <f t="shared" si="207"/>
        <v>0</v>
      </c>
      <c r="AQ293" s="50">
        <f t="shared" si="207"/>
        <v>0</v>
      </c>
      <c r="AR293" s="50">
        <f t="shared" si="207"/>
        <v>0</v>
      </c>
      <c r="AS293" s="50">
        <f t="shared" si="207"/>
        <v>0</v>
      </c>
      <c r="AT293" s="50">
        <f t="shared" si="207"/>
        <v>0</v>
      </c>
      <c r="AU293" s="50">
        <f t="shared" si="207"/>
        <v>0</v>
      </c>
    </row>
    <row r="294" spans="1:47">
      <c r="A294" s="38" t="str">
        <f t="shared" si="204"/>
        <v>4Y-</v>
      </c>
      <c r="B294" s="38" t="s">
        <v>277</v>
      </c>
      <c r="C294" s="38" t="str">
        <f t="shared" si="208"/>
        <v>Fluid Bed Incineration</v>
      </c>
      <c r="D294" s="186">
        <f>OMEsc</f>
        <v>0.02</v>
      </c>
      <c r="E294" s="325"/>
      <c r="G294" s="36" t="s">
        <v>276</v>
      </c>
      <c r="I294" s="39"/>
      <c r="K294" s="39"/>
      <c r="L294" s="43" t="str">
        <f>"["&amp;CostBaseYr&amp;" $]"</f>
        <v>[2013 $]</v>
      </c>
      <c r="N294" s="70">
        <f ca="1">SUMIFS(OFFSET(Assumptions!$I$90,0,MATCH($A294,Configurations,0)-1,COUNT(Assumptions!$A$90:$A$183),1),Assumptions!$D$90:$D$183,$B294&amp;$C294)</f>
        <v>0</v>
      </c>
      <c r="O294" s="313"/>
      <c r="P294" s="323"/>
      <c r="Q294" s="313"/>
      <c r="R294" s="50">
        <f t="shared" ca="1" si="206"/>
        <v>0</v>
      </c>
      <c r="S294" s="50">
        <f t="shared" ca="1" si="207"/>
        <v>0</v>
      </c>
      <c r="T294" s="50">
        <f t="shared" ca="1" si="207"/>
        <v>0</v>
      </c>
      <c r="U294" s="50">
        <f t="shared" ca="1" si="207"/>
        <v>0</v>
      </c>
      <c r="V294" s="50">
        <f t="shared" ca="1" si="207"/>
        <v>0</v>
      </c>
      <c r="W294" s="50">
        <f t="shared" ca="1" si="207"/>
        <v>0</v>
      </c>
      <c r="X294" s="50">
        <f t="shared" ca="1" si="207"/>
        <v>0</v>
      </c>
      <c r="Y294" s="50">
        <f t="shared" ca="1" si="207"/>
        <v>0</v>
      </c>
      <c r="Z294" s="50">
        <f t="shared" ca="1" si="207"/>
        <v>0</v>
      </c>
      <c r="AA294" s="50">
        <f t="shared" ca="1" si="207"/>
        <v>0</v>
      </c>
      <c r="AB294" s="50">
        <f t="shared" ca="1" si="207"/>
        <v>0</v>
      </c>
      <c r="AC294" s="50">
        <f t="shared" ca="1" si="207"/>
        <v>0</v>
      </c>
      <c r="AD294" s="50">
        <f t="shared" ca="1" si="207"/>
        <v>0</v>
      </c>
      <c r="AE294" s="50">
        <f t="shared" ca="1" si="207"/>
        <v>0</v>
      </c>
      <c r="AF294" s="50">
        <f t="shared" ca="1" si="207"/>
        <v>0</v>
      </c>
      <c r="AG294" s="50">
        <f t="shared" ca="1" si="207"/>
        <v>0</v>
      </c>
      <c r="AH294" s="50">
        <f t="shared" ca="1" si="207"/>
        <v>0</v>
      </c>
      <c r="AI294" s="50">
        <f t="shared" ca="1" si="207"/>
        <v>0</v>
      </c>
      <c r="AJ294" s="50">
        <f t="shared" ca="1" si="207"/>
        <v>0</v>
      </c>
      <c r="AK294" s="50">
        <f t="shared" ca="1" si="207"/>
        <v>0</v>
      </c>
      <c r="AL294" s="50">
        <f t="shared" si="207"/>
        <v>0</v>
      </c>
      <c r="AM294" s="50">
        <f t="shared" si="207"/>
        <v>0</v>
      </c>
      <c r="AN294" s="50">
        <f t="shared" si="207"/>
        <v>0</v>
      </c>
      <c r="AO294" s="50">
        <f t="shared" si="207"/>
        <v>0</v>
      </c>
      <c r="AP294" s="50">
        <f t="shared" si="207"/>
        <v>0</v>
      </c>
      <c r="AQ294" s="50">
        <f t="shared" si="207"/>
        <v>0</v>
      </c>
      <c r="AR294" s="50">
        <f t="shared" si="207"/>
        <v>0</v>
      </c>
      <c r="AS294" s="50">
        <f t="shared" si="207"/>
        <v>0</v>
      </c>
      <c r="AT294" s="50">
        <f t="shared" si="207"/>
        <v>0</v>
      </c>
      <c r="AU294" s="50">
        <f t="shared" si="207"/>
        <v>0</v>
      </c>
    </row>
    <row r="295" spans="1:47">
      <c r="A295" s="38" t="str">
        <f t="shared" si="204"/>
        <v>4Y-</v>
      </c>
      <c r="B295" s="38" t="s">
        <v>274</v>
      </c>
      <c r="C295" s="38" t="str">
        <f t="shared" si="208"/>
        <v>Fluid Bed Incineration</v>
      </c>
      <c r="D295" s="186"/>
      <c r="E295" s="325"/>
      <c r="G295" s="36" t="s">
        <v>16</v>
      </c>
      <c r="I295" s="39"/>
      <c r="K295" s="39"/>
      <c r="L295" s="43" t="s">
        <v>275</v>
      </c>
      <c r="N295" s="70">
        <f ca="1">SUMIFS(OFFSET(Assumptions!$I$90,0,MATCH($A295,Configurations,0)-1,COUNT(Assumptions!$A$90:$A$183),1),Assumptions!$D$90:$D$183,$B295&amp;$C295)</f>
        <v>0</v>
      </c>
      <c r="O295" s="313"/>
      <c r="P295" s="323"/>
      <c r="Q295" s="313"/>
      <c r="R295" s="50">
        <f t="shared" ref="R295:AU295" ca="1" si="209">IF(OR(R$99&lt;InServiceYr,R$99&gt;(InServiceYr+analysis_period-1)),0,IF($P295=0,$N295,$P295)*R$505)</f>
        <v>0</v>
      </c>
      <c r="S295" s="50">
        <f t="shared" ca="1" si="209"/>
        <v>0</v>
      </c>
      <c r="T295" s="50">
        <f t="shared" ca="1" si="209"/>
        <v>0</v>
      </c>
      <c r="U295" s="50">
        <f t="shared" ca="1" si="209"/>
        <v>0</v>
      </c>
      <c r="V295" s="50">
        <f t="shared" ca="1" si="209"/>
        <v>0</v>
      </c>
      <c r="W295" s="50">
        <f t="shared" ca="1" si="209"/>
        <v>0</v>
      </c>
      <c r="X295" s="50">
        <f t="shared" ca="1" si="209"/>
        <v>0</v>
      </c>
      <c r="Y295" s="50">
        <f t="shared" ca="1" si="209"/>
        <v>0</v>
      </c>
      <c r="Z295" s="50">
        <f t="shared" ca="1" si="209"/>
        <v>0</v>
      </c>
      <c r="AA295" s="50">
        <f t="shared" ca="1" si="209"/>
        <v>0</v>
      </c>
      <c r="AB295" s="50">
        <f t="shared" ca="1" si="209"/>
        <v>0</v>
      </c>
      <c r="AC295" s="50">
        <f t="shared" ca="1" si="209"/>
        <v>0</v>
      </c>
      <c r="AD295" s="50">
        <f t="shared" ca="1" si="209"/>
        <v>0</v>
      </c>
      <c r="AE295" s="50">
        <f t="shared" ca="1" si="209"/>
        <v>0</v>
      </c>
      <c r="AF295" s="50">
        <f t="shared" ca="1" si="209"/>
        <v>0</v>
      </c>
      <c r="AG295" s="50">
        <f t="shared" ca="1" si="209"/>
        <v>0</v>
      </c>
      <c r="AH295" s="50">
        <f t="shared" ca="1" si="209"/>
        <v>0</v>
      </c>
      <c r="AI295" s="50">
        <f t="shared" ca="1" si="209"/>
        <v>0</v>
      </c>
      <c r="AJ295" s="50">
        <f t="shared" ca="1" si="209"/>
        <v>0</v>
      </c>
      <c r="AK295" s="50">
        <f t="shared" ca="1" si="209"/>
        <v>0</v>
      </c>
      <c r="AL295" s="50">
        <f t="shared" si="209"/>
        <v>0</v>
      </c>
      <c r="AM295" s="50">
        <f t="shared" si="209"/>
        <v>0</v>
      </c>
      <c r="AN295" s="50">
        <f t="shared" si="209"/>
        <v>0</v>
      </c>
      <c r="AO295" s="50">
        <f t="shared" si="209"/>
        <v>0</v>
      </c>
      <c r="AP295" s="50">
        <f t="shared" si="209"/>
        <v>0</v>
      </c>
      <c r="AQ295" s="50">
        <f t="shared" si="209"/>
        <v>0</v>
      </c>
      <c r="AR295" s="50">
        <f t="shared" si="209"/>
        <v>0</v>
      </c>
      <c r="AS295" s="50">
        <f t="shared" si="209"/>
        <v>0</v>
      </c>
      <c r="AT295" s="50">
        <f t="shared" si="209"/>
        <v>0</v>
      </c>
      <c r="AU295" s="50">
        <f t="shared" si="209"/>
        <v>0</v>
      </c>
    </row>
    <row r="296" spans="1:47">
      <c r="A296" s="38" t="str">
        <f t="shared" si="204"/>
        <v>4Y-</v>
      </c>
      <c r="B296" s="38" t="s">
        <v>257</v>
      </c>
      <c r="C296" s="38" t="str">
        <f t="shared" si="208"/>
        <v>Fluid Bed Incineration</v>
      </c>
      <c r="D296" s="186"/>
      <c r="E296" s="325"/>
      <c r="G296" s="36" t="s">
        <v>284</v>
      </c>
      <c r="I296" s="39"/>
      <c r="K296" s="39"/>
      <c r="L296" s="43" t="s">
        <v>293</v>
      </c>
      <c r="N296" s="70">
        <f ca="1">SUMIFS(OFFSET(Assumptions!$I$90,0,MATCH($A296,Configurations,0)-1,COUNT(Assumptions!$A$90:$A$183),1),Assumptions!$D$90:$D$183,$B296&amp;$C296)</f>
        <v>0</v>
      </c>
      <c r="O296" s="313"/>
      <c r="P296" s="323"/>
      <c r="Q296" s="313"/>
      <c r="R296" s="50">
        <f t="shared" ref="R296:AU296" ca="1" si="210">IF(OR(R$99&lt;InServiceYr,R$99&gt;(InServiceYr+analysis_period-1)),0,IF($P296=0,$N296,$P296)*R$501)</f>
        <v>0</v>
      </c>
      <c r="S296" s="50">
        <f t="shared" ca="1" si="210"/>
        <v>0</v>
      </c>
      <c r="T296" s="50">
        <f t="shared" ca="1" si="210"/>
        <v>0</v>
      </c>
      <c r="U296" s="50">
        <f t="shared" ca="1" si="210"/>
        <v>0</v>
      </c>
      <c r="V296" s="50">
        <f t="shared" ca="1" si="210"/>
        <v>0</v>
      </c>
      <c r="W296" s="50">
        <f t="shared" ca="1" si="210"/>
        <v>0</v>
      </c>
      <c r="X296" s="50">
        <f t="shared" ca="1" si="210"/>
        <v>0</v>
      </c>
      <c r="Y296" s="50">
        <f t="shared" ca="1" si="210"/>
        <v>0</v>
      </c>
      <c r="Z296" s="50">
        <f t="shared" ca="1" si="210"/>
        <v>0</v>
      </c>
      <c r="AA296" s="50">
        <f t="shared" ca="1" si="210"/>
        <v>0</v>
      </c>
      <c r="AB296" s="50">
        <f t="shared" ca="1" si="210"/>
        <v>0</v>
      </c>
      <c r="AC296" s="50">
        <f t="shared" ca="1" si="210"/>
        <v>0</v>
      </c>
      <c r="AD296" s="50">
        <f t="shared" ca="1" si="210"/>
        <v>0</v>
      </c>
      <c r="AE296" s="50">
        <f t="shared" ca="1" si="210"/>
        <v>0</v>
      </c>
      <c r="AF296" s="50">
        <f t="shared" ca="1" si="210"/>
        <v>0</v>
      </c>
      <c r="AG296" s="50">
        <f t="shared" ca="1" si="210"/>
        <v>0</v>
      </c>
      <c r="AH296" s="50">
        <f t="shared" ca="1" si="210"/>
        <v>0</v>
      </c>
      <c r="AI296" s="50">
        <f t="shared" ca="1" si="210"/>
        <v>0</v>
      </c>
      <c r="AJ296" s="50">
        <f t="shared" ca="1" si="210"/>
        <v>0</v>
      </c>
      <c r="AK296" s="50">
        <f t="shared" ca="1" si="210"/>
        <v>0</v>
      </c>
      <c r="AL296" s="50">
        <f t="shared" si="210"/>
        <v>0</v>
      </c>
      <c r="AM296" s="50">
        <f t="shared" si="210"/>
        <v>0</v>
      </c>
      <c r="AN296" s="50">
        <f t="shared" si="210"/>
        <v>0</v>
      </c>
      <c r="AO296" s="50">
        <f t="shared" si="210"/>
        <v>0</v>
      </c>
      <c r="AP296" s="50">
        <f t="shared" si="210"/>
        <v>0</v>
      </c>
      <c r="AQ296" s="50">
        <f t="shared" si="210"/>
        <v>0</v>
      </c>
      <c r="AR296" s="50">
        <f t="shared" si="210"/>
        <v>0</v>
      </c>
      <c r="AS296" s="50">
        <f t="shared" si="210"/>
        <v>0</v>
      </c>
      <c r="AT296" s="50">
        <f t="shared" si="210"/>
        <v>0</v>
      </c>
      <c r="AU296" s="50">
        <f t="shared" si="210"/>
        <v>0</v>
      </c>
    </row>
    <row r="297" spans="1:47">
      <c r="A297" s="38" t="str">
        <f t="shared" si="204"/>
        <v>4Y-</v>
      </c>
      <c r="B297" s="38" t="s">
        <v>864</v>
      </c>
      <c r="C297" s="38" t="str">
        <f t="shared" si="208"/>
        <v>Fluid Bed Incineration</v>
      </c>
      <c r="D297" s="186">
        <f>GHGEsc</f>
        <v>0.02</v>
      </c>
      <c r="E297" s="325"/>
      <c r="G297" s="36" t="s">
        <v>865</v>
      </c>
      <c r="I297" s="39"/>
      <c r="K297" s="39"/>
      <c r="L297" s="43" t="s">
        <v>866</v>
      </c>
      <c r="N297" s="70">
        <f ca="1">SUMIFS(OFFSET(Assumptions!$I$90,0,MATCH($A297,Configurations,0)-1,COUNT(Assumptions!$A$90:$A$183),1),Assumptions!$D$90:$D$183,$B297&amp;$C297)</f>
        <v>0</v>
      </c>
      <c r="O297" s="313"/>
      <c r="P297" s="323"/>
      <c r="Q297" s="313"/>
      <c r="R297" s="50">
        <f t="shared" ref="R297:AU297" ca="1" si="211">IF(OR(R$99&lt;InServiceYr,R$99&gt;(InServiceYr+analysis_period-1)),0,IF($P297=0,$N297,$P297)*R$513)</f>
        <v>0</v>
      </c>
      <c r="S297" s="50">
        <f t="shared" ca="1" si="211"/>
        <v>0</v>
      </c>
      <c r="T297" s="50">
        <f t="shared" ca="1" si="211"/>
        <v>0</v>
      </c>
      <c r="U297" s="50">
        <f t="shared" ca="1" si="211"/>
        <v>0</v>
      </c>
      <c r="V297" s="50">
        <f t="shared" ca="1" si="211"/>
        <v>0</v>
      </c>
      <c r="W297" s="50">
        <f t="shared" ca="1" si="211"/>
        <v>0</v>
      </c>
      <c r="X297" s="50">
        <f t="shared" ca="1" si="211"/>
        <v>0</v>
      </c>
      <c r="Y297" s="50">
        <f t="shared" ca="1" si="211"/>
        <v>0</v>
      </c>
      <c r="Z297" s="50">
        <f t="shared" ca="1" si="211"/>
        <v>0</v>
      </c>
      <c r="AA297" s="50">
        <f t="shared" ca="1" si="211"/>
        <v>0</v>
      </c>
      <c r="AB297" s="50">
        <f t="shared" ca="1" si="211"/>
        <v>0</v>
      </c>
      <c r="AC297" s="50">
        <f t="shared" ca="1" si="211"/>
        <v>0</v>
      </c>
      <c r="AD297" s="50">
        <f t="shared" ca="1" si="211"/>
        <v>0</v>
      </c>
      <c r="AE297" s="50">
        <f t="shared" ca="1" si="211"/>
        <v>0</v>
      </c>
      <c r="AF297" s="50">
        <f t="shared" ca="1" si="211"/>
        <v>0</v>
      </c>
      <c r="AG297" s="50">
        <f t="shared" ca="1" si="211"/>
        <v>0</v>
      </c>
      <c r="AH297" s="50">
        <f t="shared" ca="1" si="211"/>
        <v>0</v>
      </c>
      <c r="AI297" s="50">
        <f t="shared" ca="1" si="211"/>
        <v>0</v>
      </c>
      <c r="AJ297" s="50">
        <f t="shared" ca="1" si="211"/>
        <v>0</v>
      </c>
      <c r="AK297" s="50">
        <f t="shared" ca="1" si="211"/>
        <v>0</v>
      </c>
      <c r="AL297" s="50">
        <f t="shared" si="211"/>
        <v>0</v>
      </c>
      <c r="AM297" s="50">
        <f t="shared" si="211"/>
        <v>0</v>
      </c>
      <c r="AN297" s="50">
        <f t="shared" si="211"/>
        <v>0</v>
      </c>
      <c r="AO297" s="50">
        <f t="shared" si="211"/>
        <v>0</v>
      </c>
      <c r="AP297" s="50">
        <f t="shared" si="211"/>
        <v>0</v>
      </c>
      <c r="AQ297" s="50">
        <f t="shared" si="211"/>
        <v>0</v>
      </c>
      <c r="AR297" s="50">
        <f t="shared" si="211"/>
        <v>0</v>
      </c>
      <c r="AS297" s="50">
        <f t="shared" si="211"/>
        <v>0</v>
      </c>
      <c r="AT297" s="50">
        <f t="shared" si="211"/>
        <v>0</v>
      </c>
      <c r="AU297" s="50">
        <f t="shared" si="211"/>
        <v>0</v>
      </c>
    </row>
    <row r="298" spans="1:47">
      <c r="A298" s="38" t="str">
        <f t="shared" si="204"/>
        <v>4Y-</v>
      </c>
      <c r="B298" s="38" t="s">
        <v>273</v>
      </c>
      <c r="C298" s="38" t="str">
        <f>C296</f>
        <v>Fluid Bed Incineration</v>
      </c>
      <c r="D298" s="186">
        <f>LaborEsc</f>
        <v>0.02</v>
      </c>
      <c r="E298" s="325"/>
      <c r="G298" s="36" t="s">
        <v>291</v>
      </c>
      <c r="I298" s="39"/>
      <c r="K298" s="39"/>
      <c r="L298" s="43" t="str">
        <f>"["&amp;CostBaseYr&amp;" $]"</f>
        <v>[2013 $]</v>
      </c>
      <c r="N298" s="70">
        <f ca="1">SUMIFS(OFFSET(Assumptions!$I$90,0,MATCH($A298,Configurations,0)-1,COUNT(Assumptions!$A$90:$A$183),1),Assumptions!$D$90:$D$183,$B298&amp;$C298)</f>
        <v>0</v>
      </c>
      <c r="O298" s="313"/>
      <c r="P298" s="323"/>
      <c r="Q298" s="313"/>
      <c r="R298" s="50">
        <f t="shared" ref="R298:AU298" ca="1" si="212">IF(OR(R$99&lt;InServiceYr,R$99&gt;(InServiceYr+analysis_period-1)),0,IF($P298=0,$N298,$P298)*(1+$D298)^(R$99-CostBaseYr))*R$509</f>
        <v>0</v>
      </c>
      <c r="S298" s="50">
        <f t="shared" ca="1" si="212"/>
        <v>0</v>
      </c>
      <c r="T298" s="50">
        <f t="shared" ca="1" si="212"/>
        <v>0</v>
      </c>
      <c r="U298" s="50">
        <f t="shared" ca="1" si="212"/>
        <v>0</v>
      </c>
      <c r="V298" s="50">
        <f t="shared" ca="1" si="212"/>
        <v>0</v>
      </c>
      <c r="W298" s="50">
        <f t="shared" ca="1" si="212"/>
        <v>0</v>
      </c>
      <c r="X298" s="50">
        <f t="shared" ca="1" si="212"/>
        <v>0</v>
      </c>
      <c r="Y298" s="50">
        <f t="shared" ca="1" si="212"/>
        <v>0</v>
      </c>
      <c r="Z298" s="50">
        <f t="shared" ca="1" si="212"/>
        <v>0</v>
      </c>
      <c r="AA298" s="50">
        <f t="shared" ca="1" si="212"/>
        <v>0</v>
      </c>
      <c r="AB298" s="50">
        <f t="shared" ca="1" si="212"/>
        <v>0</v>
      </c>
      <c r="AC298" s="50">
        <f t="shared" ca="1" si="212"/>
        <v>0</v>
      </c>
      <c r="AD298" s="50">
        <f t="shared" ca="1" si="212"/>
        <v>0</v>
      </c>
      <c r="AE298" s="50">
        <f t="shared" ca="1" si="212"/>
        <v>0</v>
      </c>
      <c r="AF298" s="50">
        <f t="shared" ca="1" si="212"/>
        <v>0</v>
      </c>
      <c r="AG298" s="50">
        <f t="shared" ca="1" si="212"/>
        <v>0</v>
      </c>
      <c r="AH298" s="50">
        <f t="shared" ca="1" si="212"/>
        <v>0</v>
      </c>
      <c r="AI298" s="50">
        <f t="shared" ca="1" si="212"/>
        <v>0</v>
      </c>
      <c r="AJ298" s="50">
        <f t="shared" ca="1" si="212"/>
        <v>0</v>
      </c>
      <c r="AK298" s="50">
        <f t="shared" ca="1" si="212"/>
        <v>0</v>
      </c>
      <c r="AL298" s="50">
        <f t="shared" si="212"/>
        <v>0</v>
      </c>
      <c r="AM298" s="50">
        <f t="shared" si="212"/>
        <v>0</v>
      </c>
      <c r="AN298" s="50">
        <f t="shared" si="212"/>
        <v>0</v>
      </c>
      <c r="AO298" s="50">
        <f t="shared" si="212"/>
        <v>0</v>
      </c>
      <c r="AP298" s="50">
        <f t="shared" si="212"/>
        <v>0</v>
      </c>
      <c r="AQ298" s="50">
        <f t="shared" si="212"/>
        <v>0</v>
      </c>
      <c r="AR298" s="50">
        <f t="shared" si="212"/>
        <v>0</v>
      </c>
      <c r="AS298" s="50">
        <f t="shared" si="212"/>
        <v>0</v>
      </c>
      <c r="AT298" s="50">
        <f t="shared" si="212"/>
        <v>0</v>
      </c>
      <c r="AU298" s="50">
        <f t="shared" si="212"/>
        <v>0</v>
      </c>
    </row>
    <row r="299" spans="1:47">
      <c r="D299" s="186"/>
      <c r="E299" s="325"/>
      <c r="G299" s="39" t="s">
        <v>304</v>
      </c>
      <c r="I299" s="39"/>
      <c r="K299" s="39"/>
      <c r="L299" s="43"/>
      <c r="N299" s="70"/>
      <c r="O299" s="313"/>
      <c r="P299" s="70"/>
      <c r="Q299" s="313"/>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row>
    <row r="300" spans="1:47">
      <c r="A300" s="38" t="str">
        <f>$J$4&amp;"-"</f>
        <v>4Y-</v>
      </c>
      <c r="B300" s="38" t="s">
        <v>265</v>
      </c>
      <c r="C300" s="38" t="str">
        <f>C291</f>
        <v>Fluid Bed Incineration</v>
      </c>
      <c r="D300" s="186"/>
      <c r="E300" s="325"/>
      <c r="G300" s="36" t="s">
        <v>108</v>
      </c>
      <c r="I300" s="39"/>
      <c r="K300" s="39"/>
      <c r="L300" s="43" t="s">
        <v>293</v>
      </c>
      <c r="N300" s="70">
        <f ca="1">SUMIFS(OFFSET(Assumptions!$I$90,0,MATCH($A300,Configurations,0)-1,COUNT(Assumptions!$A$90:$A$183),1),Assumptions!$D$90:$D$183,$B300&amp;$C300)</f>
        <v>0</v>
      </c>
      <c r="O300" s="313"/>
      <c r="P300" s="323"/>
      <c r="Q300" s="313"/>
      <c r="R300" s="50">
        <f t="shared" ref="R300:AU300" ca="1" si="213">IF(OR(R$99&lt;InServiceYr,R$99&gt;(InServiceYr+analysis_period-1)),0,IF($P300=0,$N300,$P300)*R$501)</f>
        <v>0</v>
      </c>
      <c r="S300" s="50">
        <f t="shared" ca="1" si="213"/>
        <v>0</v>
      </c>
      <c r="T300" s="50">
        <f t="shared" ca="1" si="213"/>
        <v>0</v>
      </c>
      <c r="U300" s="50">
        <f t="shared" ca="1" si="213"/>
        <v>0</v>
      </c>
      <c r="V300" s="50">
        <f t="shared" ca="1" si="213"/>
        <v>0</v>
      </c>
      <c r="W300" s="50">
        <f t="shared" ca="1" si="213"/>
        <v>0</v>
      </c>
      <c r="X300" s="50">
        <f t="shared" ca="1" si="213"/>
        <v>0</v>
      </c>
      <c r="Y300" s="50">
        <f t="shared" ca="1" si="213"/>
        <v>0</v>
      </c>
      <c r="Z300" s="50">
        <f t="shared" ca="1" si="213"/>
        <v>0</v>
      </c>
      <c r="AA300" s="50">
        <f t="shared" ca="1" si="213"/>
        <v>0</v>
      </c>
      <c r="AB300" s="50">
        <f t="shared" ca="1" si="213"/>
        <v>0</v>
      </c>
      <c r="AC300" s="50">
        <f t="shared" ca="1" si="213"/>
        <v>0</v>
      </c>
      <c r="AD300" s="50">
        <f t="shared" ca="1" si="213"/>
        <v>0</v>
      </c>
      <c r="AE300" s="50">
        <f t="shared" ca="1" si="213"/>
        <v>0</v>
      </c>
      <c r="AF300" s="50">
        <f t="shared" ca="1" si="213"/>
        <v>0</v>
      </c>
      <c r="AG300" s="50">
        <f t="shared" ca="1" si="213"/>
        <v>0</v>
      </c>
      <c r="AH300" s="50">
        <f t="shared" ca="1" si="213"/>
        <v>0</v>
      </c>
      <c r="AI300" s="50">
        <f t="shared" ca="1" si="213"/>
        <v>0</v>
      </c>
      <c r="AJ300" s="50">
        <f t="shared" ca="1" si="213"/>
        <v>0</v>
      </c>
      <c r="AK300" s="50">
        <f t="shared" ca="1" si="213"/>
        <v>0</v>
      </c>
      <c r="AL300" s="50">
        <f t="shared" si="213"/>
        <v>0</v>
      </c>
      <c r="AM300" s="50">
        <f t="shared" si="213"/>
        <v>0</v>
      </c>
      <c r="AN300" s="50">
        <f t="shared" si="213"/>
        <v>0</v>
      </c>
      <c r="AO300" s="50">
        <f t="shared" si="213"/>
        <v>0</v>
      </c>
      <c r="AP300" s="50">
        <f t="shared" si="213"/>
        <v>0</v>
      </c>
      <c r="AQ300" s="50">
        <f t="shared" si="213"/>
        <v>0</v>
      </c>
      <c r="AR300" s="50">
        <f t="shared" si="213"/>
        <v>0</v>
      </c>
      <c r="AS300" s="50">
        <f t="shared" si="213"/>
        <v>0</v>
      </c>
      <c r="AT300" s="50">
        <f t="shared" si="213"/>
        <v>0</v>
      </c>
      <c r="AU300" s="50">
        <f t="shared" si="213"/>
        <v>0</v>
      </c>
    </row>
    <row r="301" spans="1:47">
      <c r="A301" s="38" t="str">
        <f>$J$4&amp;"-"</f>
        <v>4Y-</v>
      </c>
      <c r="B301" s="38" t="s">
        <v>289</v>
      </c>
      <c r="C301" s="38" t="str">
        <f>C291</f>
        <v>Fluid Bed Incineration</v>
      </c>
      <c r="D301" s="186">
        <f>LaborEsc</f>
        <v>0.02</v>
      </c>
      <c r="E301" s="325"/>
      <c r="G301" s="36" t="s">
        <v>292</v>
      </c>
      <c r="I301" s="39"/>
      <c r="K301" s="39"/>
      <c r="L301" s="43" t="str">
        <f>"["&amp;CostBaseYr&amp;" $]"</f>
        <v>[2013 $]</v>
      </c>
      <c r="N301" s="70">
        <f ca="1">SUMIFS(OFFSET(Assumptions!$I$90,0,MATCH($A301,Configurations,0)-1,COUNT(Assumptions!$A$90:$A$183),1),Assumptions!$D$90:$D$183,$B301&amp;$C301)</f>
        <v>0</v>
      </c>
      <c r="O301" s="313"/>
      <c r="P301" s="323"/>
      <c r="Q301" s="313"/>
      <c r="R301" s="50">
        <f t="shared" ref="R301:AU301" ca="1" si="214">IF(OR(R$99&lt;InServiceYr,R$99&gt;(InServiceYr+analysis_period-1)),0,IF($P301=0,$N301,$P301)*(1+$D301)^(R$99-CostBaseYr))</f>
        <v>0</v>
      </c>
      <c r="S301" s="50">
        <f t="shared" ca="1" si="214"/>
        <v>0</v>
      </c>
      <c r="T301" s="50">
        <f t="shared" ca="1" si="214"/>
        <v>0</v>
      </c>
      <c r="U301" s="50">
        <f t="shared" ca="1" si="214"/>
        <v>0</v>
      </c>
      <c r="V301" s="50">
        <f t="shared" ca="1" si="214"/>
        <v>0</v>
      </c>
      <c r="W301" s="50">
        <f t="shared" ca="1" si="214"/>
        <v>0</v>
      </c>
      <c r="X301" s="50">
        <f t="shared" ca="1" si="214"/>
        <v>0</v>
      </c>
      <c r="Y301" s="50">
        <f t="shared" ca="1" si="214"/>
        <v>0</v>
      </c>
      <c r="Z301" s="50">
        <f t="shared" ca="1" si="214"/>
        <v>0</v>
      </c>
      <c r="AA301" s="50">
        <f t="shared" ca="1" si="214"/>
        <v>0</v>
      </c>
      <c r="AB301" s="50">
        <f t="shared" ca="1" si="214"/>
        <v>0</v>
      </c>
      <c r="AC301" s="50">
        <f t="shared" ca="1" si="214"/>
        <v>0</v>
      </c>
      <c r="AD301" s="50">
        <f t="shared" ca="1" si="214"/>
        <v>0</v>
      </c>
      <c r="AE301" s="50">
        <f t="shared" ca="1" si="214"/>
        <v>0</v>
      </c>
      <c r="AF301" s="50">
        <f t="shared" ca="1" si="214"/>
        <v>0</v>
      </c>
      <c r="AG301" s="50">
        <f t="shared" ca="1" si="214"/>
        <v>0</v>
      </c>
      <c r="AH301" s="50">
        <f t="shared" ca="1" si="214"/>
        <v>0</v>
      </c>
      <c r="AI301" s="50">
        <f t="shared" ca="1" si="214"/>
        <v>0</v>
      </c>
      <c r="AJ301" s="50">
        <f t="shared" ca="1" si="214"/>
        <v>0</v>
      </c>
      <c r="AK301" s="50">
        <f t="shared" ca="1" si="214"/>
        <v>0</v>
      </c>
      <c r="AL301" s="50">
        <f t="shared" si="214"/>
        <v>0</v>
      </c>
      <c r="AM301" s="50">
        <f t="shared" si="214"/>
        <v>0</v>
      </c>
      <c r="AN301" s="50">
        <f t="shared" si="214"/>
        <v>0</v>
      </c>
      <c r="AO301" s="50">
        <f t="shared" si="214"/>
        <v>0</v>
      </c>
      <c r="AP301" s="50">
        <f t="shared" si="214"/>
        <v>0</v>
      </c>
      <c r="AQ301" s="50">
        <f t="shared" si="214"/>
        <v>0</v>
      </c>
      <c r="AR301" s="50">
        <f t="shared" si="214"/>
        <v>0</v>
      </c>
      <c r="AS301" s="50">
        <f t="shared" si="214"/>
        <v>0</v>
      </c>
      <c r="AT301" s="50">
        <f t="shared" si="214"/>
        <v>0</v>
      </c>
      <c r="AU301" s="50">
        <f t="shared" si="214"/>
        <v>0</v>
      </c>
    </row>
    <row r="302" spans="1:47" s="60" customFormat="1">
      <c r="D302" s="187"/>
      <c r="E302" s="325"/>
      <c r="G302" s="39" t="s">
        <v>305</v>
      </c>
      <c r="I302" s="39"/>
      <c r="K302" s="39"/>
      <c r="L302" s="174"/>
      <c r="N302" s="188"/>
      <c r="O302" s="314"/>
      <c r="P302" s="185"/>
      <c r="Q302" s="314"/>
      <c r="R302" s="185">
        <f ca="1">SUM(R291:R298)-SUM(R300:R301)</f>
        <v>0</v>
      </c>
      <c r="S302" s="185">
        <f t="shared" ref="S302:AU302" ca="1" si="215">SUM(S291:S298)-SUM(S300:S301)</f>
        <v>0</v>
      </c>
      <c r="T302" s="185">
        <f t="shared" ca="1" si="215"/>
        <v>0</v>
      </c>
      <c r="U302" s="185">
        <f t="shared" ca="1" si="215"/>
        <v>0</v>
      </c>
      <c r="V302" s="185">
        <f t="shared" ca="1" si="215"/>
        <v>0</v>
      </c>
      <c r="W302" s="185">
        <f t="shared" ca="1" si="215"/>
        <v>0</v>
      </c>
      <c r="X302" s="185">
        <f t="shared" ca="1" si="215"/>
        <v>0</v>
      </c>
      <c r="Y302" s="185">
        <f t="shared" ca="1" si="215"/>
        <v>0</v>
      </c>
      <c r="Z302" s="185">
        <f t="shared" ca="1" si="215"/>
        <v>0</v>
      </c>
      <c r="AA302" s="185">
        <f t="shared" ca="1" si="215"/>
        <v>0</v>
      </c>
      <c r="AB302" s="185">
        <f t="shared" ca="1" si="215"/>
        <v>0</v>
      </c>
      <c r="AC302" s="185">
        <f t="shared" ca="1" si="215"/>
        <v>0</v>
      </c>
      <c r="AD302" s="185">
        <f t="shared" ca="1" si="215"/>
        <v>0</v>
      </c>
      <c r="AE302" s="185">
        <f t="shared" ca="1" si="215"/>
        <v>0</v>
      </c>
      <c r="AF302" s="185">
        <f t="shared" ca="1" si="215"/>
        <v>0</v>
      </c>
      <c r="AG302" s="185">
        <f t="shared" ca="1" si="215"/>
        <v>0</v>
      </c>
      <c r="AH302" s="185">
        <f t="shared" ca="1" si="215"/>
        <v>0</v>
      </c>
      <c r="AI302" s="185">
        <f t="shared" ca="1" si="215"/>
        <v>0</v>
      </c>
      <c r="AJ302" s="185">
        <f t="shared" ca="1" si="215"/>
        <v>0</v>
      </c>
      <c r="AK302" s="185">
        <f t="shared" ca="1" si="215"/>
        <v>0</v>
      </c>
      <c r="AL302" s="185">
        <f t="shared" si="215"/>
        <v>0</v>
      </c>
      <c r="AM302" s="185">
        <f t="shared" si="215"/>
        <v>0</v>
      </c>
      <c r="AN302" s="185">
        <f t="shared" si="215"/>
        <v>0</v>
      </c>
      <c r="AO302" s="185">
        <f t="shared" si="215"/>
        <v>0</v>
      </c>
      <c r="AP302" s="185">
        <f t="shared" si="215"/>
        <v>0</v>
      </c>
      <c r="AQ302" s="185">
        <f t="shared" si="215"/>
        <v>0</v>
      </c>
      <c r="AR302" s="185">
        <f t="shared" si="215"/>
        <v>0</v>
      </c>
      <c r="AS302" s="185">
        <f t="shared" si="215"/>
        <v>0</v>
      </c>
      <c r="AT302" s="185">
        <f t="shared" si="215"/>
        <v>0</v>
      </c>
      <c r="AU302" s="185">
        <f t="shared" si="215"/>
        <v>0</v>
      </c>
    </row>
    <row r="303" spans="1:47">
      <c r="E303" s="36"/>
      <c r="G303" s="39"/>
      <c r="H303" s="39"/>
      <c r="I303" s="39"/>
      <c r="J303" s="39"/>
      <c r="K303" s="39"/>
    </row>
    <row r="304" spans="1:47">
      <c r="E304" s="327"/>
      <c r="F304" s="28"/>
      <c r="G304" s="324" t="str">
        <f>C306&amp;" Capital Costs"</f>
        <v>FOG Receiving Capital Costs</v>
      </c>
      <c r="H304" s="324"/>
      <c r="I304" s="324"/>
      <c r="J304" s="324"/>
      <c r="K304" s="324"/>
      <c r="L304" s="405" t="s">
        <v>79</v>
      </c>
      <c r="M304" s="256"/>
      <c r="N304" s="325" t="s">
        <v>490</v>
      </c>
      <c r="O304" s="311"/>
      <c r="P304" s="325" t="s">
        <v>491</v>
      </c>
      <c r="Q304" s="310"/>
      <c r="R304" s="325">
        <f>R$8</f>
        <v>2014</v>
      </c>
      <c r="S304" s="325">
        <f t="shared" ref="S304:AU304" si="216">S$8</f>
        <v>2015</v>
      </c>
      <c r="T304" s="325">
        <f t="shared" si="216"/>
        <v>2016</v>
      </c>
      <c r="U304" s="325">
        <f t="shared" si="216"/>
        <v>2017</v>
      </c>
      <c r="V304" s="325">
        <f t="shared" si="216"/>
        <v>2018</v>
      </c>
      <c r="W304" s="325">
        <f t="shared" si="216"/>
        <v>2019</v>
      </c>
      <c r="X304" s="325">
        <f t="shared" si="216"/>
        <v>2020</v>
      </c>
      <c r="Y304" s="325">
        <f t="shared" si="216"/>
        <v>2021</v>
      </c>
      <c r="Z304" s="325">
        <f t="shared" si="216"/>
        <v>2022</v>
      </c>
      <c r="AA304" s="325">
        <f t="shared" si="216"/>
        <v>2023</v>
      </c>
      <c r="AB304" s="325">
        <f t="shared" si="216"/>
        <v>2024</v>
      </c>
      <c r="AC304" s="325">
        <f t="shared" si="216"/>
        <v>2025</v>
      </c>
      <c r="AD304" s="325">
        <f t="shared" si="216"/>
        <v>2026</v>
      </c>
      <c r="AE304" s="325">
        <f t="shared" si="216"/>
        <v>2027</v>
      </c>
      <c r="AF304" s="325">
        <f t="shared" si="216"/>
        <v>2028</v>
      </c>
      <c r="AG304" s="325">
        <f t="shared" si="216"/>
        <v>2029</v>
      </c>
      <c r="AH304" s="325">
        <f t="shared" si="216"/>
        <v>2030</v>
      </c>
      <c r="AI304" s="325">
        <f t="shared" si="216"/>
        <v>2031</v>
      </c>
      <c r="AJ304" s="325">
        <f t="shared" si="216"/>
        <v>2032</v>
      </c>
      <c r="AK304" s="325">
        <f t="shared" si="216"/>
        <v>2033</v>
      </c>
      <c r="AL304" s="325">
        <f t="shared" si="216"/>
        <v>2034</v>
      </c>
      <c r="AM304" s="325">
        <f t="shared" si="216"/>
        <v>2035</v>
      </c>
      <c r="AN304" s="325">
        <f t="shared" si="216"/>
        <v>2036</v>
      </c>
      <c r="AO304" s="325">
        <f t="shared" si="216"/>
        <v>2037</v>
      </c>
      <c r="AP304" s="325">
        <f t="shared" si="216"/>
        <v>2038</v>
      </c>
      <c r="AQ304" s="325">
        <f t="shared" si="216"/>
        <v>2039</v>
      </c>
      <c r="AR304" s="325">
        <f t="shared" si="216"/>
        <v>2040</v>
      </c>
      <c r="AS304" s="325">
        <f t="shared" si="216"/>
        <v>2041</v>
      </c>
      <c r="AT304" s="325">
        <f t="shared" si="216"/>
        <v>2042</v>
      </c>
      <c r="AU304" s="325">
        <f t="shared" si="216"/>
        <v>2043</v>
      </c>
    </row>
    <row r="305" spans="1:47">
      <c r="E305" s="325"/>
      <c r="G305" s="39"/>
      <c r="H305" s="39"/>
      <c r="I305" s="39"/>
      <c r="J305" s="39"/>
      <c r="K305" s="39"/>
    </row>
    <row r="306" spans="1:47">
      <c r="A306" s="38" t="str">
        <f>$J$4&amp;"-"</f>
        <v>4Y-</v>
      </c>
      <c r="B306" s="38" t="s">
        <v>306</v>
      </c>
      <c r="C306" s="38" t="s">
        <v>161</v>
      </c>
      <c r="D306" s="186">
        <f>CapExEsc</f>
        <v>0.03</v>
      </c>
      <c r="E306" s="325"/>
      <c r="G306" s="36" t="s">
        <v>8</v>
      </c>
      <c r="H306" s="39"/>
      <c r="I306" s="39"/>
      <c r="J306" s="70"/>
      <c r="K306" s="39"/>
      <c r="L306" s="43" t="str">
        <f>"["&amp;CostBaseYr&amp;" $]"</f>
        <v>[2013 $]</v>
      </c>
      <c r="N306" s="52">
        <f ca="1">SUMIFS(OFFSET(Assumptions!$I$65,0,MATCH($A306,Configurations,0)-1,COUNT(Assumptions!$A$65:$A$84),1),Assumptions!$E$65:$E$84,$C306)</f>
        <v>0</v>
      </c>
      <c r="O306" s="52"/>
      <c r="P306" s="322"/>
      <c r="Q306" s="52"/>
      <c r="R306" s="52">
        <f t="shared" ref="R306:AU306" ca="1" si="217">R307*IF($P306=0,$N306,$P306)*(1+$D306)^(R$8-CostBaseYr)</f>
        <v>0</v>
      </c>
      <c r="S306" s="52">
        <f t="shared" ca="1" si="217"/>
        <v>0</v>
      </c>
      <c r="T306" s="52">
        <f t="shared" ca="1" si="217"/>
        <v>0</v>
      </c>
      <c r="U306" s="52">
        <f t="shared" ca="1" si="217"/>
        <v>0</v>
      </c>
      <c r="V306" s="52">
        <f t="shared" ca="1" si="217"/>
        <v>0</v>
      </c>
      <c r="W306" s="52">
        <f t="shared" ca="1" si="217"/>
        <v>0</v>
      </c>
      <c r="X306" s="52">
        <f t="shared" ca="1" si="217"/>
        <v>0</v>
      </c>
      <c r="Y306" s="52">
        <f t="shared" ca="1" si="217"/>
        <v>0</v>
      </c>
      <c r="Z306" s="52">
        <f t="shared" ca="1" si="217"/>
        <v>0</v>
      </c>
      <c r="AA306" s="52">
        <f t="shared" ca="1" si="217"/>
        <v>0</v>
      </c>
      <c r="AB306" s="52">
        <f t="shared" ca="1" si="217"/>
        <v>0</v>
      </c>
      <c r="AC306" s="52">
        <f t="shared" ca="1" si="217"/>
        <v>0</v>
      </c>
      <c r="AD306" s="52">
        <f t="shared" ca="1" si="217"/>
        <v>0</v>
      </c>
      <c r="AE306" s="52">
        <f t="shared" ca="1" si="217"/>
        <v>0</v>
      </c>
      <c r="AF306" s="52">
        <f t="shared" ca="1" si="217"/>
        <v>0</v>
      </c>
      <c r="AG306" s="52">
        <f t="shared" ca="1" si="217"/>
        <v>0</v>
      </c>
      <c r="AH306" s="52">
        <f t="shared" ca="1" si="217"/>
        <v>0</v>
      </c>
      <c r="AI306" s="52">
        <f t="shared" ca="1" si="217"/>
        <v>0</v>
      </c>
      <c r="AJ306" s="52">
        <f t="shared" ca="1" si="217"/>
        <v>0</v>
      </c>
      <c r="AK306" s="52">
        <f t="shared" ca="1" si="217"/>
        <v>0</v>
      </c>
      <c r="AL306" s="52">
        <f t="shared" ca="1" si="217"/>
        <v>0</v>
      </c>
      <c r="AM306" s="52">
        <f t="shared" ca="1" si="217"/>
        <v>0</v>
      </c>
      <c r="AN306" s="52">
        <f t="shared" ca="1" si="217"/>
        <v>0</v>
      </c>
      <c r="AO306" s="52">
        <f t="shared" ca="1" si="217"/>
        <v>0</v>
      </c>
      <c r="AP306" s="52">
        <f t="shared" ca="1" si="217"/>
        <v>0</v>
      </c>
      <c r="AQ306" s="52">
        <f t="shared" ca="1" si="217"/>
        <v>0</v>
      </c>
      <c r="AR306" s="52">
        <f t="shared" ca="1" si="217"/>
        <v>0</v>
      </c>
      <c r="AS306" s="52">
        <f t="shared" ca="1" si="217"/>
        <v>0</v>
      </c>
      <c r="AT306" s="52">
        <f t="shared" ca="1" si="217"/>
        <v>0</v>
      </c>
      <c r="AU306" s="52">
        <f t="shared" ca="1" si="217"/>
        <v>0</v>
      </c>
    </row>
    <row r="307" spans="1:47">
      <c r="E307" s="325"/>
      <c r="G307" s="36" t="s">
        <v>10</v>
      </c>
      <c r="H307" s="39"/>
      <c r="I307" s="39"/>
      <c r="J307" s="39"/>
      <c r="K307" s="39"/>
      <c r="L307" s="43"/>
      <c r="R307" s="54">
        <f>Assumptions!M$60</f>
        <v>1</v>
      </c>
      <c r="S307" s="54">
        <f>Assumptions!N$60</f>
        <v>0</v>
      </c>
      <c r="T307" s="54">
        <f>Assumptions!O$60</f>
        <v>0</v>
      </c>
      <c r="U307" s="54">
        <f>Assumptions!P$60</f>
        <v>0</v>
      </c>
      <c r="V307" s="54">
        <f>Assumptions!Q$60</f>
        <v>0</v>
      </c>
      <c r="W307" s="54">
        <f>Assumptions!R$60</f>
        <v>0</v>
      </c>
      <c r="X307" s="54">
        <f>Assumptions!S$60</f>
        <v>0</v>
      </c>
      <c r="Y307" s="54">
        <f>Assumptions!T$60</f>
        <v>0</v>
      </c>
      <c r="Z307" s="54">
        <f>Assumptions!U$60</f>
        <v>0</v>
      </c>
      <c r="AA307" s="54">
        <f>Assumptions!V$60</f>
        <v>0</v>
      </c>
      <c r="AB307" s="54">
        <f>Assumptions!W$60</f>
        <v>0</v>
      </c>
      <c r="AC307" s="54">
        <f>Assumptions!X$60</f>
        <v>0</v>
      </c>
      <c r="AD307" s="54">
        <f>Assumptions!Y$60</f>
        <v>0</v>
      </c>
      <c r="AE307" s="54">
        <f>Assumptions!Z$60</f>
        <v>0</v>
      </c>
      <c r="AF307" s="54">
        <f>Assumptions!AA$60</f>
        <v>0</v>
      </c>
      <c r="AG307" s="54">
        <f>Assumptions!AB$60</f>
        <v>0</v>
      </c>
      <c r="AH307" s="54">
        <f>Assumptions!AC$60</f>
        <v>0</v>
      </c>
      <c r="AI307" s="54">
        <f>Assumptions!AD$60</f>
        <v>0</v>
      </c>
      <c r="AJ307" s="54">
        <f>Assumptions!AE$60</f>
        <v>0</v>
      </c>
      <c r="AK307" s="54">
        <f>Assumptions!AF$60</f>
        <v>0</v>
      </c>
      <c r="AL307" s="54">
        <f>Assumptions!AG$60</f>
        <v>0</v>
      </c>
      <c r="AM307" s="54">
        <f>Assumptions!AH$60</f>
        <v>0</v>
      </c>
      <c r="AN307" s="54">
        <f>Assumptions!AI$60</f>
        <v>0</v>
      </c>
      <c r="AO307" s="54">
        <f>Assumptions!AJ$60</f>
        <v>0</v>
      </c>
      <c r="AP307" s="54">
        <f>Assumptions!AK$60</f>
        <v>0</v>
      </c>
      <c r="AQ307" s="54">
        <f>Assumptions!AL$60</f>
        <v>0</v>
      </c>
      <c r="AR307" s="54">
        <f>Assumptions!AM$60</f>
        <v>0</v>
      </c>
      <c r="AS307" s="54">
        <f>Assumptions!AN$60</f>
        <v>0</v>
      </c>
      <c r="AT307" s="54">
        <f>Assumptions!AO$60</f>
        <v>0</v>
      </c>
      <c r="AU307" s="54">
        <f>Assumptions!AP$60</f>
        <v>0</v>
      </c>
    </row>
    <row r="308" spans="1:47">
      <c r="E308" s="326"/>
      <c r="G308" s="39"/>
      <c r="H308" s="39"/>
      <c r="I308" s="39"/>
      <c r="J308" s="39"/>
      <c r="K308" s="39"/>
    </row>
    <row r="309" spans="1:47">
      <c r="E309" s="327"/>
      <c r="F309" s="28"/>
      <c r="G309" s="324" t="str">
        <f>C306&amp;" O&amp;M"</f>
        <v>FOG Receiving O&amp;M</v>
      </c>
      <c r="H309" s="324"/>
      <c r="I309" s="324"/>
      <c r="J309" s="324"/>
      <c r="K309" s="324"/>
      <c r="L309" s="405" t="s">
        <v>79</v>
      </c>
      <c r="M309" s="256"/>
      <c r="N309" s="325" t="s">
        <v>490</v>
      </c>
      <c r="O309" s="311"/>
      <c r="P309" s="325" t="s">
        <v>491</v>
      </c>
      <c r="Q309" s="310"/>
      <c r="R309" s="325">
        <f>R$8</f>
        <v>2014</v>
      </c>
      <c r="S309" s="325">
        <f t="shared" ref="S309:AU309" si="218">S$8</f>
        <v>2015</v>
      </c>
      <c r="T309" s="325">
        <f t="shared" si="218"/>
        <v>2016</v>
      </c>
      <c r="U309" s="325">
        <f t="shared" si="218"/>
        <v>2017</v>
      </c>
      <c r="V309" s="325">
        <f t="shared" si="218"/>
        <v>2018</v>
      </c>
      <c r="W309" s="325">
        <f t="shared" si="218"/>
        <v>2019</v>
      </c>
      <c r="X309" s="325">
        <f t="shared" si="218"/>
        <v>2020</v>
      </c>
      <c r="Y309" s="325">
        <f t="shared" si="218"/>
        <v>2021</v>
      </c>
      <c r="Z309" s="325">
        <f t="shared" si="218"/>
        <v>2022</v>
      </c>
      <c r="AA309" s="325">
        <f t="shared" si="218"/>
        <v>2023</v>
      </c>
      <c r="AB309" s="325">
        <f t="shared" si="218"/>
        <v>2024</v>
      </c>
      <c r="AC309" s="325">
        <f t="shared" si="218"/>
        <v>2025</v>
      </c>
      <c r="AD309" s="325">
        <f t="shared" si="218"/>
        <v>2026</v>
      </c>
      <c r="AE309" s="325">
        <f t="shared" si="218"/>
        <v>2027</v>
      </c>
      <c r="AF309" s="325">
        <f t="shared" si="218"/>
        <v>2028</v>
      </c>
      <c r="AG309" s="325">
        <f t="shared" si="218"/>
        <v>2029</v>
      </c>
      <c r="AH309" s="325">
        <f t="shared" si="218"/>
        <v>2030</v>
      </c>
      <c r="AI309" s="325">
        <f t="shared" si="218"/>
        <v>2031</v>
      </c>
      <c r="AJ309" s="325">
        <f t="shared" si="218"/>
        <v>2032</v>
      </c>
      <c r="AK309" s="325">
        <f t="shared" si="218"/>
        <v>2033</v>
      </c>
      <c r="AL309" s="325">
        <f t="shared" si="218"/>
        <v>2034</v>
      </c>
      <c r="AM309" s="325">
        <f t="shared" si="218"/>
        <v>2035</v>
      </c>
      <c r="AN309" s="325">
        <f t="shared" si="218"/>
        <v>2036</v>
      </c>
      <c r="AO309" s="325">
        <f t="shared" si="218"/>
        <v>2037</v>
      </c>
      <c r="AP309" s="325">
        <f t="shared" si="218"/>
        <v>2038</v>
      </c>
      <c r="AQ309" s="325">
        <f t="shared" si="218"/>
        <v>2039</v>
      </c>
      <c r="AR309" s="325">
        <f t="shared" si="218"/>
        <v>2040</v>
      </c>
      <c r="AS309" s="325">
        <f t="shared" si="218"/>
        <v>2041</v>
      </c>
      <c r="AT309" s="325">
        <f t="shared" si="218"/>
        <v>2042</v>
      </c>
      <c r="AU309" s="325">
        <f t="shared" si="218"/>
        <v>2043</v>
      </c>
    </row>
    <row r="310" spans="1:47">
      <c r="E310" s="325"/>
      <c r="G310" s="39"/>
      <c r="H310" s="39"/>
      <c r="I310" s="39"/>
      <c r="J310" s="39"/>
      <c r="K310" s="39"/>
    </row>
    <row r="311" spans="1:47">
      <c r="E311" s="325"/>
      <c r="G311" s="39" t="s">
        <v>23</v>
      </c>
      <c r="H311" s="39"/>
      <c r="I311" s="39"/>
      <c r="J311" s="39"/>
      <c r="K311" s="39"/>
    </row>
    <row r="312" spans="1:47">
      <c r="A312" s="38" t="str">
        <f t="shared" ref="A312:A319" si="219">$J$4&amp;"-"</f>
        <v>4Y-</v>
      </c>
      <c r="B312" s="38" t="s">
        <v>262</v>
      </c>
      <c r="C312" s="38" t="str">
        <f>C306</f>
        <v>FOG Receiving</v>
      </c>
      <c r="D312" s="186">
        <f>LaborEsc</f>
        <v>0.02</v>
      </c>
      <c r="E312" s="325"/>
      <c r="G312" s="36" t="s">
        <v>125</v>
      </c>
      <c r="I312" s="39"/>
      <c r="K312" s="39"/>
      <c r="L312" s="43" t="s">
        <v>266</v>
      </c>
      <c r="N312" s="70">
        <f ca="1">SUMIFS(OFFSET(Assumptions!$I$90,0,MATCH($A312,Configurations,0)-1,COUNT(Assumptions!$A$90:$A$183),1),Assumptions!$D$90:$D$183,$B312&amp;$C312)</f>
        <v>0</v>
      </c>
      <c r="O312" s="313"/>
      <c r="P312" s="323"/>
      <c r="Q312" s="313"/>
      <c r="R312" s="50">
        <f t="shared" ref="R312:AU312" ca="1" si="220">IF(OR(R$99&lt;InServiceYr,R$99&gt;(InServiceYr+analysis_period-1)),0,IF($P312=0,$N312,$P312)*LaborCost*(1+$D312)^(R$99-CostBaseYr))</f>
        <v>0</v>
      </c>
      <c r="S312" s="50">
        <f t="shared" ca="1" si="220"/>
        <v>0</v>
      </c>
      <c r="T312" s="50">
        <f t="shared" ca="1" si="220"/>
        <v>0</v>
      </c>
      <c r="U312" s="50">
        <f t="shared" ca="1" si="220"/>
        <v>0</v>
      </c>
      <c r="V312" s="50">
        <f t="shared" ca="1" si="220"/>
        <v>0</v>
      </c>
      <c r="W312" s="50">
        <f t="shared" ca="1" si="220"/>
        <v>0</v>
      </c>
      <c r="X312" s="50">
        <f t="shared" ca="1" si="220"/>
        <v>0</v>
      </c>
      <c r="Y312" s="50">
        <f t="shared" ca="1" si="220"/>
        <v>0</v>
      </c>
      <c r="Z312" s="50">
        <f t="shared" ca="1" si="220"/>
        <v>0</v>
      </c>
      <c r="AA312" s="50">
        <f t="shared" ca="1" si="220"/>
        <v>0</v>
      </c>
      <c r="AB312" s="50">
        <f t="shared" ca="1" si="220"/>
        <v>0</v>
      </c>
      <c r="AC312" s="50">
        <f t="shared" ca="1" si="220"/>
        <v>0</v>
      </c>
      <c r="AD312" s="50">
        <f t="shared" ca="1" si="220"/>
        <v>0</v>
      </c>
      <c r="AE312" s="50">
        <f t="shared" ca="1" si="220"/>
        <v>0</v>
      </c>
      <c r="AF312" s="50">
        <f t="shared" ca="1" si="220"/>
        <v>0</v>
      </c>
      <c r="AG312" s="50">
        <f t="shared" ca="1" si="220"/>
        <v>0</v>
      </c>
      <c r="AH312" s="50">
        <f t="shared" ca="1" si="220"/>
        <v>0</v>
      </c>
      <c r="AI312" s="50">
        <f t="shared" ca="1" si="220"/>
        <v>0</v>
      </c>
      <c r="AJ312" s="50">
        <f t="shared" ca="1" si="220"/>
        <v>0</v>
      </c>
      <c r="AK312" s="50">
        <f t="shared" ca="1" si="220"/>
        <v>0</v>
      </c>
      <c r="AL312" s="50">
        <f t="shared" si="220"/>
        <v>0</v>
      </c>
      <c r="AM312" s="50">
        <f t="shared" si="220"/>
        <v>0</v>
      </c>
      <c r="AN312" s="50">
        <f t="shared" si="220"/>
        <v>0</v>
      </c>
      <c r="AO312" s="50">
        <f t="shared" si="220"/>
        <v>0</v>
      </c>
      <c r="AP312" s="50">
        <f t="shared" si="220"/>
        <v>0</v>
      </c>
      <c r="AQ312" s="50">
        <f t="shared" si="220"/>
        <v>0</v>
      </c>
      <c r="AR312" s="50">
        <f t="shared" si="220"/>
        <v>0</v>
      </c>
      <c r="AS312" s="50">
        <f t="shared" si="220"/>
        <v>0</v>
      </c>
      <c r="AT312" s="50">
        <f t="shared" si="220"/>
        <v>0</v>
      </c>
      <c r="AU312" s="50">
        <f t="shared" si="220"/>
        <v>0</v>
      </c>
    </row>
    <row r="313" spans="1:47">
      <c r="A313" s="38" t="str">
        <f t="shared" si="219"/>
        <v>4Y-</v>
      </c>
      <c r="B313" s="38" t="s">
        <v>270</v>
      </c>
      <c r="C313" s="38" t="str">
        <f>C312</f>
        <v>FOG Receiving</v>
      </c>
      <c r="D313" s="186">
        <f>OMEsc</f>
        <v>0.02</v>
      </c>
      <c r="E313" s="325"/>
      <c r="G313" s="36" t="s">
        <v>126</v>
      </c>
      <c r="I313" s="39"/>
      <c r="K313" s="39"/>
      <c r="L313" s="43" t="str">
        <f>"["&amp;CostBaseYr&amp;" $]"</f>
        <v>[2013 $]</v>
      </c>
      <c r="N313" s="70">
        <f ca="1">SUMIFS(OFFSET(Assumptions!$I$90,0,MATCH($A313,Configurations,0)-1,COUNT(Assumptions!$A$90:$A$183),1),Assumptions!$D$90:$D$183,$B313&amp;$C313)</f>
        <v>0</v>
      </c>
      <c r="O313" s="313"/>
      <c r="P313" s="323"/>
      <c r="Q313" s="313"/>
      <c r="R313" s="50">
        <f t="shared" ref="R313:AG315" ca="1" si="221">IF(OR(R$99&lt;InServiceYr,R$99&gt;(InServiceYr+analysis_period-1)),0,IF($P313=0,$N313,$P313)*(1+$D313)^(R$99-CostBaseYr))</f>
        <v>0</v>
      </c>
      <c r="S313" s="50">
        <f t="shared" ca="1" si="221"/>
        <v>0</v>
      </c>
      <c r="T313" s="50">
        <f t="shared" ca="1" si="221"/>
        <v>0</v>
      </c>
      <c r="U313" s="50">
        <f t="shared" ca="1" si="221"/>
        <v>0</v>
      </c>
      <c r="V313" s="50">
        <f t="shared" ca="1" si="221"/>
        <v>0</v>
      </c>
      <c r="W313" s="50">
        <f t="shared" ca="1" si="221"/>
        <v>0</v>
      </c>
      <c r="X313" s="50">
        <f t="shared" ca="1" si="221"/>
        <v>0</v>
      </c>
      <c r="Y313" s="50">
        <f t="shared" ca="1" si="221"/>
        <v>0</v>
      </c>
      <c r="Z313" s="50">
        <f t="shared" ca="1" si="221"/>
        <v>0</v>
      </c>
      <c r="AA313" s="50">
        <f t="shared" ca="1" si="221"/>
        <v>0</v>
      </c>
      <c r="AB313" s="50">
        <f t="shared" ca="1" si="221"/>
        <v>0</v>
      </c>
      <c r="AC313" s="50">
        <f t="shared" ca="1" si="221"/>
        <v>0</v>
      </c>
      <c r="AD313" s="50">
        <f t="shared" ca="1" si="221"/>
        <v>0</v>
      </c>
      <c r="AE313" s="50">
        <f t="shared" ca="1" si="221"/>
        <v>0</v>
      </c>
      <c r="AF313" s="50">
        <f t="shared" ca="1" si="221"/>
        <v>0</v>
      </c>
      <c r="AG313" s="50">
        <f t="shared" ca="1" si="221"/>
        <v>0</v>
      </c>
      <c r="AH313" s="50">
        <f t="shared" ref="S313:AU315" ca="1" si="222">IF(OR(AH$99&lt;InServiceYr,AH$99&gt;(InServiceYr+analysis_period-1)),0,IF($P313=0,$N313,$P313)*(1+$D313)^(AH$99-CostBaseYr))</f>
        <v>0</v>
      </c>
      <c r="AI313" s="50">
        <f t="shared" ca="1" si="222"/>
        <v>0</v>
      </c>
      <c r="AJ313" s="50">
        <f t="shared" ca="1" si="222"/>
        <v>0</v>
      </c>
      <c r="AK313" s="50">
        <f t="shared" ca="1" si="222"/>
        <v>0</v>
      </c>
      <c r="AL313" s="50">
        <f t="shared" si="222"/>
        <v>0</v>
      </c>
      <c r="AM313" s="50">
        <f t="shared" si="222"/>
        <v>0</v>
      </c>
      <c r="AN313" s="50">
        <f t="shared" si="222"/>
        <v>0</v>
      </c>
      <c r="AO313" s="50">
        <f t="shared" si="222"/>
        <v>0</v>
      </c>
      <c r="AP313" s="50">
        <f t="shared" si="222"/>
        <v>0</v>
      </c>
      <c r="AQ313" s="50">
        <f t="shared" si="222"/>
        <v>0</v>
      </c>
      <c r="AR313" s="50">
        <f t="shared" si="222"/>
        <v>0</v>
      </c>
      <c r="AS313" s="50">
        <f t="shared" si="222"/>
        <v>0</v>
      </c>
      <c r="AT313" s="50">
        <f t="shared" si="222"/>
        <v>0</v>
      </c>
      <c r="AU313" s="50">
        <f t="shared" si="222"/>
        <v>0</v>
      </c>
    </row>
    <row r="314" spans="1:47">
      <c r="A314" s="38" t="str">
        <f t="shared" si="219"/>
        <v>4Y-</v>
      </c>
      <c r="B314" s="38" t="s">
        <v>263</v>
      </c>
      <c r="C314" s="38" t="str">
        <f t="shared" ref="C314:C318" si="223">C313</f>
        <v>FOG Receiving</v>
      </c>
      <c r="D314" s="186">
        <f>OMEsc</f>
        <v>0.02</v>
      </c>
      <c r="E314" s="325"/>
      <c r="G314" s="36" t="s">
        <v>127</v>
      </c>
      <c r="I314" s="39"/>
      <c r="K314" s="39"/>
      <c r="L314" s="43" t="str">
        <f>"["&amp;CostBaseYr&amp;" $]"</f>
        <v>[2013 $]</v>
      </c>
      <c r="N314" s="70">
        <f ca="1">SUMIFS(OFFSET(Assumptions!$I$90,0,MATCH($A314,Configurations,0)-1,COUNT(Assumptions!$A$90:$A$183),1),Assumptions!$D$90:$D$183,$B314&amp;$C314)</f>
        <v>0</v>
      </c>
      <c r="O314" s="313"/>
      <c r="P314" s="323"/>
      <c r="Q314" s="313"/>
      <c r="R314" s="50">
        <f t="shared" ca="1" si="221"/>
        <v>0</v>
      </c>
      <c r="S314" s="50">
        <f t="shared" ca="1" si="222"/>
        <v>0</v>
      </c>
      <c r="T314" s="50">
        <f t="shared" ca="1" si="222"/>
        <v>0</v>
      </c>
      <c r="U314" s="50">
        <f t="shared" ca="1" si="222"/>
        <v>0</v>
      </c>
      <c r="V314" s="50">
        <f t="shared" ca="1" si="222"/>
        <v>0</v>
      </c>
      <c r="W314" s="50">
        <f t="shared" ca="1" si="222"/>
        <v>0</v>
      </c>
      <c r="X314" s="50">
        <f t="shared" ca="1" si="222"/>
        <v>0</v>
      </c>
      <c r="Y314" s="50">
        <f t="shared" ca="1" si="222"/>
        <v>0</v>
      </c>
      <c r="Z314" s="50">
        <f t="shared" ca="1" si="222"/>
        <v>0</v>
      </c>
      <c r="AA314" s="50">
        <f t="shared" ca="1" si="222"/>
        <v>0</v>
      </c>
      <c r="AB314" s="50">
        <f t="shared" ca="1" si="222"/>
        <v>0</v>
      </c>
      <c r="AC314" s="50">
        <f t="shared" ca="1" si="222"/>
        <v>0</v>
      </c>
      <c r="AD314" s="50">
        <f t="shared" ca="1" si="222"/>
        <v>0</v>
      </c>
      <c r="AE314" s="50">
        <f t="shared" ca="1" si="222"/>
        <v>0</v>
      </c>
      <c r="AF314" s="50">
        <f t="shared" ca="1" si="222"/>
        <v>0</v>
      </c>
      <c r="AG314" s="50">
        <f t="shared" ca="1" si="222"/>
        <v>0</v>
      </c>
      <c r="AH314" s="50">
        <f t="shared" ca="1" si="222"/>
        <v>0</v>
      </c>
      <c r="AI314" s="50">
        <f t="shared" ca="1" si="222"/>
        <v>0</v>
      </c>
      <c r="AJ314" s="50">
        <f t="shared" ca="1" si="222"/>
        <v>0</v>
      </c>
      <c r="AK314" s="50">
        <f t="shared" ca="1" si="222"/>
        <v>0</v>
      </c>
      <c r="AL314" s="50">
        <f t="shared" si="222"/>
        <v>0</v>
      </c>
      <c r="AM314" s="50">
        <f t="shared" si="222"/>
        <v>0</v>
      </c>
      <c r="AN314" s="50">
        <f t="shared" si="222"/>
        <v>0</v>
      </c>
      <c r="AO314" s="50">
        <f t="shared" si="222"/>
        <v>0</v>
      </c>
      <c r="AP314" s="50">
        <f t="shared" si="222"/>
        <v>0</v>
      </c>
      <c r="AQ314" s="50">
        <f t="shared" si="222"/>
        <v>0</v>
      </c>
      <c r="AR314" s="50">
        <f t="shared" si="222"/>
        <v>0</v>
      </c>
      <c r="AS314" s="50">
        <f t="shared" si="222"/>
        <v>0</v>
      </c>
      <c r="AT314" s="50">
        <f t="shared" si="222"/>
        <v>0</v>
      </c>
      <c r="AU314" s="50">
        <f t="shared" si="222"/>
        <v>0</v>
      </c>
    </row>
    <row r="315" spans="1:47">
      <c r="A315" s="38" t="str">
        <f t="shared" si="219"/>
        <v>4Y-</v>
      </c>
      <c r="B315" s="38" t="s">
        <v>277</v>
      </c>
      <c r="C315" s="38" t="str">
        <f t="shared" si="223"/>
        <v>FOG Receiving</v>
      </c>
      <c r="D315" s="186">
        <f>OMEsc</f>
        <v>0.02</v>
      </c>
      <c r="E315" s="325"/>
      <c r="G315" s="36" t="s">
        <v>276</v>
      </c>
      <c r="I315" s="39"/>
      <c r="K315" s="39"/>
      <c r="L315" s="43" t="str">
        <f>"["&amp;CostBaseYr&amp;" $]"</f>
        <v>[2013 $]</v>
      </c>
      <c r="N315" s="70">
        <f ca="1">SUMIFS(OFFSET(Assumptions!$I$90,0,MATCH($A315,Configurations,0)-1,COUNT(Assumptions!$A$90:$A$183),1),Assumptions!$D$90:$D$183,$B315&amp;$C315)</f>
        <v>0</v>
      </c>
      <c r="O315" s="313"/>
      <c r="P315" s="323"/>
      <c r="Q315" s="313"/>
      <c r="R315" s="50">
        <f t="shared" ca="1" si="221"/>
        <v>0</v>
      </c>
      <c r="S315" s="50">
        <f t="shared" ca="1" si="222"/>
        <v>0</v>
      </c>
      <c r="T315" s="50">
        <f t="shared" ca="1" si="222"/>
        <v>0</v>
      </c>
      <c r="U315" s="50">
        <f t="shared" ca="1" si="222"/>
        <v>0</v>
      </c>
      <c r="V315" s="50">
        <f t="shared" ca="1" si="222"/>
        <v>0</v>
      </c>
      <c r="W315" s="50">
        <f t="shared" ca="1" si="222"/>
        <v>0</v>
      </c>
      <c r="X315" s="50">
        <f t="shared" ca="1" si="222"/>
        <v>0</v>
      </c>
      <c r="Y315" s="50">
        <f t="shared" ca="1" si="222"/>
        <v>0</v>
      </c>
      <c r="Z315" s="50">
        <f t="shared" ca="1" si="222"/>
        <v>0</v>
      </c>
      <c r="AA315" s="50">
        <f t="shared" ca="1" si="222"/>
        <v>0</v>
      </c>
      <c r="AB315" s="50">
        <f t="shared" ca="1" si="222"/>
        <v>0</v>
      </c>
      <c r="AC315" s="50">
        <f t="shared" ca="1" si="222"/>
        <v>0</v>
      </c>
      <c r="AD315" s="50">
        <f t="shared" ca="1" si="222"/>
        <v>0</v>
      </c>
      <c r="AE315" s="50">
        <f t="shared" ca="1" si="222"/>
        <v>0</v>
      </c>
      <c r="AF315" s="50">
        <f t="shared" ca="1" si="222"/>
        <v>0</v>
      </c>
      <c r="AG315" s="50">
        <f t="shared" ca="1" si="222"/>
        <v>0</v>
      </c>
      <c r="AH315" s="50">
        <f t="shared" ca="1" si="222"/>
        <v>0</v>
      </c>
      <c r="AI315" s="50">
        <f t="shared" ca="1" si="222"/>
        <v>0</v>
      </c>
      <c r="AJ315" s="50">
        <f t="shared" ca="1" si="222"/>
        <v>0</v>
      </c>
      <c r="AK315" s="50">
        <f t="shared" ca="1" si="222"/>
        <v>0</v>
      </c>
      <c r="AL315" s="50">
        <f t="shared" si="222"/>
        <v>0</v>
      </c>
      <c r="AM315" s="50">
        <f t="shared" si="222"/>
        <v>0</v>
      </c>
      <c r="AN315" s="50">
        <f t="shared" si="222"/>
        <v>0</v>
      </c>
      <c r="AO315" s="50">
        <f t="shared" si="222"/>
        <v>0</v>
      </c>
      <c r="AP315" s="50">
        <f t="shared" si="222"/>
        <v>0</v>
      </c>
      <c r="AQ315" s="50">
        <f t="shared" si="222"/>
        <v>0</v>
      </c>
      <c r="AR315" s="50">
        <f t="shared" si="222"/>
        <v>0</v>
      </c>
      <c r="AS315" s="50">
        <f t="shared" si="222"/>
        <v>0</v>
      </c>
      <c r="AT315" s="50">
        <f t="shared" si="222"/>
        <v>0</v>
      </c>
      <c r="AU315" s="50">
        <f t="shared" si="222"/>
        <v>0</v>
      </c>
    </row>
    <row r="316" spans="1:47">
      <c r="A316" s="38" t="str">
        <f t="shared" si="219"/>
        <v>4Y-</v>
      </c>
      <c r="B316" s="38" t="s">
        <v>274</v>
      </c>
      <c r="C316" s="38" t="str">
        <f t="shared" si="223"/>
        <v>FOG Receiving</v>
      </c>
      <c r="D316" s="186"/>
      <c r="E316" s="325"/>
      <c r="G316" s="36" t="s">
        <v>16</v>
      </c>
      <c r="I316" s="39"/>
      <c r="K316" s="39"/>
      <c r="L316" s="43" t="s">
        <v>275</v>
      </c>
      <c r="N316" s="70">
        <f ca="1">SUMIFS(OFFSET(Assumptions!$I$90,0,MATCH($A316,Configurations,0)-1,COUNT(Assumptions!$A$90:$A$183),1),Assumptions!$D$90:$D$183,$B316&amp;$C316)</f>
        <v>0</v>
      </c>
      <c r="O316" s="313"/>
      <c r="P316" s="323"/>
      <c r="Q316" s="313"/>
      <c r="R316" s="50">
        <f t="shared" ref="R316:AU316" ca="1" si="224">IF(OR(R$99&lt;InServiceYr,R$99&gt;(InServiceYr+analysis_period-1)),0,IF($P316=0,$N316,$P316)*R$505)</f>
        <v>0</v>
      </c>
      <c r="S316" s="50">
        <f t="shared" ca="1" si="224"/>
        <v>0</v>
      </c>
      <c r="T316" s="50">
        <f t="shared" ca="1" si="224"/>
        <v>0</v>
      </c>
      <c r="U316" s="50">
        <f t="shared" ca="1" si="224"/>
        <v>0</v>
      </c>
      <c r="V316" s="50">
        <f t="shared" ca="1" si="224"/>
        <v>0</v>
      </c>
      <c r="W316" s="50">
        <f t="shared" ca="1" si="224"/>
        <v>0</v>
      </c>
      <c r="X316" s="50">
        <f t="shared" ca="1" si="224"/>
        <v>0</v>
      </c>
      <c r="Y316" s="50">
        <f t="shared" ca="1" si="224"/>
        <v>0</v>
      </c>
      <c r="Z316" s="50">
        <f t="shared" ca="1" si="224"/>
        <v>0</v>
      </c>
      <c r="AA316" s="50">
        <f t="shared" ca="1" si="224"/>
        <v>0</v>
      </c>
      <c r="AB316" s="50">
        <f t="shared" ca="1" si="224"/>
        <v>0</v>
      </c>
      <c r="AC316" s="50">
        <f t="shared" ca="1" si="224"/>
        <v>0</v>
      </c>
      <c r="AD316" s="50">
        <f t="shared" ca="1" si="224"/>
        <v>0</v>
      </c>
      <c r="AE316" s="50">
        <f t="shared" ca="1" si="224"/>
        <v>0</v>
      </c>
      <c r="AF316" s="50">
        <f t="shared" ca="1" si="224"/>
        <v>0</v>
      </c>
      <c r="AG316" s="50">
        <f t="shared" ca="1" si="224"/>
        <v>0</v>
      </c>
      <c r="AH316" s="50">
        <f t="shared" ca="1" si="224"/>
        <v>0</v>
      </c>
      <c r="AI316" s="50">
        <f t="shared" ca="1" si="224"/>
        <v>0</v>
      </c>
      <c r="AJ316" s="50">
        <f t="shared" ca="1" si="224"/>
        <v>0</v>
      </c>
      <c r="AK316" s="50">
        <f t="shared" ca="1" si="224"/>
        <v>0</v>
      </c>
      <c r="AL316" s="50">
        <f t="shared" si="224"/>
        <v>0</v>
      </c>
      <c r="AM316" s="50">
        <f t="shared" si="224"/>
        <v>0</v>
      </c>
      <c r="AN316" s="50">
        <f t="shared" si="224"/>
        <v>0</v>
      </c>
      <c r="AO316" s="50">
        <f t="shared" si="224"/>
        <v>0</v>
      </c>
      <c r="AP316" s="50">
        <f t="shared" si="224"/>
        <v>0</v>
      </c>
      <c r="AQ316" s="50">
        <f t="shared" si="224"/>
        <v>0</v>
      </c>
      <c r="AR316" s="50">
        <f t="shared" si="224"/>
        <v>0</v>
      </c>
      <c r="AS316" s="50">
        <f t="shared" si="224"/>
        <v>0</v>
      </c>
      <c r="AT316" s="50">
        <f t="shared" si="224"/>
        <v>0</v>
      </c>
      <c r="AU316" s="50">
        <f t="shared" si="224"/>
        <v>0</v>
      </c>
    </row>
    <row r="317" spans="1:47">
      <c r="A317" s="38" t="str">
        <f t="shared" si="219"/>
        <v>4Y-</v>
      </c>
      <c r="B317" s="38" t="s">
        <v>257</v>
      </c>
      <c r="C317" s="38" t="str">
        <f t="shared" si="223"/>
        <v>FOG Receiving</v>
      </c>
      <c r="D317" s="186"/>
      <c r="E317" s="325"/>
      <c r="G317" s="36" t="s">
        <v>284</v>
      </c>
      <c r="I317" s="39"/>
      <c r="K317" s="39"/>
      <c r="L317" s="43" t="s">
        <v>293</v>
      </c>
      <c r="N317" s="70">
        <f ca="1">SUMIFS(OFFSET(Assumptions!$I$90,0,MATCH($A317,Configurations,0)-1,COUNT(Assumptions!$A$90:$A$183),1),Assumptions!$D$90:$D$183,$B317&amp;$C317)</f>
        <v>0</v>
      </c>
      <c r="O317" s="313"/>
      <c r="P317" s="323"/>
      <c r="Q317" s="313"/>
      <c r="R317" s="50">
        <f t="shared" ref="R317:AU317" ca="1" si="225">IF(OR(R$99&lt;InServiceYr,R$99&gt;(InServiceYr+analysis_period-1)),0,IF($P317=0,$N317,$P317)*R$501)</f>
        <v>0</v>
      </c>
      <c r="S317" s="50">
        <f t="shared" ca="1" si="225"/>
        <v>0</v>
      </c>
      <c r="T317" s="50">
        <f t="shared" ca="1" si="225"/>
        <v>0</v>
      </c>
      <c r="U317" s="50">
        <f t="shared" ca="1" si="225"/>
        <v>0</v>
      </c>
      <c r="V317" s="50">
        <f t="shared" ca="1" si="225"/>
        <v>0</v>
      </c>
      <c r="W317" s="50">
        <f t="shared" ca="1" si="225"/>
        <v>0</v>
      </c>
      <c r="X317" s="50">
        <f t="shared" ca="1" si="225"/>
        <v>0</v>
      </c>
      <c r="Y317" s="50">
        <f t="shared" ca="1" si="225"/>
        <v>0</v>
      </c>
      <c r="Z317" s="50">
        <f t="shared" ca="1" si="225"/>
        <v>0</v>
      </c>
      <c r="AA317" s="50">
        <f t="shared" ca="1" si="225"/>
        <v>0</v>
      </c>
      <c r="AB317" s="50">
        <f t="shared" ca="1" si="225"/>
        <v>0</v>
      </c>
      <c r="AC317" s="50">
        <f t="shared" ca="1" si="225"/>
        <v>0</v>
      </c>
      <c r="AD317" s="50">
        <f t="shared" ca="1" si="225"/>
        <v>0</v>
      </c>
      <c r="AE317" s="50">
        <f t="shared" ca="1" si="225"/>
        <v>0</v>
      </c>
      <c r="AF317" s="50">
        <f t="shared" ca="1" si="225"/>
        <v>0</v>
      </c>
      <c r="AG317" s="50">
        <f t="shared" ca="1" si="225"/>
        <v>0</v>
      </c>
      <c r="AH317" s="50">
        <f t="shared" ca="1" si="225"/>
        <v>0</v>
      </c>
      <c r="AI317" s="50">
        <f t="shared" ca="1" si="225"/>
        <v>0</v>
      </c>
      <c r="AJ317" s="50">
        <f t="shared" ca="1" si="225"/>
        <v>0</v>
      </c>
      <c r="AK317" s="50">
        <f t="shared" ca="1" si="225"/>
        <v>0</v>
      </c>
      <c r="AL317" s="50">
        <f t="shared" si="225"/>
        <v>0</v>
      </c>
      <c r="AM317" s="50">
        <f t="shared" si="225"/>
        <v>0</v>
      </c>
      <c r="AN317" s="50">
        <f t="shared" si="225"/>
        <v>0</v>
      </c>
      <c r="AO317" s="50">
        <f t="shared" si="225"/>
        <v>0</v>
      </c>
      <c r="AP317" s="50">
        <f t="shared" si="225"/>
        <v>0</v>
      </c>
      <c r="AQ317" s="50">
        <f t="shared" si="225"/>
        <v>0</v>
      </c>
      <c r="AR317" s="50">
        <f t="shared" si="225"/>
        <v>0</v>
      </c>
      <c r="AS317" s="50">
        <f t="shared" si="225"/>
        <v>0</v>
      </c>
      <c r="AT317" s="50">
        <f t="shared" si="225"/>
        <v>0</v>
      </c>
      <c r="AU317" s="50">
        <f t="shared" si="225"/>
        <v>0</v>
      </c>
    </row>
    <row r="318" spans="1:47">
      <c r="A318" s="38" t="str">
        <f t="shared" si="219"/>
        <v>4Y-</v>
      </c>
      <c r="B318" s="38" t="s">
        <v>864</v>
      </c>
      <c r="C318" s="38" t="str">
        <f t="shared" si="223"/>
        <v>FOG Receiving</v>
      </c>
      <c r="D318" s="186">
        <f>GHGEsc</f>
        <v>0.02</v>
      </c>
      <c r="E318" s="325"/>
      <c r="G318" s="36" t="s">
        <v>865</v>
      </c>
      <c r="I318" s="39"/>
      <c r="K318" s="39"/>
      <c r="L318" s="43" t="s">
        <v>866</v>
      </c>
      <c r="N318" s="70">
        <f ca="1">SUMIFS(OFFSET(Assumptions!$I$90,0,MATCH($A318,Configurations,0)-1,COUNT(Assumptions!$A$90:$A$183),1),Assumptions!$D$90:$D$183,$B318&amp;$C318)</f>
        <v>0</v>
      </c>
      <c r="O318" s="313"/>
      <c r="P318" s="323"/>
      <c r="Q318" s="313"/>
      <c r="R318" s="50">
        <f t="shared" ref="R318:AU318" ca="1" si="226">IF(OR(R$99&lt;InServiceYr,R$99&gt;(InServiceYr+analysis_period-1)),0,IF($P318=0,$N318,$P318)*R$513)</f>
        <v>0</v>
      </c>
      <c r="S318" s="50">
        <f t="shared" ca="1" si="226"/>
        <v>0</v>
      </c>
      <c r="T318" s="50">
        <f t="shared" ca="1" si="226"/>
        <v>0</v>
      </c>
      <c r="U318" s="50">
        <f t="shared" ca="1" si="226"/>
        <v>0</v>
      </c>
      <c r="V318" s="50">
        <f t="shared" ca="1" si="226"/>
        <v>0</v>
      </c>
      <c r="W318" s="50">
        <f t="shared" ca="1" si="226"/>
        <v>0</v>
      </c>
      <c r="X318" s="50">
        <f t="shared" ca="1" si="226"/>
        <v>0</v>
      </c>
      <c r="Y318" s="50">
        <f t="shared" ca="1" si="226"/>
        <v>0</v>
      </c>
      <c r="Z318" s="50">
        <f t="shared" ca="1" si="226"/>
        <v>0</v>
      </c>
      <c r="AA318" s="50">
        <f t="shared" ca="1" si="226"/>
        <v>0</v>
      </c>
      <c r="AB318" s="50">
        <f t="shared" ca="1" si="226"/>
        <v>0</v>
      </c>
      <c r="AC318" s="50">
        <f t="shared" ca="1" si="226"/>
        <v>0</v>
      </c>
      <c r="AD318" s="50">
        <f t="shared" ca="1" si="226"/>
        <v>0</v>
      </c>
      <c r="AE318" s="50">
        <f t="shared" ca="1" si="226"/>
        <v>0</v>
      </c>
      <c r="AF318" s="50">
        <f t="shared" ca="1" si="226"/>
        <v>0</v>
      </c>
      <c r="AG318" s="50">
        <f t="shared" ca="1" si="226"/>
        <v>0</v>
      </c>
      <c r="AH318" s="50">
        <f t="shared" ca="1" si="226"/>
        <v>0</v>
      </c>
      <c r="AI318" s="50">
        <f t="shared" ca="1" si="226"/>
        <v>0</v>
      </c>
      <c r="AJ318" s="50">
        <f t="shared" ca="1" si="226"/>
        <v>0</v>
      </c>
      <c r="AK318" s="50">
        <f t="shared" ca="1" si="226"/>
        <v>0</v>
      </c>
      <c r="AL318" s="50">
        <f t="shared" si="226"/>
        <v>0</v>
      </c>
      <c r="AM318" s="50">
        <f t="shared" si="226"/>
        <v>0</v>
      </c>
      <c r="AN318" s="50">
        <f t="shared" si="226"/>
        <v>0</v>
      </c>
      <c r="AO318" s="50">
        <f t="shared" si="226"/>
        <v>0</v>
      </c>
      <c r="AP318" s="50">
        <f t="shared" si="226"/>
        <v>0</v>
      </c>
      <c r="AQ318" s="50">
        <f t="shared" si="226"/>
        <v>0</v>
      </c>
      <c r="AR318" s="50">
        <f t="shared" si="226"/>
        <v>0</v>
      </c>
      <c r="AS318" s="50">
        <f t="shared" si="226"/>
        <v>0</v>
      </c>
      <c r="AT318" s="50">
        <f t="shared" si="226"/>
        <v>0</v>
      </c>
      <c r="AU318" s="50">
        <f t="shared" si="226"/>
        <v>0</v>
      </c>
    </row>
    <row r="319" spans="1:47">
      <c r="A319" s="38" t="str">
        <f t="shared" si="219"/>
        <v>4Y-</v>
      </c>
      <c r="B319" s="38" t="s">
        <v>273</v>
      </c>
      <c r="C319" s="38" t="str">
        <f>C317</f>
        <v>FOG Receiving</v>
      </c>
      <c r="D319" s="186">
        <f>LaborEsc</f>
        <v>0.02</v>
      </c>
      <c r="E319" s="325"/>
      <c r="G319" s="36" t="s">
        <v>291</v>
      </c>
      <c r="I319" s="39"/>
      <c r="K319" s="39"/>
      <c r="L319" s="43" t="str">
        <f>"["&amp;CostBaseYr&amp;" $]"</f>
        <v>[2013 $]</v>
      </c>
      <c r="N319" s="70">
        <f ca="1">SUMIFS(OFFSET(Assumptions!$I$90,0,MATCH($A319,Configurations,0)-1,COUNT(Assumptions!$A$90:$A$183),1),Assumptions!$D$90:$D$183,$B319&amp;$C319)</f>
        <v>0</v>
      </c>
      <c r="O319" s="313"/>
      <c r="P319" s="323"/>
      <c r="Q319" s="313"/>
      <c r="R319" s="50">
        <f t="shared" ref="R319:AU319" ca="1" si="227">IF(OR(R$99&lt;InServiceYr,R$99&gt;(InServiceYr+analysis_period-1)),0,IF($P319=0,$N319,$P319)*(1+$D319)^(R$99-CostBaseYr))*R$509</f>
        <v>0</v>
      </c>
      <c r="S319" s="50">
        <f t="shared" ca="1" si="227"/>
        <v>0</v>
      </c>
      <c r="T319" s="50">
        <f t="shared" ca="1" si="227"/>
        <v>0</v>
      </c>
      <c r="U319" s="50">
        <f t="shared" ca="1" si="227"/>
        <v>0</v>
      </c>
      <c r="V319" s="50">
        <f t="shared" ca="1" si="227"/>
        <v>0</v>
      </c>
      <c r="W319" s="50">
        <f t="shared" ca="1" si="227"/>
        <v>0</v>
      </c>
      <c r="X319" s="50">
        <f t="shared" ca="1" si="227"/>
        <v>0</v>
      </c>
      <c r="Y319" s="50">
        <f t="shared" ca="1" si="227"/>
        <v>0</v>
      </c>
      <c r="Z319" s="50">
        <f t="shared" ca="1" si="227"/>
        <v>0</v>
      </c>
      <c r="AA319" s="50">
        <f t="shared" ca="1" si="227"/>
        <v>0</v>
      </c>
      <c r="AB319" s="50">
        <f t="shared" ca="1" si="227"/>
        <v>0</v>
      </c>
      <c r="AC319" s="50">
        <f t="shared" ca="1" si="227"/>
        <v>0</v>
      </c>
      <c r="AD319" s="50">
        <f t="shared" ca="1" si="227"/>
        <v>0</v>
      </c>
      <c r="AE319" s="50">
        <f t="shared" ca="1" si="227"/>
        <v>0</v>
      </c>
      <c r="AF319" s="50">
        <f t="shared" ca="1" si="227"/>
        <v>0</v>
      </c>
      <c r="AG319" s="50">
        <f t="shared" ca="1" si="227"/>
        <v>0</v>
      </c>
      <c r="AH319" s="50">
        <f t="shared" ca="1" si="227"/>
        <v>0</v>
      </c>
      <c r="AI319" s="50">
        <f t="shared" ca="1" si="227"/>
        <v>0</v>
      </c>
      <c r="AJ319" s="50">
        <f t="shared" ca="1" si="227"/>
        <v>0</v>
      </c>
      <c r="AK319" s="50">
        <f t="shared" ca="1" si="227"/>
        <v>0</v>
      </c>
      <c r="AL319" s="50">
        <f t="shared" si="227"/>
        <v>0</v>
      </c>
      <c r="AM319" s="50">
        <f t="shared" si="227"/>
        <v>0</v>
      </c>
      <c r="AN319" s="50">
        <f t="shared" si="227"/>
        <v>0</v>
      </c>
      <c r="AO319" s="50">
        <f t="shared" si="227"/>
        <v>0</v>
      </c>
      <c r="AP319" s="50">
        <f t="shared" si="227"/>
        <v>0</v>
      </c>
      <c r="AQ319" s="50">
        <f t="shared" si="227"/>
        <v>0</v>
      </c>
      <c r="AR319" s="50">
        <f t="shared" si="227"/>
        <v>0</v>
      </c>
      <c r="AS319" s="50">
        <f t="shared" si="227"/>
        <v>0</v>
      </c>
      <c r="AT319" s="50">
        <f t="shared" si="227"/>
        <v>0</v>
      </c>
      <c r="AU319" s="50">
        <f t="shared" si="227"/>
        <v>0</v>
      </c>
    </row>
    <row r="320" spans="1:47">
      <c r="D320" s="186"/>
      <c r="E320" s="325"/>
      <c r="G320" s="39" t="s">
        <v>304</v>
      </c>
      <c r="I320" s="39"/>
      <c r="K320" s="39"/>
      <c r="L320" s="43"/>
      <c r="N320" s="70"/>
      <c r="O320" s="313"/>
      <c r="P320" s="70"/>
      <c r="Q320" s="313"/>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row>
    <row r="321" spans="1:47">
      <c r="A321" s="38" t="str">
        <f>$J$4&amp;"-"</f>
        <v>4Y-</v>
      </c>
      <c r="B321" s="38" t="s">
        <v>265</v>
      </c>
      <c r="C321" s="38" t="str">
        <f>C312</f>
        <v>FOG Receiving</v>
      </c>
      <c r="D321" s="186"/>
      <c r="E321" s="325"/>
      <c r="G321" s="36" t="s">
        <v>108</v>
      </c>
      <c r="I321" s="39"/>
      <c r="K321" s="39"/>
      <c r="L321" s="43" t="s">
        <v>293</v>
      </c>
      <c r="N321" s="70">
        <f ca="1">SUMIFS(OFFSET(Assumptions!$I$90,0,MATCH($A321,Configurations,0)-1,COUNT(Assumptions!$A$90:$A$183),1),Assumptions!$D$90:$D$183,$B321&amp;$C321)</f>
        <v>0</v>
      </c>
      <c r="O321" s="313"/>
      <c r="P321" s="323"/>
      <c r="Q321" s="313"/>
      <c r="R321" s="50">
        <f t="shared" ref="R321:AU321" ca="1" si="228">IF(OR(R$99&lt;InServiceYr,R$99&gt;(InServiceYr+analysis_period-1)),0,IF($P321=0,$N321,$P321)*R$501)</f>
        <v>0</v>
      </c>
      <c r="S321" s="50">
        <f t="shared" ca="1" si="228"/>
        <v>0</v>
      </c>
      <c r="T321" s="50">
        <f t="shared" ca="1" si="228"/>
        <v>0</v>
      </c>
      <c r="U321" s="50">
        <f t="shared" ca="1" si="228"/>
        <v>0</v>
      </c>
      <c r="V321" s="50">
        <f t="shared" ca="1" si="228"/>
        <v>0</v>
      </c>
      <c r="W321" s="50">
        <f t="shared" ca="1" si="228"/>
        <v>0</v>
      </c>
      <c r="X321" s="50">
        <f t="shared" ca="1" si="228"/>
        <v>0</v>
      </c>
      <c r="Y321" s="50">
        <f t="shared" ca="1" si="228"/>
        <v>0</v>
      </c>
      <c r="Z321" s="50">
        <f t="shared" ca="1" si="228"/>
        <v>0</v>
      </c>
      <c r="AA321" s="50">
        <f t="shared" ca="1" si="228"/>
        <v>0</v>
      </c>
      <c r="AB321" s="50">
        <f t="shared" ca="1" si="228"/>
        <v>0</v>
      </c>
      <c r="AC321" s="50">
        <f t="shared" ca="1" si="228"/>
        <v>0</v>
      </c>
      <c r="AD321" s="50">
        <f t="shared" ca="1" si="228"/>
        <v>0</v>
      </c>
      <c r="AE321" s="50">
        <f t="shared" ca="1" si="228"/>
        <v>0</v>
      </c>
      <c r="AF321" s="50">
        <f t="shared" ca="1" si="228"/>
        <v>0</v>
      </c>
      <c r="AG321" s="50">
        <f t="shared" ca="1" si="228"/>
        <v>0</v>
      </c>
      <c r="AH321" s="50">
        <f t="shared" ca="1" si="228"/>
        <v>0</v>
      </c>
      <c r="AI321" s="50">
        <f t="shared" ca="1" si="228"/>
        <v>0</v>
      </c>
      <c r="AJ321" s="50">
        <f t="shared" ca="1" si="228"/>
        <v>0</v>
      </c>
      <c r="AK321" s="50">
        <f t="shared" ca="1" si="228"/>
        <v>0</v>
      </c>
      <c r="AL321" s="50">
        <f t="shared" si="228"/>
        <v>0</v>
      </c>
      <c r="AM321" s="50">
        <f t="shared" si="228"/>
        <v>0</v>
      </c>
      <c r="AN321" s="50">
        <f t="shared" si="228"/>
        <v>0</v>
      </c>
      <c r="AO321" s="50">
        <f t="shared" si="228"/>
        <v>0</v>
      </c>
      <c r="AP321" s="50">
        <f t="shared" si="228"/>
        <v>0</v>
      </c>
      <c r="AQ321" s="50">
        <f t="shared" si="228"/>
        <v>0</v>
      </c>
      <c r="AR321" s="50">
        <f t="shared" si="228"/>
        <v>0</v>
      </c>
      <c r="AS321" s="50">
        <f t="shared" si="228"/>
        <v>0</v>
      </c>
      <c r="AT321" s="50">
        <f t="shared" si="228"/>
        <v>0</v>
      </c>
      <c r="AU321" s="50">
        <f t="shared" si="228"/>
        <v>0</v>
      </c>
    </row>
    <row r="322" spans="1:47">
      <c r="A322" s="38" t="str">
        <f>$J$4&amp;"-"</f>
        <v>4Y-</v>
      </c>
      <c r="B322" s="38" t="s">
        <v>289</v>
      </c>
      <c r="C322" s="38" t="str">
        <f>C312</f>
        <v>FOG Receiving</v>
      </c>
      <c r="D322" s="186">
        <f>LaborEsc</f>
        <v>0.02</v>
      </c>
      <c r="E322" s="325"/>
      <c r="G322" s="36" t="s">
        <v>292</v>
      </c>
      <c r="I322" s="39"/>
      <c r="K322" s="39"/>
      <c r="L322" s="43" t="str">
        <f>"["&amp;CostBaseYr&amp;" $]"</f>
        <v>[2013 $]</v>
      </c>
      <c r="N322" s="70">
        <f ca="1">SUMIFS(OFFSET(Assumptions!$I$90,0,MATCH($A322,Configurations,0)-1,COUNT(Assumptions!$A$90:$A$183),1),Assumptions!$D$90:$D$183,$B322&amp;$C322)</f>
        <v>0</v>
      </c>
      <c r="O322" s="313"/>
      <c r="P322" s="323"/>
      <c r="Q322" s="313"/>
      <c r="R322" s="50">
        <f t="shared" ref="R322:AU322" ca="1" si="229">IF(OR(R$99&lt;InServiceYr,R$99&gt;(InServiceYr+analysis_period-1)),0,IF($P322=0,$N322,$P322)*(1+$D322)^(R$99-CostBaseYr))</f>
        <v>0</v>
      </c>
      <c r="S322" s="50">
        <f t="shared" ca="1" si="229"/>
        <v>0</v>
      </c>
      <c r="T322" s="50">
        <f t="shared" ca="1" si="229"/>
        <v>0</v>
      </c>
      <c r="U322" s="50">
        <f t="shared" ca="1" si="229"/>
        <v>0</v>
      </c>
      <c r="V322" s="50">
        <f t="shared" ca="1" si="229"/>
        <v>0</v>
      </c>
      <c r="W322" s="50">
        <f t="shared" ca="1" si="229"/>
        <v>0</v>
      </c>
      <c r="X322" s="50">
        <f t="shared" ca="1" si="229"/>
        <v>0</v>
      </c>
      <c r="Y322" s="50">
        <f t="shared" ca="1" si="229"/>
        <v>0</v>
      </c>
      <c r="Z322" s="50">
        <f t="shared" ca="1" si="229"/>
        <v>0</v>
      </c>
      <c r="AA322" s="50">
        <f t="shared" ca="1" si="229"/>
        <v>0</v>
      </c>
      <c r="AB322" s="50">
        <f t="shared" ca="1" si="229"/>
        <v>0</v>
      </c>
      <c r="AC322" s="50">
        <f t="shared" ca="1" si="229"/>
        <v>0</v>
      </c>
      <c r="AD322" s="50">
        <f t="shared" ca="1" si="229"/>
        <v>0</v>
      </c>
      <c r="AE322" s="50">
        <f t="shared" ca="1" si="229"/>
        <v>0</v>
      </c>
      <c r="AF322" s="50">
        <f t="shared" ca="1" si="229"/>
        <v>0</v>
      </c>
      <c r="AG322" s="50">
        <f t="shared" ca="1" si="229"/>
        <v>0</v>
      </c>
      <c r="AH322" s="50">
        <f t="shared" ca="1" si="229"/>
        <v>0</v>
      </c>
      <c r="AI322" s="50">
        <f t="shared" ca="1" si="229"/>
        <v>0</v>
      </c>
      <c r="AJ322" s="50">
        <f t="shared" ca="1" si="229"/>
        <v>0</v>
      </c>
      <c r="AK322" s="50">
        <f t="shared" ca="1" si="229"/>
        <v>0</v>
      </c>
      <c r="AL322" s="50">
        <f t="shared" si="229"/>
        <v>0</v>
      </c>
      <c r="AM322" s="50">
        <f t="shared" si="229"/>
        <v>0</v>
      </c>
      <c r="AN322" s="50">
        <f t="shared" si="229"/>
        <v>0</v>
      </c>
      <c r="AO322" s="50">
        <f t="shared" si="229"/>
        <v>0</v>
      </c>
      <c r="AP322" s="50">
        <f t="shared" si="229"/>
        <v>0</v>
      </c>
      <c r="AQ322" s="50">
        <f t="shared" si="229"/>
        <v>0</v>
      </c>
      <c r="AR322" s="50">
        <f t="shared" si="229"/>
        <v>0</v>
      </c>
      <c r="AS322" s="50">
        <f t="shared" si="229"/>
        <v>0</v>
      </c>
      <c r="AT322" s="50">
        <f t="shared" si="229"/>
        <v>0</v>
      </c>
      <c r="AU322" s="50">
        <f t="shared" si="229"/>
        <v>0</v>
      </c>
    </row>
    <row r="323" spans="1:47" s="60" customFormat="1">
      <c r="D323" s="187"/>
      <c r="E323" s="325"/>
      <c r="G323" s="39" t="s">
        <v>305</v>
      </c>
      <c r="I323" s="39"/>
      <c r="K323" s="39"/>
      <c r="L323" s="174"/>
      <c r="N323" s="188"/>
      <c r="O323" s="314"/>
      <c r="P323" s="185"/>
      <c r="Q323" s="314"/>
      <c r="R323" s="185">
        <f ca="1">SUM(R312:R319)-SUM(R321:R322)</f>
        <v>0</v>
      </c>
      <c r="S323" s="185">
        <f t="shared" ref="S323:AU323" ca="1" si="230">SUM(S312:S319)-SUM(S321:S322)</f>
        <v>0</v>
      </c>
      <c r="T323" s="185">
        <f t="shared" ca="1" si="230"/>
        <v>0</v>
      </c>
      <c r="U323" s="185">
        <f t="shared" ca="1" si="230"/>
        <v>0</v>
      </c>
      <c r="V323" s="185">
        <f t="shared" ca="1" si="230"/>
        <v>0</v>
      </c>
      <c r="W323" s="185">
        <f t="shared" ca="1" si="230"/>
        <v>0</v>
      </c>
      <c r="X323" s="185">
        <f t="shared" ca="1" si="230"/>
        <v>0</v>
      </c>
      <c r="Y323" s="185">
        <f t="shared" ca="1" si="230"/>
        <v>0</v>
      </c>
      <c r="Z323" s="185">
        <f t="shared" ca="1" si="230"/>
        <v>0</v>
      </c>
      <c r="AA323" s="185">
        <f t="shared" ca="1" si="230"/>
        <v>0</v>
      </c>
      <c r="AB323" s="185">
        <f t="shared" ca="1" si="230"/>
        <v>0</v>
      </c>
      <c r="AC323" s="185">
        <f t="shared" ca="1" si="230"/>
        <v>0</v>
      </c>
      <c r="AD323" s="185">
        <f t="shared" ca="1" si="230"/>
        <v>0</v>
      </c>
      <c r="AE323" s="185">
        <f t="shared" ca="1" si="230"/>
        <v>0</v>
      </c>
      <c r="AF323" s="185">
        <f t="shared" ca="1" si="230"/>
        <v>0</v>
      </c>
      <c r="AG323" s="185">
        <f t="shared" ca="1" si="230"/>
        <v>0</v>
      </c>
      <c r="AH323" s="185">
        <f t="shared" ca="1" si="230"/>
        <v>0</v>
      </c>
      <c r="AI323" s="185">
        <f t="shared" ca="1" si="230"/>
        <v>0</v>
      </c>
      <c r="AJ323" s="185">
        <f t="shared" ca="1" si="230"/>
        <v>0</v>
      </c>
      <c r="AK323" s="185">
        <f t="shared" ca="1" si="230"/>
        <v>0</v>
      </c>
      <c r="AL323" s="185">
        <f t="shared" si="230"/>
        <v>0</v>
      </c>
      <c r="AM323" s="185">
        <f t="shared" si="230"/>
        <v>0</v>
      </c>
      <c r="AN323" s="185">
        <f t="shared" si="230"/>
        <v>0</v>
      </c>
      <c r="AO323" s="185">
        <f t="shared" si="230"/>
        <v>0</v>
      </c>
      <c r="AP323" s="185">
        <f t="shared" si="230"/>
        <v>0</v>
      </c>
      <c r="AQ323" s="185">
        <f t="shared" si="230"/>
        <v>0</v>
      </c>
      <c r="AR323" s="185">
        <f t="shared" si="230"/>
        <v>0</v>
      </c>
      <c r="AS323" s="185">
        <f t="shared" si="230"/>
        <v>0</v>
      </c>
      <c r="AT323" s="185">
        <f t="shared" si="230"/>
        <v>0</v>
      </c>
      <c r="AU323" s="185">
        <f t="shared" si="230"/>
        <v>0</v>
      </c>
    </row>
    <row r="324" spans="1:47">
      <c r="E324" s="36"/>
      <c r="G324" s="39"/>
      <c r="H324" s="39"/>
      <c r="I324" s="39"/>
      <c r="J324" s="39"/>
      <c r="K324" s="39"/>
    </row>
    <row r="325" spans="1:47">
      <c r="E325" s="327"/>
      <c r="F325" s="28"/>
      <c r="G325" s="324" t="str">
        <f>C327&amp;" Capital Costs"</f>
        <v>Gas Cleaning Capital Costs</v>
      </c>
      <c r="H325" s="324"/>
      <c r="I325" s="324"/>
      <c r="J325" s="324"/>
      <c r="K325" s="324"/>
      <c r="L325" s="405" t="s">
        <v>79</v>
      </c>
      <c r="M325" s="256"/>
      <c r="N325" s="325" t="s">
        <v>490</v>
      </c>
      <c r="O325" s="311"/>
      <c r="P325" s="325" t="s">
        <v>491</v>
      </c>
      <c r="Q325" s="310"/>
      <c r="R325" s="325">
        <f>R$8</f>
        <v>2014</v>
      </c>
      <c r="S325" s="325">
        <f t="shared" ref="S325:AU325" si="231">S$8</f>
        <v>2015</v>
      </c>
      <c r="T325" s="325">
        <f t="shared" si="231"/>
        <v>2016</v>
      </c>
      <c r="U325" s="325">
        <f t="shared" si="231"/>
        <v>2017</v>
      </c>
      <c r="V325" s="325">
        <f t="shared" si="231"/>
        <v>2018</v>
      </c>
      <c r="W325" s="325">
        <f t="shared" si="231"/>
        <v>2019</v>
      </c>
      <c r="X325" s="325">
        <f t="shared" si="231"/>
        <v>2020</v>
      </c>
      <c r="Y325" s="325">
        <f t="shared" si="231"/>
        <v>2021</v>
      </c>
      <c r="Z325" s="325">
        <f t="shared" si="231"/>
        <v>2022</v>
      </c>
      <c r="AA325" s="325">
        <f t="shared" si="231"/>
        <v>2023</v>
      </c>
      <c r="AB325" s="325">
        <f t="shared" si="231"/>
        <v>2024</v>
      </c>
      <c r="AC325" s="325">
        <f t="shared" si="231"/>
        <v>2025</v>
      </c>
      <c r="AD325" s="325">
        <f t="shared" si="231"/>
        <v>2026</v>
      </c>
      <c r="AE325" s="325">
        <f t="shared" si="231"/>
        <v>2027</v>
      </c>
      <c r="AF325" s="325">
        <f t="shared" si="231"/>
        <v>2028</v>
      </c>
      <c r="AG325" s="325">
        <f t="shared" si="231"/>
        <v>2029</v>
      </c>
      <c r="AH325" s="325">
        <f t="shared" si="231"/>
        <v>2030</v>
      </c>
      <c r="AI325" s="325">
        <f t="shared" si="231"/>
        <v>2031</v>
      </c>
      <c r="AJ325" s="325">
        <f t="shared" si="231"/>
        <v>2032</v>
      </c>
      <c r="AK325" s="325">
        <f t="shared" si="231"/>
        <v>2033</v>
      </c>
      <c r="AL325" s="325">
        <f t="shared" si="231"/>
        <v>2034</v>
      </c>
      <c r="AM325" s="325">
        <f t="shared" si="231"/>
        <v>2035</v>
      </c>
      <c r="AN325" s="325">
        <f t="shared" si="231"/>
        <v>2036</v>
      </c>
      <c r="AO325" s="325">
        <f t="shared" si="231"/>
        <v>2037</v>
      </c>
      <c r="AP325" s="325">
        <f t="shared" si="231"/>
        <v>2038</v>
      </c>
      <c r="AQ325" s="325">
        <f t="shared" si="231"/>
        <v>2039</v>
      </c>
      <c r="AR325" s="325">
        <f t="shared" si="231"/>
        <v>2040</v>
      </c>
      <c r="AS325" s="325">
        <f t="shared" si="231"/>
        <v>2041</v>
      </c>
      <c r="AT325" s="325">
        <f t="shared" si="231"/>
        <v>2042</v>
      </c>
      <c r="AU325" s="325">
        <f t="shared" si="231"/>
        <v>2043</v>
      </c>
    </row>
    <row r="326" spans="1:47">
      <c r="E326" s="325"/>
      <c r="G326" s="39"/>
      <c r="H326" s="39"/>
      <c r="I326" s="39"/>
      <c r="J326" s="39"/>
      <c r="K326" s="39"/>
    </row>
    <row r="327" spans="1:47">
      <c r="A327" s="38" t="str">
        <f>$J$4&amp;"-"</f>
        <v>4Y-</v>
      </c>
      <c r="B327" s="38" t="s">
        <v>306</v>
      </c>
      <c r="C327" s="38" t="s">
        <v>162</v>
      </c>
      <c r="D327" s="186">
        <f>CapExEsc</f>
        <v>0.03</v>
      </c>
      <c r="E327" s="325"/>
      <c r="G327" s="36" t="s">
        <v>8</v>
      </c>
      <c r="H327" s="39"/>
      <c r="I327" s="39"/>
      <c r="J327" s="70"/>
      <c r="K327" s="39"/>
      <c r="L327" s="43" t="str">
        <f>"["&amp;CostBaseYr&amp;" $]"</f>
        <v>[2013 $]</v>
      </c>
      <c r="N327" s="52">
        <f ca="1">SUMIFS(OFFSET(Assumptions!$I$65,0,MATCH($A327,Configurations,0)-1,COUNT(Assumptions!$A$65:$A$84),1),Assumptions!$E$65:$E$84,$C327)</f>
        <v>0</v>
      </c>
      <c r="O327" s="52"/>
      <c r="P327" s="322"/>
      <c r="Q327" s="52"/>
      <c r="R327" s="52">
        <f t="shared" ref="R327:AU327" ca="1" si="232">R328*IF($P327=0,$N327,$P327)*(1+$D327)^(R$8-CostBaseYr)</f>
        <v>0</v>
      </c>
      <c r="S327" s="52">
        <f t="shared" ca="1" si="232"/>
        <v>0</v>
      </c>
      <c r="T327" s="52">
        <f t="shared" ca="1" si="232"/>
        <v>0</v>
      </c>
      <c r="U327" s="52">
        <f t="shared" ca="1" si="232"/>
        <v>0</v>
      </c>
      <c r="V327" s="52">
        <f t="shared" ca="1" si="232"/>
        <v>0</v>
      </c>
      <c r="W327" s="52">
        <f t="shared" ca="1" si="232"/>
        <v>0</v>
      </c>
      <c r="X327" s="52">
        <f t="shared" ca="1" si="232"/>
        <v>0</v>
      </c>
      <c r="Y327" s="52">
        <f t="shared" ca="1" si="232"/>
        <v>0</v>
      </c>
      <c r="Z327" s="52">
        <f t="shared" ca="1" si="232"/>
        <v>0</v>
      </c>
      <c r="AA327" s="52">
        <f t="shared" ca="1" si="232"/>
        <v>0</v>
      </c>
      <c r="AB327" s="52">
        <f t="shared" ca="1" si="232"/>
        <v>0</v>
      </c>
      <c r="AC327" s="52">
        <f t="shared" ca="1" si="232"/>
        <v>0</v>
      </c>
      <c r="AD327" s="52">
        <f t="shared" ca="1" si="232"/>
        <v>0</v>
      </c>
      <c r="AE327" s="52">
        <f t="shared" ca="1" si="232"/>
        <v>0</v>
      </c>
      <c r="AF327" s="52">
        <f t="shared" ca="1" si="232"/>
        <v>0</v>
      </c>
      <c r="AG327" s="52">
        <f t="shared" ca="1" si="232"/>
        <v>0</v>
      </c>
      <c r="AH327" s="52">
        <f t="shared" ca="1" si="232"/>
        <v>0</v>
      </c>
      <c r="AI327" s="52">
        <f t="shared" ca="1" si="232"/>
        <v>0</v>
      </c>
      <c r="AJ327" s="52">
        <f t="shared" ca="1" si="232"/>
        <v>0</v>
      </c>
      <c r="AK327" s="52">
        <f t="shared" ca="1" si="232"/>
        <v>0</v>
      </c>
      <c r="AL327" s="52">
        <f t="shared" ca="1" si="232"/>
        <v>0</v>
      </c>
      <c r="AM327" s="52">
        <f t="shared" ca="1" si="232"/>
        <v>0</v>
      </c>
      <c r="AN327" s="52">
        <f t="shared" ca="1" si="232"/>
        <v>0</v>
      </c>
      <c r="AO327" s="52">
        <f t="shared" ca="1" si="232"/>
        <v>0</v>
      </c>
      <c r="AP327" s="52">
        <f t="shared" ca="1" si="232"/>
        <v>0</v>
      </c>
      <c r="AQ327" s="52">
        <f t="shared" ca="1" si="232"/>
        <v>0</v>
      </c>
      <c r="AR327" s="52">
        <f t="shared" ca="1" si="232"/>
        <v>0</v>
      </c>
      <c r="AS327" s="52">
        <f t="shared" ca="1" si="232"/>
        <v>0</v>
      </c>
      <c r="AT327" s="52">
        <f t="shared" ca="1" si="232"/>
        <v>0</v>
      </c>
      <c r="AU327" s="52">
        <f t="shared" ca="1" si="232"/>
        <v>0</v>
      </c>
    </row>
    <row r="328" spans="1:47">
      <c r="E328" s="325"/>
      <c r="G328" s="36" t="s">
        <v>10</v>
      </c>
      <c r="H328" s="39"/>
      <c r="I328" s="39"/>
      <c r="J328" s="39"/>
      <c r="K328" s="39"/>
      <c r="L328" s="43"/>
      <c r="R328" s="54">
        <f>Assumptions!M$60</f>
        <v>1</v>
      </c>
      <c r="S328" s="54">
        <f>Assumptions!N$60</f>
        <v>0</v>
      </c>
      <c r="T328" s="54">
        <f>Assumptions!O$60</f>
        <v>0</v>
      </c>
      <c r="U328" s="54">
        <f>Assumptions!P$60</f>
        <v>0</v>
      </c>
      <c r="V328" s="54">
        <f>Assumptions!Q$60</f>
        <v>0</v>
      </c>
      <c r="W328" s="54">
        <f>Assumptions!R$60</f>
        <v>0</v>
      </c>
      <c r="X328" s="54">
        <f>Assumptions!S$60</f>
        <v>0</v>
      </c>
      <c r="Y328" s="54">
        <f>Assumptions!T$60</f>
        <v>0</v>
      </c>
      <c r="Z328" s="54">
        <f>Assumptions!U$60</f>
        <v>0</v>
      </c>
      <c r="AA328" s="54">
        <f>Assumptions!V$60</f>
        <v>0</v>
      </c>
      <c r="AB328" s="54">
        <f>Assumptions!W$60</f>
        <v>0</v>
      </c>
      <c r="AC328" s="54">
        <f>Assumptions!X$60</f>
        <v>0</v>
      </c>
      <c r="AD328" s="54">
        <f>Assumptions!Y$60</f>
        <v>0</v>
      </c>
      <c r="AE328" s="54">
        <f>Assumptions!Z$60</f>
        <v>0</v>
      </c>
      <c r="AF328" s="54">
        <f>Assumptions!AA$60</f>
        <v>0</v>
      </c>
      <c r="AG328" s="54">
        <f>Assumptions!AB$60</f>
        <v>0</v>
      </c>
      <c r="AH328" s="54">
        <f>Assumptions!AC$60</f>
        <v>0</v>
      </c>
      <c r="AI328" s="54">
        <f>Assumptions!AD$60</f>
        <v>0</v>
      </c>
      <c r="AJ328" s="54">
        <f>Assumptions!AE$60</f>
        <v>0</v>
      </c>
      <c r="AK328" s="54">
        <f>Assumptions!AF$60</f>
        <v>0</v>
      </c>
      <c r="AL328" s="54">
        <f>Assumptions!AG$60</f>
        <v>0</v>
      </c>
      <c r="AM328" s="54">
        <f>Assumptions!AH$60</f>
        <v>0</v>
      </c>
      <c r="AN328" s="54">
        <f>Assumptions!AI$60</f>
        <v>0</v>
      </c>
      <c r="AO328" s="54">
        <f>Assumptions!AJ$60</f>
        <v>0</v>
      </c>
      <c r="AP328" s="54">
        <f>Assumptions!AK$60</f>
        <v>0</v>
      </c>
      <c r="AQ328" s="54">
        <f>Assumptions!AL$60</f>
        <v>0</v>
      </c>
      <c r="AR328" s="54">
        <f>Assumptions!AM$60</f>
        <v>0</v>
      </c>
      <c r="AS328" s="54">
        <f>Assumptions!AN$60</f>
        <v>0</v>
      </c>
      <c r="AT328" s="54">
        <f>Assumptions!AO$60</f>
        <v>0</v>
      </c>
      <c r="AU328" s="54">
        <f>Assumptions!AP$60</f>
        <v>0</v>
      </c>
    </row>
    <row r="329" spans="1:47">
      <c r="E329" s="326"/>
      <c r="G329" s="39"/>
      <c r="H329" s="39"/>
      <c r="I329" s="39"/>
      <c r="J329" s="39"/>
      <c r="K329" s="39"/>
    </row>
    <row r="330" spans="1:47">
      <c r="E330" s="327"/>
      <c r="F330" s="28"/>
      <c r="G330" s="324" t="str">
        <f>C327&amp;" O&amp;M"</f>
        <v>Gas Cleaning O&amp;M</v>
      </c>
      <c r="H330" s="324"/>
      <c r="I330" s="324"/>
      <c r="J330" s="324"/>
      <c r="K330" s="324"/>
      <c r="L330" s="405" t="s">
        <v>79</v>
      </c>
      <c r="M330" s="256"/>
      <c r="N330" s="325" t="s">
        <v>490</v>
      </c>
      <c r="O330" s="311"/>
      <c r="P330" s="325" t="s">
        <v>491</v>
      </c>
      <c r="Q330" s="310"/>
      <c r="R330" s="325">
        <f>R$8</f>
        <v>2014</v>
      </c>
      <c r="S330" s="325">
        <f t="shared" ref="S330:AU330" si="233">S$8</f>
        <v>2015</v>
      </c>
      <c r="T330" s="325">
        <f t="shared" si="233"/>
        <v>2016</v>
      </c>
      <c r="U330" s="325">
        <f t="shared" si="233"/>
        <v>2017</v>
      </c>
      <c r="V330" s="325">
        <f t="shared" si="233"/>
        <v>2018</v>
      </c>
      <c r="W330" s="325">
        <f t="shared" si="233"/>
        <v>2019</v>
      </c>
      <c r="X330" s="325">
        <f t="shared" si="233"/>
        <v>2020</v>
      </c>
      <c r="Y330" s="325">
        <f t="shared" si="233"/>
        <v>2021</v>
      </c>
      <c r="Z330" s="325">
        <f t="shared" si="233"/>
        <v>2022</v>
      </c>
      <c r="AA330" s="325">
        <f t="shared" si="233"/>
        <v>2023</v>
      </c>
      <c r="AB330" s="325">
        <f t="shared" si="233"/>
        <v>2024</v>
      </c>
      <c r="AC330" s="325">
        <f t="shared" si="233"/>
        <v>2025</v>
      </c>
      <c r="AD330" s="325">
        <f t="shared" si="233"/>
        <v>2026</v>
      </c>
      <c r="AE330" s="325">
        <f t="shared" si="233"/>
        <v>2027</v>
      </c>
      <c r="AF330" s="325">
        <f t="shared" si="233"/>
        <v>2028</v>
      </c>
      <c r="AG330" s="325">
        <f t="shared" si="233"/>
        <v>2029</v>
      </c>
      <c r="AH330" s="325">
        <f t="shared" si="233"/>
        <v>2030</v>
      </c>
      <c r="AI330" s="325">
        <f t="shared" si="233"/>
        <v>2031</v>
      </c>
      <c r="AJ330" s="325">
        <f t="shared" si="233"/>
        <v>2032</v>
      </c>
      <c r="AK330" s="325">
        <f t="shared" si="233"/>
        <v>2033</v>
      </c>
      <c r="AL330" s="325">
        <f t="shared" si="233"/>
        <v>2034</v>
      </c>
      <c r="AM330" s="325">
        <f t="shared" si="233"/>
        <v>2035</v>
      </c>
      <c r="AN330" s="325">
        <f t="shared" si="233"/>
        <v>2036</v>
      </c>
      <c r="AO330" s="325">
        <f t="shared" si="233"/>
        <v>2037</v>
      </c>
      <c r="AP330" s="325">
        <f t="shared" si="233"/>
        <v>2038</v>
      </c>
      <c r="AQ330" s="325">
        <f t="shared" si="233"/>
        <v>2039</v>
      </c>
      <c r="AR330" s="325">
        <f t="shared" si="233"/>
        <v>2040</v>
      </c>
      <c r="AS330" s="325">
        <f t="shared" si="233"/>
        <v>2041</v>
      </c>
      <c r="AT330" s="325">
        <f t="shared" si="233"/>
        <v>2042</v>
      </c>
      <c r="AU330" s="325">
        <f t="shared" si="233"/>
        <v>2043</v>
      </c>
    </row>
    <row r="331" spans="1:47">
      <c r="E331" s="325"/>
      <c r="G331" s="39"/>
      <c r="H331" s="39"/>
      <c r="I331" s="39"/>
      <c r="J331" s="39"/>
      <c r="K331" s="39"/>
    </row>
    <row r="332" spans="1:47">
      <c r="E332" s="325"/>
      <c r="G332" s="39" t="s">
        <v>23</v>
      </c>
      <c r="H332" s="39"/>
      <c r="I332" s="39"/>
      <c r="J332" s="39"/>
      <c r="K332" s="39"/>
    </row>
    <row r="333" spans="1:47">
      <c r="A333" s="38" t="str">
        <f t="shared" ref="A333:A340" si="234">$J$4&amp;"-"</f>
        <v>4Y-</v>
      </c>
      <c r="B333" s="38" t="s">
        <v>262</v>
      </c>
      <c r="C333" s="38" t="str">
        <f>C327</f>
        <v>Gas Cleaning</v>
      </c>
      <c r="D333" s="186">
        <f>LaborEsc</f>
        <v>0.02</v>
      </c>
      <c r="E333" s="325"/>
      <c r="G333" s="36" t="s">
        <v>125</v>
      </c>
      <c r="I333" s="39"/>
      <c r="K333" s="39"/>
      <c r="L333" s="43" t="s">
        <v>266</v>
      </c>
      <c r="N333" s="70">
        <f ca="1">SUMIFS(OFFSET(Assumptions!$I$90,0,MATCH($A333,Configurations,0)-1,COUNT(Assumptions!$A$90:$A$183),1),Assumptions!$D$90:$D$183,$B333&amp;$C333)</f>
        <v>0</v>
      </c>
      <c r="O333" s="313"/>
      <c r="P333" s="323"/>
      <c r="Q333" s="313"/>
      <c r="R333" s="50">
        <f t="shared" ref="R333:AU333" ca="1" si="235">IF(OR(R$99&lt;InServiceYr,R$99&gt;(InServiceYr+analysis_period-1)),0,IF($P333=0,$N333,$P333)*LaborCost*(1+$D333)^(R$99-CostBaseYr))</f>
        <v>0</v>
      </c>
      <c r="S333" s="50">
        <f t="shared" ca="1" si="235"/>
        <v>0</v>
      </c>
      <c r="T333" s="50">
        <f t="shared" ca="1" si="235"/>
        <v>0</v>
      </c>
      <c r="U333" s="50">
        <f t="shared" ca="1" si="235"/>
        <v>0</v>
      </c>
      <c r="V333" s="50">
        <f t="shared" ca="1" si="235"/>
        <v>0</v>
      </c>
      <c r="W333" s="50">
        <f t="shared" ca="1" si="235"/>
        <v>0</v>
      </c>
      <c r="X333" s="50">
        <f t="shared" ca="1" si="235"/>
        <v>0</v>
      </c>
      <c r="Y333" s="50">
        <f t="shared" ca="1" si="235"/>
        <v>0</v>
      </c>
      <c r="Z333" s="50">
        <f t="shared" ca="1" si="235"/>
        <v>0</v>
      </c>
      <c r="AA333" s="50">
        <f t="shared" ca="1" si="235"/>
        <v>0</v>
      </c>
      <c r="AB333" s="50">
        <f t="shared" ca="1" si="235"/>
        <v>0</v>
      </c>
      <c r="AC333" s="50">
        <f t="shared" ca="1" si="235"/>
        <v>0</v>
      </c>
      <c r="AD333" s="50">
        <f t="shared" ca="1" si="235"/>
        <v>0</v>
      </c>
      <c r="AE333" s="50">
        <f t="shared" ca="1" si="235"/>
        <v>0</v>
      </c>
      <c r="AF333" s="50">
        <f t="shared" ca="1" si="235"/>
        <v>0</v>
      </c>
      <c r="AG333" s="50">
        <f t="shared" ca="1" si="235"/>
        <v>0</v>
      </c>
      <c r="AH333" s="50">
        <f t="shared" ca="1" si="235"/>
        <v>0</v>
      </c>
      <c r="AI333" s="50">
        <f t="shared" ca="1" si="235"/>
        <v>0</v>
      </c>
      <c r="AJ333" s="50">
        <f t="shared" ca="1" si="235"/>
        <v>0</v>
      </c>
      <c r="AK333" s="50">
        <f t="shared" ca="1" si="235"/>
        <v>0</v>
      </c>
      <c r="AL333" s="50">
        <f t="shared" si="235"/>
        <v>0</v>
      </c>
      <c r="AM333" s="50">
        <f t="shared" si="235"/>
        <v>0</v>
      </c>
      <c r="AN333" s="50">
        <f t="shared" si="235"/>
        <v>0</v>
      </c>
      <c r="AO333" s="50">
        <f t="shared" si="235"/>
        <v>0</v>
      </c>
      <c r="AP333" s="50">
        <f t="shared" si="235"/>
        <v>0</v>
      </c>
      <c r="AQ333" s="50">
        <f t="shared" si="235"/>
        <v>0</v>
      </c>
      <c r="AR333" s="50">
        <f t="shared" si="235"/>
        <v>0</v>
      </c>
      <c r="AS333" s="50">
        <f t="shared" si="235"/>
        <v>0</v>
      </c>
      <c r="AT333" s="50">
        <f t="shared" si="235"/>
        <v>0</v>
      </c>
      <c r="AU333" s="50">
        <f t="shared" si="235"/>
        <v>0</v>
      </c>
    </row>
    <row r="334" spans="1:47">
      <c r="A334" s="38" t="str">
        <f t="shared" si="234"/>
        <v>4Y-</v>
      </c>
      <c r="B334" s="38" t="s">
        <v>270</v>
      </c>
      <c r="C334" s="38" t="str">
        <f>C333</f>
        <v>Gas Cleaning</v>
      </c>
      <c r="D334" s="186">
        <f>OMEsc</f>
        <v>0.02</v>
      </c>
      <c r="E334" s="325"/>
      <c r="G334" s="36" t="s">
        <v>126</v>
      </c>
      <c r="I334" s="39"/>
      <c r="K334" s="39"/>
      <c r="L334" s="43" t="str">
        <f>"["&amp;CostBaseYr&amp;" $]"</f>
        <v>[2013 $]</v>
      </c>
      <c r="N334" s="70">
        <f ca="1">SUMIFS(OFFSET(Assumptions!$I$90,0,MATCH($A334,Configurations,0)-1,COUNT(Assumptions!$A$90:$A$183),1),Assumptions!$D$90:$D$183,$B334&amp;$C334)</f>
        <v>0</v>
      </c>
      <c r="O334" s="313"/>
      <c r="P334" s="323"/>
      <c r="Q334" s="313"/>
      <c r="R334" s="50">
        <f t="shared" ref="R334:AG336" ca="1" si="236">IF(OR(R$99&lt;InServiceYr,R$99&gt;(InServiceYr+analysis_period-1)),0,IF($P334=0,$N334,$P334)*(1+$D334)^(R$99-CostBaseYr))</f>
        <v>0</v>
      </c>
      <c r="S334" s="50">
        <f t="shared" ca="1" si="236"/>
        <v>0</v>
      </c>
      <c r="T334" s="50">
        <f t="shared" ca="1" si="236"/>
        <v>0</v>
      </c>
      <c r="U334" s="50">
        <f t="shared" ca="1" si="236"/>
        <v>0</v>
      </c>
      <c r="V334" s="50">
        <f t="shared" ca="1" si="236"/>
        <v>0</v>
      </c>
      <c r="W334" s="50">
        <f t="shared" ca="1" si="236"/>
        <v>0</v>
      </c>
      <c r="X334" s="50">
        <f t="shared" ca="1" si="236"/>
        <v>0</v>
      </c>
      <c r="Y334" s="50">
        <f t="shared" ca="1" si="236"/>
        <v>0</v>
      </c>
      <c r="Z334" s="50">
        <f t="shared" ca="1" si="236"/>
        <v>0</v>
      </c>
      <c r="AA334" s="50">
        <f t="shared" ca="1" si="236"/>
        <v>0</v>
      </c>
      <c r="AB334" s="50">
        <f t="shared" ca="1" si="236"/>
        <v>0</v>
      </c>
      <c r="AC334" s="50">
        <f t="shared" ca="1" si="236"/>
        <v>0</v>
      </c>
      <c r="AD334" s="50">
        <f t="shared" ca="1" si="236"/>
        <v>0</v>
      </c>
      <c r="AE334" s="50">
        <f t="shared" ca="1" si="236"/>
        <v>0</v>
      </c>
      <c r="AF334" s="50">
        <f t="shared" ca="1" si="236"/>
        <v>0</v>
      </c>
      <c r="AG334" s="50">
        <f t="shared" ca="1" si="236"/>
        <v>0</v>
      </c>
      <c r="AH334" s="50">
        <f t="shared" ref="S334:AU336" ca="1" si="237">IF(OR(AH$99&lt;InServiceYr,AH$99&gt;(InServiceYr+analysis_period-1)),0,IF($P334=0,$N334,$P334)*(1+$D334)^(AH$99-CostBaseYr))</f>
        <v>0</v>
      </c>
      <c r="AI334" s="50">
        <f t="shared" ca="1" si="237"/>
        <v>0</v>
      </c>
      <c r="AJ334" s="50">
        <f t="shared" ca="1" si="237"/>
        <v>0</v>
      </c>
      <c r="AK334" s="50">
        <f t="shared" ca="1" si="237"/>
        <v>0</v>
      </c>
      <c r="AL334" s="50">
        <f t="shared" si="237"/>
        <v>0</v>
      </c>
      <c r="AM334" s="50">
        <f t="shared" si="237"/>
        <v>0</v>
      </c>
      <c r="AN334" s="50">
        <f t="shared" si="237"/>
        <v>0</v>
      </c>
      <c r="AO334" s="50">
        <f t="shared" si="237"/>
        <v>0</v>
      </c>
      <c r="AP334" s="50">
        <f t="shared" si="237"/>
        <v>0</v>
      </c>
      <c r="AQ334" s="50">
        <f t="shared" si="237"/>
        <v>0</v>
      </c>
      <c r="AR334" s="50">
        <f t="shared" si="237"/>
        <v>0</v>
      </c>
      <c r="AS334" s="50">
        <f t="shared" si="237"/>
        <v>0</v>
      </c>
      <c r="AT334" s="50">
        <f t="shared" si="237"/>
        <v>0</v>
      </c>
      <c r="AU334" s="50">
        <f t="shared" si="237"/>
        <v>0</v>
      </c>
    </row>
    <row r="335" spans="1:47">
      <c r="A335" s="38" t="str">
        <f t="shared" si="234"/>
        <v>4Y-</v>
      </c>
      <c r="B335" s="38" t="s">
        <v>263</v>
      </c>
      <c r="C335" s="38" t="str">
        <f t="shared" ref="C335:C339" si="238">C334</f>
        <v>Gas Cleaning</v>
      </c>
      <c r="D335" s="186">
        <f>OMEsc</f>
        <v>0.02</v>
      </c>
      <c r="E335" s="325"/>
      <c r="G335" s="36" t="s">
        <v>127</v>
      </c>
      <c r="I335" s="39"/>
      <c r="K335" s="39"/>
      <c r="L335" s="43" t="str">
        <f>"["&amp;CostBaseYr&amp;" $]"</f>
        <v>[2013 $]</v>
      </c>
      <c r="N335" s="70">
        <f ca="1">SUMIFS(OFFSET(Assumptions!$I$90,0,MATCH($A335,Configurations,0)-1,COUNT(Assumptions!$A$90:$A$183),1),Assumptions!$D$90:$D$183,$B335&amp;$C335)</f>
        <v>0</v>
      </c>
      <c r="O335" s="313"/>
      <c r="P335" s="323"/>
      <c r="Q335" s="313"/>
      <c r="R335" s="50">
        <f t="shared" ca="1" si="236"/>
        <v>0</v>
      </c>
      <c r="S335" s="50">
        <f t="shared" ca="1" si="237"/>
        <v>0</v>
      </c>
      <c r="T335" s="50">
        <f t="shared" ca="1" si="237"/>
        <v>0</v>
      </c>
      <c r="U335" s="50">
        <f t="shared" ca="1" si="237"/>
        <v>0</v>
      </c>
      <c r="V335" s="50">
        <f t="shared" ca="1" si="237"/>
        <v>0</v>
      </c>
      <c r="W335" s="50">
        <f t="shared" ca="1" si="237"/>
        <v>0</v>
      </c>
      <c r="X335" s="50">
        <f t="shared" ca="1" si="237"/>
        <v>0</v>
      </c>
      <c r="Y335" s="50">
        <f t="shared" ca="1" si="237"/>
        <v>0</v>
      </c>
      <c r="Z335" s="50">
        <f t="shared" ca="1" si="237"/>
        <v>0</v>
      </c>
      <c r="AA335" s="50">
        <f t="shared" ca="1" si="237"/>
        <v>0</v>
      </c>
      <c r="AB335" s="50">
        <f t="shared" ca="1" si="237"/>
        <v>0</v>
      </c>
      <c r="AC335" s="50">
        <f t="shared" ca="1" si="237"/>
        <v>0</v>
      </c>
      <c r="AD335" s="50">
        <f t="shared" ca="1" si="237"/>
        <v>0</v>
      </c>
      <c r="AE335" s="50">
        <f t="shared" ca="1" si="237"/>
        <v>0</v>
      </c>
      <c r="AF335" s="50">
        <f t="shared" ca="1" si="237"/>
        <v>0</v>
      </c>
      <c r="AG335" s="50">
        <f t="shared" ca="1" si="237"/>
        <v>0</v>
      </c>
      <c r="AH335" s="50">
        <f t="shared" ca="1" si="237"/>
        <v>0</v>
      </c>
      <c r="AI335" s="50">
        <f t="shared" ca="1" si="237"/>
        <v>0</v>
      </c>
      <c r="AJ335" s="50">
        <f t="shared" ca="1" si="237"/>
        <v>0</v>
      </c>
      <c r="AK335" s="50">
        <f t="shared" ca="1" si="237"/>
        <v>0</v>
      </c>
      <c r="AL335" s="50">
        <f t="shared" si="237"/>
        <v>0</v>
      </c>
      <c r="AM335" s="50">
        <f t="shared" si="237"/>
        <v>0</v>
      </c>
      <c r="AN335" s="50">
        <f t="shared" si="237"/>
        <v>0</v>
      </c>
      <c r="AO335" s="50">
        <f t="shared" si="237"/>
        <v>0</v>
      </c>
      <c r="AP335" s="50">
        <f t="shared" si="237"/>
        <v>0</v>
      </c>
      <c r="AQ335" s="50">
        <f t="shared" si="237"/>
        <v>0</v>
      </c>
      <c r="AR335" s="50">
        <f t="shared" si="237"/>
        <v>0</v>
      </c>
      <c r="AS335" s="50">
        <f t="shared" si="237"/>
        <v>0</v>
      </c>
      <c r="AT335" s="50">
        <f t="shared" si="237"/>
        <v>0</v>
      </c>
      <c r="AU335" s="50">
        <f t="shared" si="237"/>
        <v>0</v>
      </c>
    </row>
    <row r="336" spans="1:47">
      <c r="A336" s="38" t="str">
        <f t="shared" si="234"/>
        <v>4Y-</v>
      </c>
      <c r="B336" s="38" t="s">
        <v>277</v>
      </c>
      <c r="C336" s="38" t="str">
        <f t="shared" si="238"/>
        <v>Gas Cleaning</v>
      </c>
      <c r="D336" s="186">
        <f>OMEsc</f>
        <v>0.02</v>
      </c>
      <c r="E336" s="325"/>
      <c r="G336" s="36" t="s">
        <v>276</v>
      </c>
      <c r="I336" s="39"/>
      <c r="K336" s="39"/>
      <c r="L336" s="43" t="str">
        <f>"["&amp;CostBaseYr&amp;" $]"</f>
        <v>[2013 $]</v>
      </c>
      <c r="N336" s="70">
        <f ca="1">SUMIFS(OFFSET(Assumptions!$I$90,0,MATCH($A336,Configurations,0)-1,COUNT(Assumptions!$A$90:$A$183),1),Assumptions!$D$90:$D$183,$B336&amp;$C336)</f>
        <v>0</v>
      </c>
      <c r="O336" s="313"/>
      <c r="P336" s="323"/>
      <c r="Q336" s="313"/>
      <c r="R336" s="50">
        <f t="shared" ca="1" si="236"/>
        <v>0</v>
      </c>
      <c r="S336" s="50">
        <f t="shared" ca="1" si="237"/>
        <v>0</v>
      </c>
      <c r="T336" s="50">
        <f t="shared" ca="1" si="237"/>
        <v>0</v>
      </c>
      <c r="U336" s="50">
        <f t="shared" ca="1" si="237"/>
        <v>0</v>
      </c>
      <c r="V336" s="50">
        <f t="shared" ca="1" si="237"/>
        <v>0</v>
      </c>
      <c r="W336" s="50">
        <f t="shared" ca="1" si="237"/>
        <v>0</v>
      </c>
      <c r="X336" s="50">
        <f t="shared" ca="1" si="237"/>
        <v>0</v>
      </c>
      <c r="Y336" s="50">
        <f t="shared" ca="1" si="237"/>
        <v>0</v>
      </c>
      <c r="Z336" s="50">
        <f t="shared" ca="1" si="237"/>
        <v>0</v>
      </c>
      <c r="AA336" s="50">
        <f t="shared" ca="1" si="237"/>
        <v>0</v>
      </c>
      <c r="AB336" s="50">
        <f t="shared" ca="1" si="237"/>
        <v>0</v>
      </c>
      <c r="AC336" s="50">
        <f t="shared" ca="1" si="237"/>
        <v>0</v>
      </c>
      <c r="AD336" s="50">
        <f t="shared" ca="1" si="237"/>
        <v>0</v>
      </c>
      <c r="AE336" s="50">
        <f t="shared" ca="1" si="237"/>
        <v>0</v>
      </c>
      <c r="AF336" s="50">
        <f t="shared" ca="1" si="237"/>
        <v>0</v>
      </c>
      <c r="AG336" s="50">
        <f t="shared" ca="1" si="237"/>
        <v>0</v>
      </c>
      <c r="AH336" s="50">
        <f t="shared" ca="1" si="237"/>
        <v>0</v>
      </c>
      <c r="AI336" s="50">
        <f t="shared" ca="1" si="237"/>
        <v>0</v>
      </c>
      <c r="AJ336" s="50">
        <f t="shared" ca="1" si="237"/>
        <v>0</v>
      </c>
      <c r="AK336" s="50">
        <f t="shared" ca="1" si="237"/>
        <v>0</v>
      </c>
      <c r="AL336" s="50">
        <f t="shared" si="237"/>
        <v>0</v>
      </c>
      <c r="AM336" s="50">
        <f t="shared" si="237"/>
        <v>0</v>
      </c>
      <c r="AN336" s="50">
        <f t="shared" si="237"/>
        <v>0</v>
      </c>
      <c r="AO336" s="50">
        <f t="shared" si="237"/>
        <v>0</v>
      </c>
      <c r="AP336" s="50">
        <f t="shared" si="237"/>
        <v>0</v>
      </c>
      <c r="AQ336" s="50">
        <f t="shared" si="237"/>
        <v>0</v>
      </c>
      <c r="AR336" s="50">
        <f t="shared" si="237"/>
        <v>0</v>
      </c>
      <c r="AS336" s="50">
        <f t="shared" si="237"/>
        <v>0</v>
      </c>
      <c r="AT336" s="50">
        <f t="shared" si="237"/>
        <v>0</v>
      </c>
      <c r="AU336" s="50">
        <f t="shared" si="237"/>
        <v>0</v>
      </c>
    </row>
    <row r="337" spans="1:47">
      <c r="A337" s="38" t="str">
        <f t="shared" si="234"/>
        <v>4Y-</v>
      </c>
      <c r="B337" s="38" t="s">
        <v>274</v>
      </c>
      <c r="C337" s="38" t="str">
        <f t="shared" si="238"/>
        <v>Gas Cleaning</v>
      </c>
      <c r="D337" s="186"/>
      <c r="E337" s="325"/>
      <c r="G337" s="36" t="s">
        <v>16</v>
      </c>
      <c r="I337" s="39"/>
      <c r="K337" s="39"/>
      <c r="L337" s="43" t="s">
        <v>275</v>
      </c>
      <c r="N337" s="70">
        <f ca="1">SUMIFS(OFFSET(Assumptions!$I$90,0,MATCH($A337,Configurations,0)-1,COUNT(Assumptions!$A$90:$A$183),1),Assumptions!$D$90:$D$183,$B337&amp;$C337)</f>
        <v>0</v>
      </c>
      <c r="O337" s="313"/>
      <c r="P337" s="323"/>
      <c r="Q337" s="313"/>
      <c r="R337" s="50">
        <f t="shared" ref="R337:AU337" ca="1" si="239">IF(OR(R$99&lt;InServiceYr,R$99&gt;(InServiceYr+analysis_period-1)),0,IF($P337=0,$N337,$P337)*R$505)</f>
        <v>0</v>
      </c>
      <c r="S337" s="50">
        <f t="shared" ca="1" si="239"/>
        <v>0</v>
      </c>
      <c r="T337" s="50">
        <f t="shared" ca="1" si="239"/>
        <v>0</v>
      </c>
      <c r="U337" s="50">
        <f t="shared" ca="1" si="239"/>
        <v>0</v>
      </c>
      <c r="V337" s="50">
        <f t="shared" ca="1" si="239"/>
        <v>0</v>
      </c>
      <c r="W337" s="50">
        <f t="shared" ca="1" si="239"/>
        <v>0</v>
      </c>
      <c r="X337" s="50">
        <f t="shared" ca="1" si="239"/>
        <v>0</v>
      </c>
      <c r="Y337" s="50">
        <f t="shared" ca="1" si="239"/>
        <v>0</v>
      </c>
      <c r="Z337" s="50">
        <f t="shared" ca="1" si="239"/>
        <v>0</v>
      </c>
      <c r="AA337" s="50">
        <f t="shared" ca="1" si="239"/>
        <v>0</v>
      </c>
      <c r="AB337" s="50">
        <f t="shared" ca="1" si="239"/>
        <v>0</v>
      </c>
      <c r="AC337" s="50">
        <f t="shared" ca="1" si="239"/>
        <v>0</v>
      </c>
      <c r="AD337" s="50">
        <f t="shared" ca="1" si="239"/>
        <v>0</v>
      </c>
      <c r="AE337" s="50">
        <f t="shared" ca="1" si="239"/>
        <v>0</v>
      </c>
      <c r="AF337" s="50">
        <f t="shared" ca="1" si="239"/>
        <v>0</v>
      </c>
      <c r="AG337" s="50">
        <f t="shared" ca="1" si="239"/>
        <v>0</v>
      </c>
      <c r="AH337" s="50">
        <f t="shared" ca="1" si="239"/>
        <v>0</v>
      </c>
      <c r="AI337" s="50">
        <f t="shared" ca="1" si="239"/>
        <v>0</v>
      </c>
      <c r="AJ337" s="50">
        <f t="shared" ca="1" si="239"/>
        <v>0</v>
      </c>
      <c r="AK337" s="50">
        <f t="shared" ca="1" si="239"/>
        <v>0</v>
      </c>
      <c r="AL337" s="50">
        <f t="shared" si="239"/>
        <v>0</v>
      </c>
      <c r="AM337" s="50">
        <f t="shared" si="239"/>
        <v>0</v>
      </c>
      <c r="AN337" s="50">
        <f t="shared" si="239"/>
        <v>0</v>
      </c>
      <c r="AO337" s="50">
        <f t="shared" si="239"/>
        <v>0</v>
      </c>
      <c r="AP337" s="50">
        <f t="shared" si="239"/>
        <v>0</v>
      </c>
      <c r="AQ337" s="50">
        <f t="shared" si="239"/>
        <v>0</v>
      </c>
      <c r="AR337" s="50">
        <f t="shared" si="239"/>
        <v>0</v>
      </c>
      <c r="AS337" s="50">
        <f t="shared" si="239"/>
        <v>0</v>
      </c>
      <c r="AT337" s="50">
        <f t="shared" si="239"/>
        <v>0</v>
      </c>
      <c r="AU337" s="50">
        <f t="shared" si="239"/>
        <v>0</v>
      </c>
    </row>
    <row r="338" spans="1:47">
      <c r="A338" s="38" t="str">
        <f t="shared" si="234"/>
        <v>4Y-</v>
      </c>
      <c r="B338" s="38" t="s">
        <v>257</v>
      </c>
      <c r="C338" s="38" t="str">
        <f t="shared" si="238"/>
        <v>Gas Cleaning</v>
      </c>
      <c r="D338" s="186"/>
      <c r="E338" s="325"/>
      <c r="G338" s="36" t="s">
        <v>284</v>
      </c>
      <c r="I338" s="39"/>
      <c r="K338" s="39"/>
      <c r="L338" s="43" t="s">
        <v>293</v>
      </c>
      <c r="N338" s="70">
        <f ca="1">SUMIFS(OFFSET(Assumptions!$I$90,0,MATCH($A338,Configurations,0)-1,COUNT(Assumptions!$A$90:$A$183),1),Assumptions!$D$90:$D$183,$B338&amp;$C338)</f>
        <v>0</v>
      </c>
      <c r="O338" s="313"/>
      <c r="P338" s="323"/>
      <c r="Q338" s="313"/>
      <c r="R338" s="50">
        <f t="shared" ref="R338:AU338" ca="1" si="240">IF(OR(R$99&lt;InServiceYr,R$99&gt;(InServiceYr+analysis_period-1)),0,IF($P338=0,$N338,$P338)*R$501)</f>
        <v>0</v>
      </c>
      <c r="S338" s="50">
        <f t="shared" ca="1" si="240"/>
        <v>0</v>
      </c>
      <c r="T338" s="50">
        <f t="shared" ca="1" si="240"/>
        <v>0</v>
      </c>
      <c r="U338" s="50">
        <f t="shared" ca="1" si="240"/>
        <v>0</v>
      </c>
      <c r="V338" s="50">
        <f t="shared" ca="1" si="240"/>
        <v>0</v>
      </c>
      <c r="W338" s="50">
        <f t="shared" ca="1" si="240"/>
        <v>0</v>
      </c>
      <c r="X338" s="50">
        <f t="shared" ca="1" si="240"/>
        <v>0</v>
      </c>
      <c r="Y338" s="50">
        <f t="shared" ca="1" si="240"/>
        <v>0</v>
      </c>
      <c r="Z338" s="50">
        <f t="shared" ca="1" si="240"/>
        <v>0</v>
      </c>
      <c r="AA338" s="50">
        <f t="shared" ca="1" si="240"/>
        <v>0</v>
      </c>
      <c r="AB338" s="50">
        <f t="shared" ca="1" si="240"/>
        <v>0</v>
      </c>
      <c r="AC338" s="50">
        <f t="shared" ca="1" si="240"/>
        <v>0</v>
      </c>
      <c r="AD338" s="50">
        <f t="shared" ca="1" si="240"/>
        <v>0</v>
      </c>
      <c r="AE338" s="50">
        <f t="shared" ca="1" si="240"/>
        <v>0</v>
      </c>
      <c r="AF338" s="50">
        <f t="shared" ca="1" si="240"/>
        <v>0</v>
      </c>
      <c r="AG338" s="50">
        <f t="shared" ca="1" si="240"/>
        <v>0</v>
      </c>
      <c r="AH338" s="50">
        <f t="shared" ca="1" si="240"/>
        <v>0</v>
      </c>
      <c r="AI338" s="50">
        <f t="shared" ca="1" si="240"/>
        <v>0</v>
      </c>
      <c r="AJ338" s="50">
        <f t="shared" ca="1" si="240"/>
        <v>0</v>
      </c>
      <c r="AK338" s="50">
        <f t="shared" ca="1" si="240"/>
        <v>0</v>
      </c>
      <c r="AL338" s="50">
        <f t="shared" si="240"/>
        <v>0</v>
      </c>
      <c r="AM338" s="50">
        <f t="shared" si="240"/>
        <v>0</v>
      </c>
      <c r="AN338" s="50">
        <f t="shared" si="240"/>
        <v>0</v>
      </c>
      <c r="AO338" s="50">
        <f t="shared" si="240"/>
        <v>0</v>
      </c>
      <c r="AP338" s="50">
        <f t="shared" si="240"/>
        <v>0</v>
      </c>
      <c r="AQ338" s="50">
        <f t="shared" si="240"/>
        <v>0</v>
      </c>
      <c r="AR338" s="50">
        <f t="shared" si="240"/>
        <v>0</v>
      </c>
      <c r="AS338" s="50">
        <f t="shared" si="240"/>
        <v>0</v>
      </c>
      <c r="AT338" s="50">
        <f t="shared" si="240"/>
        <v>0</v>
      </c>
      <c r="AU338" s="50">
        <f t="shared" si="240"/>
        <v>0</v>
      </c>
    </row>
    <row r="339" spans="1:47">
      <c r="A339" s="38" t="str">
        <f t="shared" si="234"/>
        <v>4Y-</v>
      </c>
      <c r="B339" s="38" t="s">
        <v>864</v>
      </c>
      <c r="C339" s="38" t="str">
        <f t="shared" si="238"/>
        <v>Gas Cleaning</v>
      </c>
      <c r="D339" s="186">
        <f>GHGEsc</f>
        <v>0.02</v>
      </c>
      <c r="E339" s="325"/>
      <c r="G339" s="36" t="s">
        <v>865</v>
      </c>
      <c r="I339" s="39"/>
      <c r="K339" s="39"/>
      <c r="L339" s="43" t="s">
        <v>866</v>
      </c>
      <c r="N339" s="70">
        <f ca="1">SUMIFS(OFFSET(Assumptions!$I$90,0,MATCH($A339,Configurations,0)-1,COUNT(Assumptions!$A$90:$A$183),1),Assumptions!$D$90:$D$183,$B339&amp;$C339)</f>
        <v>0</v>
      </c>
      <c r="O339" s="313"/>
      <c r="P339" s="323"/>
      <c r="Q339" s="313"/>
      <c r="R339" s="50">
        <f t="shared" ref="R339:AU339" ca="1" si="241">IF(OR(R$99&lt;InServiceYr,R$99&gt;(InServiceYr+analysis_period-1)),0,IF($P339=0,$N339,$P339)*R$513)</f>
        <v>0</v>
      </c>
      <c r="S339" s="50">
        <f t="shared" ca="1" si="241"/>
        <v>0</v>
      </c>
      <c r="T339" s="50">
        <f t="shared" ca="1" si="241"/>
        <v>0</v>
      </c>
      <c r="U339" s="50">
        <f t="shared" ca="1" si="241"/>
        <v>0</v>
      </c>
      <c r="V339" s="50">
        <f t="shared" ca="1" si="241"/>
        <v>0</v>
      </c>
      <c r="W339" s="50">
        <f t="shared" ca="1" si="241"/>
        <v>0</v>
      </c>
      <c r="X339" s="50">
        <f t="shared" ca="1" si="241"/>
        <v>0</v>
      </c>
      <c r="Y339" s="50">
        <f t="shared" ca="1" si="241"/>
        <v>0</v>
      </c>
      <c r="Z339" s="50">
        <f t="shared" ca="1" si="241"/>
        <v>0</v>
      </c>
      <c r="AA339" s="50">
        <f t="shared" ca="1" si="241"/>
        <v>0</v>
      </c>
      <c r="AB339" s="50">
        <f t="shared" ca="1" si="241"/>
        <v>0</v>
      </c>
      <c r="AC339" s="50">
        <f t="shared" ca="1" si="241"/>
        <v>0</v>
      </c>
      <c r="AD339" s="50">
        <f t="shared" ca="1" si="241"/>
        <v>0</v>
      </c>
      <c r="AE339" s="50">
        <f t="shared" ca="1" si="241"/>
        <v>0</v>
      </c>
      <c r="AF339" s="50">
        <f t="shared" ca="1" si="241"/>
        <v>0</v>
      </c>
      <c r="AG339" s="50">
        <f t="shared" ca="1" si="241"/>
        <v>0</v>
      </c>
      <c r="AH339" s="50">
        <f t="shared" ca="1" si="241"/>
        <v>0</v>
      </c>
      <c r="AI339" s="50">
        <f t="shared" ca="1" si="241"/>
        <v>0</v>
      </c>
      <c r="AJ339" s="50">
        <f t="shared" ca="1" si="241"/>
        <v>0</v>
      </c>
      <c r="AK339" s="50">
        <f t="shared" ca="1" si="241"/>
        <v>0</v>
      </c>
      <c r="AL339" s="50">
        <f t="shared" si="241"/>
        <v>0</v>
      </c>
      <c r="AM339" s="50">
        <f t="shared" si="241"/>
        <v>0</v>
      </c>
      <c r="AN339" s="50">
        <f t="shared" si="241"/>
        <v>0</v>
      </c>
      <c r="AO339" s="50">
        <f t="shared" si="241"/>
        <v>0</v>
      </c>
      <c r="AP339" s="50">
        <f t="shared" si="241"/>
        <v>0</v>
      </c>
      <c r="AQ339" s="50">
        <f t="shared" si="241"/>
        <v>0</v>
      </c>
      <c r="AR339" s="50">
        <f t="shared" si="241"/>
        <v>0</v>
      </c>
      <c r="AS339" s="50">
        <f t="shared" si="241"/>
        <v>0</v>
      </c>
      <c r="AT339" s="50">
        <f t="shared" si="241"/>
        <v>0</v>
      </c>
      <c r="AU339" s="50">
        <f t="shared" si="241"/>
        <v>0</v>
      </c>
    </row>
    <row r="340" spans="1:47">
      <c r="A340" s="38" t="str">
        <f t="shared" si="234"/>
        <v>4Y-</v>
      </c>
      <c r="B340" s="38" t="s">
        <v>273</v>
      </c>
      <c r="C340" s="38" t="str">
        <f>C338</f>
        <v>Gas Cleaning</v>
      </c>
      <c r="D340" s="186">
        <f>LaborEsc</f>
        <v>0.02</v>
      </c>
      <c r="E340" s="325"/>
      <c r="G340" s="36" t="s">
        <v>291</v>
      </c>
      <c r="I340" s="39"/>
      <c r="K340" s="39"/>
      <c r="L340" s="43" t="str">
        <f>"["&amp;CostBaseYr&amp;" $]"</f>
        <v>[2013 $]</v>
      </c>
      <c r="N340" s="70">
        <f ca="1">SUMIFS(OFFSET(Assumptions!$I$90,0,MATCH($A340,Configurations,0)-1,COUNT(Assumptions!$A$90:$A$183),1),Assumptions!$D$90:$D$183,$B340&amp;$C340)</f>
        <v>0</v>
      </c>
      <c r="O340" s="313"/>
      <c r="P340" s="323"/>
      <c r="Q340" s="313"/>
      <c r="R340" s="50">
        <f t="shared" ref="R340:AU340" ca="1" si="242">IF(OR(R$99&lt;InServiceYr,R$99&gt;(InServiceYr+analysis_period-1)),0,IF($P340=0,$N340,$P340)*(1+$D340)^(R$99-CostBaseYr))*R$509</f>
        <v>0</v>
      </c>
      <c r="S340" s="50">
        <f t="shared" ca="1" si="242"/>
        <v>0</v>
      </c>
      <c r="T340" s="50">
        <f t="shared" ca="1" si="242"/>
        <v>0</v>
      </c>
      <c r="U340" s="50">
        <f t="shared" ca="1" si="242"/>
        <v>0</v>
      </c>
      <c r="V340" s="50">
        <f t="shared" ca="1" si="242"/>
        <v>0</v>
      </c>
      <c r="W340" s="50">
        <f t="shared" ca="1" si="242"/>
        <v>0</v>
      </c>
      <c r="X340" s="50">
        <f t="shared" ca="1" si="242"/>
        <v>0</v>
      </c>
      <c r="Y340" s="50">
        <f t="shared" ca="1" si="242"/>
        <v>0</v>
      </c>
      <c r="Z340" s="50">
        <f t="shared" ca="1" si="242"/>
        <v>0</v>
      </c>
      <c r="AA340" s="50">
        <f t="shared" ca="1" si="242"/>
        <v>0</v>
      </c>
      <c r="AB340" s="50">
        <f t="shared" ca="1" si="242"/>
        <v>0</v>
      </c>
      <c r="AC340" s="50">
        <f t="shared" ca="1" si="242"/>
        <v>0</v>
      </c>
      <c r="AD340" s="50">
        <f t="shared" ca="1" si="242"/>
        <v>0</v>
      </c>
      <c r="AE340" s="50">
        <f t="shared" ca="1" si="242"/>
        <v>0</v>
      </c>
      <c r="AF340" s="50">
        <f t="shared" ca="1" si="242"/>
        <v>0</v>
      </c>
      <c r="AG340" s="50">
        <f t="shared" ca="1" si="242"/>
        <v>0</v>
      </c>
      <c r="AH340" s="50">
        <f t="shared" ca="1" si="242"/>
        <v>0</v>
      </c>
      <c r="AI340" s="50">
        <f t="shared" ca="1" si="242"/>
        <v>0</v>
      </c>
      <c r="AJ340" s="50">
        <f t="shared" ca="1" si="242"/>
        <v>0</v>
      </c>
      <c r="AK340" s="50">
        <f t="shared" ca="1" si="242"/>
        <v>0</v>
      </c>
      <c r="AL340" s="50">
        <f t="shared" si="242"/>
        <v>0</v>
      </c>
      <c r="AM340" s="50">
        <f t="shared" si="242"/>
        <v>0</v>
      </c>
      <c r="AN340" s="50">
        <f t="shared" si="242"/>
        <v>0</v>
      </c>
      <c r="AO340" s="50">
        <f t="shared" si="242"/>
        <v>0</v>
      </c>
      <c r="AP340" s="50">
        <f t="shared" si="242"/>
        <v>0</v>
      </c>
      <c r="AQ340" s="50">
        <f t="shared" si="242"/>
        <v>0</v>
      </c>
      <c r="AR340" s="50">
        <f t="shared" si="242"/>
        <v>0</v>
      </c>
      <c r="AS340" s="50">
        <f t="shared" si="242"/>
        <v>0</v>
      </c>
      <c r="AT340" s="50">
        <f t="shared" si="242"/>
        <v>0</v>
      </c>
      <c r="AU340" s="50">
        <f t="shared" si="242"/>
        <v>0</v>
      </c>
    </row>
    <row r="341" spans="1:47">
      <c r="D341" s="186"/>
      <c r="E341" s="325"/>
      <c r="G341" s="39" t="s">
        <v>304</v>
      </c>
      <c r="I341" s="39"/>
      <c r="K341" s="39"/>
      <c r="L341" s="43"/>
      <c r="N341" s="70"/>
      <c r="O341" s="313"/>
      <c r="P341" s="70"/>
      <c r="Q341" s="313"/>
      <c r="R341" s="50"/>
      <c r="S341" s="50"/>
      <c r="T341" s="50"/>
      <c r="U341" s="50"/>
      <c r="V341" s="50"/>
      <c r="W341" s="50"/>
      <c r="X341" s="50"/>
      <c r="Y341" s="50"/>
      <c r="Z341" s="50"/>
      <c r="AA341" s="50"/>
      <c r="AB341" s="50"/>
      <c r="AC341" s="50"/>
      <c r="AD341" s="50"/>
      <c r="AE341" s="50"/>
      <c r="AF341" s="50"/>
      <c r="AG341" s="50"/>
      <c r="AH341" s="50"/>
      <c r="AI341" s="50"/>
      <c r="AJ341" s="50"/>
      <c r="AK341" s="50"/>
      <c r="AL341" s="50"/>
      <c r="AM341" s="50"/>
      <c r="AN341" s="50"/>
      <c r="AO341" s="50"/>
      <c r="AP341" s="50"/>
      <c r="AQ341" s="50"/>
      <c r="AR341" s="50"/>
      <c r="AS341" s="50"/>
      <c r="AT341" s="50"/>
      <c r="AU341" s="50"/>
    </row>
    <row r="342" spans="1:47">
      <c r="A342" s="38" t="str">
        <f>$J$4&amp;"-"</f>
        <v>4Y-</v>
      </c>
      <c r="B342" s="38" t="s">
        <v>265</v>
      </c>
      <c r="C342" s="38" t="str">
        <f>C333</f>
        <v>Gas Cleaning</v>
      </c>
      <c r="D342" s="186"/>
      <c r="E342" s="325"/>
      <c r="G342" s="36" t="s">
        <v>108</v>
      </c>
      <c r="I342" s="39"/>
      <c r="K342" s="39"/>
      <c r="L342" s="43" t="s">
        <v>293</v>
      </c>
      <c r="N342" s="70">
        <f ca="1">SUMIFS(OFFSET(Assumptions!$I$90,0,MATCH($A342,Configurations,0)-1,COUNT(Assumptions!$A$90:$A$183),1),Assumptions!$D$90:$D$183,$B342&amp;$C342)</f>
        <v>0</v>
      </c>
      <c r="O342" s="313"/>
      <c r="P342" s="323"/>
      <c r="Q342" s="313"/>
      <c r="R342" s="50">
        <f t="shared" ref="R342:AU342" ca="1" si="243">IF(OR(R$99&lt;InServiceYr,R$99&gt;(InServiceYr+analysis_period-1)),0,IF($P342=0,$N342,$P342)*R$501)</f>
        <v>0</v>
      </c>
      <c r="S342" s="50">
        <f t="shared" ca="1" si="243"/>
        <v>0</v>
      </c>
      <c r="T342" s="50">
        <f t="shared" ca="1" si="243"/>
        <v>0</v>
      </c>
      <c r="U342" s="50">
        <f t="shared" ca="1" si="243"/>
        <v>0</v>
      </c>
      <c r="V342" s="50">
        <f t="shared" ca="1" si="243"/>
        <v>0</v>
      </c>
      <c r="W342" s="50">
        <f t="shared" ca="1" si="243"/>
        <v>0</v>
      </c>
      <c r="X342" s="50">
        <f t="shared" ca="1" si="243"/>
        <v>0</v>
      </c>
      <c r="Y342" s="50">
        <f t="shared" ca="1" si="243"/>
        <v>0</v>
      </c>
      <c r="Z342" s="50">
        <f t="shared" ca="1" si="243"/>
        <v>0</v>
      </c>
      <c r="AA342" s="50">
        <f t="shared" ca="1" si="243"/>
        <v>0</v>
      </c>
      <c r="AB342" s="50">
        <f t="shared" ca="1" si="243"/>
        <v>0</v>
      </c>
      <c r="AC342" s="50">
        <f t="shared" ca="1" si="243"/>
        <v>0</v>
      </c>
      <c r="AD342" s="50">
        <f t="shared" ca="1" si="243"/>
        <v>0</v>
      </c>
      <c r="AE342" s="50">
        <f t="shared" ca="1" si="243"/>
        <v>0</v>
      </c>
      <c r="AF342" s="50">
        <f t="shared" ca="1" si="243"/>
        <v>0</v>
      </c>
      <c r="AG342" s="50">
        <f t="shared" ca="1" si="243"/>
        <v>0</v>
      </c>
      <c r="AH342" s="50">
        <f t="shared" ca="1" si="243"/>
        <v>0</v>
      </c>
      <c r="AI342" s="50">
        <f t="shared" ca="1" si="243"/>
        <v>0</v>
      </c>
      <c r="AJ342" s="50">
        <f t="shared" ca="1" si="243"/>
        <v>0</v>
      </c>
      <c r="AK342" s="50">
        <f t="shared" ca="1" si="243"/>
        <v>0</v>
      </c>
      <c r="AL342" s="50">
        <f t="shared" si="243"/>
        <v>0</v>
      </c>
      <c r="AM342" s="50">
        <f t="shared" si="243"/>
        <v>0</v>
      </c>
      <c r="AN342" s="50">
        <f t="shared" si="243"/>
        <v>0</v>
      </c>
      <c r="AO342" s="50">
        <f t="shared" si="243"/>
        <v>0</v>
      </c>
      <c r="AP342" s="50">
        <f t="shared" si="243"/>
        <v>0</v>
      </c>
      <c r="AQ342" s="50">
        <f t="shared" si="243"/>
        <v>0</v>
      </c>
      <c r="AR342" s="50">
        <f t="shared" si="243"/>
        <v>0</v>
      </c>
      <c r="AS342" s="50">
        <f t="shared" si="243"/>
        <v>0</v>
      </c>
      <c r="AT342" s="50">
        <f t="shared" si="243"/>
        <v>0</v>
      </c>
      <c r="AU342" s="50">
        <f t="shared" si="243"/>
        <v>0</v>
      </c>
    </row>
    <row r="343" spans="1:47">
      <c r="A343" s="38" t="str">
        <f>$J$4&amp;"-"</f>
        <v>4Y-</v>
      </c>
      <c r="B343" s="38" t="s">
        <v>289</v>
      </c>
      <c r="C343" s="38" t="str">
        <f>C333</f>
        <v>Gas Cleaning</v>
      </c>
      <c r="D343" s="186">
        <f>LaborEsc</f>
        <v>0.02</v>
      </c>
      <c r="E343" s="325"/>
      <c r="G343" s="36" t="s">
        <v>292</v>
      </c>
      <c r="I343" s="39"/>
      <c r="K343" s="39"/>
      <c r="L343" s="43" t="str">
        <f>"["&amp;CostBaseYr&amp;" $]"</f>
        <v>[2013 $]</v>
      </c>
      <c r="N343" s="70">
        <f ca="1">SUMIFS(OFFSET(Assumptions!$I$90,0,MATCH($A343,Configurations,0)-1,COUNT(Assumptions!$A$90:$A$183),1),Assumptions!$D$90:$D$183,$B343&amp;$C343)</f>
        <v>0</v>
      </c>
      <c r="O343" s="313"/>
      <c r="P343" s="323"/>
      <c r="Q343" s="313"/>
      <c r="R343" s="50">
        <f t="shared" ref="R343:AU343" ca="1" si="244">IF(OR(R$99&lt;InServiceYr,R$99&gt;(InServiceYr+analysis_period-1)),0,IF($P343=0,$N343,$P343)*(1+$D343)^(R$99-CostBaseYr))</f>
        <v>0</v>
      </c>
      <c r="S343" s="50">
        <f t="shared" ca="1" si="244"/>
        <v>0</v>
      </c>
      <c r="T343" s="50">
        <f t="shared" ca="1" si="244"/>
        <v>0</v>
      </c>
      <c r="U343" s="50">
        <f t="shared" ca="1" si="244"/>
        <v>0</v>
      </c>
      <c r="V343" s="50">
        <f t="shared" ca="1" si="244"/>
        <v>0</v>
      </c>
      <c r="W343" s="50">
        <f t="shared" ca="1" si="244"/>
        <v>0</v>
      </c>
      <c r="X343" s="50">
        <f t="shared" ca="1" si="244"/>
        <v>0</v>
      </c>
      <c r="Y343" s="50">
        <f t="shared" ca="1" si="244"/>
        <v>0</v>
      </c>
      <c r="Z343" s="50">
        <f t="shared" ca="1" si="244"/>
        <v>0</v>
      </c>
      <c r="AA343" s="50">
        <f t="shared" ca="1" si="244"/>
        <v>0</v>
      </c>
      <c r="AB343" s="50">
        <f t="shared" ca="1" si="244"/>
        <v>0</v>
      </c>
      <c r="AC343" s="50">
        <f t="shared" ca="1" si="244"/>
        <v>0</v>
      </c>
      <c r="AD343" s="50">
        <f t="shared" ca="1" si="244"/>
        <v>0</v>
      </c>
      <c r="AE343" s="50">
        <f t="shared" ca="1" si="244"/>
        <v>0</v>
      </c>
      <c r="AF343" s="50">
        <f t="shared" ca="1" si="244"/>
        <v>0</v>
      </c>
      <c r="AG343" s="50">
        <f t="shared" ca="1" si="244"/>
        <v>0</v>
      </c>
      <c r="AH343" s="50">
        <f t="shared" ca="1" si="244"/>
        <v>0</v>
      </c>
      <c r="AI343" s="50">
        <f t="shared" ca="1" si="244"/>
        <v>0</v>
      </c>
      <c r="AJ343" s="50">
        <f t="shared" ca="1" si="244"/>
        <v>0</v>
      </c>
      <c r="AK343" s="50">
        <f t="shared" ca="1" si="244"/>
        <v>0</v>
      </c>
      <c r="AL343" s="50">
        <f t="shared" si="244"/>
        <v>0</v>
      </c>
      <c r="AM343" s="50">
        <f t="shared" si="244"/>
        <v>0</v>
      </c>
      <c r="AN343" s="50">
        <f t="shared" si="244"/>
        <v>0</v>
      </c>
      <c r="AO343" s="50">
        <f t="shared" si="244"/>
        <v>0</v>
      </c>
      <c r="AP343" s="50">
        <f t="shared" si="244"/>
        <v>0</v>
      </c>
      <c r="AQ343" s="50">
        <f t="shared" si="244"/>
        <v>0</v>
      </c>
      <c r="AR343" s="50">
        <f t="shared" si="244"/>
        <v>0</v>
      </c>
      <c r="AS343" s="50">
        <f t="shared" si="244"/>
        <v>0</v>
      </c>
      <c r="AT343" s="50">
        <f t="shared" si="244"/>
        <v>0</v>
      </c>
      <c r="AU343" s="50">
        <f t="shared" si="244"/>
        <v>0</v>
      </c>
    </row>
    <row r="344" spans="1:47" s="60" customFormat="1">
      <c r="D344" s="187"/>
      <c r="E344" s="325"/>
      <c r="G344" s="39" t="s">
        <v>305</v>
      </c>
      <c r="I344" s="39"/>
      <c r="K344" s="39"/>
      <c r="L344" s="174"/>
      <c r="N344" s="188"/>
      <c r="O344" s="314"/>
      <c r="P344" s="185"/>
      <c r="Q344" s="314"/>
      <c r="R344" s="185">
        <f ca="1">SUM(R333:R340)-SUM(R342:R343)</f>
        <v>0</v>
      </c>
      <c r="S344" s="185">
        <f t="shared" ref="S344:AU344" ca="1" si="245">SUM(S333:S340)-SUM(S342:S343)</f>
        <v>0</v>
      </c>
      <c r="T344" s="185">
        <f t="shared" ca="1" si="245"/>
        <v>0</v>
      </c>
      <c r="U344" s="185">
        <f t="shared" ca="1" si="245"/>
        <v>0</v>
      </c>
      <c r="V344" s="185">
        <f t="shared" ca="1" si="245"/>
        <v>0</v>
      </c>
      <c r="W344" s="185">
        <f t="shared" ca="1" si="245"/>
        <v>0</v>
      </c>
      <c r="X344" s="185">
        <f t="shared" ca="1" si="245"/>
        <v>0</v>
      </c>
      <c r="Y344" s="185">
        <f t="shared" ca="1" si="245"/>
        <v>0</v>
      </c>
      <c r="Z344" s="185">
        <f t="shared" ca="1" si="245"/>
        <v>0</v>
      </c>
      <c r="AA344" s="185">
        <f t="shared" ca="1" si="245"/>
        <v>0</v>
      </c>
      <c r="AB344" s="185">
        <f t="shared" ca="1" si="245"/>
        <v>0</v>
      </c>
      <c r="AC344" s="185">
        <f t="shared" ca="1" si="245"/>
        <v>0</v>
      </c>
      <c r="AD344" s="185">
        <f t="shared" ca="1" si="245"/>
        <v>0</v>
      </c>
      <c r="AE344" s="185">
        <f t="shared" ca="1" si="245"/>
        <v>0</v>
      </c>
      <c r="AF344" s="185">
        <f t="shared" ca="1" si="245"/>
        <v>0</v>
      </c>
      <c r="AG344" s="185">
        <f t="shared" ca="1" si="245"/>
        <v>0</v>
      </c>
      <c r="AH344" s="185">
        <f t="shared" ca="1" si="245"/>
        <v>0</v>
      </c>
      <c r="AI344" s="185">
        <f t="shared" ca="1" si="245"/>
        <v>0</v>
      </c>
      <c r="AJ344" s="185">
        <f t="shared" ca="1" si="245"/>
        <v>0</v>
      </c>
      <c r="AK344" s="185">
        <f t="shared" ca="1" si="245"/>
        <v>0</v>
      </c>
      <c r="AL344" s="185">
        <f t="shared" si="245"/>
        <v>0</v>
      </c>
      <c r="AM344" s="185">
        <f t="shared" si="245"/>
        <v>0</v>
      </c>
      <c r="AN344" s="185">
        <f t="shared" si="245"/>
        <v>0</v>
      </c>
      <c r="AO344" s="185">
        <f t="shared" si="245"/>
        <v>0</v>
      </c>
      <c r="AP344" s="185">
        <f t="shared" si="245"/>
        <v>0</v>
      </c>
      <c r="AQ344" s="185">
        <f t="shared" si="245"/>
        <v>0</v>
      </c>
      <c r="AR344" s="185">
        <f t="shared" si="245"/>
        <v>0</v>
      </c>
      <c r="AS344" s="185">
        <f t="shared" si="245"/>
        <v>0</v>
      </c>
      <c r="AT344" s="185">
        <f t="shared" si="245"/>
        <v>0</v>
      </c>
      <c r="AU344" s="185">
        <f t="shared" si="245"/>
        <v>0</v>
      </c>
    </row>
    <row r="345" spans="1:47">
      <c r="E345" s="36"/>
      <c r="G345" s="39"/>
      <c r="H345" s="39"/>
      <c r="I345" s="39"/>
      <c r="J345" s="39"/>
      <c r="K345" s="39"/>
    </row>
    <row r="346" spans="1:47">
      <c r="E346" s="327"/>
      <c r="F346" s="28"/>
      <c r="G346" s="324" t="str">
        <f>C348&amp;" Capital Costs"</f>
        <v>Gravity Belt Thickener Capital Costs</v>
      </c>
      <c r="H346" s="324"/>
      <c r="I346" s="324"/>
      <c r="J346" s="324"/>
      <c r="K346" s="324"/>
      <c r="L346" s="405" t="s">
        <v>79</v>
      </c>
      <c r="M346" s="256"/>
      <c r="N346" s="325" t="s">
        <v>490</v>
      </c>
      <c r="O346" s="311"/>
      <c r="P346" s="325" t="s">
        <v>491</v>
      </c>
      <c r="Q346" s="310"/>
      <c r="R346" s="325">
        <f>R$8</f>
        <v>2014</v>
      </c>
      <c r="S346" s="325">
        <f t="shared" ref="S346:AU346" si="246">S$8</f>
        <v>2015</v>
      </c>
      <c r="T346" s="325">
        <f t="shared" si="246"/>
        <v>2016</v>
      </c>
      <c r="U346" s="325">
        <f t="shared" si="246"/>
        <v>2017</v>
      </c>
      <c r="V346" s="325">
        <f t="shared" si="246"/>
        <v>2018</v>
      </c>
      <c r="W346" s="325">
        <f t="shared" si="246"/>
        <v>2019</v>
      </c>
      <c r="X346" s="325">
        <f t="shared" si="246"/>
        <v>2020</v>
      </c>
      <c r="Y346" s="325">
        <f t="shared" si="246"/>
        <v>2021</v>
      </c>
      <c r="Z346" s="325">
        <f t="shared" si="246"/>
        <v>2022</v>
      </c>
      <c r="AA346" s="325">
        <f t="shared" si="246"/>
        <v>2023</v>
      </c>
      <c r="AB346" s="325">
        <f t="shared" si="246"/>
        <v>2024</v>
      </c>
      <c r="AC346" s="325">
        <f t="shared" si="246"/>
        <v>2025</v>
      </c>
      <c r="AD346" s="325">
        <f t="shared" si="246"/>
        <v>2026</v>
      </c>
      <c r="AE346" s="325">
        <f t="shared" si="246"/>
        <v>2027</v>
      </c>
      <c r="AF346" s="325">
        <f t="shared" si="246"/>
        <v>2028</v>
      </c>
      <c r="AG346" s="325">
        <f t="shared" si="246"/>
        <v>2029</v>
      </c>
      <c r="AH346" s="325">
        <f t="shared" si="246"/>
        <v>2030</v>
      </c>
      <c r="AI346" s="325">
        <f t="shared" si="246"/>
        <v>2031</v>
      </c>
      <c r="AJ346" s="325">
        <f t="shared" si="246"/>
        <v>2032</v>
      </c>
      <c r="AK346" s="325">
        <f t="shared" si="246"/>
        <v>2033</v>
      </c>
      <c r="AL346" s="325">
        <f t="shared" si="246"/>
        <v>2034</v>
      </c>
      <c r="AM346" s="325">
        <f t="shared" si="246"/>
        <v>2035</v>
      </c>
      <c r="AN346" s="325">
        <f t="shared" si="246"/>
        <v>2036</v>
      </c>
      <c r="AO346" s="325">
        <f t="shared" si="246"/>
        <v>2037</v>
      </c>
      <c r="AP346" s="325">
        <f t="shared" si="246"/>
        <v>2038</v>
      </c>
      <c r="AQ346" s="325">
        <f t="shared" si="246"/>
        <v>2039</v>
      </c>
      <c r="AR346" s="325">
        <f t="shared" si="246"/>
        <v>2040</v>
      </c>
      <c r="AS346" s="325">
        <f t="shared" si="246"/>
        <v>2041</v>
      </c>
      <c r="AT346" s="325">
        <f t="shared" si="246"/>
        <v>2042</v>
      </c>
      <c r="AU346" s="325">
        <f t="shared" si="246"/>
        <v>2043</v>
      </c>
    </row>
    <row r="347" spans="1:47">
      <c r="E347" s="325"/>
      <c r="G347" s="39"/>
      <c r="H347" s="39"/>
      <c r="I347" s="39"/>
      <c r="J347" s="39"/>
      <c r="K347" s="39"/>
    </row>
    <row r="348" spans="1:47">
      <c r="A348" s="38" t="str">
        <f>$J$4&amp;"-"</f>
        <v>4Y-</v>
      </c>
      <c r="B348" s="38" t="s">
        <v>306</v>
      </c>
      <c r="C348" s="38" t="s">
        <v>135</v>
      </c>
      <c r="D348" s="186">
        <f>CapExEsc</f>
        <v>0.03</v>
      </c>
      <c r="E348" s="325"/>
      <c r="G348" s="36" t="s">
        <v>8</v>
      </c>
      <c r="H348" s="39"/>
      <c r="I348" s="39"/>
      <c r="J348" s="70"/>
      <c r="K348" s="39"/>
      <c r="L348" s="43" t="str">
        <f>"["&amp;CostBaseYr&amp;" $]"</f>
        <v>[2013 $]</v>
      </c>
      <c r="N348" s="52">
        <f ca="1">SUMIFS(OFFSET(Assumptions!$I$65,0,MATCH($A348,Configurations,0)-1,COUNT(Assumptions!$A$65:$A$84),1),Assumptions!$E$65:$E$84,$C348)</f>
        <v>2050000</v>
      </c>
      <c r="O348" s="52"/>
      <c r="P348" s="322"/>
      <c r="Q348" s="52"/>
      <c r="R348" s="52">
        <f t="shared" ref="R348:AU348" ca="1" si="247">R349*IF($P348=0,$N348,$P348)*(1+$D348)^(R$8-CostBaseYr)</f>
        <v>2111500</v>
      </c>
      <c r="S348" s="52">
        <f t="shared" ca="1" si="247"/>
        <v>0</v>
      </c>
      <c r="T348" s="52">
        <f t="shared" ca="1" si="247"/>
        <v>0</v>
      </c>
      <c r="U348" s="52">
        <f t="shared" ca="1" si="247"/>
        <v>0</v>
      </c>
      <c r="V348" s="52">
        <f t="shared" ca="1" si="247"/>
        <v>0</v>
      </c>
      <c r="W348" s="52">
        <f t="shared" ca="1" si="247"/>
        <v>0</v>
      </c>
      <c r="X348" s="52">
        <f t="shared" ca="1" si="247"/>
        <v>0</v>
      </c>
      <c r="Y348" s="52">
        <f t="shared" ca="1" si="247"/>
        <v>0</v>
      </c>
      <c r="Z348" s="52">
        <f t="shared" ca="1" si="247"/>
        <v>0</v>
      </c>
      <c r="AA348" s="52">
        <f t="shared" ca="1" si="247"/>
        <v>0</v>
      </c>
      <c r="AB348" s="52">
        <f t="shared" ca="1" si="247"/>
        <v>0</v>
      </c>
      <c r="AC348" s="52">
        <f t="shared" ca="1" si="247"/>
        <v>0</v>
      </c>
      <c r="AD348" s="52">
        <f t="shared" ca="1" si="247"/>
        <v>0</v>
      </c>
      <c r="AE348" s="52">
        <f t="shared" ca="1" si="247"/>
        <v>0</v>
      </c>
      <c r="AF348" s="52">
        <f t="shared" ca="1" si="247"/>
        <v>0</v>
      </c>
      <c r="AG348" s="52">
        <f t="shared" ca="1" si="247"/>
        <v>0</v>
      </c>
      <c r="AH348" s="52">
        <f t="shared" ca="1" si="247"/>
        <v>0</v>
      </c>
      <c r="AI348" s="52">
        <f t="shared" ca="1" si="247"/>
        <v>0</v>
      </c>
      <c r="AJ348" s="52">
        <f t="shared" ca="1" si="247"/>
        <v>0</v>
      </c>
      <c r="AK348" s="52">
        <f t="shared" ca="1" si="247"/>
        <v>0</v>
      </c>
      <c r="AL348" s="52">
        <f t="shared" ca="1" si="247"/>
        <v>0</v>
      </c>
      <c r="AM348" s="52">
        <f t="shared" ca="1" si="247"/>
        <v>0</v>
      </c>
      <c r="AN348" s="52">
        <f t="shared" ca="1" si="247"/>
        <v>0</v>
      </c>
      <c r="AO348" s="52">
        <f t="shared" ca="1" si="247"/>
        <v>0</v>
      </c>
      <c r="AP348" s="52">
        <f t="shared" ca="1" si="247"/>
        <v>0</v>
      </c>
      <c r="AQ348" s="52">
        <f t="shared" ca="1" si="247"/>
        <v>0</v>
      </c>
      <c r="AR348" s="52">
        <f t="shared" ca="1" si="247"/>
        <v>0</v>
      </c>
      <c r="AS348" s="52">
        <f t="shared" ca="1" si="247"/>
        <v>0</v>
      </c>
      <c r="AT348" s="52">
        <f t="shared" ca="1" si="247"/>
        <v>0</v>
      </c>
      <c r="AU348" s="52">
        <f t="shared" ca="1" si="247"/>
        <v>0</v>
      </c>
    </row>
    <row r="349" spans="1:47">
      <c r="E349" s="325"/>
      <c r="G349" s="36" t="s">
        <v>10</v>
      </c>
      <c r="H349" s="39"/>
      <c r="I349" s="39"/>
      <c r="J349" s="39"/>
      <c r="K349" s="39"/>
      <c r="L349" s="43"/>
      <c r="R349" s="54">
        <f>Assumptions!M$60</f>
        <v>1</v>
      </c>
      <c r="S349" s="54">
        <f>Assumptions!N$60</f>
        <v>0</v>
      </c>
      <c r="T349" s="54">
        <f>Assumptions!O$60</f>
        <v>0</v>
      </c>
      <c r="U349" s="54">
        <f>Assumptions!P$60</f>
        <v>0</v>
      </c>
      <c r="V349" s="54">
        <f>Assumptions!Q$60</f>
        <v>0</v>
      </c>
      <c r="W349" s="54">
        <f>Assumptions!R$60</f>
        <v>0</v>
      </c>
      <c r="X349" s="54">
        <f>Assumptions!S$60</f>
        <v>0</v>
      </c>
      <c r="Y349" s="54">
        <f>Assumptions!T$60</f>
        <v>0</v>
      </c>
      <c r="Z349" s="54">
        <f>Assumptions!U$60</f>
        <v>0</v>
      </c>
      <c r="AA349" s="54">
        <f>Assumptions!V$60</f>
        <v>0</v>
      </c>
      <c r="AB349" s="54">
        <f>Assumptions!W$60</f>
        <v>0</v>
      </c>
      <c r="AC349" s="54">
        <f>Assumptions!X$60</f>
        <v>0</v>
      </c>
      <c r="AD349" s="54">
        <f>Assumptions!Y$60</f>
        <v>0</v>
      </c>
      <c r="AE349" s="54">
        <f>Assumptions!Z$60</f>
        <v>0</v>
      </c>
      <c r="AF349" s="54">
        <f>Assumptions!AA$60</f>
        <v>0</v>
      </c>
      <c r="AG349" s="54">
        <f>Assumptions!AB$60</f>
        <v>0</v>
      </c>
      <c r="AH349" s="54">
        <f>Assumptions!AC$60</f>
        <v>0</v>
      </c>
      <c r="AI349" s="54">
        <f>Assumptions!AD$60</f>
        <v>0</v>
      </c>
      <c r="AJ349" s="54">
        <f>Assumptions!AE$60</f>
        <v>0</v>
      </c>
      <c r="AK349" s="54">
        <f>Assumptions!AF$60</f>
        <v>0</v>
      </c>
      <c r="AL349" s="54">
        <f>Assumptions!AG$60</f>
        <v>0</v>
      </c>
      <c r="AM349" s="54">
        <f>Assumptions!AH$60</f>
        <v>0</v>
      </c>
      <c r="AN349" s="54">
        <f>Assumptions!AI$60</f>
        <v>0</v>
      </c>
      <c r="AO349" s="54">
        <f>Assumptions!AJ$60</f>
        <v>0</v>
      </c>
      <c r="AP349" s="54">
        <f>Assumptions!AK$60</f>
        <v>0</v>
      </c>
      <c r="AQ349" s="54">
        <f>Assumptions!AL$60</f>
        <v>0</v>
      </c>
      <c r="AR349" s="54">
        <f>Assumptions!AM$60</f>
        <v>0</v>
      </c>
      <c r="AS349" s="54">
        <f>Assumptions!AN$60</f>
        <v>0</v>
      </c>
      <c r="AT349" s="54">
        <f>Assumptions!AO$60</f>
        <v>0</v>
      </c>
      <c r="AU349" s="54">
        <f>Assumptions!AP$60</f>
        <v>0</v>
      </c>
    </row>
    <row r="350" spans="1:47">
      <c r="E350" s="326"/>
      <c r="G350" s="39"/>
      <c r="H350" s="39"/>
      <c r="I350" s="39"/>
      <c r="J350" s="39"/>
      <c r="K350" s="39"/>
    </row>
    <row r="351" spans="1:47">
      <c r="E351" s="327"/>
      <c r="F351" s="28"/>
      <c r="G351" s="324" t="str">
        <f>C348&amp;" O&amp;M"</f>
        <v>Gravity Belt Thickener O&amp;M</v>
      </c>
      <c r="H351" s="324"/>
      <c r="I351" s="324"/>
      <c r="J351" s="324"/>
      <c r="K351" s="324"/>
      <c r="L351" s="405" t="s">
        <v>79</v>
      </c>
      <c r="M351" s="256"/>
      <c r="N351" s="325" t="s">
        <v>490</v>
      </c>
      <c r="O351" s="311"/>
      <c r="P351" s="325" t="s">
        <v>491</v>
      </c>
      <c r="Q351" s="310"/>
      <c r="R351" s="325">
        <f>R$8</f>
        <v>2014</v>
      </c>
      <c r="S351" s="325">
        <f t="shared" ref="S351:AU351" si="248">S$8</f>
        <v>2015</v>
      </c>
      <c r="T351" s="325">
        <f t="shared" si="248"/>
        <v>2016</v>
      </c>
      <c r="U351" s="325">
        <f t="shared" si="248"/>
        <v>2017</v>
      </c>
      <c r="V351" s="325">
        <f t="shared" si="248"/>
        <v>2018</v>
      </c>
      <c r="W351" s="325">
        <f t="shared" si="248"/>
        <v>2019</v>
      </c>
      <c r="X351" s="325">
        <f t="shared" si="248"/>
        <v>2020</v>
      </c>
      <c r="Y351" s="325">
        <f t="shared" si="248"/>
        <v>2021</v>
      </c>
      <c r="Z351" s="325">
        <f t="shared" si="248"/>
        <v>2022</v>
      </c>
      <c r="AA351" s="325">
        <f t="shared" si="248"/>
        <v>2023</v>
      </c>
      <c r="AB351" s="325">
        <f t="shared" si="248"/>
        <v>2024</v>
      </c>
      <c r="AC351" s="325">
        <f t="shared" si="248"/>
        <v>2025</v>
      </c>
      <c r="AD351" s="325">
        <f t="shared" si="248"/>
        <v>2026</v>
      </c>
      <c r="AE351" s="325">
        <f t="shared" si="248"/>
        <v>2027</v>
      </c>
      <c r="AF351" s="325">
        <f t="shared" si="248"/>
        <v>2028</v>
      </c>
      <c r="AG351" s="325">
        <f t="shared" si="248"/>
        <v>2029</v>
      </c>
      <c r="AH351" s="325">
        <f t="shared" si="248"/>
        <v>2030</v>
      </c>
      <c r="AI351" s="325">
        <f t="shared" si="248"/>
        <v>2031</v>
      </c>
      <c r="AJ351" s="325">
        <f t="shared" si="248"/>
        <v>2032</v>
      </c>
      <c r="AK351" s="325">
        <f t="shared" si="248"/>
        <v>2033</v>
      </c>
      <c r="AL351" s="325">
        <f t="shared" si="248"/>
        <v>2034</v>
      </c>
      <c r="AM351" s="325">
        <f t="shared" si="248"/>
        <v>2035</v>
      </c>
      <c r="AN351" s="325">
        <f t="shared" si="248"/>
        <v>2036</v>
      </c>
      <c r="AO351" s="325">
        <f t="shared" si="248"/>
        <v>2037</v>
      </c>
      <c r="AP351" s="325">
        <f t="shared" si="248"/>
        <v>2038</v>
      </c>
      <c r="AQ351" s="325">
        <f t="shared" si="248"/>
        <v>2039</v>
      </c>
      <c r="AR351" s="325">
        <f t="shared" si="248"/>
        <v>2040</v>
      </c>
      <c r="AS351" s="325">
        <f t="shared" si="248"/>
        <v>2041</v>
      </c>
      <c r="AT351" s="325">
        <f t="shared" si="248"/>
        <v>2042</v>
      </c>
      <c r="AU351" s="325">
        <f t="shared" si="248"/>
        <v>2043</v>
      </c>
    </row>
    <row r="352" spans="1:47">
      <c r="E352" s="325"/>
      <c r="G352" s="39"/>
      <c r="H352" s="39"/>
      <c r="I352" s="39"/>
      <c r="J352" s="39"/>
      <c r="K352" s="39"/>
    </row>
    <row r="353" spans="1:47">
      <c r="E353" s="325"/>
      <c r="G353" s="39" t="s">
        <v>23</v>
      </c>
      <c r="H353" s="39"/>
      <c r="I353" s="39"/>
      <c r="J353" s="39"/>
      <c r="K353" s="39"/>
    </row>
    <row r="354" spans="1:47">
      <c r="A354" s="38" t="str">
        <f t="shared" ref="A354:A361" si="249">$J$4&amp;"-"</f>
        <v>4Y-</v>
      </c>
      <c r="B354" s="38" t="s">
        <v>262</v>
      </c>
      <c r="C354" s="38" t="str">
        <f>C348</f>
        <v>Gravity Belt Thickener</v>
      </c>
      <c r="D354" s="186">
        <f>LaborEsc</f>
        <v>0.02</v>
      </c>
      <c r="E354" s="325"/>
      <c r="G354" s="36" t="s">
        <v>125</v>
      </c>
      <c r="I354" s="39"/>
      <c r="K354" s="39"/>
      <c r="L354" s="43" t="s">
        <v>266</v>
      </c>
      <c r="N354" s="70">
        <f ca="1">SUMIFS(OFFSET(Assumptions!$I$90,0,MATCH($A354,Configurations,0)-1,COUNT(Assumptions!$A$90:$A$183),1),Assumptions!$D$90:$D$183,$B354&amp;$C354)</f>
        <v>5110</v>
      </c>
      <c r="O354" s="313"/>
      <c r="P354" s="323"/>
      <c r="Q354" s="313"/>
      <c r="R354" s="50">
        <f t="shared" ref="R354:AU354" ca="1" si="250">IF(OR(R$99&lt;InServiceYr,R$99&gt;(InServiceYr+analysis_period-1)),0,IF($P354=0,$N354,$P354)*LaborCost*(1+$D354)^(R$99-CostBaseYr))</f>
        <v>182427</v>
      </c>
      <c r="S354" s="50">
        <f t="shared" ca="1" si="250"/>
        <v>186075.54</v>
      </c>
      <c r="T354" s="50">
        <f t="shared" ca="1" si="250"/>
        <v>189797.0508</v>
      </c>
      <c r="U354" s="50">
        <f t="shared" ca="1" si="250"/>
        <v>193592.99181599999</v>
      </c>
      <c r="V354" s="50">
        <f t="shared" ca="1" si="250"/>
        <v>197464.85165232001</v>
      </c>
      <c r="W354" s="50">
        <f t="shared" ca="1" si="250"/>
        <v>201414.14868536641</v>
      </c>
      <c r="X354" s="50">
        <f t="shared" ca="1" si="250"/>
        <v>205442.43165907369</v>
      </c>
      <c r="Y354" s="50">
        <f t="shared" ca="1" si="250"/>
        <v>209551.28029225519</v>
      </c>
      <c r="Z354" s="50">
        <f t="shared" ca="1" si="250"/>
        <v>213742.30589810028</v>
      </c>
      <c r="AA354" s="50">
        <f t="shared" ca="1" si="250"/>
        <v>218017.15201606232</v>
      </c>
      <c r="AB354" s="50">
        <f t="shared" ca="1" si="250"/>
        <v>222377.49505638352</v>
      </c>
      <c r="AC354" s="50">
        <f t="shared" ca="1" si="250"/>
        <v>226825.04495751121</v>
      </c>
      <c r="AD354" s="50">
        <f t="shared" ca="1" si="250"/>
        <v>231361.54585666143</v>
      </c>
      <c r="AE354" s="50">
        <f t="shared" ca="1" si="250"/>
        <v>235988.77677379467</v>
      </c>
      <c r="AF354" s="50">
        <f t="shared" ca="1" si="250"/>
        <v>240708.55230927051</v>
      </c>
      <c r="AG354" s="50">
        <f t="shared" ca="1" si="250"/>
        <v>245522.72335545596</v>
      </c>
      <c r="AH354" s="50">
        <f t="shared" ca="1" si="250"/>
        <v>250433.17782256511</v>
      </c>
      <c r="AI354" s="50">
        <f t="shared" ca="1" si="250"/>
        <v>255441.84137901638</v>
      </c>
      <c r="AJ354" s="50">
        <f t="shared" ca="1" si="250"/>
        <v>260550.6782065967</v>
      </c>
      <c r="AK354" s="50">
        <f t="shared" ca="1" si="250"/>
        <v>265761.69177072868</v>
      </c>
      <c r="AL354" s="50">
        <f t="shared" si="250"/>
        <v>0</v>
      </c>
      <c r="AM354" s="50">
        <f t="shared" si="250"/>
        <v>0</v>
      </c>
      <c r="AN354" s="50">
        <f t="shared" si="250"/>
        <v>0</v>
      </c>
      <c r="AO354" s="50">
        <f t="shared" si="250"/>
        <v>0</v>
      </c>
      <c r="AP354" s="50">
        <f t="shared" si="250"/>
        <v>0</v>
      </c>
      <c r="AQ354" s="50">
        <f t="shared" si="250"/>
        <v>0</v>
      </c>
      <c r="AR354" s="50">
        <f t="shared" si="250"/>
        <v>0</v>
      </c>
      <c r="AS354" s="50">
        <f t="shared" si="250"/>
        <v>0</v>
      </c>
      <c r="AT354" s="50">
        <f t="shared" si="250"/>
        <v>0</v>
      </c>
      <c r="AU354" s="50">
        <f t="shared" si="250"/>
        <v>0</v>
      </c>
    </row>
    <row r="355" spans="1:47">
      <c r="A355" s="38" t="str">
        <f t="shared" si="249"/>
        <v>4Y-</v>
      </c>
      <c r="B355" s="38" t="s">
        <v>270</v>
      </c>
      <c r="C355" s="38" t="str">
        <f>C354</f>
        <v>Gravity Belt Thickener</v>
      </c>
      <c r="D355" s="186">
        <f>OMEsc</f>
        <v>0.02</v>
      </c>
      <c r="E355" s="325"/>
      <c r="G355" s="36" t="s">
        <v>126</v>
      </c>
      <c r="I355" s="39"/>
      <c r="K355" s="39"/>
      <c r="L355" s="43" t="str">
        <f>"["&amp;CostBaseYr&amp;" $]"</f>
        <v>[2013 $]</v>
      </c>
      <c r="N355" s="70">
        <f ca="1">SUMIFS(OFFSET(Assumptions!$I$90,0,MATCH($A355,Configurations,0)-1,COUNT(Assumptions!$A$90:$A$183),1),Assumptions!$D$90:$D$183,$B355&amp;$C355)</f>
        <v>25000</v>
      </c>
      <c r="O355" s="313"/>
      <c r="P355" s="323"/>
      <c r="Q355" s="313"/>
      <c r="R355" s="50">
        <f t="shared" ref="R355:AG357" ca="1" si="251">IF(OR(R$99&lt;InServiceYr,R$99&gt;(InServiceYr+analysis_period-1)),0,IF($P355=0,$N355,$P355)*(1+$D355)^(R$99-CostBaseYr))</f>
        <v>25500</v>
      </c>
      <c r="S355" s="50">
        <f t="shared" ca="1" si="251"/>
        <v>26010</v>
      </c>
      <c r="T355" s="50">
        <f t="shared" ca="1" si="251"/>
        <v>26530.199999999997</v>
      </c>
      <c r="U355" s="50">
        <f t="shared" ca="1" si="251"/>
        <v>27060.804</v>
      </c>
      <c r="V355" s="50">
        <f t="shared" ca="1" si="251"/>
        <v>27602.020080000002</v>
      </c>
      <c r="W355" s="50">
        <f t="shared" ca="1" si="251"/>
        <v>28154.060481600001</v>
      </c>
      <c r="X355" s="50">
        <f t="shared" ca="1" si="251"/>
        <v>28717.141691231995</v>
      </c>
      <c r="Y355" s="50">
        <f t="shared" ca="1" si="251"/>
        <v>29291.48452505664</v>
      </c>
      <c r="Z355" s="50">
        <f t="shared" ca="1" si="251"/>
        <v>29877.31421555777</v>
      </c>
      <c r="AA355" s="50">
        <f t="shared" ca="1" si="251"/>
        <v>30474.860499868926</v>
      </c>
      <c r="AB355" s="50">
        <f t="shared" ca="1" si="251"/>
        <v>31084.357709866301</v>
      </c>
      <c r="AC355" s="50">
        <f t="shared" ca="1" si="251"/>
        <v>31706.044864063631</v>
      </c>
      <c r="AD355" s="50">
        <f t="shared" ca="1" si="251"/>
        <v>32340.165761344902</v>
      </c>
      <c r="AE355" s="50">
        <f t="shared" ca="1" si="251"/>
        <v>32986.969076571804</v>
      </c>
      <c r="AF355" s="50">
        <f t="shared" ca="1" si="251"/>
        <v>33646.708458103232</v>
      </c>
      <c r="AG355" s="50">
        <f t="shared" ca="1" si="251"/>
        <v>34319.642627265304</v>
      </c>
      <c r="AH355" s="50">
        <f t="shared" ref="S355:AU357" ca="1" si="252">IF(OR(AH$99&lt;InServiceYr,AH$99&gt;(InServiceYr+analysis_period-1)),0,IF($P355=0,$N355,$P355)*(1+$D355)^(AH$99-CostBaseYr))</f>
        <v>35006.035479810613</v>
      </c>
      <c r="AI355" s="50">
        <f t="shared" ca="1" si="252"/>
        <v>35706.156189406815</v>
      </c>
      <c r="AJ355" s="50">
        <f t="shared" ca="1" si="252"/>
        <v>36420.279313194951</v>
      </c>
      <c r="AK355" s="50">
        <f t="shared" ca="1" si="252"/>
        <v>37148.684899458858</v>
      </c>
      <c r="AL355" s="50">
        <f t="shared" si="252"/>
        <v>0</v>
      </c>
      <c r="AM355" s="50">
        <f t="shared" si="252"/>
        <v>0</v>
      </c>
      <c r="AN355" s="50">
        <f t="shared" si="252"/>
        <v>0</v>
      </c>
      <c r="AO355" s="50">
        <f t="shared" si="252"/>
        <v>0</v>
      </c>
      <c r="AP355" s="50">
        <f t="shared" si="252"/>
        <v>0</v>
      </c>
      <c r="AQ355" s="50">
        <f t="shared" si="252"/>
        <v>0</v>
      </c>
      <c r="AR355" s="50">
        <f t="shared" si="252"/>
        <v>0</v>
      </c>
      <c r="AS355" s="50">
        <f t="shared" si="252"/>
        <v>0</v>
      </c>
      <c r="AT355" s="50">
        <f t="shared" si="252"/>
        <v>0</v>
      </c>
      <c r="AU355" s="50">
        <f t="shared" si="252"/>
        <v>0</v>
      </c>
    </row>
    <row r="356" spans="1:47">
      <c r="A356" s="38" t="str">
        <f t="shared" si="249"/>
        <v>4Y-</v>
      </c>
      <c r="B356" s="38" t="s">
        <v>263</v>
      </c>
      <c r="C356" s="38" t="str">
        <f t="shared" ref="C356:C360" si="253">C355</f>
        <v>Gravity Belt Thickener</v>
      </c>
      <c r="D356" s="186">
        <f>OMEsc</f>
        <v>0.02</v>
      </c>
      <c r="E356" s="325"/>
      <c r="G356" s="36" t="s">
        <v>127</v>
      </c>
      <c r="I356" s="39"/>
      <c r="K356" s="39"/>
      <c r="L356" s="43" t="str">
        <f>"["&amp;CostBaseYr&amp;" $]"</f>
        <v>[2013 $]</v>
      </c>
      <c r="N356" s="70">
        <f ca="1">SUMIFS(OFFSET(Assumptions!$I$90,0,MATCH($A356,Configurations,0)-1,COUNT(Assumptions!$A$90:$A$183),1),Assumptions!$D$90:$D$183,$B356&amp;$C356)</f>
        <v>25000</v>
      </c>
      <c r="O356" s="313"/>
      <c r="P356" s="323"/>
      <c r="Q356" s="313"/>
      <c r="R356" s="50">
        <f t="shared" ca="1" si="251"/>
        <v>25500</v>
      </c>
      <c r="S356" s="50">
        <f t="shared" ca="1" si="252"/>
        <v>26010</v>
      </c>
      <c r="T356" s="50">
        <f t="shared" ca="1" si="252"/>
        <v>26530.199999999997</v>
      </c>
      <c r="U356" s="50">
        <f t="shared" ca="1" si="252"/>
        <v>27060.804</v>
      </c>
      <c r="V356" s="50">
        <f t="shared" ca="1" si="252"/>
        <v>27602.020080000002</v>
      </c>
      <c r="W356" s="50">
        <f t="shared" ca="1" si="252"/>
        <v>28154.060481600001</v>
      </c>
      <c r="X356" s="50">
        <f t="shared" ca="1" si="252"/>
        <v>28717.141691231995</v>
      </c>
      <c r="Y356" s="50">
        <f t="shared" ca="1" si="252"/>
        <v>29291.48452505664</v>
      </c>
      <c r="Z356" s="50">
        <f t="shared" ca="1" si="252"/>
        <v>29877.31421555777</v>
      </c>
      <c r="AA356" s="50">
        <f t="shared" ca="1" si="252"/>
        <v>30474.860499868926</v>
      </c>
      <c r="AB356" s="50">
        <f t="shared" ca="1" si="252"/>
        <v>31084.357709866301</v>
      </c>
      <c r="AC356" s="50">
        <f t="shared" ca="1" si="252"/>
        <v>31706.044864063631</v>
      </c>
      <c r="AD356" s="50">
        <f t="shared" ca="1" si="252"/>
        <v>32340.165761344902</v>
      </c>
      <c r="AE356" s="50">
        <f t="shared" ca="1" si="252"/>
        <v>32986.969076571804</v>
      </c>
      <c r="AF356" s="50">
        <f t="shared" ca="1" si="252"/>
        <v>33646.708458103232</v>
      </c>
      <c r="AG356" s="50">
        <f t="shared" ca="1" si="252"/>
        <v>34319.642627265304</v>
      </c>
      <c r="AH356" s="50">
        <f t="shared" ca="1" si="252"/>
        <v>35006.035479810613</v>
      </c>
      <c r="AI356" s="50">
        <f t="shared" ca="1" si="252"/>
        <v>35706.156189406815</v>
      </c>
      <c r="AJ356" s="50">
        <f t="shared" ca="1" si="252"/>
        <v>36420.279313194951</v>
      </c>
      <c r="AK356" s="50">
        <f t="shared" ca="1" si="252"/>
        <v>37148.684899458858</v>
      </c>
      <c r="AL356" s="50">
        <f t="shared" si="252"/>
        <v>0</v>
      </c>
      <c r="AM356" s="50">
        <f t="shared" si="252"/>
        <v>0</v>
      </c>
      <c r="AN356" s="50">
        <f t="shared" si="252"/>
        <v>0</v>
      </c>
      <c r="AO356" s="50">
        <f t="shared" si="252"/>
        <v>0</v>
      </c>
      <c r="AP356" s="50">
        <f t="shared" si="252"/>
        <v>0</v>
      </c>
      <c r="AQ356" s="50">
        <f t="shared" si="252"/>
        <v>0</v>
      </c>
      <c r="AR356" s="50">
        <f t="shared" si="252"/>
        <v>0</v>
      </c>
      <c r="AS356" s="50">
        <f t="shared" si="252"/>
        <v>0</v>
      </c>
      <c r="AT356" s="50">
        <f t="shared" si="252"/>
        <v>0</v>
      </c>
      <c r="AU356" s="50">
        <f t="shared" si="252"/>
        <v>0</v>
      </c>
    </row>
    <row r="357" spans="1:47">
      <c r="A357" s="38" t="str">
        <f t="shared" si="249"/>
        <v>4Y-</v>
      </c>
      <c r="B357" s="38" t="s">
        <v>277</v>
      </c>
      <c r="C357" s="38" t="str">
        <f t="shared" si="253"/>
        <v>Gravity Belt Thickener</v>
      </c>
      <c r="D357" s="186">
        <f>OMEsc</f>
        <v>0.02</v>
      </c>
      <c r="E357" s="325"/>
      <c r="G357" s="36" t="s">
        <v>276</v>
      </c>
      <c r="I357" s="39"/>
      <c r="K357" s="39"/>
      <c r="L357" s="43" t="str">
        <f>"["&amp;CostBaseYr&amp;" $]"</f>
        <v>[2013 $]</v>
      </c>
      <c r="N357" s="70">
        <f ca="1">SUMIFS(OFFSET(Assumptions!$I$90,0,MATCH($A357,Configurations,0)-1,COUNT(Assumptions!$A$90:$A$183),1),Assumptions!$D$90:$D$183,$B357&amp;$C357)</f>
        <v>0</v>
      </c>
      <c r="O357" s="313"/>
      <c r="P357" s="323"/>
      <c r="Q357" s="313"/>
      <c r="R357" s="50">
        <f t="shared" ca="1" si="251"/>
        <v>0</v>
      </c>
      <c r="S357" s="50">
        <f t="shared" ca="1" si="252"/>
        <v>0</v>
      </c>
      <c r="T357" s="50">
        <f t="shared" ca="1" si="252"/>
        <v>0</v>
      </c>
      <c r="U357" s="50">
        <f t="shared" ca="1" si="252"/>
        <v>0</v>
      </c>
      <c r="V357" s="50">
        <f t="shared" ca="1" si="252"/>
        <v>0</v>
      </c>
      <c r="W357" s="50">
        <f t="shared" ca="1" si="252"/>
        <v>0</v>
      </c>
      <c r="X357" s="50">
        <f t="shared" ca="1" si="252"/>
        <v>0</v>
      </c>
      <c r="Y357" s="50">
        <f t="shared" ca="1" si="252"/>
        <v>0</v>
      </c>
      <c r="Z357" s="50">
        <f t="shared" ca="1" si="252"/>
        <v>0</v>
      </c>
      <c r="AA357" s="50">
        <f t="shared" ca="1" si="252"/>
        <v>0</v>
      </c>
      <c r="AB357" s="50">
        <f t="shared" ca="1" si="252"/>
        <v>0</v>
      </c>
      <c r="AC357" s="50">
        <f t="shared" ca="1" si="252"/>
        <v>0</v>
      </c>
      <c r="AD357" s="50">
        <f t="shared" ca="1" si="252"/>
        <v>0</v>
      </c>
      <c r="AE357" s="50">
        <f t="shared" ca="1" si="252"/>
        <v>0</v>
      </c>
      <c r="AF357" s="50">
        <f t="shared" ca="1" si="252"/>
        <v>0</v>
      </c>
      <c r="AG357" s="50">
        <f t="shared" ca="1" si="252"/>
        <v>0</v>
      </c>
      <c r="AH357" s="50">
        <f t="shared" ca="1" si="252"/>
        <v>0</v>
      </c>
      <c r="AI357" s="50">
        <f t="shared" ca="1" si="252"/>
        <v>0</v>
      </c>
      <c r="AJ357" s="50">
        <f t="shared" ca="1" si="252"/>
        <v>0</v>
      </c>
      <c r="AK357" s="50">
        <f t="shared" ca="1" si="252"/>
        <v>0</v>
      </c>
      <c r="AL357" s="50">
        <f t="shared" si="252"/>
        <v>0</v>
      </c>
      <c r="AM357" s="50">
        <f t="shared" si="252"/>
        <v>0</v>
      </c>
      <c r="AN357" s="50">
        <f t="shared" si="252"/>
        <v>0</v>
      </c>
      <c r="AO357" s="50">
        <f t="shared" si="252"/>
        <v>0</v>
      </c>
      <c r="AP357" s="50">
        <f t="shared" si="252"/>
        <v>0</v>
      </c>
      <c r="AQ357" s="50">
        <f t="shared" si="252"/>
        <v>0</v>
      </c>
      <c r="AR357" s="50">
        <f t="shared" si="252"/>
        <v>0</v>
      </c>
      <c r="AS357" s="50">
        <f t="shared" si="252"/>
        <v>0</v>
      </c>
      <c r="AT357" s="50">
        <f t="shared" si="252"/>
        <v>0</v>
      </c>
      <c r="AU357" s="50">
        <f t="shared" si="252"/>
        <v>0</v>
      </c>
    </row>
    <row r="358" spans="1:47">
      <c r="A358" s="38" t="str">
        <f t="shared" si="249"/>
        <v>4Y-</v>
      </c>
      <c r="B358" s="38" t="s">
        <v>274</v>
      </c>
      <c r="C358" s="38" t="str">
        <f t="shared" si="253"/>
        <v>Gravity Belt Thickener</v>
      </c>
      <c r="D358" s="186"/>
      <c r="E358" s="325"/>
      <c r="G358" s="36" t="s">
        <v>16</v>
      </c>
      <c r="I358" s="39"/>
      <c r="K358" s="39"/>
      <c r="L358" s="43" t="s">
        <v>275</v>
      </c>
      <c r="N358" s="70">
        <f ca="1">SUMIFS(OFFSET(Assumptions!$I$90,0,MATCH($A358,Configurations,0)-1,COUNT(Assumptions!$A$90:$A$183),1),Assumptions!$D$90:$D$183,$B358&amp;$C358)</f>
        <v>0</v>
      </c>
      <c r="O358" s="313"/>
      <c r="P358" s="323"/>
      <c r="Q358" s="313"/>
      <c r="R358" s="50">
        <f t="shared" ref="R358:AU358" ca="1" si="254">IF(OR(R$99&lt;InServiceYr,R$99&gt;(InServiceYr+analysis_period-1)),0,IF($P358=0,$N358,$P358)*R$505)</f>
        <v>0</v>
      </c>
      <c r="S358" s="50">
        <f t="shared" ca="1" si="254"/>
        <v>0</v>
      </c>
      <c r="T358" s="50">
        <f t="shared" ca="1" si="254"/>
        <v>0</v>
      </c>
      <c r="U358" s="50">
        <f t="shared" ca="1" si="254"/>
        <v>0</v>
      </c>
      <c r="V358" s="50">
        <f t="shared" ca="1" si="254"/>
        <v>0</v>
      </c>
      <c r="W358" s="50">
        <f t="shared" ca="1" si="254"/>
        <v>0</v>
      </c>
      <c r="X358" s="50">
        <f t="shared" ca="1" si="254"/>
        <v>0</v>
      </c>
      <c r="Y358" s="50">
        <f t="shared" ca="1" si="254"/>
        <v>0</v>
      </c>
      <c r="Z358" s="50">
        <f t="shared" ca="1" si="254"/>
        <v>0</v>
      </c>
      <c r="AA358" s="50">
        <f t="shared" ca="1" si="254"/>
        <v>0</v>
      </c>
      <c r="AB358" s="50">
        <f t="shared" ca="1" si="254"/>
        <v>0</v>
      </c>
      <c r="AC358" s="50">
        <f t="shared" ca="1" si="254"/>
        <v>0</v>
      </c>
      <c r="AD358" s="50">
        <f t="shared" ca="1" si="254"/>
        <v>0</v>
      </c>
      <c r="AE358" s="50">
        <f t="shared" ca="1" si="254"/>
        <v>0</v>
      </c>
      <c r="AF358" s="50">
        <f t="shared" ca="1" si="254"/>
        <v>0</v>
      </c>
      <c r="AG358" s="50">
        <f t="shared" ca="1" si="254"/>
        <v>0</v>
      </c>
      <c r="AH358" s="50">
        <f t="shared" ca="1" si="254"/>
        <v>0</v>
      </c>
      <c r="AI358" s="50">
        <f t="shared" ca="1" si="254"/>
        <v>0</v>
      </c>
      <c r="AJ358" s="50">
        <f t="shared" ca="1" si="254"/>
        <v>0</v>
      </c>
      <c r="AK358" s="50">
        <f t="shared" ca="1" si="254"/>
        <v>0</v>
      </c>
      <c r="AL358" s="50">
        <f t="shared" si="254"/>
        <v>0</v>
      </c>
      <c r="AM358" s="50">
        <f t="shared" si="254"/>
        <v>0</v>
      </c>
      <c r="AN358" s="50">
        <f t="shared" si="254"/>
        <v>0</v>
      </c>
      <c r="AO358" s="50">
        <f t="shared" si="254"/>
        <v>0</v>
      </c>
      <c r="AP358" s="50">
        <f t="shared" si="254"/>
        <v>0</v>
      </c>
      <c r="AQ358" s="50">
        <f t="shared" si="254"/>
        <v>0</v>
      </c>
      <c r="AR358" s="50">
        <f t="shared" si="254"/>
        <v>0</v>
      </c>
      <c r="AS358" s="50">
        <f t="shared" si="254"/>
        <v>0</v>
      </c>
      <c r="AT358" s="50">
        <f t="shared" si="254"/>
        <v>0</v>
      </c>
      <c r="AU358" s="50">
        <f t="shared" si="254"/>
        <v>0</v>
      </c>
    </row>
    <row r="359" spans="1:47">
      <c r="A359" s="38" t="str">
        <f t="shared" si="249"/>
        <v>4Y-</v>
      </c>
      <c r="B359" s="38" t="s">
        <v>257</v>
      </c>
      <c r="C359" s="38" t="str">
        <f t="shared" si="253"/>
        <v>Gravity Belt Thickener</v>
      </c>
      <c r="D359" s="186"/>
      <c r="E359" s="325"/>
      <c r="G359" s="36" t="s">
        <v>284</v>
      </c>
      <c r="I359" s="39"/>
      <c r="K359" s="39"/>
      <c r="L359" s="43" t="s">
        <v>293</v>
      </c>
      <c r="N359" s="70">
        <f ca="1">SUMIFS(OFFSET(Assumptions!$I$90,0,MATCH($A359,Configurations,0)-1,COUNT(Assumptions!$A$90:$A$183),1),Assumptions!$D$90:$D$183,$B359&amp;$C359)</f>
        <v>57310</v>
      </c>
      <c r="O359" s="313"/>
      <c r="P359" s="323"/>
      <c r="Q359" s="313"/>
      <c r="R359" s="50">
        <f t="shared" ref="R359:AU359" ca="1" si="255">IF(OR(R$99&lt;InServiceYr,R$99&gt;(InServiceYr+analysis_period-1)),0,IF($P359=0,$N359,$P359)*R$501)</f>
        <v>3701.1689779575418</v>
      </c>
      <c r="S359" s="50">
        <f t="shared" ca="1" si="255"/>
        <v>3724.2403305558737</v>
      </c>
      <c r="T359" s="50">
        <f t="shared" ca="1" si="255"/>
        <v>3884.7921133283749</v>
      </c>
      <c r="U359" s="50">
        <f t="shared" ca="1" si="255"/>
        <v>4001.3261556252496</v>
      </c>
      <c r="V359" s="50">
        <f t="shared" ca="1" si="255"/>
        <v>4097.8825985585654</v>
      </c>
      <c r="W359" s="50">
        <f t="shared" ca="1" si="255"/>
        <v>4150.3079695644665</v>
      </c>
      <c r="X359" s="50">
        <f t="shared" ca="1" si="255"/>
        <v>4217.8437448777158</v>
      </c>
      <c r="Y359" s="50">
        <f t="shared" ca="1" si="255"/>
        <v>4321.7628241961929</v>
      </c>
      <c r="Z359" s="50">
        <f t="shared" ca="1" si="255"/>
        <v>4425.2287731065708</v>
      </c>
      <c r="AA359" s="50">
        <f t="shared" ca="1" si="255"/>
        <v>4535.8703615066597</v>
      </c>
      <c r="AB359" s="50">
        <f t="shared" ca="1" si="255"/>
        <v>4634.1164200668991</v>
      </c>
      <c r="AC359" s="50">
        <f t="shared" ca="1" si="255"/>
        <v>4723.3526282099483</v>
      </c>
      <c r="AD359" s="50">
        <f t="shared" ca="1" si="255"/>
        <v>4832.4611156260135</v>
      </c>
      <c r="AE359" s="50">
        <f t="shared" ca="1" si="255"/>
        <v>4942.6009192533538</v>
      </c>
      <c r="AF359" s="50">
        <f t="shared" ca="1" si="255"/>
        <v>5060.119186589297</v>
      </c>
      <c r="AG359" s="50">
        <f t="shared" ca="1" si="255"/>
        <v>5191.7673457755609</v>
      </c>
      <c r="AH359" s="50">
        <f t="shared" ca="1" si="255"/>
        <v>5319.0043712995375</v>
      </c>
      <c r="AI359" s="50">
        <f t="shared" ca="1" si="255"/>
        <v>5456.9877586407829</v>
      </c>
      <c r="AJ359" s="50">
        <f t="shared" ca="1" si="255"/>
        <v>5603.0632070387883</v>
      </c>
      <c r="AK359" s="50">
        <f t="shared" ca="1" si="255"/>
        <v>5755.4848259388427</v>
      </c>
      <c r="AL359" s="50">
        <f t="shared" si="255"/>
        <v>0</v>
      </c>
      <c r="AM359" s="50">
        <f t="shared" si="255"/>
        <v>0</v>
      </c>
      <c r="AN359" s="50">
        <f t="shared" si="255"/>
        <v>0</v>
      </c>
      <c r="AO359" s="50">
        <f t="shared" si="255"/>
        <v>0</v>
      </c>
      <c r="AP359" s="50">
        <f t="shared" si="255"/>
        <v>0</v>
      </c>
      <c r="AQ359" s="50">
        <f t="shared" si="255"/>
        <v>0</v>
      </c>
      <c r="AR359" s="50">
        <f t="shared" si="255"/>
        <v>0</v>
      </c>
      <c r="AS359" s="50">
        <f t="shared" si="255"/>
        <v>0</v>
      </c>
      <c r="AT359" s="50">
        <f t="shared" si="255"/>
        <v>0</v>
      </c>
      <c r="AU359" s="50">
        <f t="shared" si="255"/>
        <v>0</v>
      </c>
    </row>
    <row r="360" spans="1:47">
      <c r="A360" s="38" t="str">
        <f t="shared" si="249"/>
        <v>4Y-</v>
      </c>
      <c r="B360" s="38" t="s">
        <v>864</v>
      </c>
      <c r="C360" s="38" t="str">
        <f t="shared" si="253"/>
        <v>Gravity Belt Thickener</v>
      </c>
      <c r="D360" s="186">
        <f>GHGEsc</f>
        <v>0.02</v>
      </c>
      <c r="E360" s="325"/>
      <c r="G360" s="36" t="s">
        <v>865</v>
      </c>
      <c r="I360" s="39"/>
      <c r="K360" s="39"/>
      <c r="L360" s="43" t="s">
        <v>866</v>
      </c>
      <c r="N360" s="70">
        <f ca="1">SUMIFS(OFFSET(Assumptions!$I$90,0,MATCH($A360,Configurations,0)-1,COUNT(Assumptions!$A$90:$A$183),1),Assumptions!$D$90:$D$183,$B360&amp;$C360)</f>
        <v>0</v>
      </c>
      <c r="O360" s="313"/>
      <c r="P360" s="323"/>
      <c r="Q360" s="313"/>
      <c r="R360" s="50">
        <f t="shared" ref="R360:AU360" ca="1" si="256">IF(OR(R$99&lt;InServiceYr,R$99&gt;(InServiceYr+analysis_period-1)),0,IF($P360=0,$N360,$P360)*R$513)</f>
        <v>0</v>
      </c>
      <c r="S360" s="50">
        <f t="shared" ca="1" si="256"/>
        <v>0</v>
      </c>
      <c r="T360" s="50">
        <f t="shared" ca="1" si="256"/>
        <v>0</v>
      </c>
      <c r="U360" s="50">
        <f t="shared" ca="1" si="256"/>
        <v>0</v>
      </c>
      <c r="V360" s="50">
        <f t="shared" ca="1" si="256"/>
        <v>0</v>
      </c>
      <c r="W360" s="50">
        <f t="shared" ca="1" si="256"/>
        <v>0</v>
      </c>
      <c r="X360" s="50">
        <f t="shared" ca="1" si="256"/>
        <v>0</v>
      </c>
      <c r="Y360" s="50">
        <f t="shared" ca="1" si="256"/>
        <v>0</v>
      </c>
      <c r="Z360" s="50">
        <f t="shared" ca="1" si="256"/>
        <v>0</v>
      </c>
      <c r="AA360" s="50">
        <f t="shared" ca="1" si="256"/>
        <v>0</v>
      </c>
      <c r="AB360" s="50">
        <f t="shared" ca="1" si="256"/>
        <v>0</v>
      </c>
      <c r="AC360" s="50">
        <f t="shared" ca="1" si="256"/>
        <v>0</v>
      </c>
      <c r="AD360" s="50">
        <f t="shared" ca="1" si="256"/>
        <v>0</v>
      </c>
      <c r="AE360" s="50">
        <f t="shared" ca="1" si="256"/>
        <v>0</v>
      </c>
      <c r="AF360" s="50">
        <f t="shared" ca="1" si="256"/>
        <v>0</v>
      </c>
      <c r="AG360" s="50">
        <f t="shared" ca="1" si="256"/>
        <v>0</v>
      </c>
      <c r="AH360" s="50">
        <f t="shared" ca="1" si="256"/>
        <v>0</v>
      </c>
      <c r="AI360" s="50">
        <f t="shared" ca="1" si="256"/>
        <v>0</v>
      </c>
      <c r="AJ360" s="50">
        <f t="shared" ca="1" si="256"/>
        <v>0</v>
      </c>
      <c r="AK360" s="50">
        <f t="shared" ca="1" si="256"/>
        <v>0</v>
      </c>
      <c r="AL360" s="50">
        <f t="shared" si="256"/>
        <v>0</v>
      </c>
      <c r="AM360" s="50">
        <f t="shared" si="256"/>
        <v>0</v>
      </c>
      <c r="AN360" s="50">
        <f t="shared" si="256"/>
        <v>0</v>
      </c>
      <c r="AO360" s="50">
        <f t="shared" si="256"/>
        <v>0</v>
      </c>
      <c r="AP360" s="50">
        <f t="shared" si="256"/>
        <v>0</v>
      </c>
      <c r="AQ360" s="50">
        <f t="shared" si="256"/>
        <v>0</v>
      </c>
      <c r="AR360" s="50">
        <f t="shared" si="256"/>
        <v>0</v>
      </c>
      <c r="AS360" s="50">
        <f t="shared" si="256"/>
        <v>0</v>
      </c>
      <c r="AT360" s="50">
        <f t="shared" si="256"/>
        <v>0</v>
      </c>
      <c r="AU360" s="50">
        <f t="shared" si="256"/>
        <v>0</v>
      </c>
    </row>
    <row r="361" spans="1:47">
      <c r="A361" s="38" t="str">
        <f t="shared" si="249"/>
        <v>4Y-</v>
      </c>
      <c r="B361" s="38" t="s">
        <v>273</v>
      </c>
      <c r="C361" s="38" t="str">
        <f>C359</f>
        <v>Gravity Belt Thickener</v>
      </c>
      <c r="D361" s="186">
        <f>LaborEsc</f>
        <v>0.02</v>
      </c>
      <c r="E361" s="325"/>
      <c r="G361" s="36" t="s">
        <v>291</v>
      </c>
      <c r="I361" s="39"/>
      <c r="K361" s="39"/>
      <c r="L361" s="43" t="str">
        <f>"["&amp;CostBaseYr&amp;" $]"</f>
        <v>[2013 $]</v>
      </c>
      <c r="N361" s="70">
        <f ca="1">SUMIFS(OFFSET(Assumptions!$I$90,0,MATCH($A361,Configurations,0)-1,COUNT(Assumptions!$A$90:$A$183),1),Assumptions!$D$90:$D$183,$B361&amp;$C361)</f>
        <v>0</v>
      </c>
      <c r="O361" s="313"/>
      <c r="P361" s="323"/>
      <c r="Q361" s="313"/>
      <c r="R361" s="50">
        <f t="shared" ref="R361:AU361" ca="1" si="257">IF(OR(R$99&lt;InServiceYr,R$99&gt;(InServiceYr+analysis_period-1)),0,IF($P361=0,$N361,$P361)*(1+$D361)^(R$99-CostBaseYr))*R$509</f>
        <v>0</v>
      </c>
      <c r="S361" s="50">
        <f t="shared" ca="1" si="257"/>
        <v>0</v>
      </c>
      <c r="T361" s="50">
        <f t="shared" ca="1" si="257"/>
        <v>0</v>
      </c>
      <c r="U361" s="50">
        <f t="shared" ca="1" si="257"/>
        <v>0</v>
      </c>
      <c r="V361" s="50">
        <f t="shared" ca="1" si="257"/>
        <v>0</v>
      </c>
      <c r="W361" s="50">
        <f t="shared" ca="1" si="257"/>
        <v>0</v>
      </c>
      <c r="X361" s="50">
        <f t="shared" ca="1" si="257"/>
        <v>0</v>
      </c>
      <c r="Y361" s="50">
        <f t="shared" ca="1" si="257"/>
        <v>0</v>
      </c>
      <c r="Z361" s="50">
        <f t="shared" ca="1" si="257"/>
        <v>0</v>
      </c>
      <c r="AA361" s="50">
        <f t="shared" ca="1" si="257"/>
        <v>0</v>
      </c>
      <c r="AB361" s="50">
        <f t="shared" ca="1" si="257"/>
        <v>0</v>
      </c>
      <c r="AC361" s="50">
        <f t="shared" ca="1" si="257"/>
        <v>0</v>
      </c>
      <c r="AD361" s="50">
        <f t="shared" ca="1" si="257"/>
        <v>0</v>
      </c>
      <c r="AE361" s="50">
        <f t="shared" ca="1" si="257"/>
        <v>0</v>
      </c>
      <c r="AF361" s="50">
        <f t="shared" ca="1" si="257"/>
        <v>0</v>
      </c>
      <c r="AG361" s="50">
        <f t="shared" ca="1" si="257"/>
        <v>0</v>
      </c>
      <c r="AH361" s="50">
        <f t="shared" ca="1" si="257"/>
        <v>0</v>
      </c>
      <c r="AI361" s="50">
        <f t="shared" ca="1" si="257"/>
        <v>0</v>
      </c>
      <c r="AJ361" s="50">
        <f t="shared" ca="1" si="257"/>
        <v>0</v>
      </c>
      <c r="AK361" s="50">
        <f t="shared" ca="1" si="257"/>
        <v>0</v>
      </c>
      <c r="AL361" s="50">
        <f t="shared" si="257"/>
        <v>0</v>
      </c>
      <c r="AM361" s="50">
        <f t="shared" si="257"/>
        <v>0</v>
      </c>
      <c r="AN361" s="50">
        <f t="shared" si="257"/>
        <v>0</v>
      </c>
      <c r="AO361" s="50">
        <f t="shared" si="257"/>
        <v>0</v>
      </c>
      <c r="AP361" s="50">
        <f t="shared" si="257"/>
        <v>0</v>
      </c>
      <c r="AQ361" s="50">
        <f t="shared" si="257"/>
        <v>0</v>
      </c>
      <c r="AR361" s="50">
        <f t="shared" si="257"/>
        <v>0</v>
      </c>
      <c r="AS361" s="50">
        <f t="shared" si="257"/>
        <v>0</v>
      </c>
      <c r="AT361" s="50">
        <f t="shared" si="257"/>
        <v>0</v>
      </c>
      <c r="AU361" s="50">
        <f t="shared" si="257"/>
        <v>0</v>
      </c>
    </row>
    <row r="362" spans="1:47">
      <c r="D362" s="186"/>
      <c r="E362" s="325"/>
      <c r="G362" s="39" t="s">
        <v>304</v>
      </c>
      <c r="I362" s="39"/>
      <c r="K362" s="39"/>
      <c r="L362" s="43"/>
      <c r="N362" s="70"/>
      <c r="O362" s="313"/>
      <c r="P362" s="70"/>
      <c r="Q362" s="313"/>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row>
    <row r="363" spans="1:47">
      <c r="A363" s="38" t="str">
        <f>$J$4&amp;"-"</f>
        <v>4Y-</v>
      </c>
      <c r="B363" s="38" t="s">
        <v>265</v>
      </c>
      <c r="C363" s="38" t="str">
        <f>C354</f>
        <v>Gravity Belt Thickener</v>
      </c>
      <c r="D363" s="186"/>
      <c r="E363" s="325"/>
      <c r="G363" s="36" t="s">
        <v>108</v>
      </c>
      <c r="I363" s="39"/>
      <c r="K363" s="39"/>
      <c r="L363" s="43" t="s">
        <v>293</v>
      </c>
      <c r="N363" s="70">
        <f ca="1">SUMIFS(OFFSET(Assumptions!$I$90,0,MATCH($A363,Configurations,0)-1,COUNT(Assumptions!$A$90:$A$183),1),Assumptions!$D$90:$D$183,$B363&amp;$C363)</f>
        <v>0</v>
      </c>
      <c r="O363" s="313"/>
      <c r="P363" s="323"/>
      <c r="Q363" s="313"/>
      <c r="R363" s="50">
        <f t="shared" ref="R363:AU363" ca="1" si="258">IF(OR(R$99&lt;InServiceYr,R$99&gt;(InServiceYr+analysis_period-1)),0,IF($P363=0,$N363,$P363)*R$501)</f>
        <v>0</v>
      </c>
      <c r="S363" s="50">
        <f t="shared" ca="1" si="258"/>
        <v>0</v>
      </c>
      <c r="T363" s="50">
        <f t="shared" ca="1" si="258"/>
        <v>0</v>
      </c>
      <c r="U363" s="50">
        <f t="shared" ca="1" si="258"/>
        <v>0</v>
      </c>
      <c r="V363" s="50">
        <f t="shared" ca="1" si="258"/>
        <v>0</v>
      </c>
      <c r="W363" s="50">
        <f t="shared" ca="1" si="258"/>
        <v>0</v>
      </c>
      <c r="X363" s="50">
        <f t="shared" ca="1" si="258"/>
        <v>0</v>
      </c>
      <c r="Y363" s="50">
        <f t="shared" ca="1" si="258"/>
        <v>0</v>
      </c>
      <c r="Z363" s="50">
        <f t="shared" ca="1" si="258"/>
        <v>0</v>
      </c>
      <c r="AA363" s="50">
        <f t="shared" ca="1" si="258"/>
        <v>0</v>
      </c>
      <c r="AB363" s="50">
        <f t="shared" ca="1" si="258"/>
        <v>0</v>
      </c>
      <c r="AC363" s="50">
        <f t="shared" ca="1" si="258"/>
        <v>0</v>
      </c>
      <c r="AD363" s="50">
        <f t="shared" ca="1" si="258"/>
        <v>0</v>
      </c>
      <c r="AE363" s="50">
        <f t="shared" ca="1" si="258"/>
        <v>0</v>
      </c>
      <c r="AF363" s="50">
        <f t="shared" ca="1" si="258"/>
        <v>0</v>
      </c>
      <c r="AG363" s="50">
        <f t="shared" ca="1" si="258"/>
        <v>0</v>
      </c>
      <c r="AH363" s="50">
        <f t="shared" ca="1" si="258"/>
        <v>0</v>
      </c>
      <c r="AI363" s="50">
        <f t="shared" ca="1" si="258"/>
        <v>0</v>
      </c>
      <c r="AJ363" s="50">
        <f t="shared" ca="1" si="258"/>
        <v>0</v>
      </c>
      <c r="AK363" s="50">
        <f t="shared" ca="1" si="258"/>
        <v>0</v>
      </c>
      <c r="AL363" s="50">
        <f t="shared" si="258"/>
        <v>0</v>
      </c>
      <c r="AM363" s="50">
        <f t="shared" si="258"/>
        <v>0</v>
      </c>
      <c r="AN363" s="50">
        <f t="shared" si="258"/>
        <v>0</v>
      </c>
      <c r="AO363" s="50">
        <f t="shared" si="258"/>
        <v>0</v>
      </c>
      <c r="AP363" s="50">
        <f t="shared" si="258"/>
        <v>0</v>
      </c>
      <c r="AQ363" s="50">
        <f t="shared" si="258"/>
        <v>0</v>
      </c>
      <c r="AR363" s="50">
        <f t="shared" si="258"/>
        <v>0</v>
      </c>
      <c r="AS363" s="50">
        <f t="shared" si="258"/>
        <v>0</v>
      </c>
      <c r="AT363" s="50">
        <f t="shared" si="258"/>
        <v>0</v>
      </c>
      <c r="AU363" s="50">
        <f t="shared" si="258"/>
        <v>0</v>
      </c>
    </row>
    <row r="364" spans="1:47">
      <c r="A364" s="38" t="str">
        <f>$J$4&amp;"-"</f>
        <v>4Y-</v>
      </c>
      <c r="B364" s="38" t="s">
        <v>289</v>
      </c>
      <c r="C364" s="38" t="str">
        <f>C354</f>
        <v>Gravity Belt Thickener</v>
      </c>
      <c r="D364" s="186">
        <f>LaborEsc</f>
        <v>0.02</v>
      </c>
      <c r="E364" s="325"/>
      <c r="G364" s="36" t="s">
        <v>292</v>
      </c>
      <c r="I364" s="39"/>
      <c r="K364" s="39"/>
      <c r="L364" s="43" t="str">
        <f>"["&amp;CostBaseYr&amp;" $]"</f>
        <v>[2013 $]</v>
      </c>
      <c r="N364" s="70">
        <f ca="1">SUMIFS(OFFSET(Assumptions!$I$90,0,MATCH($A364,Configurations,0)-1,COUNT(Assumptions!$A$90:$A$183),1),Assumptions!$D$90:$D$183,$B364&amp;$C364)</f>
        <v>0</v>
      </c>
      <c r="O364" s="313"/>
      <c r="P364" s="323"/>
      <c r="Q364" s="313"/>
      <c r="R364" s="50">
        <f t="shared" ref="R364:AU364" ca="1" si="259">IF(OR(R$99&lt;InServiceYr,R$99&gt;(InServiceYr+analysis_period-1)),0,IF($P364=0,$N364,$P364)*(1+$D364)^(R$99-CostBaseYr))</f>
        <v>0</v>
      </c>
      <c r="S364" s="50">
        <f t="shared" ca="1" si="259"/>
        <v>0</v>
      </c>
      <c r="T364" s="50">
        <f t="shared" ca="1" si="259"/>
        <v>0</v>
      </c>
      <c r="U364" s="50">
        <f t="shared" ca="1" si="259"/>
        <v>0</v>
      </c>
      <c r="V364" s="50">
        <f t="shared" ca="1" si="259"/>
        <v>0</v>
      </c>
      <c r="W364" s="50">
        <f t="shared" ca="1" si="259"/>
        <v>0</v>
      </c>
      <c r="X364" s="50">
        <f t="shared" ca="1" si="259"/>
        <v>0</v>
      </c>
      <c r="Y364" s="50">
        <f t="shared" ca="1" si="259"/>
        <v>0</v>
      </c>
      <c r="Z364" s="50">
        <f t="shared" ca="1" si="259"/>
        <v>0</v>
      </c>
      <c r="AA364" s="50">
        <f t="shared" ca="1" si="259"/>
        <v>0</v>
      </c>
      <c r="AB364" s="50">
        <f t="shared" ca="1" si="259"/>
        <v>0</v>
      </c>
      <c r="AC364" s="50">
        <f t="shared" ca="1" si="259"/>
        <v>0</v>
      </c>
      <c r="AD364" s="50">
        <f t="shared" ca="1" si="259"/>
        <v>0</v>
      </c>
      <c r="AE364" s="50">
        <f t="shared" ca="1" si="259"/>
        <v>0</v>
      </c>
      <c r="AF364" s="50">
        <f t="shared" ca="1" si="259"/>
        <v>0</v>
      </c>
      <c r="AG364" s="50">
        <f t="shared" ca="1" si="259"/>
        <v>0</v>
      </c>
      <c r="AH364" s="50">
        <f t="shared" ca="1" si="259"/>
        <v>0</v>
      </c>
      <c r="AI364" s="50">
        <f t="shared" ca="1" si="259"/>
        <v>0</v>
      </c>
      <c r="AJ364" s="50">
        <f t="shared" ca="1" si="259"/>
        <v>0</v>
      </c>
      <c r="AK364" s="50">
        <f t="shared" ca="1" si="259"/>
        <v>0</v>
      </c>
      <c r="AL364" s="50">
        <f t="shared" si="259"/>
        <v>0</v>
      </c>
      <c r="AM364" s="50">
        <f t="shared" si="259"/>
        <v>0</v>
      </c>
      <c r="AN364" s="50">
        <f t="shared" si="259"/>
        <v>0</v>
      </c>
      <c r="AO364" s="50">
        <f t="shared" si="259"/>
        <v>0</v>
      </c>
      <c r="AP364" s="50">
        <f t="shared" si="259"/>
        <v>0</v>
      </c>
      <c r="AQ364" s="50">
        <f t="shared" si="259"/>
        <v>0</v>
      </c>
      <c r="AR364" s="50">
        <f t="shared" si="259"/>
        <v>0</v>
      </c>
      <c r="AS364" s="50">
        <f t="shared" si="259"/>
        <v>0</v>
      </c>
      <c r="AT364" s="50">
        <f t="shared" si="259"/>
        <v>0</v>
      </c>
      <c r="AU364" s="50">
        <f t="shared" si="259"/>
        <v>0</v>
      </c>
    </row>
    <row r="365" spans="1:47" s="60" customFormat="1">
      <c r="D365" s="187"/>
      <c r="E365" s="325"/>
      <c r="G365" s="39" t="s">
        <v>305</v>
      </c>
      <c r="I365" s="39"/>
      <c r="K365" s="39"/>
      <c r="L365" s="174"/>
      <c r="N365" s="188"/>
      <c r="O365" s="314"/>
      <c r="P365" s="185"/>
      <c r="Q365" s="314"/>
      <c r="R365" s="185">
        <f ca="1">SUM(R354:R361)-SUM(R363:R364)</f>
        <v>237128.16897795754</v>
      </c>
      <c r="S365" s="185">
        <f t="shared" ref="S365:AU365" ca="1" si="260">SUM(S354:S361)-SUM(S363:S364)</f>
        <v>241819.78033055589</v>
      </c>
      <c r="T365" s="185">
        <f t="shared" ca="1" si="260"/>
        <v>246742.24291332837</v>
      </c>
      <c r="U365" s="185">
        <f t="shared" ca="1" si="260"/>
        <v>251715.92597162526</v>
      </c>
      <c r="V365" s="185">
        <f t="shared" ca="1" si="260"/>
        <v>256766.77441087854</v>
      </c>
      <c r="W365" s="185">
        <f t="shared" ca="1" si="260"/>
        <v>261872.57761813086</v>
      </c>
      <c r="X365" s="185">
        <f t="shared" ca="1" si="260"/>
        <v>267094.55878641538</v>
      </c>
      <c r="Y365" s="185">
        <f t="shared" ca="1" si="260"/>
        <v>272456.01216656464</v>
      </c>
      <c r="Z365" s="185">
        <f t="shared" ca="1" si="260"/>
        <v>277922.16310232243</v>
      </c>
      <c r="AA365" s="185">
        <f t="shared" ca="1" si="260"/>
        <v>283502.74337730679</v>
      </c>
      <c r="AB365" s="185">
        <f t="shared" ca="1" si="260"/>
        <v>289180.32689618302</v>
      </c>
      <c r="AC365" s="185">
        <f t="shared" ca="1" si="260"/>
        <v>294960.48731384845</v>
      </c>
      <c r="AD365" s="185">
        <f t="shared" ca="1" si="260"/>
        <v>300874.33849497727</v>
      </c>
      <c r="AE365" s="185">
        <f t="shared" ca="1" si="260"/>
        <v>306905.31584619166</v>
      </c>
      <c r="AF365" s="185">
        <f t="shared" ca="1" si="260"/>
        <v>313062.08841206628</v>
      </c>
      <c r="AG365" s="185">
        <f t="shared" ca="1" si="260"/>
        <v>319353.77595576213</v>
      </c>
      <c r="AH365" s="185">
        <f t="shared" ca="1" si="260"/>
        <v>325764.25315348589</v>
      </c>
      <c r="AI365" s="185">
        <f t="shared" ca="1" si="260"/>
        <v>332311.14151647076</v>
      </c>
      <c r="AJ365" s="185">
        <f t="shared" ca="1" si="260"/>
        <v>338994.30004002544</v>
      </c>
      <c r="AK365" s="185">
        <f t="shared" ca="1" si="260"/>
        <v>345814.54639558517</v>
      </c>
      <c r="AL365" s="185">
        <f t="shared" si="260"/>
        <v>0</v>
      </c>
      <c r="AM365" s="185">
        <f t="shared" si="260"/>
        <v>0</v>
      </c>
      <c r="AN365" s="185">
        <f t="shared" si="260"/>
        <v>0</v>
      </c>
      <c r="AO365" s="185">
        <f t="shared" si="260"/>
        <v>0</v>
      </c>
      <c r="AP365" s="185">
        <f t="shared" si="260"/>
        <v>0</v>
      </c>
      <c r="AQ365" s="185">
        <f t="shared" si="260"/>
        <v>0</v>
      </c>
      <c r="AR365" s="185">
        <f t="shared" si="260"/>
        <v>0</v>
      </c>
      <c r="AS365" s="185">
        <f t="shared" si="260"/>
        <v>0</v>
      </c>
      <c r="AT365" s="185">
        <f t="shared" si="260"/>
        <v>0</v>
      </c>
      <c r="AU365" s="185">
        <f t="shared" si="260"/>
        <v>0</v>
      </c>
    </row>
    <row r="366" spans="1:47">
      <c r="E366" s="36"/>
      <c r="G366" s="39"/>
      <c r="H366" s="39"/>
      <c r="I366" s="39"/>
      <c r="J366" s="39"/>
      <c r="K366" s="39"/>
    </row>
    <row r="367" spans="1:47">
      <c r="E367" s="327"/>
      <c r="F367" s="28"/>
      <c r="G367" s="324" t="str">
        <f>C369&amp;" Capital Costs"</f>
        <v>Gravity Thickener Capital Costs</v>
      </c>
      <c r="H367" s="324"/>
      <c r="I367" s="324"/>
      <c r="J367" s="324"/>
      <c r="K367" s="324"/>
      <c r="L367" s="405" t="s">
        <v>79</v>
      </c>
      <c r="M367" s="256"/>
      <c r="N367" s="325" t="s">
        <v>490</v>
      </c>
      <c r="O367" s="311"/>
      <c r="P367" s="325" t="s">
        <v>491</v>
      </c>
      <c r="Q367" s="310"/>
      <c r="R367" s="325">
        <f>R$8</f>
        <v>2014</v>
      </c>
      <c r="S367" s="325">
        <f t="shared" ref="S367:AU367" si="261">S$8</f>
        <v>2015</v>
      </c>
      <c r="T367" s="325">
        <f t="shared" si="261"/>
        <v>2016</v>
      </c>
      <c r="U367" s="325">
        <f t="shared" si="261"/>
        <v>2017</v>
      </c>
      <c r="V367" s="325">
        <f t="shared" si="261"/>
        <v>2018</v>
      </c>
      <c r="W367" s="325">
        <f t="shared" si="261"/>
        <v>2019</v>
      </c>
      <c r="X367" s="325">
        <f t="shared" si="261"/>
        <v>2020</v>
      </c>
      <c r="Y367" s="325">
        <f t="shared" si="261"/>
        <v>2021</v>
      </c>
      <c r="Z367" s="325">
        <f t="shared" si="261"/>
        <v>2022</v>
      </c>
      <c r="AA367" s="325">
        <f t="shared" si="261"/>
        <v>2023</v>
      </c>
      <c r="AB367" s="325">
        <f t="shared" si="261"/>
        <v>2024</v>
      </c>
      <c r="AC367" s="325">
        <f t="shared" si="261"/>
        <v>2025</v>
      </c>
      <c r="AD367" s="325">
        <f t="shared" si="261"/>
        <v>2026</v>
      </c>
      <c r="AE367" s="325">
        <f t="shared" si="261"/>
        <v>2027</v>
      </c>
      <c r="AF367" s="325">
        <f t="shared" si="261"/>
        <v>2028</v>
      </c>
      <c r="AG367" s="325">
        <f t="shared" si="261"/>
        <v>2029</v>
      </c>
      <c r="AH367" s="325">
        <f t="shared" si="261"/>
        <v>2030</v>
      </c>
      <c r="AI367" s="325">
        <f t="shared" si="261"/>
        <v>2031</v>
      </c>
      <c r="AJ367" s="325">
        <f t="shared" si="261"/>
        <v>2032</v>
      </c>
      <c r="AK367" s="325">
        <f t="shared" si="261"/>
        <v>2033</v>
      </c>
      <c r="AL367" s="325">
        <f t="shared" si="261"/>
        <v>2034</v>
      </c>
      <c r="AM367" s="325">
        <f t="shared" si="261"/>
        <v>2035</v>
      </c>
      <c r="AN367" s="325">
        <f t="shared" si="261"/>
        <v>2036</v>
      </c>
      <c r="AO367" s="325">
        <f t="shared" si="261"/>
        <v>2037</v>
      </c>
      <c r="AP367" s="325">
        <f t="shared" si="261"/>
        <v>2038</v>
      </c>
      <c r="AQ367" s="325">
        <f t="shared" si="261"/>
        <v>2039</v>
      </c>
      <c r="AR367" s="325">
        <f t="shared" si="261"/>
        <v>2040</v>
      </c>
      <c r="AS367" s="325">
        <f t="shared" si="261"/>
        <v>2041</v>
      </c>
      <c r="AT367" s="325">
        <f t="shared" si="261"/>
        <v>2042</v>
      </c>
      <c r="AU367" s="325">
        <f t="shared" si="261"/>
        <v>2043</v>
      </c>
    </row>
    <row r="368" spans="1:47">
      <c r="E368" s="325"/>
      <c r="G368" s="39"/>
      <c r="H368" s="39"/>
      <c r="I368" s="39"/>
      <c r="J368" s="39"/>
      <c r="K368" s="39"/>
    </row>
    <row r="369" spans="1:47">
      <c r="A369" s="38" t="str">
        <f>$J$4&amp;"-"</f>
        <v>4Y-</v>
      </c>
      <c r="B369" s="38" t="s">
        <v>306</v>
      </c>
      <c r="C369" s="38" t="s">
        <v>29</v>
      </c>
      <c r="D369" s="186">
        <f>CapExEsc</f>
        <v>0.03</v>
      </c>
      <c r="E369" s="325"/>
      <c r="G369" s="36" t="s">
        <v>8</v>
      </c>
      <c r="H369" s="39"/>
      <c r="I369" s="39"/>
      <c r="J369" s="70"/>
      <c r="K369" s="39"/>
      <c r="L369" s="43" t="str">
        <f>"["&amp;CostBaseYr&amp;" $]"</f>
        <v>[2013 $]</v>
      </c>
      <c r="N369" s="52">
        <f ca="1">SUMIFS(OFFSET(Assumptions!$I$65,0,MATCH($A369,Configurations,0)-1,COUNT(Assumptions!$A$65:$A$84),1),Assumptions!$E$65:$E$84,$C369)</f>
        <v>1029000</v>
      </c>
      <c r="O369" s="52"/>
      <c r="P369" s="322"/>
      <c r="Q369" s="52"/>
      <c r="R369" s="52">
        <f t="shared" ref="R369:AU369" ca="1" si="262">R370*IF($P369=0,$N369,$P369)*(1+$D369)^(R$8-CostBaseYr)</f>
        <v>1059870</v>
      </c>
      <c r="S369" s="52">
        <f t="shared" ca="1" si="262"/>
        <v>0</v>
      </c>
      <c r="T369" s="52">
        <f t="shared" ca="1" si="262"/>
        <v>0</v>
      </c>
      <c r="U369" s="52">
        <f t="shared" ca="1" si="262"/>
        <v>0</v>
      </c>
      <c r="V369" s="52">
        <f t="shared" ca="1" si="262"/>
        <v>0</v>
      </c>
      <c r="W369" s="52">
        <f t="shared" ca="1" si="262"/>
        <v>0</v>
      </c>
      <c r="X369" s="52">
        <f t="shared" ca="1" si="262"/>
        <v>0</v>
      </c>
      <c r="Y369" s="52">
        <f t="shared" ca="1" si="262"/>
        <v>0</v>
      </c>
      <c r="Z369" s="52">
        <f t="shared" ca="1" si="262"/>
        <v>0</v>
      </c>
      <c r="AA369" s="52">
        <f t="shared" ca="1" si="262"/>
        <v>0</v>
      </c>
      <c r="AB369" s="52">
        <f t="shared" ca="1" si="262"/>
        <v>0</v>
      </c>
      <c r="AC369" s="52">
        <f t="shared" ca="1" si="262"/>
        <v>0</v>
      </c>
      <c r="AD369" s="52">
        <f t="shared" ca="1" si="262"/>
        <v>0</v>
      </c>
      <c r="AE369" s="52">
        <f t="shared" ca="1" si="262"/>
        <v>0</v>
      </c>
      <c r="AF369" s="52">
        <f t="shared" ca="1" si="262"/>
        <v>0</v>
      </c>
      <c r="AG369" s="52">
        <f t="shared" ca="1" si="262"/>
        <v>0</v>
      </c>
      <c r="AH369" s="52">
        <f t="shared" ca="1" si="262"/>
        <v>0</v>
      </c>
      <c r="AI369" s="52">
        <f t="shared" ca="1" si="262"/>
        <v>0</v>
      </c>
      <c r="AJ369" s="52">
        <f t="shared" ca="1" si="262"/>
        <v>0</v>
      </c>
      <c r="AK369" s="52">
        <f t="shared" ca="1" si="262"/>
        <v>0</v>
      </c>
      <c r="AL369" s="52">
        <f t="shared" ca="1" si="262"/>
        <v>0</v>
      </c>
      <c r="AM369" s="52">
        <f t="shared" ca="1" si="262"/>
        <v>0</v>
      </c>
      <c r="AN369" s="52">
        <f t="shared" ca="1" si="262"/>
        <v>0</v>
      </c>
      <c r="AO369" s="52">
        <f t="shared" ca="1" si="262"/>
        <v>0</v>
      </c>
      <c r="AP369" s="52">
        <f t="shared" ca="1" si="262"/>
        <v>0</v>
      </c>
      <c r="AQ369" s="52">
        <f t="shared" ca="1" si="262"/>
        <v>0</v>
      </c>
      <c r="AR369" s="52">
        <f t="shared" ca="1" si="262"/>
        <v>0</v>
      </c>
      <c r="AS369" s="52">
        <f t="shared" ca="1" si="262"/>
        <v>0</v>
      </c>
      <c r="AT369" s="52">
        <f t="shared" ca="1" si="262"/>
        <v>0</v>
      </c>
      <c r="AU369" s="52">
        <f t="shared" ca="1" si="262"/>
        <v>0</v>
      </c>
    </row>
    <row r="370" spans="1:47">
      <c r="E370" s="325"/>
      <c r="G370" s="36" t="s">
        <v>10</v>
      </c>
      <c r="H370" s="39"/>
      <c r="I370" s="39"/>
      <c r="J370" s="39"/>
      <c r="K370" s="39"/>
      <c r="L370" s="43"/>
      <c r="R370" s="54">
        <f>Assumptions!M$60</f>
        <v>1</v>
      </c>
      <c r="S370" s="54">
        <f>Assumptions!N$60</f>
        <v>0</v>
      </c>
      <c r="T370" s="54">
        <f>Assumptions!O$60</f>
        <v>0</v>
      </c>
      <c r="U370" s="54">
        <f>Assumptions!P$60</f>
        <v>0</v>
      </c>
      <c r="V370" s="54">
        <f>Assumptions!Q$60</f>
        <v>0</v>
      </c>
      <c r="W370" s="54">
        <f>Assumptions!R$60</f>
        <v>0</v>
      </c>
      <c r="X370" s="54">
        <f>Assumptions!S$60</f>
        <v>0</v>
      </c>
      <c r="Y370" s="54">
        <f>Assumptions!T$60</f>
        <v>0</v>
      </c>
      <c r="Z370" s="54">
        <f>Assumptions!U$60</f>
        <v>0</v>
      </c>
      <c r="AA370" s="54">
        <f>Assumptions!V$60</f>
        <v>0</v>
      </c>
      <c r="AB370" s="54">
        <f>Assumptions!W$60</f>
        <v>0</v>
      </c>
      <c r="AC370" s="54">
        <f>Assumptions!X$60</f>
        <v>0</v>
      </c>
      <c r="AD370" s="54">
        <f>Assumptions!Y$60</f>
        <v>0</v>
      </c>
      <c r="AE370" s="54">
        <f>Assumptions!Z$60</f>
        <v>0</v>
      </c>
      <c r="AF370" s="54">
        <f>Assumptions!AA$60</f>
        <v>0</v>
      </c>
      <c r="AG370" s="54">
        <f>Assumptions!AB$60</f>
        <v>0</v>
      </c>
      <c r="AH370" s="54">
        <f>Assumptions!AC$60</f>
        <v>0</v>
      </c>
      <c r="AI370" s="54">
        <f>Assumptions!AD$60</f>
        <v>0</v>
      </c>
      <c r="AJ370" s="54">
        <f>Assumptions!AE$60</f>
        <v>0</v>
      </c>
      <c r="AK370" s="54">
        <f>Assumptions!AF$60</f>
        <v>0</v>
      </c>
      <c r="AL370" s="54">
        <f>Assumptions!AG$60</f>
        <v>0</v>
      </c>
      <c r="AM370" s="54">
        <f>Assumptions!AH$60</f>
        <v>0</v>
      </c>
      <c r="AN370" s="54">
        <f>Assumptions!AI$60</f>
        <v>0</v>
      </c>
      <c r="AO370" s="54">
        <f>Assumptions!AJ$60</f>
        <v>0</v>
      </c>
      <c r="AP370" s="54">
        <f>Assumptions!AK$60</f>
        <v>0</v>
      </c>
      <c r="AQ370" s="54">
        <f>Assumptions!AL$60</f>
        <v>0</v>
      </c>
      <c r="AR370" s="54">
        <f>Assumptions!AM$60</f>
        <v>0</v>
      </c>
      <c r="AS370" s="54">
        <f>Assumptions!AN$60</f>
        <v>0</v>
      </c>
      <c r="AT370" s="54">
        <f>Assumptions!AO$60</f>
        <v>0</v>
      </c>
      <c r="AU370" s="54">
        <f>Assumptions!AP$60</f>
        <v>0</v>
      </c>
    </row>
    <row r="371" spans="1:47">
      <c r="E371" s="326"/>
      <c r="G371" s="39"/>
      <c r="H371" s="39"/>
      <c r="I371" s="39"/>
      <c r="J371" s="39"/>
      <c r="K371" s="39"/>
    </row>
    <row r="372" spans="1:47">
      <c r="E372" s="327"/>
      <c r="F372" s="28"/>
      <c r="G372" s="324" t="str">
        <f>C369&amp;" O&amp;M"</f>
        <v>Gravity Thickener O&amp;M</v>
      </c>
      <c r="H372" s="324"/>
      <c r="I372" s="324"/>
      <c r="J372" s="324"/>
      <c r="K372" s="324"/>
      <c r="L372" s="405" t="s">
        <v>79</v>
      </c>
      <c r="M372" s="256"/>
      <c r="N372" s="325" t="s">
        <v>490</v>
      </c>
      <c r="O372" s="311"/>
      <c r="P372" s="325" t="s">
        <v>491</v>
      </c>
      <c r="Q372" s="310"/>
      <c r="R372" s="325">
        <f>R$8</f>
        <v>2014</v>
      </c>
      <c r="S372" s="325">
        <f t="shared" ref="S372:AU372" si="263">S$8</f>
        <v>2015</v>
      </c>
      <c r="T372" s="325">
        <f t="shared" si="263"/>
        <v>2016</v>
      </c>
      <c r="U372" s="325">
        <f t="shared" si="263"/>
        <v>2017</v>
      </c>
      <c r="V372" s="325">
        <f t="shared" si="263"/>
        <v>2018</v>
      </c>
      <c r="W372" s="325">
        <f t="shared" si="263"/>
        <v>2019</v>
      </c>
      <c r="X372" s="325">
        <f t="shared" si="263"/>
        <v>2020</v>
      </c>
      <c r="Y372" s="325">
        <f t="shared" si="263"/>
        <v>2021</v>
      </c>
      <c r="Z372" s="325">
        <f t="shared" si="263"/>
        <v>2022</v>
      </c>
      <c r="AA372" s="325">
        <f t="shared" si="263"/>
        <v>2023</v>
      </c>
      <c r="AB372" s="325">
        <f t="shared" si="263"/>
        <v>2024</v>
      </c>
      <c r="AC372" s="325">
        <f t="shared" si="263"/>
        <v>2025</v>
      </c>
      <c r="AD372" s="325">
        <f t="shared" si="263"/>
        <v>2026</v>
      </c>
      <c r="AE372" s="325">
        <f t="shared" si="263"/>
        <v>2027</v>
      </c>
      <c r="AF372" s="325">
        <f t="shared" si="263"/>
        <v>2028</v>
      </c>
      <c r="AG372" s="325">
        <f t="shared" si="263"/>
        <v>2029</v>
      </c>
      <c r="AH372" s="325">
        <f t="shared" si="263"/>
        <v>2030</v>
      </c>
      <c r="AI372" s="325">
        <f t="shared" si="263"/>
        <v>2031</v>
      </c>
      <c r="AJ372" s="325">
        <f t="shared" si="263"/>
        <v>2032</v>
      </c>
      <c r="AK372" s="325">
        <f t="shared" si="263"/>
        <v>2033</v>
      </c>
      <c r="AL372" s="325">
        <f t="shared" si="263"/>
        <v>2034</v>
      </c>
      <c r="AM372" s="325">
        <f t="shared" si="263"/>
        <v>2035</v>
      </c>
      <c r="AN372" s="325">
        <f t="shared" si="263"/>
        <v>2036</v>
      </c>
      <c r="AO372" s="325">
        <f t="shared" si="263"/>
        <v>2037</v>
      </c>
      <c r="AP372" s="325">
        <f t="shared" si="263"/>
        <v>2038</v>
      </c>
      <c r="AQ372" s="325">
        <f t="shared" si="263"/>
        <v>2039</v>
      </c>
      <c r="AR372" s="325">
        <f t="shared" si="263"/>
        <v>2040</v>
      </c>
      <c r="AS372" s="325">
        <f t="shared" si="263"/>
        <v>2041</v>
      </c>
      <c r="AT372" s="325">
        <f t="shared" si="263"/>
        <v>2042</v>
      </c>
      <c r="AU372" s="325">
        <f t="shared" si="263"/>
        <v>2043</v>
      </c>
    </row>
    <row r="373" spans="1:47">
      <c r="E373" s="325"/>
      <c r="G373" s="39"/>
      <c r="H373" s="39"/>
      <c r="I373" s="39"/>
      <c r="J373" s="39"/>
      <c r="K373" s="39"/>
    </row>
    <row r="374" spans="1:47">
      <c r="E374" s="325"/>
      <c r="G374" s="39" t="s">
        <v>23</v>
      </c>
      <c r="H374" s="39"/>
      <c r="I374" s="39"/>
      <c r="J374" s="39"/>
      <c r="K374" s="39"/>
    </row>
    <row r="375" spans="1:47">
      <c r="A375" s="38" t="str">
        <f t="shared" ref="A375:A382" si="264">$J$4&amp;"-"</f>
        <v>4Y-</v>
      </c>
      <c r="B375" s="38" t="s">
        <v>262</v>
      </c>
      <c r="C375" s="38" t="str">
        <f>C369</f>
        <v>Gravity Thickener</v>
      </c>
      <c r="D375" s="186">
        <f>LaborEsc</f>
        <v>0.02</v>
      </c>
      <c r="E375" s="325"/>
      <c r="G375" s="36" t="s">
        <v>125</v>
      </c>
      <c r="I375" s="39"/>
      <c r="K375" s="39"/>
      <c r="L375" s="43" t="s">
        <v>266</v>
      </c>
      <c r="N375" s="70">
        <f ca="1">SUMIFS(OFFSET(Assumptions!$I$90,0,MATCH($A375,Configurations,0)-1,COUNT(Assumptions!$A$90:$A$183),1),Assumptions!$D$90:$D$183,$B375&amp;$C375)</f>
        <v>1460</v>
      </c>
      <c r="O375" s="313"/>
      <c r="P375" s="323"/>
      <c r="Q375" s="313"/>
      <c r="R375" s="50">
        <f t="shared" ref="R375:AU375" ca="1" si="265">IF(OR(R$99&lt;InServiceYr,R$99&gt;(InServiceYr+analysis_period-1)),0,IF($P375=0,$N375,$P375)*LaborCost*(1+$D375)^(R$99-CostBaseYr))</f>
        <v>52122</v>
      </c>
      <c r="S375" s="50">
        <f t="shared" ca="1" si="265"/>
        <v>53164.44</v>
      </c>
      <c r="T375" s="50">
        <f t="shared" ca="1" si="265"/>
        <v>54227.728799999997</v>
      </c>
      <c r="U375" s="50">
        <f t="shared" ca="1" si="265"/>
        <v>55312.283375999999</v>
      </c>
      <c r="V375" s="50">
        <f t="shared" ca="1" si="265"/>
        <v>56418.52904352</v>
      </c>
      <c r="W375" s="50">
        <f t="shared" ca="1" si="265"/>
        <v>57546.899624390404</v>
      </c>
      <c r="X375" s="50">
        <f t="shared" ca="1" si="265"/>
        <v>58697.837616878198</v>
      </c>
      <c r="Y375" s="50">
        <f t="shared" ca="1" si="265"/>
        <v>59871.794369215771</v>
      </c>
      <c r="Z375" s="50">
        <f t="shared" ca="1" si="265"/>
        <v>61069.230256600087</v>
      </c>
      <c r="AA375" s="50">
        <f t="shared" ca="1" si="265"/>
        <v>62290.614861732087</v>
      </c>
      <c r="AB375" s="50">
        <f t="shared" ca="1" si="265"/>
        <v>63536.427158966719</v>
      </c>
      <c r="AC375" s="50">
        <f t="shared" ca="1" si="265"/>
        <v>64807.155702146061</v>
      </c>
      <c r="AD375" s="50">
        <f t="shared" ca="1" si="265"/>
        <v>66103.298816188981</v>
      </c>
      <c r="AE375" s="50">
        <f t="shared" ca="1" si="265"/>
        <v>67425.364792512773</v>
      </c>
      <c r="AF375" s="50">
        <f t="shared" ca="1" si="265"/>
        <v>68773.872088363001</v>
      </c>
      <c r="AG375" s="50">
        <f t="shared" ca="1" si="265"/>
        <v>70149.349530130276</v>
      </c>
      <c r="AH375" s="50">
        <f t="shared" ca="1" si="265"/>
        <v>71552.33652073289</v>
      </c>
      <c r="AI375" s="50">
        <f t="shared" ca="1" si="265"/>
        <v>72983.383251147534</v>
      </c>
      <c r="AJ375" s="50">
        <f t="shared" ca="1" si="265"/>
        <v>74443.050916170483</v>
      </c>
      <c r="AK375" s="50">
        <f t="shared" ca="1" si="265"/>
        <v>75931.911934493895</v>
      </c>
      <c r="AL375" s="50">
        <f t="shared" si="265"/>
        <v>0</v>
      </c>
      <c r="AM375" s="50">
        <f t="shared" si="265"/>
        <v>0</v>
      </c>
      <c r="AN375" s="50">
        <f t="shared" si="265"/>
        <v>0</v>
      </c>
      <c r="AO375" s="50">
        <f t="shared" si="265"/>
        <v>0</v>
      </c>
      <c r="AP375" s="50">
        <f t="shared" si="265"/>
        <v>0</v>
      </c>
      <c r="AQ375" s="50">
        <f t="shared" si="265"/>
        <v>0</v>
      </c>
      <c r="AR375" s="50">
        <f t="shared" si="265"/>
        <v>0</v>
      </c>
      <c r="AS375" s="50">
        <f t="shared" si="265"/>
        <v>0</v>
      </c>
      <c r="AT375" s="50">
        <f t="shared" si="265"/>
        <v>0</v>
      </c>
      <c r="AU375" s="50">
        <f t="shared" si="265"/>
        <v>0</v>
      </c>
    </row>
    <row r="376" spans="1:47">
      <c r="A376" s="38" t="str">
        <f t="shared" si="264"/>
        <v>4Y-</v>
      </c>
      <c r="B376" s="38" t="s">
        <v>270</v>
      </c>
      <c r="C376" s="38" t="str">
        <f>C375</f>
        <v>Gravity Thickener</v>
      </c>
      <c r="D376" s="186">
        <f>OMEsc</f>
        <v>0.02</v>
      </c>
      <c r="E376" s="325"/>
      <c r="G376" s="36" t="s">
        <v>126</v>
      </c>
      <c r="I376" s="39"/>
      <c r="K376" s="39"/>
      <c r="L376" s="43" t="str">
        <f>"["&amp;CostBaseYr&amp;" $]"</f>
        <v>[2013 $]</v>
      </c>
      <c r="N376" s="70">
        <f ca="1">SUMIFS(OFFSET(Assumptions!$I$90,0,MATCH($A376,Configurations,0)-1,COUNT(Assumptions!$A$90:$A$183),1),Assumptions!$D$90:$D$183,$B376&amp;$C376)</f>
        <v>10000</v>
      </c>
      <c r="O376" s="313"/>
      <c r="P376" s="323"/>
      <c r="Q376" s="313"/>
      <c r="R376" s="50">
        <f t="shared" ref="R376:AG378" ca="1" si="266">IF(OR(R$99&lt;InServiceYr,R$99&gt;(InServiceYr+analysis_period-1)),0,IF($P376=0,$N376,$P376)*(1+$D376)^(R$99-CostBaseYr))</f>
        <v>10200</v>
      </c>
      <c r="S376" s="50">
        <f t="shared" ca="1" si="266"/>
        <v>10404</v>
      </c>
      <c r="T376" s="50">
        <f t="shared" ca="1" si="266"/>
        <v>10612.08</v>
      </c>
      <c r="U376" s="50">
        <f t="shared" ca="1" si="266"/>
        <v>10824.321599999999</v>
      </c>
      <c r="V376" s="50">
        <f t="shared" ca="1" si="266"/>
        <v>11040.808032000001</v>
      </c>
      <c r="W376" s="50">
        <f t="shared" ca="1" si="266"/>
        <v>11261.62419264</v>
      </c>
      <c r="X376" s="50">
        <f t="shared" ca="1" si="266"/>
        <v>11486.856676492798</v>
      </c>
      <c r="Y376" s="50">
        <f t="shared" ca="1" si="266"/>
        <v>11716.593810022656</v>
      </c>
      <c r="Z376" s="50">
        <f t="shared" ca="1" si="266"/>
        <v>11950.925686223109</v>
      </c>
      <c r="AA376" s="50">
        <f t="shared" ca="1" si="266"/>
        <v>12189.944199947571</v>
      </c>
      <c r="AB376" s="50">
        <f t="shared" ca="1" si="266"/>
        <v>12433.74308394652</v>
      </c>
      <c r="AC376" s="50">
        <f t="shared" ca="1" si="266"/>
        <v>12682.417945625453</v>
      </c>
      <c r="AD376" s="50">
        <f t="shared" ca="1" si="266"/>
        <v>12936.066304537961</v>
      </c>
      <c r="AE376" s="50">
        <f t="shared" ca="1" si="266"/>
        <v>13194.787630628722</v>
      </c>
      <c r="AF376" s="50">
        <f t="shared" ca="1" si="266"/>
        <v>13458.683383241292</v>
      </c>
      <c r="AG376" s="50">
        <f t="shared" ca="1" si="266"/>
        <v>13727.857050906121</v>
      </c>
      <c r="AH376" s="50">
        <f t="shared" ref="S376:AU378" ca="1" si="267">IF(OR(AH$99&lt;InServiceYr,AH$99&gt;(InServiceYr+analysis_period-1)),0,IF($P376=0,$N376,$P376)*(1+$D376)^(AH$99-CostBaseYr))</f>
        <v>14002.414191924245</v>
      </c>
      <c r="AI376" s="50">
        <f t="shared" ca="1" si="267"/>
        <v>14282.462475762728</v>
      </c>
      <c r="AJ376" s="50">
        <f t="shared" ca="1" si="267"/>
        <v>14568.11172527798</v>
      </c>
      <c r="AK376" s="50">
        <f t="shared" ca="1" si="267"/>
        <v>14859.473959783543</v>
      </c>
      <c r="AL376" s="50">
        <f t="shared" si="267"/>
        <v>0</v>
      </c>
      <c r="AM376" s="50">
        <f t="shared" si="267"/>
        <v>0</v>
      </c>
      <c r="AN376" s="50">
        <f t="shared" si="267"/>
        <v>0</v>
      </c>
      <c r="AO376" s="50">
        <f t="shared" si="267"/>
        <v>0</v>
      </c>
      <c r="AP376" s="50">
        <f t="shared" si="267"/>
        <v>0</v>
      </c>
      <c r="AQ376" s="50">
        <f t="shared" si="267"/>
        <v>0</v>
      </c>
      <c r="AR376" s="50">
        <f t="shared" si="267"/>
        <v>0</v>
      </c>
      <c r="AS376" s="50">
        <f t="shared" si="267"/>
        <v>0</v>
      </c>
      <c r="AT376" s="50">
        <f t="shared" si="267"/>
        <v>0</v>
      </c>
      <c r="AU376" s="50">
        <f t="shared" si="267"/>
        <v>0</v>
      </c>
    </row>
    <row r="377" spans="1:47">
      <c r="A377" s="38" t="str">
        <f t="shared" si="264"/>
        <v>4Y-</v>
      </c>
      <c r="B377" s="38" t="s">
        <v>263</v>
      </c>
      <c r="C377" s="38" t="str">
        <f t="shared" ref="C377:C381" si="268">C376</f>
        <v>Gravity Thickener</v>
      </c>
      <c r="D377" s="186">
        <f>OMEsc</f>
        <v>0.02</v>
      </c>
      <c r="E377" s="325"/>
      <c r="G377" s="36" t="s">
        <v>127</v>
      </c>
      <c r="I377" s="39"/>
      <c r="K377" s="39"/>
      <c r="L377" s="43" t="str">
        <f>"["&amp;CostBaseYr&amp;" $]"</f>
        <v>[2013 $]</v>
      </c>
      <c r="N377" s="70">
        <f ca="1">SUMIFS(OFFSET(Assumptions!$I$90,0,MATCH($A377,Configurations,0)-1,COUNT(Assumptions!$A$90:$A$183),1),Assumptions!$D$90:$D$183,$B377&amp;$C377)</f>
        <v>0</v>
      </c>
      <c r="O377" s="313"/>
      <c r="P377" s="323"/>
      <c r="Q377" s="313"/>
      <c r="R377" s="50">
        <f t="shared" ca="1" si="266"/>
        <v>0</v>
      </c>
      <c r="S377" s="50">
        <f t="shared" ca="1" si="267"/>
        <v>0</v>
      </c>
      <c r="T377" s="50">
        <f t="shared" ca="1" si="267"/>
        <v>0</v>
      </c>
      <c r="U377" s="50">
        <f t="shared" ca="1" si="267"/>
        <v>0</v>
      </c>
      <c r="V377" s="50">
        <f t="shared" ca="1" si="267"/>
        <v>0</v>
      </c>
      <c r="W377" s="50">
        <f t="shared" ca="1" si="267"/>
        <v>0</v>
      </c>
      <c r="X377" s="50">
        <f t="shared" ca="1" si="267"/>
        <v>0</v>
      </c>
      <c r="Y377" s="50">
        <f t="shared" ca="1" si="267"/>
        <v>0</v>
      </c>
      <c r="Z377" s="50">
        <f t="shared" ca="1" si="267"/>
        <v>0</v>
      </c>
      <c r="AA377" s="50">
        <f t="shared" ca="1" si="267"/>
        <v>0</v>
      </c>
      <c r="AB377" s="50">
        <f t="shared" ca="1" si="267"/>
        <v>0</v>
      </c>
      <c r="AC377" s="50">
        <f t="shared" ca="1" si="267"/>
        <v>0</v>
      </c>
      <c r="AD377" s="50">
        <f t="shared" ca="1" si="267"/>
        <v>0</v>
      </c>
      <c r="AE377" s="50">
        <f t="shared" ca="1" si="267"/>
        <v>0</v>
      </c>
      <c r="AF377" s="50">
        <f t="shared" ca="1" si="267"/>
        <v>0</v>
      </c>
      <c r="AG377" s="50">
        <f t="shared" ca="1" si="267"/>
        <v>0</v>
      </c>
      <c r="AH377" s="50">
        <f t="shared" ca="1" si="267"/>
        <v>0</v>
      </c>
      <c r="AI377" s="50">
        <f t="shared" ca="1" si="267"/>
        <v>0</v>
      </c>
      <c r="AJ377" s="50">
        <f t="shared" ca="1" si="267"/>
        <v>0</v>
      </c>
      <c r="AK377" s="50">
        <f t="shared" ca="1" si="267"/>
        <v>0</v>
      </c>
      <c r="AL377" s="50">
        <f t="shared" si="267"/>
        <v>0</v>
      </c>
      <c r="AM377" s="50">
        <f t="shared" si="267"/>
        <v>0</v>
      </c>
      <c r="AN377" s="50">
        <f t="shared" si="267"/>
        <v>0</v>
      </c>
      <c r="AO377" s="50">
        <f t="shared" si="267"/>
        <v>0</v>
      </c>
      <c r="AP377" s="50">
        <f t="shared" si="267"/>
        <v>0</v>
      </c>
      <c r="AQ377" s="50">
        <f t="shared" si="267"/>
        <v>0</v>
      </c>
      <c r="AR377" s="50">
        <f t="shared" si="267"/>
        <v>0</v>
      </c>
      <c r="AS377" s="50">
        <f t="shared" si="267"/>
        <v>0</v>
      </c>
      <c r="AT377" s="50">
        <f t="shared" si="267"/>
        <v>0</v>
      </c>
      <c r="AU377" s="50">
        <f t="shared" si="267"/>
        <v>0</v>
      </c>
    </row>
    <row r="378" spans="1:47">
      <c r="A378" s="38" t="str">
        <f t="shared" si="264"/>
        <v>4Y-</v>
      </c>
      <c r="B378" s="38" t="s">
        <v>277</v>
      </c>
      <c r="C378" s="38" t="str">
        <f t="shared" si="268"/>
        <v>Gravity Thickener</v>
      </c>
      <c r="D378" s="186">
        <f>OMEsc</f>
        <v>0.02</v>
      </c>
      <c r="E378" s="325"/>
      <c r="G378" s="36" t="s">
        <v>276</v>
      </c>
      <c r="I378" s="39"/>
      <c r="K378" s="39"/>
      <c r="L378" s="43" t="str">
        <f>"["&amp;CostBaseYr&amp;" $]"</f>
        <v>[2013 $]</v>
      </c>
      <c r="N378" s="70">
        <f ca="1">SUMIFS(OFFSET(Assumptions!$I$90,0,MATCH($A378,Configurations,0)-1,COUNT(Assumptions!$A$90:$A$183),1),Assumptions!$D$90:$D$183,$B378&amp;$C378)</f>
        <v>0</v>
      </c>
      <c r="O378" s="313"/>
      <c r="P378" s="323"/>
      <c r="Q378" s="313"/>
      <c r="R378" s="50">
        <f t="shared" ca="1" si="266"/>
        <v>0</v>
      </c>
      <c r="S378" s="50">
        <f t="shared" ca="1" si="267"/>
        <v>0</v>
      </c>
      <c r="T378" s="50">
        <f t="shared" ca="1" si="267"/>
        <v>0</v>
      </c>
      <c r="U378" s="50">
        <f t="shared" ca="1" si="267"/>
        <v>0</v>
      </c>
      <c r="V378" s="50">
        <f t="shared" ca="1" si="267"/>
        <v>0</v>
      </c>
      <c r="W378" s="50">
        <f t="shared" ca="1" si="267"/>
        <v>0</v>
      </c>
      <c r="X378" s="50">
        <f t="shared" ca="1" si="267"/>
        <v>0</v>
      </c>
      <c r="Y378" s="50">
        <f t="shared" ca="1" si="267"/>
        <v>0</v>
      </c>
      <c r="Z378" s="50">
        <f t="shared" ca="1" si="267"/>
        <v>0</v>
      </c>
      <c r="AA378" s="50">
        <f t="shared" ca="1" si="267"/>
        <v>0</v>
      </c>
      <c r="AB378" s="50">
        <f t="shared" ca="1" si="267"/>
        <v>0</v>
      </c>
      <c r="AC378" s="50">
        <f t="shared" ca="1" si="267"/>
        <v>0</v>
      </c>
      <c r="AD378" s="50">
        <f t="shared" ca="1" si="267"/>
        <v>0</v>
      </c>
      <c r="AE378" s="50">
        <f t="shared" ca="1" si="267"/>
        <v>0</v>
      </c>
      <c r="AF378" s="50">
        <f t="shared" ca="1" si="267"/>
        <v>0</v>
      </c>
      <c r="AG378" s="50">
        <f t="shared" ca="1" si="267"/>
        <v>0</v>
      </c>
      <c r="AH378" s="50">
        <f t="shared" ca="1" si="267"/>
        <v>0</v>
      </c>
      <c r="AI378" s="50">
        <f t="shared" ca="1" si="267"/>
        <v>0</v>
      </c>
      <c r="AJ378" s="50">
        <f t="shared" ca="1" si="267"/>
        <v>0</v>
      </c>
      <c r="AK378" s="50">
        <f t="shared" ca="1" si="267"/>
        <v>0</v>
      </c>
      <c r="AL378" s="50">
        <f t="shared" si="267"/>
        <v>0</v>
      </c>
      <c r="AM378" s="50">
        <f t="shared" si="267"/>
        <v>0</v>
      </c>
      <c r="AN378" s="50">
        <f t="shared" si="267"/>
        <v>0</v>
      </c>
      <c r="AO378" s="50">
        <f t="shared" si="267"/>
        <v>0</v>
      </c>
      <c r="AP378" s="50">
        <f t="shared" si="267"/>
        <v>0</v>
      </c>
      <c r="AQ378" s="50">
        <f t="shared" si="267"/>
        <v>0</v>
      </c>
      <c r="AR378" s="50">
        <f t="shared" si="267"/>
        <v>0</v>
      </c>
      <c r="AS378" s="50">
        <f t="shared" si="267"/>
        <v>0</v>
      </c>
      <c r="AT378" s="50">
        <f t="shared" si="267"/>
        <v>0</v>
      </c>
      <c r="AU378" s="50">
        <f t="shared" si="267"/>
        <v>0</v>
      </c>
    </row>
    <row r="379" spans="1:47">
      <c r="A379" s="38" t="str">
        <f t="shared" si="264"/>
        <v>4Y-</v>
      </c>
      <c r="B379" s="38" t="s">
        <v>274</v>
      </c>
      <c r="C379" s="38" t="str">
        <f t="shared" si="268"/>
        <v>Gravity Thickener</v>
      </c>
      <c r="D379" s="186"/>
      <c r="E379" s="325"/>
      <c r="G379" s="36" t="s">
        <v>16</v>
      </c>
      <c r="I379" s="39"/>
      <c r="K379" s="39"/>
      <c r="L379" s="43" t="s">
        <v>275</v>
      </c>
      <c r="N379" s="70">
        <f ca="1">SUMIFS(OFFSET(Assumptions!$I$90,0,MATCH($A379,Configurations,0)-1,COUNT(Assumptions!$A$90:$A$183),1),Assumptions!$D$90:$D$183,$B379&amp;$C379)</f>
        <v>0</v>
      </c>
      <c r="O379" s="313"/>
      <c r="P379" s="323"/>
      <c r="Q379" s="313"/>
      <c r="R379" s="50">
        <f t="shared" ref="R379:AU379" ca="1" si="269">IF(OR(R$99&lt;InServiceYr,R$99&gt;(InServiceYr+analysis_period-1)),0,IF($P379=0,$N379,$P379)*R$505)</f>
        <v>0</v>
      </c>
      <c r="S379" s="50">
        <f t="shared" ca="1" si="269"/>
        <v>0</v>
      </c>
      <c r="T379" s="50">
        <f t="shared" ca="1" si="269"/>
        <v>0</v>
      </c>
      <c r="U379" s="50">
        <f t="shared" ca="1" si="269"/>
        <v>0</v>
      </c>
      <c r="V379" s="50">
        <f t="shared" ca="1" si="269"/>
        <v>0</v>
      </c>
      <c r="W379" s="50">
        <f t="shared" ca="1" si="269"/>
        <v>0</v>
      </c>
      <c r="X379" s="50">
        <f t="shared" ca="1" si="269"/>
        <v>0</v>
      </c>
      <c r="Y379" s="50">
        <f t="shared" ca="1" si="269"/>
        <v>0</v>
      </c>
      <c r="Z379" s="50">
        <f t="shared" ca="1" si="269"/>
        <v>0</v>
      </c>
      <c r="AA379" s="50">
        <f t="shared" ca="1" si="269"/>
        <v>0</v>
      </c>
      <c r="AB379" s="50">
        <f t="shared" ca="1" si="269"/>
        <v>0</v>
      </c>
      <c r="AC379" s="50">
        <f t="shared" ca="1" si="269"/>
        <v>0</v>
      </c>
      <c r="AD379" s="50">
        <f t="shared" ca="1" si="269"/>
        <v>0</v>
      </c>
      <c r="AE379" s="50">
        <f t="shared" ca="1" si="269"/>
        <v>0</v>
      </c>
      <c r="AF379" s="50">
        <f t="shared" ca="1" si="269"/>
        <v>0</v>
      </c>
      <c r="AG379" s="50">
        <f t="shared" ca="1" si="269"/>
        <v>0</v>
      </c>
      <c r="AH379" s="50">
        <f t="shared" ca="1" si="269"/>
        <v>0</v>
      </c>
      <c r="AI379" s="50">
        <f t="shared" ca="1" si="269"/>
        <v>0</v>
      </c>
      <c r="AJ379" s="50">
        <f t="shared" ca="1" si="269"/>
        <v>0</v>
      </c>
      <c r="AK379" s="50">
        <f t="shared" ca="1" si="269"/>
        <v>0</v>
      </c>
      <c r="AL379" s="50">
        <f t="shared" si="269"/>
        <v>0</v>
      </c>
      <c r="AM379" s="50">
        <f t="shared" si="269"/>
        <v>0</v>
      </c>
      <c r="AN379" s="50">
        <f t="shared" si="269"/>
        <v>0</v>
      </c>
      <c r="AO379" s="50">
        <f t="shared" si="269"/>
        <v>0</v>
      </c>
      <c r="AP379" s="50">
        <f t="shared" si="269"/>
        <v>0</v>
      </c>
      <c r="AQ379" s="50">
        <f t="shared" si="269"/>
        <v>0</v>
      </c>
      <c r="AR379" s="50">
        <f t="shared" si="269"/>
        <v>0</v>
      </c>
      <c r="AS379" s="50">
        <f t="shared" si="269"/>
        <v>0</v>
      </c>
      <c r="AT379" s="50">
        <f t="shared" si="269"/>
        <v>0</v>
      </c>
      <c r="AU379" s="50">
        <f t="shared" si="269"/>
        <v>0</v>
      </c>
    </row>
    <row r="380" spans="1:47">
      <c r="A380" s="38" t="str">
        <f t="shared" si="264"/>
        <v>4Y-</v>
      </c>
      <c r="B380" s="38" t="s">
        <v>257</v>
      </c>
      <c r="C380" s="38" t="str">
        <f t="shared" si="268"/>
        <v>Gravity Thickener</v>
      </c>
      <c r="D380" s="186"/>
      <c r="E380" s="325"/>
      <c r="G380" s="36" t="s">
        <v>284</v>
      </c>
      <c r="I380" s="39"/>
      <c r="K380" s="39"/>
      <c r="L380" s="43" t="s">
        <v>293</v>
      </c>
      <c r="N380" s="70">
        <f ca="1">SUMIFS(OFFSET(Assumptions!$I$90,0,MATCH($A380,Configurations,0)-1,COUNT(Assumptions!$A$90:$A$183),1),Assumptions!$D$90:$D$183,$B380&amp;$C380)</f>
        <v>9130</v>
      </c>
      <c r="O380" s="313"/>
      <c r="P380" s="323"/>
      <c r="Q380" s="313"/>
      <c r="R380" s="50">
        <f t="shared" ref="R380:AU380" ca="1" si="270">IF(OR(R$99&lt;InServiceYr,R$99&gt;(InServiceYr+analysis_period-1)),0,IF($P380=0,$N380,$P380)*R$501)</f>
        <v>589.62960685312089</v>
      </c>
      <c r="S380" s="50">
        <f t="shared" ca="1" si="270"/>
        <v>593.30508145131967</v>
      </c>
      <c r="T380" s="50">
        <f t="shared" ca="1" si="270"/>
        <v>618.8824288027929</v>
      </c>
      <c r="U380" s="50">
        <f t="shared" ca="1" si="270"/>
        <v>637.44735300747732</v>
      </c>
      <c r="V380" s="50">
        <f t="shared" ca="1" si="270"/>
        <v>652.82966541336077</v>
      </c>
      <c r="W380" s="50">
        <f t="shared" ca="1" si="270"/>
        <v>661.18149994980945</v>
      </c>
      <c r="X380" s="50">
        <f t="shared" ca="1" si="270"/>
        <v>671.9405582050872</v>
      </c>
      <c r="Y380" s="50">
        <f t="shared" ca="1" si="270"/>
        <v>688.49580500630339</v>
      </c>
      <c r="Z380" s="50">
        <f t="shared" ca="1" si="270"/>
        <v>704.97886404576855</v>
      </c>
      <c r="AA380" s="50">
        <f t="shared" ca="1" si="270"/>
        <v>722.60506718820102</v>
      </c>
      <c r="AB380" s="50">
        <f t="shared" ca="1" si="270"/>
        <v>738.25655060566726</v>
      </c>
      <c r="AC380" s="50">
        <f t="shared" ca="1" si="270"/>
        <v>752.47268357279404</v>
      </c>
      <c r="AD380" s="50">
        <f t="shared" ca="1" si="270"/>
        <v>769.85464989819411</v>
      </c>
      <c r="AE380" s="50">
        <f t="shared" ca="1" si="270"/>
        <v>787.40091419967064</v>
      </c>
      <c r="AF380" s="50">
        <f t="shared" ca="1" si="270"/>
        <v>806.12263433188411</v>
      </c>
      <c r="AG380" s="50">
        <f t="shared" ca="1" si="270"/>
        <v>827.09537370320834</v>
      </c>
      <c r="AH380" s="50">
        <f t="shared" ca="1" si="270"/>
        <v>847.36537968879384</v>
      </c>
      <c r="AI380" s="50">
        <f t="shared" ca="1" si="270"/>
        <v>869.34737805601719</v>
      </c>
      <c r="AJ380" s="50">
        <f t="shared" ca="1" si="270"/>
        <v>892.61851474898162</v>
      </c>
      <c r="AK380" s="50">
        <f t="shared" ca="1" si="270"/>
        <v>916.90065365244516</v>
      </c>
      <c r="AL380" s="50">
        <f t="shared" si="270"/>
        <v>0</v>
      </c>
      <c r="AM380" s="50">
        <f t="shared" si="270"/>
        <v>0</v>
      </c>
      <c r="AN380" s="50">
        <f t="shared" si="270"/>
        <v>0</v>
      </c>
      <c r="AO380" s="50">
        <f t="shared" si="270"/>
        <v>0</v>
      </c>
      <c r="AP380" s="50">
        <f t="shared" si="270"/>
        <v>0</v>
      </c>
      <c r="AQ380" s="50">
        <f t="shared" si="270"/>
        <v>0</v>
      </c>
      <c r="AR380" s="50">
        <f t="shared" si="270"/>
        <v>0</v>
      </c>
      <c r="AS380" s="50">
        <f t="shared" si="270"/>
        <v>0</v>
      </c>
      <c r="AT380" s="50">
        <f t="shared" si="270"/>
        <v>0</v>
      </c>
      <c r="AU380" s="50">
        <f t="shared" si="270"/>
        <v>0</v>
      </c>
    </row>
    <row r="381" spans="1:47">
      <c r="A381" s="38" t="str">
        <f t="shared" si="264"/>
        <v>4Y-</v>
      </c>
      <c r="B381" s="38" t="s">
        <v>864</v>
      </c>
      <c r="C381" s="38" t="str">
        <f t="shared" si="268"/>
        <v>Gravity Thickener</v>
      </c>
      <c r="D381" s="186">
        <f>GHGEsc</f>
        <v>0.02</v>
      </c>
      <c r="E381" s="325"/>
      <c r="G381" s="36" t="s">
        <v>865</v>
      </c>
      <c r="I381" s="39"/>
      <c r="K381" s="39"/>
      <c r="L381" s="43" t="s">
        <v>866</v>
      </c>
      <c r="N381" s="70">
        <f ca="1">SUMIFS(OFFSET(Assumptions!$I$90,0,MATCH($A381,Configurations,0)-1,COUNT(Assumptions!$A$90:$A$183),1),Assumptions!$D$90:$D$183,$B381&amp;$C381)</f>
        <v>0</v>
      </c>
      <c r="O381" s="313"/>
      <c r="P381" s="323"/>
      <c r="Q381" s="313"/>
      <c r="R381" s="50">
        <f t="shared" ref="R381:AU381" ca="1" si="271">IF(OR(R$99&lt;InServiceYr,R$99&gt;(InServiceYr+analysis_period-1)),0,IF($P381=0,$N381,$P381)*R$513)</f>
        <v>0</v>
      </c>
      <c r="S381" s="50">
        <f t="shared" ca="1" si="271"/>
        <v>0</v>
      </c>
      <c r="T381" s="50">
        <f t="shared" ca="1" si="271"/>
        <v>0</v>
      </c>
      <c r="U381" s="50">
        <f t="shared" ca="1" si="271"/>
        <v>0</v>
      </c>
      <c r="V381" s="50">
        <f t="shared" ca="1" si="271"/>
        <v>0</v>
      </c>
      <c r="W381" s="50">
        <f t="shared" ca="1" si="271"/>
        <v>0</v>
      </c>
      <c r="X381" s="50">
        <f t="shared" ca="1" si="271"/>
        <v>0</v>
      </c>
      <c r="Y381" s="50">
        <f t="shared" ca="1" si="271"/>
        <v>0</v>
      </c>
      <c r="Z381" s="50">
        <f t="shared" ca="1" si="271"/>
        <v>0</v>
      </c>
      <c r="AA381" s="50">
        <f t="shared" ca="1" si="271"/>
        <v>0</v>
      </c>
      <c r="AB381" s="50">
        <f t="shared" ca="1" si="271"/>
        <v>0</v>
      </c>
      <c r="AC381" s="50">
        <f t="shared" ca="1" si="271"/>
        <v>0</v>
      </c>
      <c r="AD381" s="50">
        <f t="shared" ca="1" si="271"/>
        <v>0</v>
      </c>
      <c r="AE381" s="50">
        <f t="shared" ca="1" si="271"/>
        <v>0</v>
      </c>
      <c r="AF381" s="50">
        <f t="shared" ca="1" si="271"/>
        <v>0</v>
      </c>
      <c r="AG381" s="50">
        <f t="shared" ca="1" si="271"/>
        <v>0</v>
      </c>
      <c r="AH381" s="50">
        <f t="shared" ca="1" si="271"/>
        <v>0</v>
      </c>
      <c r="AI381" s="50">
        <f t="shared" ca="1" si="271"/>
        <v>0</v>
      </c>
      <c r="AJ381" s="50">
        <f t="shared" ca="1" si="271"/>
        <v>0</v>
      </c>
      <c r="AK381" s="50">
        <f t="shared" ca="1" si="271"/>
        <v>0</v>
      </c>
      <c r="AL381" s="50">
        <f t="shared" si="271"/>
        <v>0</v>
      </c>
      <c r="AM381" s="50">
        <f t="shared" si="271"/>
        <v>0</v>
      </c>
      <c r="AN381" s="50">
        <f t="shared" si="271"/>
        <v>0</v>
      </c>
      <c r="AO381" s="50">
        <f t="shared" si="271"/>
        <v>0</v>
      </c>
      <c r="AP381" s="50">
        <f t="shared" si="271"/>
        <v>0</v>
      </c>
      <c r="AQ381" s="50">
        <f t="shared" si="271"/>
        <v>0</v>
      </c>
      <c r="AR381" s="50">
        <f t="shared" si="271"/>
        <v>0</v>
      </c>
      <c r="AS381" s="50">
        <f t="shared" si="271"/>
        <v>0</v>
      </c>
      <c r="AT381" s="50">
        <f t="shared" si="271"/>
        <v>0</v>
      </c>
      <c r="AU381" s="50">
        <f t="shared" si="271"/>
        <v>0</v>
      </c>
    </row>
    <row r="382" spans="1:47">
      <c r="A382" s="38" t="str">
        <f t="shared" si="264"/>
        <v>4Y-</v>
      </c>
      <c r="B382" s="38" t="s">
        <v>273</v>
      </c>
      <c r="C382" s="38" t="str">
        <f>C380</f>
        <v>Gravity Thickener</v>
      </c>
      <c r="D382" s="186">
        <f>LaborEsc</f>
        <v>0.02</v>
      </c>
      <c r="E382" s="325"/>
      <c r="G382" s="36" t="s">
        <v>291</v>
      </c>
      <c r="I382" s="39"/>
      <c r="K382" s="39"/>
      <c r="L382" s="43" t="str">
        <f>"["&amp;CostBaseYr&amp;" $]"</f>
        <v>[2013 $]</v>
      </c>
      <c r="N382" s="70">
        <f ca="1">SUMIFS(OFFSET(Assumptions!$I$90,0,MATCH($A382,Configurations,0)-1,COUNT(Assumptions!$A$90:$A$183),1),Assumptions!$D$90:$D$183,$B382&amp;$C382)</f>
        <v>0</v>
      </c>
      <c r="O382" s="313"/>
      <c r="P382" s="323"/>
      <c r="Q382" s="313"/>
      <c r="R382" s="50">
        <f t="shared" ref="R382:AU382" ca="1" si="272">IF(OR(R$99&lt;InServiceYr,R$99&gt;(InServiceYr+analysis_period-1)),0,IF($P382=0,$N382,$P382)*(1+$D382)^(R$99-CostBaseYr))*R$509</f>
        <v>0</v>
      </c>
      <c r="S382" s="50">
        <f t="shared" ca="1" si="272"/>
        <v>0</v>
      </c>
      <c r="T382" s="50">
        <f t="shared" ca="1" si="272"/>
        <v>0</v>
      </c>
      <c r="U382" s="50">
        <f t="shared" ca="1" si="272"/>
        <v>0</v>
      </c>
      <c r="V382" s="50">
        <f t="shared" ca="1" si="272"/>
        <v>0</v>
      </c>
      <c r="W382" s="50">
        <f t="shared" ca="1" si="272"/>
        <v>0</v>
      </c>
      <c r="X382" s="50">
        <f t="shared" ca="1" si="272"/>
        <v>0</v>
      </c>
      <c r="Y382" s="50">
        <f t="shared" ca="1" si="272"/>
        <v>0</v>
      </c>
      <c r="Z382" s="50">
        <f t="shared" ca="1" si="272"/>
        <v>0</v>
      </c>
      <c r="AA382" s="50">
        <f t="shared" ca="1" si="272"/>
        <v>0</v>
      </c>
      <c r="AB382" s="50">
        <f t="shared" ca="1" si="272"/>
        <v>0</v>
      </c>
      <c r="AC382" s="50">
        <f t="shared" ca="1" si="272"/>
        <v>0</v>
      </c>
      <c r="AD382" s="50">
        <f t="shared" ca="1" si="272"/>
        <v>0</v>
      </c>
      <c r="AE382" s="50">
        <f t="shared" ca="1" si="272"/>
        <v>0</v>
      </c>
      <c r="AF382" s="50">
        <f t="shared" ca="1" si="272"/>
        <v>0</v>
      </c>
      <c r="AG382" s="50">
        <f t="shared" ca="1" si="272"/>
        <v>0</v>
      </c>
      <c r="AH382" s="50">
        <f t="shared" ca="1" si="272"/>
        <v>0</v>
      </c>
      <c r="AI382" s="50">
        <f t="shared" ca="1" si="272"/>
        <v>0</v>
      </c>
      <c r="AJ382" s="50">
        <f t="shared" ca="1" si="272"/>
        <v>0</v>
      </c>
      <c r="AK382" s="50">
        <f t="shared" ca="1" si="272"/>
        <v>0</v>
      </c>
      <c r="AL382" s="50">
        <f t="shared" si="272"/>
        <v>0</v>
      </c>
      <c r="AM382" s="50">
        <f t="shared" si="272"/>
        <v>0</v>
      </c>
      <c r="AN382" s="50">
        <f t="shared" si="272"/>
        <v>0</v>
      </c>
      <c r="AO382" s="50">
        <f t="shared" si="272"/>
        <v>0</v>
      </c>
      <c r="AP382" s="50">
        <f t="shared" si="272"/>
        <v>0</v>
      </c>
      <c r="AQ382" s="50">
        <f t="shared" si="272"/>
        <v>0</v>
      </c>
      <c r="AR382" s="50">
        <f t="shared" si="272"/>
        <v>0</v>
      </c>
      <c r="AS382" s="50">
        <f t="shared" si="272"/>
        <v>0</v>
      </c>
      <c r="AT382" s="50">
        <f t="shared" si="272"/>
        <v>0</v>
      </c>
      <c r="AU382" s="50">
        <f t="shared" si="272"/>
        <v>0</v>
      </c>
    </row>
    <row r="383" spans="1:47">
      <c r="D383" s="186"/>
      <c r="E383" s="325"/>
      <c r="G383" s="39" t="s">
        <v>304</v>
      </c>
      <c r="I383" s="39"/>
      <c r="K383" s="39"/>
      <c r="L383" s="43"/>
      <c r="N383" s="70"/>
      <c r="O383" s="313"/>
      <c r="P383" s="70"/>
      <c r="Q383" s="313"/>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row>
    <row r="384" spans="1:47">
      <c r="A384" s="38" t="str">
        <f>$J$4&amp;"-"</f>
        <v>4Y-</v>
      </c>
      <c r="B384" s="38" t="s">
        <v>265</v>
      </c>
      <c r="C384" s="38" t="str">
        <f>C375</f>
        <v>Gravity Thickener</v>
      </c>
      <c r="D384" s="186"/>
      <c r="E384" s="325"/>
      <c r="G384" s="36" t="s">
        <v>108</v>
      </c>
      <c r="I384" s="39"/>
      <c r="K384" s="39"/>
      <c r="L384" s="43" t="s">
        <v>293</v>
      </c>
      <c r="N384" s="70">
        <f ca="1">SUMIFS(OFFSET(Assumptions!$I$90,0,MATCH($A384,Configurations,0)-1,COUNT(Assumptions!$A$90:$A$183),1),Assumptions!$D$90:$D$183,$B384&amp;$C384)</f>
        <v>0</v>
      </c>
      <c r="O384" s="313"/>
      <c r="P384" s="323"/>
      <c r="Q384" s="313"/>
      <c r="R384" s="50">
        <f t="shared" ref="R384:AU384" ca="1" si="273">IF(OR(R$99&lt;InServiceYr,R$99&gt;(InServiceYr+analysis_period-1)),0,IF($P384=0,$N384,$P384)*R$501)</f>
        <v>0</v>
      </c>
      <c r="S384" s="50">
        <f t="shared" ca="1" si="273"/>
        <v>0</v>
      </c>
      <c r="T384" s="50">
        <f t="shared" ca="1" si="273"/>
        <v>0</v>
      </c>
      <c r="U384" s="50">
        <f t="shared" ca="1" si="273"/>
        <v>0</v>
      </c>
      <c r="V384" s="50">
        <f t="shared" ca="1" si="273"/>
        <v>0</v>
      </c>
      <c r="W384" s="50">
        <f t="shared" ca="1" si="273"/>
        <v>0</v>
      </c>
      <c r="X384" s="50">
        <f t="shared" ca="1" si="273"/>
        <v>0</v>
      </c>
      <c r="Y384" s="50">
        <f t="shared" ca="1" si="273"/>
        <v>0</v>
      </c>
      <c r="Z384" s="50">
        <f t="shared" ca="1" si="273"/>
        <v>0</v>
      </c>
      <c r="AA384" s="50">
        <f t="shared" ca="1" si="273"/>
        <v>0</v>
      </c>
      <c r="AB384" s="50">
        <f t="shared" ca="1" si="273"/>
        <v>0</v>
      </c>
      <c r="AC384" s="50">
        <f t="shared" ca="1" si="273"/>
        <v>0</v>
      </c>
      <c r="AD384" s="50">
        <f t="shared" ca="1" si="273"/>
        <v>0</v>
      </c>
      <c r="AE384" s="50">
        <f t="shared" ca="1" si="273"/>
        <v>0</v>
      </c>
      <c r="AF384" s="50">
        <f t="shared" ca="1" si="273"/>
        <v>0</v>
      </c>
      <c r="AG384" s="50">
        <f t="shared" ca="1" si="273"/>
        <v>0</v>
      </c>
      <c r="AH384" s="50">
        <f t="shared" ca="1" si="273"/>
        <v>0</v>
      </c>
      <c r="AI384" s="50">
        <f t="shared" ca="1" si="273"/>
        <v>0</v>
      </c>
      <c r="AJ384" s="50">
        <f t="shared" ca="1" si="273"/>
        <v>0</v>
      </c>
      <c r="AK384" s="50">
        <f t="shared" ca="1" si="273"/>
        <v>0</v>
      </c>
      <c r="AL384" s="50">
        <f t="shared" si="273"/>
        <v>0</v>
      </c>
      <c r="AM384" s="50">
        <f t="shared" si="273"/>
        <v>0</v>
      </c>
      <c r="AN384" s="50">
        <f t="shared" si="273"/>
        <v>0</v>
      </c>
      <c r="AO384" s="50">
        <f t="shared" si="273"/>
        <v>0</v>
      </c>
      <c r="AP384" s="50">
        <f t="shared" si="273"/>
        <v>0</v>
      </c>
      <c r="AQ384" s="50">
        <f t="shared" si="273"/>
        <v>0</v>
      </c>
      <c r="AR384" s="50">
        <f t="shared" si="273"/>
        <v>0</v>
      </c>
      <c r="AS384" s="50">
        <f t="shared" si="273"/>
        <v>0</v>
      </c>
      <c r="AT384" s="50">
        <f t="shared" si="273"/>
        <v>0</v>
      </c>
      <c r="AU384" s="50">
        <f t="shared" si="273"/>
        <v>0</v>
      </c>
    </row>
    <row r="385" spans="1:47">
      <c r="A385" s="38" t="str">
        <f>$J$4&amp;"-"</f>
        <v>4Y-</v>
      </c>
      <c r="B385" s="38" t="s">
        <v>289</v>
      </c>
      <c r="C385" s="38" t="str">
        <f>C375</f>
        <v>Gravity Thickener</v>
      </c>
      <c r="D385" s="186">
        <f>LaborEsc</f>
        <v>0.02</v>
      </c>
      <c r="E385" s="325"/>
      <c r="G385" s="36" t="s">
        <v>292</v>
      </c>
      <c r="I385" s="39"/>
      <c r="K385" s="39"/>
      <c r="L385" s="43" t="str">
        <f>"["&amp;CostBaseYr&amp;" $]"</f>
        <v>[2013 $]</v>
      </c>
      <c r="N385" s="70">
        <f ca="1">SUMIFS(OFFSET(Assumptions!$I$90,0,MATCH($A385,Configurations,0)-1,COUNT(Assumptions!$A$90:$A$183),1),Assumptions!$D$90:$D$183,$B385&amp;$C385)</f>
        <v>0</v>
      </c>
      <c r="O385" s="313"/>
      <c r="P385" s="323"/>
      <c r="Q385" s="313"/>
      <c r="R385" s="50">
        <f t="shared" ref="R385:AU385" ca="1" si="274">IF(OR(R$99&lt;InServiceYr,R$99&gt;(InServiceYr+analysis_period-1)),0,IF($P385=0,$N385,$P385)*(1+$D385)^(R$99-CostBaseYr))</f>
        <v>0</v>
      </c>
      <c r="S385" s="50">
        <f t="shared" ca="1" si="274"/>
        <v>0</v>
      </c>
      <c r="T385" s="50">
        <f t="shared" ca="1" si="274"/>
        <v>0</v>
      </c>
      <c r="U385" s="50">
        <f t="shared" ca="1" si="274"/>
        <v>0</v>
      </c>
      <c r="V385" s="50">
        <f t="shared" ca="1" si="274"/>
        <v>0</v>
      </c>
      <c r="W385" s="50">
        <f t="shared" ca="1" si="274"/>
        <v>0</v>
      </c>
      <c r="X385" s="50">
        <f t="shared" ca="1" si="274"/>
        <v>0</v>
      </c>
      <c r="Y385" s="50">
        <f t="shared" ca="1" si="274"/>
        <v>0</v>
      </c>
      <c r="Z385" s="50">
        <f t="shared" ca="1" si="274"/>
        <v>0</v>
      </c>
      <c r="AA385" s="50">
        <f t="shared" ca="1" si="274"/>
        <v>0</v>
      </c>
      <c r="AB385" s="50">
        <f t="shared" ca="1" si="274"/>
        <v>0</v>
      </c>
      <c r="AC385" s="50">
        <f t="shared" ca="1" si="274"/>
        <v>0</v>
      </c>
      <c r="AD385" s="50">
        <f t="shared" ca="1" si="274"/>
        <v>0</v>
      </c>
      <c r="AE385" s="50">
        <f t="shared" ca="1" si="274"/>
        <v>0</v>
      </c>
      <c r="AF385" s="50">
        <f t="shared" ca="1" si="274"/>
        <v>0</v>
      </c>
      <c r="AG385" s="50">
        <f t="shared" ca="1" si="274"/>
        <v>0</v>
      </c>
      <c r="AH385" s="50">
        <f t="shared" ca="1" si="274"/>
        <v>0</v>
      </c>
      <c r="AI385" s="50">
        <f t="shared" ca="1" si="274"/>
        <v>0</v>
      </c>
      <c r="AJ385" s="50">
        <f t="shared" ca="1" si="274"/>
        <v>0</v>
      </c>
      <c r="AK385" s="50">
        <f t="shared" ca="1" si="274"/>
        <v>0</v>
      </c>
      <c r="AL385" s="50">
        <f t="shared" si="274"/>
        <v>0</v>
      </c>
      <c r="AM385" s="50">
        <f t="shared" si="274"/>
        <v>0</v>
      </c>
      <c r="AN385" s="50">
        <f t="shared" si="274"/>
        <v>0</v>
      </c>
      <c r="AO385" s="50">
        <f t="shared" si="274"/>
        <v>0</v>
      </c>
      <c r="AP385" s="50">
        <f t="shared" si="274"/>
        <v>0</v>
      </c>
      <c r="AQ385" s="50">
        <f t="shared" si="274"/>
        <v>0</v>
      </c>
      <c r="AR385" s="50">
        <f t="shared" si="274"/>
        <v>0</v>
      </c>
      <c r="AS385" s="50">
        <f t="shared" si="274"/>
        <v>0</v>
      </c>
      <c r="AT385" s="50">
        <f t="shared" si="274"/>
        <v>0</v>
      </c>
      <c r="AU385" s="50">
        <f t="shared" si="274"/>
        <v>0</v>
      </c>
    </row>
    <row r="386" spans="1:47" s="60" customFormat="1">
      <c r="D386" s="187"/>
      <c r="E386" s="325"/>
      <c r="G386" s="39" t="s">
        <v>305</v>
      </c>
      <c r="I386" s="39"/>
      <c r="K386" s="39"/>
      <c r="L386" s="174"/>
      <c r="N386" s="188"/>
      <c r="O386" s="314"/>
      <c r="P386" s="185"/>
      <c r="Q386" s="314"/>
      <c r="R386" s="185">
        <f ca="1">SUM(R375:R382)-SUM(R384:R385)</f>
        <v>62911.629606853123</v>
      </c>
      <c r="S386" s="185">
        <f t="shared" ref="S386:AU386" ca="1" si="275">SUM(S375:S382)-SUM(S384:S385)</f>
        <v>64161.745081451321</v>
      </c>
      <c r="T386" s="185">
        <f t="shared" ca="1" si="275"/>
        <v>65458.691228802789</v>
      </c>
      <c r="U386" s="185">
        <f t="shared" ca="1" si="275"/>
        <v>66774.052329007478</v>
      </c>
      <c r="V386" s="185">
        <f t="shared" ca="1" si="275"/>
        <v>68112.16674093336</v>
      </c>
      <c r="W386" s="185">
        <f t="shared" ca="1" si="275"/>
        <v>69469.705316980224</v>
      </c>
      <c r="X386" s="185">
        <f t="shared" ca="1" si="275"/>
        <v>70856.634851576076</v>
      </c>
      <c r="Y386" s="185">
        <f t="shared" ca="1" si="275"/>
        <v>72276.88398424472</v>
      </c>
      <c r="Z386" s="185">
        <f t="shared" ca="1" si="275"/>
        <v>73725.134806868969</v>
      </c>
      <c r="AA386" s="185">
        <f t="shared" ca="1" si="275"/>
        <v>75203.164128867851</v>
      </c>
      <c r="AB386" s="185">
        <f t="shared" ca="1" si="275"/>
        <v>76708.426793518913</v>
      </c>
      <c r="AC386" s="185">
        <f t="shared" ca="1" si="275"/>
        <v>78242.046331344303</v>
      </c>
      <c r="AD386" s="185">
        <f t="shared" ca="1" si="275"/>
        <v>79809.219770625132</v>
      </c>
      <c r="AE386" s="185">
        <f t="shared" ca="1" si="275"/>
        <v>81407.55333734116</v>
      </c>
      <c r="AF386" s="185">
        <f t="shared" ca="1" si="275"/>
        <v>83038.678105936182</v>
      </c>
      <c r="AG386" s="185">
        <f t="shared" ca="1" si="275"/>
        <v>84704.301954739611</v>
      </c>
      <c r="AH386" s="185">
        <f t="shared" ca="1" si="275"/>
        <v>86402.116092345925</v>
      </c>
      <c r="AI386" s="185">
        <f t="shared" ca="1" si="275"/>
        <v>88135.193104966282</v>
      </c>
      <c r="AJ386" s="185">
        <f t="shared" ca="1" si="275"/>
        <v>89903.781156197452</v>
      </c>
      <c r="AK386" s="185">
        <f t="shared" ca="1" si="275"/>
        <v>91708.286547929878</v>
      </c>
      <c r="AL386" s="185">
        <f t="shared" si="275"/>
        <v>0</v>
      </c>
      <c r="AM386" s="185">
        <f t="shared" si="275"/>
        <v>0</v>
      </c>
      <c r="AN386" s="185">
        <f t="shared" si="275"/>
        <v>0</v>
      </c>
      <c r="AO386" s="185">
        <f t="shared" si="275"/>
        <v>0</v>
      </c>
      <c r="AP386" s="185">
        <f t="shared" si="275"/>
        <v>0</v>
      </c>
      <c r="AQ386" s="185">
        <f t="shared" si="275"/>
        <v>0</v>
      </c>
      <c r="AR386" s="185">
        <f t="shared" si="275"/>
        <v>0</v>
      </c>
      <c r="AS386" s="185">
        <f t="shared" si="275"/>
        <v>0</v>
      </c>
      <c r="AT386" s="185">
        <f t="shared" si="275"/>
        <v>0</v>
      </c>
      <c r="AU386" s="185">
        <f t="shared" si="275"/>
        <v>0</v>
      </c>
    </row>
    <row r="387" spans="1:47">
      <c r="E387" s="36"/>
      <c r="G387" s="39"/>
      <c r="H387" s="39"/>
      <c r="I387" s="39"/>
      <c r="J387" s="39"/>
      <c r="K387" s="39"/>
    </row>
    <row r="388" spans="1:47">
      <c r="E388" s="327"/>
      <c r="F388" s="28"/>
      <c r="G388" s="324" t="str">
        <f>C390&amp;" Capital Costs"</f>
        <v>Pre-Dewatering  Capital Costs</v>
      </c>
      <c r="H388" s="324"/>
      <c r="I388" s="324"/>
      <c r="J388" s="324"/>
      <c r="K388" s="324"/>
      <c r="L388" s="405" t="s">
        <v>79</v>
      </c>
      <c r="M388" s="256"/>
      <c r="N388" s="325" t="s">
        <v>490</v>
      </c>
      <c r="O388" s="311"/>
      <c r="P388" s="325" t="s">
        <v>491</v>
      </c>
      <c r="Q388" s="310"/>
      <c r="R388" s="325">
        <f>R$8</f>
        <v>2014</v>
      </c>
      <c r="S388" s="325">
        <f t="shared" ref="S388:AU388" si="276">S$8</f>
        <v>2015</v>
      </c>
      <c r="T388" s="325">
        <f t="shared" si="276"/>
        <v>2016</v>
      </c>
      <c r="U388" s="325">
        <f t="shared" si="276"/>
        <v>2017</v>
      </c>
      <c r="V388" s="325">
        <f t="shared" si="276"/>
        <v>2018</v>
      </c>
      <c r="W388" s="325">
        <f t="shared" si="276"/>
        <v>2019</v>
      </c>
      <c r="X388" s="325">
        <f t="shared" si="276"/>
        <v>2020</v>
      </c>
      <c r="Y388" s="325">
        <f t="shared" si="276"/>
        <v>2021</v>
      </c>
      <c r="Z388" s="325">
        <f t="shared" si="276"/>
        <v>2022</v>
      </c>
      <c r="AA388" s="325">
        <f t="shared" si="276"/>
        <v>2023</v>
      </c>
      <c r="AB388" s="325">
        <f t="shared" si="276"/>
        <v>2024</v>
      </c>
      <c r="AC388" s="325">
        <f t="shared" si="276"/>
        <v>2025</v>
      </c>
      <c r="AD388" s="325">
        <f t="shared" si="276"/>
        <v>2026</v>
      </c>
      <c r="AE388" s="325">
        <f t="shared" si="276"/>
        <v>2027</v>
      </c>
      <c r="AF388" s="325">
        <f t="shared" si="276"/>
        <v>2028</v>
      </c>
      <c r="AG388" s="325">
        <f t="shared" si="276"/>
        <v>2029</v>
      </c>
      <c r="AH388" s="325">
        <f t="shared" si="276"/>
        <v>2030</v>
      </c>
      <c r="AI388" s="325">
        <f t="shared" si="276"/>
        <v>2031</v>
      </c>
      <c r="AJ388" s="325">
        <f t="shared" si="276"/>
        <v>2032</v>
      </c>
      <c r="AK388" s="325">
        <f t="shared" si="276"/>
        <v>2033</v>
      </c>
      <c r="AL388" s="325">
        <f t="shared" si="276"/>
        <v>2034</v>
      </c>
      <c r="AM388" s="325">
        <f t="shared" si="276"/>
        <v>2035</v>
      </c>
      <c r="AN388" s="325">
        <f t="shared" si="276"/>
        <v>2036</v>
      </c>
      <c r="AO388" s="325">
        <f t="shared" si="276"/>
        <v>2037</v>
      </c>
      <c r="AP388" s="325">
        <f t="shared" si="276"/>
        <v>2038</v>
      </c>
      <c r="AQ388" s="325">
        <f t="shared" si="276"/>
        <v>2039</v>
      </c>
      <c r="AR388" s="325">
        <f t="shared" si="276"/>
        <v>2040</v>
      </c>
      <c r="AS388" s="325">
        <f t="shared" si="276"/>
        <v>2041</v>
      </c>
      <c r="AT388" s="325">
        <f t="shared" si="276"/>
        <v>2042</v>
      </c>
      <c r="AU388" s="325">
        <f t="shared" si="276"/>
        <v>2043</v>
      </c>
    </row>
    <row r="389" spans="1:47">
      <c r="E389" s="325"/>
      <c r="G389" s="39"/>
      <c r="H389" s="39"/>
      <c r="I389" s="39"/>
      <c r="J389" s="39"/>
      <c r="K389" s="39"/>
    </row>
    <row r="390" spans="1:47">
      <c r="A390" s="38" t="str">
        <f>$J$4&amp;"-"</f>
        <v>4Y-</v>
      </c>
      <c r="B390" s="38" t="s">
        <v>306</v>
      </c>
      <c r="C390" s="38" t="s">
        <v>163</v>
      </c>
      <c r="D390" s="186">
        <f>CapExEsc</f>
        <v>0.03</v>
      </c>
      <c r="E390" s="325"/>
      <c r="G390" s="36" t="s">
        <v>8</v>
      </c>
      <c r="H390" s="39"/>
      <c r="I390" s="39"/>
      <c r="J390" s="70"/>
      <c r="K390" s="39"/>
      <c r="L390" s="43" t="str">
        <f>"["&amp;CostBaseYr&amp;" $]"</f>
        <v>[2013 $]</v>
      </c>
      <c r="N390" s="52">
        <f ca="1">SUMIFS(OFFSET(Assumptions!$I$65,0,MATCH($A390,Configurations,0)-1,COUNT(Assumptions!$A$65:$A$84),1),Assumptions!$E$65:$E$84,$C390)</f>
        <v>0</v>
      </c>
      <c r="O390" s="52"/>
      <c r="P390" s="322"/>
      <c r="Q390" s="52"/>
      <c r="R390" s="52">
        <f t="shared" ref="R390:AU390" ca="1" si="277">R391*IF($P390=0,$N390,$P390)*(1+$D390)^(R$8-CostBaseYr)</f>
        <v>0</v>
      </c>
      <c r="S390" s="52">
        <f t="shared" ca="1" si="277"/>
        <v>0</v>
      </c>
      <c r="T390" s="52">
        <f t="shared" ca="1" si="277"/>
        <v>0</v>
      </c>
      <c r="U390" s="52">
        <f t="shared" ca="1" si="277"/>
        <v>0</v>
      </c>
      <c r="V390" s="52">
        <f t="shared" ca="1" si="277"/>
        <v>0</v>
      </c>
      <c r="W390" s="52">
        <f t="shared" ca="1" si="277"/>
        <v>0</v>
      </c>
      <c r="X390" s="52">
        <f t="shared" ca="1" si="277"/>
        <v>0</v>
      </c>
      <c r="Y390" s="52">
        <f t="shared" ca="1" si="277"/>
        <v>0</v>
      </c>
      <c r="Z390" s="52">
        <f t="shared" ca="1" si="277"/>
        <v>0</v>
      </c>
      <c r="AA390" s="52">
        <f t="shared" ca="1" si="277"/>
        <v>0</v>
      </c>
      <c r="AB390" s="52">
        <f t="shared" ca="1" si="277"/>
        <v>0</v>
      </c>
      <c r="AC390" s="52">
        <f t="shared" ca="1" si="277"/>
        <v>0</v>
      </c>
      <c r="AD390" s="52">
        <f t="shared" ca="1" si="277"/>
        <v>0</v>
      </c>
      <c r="AE390" s="52">
        <f t="shared" ca="1" si="277"/>
        <v>0</v>
      </c>
      <c r="AF390" s="52">
        <f t="shared" ca="1" si="277"/>
        <v>0</v>
      </c>
      <c r="AG390" s="52">
        <f t="shared" ca="1" si="277"/>
        <v>0</v>
      </c>
      <c r="AH390" s="52">
        <f t="shared" ca="1" si="277"/>
        <v>0</v>
      </c>
      <c r="AI390" s="52">
        <f t="shared" ca="1" si="277"/>
        <v>0</v>
      </c>
      <c r="AJ390" s="52">
        <f t="shared" ca="1" si="277"/>
        <v>0</v>
      </c>
      <c r="AK390" s="52">
        <f t="shared" ca="1" si="277"/>
        <v>0</v>
      </c>
      <c r="AL390" s="52">
        <f t="shared" ca="1" si="277"/>
        <v>0</v>
      </c>
      <c r="AM390" s="52">
        <f t="shared" ca="1" si="277"/>
        <v>0</v>
      </c>
      <c r="AN390" s="52">
        <f t="shared" ca="1" si="277"/>
        <v>0</v>
      </c>
      <c r="AO390" s="52">
        <f t="shared" ca="1" si="277"/>
        <v>0</v>
      </c>
      <c r="AP390" s="52">
        <f t="shared" ca="1" si="277"/>
        <v>0</v>
      </c>
      <c r="AQ390" s="52">
        <f t="shared" ca="1" si="277"/>
        <v>0</v>
      </c>
      <c r="AR390" s="52">
        <f t="shared" ca="1" si="277"/>
        <v>0</v>
      </c>
      <c r="AS390" s="52">
        <f t="shared" ca="1" si="277"/>
        <v>0</v>
      </c>
      <c r="AT390" s="52">
        <f t="shared" ca="1" si="277"/>
        <v>0</v>
      </c>
      <c r="AU390" s="52">
        <f t="shared" ca="1" si="277"/>
        <v>0</v>
      </c>
    </row>
    <row r="391" spans="1:47">
      <c r="E391" s="325"/>
      <c r="G391" s="36" t="s">
        <v>10</v>
      </c>
      <c r="H391" s="39"/>
      <c r="I391" s="39"/>
      <c r="J391" s="39"/>
      <c r="K391" s="39"/>
      <c r="L391" s="43"/>
      <c r="R391" s="54">
        <f>Assumptions!M$60</f>
        <v>1</v>
      </c>
      <c r="S391" s="54">
        <f>Assumptions!N$60</f>
        <v>0</v>
      </c>
      <c r="T391" s="54">
        <f>Assumptions!O$60</f>
        <v>0</v>
      </c>
      <c r="U391" s="54">
        <f>Assumptions!P$60</f>
        <v>0</v>
      </c>
      <c r="V391" s="54">
        <f>Assumptions!Q$60</f>
        <v>0</v>
      </c>
      <c r="W391" s="54">
        <f>Assumptions!R$60</f>
        <v>0</v>
      </c>
      <c r="X391" s="54">
        <f>Assumptions!S$60</f>
        <v>0</v>
      </c>
      <c r="Y391" s="54">
        <f>Assumptions!T$60</f>
        <v>0</v>
      </c>
      <c r="Z391" s="54">
        <f>Assumptions!U$60</f>
        <v>0</v>
      </c>
      <c r="AA391" s="54">
        <f>Assumptions!V$60</f>
        <v>0</v>
      </c>
      <c r="AB391" s="54">
        <f>Assumptions!W$60</f>
        <v>0</v>
      </c>
      <c r="AC391" s="54">
        <f>Assumptions!X$60</f>
        <v>0</v>
      </c>
      <c r="AD391" s="54">
        <f>Assumptions!Y$60</f>
        <v>0</v>
      </c>
      <c r="AE391" s="54">
        <f>Assumptions!Z$60</f>
        <v>0</v>
      </c>
      <c r="AF391" s="54">
        <f>Assumptions!AA$60</f>
        <v>0</v>
      </c>
      <c r="AG391" s="54">
        <f>Assumptions!AB$60</f>
        <v>0</v>
      </c>
      <c r="AH391" s="54">
        <f>Assumptions!AC$60</f>
        <v>0</v>
      </c>
      <c r="AI391" s="54">
        <f>Assumptions!AD$60</f>
        <v>0</v>
      </c>
      <c r="AJ391" s="54">
        <f>Assumptions!AE$60</f>
        <v>0</v>
      </c>
      <c r="AK391" s="54">
        <f>Assumptions!AF$60</f>
        <v>0</v>
      </c>
      <c r="AL391" s="54">
        <f>Assumptions!AG$60</f>
        <v>0</v>
      </c>
      <c r="AM391" s="54">
        <f>Assumptions!AH$60</f>
        <v>0</v>
      </c>
      <c r="AN391" s="54">
        <f>Assumptions!AI$60</f>
        <v>0</v>
      </c>
      <c r="AO391" s="54">
        <f>Assumptions!AJ$60</f>
        <v>0</v>
      </c>
      <c r="AP391" s="54">
        <f>Assumptions!AK$60</f>
        <v>0</v>
      </c>
      <c r="AQ391" s="54">
        <f>Assumptions!AL$60</f>
        <v>0</v>
      </c>
      <c r="AR391" s="54">
        <f>Assumptions!AM$60</f>
        <v>0</v>
      </c>
      <c r="AS391" s="54">
        <f>Assumptions!AN$60</f>
        <v>0</v>
      </c>
      <c r="AT391" s="54">
        <f>Assumptions!AO$60</f>
        <v>0</v>
      </c>
      <c r="AU391" s="54">
        <f>Assumptions!AP$60</f>
        <v>0</v>
      </c>
    </row>
    <row r="392" spans="1:47">
      <c r="E392" s="326"/>
      <c r="G392" s="39"/>
      <c r="H392" s="39"/>
      <c r="I392" s="39"/>
      <c r="J392" s="39"/>
      <c r="K392" s="39"/>
    </row>
    <row r="393" spans="1:47">
      <c r="E393" s="327"/>
      <c r="F393" s="28"/>
      <c r="G393" s="324" t="str">
        <f>C390&amp;" O&amp;M"</f>
        <v>Pre-Dewatering  O&amp;M</v>
      </c>
      <c r="H393" s="324"/>
      <c r="I393" s="324"/>
      <c r="J393" s="324"/>
      <c r="K393" s="324"/>
      <c r="L393" s="405" t="s">
        <v>79</v>
      </c>
      <c r="M393" s="256"/>
      <c r="N393" s="325" t="s">
        <v>490</v>
      </c>
      <c r="O393" s="311"/>
      <c r="P393" s="325" t="s">
        <v>491</v>
      </c>
      <c r="Q393" s="310"/>
      <c r="R393" s="325">
        <f>R$8</f>
        <v>2014</v>
      </c>
      <c r="S393" s="325">
        <f t="shared" ref="S393:AU393" si="278">S$8</f>
        <v>2015</v>
      </c>
      <c r="T393" s="325">
        <f t="shared" si="278"/>
        <v>2016</v>
      </c>
      <c r="U393" s="325">
        <f t="shared" si="278"/>
        <v>2017</v>
      </c>
      <c r="V393" s="325">
        <f t="shared" si="278"/>
        <v>2018</v>
      </c>
      <c r="W393" s="325">
        <f t="shared" si="278"/>
        <v>2019</v>
      </c>
      <c r="X393" s="325">
        <f t="shared" si="278"/>
        <v>2020</v>
      </c>
      <c r="Y393" s="325">
        <f t="shared" si="278"/>
        <v>2021</v>
      </c>
      <c r="Z393" s="325">
        <f t="shared" si="278"/>
        <v>2022</v>
      </c>
      <c r="AA393" s="325">
        <f t="shared" si="278"/>
        <v>2023</v>
      </c>
      <c r="AB393" s="325">
        <f t="shared" si="278"/>
        <v>2024</v>
      </c>
      <c r="AC393" s="325">
        <f t="shared" si="278"/>
        <v>2025</v>
      </c>
      <c r="AD393" s="325">
        <f t="shared" si="278"/>
        <v>2026</v>
      </c>
      <c r="AE393" s="325">
        <f t="shared" si="278"/>
        <v>2027</v>
      </c>
      <c r="AF393" s="325">
        <f t="shared" si="278"/>
        <v>2028</v>
      </c>
      <c r="AG393" s="325">
        <f t="shared" si="278"/>
        <v>2029</v>
      </c>
      <c r="AH393" s="325">
        <f t="shared" si="278"/>
        <v>2030</v>
      </c>
      <c r="AI393" s="325">
        <f t="shared" si="278"/>
        <v>2031</v>
      </c>
      <c r="AJ393" s="325">
        <f t="shared" si="278"/>
        <v>2032</v>
      </c>
      <c r="AK393" s="325">
        <f t="shared" si="278"/>
        <v>2033</v>
      </c>
      <c r="AL393" s="325">
        <f t="shared" si="278"/>
        <v>2034</v>
      </c>
      <c r="AM393" s="325">
        <f t="shared" si="278"/>
        <v>2035</v>
      </c>
      <c r="AN393" s="325">
        <f t="shared" si="278"/>
        <v>2036</v>
      </c>
      <c r="AO393" s="325">
        <f t="shared" si="278"/>
        <v>2037</v>
      </c>
      <c r="AP393" s="325">
        <f t="shared" si="278"/>
        <v>2038</v>
      </c>
      <c r="AQ393" s="325">
        <f t="shared" si="278"/>
        <v>2039</v>
      </c>
      <c r="AR393" s="325">
        <f t="shared" si="278"/>
        <v>2040</v>
      </c>
      <c r="AS393" s="325">
        <f t="shared" si="278"/>
        <v>2041</v>
      </c>
      <c r="AT393" s="325">
        <f t="shared" si="278"/>
        <v>2042</v>
      </c>
      <c r="AU393" s="325">
        <f t="shared" si="278"/>
        <v>2043</v>
      </c>
    </row>
    <row r="394" spans="1:47">
      <c r="E394" s="325"/>
      <c r="G394" s="39"/>
      <c r="H394" s="39"/>
      <c r="I394" s="39"/>
      <c r="J394" s="39"/>
      <c r="K394" s="39"/>
    </row>
    <row r="395" spans="1:47">
      <c r="E395" s="325"/>
      <c r="G395" s="39" t="s">
        <v>23</v>
      </c>
      <c r="H395" s="39"/>
      <c r="I395" s="39"/>
      <c r="J395" s="39"/>
      <c r="K395" s="39"/>
    </row>
    <row r="396" spans="1:47">
      <c r="A396" s="38" t="str">
        <f t="shared" ref="A396:A403" si="279">$J$4&amp;"-"</f>
        <v>4Y-</v>
      </c>
      <c r="B396" s="38" t="s">
        <v>262</v>
      </c>
      <c r="C396" s="38" t="str">
        <f>C390</f>
        <v xml:space="preserve">Pre-Dewatering </v>
      </c>
      <c r="D396" s="186">
        <f>LaborEsc</f>
        <v>0.02</v>
      </c>
      <c r="E396" s="325"/>
      <c r="G396" s="36" t="s">
        <v>125</v>
      </c>
      <c r="I396" s="39"/>
      <c r="K396" s="39"/>
      <c r="L396" s="43" t="s">
        <v>266</v>
      </c>
      <c r="N396" s="70">
        <f ca="1">SUMIFS(OFFSET(Assumptions!$I$90,0,MATCH($A396,Configurations,0)-1,COUNT(Assumptions!$A$90:$A$183),1),Assumptions!$D$90:$D$183,$B396&amp;$C396)</f>
        <v>0</v>
      </c>
      <c r="O396" s="313"/>
      <c r="P396" s="323"/>
      <c r="Q396" s="313"/>
      <c r="R396" s="50">
        <f t="shared" ref="R396:AU396" ca="1" si="280">IF(OR(R$99&lt;InServiceYr,R$99&gt;(InServiceYr+analysis_period-1)),0,IF($P396=0,$N396,$P396)*LaborCost*(1+$D396)^(R$99-CostBaseYr))</f>
        <v>0</v>
      </c>
      <c r="S396" s="50">
        <f t="shared" ca="1" si="280"/>
        <v>0</v>
      </c>
      <c r="T396" s="50">
        <f t="shared" ca="1" si="280"/>
        <v>0</v>
      </c>
      <c r="U396" s="50">
        <f t="shared" ca="1" si="280"/>
        <v>0</v>
      </c>
      <c r="V396" s="50">
        <f t="shared" ca="1" si="280"/>
        <v>0</v>
      </c>
      <c r="W396" s="50">
        <f t="shared" ca="1" si="280"/>
        <v>0</v>
      </c>
      <c r="X396" s="50">
        <f t="shared" ca="1" si="280"/>
        <v>0</v>
      </c>
      <c r="Y396" s="50">
        <f t="shared" ca="1" si="280"/>
        <v>0</v>
      </c>
      <c r="Z396" s="50">
        <f t="shared" ca="1" si="280"/>
        <v>0</v>
      </c>
      <c r="AA396" s="50">
        <f t="shared" ca="1" si="280"/>
        <v>0</v>
      </c>
      <c r="AB396" s="50">
        <f t="shared" ca="1" si="280"/>
        <v>0</v>
      </c>
      <c r="AC396" s="50">
        <f t="shared" ca="1" si="280"/>
        <v>0</v>
      </c>
      <c r="AD396" s="50">
        <f t="shared" ca="1" si="280"/>
        <v>0</v>
      </c>
      <c r="AE396" s="50">
        <f t="shared" ca="1" si="280"/>
        <v>0</v>
      </c>
      <c r="AF396" s="50">
        <f t="shared" ca="1" si="280"/>
        <v>0</v>
      </c>
      <c r="AG396" s="50">
        <f t="shared" ca="1" si="280"/>
        <v>0</v>
      </c>
      <c r="AH396" s="50">
        <f t="shared" ca="1" si="280"/>
        <v>0</v>
      </c>
      <c r="AI396" s="50">
        <f t="shared" ca="1" si="280"/>
        <v>0</v>
      </c>
      <c r="AJ396" s="50">
        <f t="shared" ca="1" si="280"/>
        <v>0</v>
      </c>
      <c r="AK396" s="50">
        <f t="shared" ca="1" si="280"/>
        <v>0</v>
      </c>
      <c r="AL396" s="50">
        <f t="shared" si="280"/>
        <v>0</v>
      </c>
      <c r="AM396" s="50">
        <f t="shared" si="280"/>
        <v>0</v>
      </c>
      <c r="AN396" s="50">
        <f t="shared" si="280"/>
        <v>0</v>
      </c>
      <c r="AO396" s="50">
        <f t="shared" si="280"/>
        <v>0</v>
      </c>
      <c r="AP396" s="50">
        <f t="shared" si="280"/>
        <v>0</v>
      </c>
      <c r="AQ396" s="50">
        <f t="shared" si="280"/>
        <v>0</v>
      </c>
      <c r="AR396" s="50">
        <f t="shared" si="280"/>
        <v>0</v>
      </c>
      <c r="AS396" s="50">
        <f t="shared" si="280"/>
        <v>0</v>
      </c>
      <c r="AT396" s="50">
        <f t="shared" si="280"/>
        <v>0</v>
      </c>
      <c r="AU396" s="50">
        <f t="shared" si="280"/>
        <v>0</v>
      </c>
    </row>
    <row r="397" spans="1:47">
      <c r="A397" s="38" t="str">
        <f t="shared" si="279"/>
        <v>4Y-</v>
      </c>
      <c r="B397" s="38" t="s">
        <v>270</v>
      </c>
      <c r="C397" s="38" t="str">
        <f>C396</f>
        <v xml:space="preserve">Pre-Dewatering </v>
      </c>
      <c r="D397" s="186">
        <f>OMEsc</f>
        <v>0.02</v>
      </c>
      <c r="E397" s="325"/>
      <c r="G397" s="36" t="s">
        <v>126</v>
      </c>
      <c r="I397" s="39"/>
      <c r="K397" s="39"/>
      <c r="L397" s="43" t="str">
        <f>"["&amp;CostBaseYr&amp;" $]"</f>
        <v>[2013 $]</v>
      </c>
      <c r="N397" s="70">
        <f ca="1">SUMIFS(OFFSET(Assumptions!$I$90,0,MATCH($A397,Configurations,0)-1,COUNT(Assumptions!$A$90:$A$183),1),Assumptions!$D$90:$D$183,$B397&amp;$C397)</f>
        <v>0</v>
      </c>
      <c r="O397" s="313"/>
      <c r="P397" s="323"/>
      <c r="Q397" s="313"/>
      <c r="R397" s="50">
        <f t="shared" ref="R397:AG399" ca="1" si="281">IF(OR(R$99&lt;InServiceYr,R$99&gt;(InServiceYr+analysis_period-1)),0,IF($P397=0,$N397,$P397)*(1+$D397)^(R$99-CostBaseYr))</f>
        <v>0</v>
      </c>
      <c r="S397" s="50">
        <f t="shared" ca="1" si="281"/>
        <v>0</v>
      </c>
      <c r="T397" s="50">
        <f t="shared" ca="1" si="281"/>
        <v>0</v>
      </c>
      <c r="U397" s="50">
        <f t="shared" ca="1" si="281"/>
        <v>0</v>
      </c>
      <c r="V397" s="50">
        <f t="shared" ca="1" si="281"/>
        <v>0</v>
      </c>
      <c r="W397" s="50">
        <f t="shared" ca="1" si="281"/>
        <v>0</v>
      </c>
      <c r="X397" s="50">
        <f t="shared" ca="1" si="281"/>
        <v>0</v>
      </c>
      <c r="Y397" s="50">
        <f t="shared" ca="1" si="281"/>
        <v>0</v>
      </c>
      <c r="Z397" s="50">
        <f t="shared" ca="1" si="281"/>
        <v>0</v>
      </c>
      <c r="AA397" s="50">
        <f t="shared" ca="1" si="281"/>
        <v>0</v>
      </c>
      <c r="AB397" s="50">
        <f t="shared" ca="1" si="281"/>
        <v>0</v>
      </c>
      <c r="AC397" s="50">
        <f t="shared" ca="1" si="281"/>
        <v>0</v>
      </c>
      <c r="AD397" s="50">
        <f t="shared" ca="1" si="281"/>
        <v>0</v>
      </c>
      <c r="AE397" s="50">
        <f t="shared" ca="1" si="281"/>
        <v>0</v>
      </c>
      <c r="AF397" s="50">
        <f t="shared" ca="1" si="281"/>
        <v>0</v>
      </c>
      <c r="AG397" s="50">
        <f t="shared" ca="1" si="281"/>
        <v>0</v>
      </c>
      <c r="AH397" s="50">
        <f t="shared" ref="S397:AU399" ca="1" si="282">IF(OR(AH$99&lt;InServiceYr,AH$99&gt;(InServiceYr+analysis_period-1)),0,IF($P397=0,$N397,$P397)*(1+$D397)^(AH$99-CostBaseYr))</f>
        <v>0</v>
      </c>
      <c r="AI397" s="50">
        <f t="shared" ca="1" si="282"/>
        <v>0</v>
      </c>
      <c r="AJ397" s="50">
        <f t="shared" ca="1" si="282"/>
        <v>0</v>
      </c>
      <c r="AK397" s="50">
        <f t="shared" ca="1" si="282"/>
        <v>0</v>
      </c>
      <c r="AL397" s="50">
        <f t="shared" si="282"/>
        <v>0</v>
      </c>
      <c r="AM397" s="50">
        <f t="shared" si="282"/>
        <v>0</v>
      </c>
      <c r="AN397" s="50">
        <f t="shared" si="282"/>
        <v>0</v>
      </c>
      <c r="AO397" s="50">
        <f t="shared" si="282"/>
        <v>0</v>
      </c>
      <c r="AP397" s="50">
        <f t="shared" si="282"/>
        <v>0</v>
      </c>
      <c r="AQ397" s="50">
        <f t="shared" si="282"/>
        <v>0</v>
      </c>
      <c r="AR397" s="50">
        <f t="shared" si="282"/>
        <v>0</v>
      </c>
      <c r="AS397" s="50">
        <f t="shared" si="282"/>
        <v>0</v>
      </c>
      <c r="AT397" s="50">
        <f t="shared" si="282"/>
        <v>0</v>
      </c>
      <c r="AU397" s="50">
        <f t="shared" si="282"/>
        <v>0</v>
      </c>
    </row>
    <row r="398" spans="1:47">
      <c r="A398" s="38" t="str">
        <f t="shared" si="279"/>
        <v>4Y-</v>
      </c>
      <c r="B398" s="38" t="s">
        <v>263</v>
      </c>
      <c r="C398" s="38" t="str">
        <f t="shared" ref="C398:C402" si="283">C397</f>
        <v xml:space="preserve">Pre-Dewatering </v>
      </c>
      <c r="D398" s="186">
        <f>OMEsc</f>
        <v>0.02</v>
      </c>
      <c r="E398" s="325"/>
      <c r="G398" s="36" t="s">
        <v>127</v>
      </c>
      <c r="I398" s="39"/>
      <c r="K398" s="39"/>
      <c r="L398" s="43" t="str">
        <f>"["&amp;CostBaseYr&amp;" $]"</f>
        <v>[2013 $]</v>
      </c>
      <c r="N398" s="70">
        <f ca="1">SUMIFS(OFFSET(Assumptions!$I$90,0,MATCH($A398,Configurations,0)-1,COUNT(Assumptions!$A$90:$A$183),1),Assumptions!$D$90:$D$183,$B398&amp;$C398)</f>
        <v>0</v>
      </c>
      <c r="O398" s="313"/>
      <c r="P398" s="323"/>
      <c r="Q398" s="313"/>
      <c r="R398" s="50">
        <f t="shared" ca="1" si="281"/>
        <v>0</v>
      </c>
      <c r="S398" s="50">
        <f t="shared" ca="1" si="282"/>
        <v>0</v>
      </c>
      <c r="T398" s="50">
        <f t="shared" ca="1" si="282"/>
        <v>0</v>
      </c>
      <c r="U398" s="50">
        <f t="shared" ca="1" si="282"/>
        <v>0</v>
      </c>
      <c r="V398" s="50">
        <f t="shared" ca="1" si="282"/>
        <v>0</v>
      </c>
      <c r="W398" s="50">
        <f t="shared" ca="1" si="282"/>
        <v>0</v>
      </c>
      <c r="X398" s="50">
        <f t="shared" ca="1" si="282"/>
        <v>0</v>
      </c>
      <c r="Y398" s="50">
        <f t="shared" ca="1" si="282"/>
        <v>0</v>
      </c>
      <c r="Z398" s="50">
        <f t="shared" ca="1" si="282"/>
        <v>0</v>
      </c>
      <c r="AA398" s="50">
        <f t="shared" ca="1" si="282"/>
        <v>0</v>
      </c>
      <c r="AB398" s="50">
        <f t="shared" ca="1" si="282"/>
        <v>0</v>
      </c>
      <c r="AC398" s="50">
        <f t="shared" ca="1" si="282"/>
        <v>0</v>
      </c>
      <c r="AD398" s="50">
        <f t="shared" ca="1" si="282"/>
        <v>0</v>
      </c>
      <c r="AE398" s="50">
        <f t="shared" ca="1" si="282"/>
        <v>0</v>
      </c>
      <c r="AF398" s="50">
        <f t="shared" ca="1" si="282"/>
        <v>0</v>
      </c>
      <c r="AG398" s="50">
        <f t="shared" ca="1" si="282"/>
        <v>0</v>
      </c>
      <c r="AH398" s="50">
        <f t="shared" ca="1" si="282"/>
        <v>0</v>
      </c>
      <c r="AI398" s="50">
        <f t="shared" ca="1" si="282"/>
        <v>0</v>
      </c>
      <c r="AJ398" s="50">
        <f t="shared" ca="1" si="282"/>
        <v>0</v>
      </c>
      <c r="AK398" s="50">
        <f t="shared" ca="1" si="282"/>
        <v>0</v>
      </c>
      <c r="AL398" s="50">
        <f t="shared" si="282"/>
        <v>0</v>
      </c>
      <c r="AM398" s="50">
        <f t="shared" si="282"/>
        <v>0</v>
      </c>
      <c r="AN398" s="50">
        <f t="shared" si="282"/>
        <v>0</v>
      </c>
      <c r="AO398" s="50">
        <f t="shared" si="282"/>
        <v>0</v>
      </c>
      <c r="AP398" s="50">
        <f t="shared" si="282"/>
        <v>0</v>
      </c>
      <c r="AQ398" s="50">
        <f t="shared" si="282"/>
        <v>0</v>
      </c>
      <c r="AR398" s="50">
        <f t="shared" si="282"/>
        <v>0</v>
      </c>
      <c r="AS398" s="50">
        <f t="shared" si="282"/>
        <v>0</v>
      </c>
      <c r="AT398" s="50">
        <f t="shared" si="282"/>
        <v>0</v>
      </c>
      <c r="AU398" s="50">
        <f t="shared" si="282"/>
        <v>0</v>
      </c>
    </row>
    <row r="399" spans="1:47">
      <c r="A399" s="38" t="str">
        <f t="shared" si="279"/>
        <v>4Y-</v>
      </c>
      <c r="B399" s="38" t="s">
        <v>277</v>
      </c>
      <c r="C399" s="38" t="str">
        <f t="shared" si="283"/>
        <v xml:space="preserve">Pre-Dewatering </v>
      </c>
      <c r="D399" s="186">
        <f>OMEsc</f>
        <v>0.02</v>
      </c>
      <c r="E399" s="325"/>
      <c r="G399" s="36" t="s">
        <v>276</v>
      </c>
      <c r="I399" s="39"/>
      <c r="K399" s="39"/>
      <c r="L399" s="43" t="str">
        <f>"["&amp;CostBaseYr&amp;" $]"</f>
        <v>[2013 $]</v>
      </c>
      <c r="N399" s="70">
        <f ca="1">SUMIFS(OFFSET(Assumptions!$I$90,0,MATCH($A399,Configurations,0)-1,COUNT(Assumptions!$A$90:$A$183),1),Assumptions!$D$90:$D$183,$B399&amp;$C399)</f>
        <v>0</v>
      </c>
      <c r="O399" s="313"/>
      <c r="P399" s="323"/>
      <c r="Q399" s="313"/>
      <c r="R399" s="50">
        <f t="shared" ca="1" si="281"/>
        <v>0</v>
      </c>
      <c r="S399" s="50">
        <f t="shared" ca="1" si="282"/>
        <v>0</v>
      </c>
      <c r="T399" s="50">
        <f t="shared" ca="1" si="282"/>
        <v>0</v>
      </c>
      <c r="U399" s="50">
        <f t="shared" ca="1" si="282"/>
        <v>0</v>
      </c>
      <c r="V399" s="50">
        <f t="shared" ca="1" si="282"/>
        <v>0</v>
      </c>
      <c r="W399" s="50">
        <f t="shared" ca="1" si="282"/>
        <v>0</v>
      </c>
      <c r="X399" s="50">
        <f t="shared" ca="1" si="282"/>
        <v>0</v>
      </c>
      <c r="Y399" s="50">
        <f t="shared" ca="1" si="282"/>
        <v>0</v>
      </c>
      <c r="Z399" s="50">
        <f t="shared" ca="1" si="282"/>
        <v>0</v>
      </c>
      <c r="AA399" s="50">
        <f t="shared" ca="1" si="282"/>
        <v>0</v>
      </c>
      <c r="AB399" s="50">
        <f t="shared" ca="1" si="282"/>
        <v>0</v>
      </c>
      <c r="AC399" s="50">
        <f t="shared" ca="1" si="282"/>
        <v>0</v>
      </c>
      <c r="AD399" s="50">
        <f t="shared" ca="1" si="282"/>
        <v>0</v>
      </c>
      <c r="AE399" s="50">
        <f t="shared" ca="1" si="282"/>
        <v>0</v>
      </c>
      <c r="AF399" s="50">
        <f t="shared" ca="1" si="282"/>
        <v>0</v>
      </c>
      <c r="AG399" s="50">
        <f t="shared" ca="1" si="282"/>
        <v>0</v>
      </c>
      <c r="AH399" s="50">
        <f t="shared" ca="1" si="282"/>
        <v>0</v>
      </c>
      <c r="AI399" s="50">
        <f t="shared" ca="1" si="282"/>
        <v>0</v>
      </c>
      <c r="AJ399" s="50">
        <f t="shared" ca="1" si="282"/>
        <v>0</v>
      </c>
      <c r="AK399" s="50">
        <f t="shared" ca="1" si="282"/>
        <v>0</v>
      </c>
      <c r="AL399" s="50">
        <f t="shared" si="282"/>
        <v>0</v>
      </c>
      <c r="AM399" s="50">
        <f t="shared" si="282"/>
        <v>0</v>
      </c>
      <c r="AN399" s="50">
        <f t="shared" si="282"/>
        <v>0</v>
      </c>
      <c r="AO399" s="50">
        <f t="shared" si="282"/>
        <v>0</v>
      </c>
      <c r="AP399" s="50">
        <f t="shared" si="282"/>
        <v>0</v>
      </c>
      <c r="AQ399" s="50">
        <f t="shared" si="282"/>
        <v>0</v>
      </c>
      <c r="AR399" s="50">
        <f t="shared" si="282"/>
        <v>0</v>
      </c>
      <c r="AS399" s="50">
        <f t="shared" si="282"/>
        <v>0</v>
      </c>
      <c r="AT399" s="50">
        <f t="shared" si="282"/>
        <v>0</v>
      </c>
      <c r="AU399" s="50">
        <f t="shared" si="282"/>
        <v>0</v>
      </c>
    </row>
    <row r="400" spans="1:47">
      <c r="A400" s="38" t="str">
        <f t="shared" si="279"/>
        <v>4Y-</v>
      </c>
      <c r="B400" s="38" t="s">
        <v>274</v>
      </c>
      <c r="C400" s="38" t="str">
        <f t="shared" si="283"/>
        <v xml:space="preserve">Pre-Dewatering </v>
      </c>
      <c r="D400" s="186"/>
      <c r="E400" s="325"/>
      <c r="G400" s="36" t="s">
        <v>16</v>
      </c>
      <c r="I400" s="39"/>
      <c r="K400" s="39"/>
      <c r="L400" s="43" t="s">
        <v>275</v>
      </c>
      <c r="N400" s="70">
        <f ca="1">SUMIFS(OFFSET(Assumptions!$I$90,0,MATCH($A400,Configurations,0)-1,COUNT(Assumptions!$A$90:$A$183),1),Assumptions!$D$90:$D$183,$B400&amp;$C400)</f>
        <v>0</v>
      </c>
      <c r="O400" s="313"/>
      <c r="P400" s="323"/>
      <c r="Q400" s="313"/>
      <c r="R400" s="50">
        <f t="shared" ref="R400:AU400" ca="1" si="284">IF(OR(R$99&lt;InServiceYr,R$99&gt;(InServiceYr+analysis_period-1)),0,IF($P400=0,$N400,$P400)*R$505)</f>
        <v>0</v>
      </c>
      <c r="S400" s="50">
        <f t="shared" ca="1" si="284"/>
        <v>0</v>
      </c>
      <c r="T400" s="50">
        <f t="shared" ca="1" si="284"/>
        <v>0</v>
      </c>
      <c r="U400" s="50">
        <f t="shared" ca="1" si="284"/>
        <v>0</v>
      </c>
      <c r="V400" s="50">
        <f t="shared" ca="1" si="284"/>
        <v>0</v>
      </c>
      <c r="W400" s="50">
        <f t="shared" ca="1" si="284"/>
        <v>0</v>
      </c>
      <c r="X400" s="50">
        <f t="shared" ca="1" si="284"/>
        <v>0</v>
      </c>
      <c r="Y400" s="50">
        <f t="shared" ca="1" si="284"/>
        <v>0</v>
      </c>
      <c r="Z400" s="50">
        <f t="shared" ca="1" si="284"/>
        <v>0</v>
      </c>
      <c r="AA400" s="50">
        <f t="shared" ca="1" si="284"/>
        <v>0</v>
      </c>
      <c r="AB400" s="50">
        <f t="shared" ca="1" si="284"/>
        <v>0</v>
      </c>
      <c r="AC400" s="50">
        <f t="shared" ca="1" si="284"/>
        <v>0</v>
      </c>
      <c r="AD400" s="50">
        <f t="shared" ca="1" si="284"/>
        <v>0</v>
      </c>
      <c r="AE400" s="50">
        <f t="shared" ca="1" si="284"/>
        <v>0</v>
      </c>
      <c r="AF400" s="50">
        <f t="shared" ca="1" si="284"/>
        <v>0</v>
      </c>
      <c r="AG400" s="50">
        <f t="shared" ca="1" si="284"/>
        <v>0</v>
      </c>
      <c r="AH400" s="50">
        <f t="shared" ca="1" si="284"/>
        <v>0</v>
      </c>
      <c r="AI400" s="50">
        <f t="shared" ca="1" si="284"/>
        <v>0</v>
      </c>
      <c r="AJ400" s="50">
        <f t="shared" ca="1" si="284"/>
        <v>0</v>
      </c>
      <c r="AK400" s="50">
        <f t="shared" ca="1" si="284"/>
        <v>0</v>
      </c>
      <c r="AL400" s="50">
        <f t="shared" si="284"/>
        <v>0</v>
      </c>
      <c r="AM400" s="50">
        <f t="shared" si="284"/>
        <v>0</v>
      </c>
      <c r="AN400" s="50">
        <f t="shared" si="284"/>
        <v>0</v>
      </c>
      <c r="AO400" s="50">
        <f t="shared" si="284"/>
        <v>0</v>
      </c>
      <c r="AP400" s="50">
        <f t="shared" si="284"/>
        <v>0</v>
      </c>
      <c r="AQ400" s="50">
        <f t="shared" si="284"/>
        <v>0</v>
      </c>
      <c r="AR400" s="50">
        <f t="shared" si="284"/>
        <v>0</v>
      </c>
      <c r="AS400" s="50">
        <f t="shared" si="284"/>
        <v>0</v>
      </c>
      <c r="AT400" s="50">
        <f t="shared" si="284"/>
        <v>0</v>
      </c>
      <c r="AU400" s="50">
        <f t="shared" si="284"/>
        <v>0</v>
      </c>
    </row>
    <row r="401" spans="1:47">
      <c r="A401" s="38" t="str">
        <f t="shared" si="279"/>
        <v>4Y-</v>
      </c>
      <c r="B401" s="38" t="s">
        <v>257</v>
      </c>
      <c r="C401" s="38" t="str">
        <f t="shared" si="283"/>
        <v xml:space="preserve">Pre-Dewatering </v>
      </c>
      <c r="D401" s="186"/>
      <c r="E401" s="325"/>
      <c r="G401" s="36" t="s">
        <v>284</v>
      </c>
      <c r="I401" s="39"/>
      <c r="K401" s="39"/>
      <c r="L401" s="43" t="s">
        <v>293</v>
      </c>
      <c r="N401" s="70">
        <f ca="1">SUMIFS(OFFSET(Assumptions!$I$90,0,MATCH($A401,Configurations,0)-1,COUNT(Assumptions!$A$90:$A$183),1),Assumptions!$D$90:$D$183,$B401&amp;$C401)</f>
        <v>0</v>
      </c>
      <c r="O401" s="313"/>
      <c r="P401" s="323"/>
      <c r="Q401" s="313"/>
      <c r="R401" s="50">
        <f t="shared" ref="R401:AU401" ca="1" si="285">IF(OR(R$99&lt;InServiceYr,R$99&gt;(InServiceYr+analysis_period-1)),0,IF($P401=0,$N401,$P401)*R$501)</f>
        <v>0</v>
      </c>
      <c r="S401" s="50">
        <f t="shared" ca="1" si="285"/>
        <v>0</v>
      </c>
      <c r="T401" s="50">
        <f t="shared" ca="1" si="285"/>
        <v>0</v>
      </c>
      <c r="U401" s="50">
        <f t="shared" ca="1" si="285"/>
        <v>0</v>
      </c>
      <c r="V401" s="50">
        <f t="shared" ca="1" si="285"/>
        <v>0</v>
      </c>
      <c r="W401" s="50">
        <f t="shared" ca="1" si="285"/>
        <v>0</v>
      </c>
      <c r="X401" s="50">
        <f t="shared" ca="1" si="285"/>
        <v>0</v>
      </c>
      <c r="Y401" s="50">
        <f t="shared" ca="1" si="285"/>
        <v>0</v>
      </c>
      <c r="Z401" s="50">
        <f t="shared" ca="1" si="285"/>
        <v>0</v>
      </c>
      <c r="AA401" s="50">
        <f t="shared" ca="1" si="285"/>
        <v>0</v>
      </c>
      <c r="AB401" s="50">
        <f t="shared" ca="1" si="285"/>
        <v>0</v>
      </c>
      <c r="AC401" s="50">
        <f t="shared" ca="1" si="285"/>
        <v>0</v>
      </c>
      <c r="AD401" s="50">
        <f t="shared" ca="1" si="285"/>
        <v>0</v>
      </c>
      <c r="AE401" s="50">
        <f t="shared" ca="1" si="285"/>
        <v>0</v>
      </c>
      <c r="AF401" s="50">
        <f t="shared" ca="1" si="285"/>
        <v>0</v>
      </c>
      <c r="AG401" s="50">
        <f t="shared" ca="1" si="285"/>
        <v>0</v>
      </c>
      <c r="AH401" s="50">
        <f t="shared" ca="1" si="285"/>
        <v>0</v>
      </c>
      <c r="AI401" s="50">
        <f t="shared" ca="1" si="285"/>
        <v>0</v>
      </c>
      <c r="AJ401" s="50">
        <f t="shared" ca="1" si="285"/>
        <v>0</v>
      </c>
      <c r="AK401" s="50">
        <f t="shared" ca="1" si="285"/>
        <v>0</v>
      </c>
      <c r="AL401" s="50">
        <f t="shared" si="285"/>
        <v>0</v>
      </c>
      <c r="AM401" s="50">
        <f t="shared" si="285"/>
        <v>0</v>
      </c>
      <c r="AN401" s="50">
        <f t="shared" si="285"/>
        <v>0</v>
      </c>
      <c r="AO401" s="50">
        <f t="shared" si="285"/>
        <v>0</v>
      </c>
      <c r="AP401" s="50">
        <f t="shared" si="285"/>
        <v>0</v>
      </c>
      <c r="AQ401" s="50">
        <f t="shared" si="285"/>
        <v>0</v>
      </c>
      <c r="AR401" s="50">
        <f t="shared" si="285"/>
        <v>0</v>
      </c>
      <c r="AS401" s="50">
        <f t="shared" si="285"/>
        <v>0</v>
      </c>
      <c r="AT401" s="50">
        <f t="shared" si="285"/>
        <v>0</v>
      </c>
      <c r="AU401" s="50">
        <f t="shared" si="285"/>
        <v>0</v>
      </c>
    </row>
    <row r="402" spans="1:47">
      <c r="A402" s="38" t="str">
        <f t="shared" si="279"/>
        <v>4Y-</v>
      </c>
      <c r="B402" s="38" t="s">
        <v>864</v>
      </c>
      <c r="C402" s="38" t="str">
        <f t="shared" si="283"/>
        <v xml:space="preserve">Pre-Dewatering </v>
      </c>
      <c r="D402" s="186">
        <f>GHGEsc</f>
        <v>0.02</v>
      </c>
      <c r="E402" s="325"/>
      <c r="G402" s="36" t="s">
        <v>865</v>
      </c>
      <c r="I402" s="39"/>
      <c r="K402" s="39"/>
      <c r="L402" s="43" t="s">
        <v>866</v>
      </c>
      <c r="N402" s="70">
        <f ca="1">SUMIFS(OFFSET(Assumptions!$I$90,0,MATCH($A402,Configurations,0)-1,COUNT(Assumptions!$A$90:$A$183),1),Assumptions!$D$90:$D$183,$B402&amp;$C402)</f>
        <v>0</v>
      </c>
      <c r="O402" s="313"/>
      <c r="P402" s="323"/>
      <c r="Q402" s="313"/>
      <c r="R402" s="50">
        <f t="shared" ref="R402:AU402" ca="1" si="286">IF(OR(R$99&lt;InServiceYr,R$99&gt;(InServiceYr+analysis_period-1)),0,IF($P402=0,$N402,$P402)*R$513)</f>
        <v>0</v>
      </c>
      <c r="S402" s="50">
        <f t="shared" ca="1" si="286"/>
        <v>0</v>
      </c>
      <c r="T402" s="50">
        <f t="shared" ca="1" si="286"/>
        <v>0</v>
      </c>
      <c r="U402" s="50">
        <f t="shared" ca="1" si="286"/>
        <v>0</v>
      </c>
      <c r="V402" s="50">
        <f t="shared" ca="1" si="286"/>
        <v>0</v>
      </c>
      <c r="W402" s="50">
        <f t="shared" ca="1" si="286"/>
        <v>0</v>
      </c>
      <c r="X402" s="50">
        <f t="shared" ca="1" si="286"/>
        <v>0</v>
      </c>
      <c r="Y402" s="50">
        <f t="shared" ca="1" si="286"/>
        <v>0</v>
      </c>
      <c r="Z402" s="50">
        <f t="shared" ca="1" si="286"/>
        <v>0</v>
      </c>
      <c r="AA402" s="50">
        <f t="shared" ca="1" si="286"/>
        <v>0</v>
      </c>
      <c r="AB402" s="50">
        <f t="shared" ca="1" si="286"/>
        <v>0</v>
      </c>
      <c r="AC402" s="50">
        <f t="shared" ca="1" si="286"/>
        <v>0</v>
      </c>
      <c r="AD402" s="50">
        <f t="shared" ca="1" si="286"/>
        <v>0</v>
      </c>
      <c r="AE402" s="50">
        <f t="shared" ca="1" si="286"/>
        <v>0</v>
      </c>
      <c r="AF402" s="50">
        <f t="shared" ca="1" si="286"/>
        <v>0</v>
      </c>
      <c r="AG402" s="50">
        <f t="shared" ca="1" si="286"/>
        <v>0</v>
      </c>
      <c r="AH402" s="50">
        <f t="shared" ca="1" si="286"/>
        <v>0</v>
      </c>
      <c r="AI402" s="50">
        <f t="shared" ca="1" si="286"/>
        <v>0</v>
      </c>
      <c r="AJ402" s="50">
        <f t="shared" ca="1" si="286"/>
        <v>0</v>
      </c>
      <c r="AK402" s="50">
        <f t="shared" ca="1" si="286"/>
        <v>0</v>
      </c>
      <c r="AL402" s="50">
        <f t="shared" si="286"/>
        <v>0</v>
      </c>
      <c r="AM402" s="50">
        <f t="shared" si="286"/>
        <v>0</v>
      </c>
      <c r="AN402" s="50">
        <f t="shared" si="286"/>
        <v>0</v>
      </c>
      <c r="AO402" s="50">
        <f t="shared" si="286"/>
        <v>0</v>
      </c>
      <c r="AP402" s="50">
        <f t="shared" si="286"/>
        <v>0</v>
      </c>
      <c r="AQ402" s="50">
        <f t="shared" si="286"/>
        <v>0</v>
      </c>
      <c r="AR402" s="50">
        <f t="shared" si="286"/>
        <v>0</v>
      </c>
      <c r="AS402" s="50">
        <f t="shared" si="286"/>
        <v>0</v>
      </c>
      <c r="AT402" s="50">
        <f t="shared" si="286"/>
        <v>0</v>
      </c>
      <c r="AU402" s="50">
        <f t="shared" si="286"/>
        <v>0</v>
      </c>
    </row>
    <row r="403" spans="1:47">
      <c r="A403" s="38" t="str">
        <f t="shared" si="279"/>
        <v>4Y-</v>
      </c>
      <c r="B403" s="38" t="s">
        <v>273</v>
      </c>
      <c r="C403" s="38" t="str">
        <f>C401</f>
        <v xml:space="preserve">Pre-Dewatering </v>
      </c>
      <c r="D403" s="186">
        <f>LaborEsc</f>
        <v>0.02</v>
      </c>
      <c r="E403" s="325"/>
      <c r="G403" s="36" t="s">
        <v>291</v>
      </c>
      <c r="I403" s="39"/>
      <c r="K403" s="39"/>
      <c r="L403" s="43" t="str">
        <f>"["&amp;CostBaseYr&amp;" $]"</f>
        <v>[2013 $]</v>
      </c>
      <c r="N403" s="70">
        <f ca="1">SUMIFS(OFFSET(Assumptions!$I$90,0,MATCH($A403,Configurations,0)-1,COUNT(Assumptions!$A$90:$A$183),1),Assumptions!$D$90:$D$183,$B403&amp;$C403)</f>
        <v>0</v>
      </c>
      <c r="O403" s="313"/>
      <c r="P403" s="323"/>
      <c r="Q403" s="313"/>
      <c r="R403" s="50">
        <f t="shared" ref="R403:AU403" ca="1" si="287">IF(OR(R$99&lt;InServiceYr,R$99&gt;(InServiceYr+analysis_period-1)),0,IF($P403=0,$N403,$P403)*(1+$D403)^(R$99-CostBaseYr))*R$509</f>
        <v>0</v>
      </c>
      <c r="S403" s="50">
        <f t="shared" ca="1" si="287"/>
        <v>0</v>
      </c>
      <c r="T403" s="50">
        <f t="shared" ca="1" si="287"/>
        <v>0</v>
      </c>
      <c r="U403" s="50">
        <f t="shared" ca="1" si="287"/>
        <v>0</v>
      </c>
      <c r="V403" s="50">
        <f t="shared" ca="1" si="287"/>
        <v>0</v>
      </c>
      <c r="W403" s="50">
        <f t="shared" ca="1" si="287"/>
        <v>0</v>
      </c>
      <c r="X403" s="50">
        <f t="shared" ca="1" si="287"/>
        <v>0</v>
      </c>
      <c r="Y403" s="50">
        <f t="shared" ca="1" si="287"/>
        <v>0</v>
      </c>
      <c r="Z403" s="50">
        <f t="shared" ca="1" si="287"/>
        <v>0</v>
      </c>
      <c r="AA403" s="50">
        <f t="shared" ca="1" si="287"/>
        <v>0</v>
      </c>
      <c r="AB403" s="50">
        <f t="shared" ca="1" si="287"/>
        <v>0</v>
      </c>
      <c r="AC403" s="50">
        <f t="shared" ca="1" si="287"/>
        <v>0</v>
      </c>
      <c r="AD403" s="50">
        <f t="shared" ca="1" si="287"/>
        <v>0</v>
      </c>
      <c r="AE403" s="50">
        <f t="shared" ca="1" si="287"/>
        <v>0</v>
      </c>
      <c r="AF403" s="50">
        <f t="shared" ca="1" si="287"/>
        <v>0</v>
      </c>
      <c r="AG403" s="50">
        <f t="shared" ca="1" si="287"/>
        <v>0</v>
      </c>
      <c r="AH403" s="50">
        <f t="shared" ca="1" si="287"/>
        <v>0</v>
      </c>
      <c r="AI403" s="50">
        <f t="shared" ca="1" si="287"/>
        <v>0</v>
      </c>
      <c r="AJ403" s="50">
        <f t="shared" ca="1" si="287"/>
        <v>0</v>
      </c>
      <c r="AK403" s="50">
        <f t="shared" ca="1" si="287"/>
        <v>0</v>
      </c>
      <c r="AL403" s="50">
        <f t="shared" si="287"/>
        <v>0</v>
      </c>
      <c r="AM403" s="50">
        <f t="shared" si="287"/>
        <v>0</v>
      </c>
      <c r="AN403" s="50">
        <f t="shared" si="287"/>
        <v>0</v>
      </c>
      <c r="AO403" s="50">
        <f t="shared" si="287"/>
        <v>0</v>
      </c>
      <c r="AP403" s="50">
        <f t="shared" si="287"/>
        <v>0</v>
      </c>
      <c r="AQ403" s="50">
        <f t="shared" si="287"/>
        <v>0</v>
      </c>
      <c r="AR403" s="50">
        <f t="shared" si="287"/>
        <v>0</v>
      </c>
      <c r="AS403" s="50">
        <f t="shared" si="287"/>
        <v>0</v>
      </c>
      <c r="AT403" s="50">
        <f t="shared" si="287"/>
        <v>0</v>
      </c>
      <c r="AU403" s="50">
        <f t="shared" si="287"/>
        <v>0</v>
      </c>
    </row>
    <row r="404" spans="1:47">
      <c r="D404" s="186"/>
      <c r="E404" s="325"/>
      <c r="G404" s="39" t="s">
        <v>304</v>
      </c>
      <c r="I404" s="39"/>
      <c r="K404" s="39"/>
      <c r="L404" s="43"/>
      <c r="N404" s="70"/>
      <c r="O404" s="313"/>
      <c r="P404" s="70"/>
      <c r="Q404" s="313"/>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row>
    <row r="405" spans="1:47">
      <c r="A405" s="38" t="str">
        <f>$J$4&amp;"-"</f>
        <v>4Y-</v>
      </c>
      <c r="B405" s="38" t="s">
        <v>265</v>
      </c>
      <c r="C405" s="38" t="str">
        <f>C396</f>
        <v xml:space="preserve">Pre-Dewatering </v>
      </c>
      <c r="D405" s="186"/>
      <c r="E405" s="325"/>
      <c r="G405" s="36" t="s">
        <v>108</v>
      </c>
      <c r="I405" s="39"/>
      <c r="K405" s="39"/>
      <c r="L405" s="43" t="s">
        <v>293</v>
      </c>
      <c r="N405" s="70">
        <f ca="1">SUMIFS(OFFSET(Assumptions!$I$90,0,MATCH($A405,Configurations,0)-1,COUNT(Assumptions!$A$90:$A$183),1),Assumptions!$D$90:$D$183,$B405&amp;$C405)</f>
        <v>0</v>
      </c>
      <c r="O405" s="313"/>
      <c r="P405" s="323"/>
      <c r="Q405" s="313"/>
      <c r="R405" s="50">
        <f t="shared" ref="R405:AU405" ca="1" si="288">IF(OR(R$99&lt;InServiceYr,R$99&gt;(InServiceYr+analysis_period-1)),0,IF($P405=0,$N405,$P405)*R$501)</f>
        <v>0</v>
      </c>
      <c r="S405" s="50">
        <f t="shared" ca="1" si="288"/>
        <v>0</v>
      </c>
      <c r="T405" s="50">
        <f t="shared" ca="1" si="288"/>
        <v>0</v>
      </c>
      <c r="U405" s="50">
        <f t="shared" ca="1" si="288"/>
        <v>0</v>
      </c>
      <c r="V405" s="50">
        <f t="shared" ca="1" si="288"/>
        <v>0</v>
      </c>
      <c r="W405" s="50">
        <f t="shared" ca="1" si="288"/>
        <v>0</v>
      </c>
      <c r="X405" s="50">
        <f t="shared" ca="1" si="288"/>
        <v>0</v>
      </c>
      <c r="Y405" s="50">
        <f t="shared" ca="1" si="288"/>
        <v>0</v>
      </c>
      <c r="Z405" s="50">
        <f t="shared" ca="1" si="288"/>
        <v>0</v>
      </c>
      <c r="AA405" s="50">
        <f t="shared" ca="1" si="288"/>
        <v>0</v>
      </c>
      <c r="AB405" s="50">
        <f t="shared" ca="1" si="288"/>
        <v>0</v>
      </c>
      <c r="AC405" s="50">
        <f t="shared" ca="1" si="288"/>
        <v>0</v>
      </c>
      <c r="AD405" s="50">
        <f t="shared" ca="1" si="288"/>
        <v>0</v>
      </c>
      <c r="AE405" s="50">
        <f t="shared" ca="1" si="288"/>
        <v>0</v>
      </c>
      <c r="AF405" s="50">
        <f t="shared" ca="1" si="288"/>
        <v>0</v>
      </c>
      <c r="AG405" s="50">
        <f t="shared" ca="1" si="288"/>
        <v>0</v>
      </c>
      <c r="AH405" s="50">
        <f t="shared" ca="1" si="288"/>
        <v>0</v>
      </c>
      <c r="AI405" s="50">
        <f t="shared" ca="1" si="288"/>
        <v>0</v>
      </c>
      <c r="AJ405" s="50">
        <f t="shared" ca="1" si="288"/>
        <v>0</v>
      </c>
      <c r="AK405" s="50">
        <f t="shared" ca="1" si="288"/>
        <v>0</v>
      </c>
      <c r="AL405" s="50">
        <f t="shared" si="288"/>
        <v>0</v>
      </c>
      <c r="AM405" s="50">
        <f t="shared" si="288"/>
        <v>0</v>
      </c>
      <c r="AN405" s="50">
        <f t="shared" si="288"/>
        <v>0</v>
      </c>
      <c r="AO405" s="50">
        <f t="shared" si="288"/>
        <v>0</v>
      </c>
      <c r="AP405" s="50">
        <f t="shared" si="288"/>
        <v>0</v>
      </c>
      <c r="AQ405" s="50">
        <f t="shared" si="288"/>
        <v>0</v>
      </c>
      <c r="AR405" s="50">
        <f t="shared" si="288"/>
        <v>0</v>
      </c>
      <c r="AS405" s="50">
        <f t="shared" si="288"/>
        <v>0</v>
      </c>
      <c r="AT405" s="50">
        <f t="shared" si="288"/>
        <v>0</v>
      </c>
      <c r="AU405" s="50">
        <f t="shared" si="288"/>
        <v>0</v>
      </c>
    </row>
    <row r="406" spans="1:47">
      <c r="A406" s="38" t="str">
        <f>$J$4&amp;"-"</f>
        <v>4Y-</v>
      </c>
      <c r="B406" s="38" t="s">
        <v>289</v>
      </c>
      <c r="C406" s="38" t="str">
        <f>C396</f>
        <v xml:space="preserve">Pre-Dewatering </v>
      </c>
      <c r="D406" s="186">
        <f>LaborEsc</f>
        <v>0.02</v>
      </c>
      <c r="E406" s="325"/>
      <c r="G406" s="36" t="s">
        <v>292</v>
      </c>
      <c r="I406" s="39"/>
      <c r="K406" s="39"/>
      <c r="L406" s="43" t="str">
        <f>"["&amp;CostBaseYr&amp;" $]"</f>
        <v>[2013 $]</v>
      </c>
      <c r="N406" s="70">
        <f ca="1">SUMIFS(OFFSET(Assumptions!$I$90,0,MATCH($A406,Configurations,0)-1,COUNT(Assumptions!$A$90:$A$183),1),Assumptions!$D$90:$D$183,$B406&amp;$C406)</f>
        <v>0</v>
      </c>
      <c r="O406" s="313"/>
      <c r="P406" s="323"/>
      <c r="Q406" s="313"/>
      <c r="R406" s="50">
        <f t="shared" ref="R406:AU406" ca="1" si="289">IF(OR(R$99&lt;InServiceYr,R$99&gt;(InServiceYr+analysis_period-1)),0,IF($P406=0,$N406,$P406)*(1+$D406)^(R$99-CostBaseYr))</f>
        <v>0</v>
      </c>
      <c r="S406" s="50">
        <f t="shared" ca="1" si="289"/>
        <v>0</v>
      </c>
      <c r="T406" s="50">
        <f t="shared" ca="1" si="289"/>
        <v>0</v>
      </c>
      <c r="U406" s="50">
        <f t="shared" ca="1" si="289"/>
        <v>0</v>
      </c>
      <c r="V406" s="50">
        <f t="shared" ca="1" si="289"/>
        <v>0</v>
      </c>
      <c r="W406" s="50">
        <f t="shared" ca="1" si="289"/>
        <v>0</v>
      </c>
      <c r="X406" s="50">
        <f t="shared" ca="1" si="289"/>
        <v>0</v>
      </c>
      <c r="Y406" s="50">
        <f t="shared" ca="1" si="289"/>
        <v>0</v>
      </c>
      <c r="Z406" s="50">
        <f t="shared" ca="1" si="289"/>
        <v>0</v>
      </c>
      <c r="AA406" s="50">
        <f t="shared" ca="1" si="289"/>
        <v>0</v>
      </c>
      <c r="AB406" s="50">
        <f t="shared" ca="1" si="289"/>
        <v>0</v>
      </c>
      <c r="AC406" s="50">
        <f t="shared" ca="1" si="289"/>
        <v>0</v>
      </c>
      <c r="AD406" s="50">
        <f t="shared" ca="1" si="289"/>
        <v>0</v>
      </c>
      <c r="AE406" s="50">
        <f t="shared" ca="1" si="289"/>
        <v>0</v>
      </c>
      <c r="AF406" s="50">
        <f t="shared" ca="1" si="289"/>
        <v>0</v>
      </c>
      <c r="AG406" s="50">
        <f t="shared" ca="1" si="289"/>
        <v>0</v>
      </c>
      <c r="AH406" s="50">
        <f t="shared" ca="1" si="289"/>
        <v>0</v>
      </c>
      <c r="AI406" s="50">
        <f t="shared" ca="1" si="289"/>
        <v>0</v>
      </c>
      <c r="AJ406" s="50">
        <f t="shared" ca="1" si="289"/>
        <v>0</v>
      </c>
      <c r="AK406" s="50">
        <f t="shared" ca="1" si="289"/>
        <v>0</v>
      </c>
      <c r="AL406" s="50">
        <f t="shared" si="289"/>
        <v>0</v>
      </c>
      <c r="AM406" s="50">
        <f t="shared" si="289"/>
        <v>0</v>
      </c>
      <c r="AN406" s="50">
        <f t="shared" si="289"/>
        <v>0</v>
      </c>
      <c r="AO406" s="50">
        <f t="shared" si="289"/>
        <v>0</v>
      </c>
      <c r="AP406" s="50">
        <f t="shared" si="289"/>
        <v>0</v>
      </c>
      <c r="AQ406" s="50">
        <f t="shared" si="289"/>
        <v>0</v>
      </c>
      <c r="AR406" s="50">
        <f t="shared" si="289"/>
        <v>0</v>
      </c>
      <c r="AS406" s="50">
        <f t="shared" si="289"/>
        <v>0</v>
      </c>
      <c r="AT406" s="50">
        <f t="shared" si="289"/>
        <v>0</v>
      </c>
      <c r="AU406" s="50">
        <f t="shared" si="289"/>
        <v>0</v>
      </c>
    </row>
    <row r="407" spans="1:47" s="60" customFormat="1">
      <c r="D407" s="187"/>
      <c r="E407" s="325"/>
      <c r="G407" s="39" t="s">
        <v>305</v>
      </c>
      <c r="I407" s="39"/>
      <c r="K407" s="39"/>
      <c r="L407" s="174"/>
      <c r="N407" s="188"/>
      <c r="O407" s="314"/>
      <c r="P407" s="185"/>
      <c r="Q407" s="314"/>
      <c r="R407" s="185">
        <f ca="1">SUM(R396:R403)-SUM(R405:R406)</f>
        <v>0</v>
      </c>
      <c r="S407" s="185">
        <f t="shared" ref="S407:AU407" ca="1" si="290">SUM(S396:S403)-SUM(S405:S406)</f>
        <v>0</v>
      </c>
      <c r="T407" s="185">
        <f t="shared" ca="1" si="290"/>
        <v>0</v>
      </c>
      <c r="U407" s="185">
        <f t="shared" ca="1" si="290"/>
        <v>0</v>
      </c>
      <c r="V407" s="185">
        <f t="shared" ca="1" si="290"/>
        <v>0</v>
      </c>
      <c r="W407" s="185">
        <f t="shared" ca="1" si="290"/>
        <v>0</v>
      </c>
      <c r="X407" s="185">
        <f t="shared" ca="1" si="290"/>
        <v>0</v>
      </c>
      <c r="Y407" s="185">
        <f t="shared" ca="1" si="290"/>
        <v>0</v>
      </c>
      <c r="Z407" s="185">
        <f t="shared" ca="1" si="290"/>
        <v>0</v>
      </c>
      <c r="AA407" s="185">
        <f t="shared" ca="1" si="290"/>
        <v>0</v>
      </c>
      <c r="AB407" s="185">
        <f t="shared" ca="1" si="290"/>
        <v>0</v>
      </c>
      <c r="AC407" s="185">
        <f t="shared" ca="1" si="290"/>
        <v>0</v>
      </c>
      <c r="AD407" s="185">
        <f t="shared" ca="1" si="290"/>
        <v>0</v>
      </c>
      <c r="AE407" s="185">
        <f t="shared" ca="1" si="290"/>
        <v>0</v>
      </c>
      <c r="AF407" s="185">
        <f t="shared" ca="1" si="290"/>
        <v>0</v>
      </c>
      <c r="AG407" s="185">
        <f t="shared" ca="1" si="290"/>
        <v>0</v>
      </c>
      <c r="AH407" s="185">
        <f t="shared" ca="1" si="290"/>
        <v>0</v>
      </c>
      <c r="AI407" s="185">
        <f t="shared" ca="1" si="290"/>
        <v>0</v>
      </c>
      <c r="AJ407" s="185">
        <f t="shared" ca="1" si="290"/>
        <v>0</v>
      </c>
      <c r="AK407" s="185">
        <f t="shared" ca="1" si="290"/>
        <v>0</v>
      </c>
      <c r="AL407" s="185">
        <f t="shared" si="290"/>
        <v>0</v>
      </c>
      <c r="AM407" s="185">
        <f t="shared" si="290"/>
        <v>0</v>
      </c>
      <c r="AN407" s="185">
        <f t="shared" si="290"/>
        <v>0</v>
      </c>
      <c r="AO407" s="185">
        <f t="shared" si="290"/>
        <v>0</v>
      </c>
      <c r="AP407" s="185">
        <f t="shared" si="290"/>
        <v>0</v>
      </c>
      <c r="AQ407" s="185">
        <f t="shared" si="290"/>
        <v>0</v>
      </c>
      <c r="AR407" s="185">
        <f t="shared" si="290"/>
        <v>0</v>
      </c>
      <c r="AS407" s="185">
        <f t="shared" si="290"/>
        <v>0</v>
      </c>
      <c r="AT407" s="185">
        <f t="shared" si="290"/>
        <v>0</v>
      </c>
      <c r="AU407" s="185">
        <f t="shared" si="290"/>
        <v>0</v>
      </c>
    </row>
    <row r="408" spans="1:47">
      <c r="E408" s="36"/>
      <c r="G408" s="39"/>
      <c r="H408" s="39"/>
      <c r="I408" s="39"/>
      <c r="J408" s="39"/>
      <c r="K408" s="39"/>
    </row>
    <row r="409" spans="1:47">
      <c r="E409" s="327"/>
      <c r="F409" s="28"/>
      <c r="G409" s="324" t="str">
        <f>C411&amp;" Capital Costs"</f>
        <v>Pre-Treatment (CAMBI) Capital Costs</v>
      </c>
      <c r="H409" s="324"/>
      <c r="I409" s="324"/>
      <c r="J409" s="324"/>
      <c r="K409" s="324"/>
      <c r="L409" s="405" t="s">
        <v>79</v>
      </c>
      <c r="M409" s="256"/>
      <c r="N409" s="325" t="s">
        <v>490</v>
      </c>
      <c r="O409" s="311"/>
      <c r="P409" s="325" t="s">
        <v>491</v>
      </c>
      <c r="Q409" s="310"/>
      <c r="R409" s="325">
        <f>R$8</f>
        <v>2014</v>
      </c>
      <c r="S409" s="325">
        <f t="shared" ref="S409:AU409" si="291">S$8</f>
        <v>2015</v>
      </c>
      <c r="T409" s="325">
        <f t="shared" si="291"/>
        <v>2016</v>
      </c>
      <c r="U409" s="325">
        <f t="shared" si="291"/>
        <v>2017</v>
      </c>
      <c r="V409" s="325">
        <f t="shared" si="291"/>
        <v>2018</v>
      </c>
      <c r="W409" s="325">
        <f t="shared" si="291"/>
        <v>2019</v>
      </c>
      <c r="X409" s="325">
        <f t="shared" si="291"/>
        <v>2020</v>
      </c>
      <c r="Y409" s="325">
        <f t="shared" si="291"/>
        <v>2021</v>
      </c>
      <c r="Z409" s="325">
        <f t="shared" si="291"/>
        <v>2022</v>
      </c>
      <c r="AA409" s="325">
        <f t="shared" si="291"/>
        <v>2023</v>
      </c>
      <c r="AB409" s="325">
        <f t="shared" si="291"/>
        <v>2024</v>
      </c>
      <c r="AC409" s="325">
        <f t="shared" si="291"/>
        <v>2025</v>
      </c>
      <c r="AD409" s="325">
        <f t="shared" si="291"/>
        <v>2026</v>
      </c>
      <c r="AE409" s="325">
        <f t="shared" si="291"/>
        <v>2027</v>
      </c>
      <c r="AF409" s="325">
        <f t="shared" si="291"/>
        <v>2028</v>
      </c>
      <c r="AG409" s="325">
        <f t="shared" si="291"/>
        <v>2029</v>
      </c>
      <c r="AH409" s="325">
        <f t="shared" si="291"/>
        <v>2030</v>
      </c>
      <c r="AI409" s="325">
        <f t="shared" si="291"/>
        <v>2031</v>
      </c>
      <c r="AJ409" s="325">
        <f t="shared" si="291"/>
        <v>2032</v>
      </c>
      <c r="AK409" s="325">
        <f t="shared" si="291"/>
        <v>2033</v>
      </c>
      <c r="AL409" s="325">
        <f t="shared" si="291"/>
        <v>2034</v>
      </c>
      <c r="AM409" s="325">
        <f t="shared" si="291"/>
        <v>2035</v>
      </c>
      <c r="AN409" s="325">
        <f t="shared" si="291"/>
        <v>2036</v>
      </c>
      <c r="AO409" s="325">
        <f t="shared" si="291"/>
        <v>2037</v>
      </c>
      <c r="AP409" s="325">
        <f t="shared" si="291"/>
        <v>2038</v>
      </c>
      <c r="AQ409" s="325">
        <f t="shared" si="291"/>
        <v>2039</v>
      </c>
      <c r="AR409" s="325">
        <f t="shared" si="291"/>
        <v>2040</v>
      </c>
      <c r="AS409" s="325">
        <f t="shared" si="291"/>
        <v>2041</v>
      </c>
      <c r="AT409" s="325">
        <f t="shared" si="291"/>
        <v>2042</v>
      </c>
      <c r="AU409" s="325">
        <f t="shared" si="291"/>
        <v>2043</v>
      </c>
    </row>
    <row r="410" spans="1:47">
      <c r="E410" s="325"/>
      <c r="G410" s="39"/>
      <c r="H410" s="39"/>
      <c r="I410" s="39"/>
      <c r="J410" s="39"/>
      <c r="K410" s="39"/>
    </row>
    <row r="411" spans="1:47">
      <c r="A411" s="38" t="str">
        <f>$J$4&amp;"-"</f>
        <v>4Y-</v>
      </c>
      <c r="B411" s="38" t="s">
        <v>306</v>
      </c>
      <c r="C411" s="38" t="s">
        <v>138</v>
      </c>
      <c r="D411" s="186">
        <f>CapExEsc</f>
        <v>0.03</v>
      </c>
      <c r="E411" s="325"/>
      <c r="G411" s="36" t="s">
        <v>8</v>
      </c>
      <c r="H411" s="39"/>
      <c r="I411" s="39"/>
      <c r="J411" s="70"/>
      <c r="K411" s="39"/>
      <c r="L411" s="43" t="str">
        <f>"["&amp;CostBaseYr&amp;" $]"</f>
        <v>[2013 $]</v>
      </c>
      <c r="N411" s="52">
        <f ca="1">SUMIFS(OFFSET(Assumptions!$I$65,0,MATCH($A411,Configurations,0)-1,COUNT(Assumptions!$A$65:$A$84),1),Assumptions!$E$65:$E$84,$C411)</f>
        <v>0</v>
      </c>
      <c r="O411" s="52"/>
      <c r="P411" s="322"/>
      <c r="Q411" s="52"/>
      <c r="R411" s="52">
        <f t="shared" ref="R411:AU411" ca="1" si="292">R412*IF($P411=0,$N411,$P411)*(1+$D411)^(R$8-CostBaseYr)</f>
        <v>0</v>
      </c>
      <c r="S411" s="52">
        <f t="shared" ca="1" si="292"/>
        <v>0</v>
      </c>
      <c r="T411" s="52">
        <f t="shared" ca="1" si="292"/>
        <v>0</v>
      </c>
      <c r="U411" s="52">
        <f t="shared" ca="1" si="292"/>
        <v>0</v>
      </c>
      <c r="V411" s="52">
        <f t="shared" ca="1" si="292"/>
        <v>0</v>
      </c>
      <c r="W411" s="52">
        <f t="shared" ca="1" si="292"/>
        <v>0</v>
      </c>
      <c r="X411" s="52">
        <f t="shared" ca="1" si="292"/>
        <v>0</v>
      </c>
      <c r="Y411" s="52">
        <f t="shared" ca="1" si="292"/>
        <v>0</v>
      </c>
      <c r="Z411" s="52">
        <f t="shared" ca="1" si="292"/>
        <v>0</v>
      </c>
      <c r="AA411" s="52">
        <f t="shared" ca="1" si="292"/>
        <v>0</v>
      </c>
      <c r="AB411" s="52">
        <f t="shared" ca="1" si="292"/>
        <v>0</v>
      </c>
      <c r="AC411" s="52">
        <f t="shared" ca="1" si="292"/>
        <v>0</v>
      </c>
      <c r="AD411" s="52">
        <f t="shared" ca="1" si="292"/>
        <v>0</v>
      </c>
      <c r="AE411" s="52">
        <f t="shared" ca="1" si="292"/>
        <v>0</v>
      </c>
      <c r="AF411" s="52">
        <f t="shared" ca="1" si="292"/>
        <v>0</v>
      </c>
      <c r="AG411" s="52">
        <f t="shared" ca="1" si="292"/>
        <v>0</v>
      </c>
      <c r="AH411" s="52">
        <f t="shared" ca="1" si="292"/>
        <v>0</v>
      </c>
      <c r="AI411" s="52">
        <f t="shared" ca="1" si="292"/>
        <v>0</v>
      </c>
      <c r="AJ411" s="52">
        <f t="shared" ca="1" si="292"/>
        <v>0</v>
      </c>
      <c r="AK411" s="52">
        <f t="shared" ca="1" si="292"/>
        <v>0</v>
      </c>
      <c r="AL411" s="52">
        <f t="shared" ca="1" si="292"/>
        <v>0</v>
      </c>
      <c r="AM411" s="52">
        <f t="shared" ca="1" si="292"/>
        <v>0</v>
      </c>
      <c r="AN411" s="52">
        <f t="shared" ca="1" si="292"/>
        <v>0</v>
      </c>
      <c r="AO411" s="52">
        <f t="shared" ca="1" si="292"/>
        <v>0</v>
      </c>
      <c r="AP411" s="52">
        <f t="shared" ca="1" si="292"/>
        <v>0</v>
      </c>
      <c r="AQ411" s="52">
        <f t="shared" ca="1" si="292"/>
        <v>0</v>
      </c>
      <c r="AR411" s="52">
        <f t="shared" ca="1" si="292"/>
        <v>0</v>
      </c>
      <c r="AS411" s="52">
        <f t="shared" ca="1" si="292"/>
        <v>0</v>
      </c>
      <c r="AT411" s="52">
        <f t="shared" ca="1" si="292"/>
        <v>0</v>
      </c>
      <c r="AU411" s="52">
        <f t="shared" ca="1" si="292"/>
        <v>0</v>
      </c>
    </row>
    <row r="412" spans="1:47">
      <c r="E412" s="325"/>
      <c r="G412" s="36" t="s">
        <v>10</v>
      </c>
      <c r="H412" s="39"/>
      <c r="I412" s="39"/>
      <c r="J412" s="39"/>
      <c r="K412" s="39"/>
      <c r="L412" s="43"/>
      <c r="R412" s="54">
        <f>Assumptions!M$60</f>
        <v>1</v>
      </c>
      <c r="S412" s="54">
        <f>Assumptions!N$60</f>
        <v>0</v>
      </c>
      <c r="T412" s="54">
        <f>Assumptions!O$60</f>
        <v>0</v>
      </c>
      <c r="U412" s="54">
        <f>Assumptions!P$60</f>
        <v>0</v>
      </c>
      <c r="V412" s="54">
        <f>Assumptions!Q$60</f>
        <v>0</v>
      </c>
      <c r="W412" s="54">
        <f>Assumptions!R$60</f>
        <v>0</v>
      </c>
      <c r="X412" s="54">
        <f>Assumptions!S$60</f>
        <v>0</v>
      </c>
      <c r="Y412" s="54">
        <f>Assumptions!T$60</f>
        <v>0</v>
      </c>
      <c r="Z412" s="54">
        <f>Assumptions!U$60</f>
        <v>0</v>
      </c>
      <c r="AA412" s="54">
        <f>Assumptions!V$60</f>
        <v>0</v>
      </c>
      <c r="AB412" s="54">
        <f>Assumptions!W$60</f>
        <v>0</v>
      </c>
      <c r="AC412" s="54">
        <f>Assumptions!X$60</f>
        <v>0</v>
      </c>
      <c r="AD412" s="54">
        <f>Assumptions!Y$60</f>
        <v>0</v>
      </c>
      <c r="AE412" s="54">
        <f>Assumptions!Z$60</f>
        <v>0</v>
      </c>
      <c r="AF412" s="54">
        <f>Assumptions!AA$60</f>
        <v>0</v>
      </c>
      <c r="AG412" s="54">
        <f>Assumptions!AB$60</f>
        <v>0</v>
      </c>
      <c r="AH412" s="54">
        <f>Assumptions!AC$60</f>
        <v>0</v>
      </c>
      <c r="AI412" s="54">
        <f>Assumptions!AD$60</f>
        <v>0</v>
      </c>
      <c r="AJ412" s="54">
        <f>Assumptions!AE$60</f>
        <v>0</v>
      </c>
      <c r="AK412" s="54">
        <f>Assumptions!AF$60</f>
        <v>0</v>
      </c>
      <c r="AL412" s="54">
        <f>Assumptions!AG$60</f>
        <v>0</v>
      </c>
      <c r="AM412" s="54">
        <f>Assumptions!AH$60</f>
        <v>0</v>
      </c>
      <c r="AN412" s="54">
        <f>Assumptions!AI$60</f>
        <v>0</v>
      </c>
      <c r="AO412" s="54">
        <f>Assumptions!AJ$60</f>
        <v>0</v>
      </c>
      <c r="AP412" s="54">
        <f>Assumptions!AK$60</f>
        <v>0</v>
      </c>
      <c r="AQ412" s="54">
        <f>Assumptions!AL$60</f>
        <v>0</v>
      </c>
      <c r="AR412" s="54">
        <f>Assumptions!AM$60</f>
        <v>0</v>
      </c>
      <c r="AS412" s="54">
        <f>Assumptions!AN$60</f>
        <v>0</v>
      </c>
      <c r="AT412" s="54">
        <f>Assumptions!AO$60</f>
        <v>0</v>
      </c>
      <c r="AU412" s="54">
        <f>Assumptions!AP$60</f>
        <v>0</v>
      </c>
    </row>
    <row r="413" spans="1:47">
      <c r="E413" s="326"/>
      <c r="G413" s="39"/>
      <c r="H413" s="39"/>
      <c r="I413" s="39"/>
      <c r="J413" s="39"/>
      <c r="K413" s="39"/>
    </row>
    <row r="414" spans="1:47">
      <c r="E414" s="327"/>
      <c r="F414" s="28"/>
      <c r="G414" s="324" t="str">
        <f>C411&amp;" O&amp;M"</f>
        <v>Pre-Treatment (CAMBI) O&amp;M</v>
      </c>
      <c r="H414" s="324"/>
      <c r="I414" s="324"/>
      <c r="J414" s="324"/>
      <c r="K414" s="324"/>
      <c r="L414" s="405" t="s">
        <v>79</v>
      </c>
      <c r="M414" s="256"/>
      <c r="N414" s="325" t="s">
        <v>490</v>
      </c>
      <c r="O414" s="311"/>
      <c r="P414" s="325" t="s">
        <v>491</v>
      </c>
      <c r="Q414" s="310"/>
      <c r="R414" s="325">
        <f>R$8</f>
        <v>2014</v>
      </c>
      <c r="S414" s="325">
        <f t="shared" ref="S414:AU414" si="293">S$8</f>
        <v>2015</v>
      </c>
      <c r="T414" s="325">
        <f t="shared" si="293"/>
        <v>2016</v>
      </c>
      <c r="U414" s="325">
        <f t="shared" si="293"/>
        <v>2017</v>
      </c>
      <c r="V414" s="325">
        <f t="shared" si="293"/>
        <v>2018</v>
      </c>
      <c r="W414" s="325">
        <f t="shared" si="293"/>
        <v>2019</v>
      </c>
      <c r="X414" s="325">
        <f t="shared" si="293"/>
        <v>2020</v>
      </c>
      <c r="Y414" s="325">
        <f t="shared" si="293"/>
        <v>2021</v>
      </c>
      <c r="Z414" s="325">
        <f t="shared" si="293"/>
        <v>2022</v>
      </c>
      <c r="AA414" s="325">
        <f t="shared" si="293"/>
        <v>2023</v>
      </c>
      <c r="AB414" s="325">
        <f t="shared" si="293"/>
        <v>2024</v>
      </c>
      <c r="AC414" s="325">
        <f t="shared" si="293"/>
        <v>2025</v>
      </c>
      <c r="AD414" s="325">
        <f t="shared" si="293"/>
        <v>2026</v>
      </c>
      <c r="AE414" s="325">
        <f t="shared" si="293"/>
        <v>2027</v>
      </c>
      <c r="AF414" s="325">
        <f t="shared" si="293"/>
        <v>2028</v>
      </c>
      <c r="AG414" s="325">
        <f t="shared" si="293"/>
        <v>2029</v>
      </c>
      <c r="AH414" s="325">
        <f t="shared" si="293"/>
        <v>2030</v>
      </c>
      <c r="AI414" s="325">
        <f t="shared" si="293"/>
        <v>2031</v>
      </c>
      <c r="AJ414" s="325">
        <f t="shared" si="293"/>
        <v>2032</v>
      </c>
      <c r="AK414" s="325">
        <f t="shared" si="293"/>
        <v>2033</v>
      </c>
      <c r="AL414" s="325">
        <f t="shared" si="293"/>
        <v>2034</v>
      </c>
      <c r="AM414" s="325">
        <f t="shared" si="293"/>
        <v>2035</v>
      </c>
      <c r="AN414" s="325">
        <f t="shared" si="293"/>
        <v>2036</v>
      </c>
      <c r="AO414" s="325">
        <f t="shared" si="293"/>
        <v>2037</v>
      </c>
      <c r="AP414" s="325">
        <f t="shared" si="293"/>
        <v>2038</v>
      </c>
      <c r="AQ414" s="325">
        <f t="shared" si="293"/>
        <v>2039</v>
      </c>
      <c r="AR414" s="325">
        <f t="shared" si="293"/>
        <v>2040</v>
      </c>
      <c r="AS414" s="325">
        <f t="shared" si="293"/>
        <v>2041</v>
      </c>
      <c r="AT414" s="325">
        <f t="shared" si="293"/>
        <v>2042</v>
      </c>
      <c r="AU414" s="325">
        <f t="shared" si="293"/>
        <v>2043</v>
      </c>
    </row>
    <row r="415" spans="1:47">
      <c r="E415" s="325"/>
      <c r="G415" s="39"/>
      <c r="H415" s="39"/>
      <c r="I415" s="39"/>
      <c r="J415" s="39"/>
      <c r="K415" s="39"/>
    </row>
    <row r="416" spans="1:47">
      <c r="E416" s="325"/>
      <c r="G416" s="39" t="s">
        <v>23</v>
      </c>
      <c r="H416" s="39"/>
      <c r="I416" s="39"/>
      <c r="J416" s="39"/>
      <c r="K416" s="39"/>
    </row>
    <row r="417" spans="1:47">
      <c r="A417" s="38" t="str">
        <f t="shared" ref="A417:A424" si="294">$J$4&amp;"-"</f>
        <v>4Y-</v>
      </c>
      <c r="B417" s="38" t="s">
        <v>262</v>
      </c>
      <c r="C417" s="38" t="str">
        <f>C411</f>
        <v>Pre-Treatment (CAMBI)</v>
      </c>
      <c r="D417" s="186">
        <f>LaborEsc</f>
        <v>0.02</v>
      </c>
      <c r="E417" s="325"/>
      <c r="G417" s="36" t="s">
        <v>125</v>
      </c>
      <c r="I417" s="39"/>
      <c r="K417" s="39"/>
      <c r="L417" s="43" t="s">
        <v>266</v>
      </c>
      <c r="N417" s="70">
        <f ca="1">SUMIFS(OFFSET(Assumptions!$I$90,0,MATCH($A417,Configurations,0)-1,COUNT(Assumptions!$A$90:$A$183),1),Assumptions!$D$90:$D$183,$B417&amp;$C417)</f>
        <v>0</v>
      </c>
      <c r="O417" s="313"/>
      <c r="P417" s="323"/>
      <c r="Q417" s="313"/>
      <c r="R417" s="50">
        <f t="shared" ref="R417:AU417" ca="1" si="295">IF(OR(R$99&lt;InServiceYr,R$99&gt;(InServiceYr+analysis_period-1)),0,IF($P417=0,$N417,$P417)*LaborCost*(1+$D417)^(R$99-CostBaseYr))</f>
        <v>0</v>
      </c>
      <c r="S417" s="50">
        <f t="shared" ca="1" si="295"/>
        <v>0</v>
      </c>
      <c r="T417" s="50">
        <f t="shared" ca="1" si="295"/>
        <v>0</v>
      </c>
      <c r="U417" s="50">
        <f t="shared" ca="1" si="295"/>
        <v>0</v>
      </c>
      <c r="V417" s="50">
        <f t="shared" ca="1" si="295"/>
        <v>0</v>
      </c>
      <c r="W417" s="50">
        <f t="shared" ca="1" si="295"/>
        <v>0</v>
      </c>
      <c r="X417" s="50">
        <f t="shared" ca="1" si="295"/>
        <v>0</v>
      </c>
      <c r="Y417" s="50">
        <f t="shared" ca="1" si="295"/>
        <v>0</v>
      </c>
      <c r="Z417" s="50">
        <f t="shared" ca="1" si="295"/>
        <v>0</v>
      </c>
      <c r="AA417" s="50">
        <f t="shared" ca="1" si="295"/>
        <v>0</v>
      </c>
      <c r="AB417" s="50">
        <f t="shared" ca="1" si="295"/>
        <v>0</v>
      </c>
      <c r="AC417" s="50">
        <f t="shared" ca="1" si="295"/>
        <v>0</v>
      </c>
      <c r="AD417" s="50">
        <f t="shared" ca="1" si="295"/>
        <v>0</v>
      </c>
      <c r="AE417" s="50">
        <f t="shared" ca="1" si="295"/>
        <v>0</v>
      </c>
      <c r="AF417" s="50">
        <f t="shared" ca="1" si="295"/>
        <v>0</v>
      </c>
      <c r="AG417" s="50">
        <f t="shared" ca="1" si="295"/>
        <v>0</v>
      </c>
      <c r="AH417" s="50">
        <f t="shared" ca="1" si="295"/>
        <v>0</v>
      </c>
      <c r="AI417" s="50">
        <f t="shared" ca="1" si="295"/>
        <v>0</v>
      </c>
      <c r="AJ417" s="50">
        <f t="shared" ca="1" si="295"/>
        <v>0</v>
      </c>
      <c r="AK417" s="50">
        <f t="shared" ca="1" si="295"/>
        <v>0</v>
      </c>
      <c r="AL417" s="50">
        <f t="shared" si="295"/>
        <v>0</v>
      </c>
      <c r="AM417" s="50">
        <f t="shared" si="295"/>
        <v>0</v>
      </c>
      <c r="AN417" s="50">
        <f t="shared" si="295"/>
        <v>0</v>
      </c>
      <c r="AO417" s="50">
        <f t="shared" si="295"/>
        <v>0</v>
      </c>
      <c r="AP417" s="50">
        <f t="shared" si="295"/>
        <v>0</v>
      </c>
      <c r="AQ417" s="50">
        <f t="shared" si="295"/>
        <v>0</v>
      </c>
      <c r="AR417" s="50">
        <f t="shared" si="295"/>
        <v>0</v>
      </c>
      <c r="AS417" s="50">
        <f t="shared" si="295"/>
        <v>0</v>
      </c>
      <c r="AT417" s="50">
        <f t="shared" si="295"/>
        <v>0</v>
      </c>
      <c r="AU417" s="50">
        <f t="shared" si="295"/>
        <v>0</v>
      </c>
    </row>
    <row r="418" spans="1:47">
      <c r="A418" s="38" t="str">
        <f t="shared" si="294"/>
        <v>4Y-</v>
      </c>
      <c r="B418" s="38" t="s">
        <v>270</v>
      </c>
      <c r="C418" s="38" t="str">
        <f>C417</f>
        <v>Pre-Treatment (CAMBI)</v>
      </c>
      <c r="D418" s="186">
        <f>OMEsc</f>
        <v>0.02</v>
      </c>
      <c r="E418" s="325"/>
      <c r="G418" s="36" t="s">
        <v>126</v>
      </c>
      <c r="I418" s="39"/>
      <c r="K418" s="39"/>
      <c r="L418" s="43" t="str">
        <f>"["&amp;CostBaseYr&amp;" $]"</f>
        <v>[2013 $]</v>
      </c>
      <c r="N418" s="70">
        <f ca="1">SUMIFS(OFFSET(Assumptions!$I$90,0,MATCH($A418,Configurations,0)-1,COUNT(Assumptions!$A$90:$A$183),1),Assumptions!$D$90:$D$183,$B418&amp;$C418)</f>
        <v>0</v>
      </c>
      <c r="O418" s="313"/>
      <c r="P418" s="323"/>
      <c r="Q418" s="313"/>
      <c r="R418" s="50">
        <f t="shared" ref="R418:AG420" ca="1" si="296">IF(OR(R$99&lt;InServiceYr,R$99&gt;(InServiceYr+analysis_period-1)),0,IF($P418=0,$N418,$P418)*(1+$D418)^(R$99-CostBaseYr))</f>
        <v>0</v>
      </c>
      <c r="S418" s="50">
        <f t="shared" ca="1" si="296"/>
        <v>0</v>
      </c>
      <c r="T418" s="50">
        <f t="shared" ca="1" si="296"/>
        <v>0</v>
      </c>
      <c r="U418" s="50">
        <f t="shared" ca="1" si="296"/>
        <v>0</v>
      </c>
      <c r="V418" s="50">
        <f t="shared" ca="1" si="296"/>
        <v>0</v>
      </c>
      <c r="W418" s="50">
        <f t="shared" ca="1" si="296"/>
        <v>0</v>
      </c>
      <c r="X418" s="50">
        <f t="shared" ca="1" si="296"/>
        <v>0</v>
      </c>
      <c r="Y418" s="50">
        <f t="shared" ca="1" si="296"/>
        <v>0</v>
      </c>
      <c r="Z418" s="50">
        <f t="shared" ca="1" si="296"/>
        <v>0</v>
      </c>
      <c r="AA418" s="50">
        <f t="shared" ca="1" si="296"/>
        <v>0</v>
      </c>
      <c r="AB418" s="50">
        <f t="shared" ca="1" si="296"/>
        <v>0</v>
      </c>
      <c r="AC418" s="50">
        <f t="shared" ca="1" si="296"/>
        <v>0</v>
      </c>
      <c r="AD418" s="50">
        <f t="shared" ca="1" si="296"/>
        <v>0</v>
      </c>
      <c r="AE418" s="50">
        <f t="shared" ca="1" si="296"/>
        <v>0</v>
      </c>
      <c r="AF418" s="50">
        <f t="shared" ca="1" si="296"/>
        <v>0</v>
      </c>
      <c r="AG418" s="50">
        <f t="shared" ca="1" si="296"/>
        <v>0</v>
      </c>
      <c r="AH418" s="50">
        <f t="shared" ref="S418:AU420" ca="1" si="297">IF(OR(AH$99&lt;InServiceYr,AH$99&gt;(InServiceYr+analysis_period-1)),0,IF($P418=0,$N418,$P418)*(1+$D418)^(AH$99-CostBaseYr))</f>
        <v>0</v>
      </c>
      <c r="AI418" s="50">
        <f t="shared" ca="1" si="297"/>
        <v>0</v>
      </c>
      <c r="AJ418" s="50">
        <f t="shared" ca="1" si="297"/>
        <v>0</v>
      </c>
      <c r="AK418" s="50">
        <f t="shared" ca="1" si="297"/>
        <v>0</v>
      </c>
      <c r="AL418" s="50">
        <f t="shared" si="297"/>
        <v>0</v>
      </c>
      <c r="AM418" s="50">
        <f t="shared" si="297"/>
        <v>0</v>
      </c>
      <c r="AN418" s="50">
        <f t="shared" si="297"/>
        <v>0</v>
      </c>
      <c r="AO418" s="50">
        <f t="shared" si="297"/>
        <v>0</v>
      </c>
      <c r="AP418" s="50">
        <f t="shared" si="297"/>
        <v>0</v>
      </c>
      <c r="AQ418" s="50">
        <f t="shared" si="297"/>
        <v>0</v>
      </c>
      <c r="AR418" s="50">
        <f t="shared" si="297"/>
        <v>0</v>
      </c>
      <c r="AS418" s="50">
        <f t="shared" si="297"/>
        <v>0</v>
      </c>
      <c r="AT418" s="50">
        <f t="shared" si="297"/>
        <v>0</v>
      </c>
      <c r="AU418" s="50">
        <f t="shared" si="297"/>
        <v>0</v>
      </c>
    </row>
    <row r="419" spans="1:47">
      <c r="A419" s="38" t="str">
        <f t="shared" si="294"/>
        <v>4Y-</v>
      </c>
      <c r="B419" s="38" t="s">
        <v>263</v>
      </c>
      <c r="C419" s="38" t="str">
        <f t="shared" ref="C419:C423" si="298">C418</f>
        <v>Pre-Treatment (CAMBI)</v>
      </c>
      <c r="D419" s="186">
        <f>OMEsc</f>
        <v>0.02</v>
      </c>
      <c r="E419" s="325"/>
      <c r="G419" s="36" t="s">
        <v>127</v>
      </c>
      <c r="I419" s="39"/>
      <c r="K419" s="39"/>
      <c r="L419" s="43" t="str">
        <f>"["&amp;CostBaseYr&amp;" $]"</f>
        <v>[2013 $]</v>
      </c>
      <c r="N419" s="70">
        <f ca="1">SUMIFS(OFFSET(Assumptions!$I$90,0,MATCH($A419,Configurations,0)-1,COUNT(Assumptions!$A$90:$A$183),1),Assumptions!$D$90:$D$183,$B419&amp;$C419)</f>
        <v>0</v>
      </c>
      <c r="O419" s="313"/>
      <c r="P419" s="323"/>
      <c r="Q419" s="313"/>
      <c r="R419" s="50">
        <f t="shared" ca="1" si="296"/>
        <v>0</v>
      </c>
      <c r="S419" s="50">
        <f t="shared" ca="1" si="297"/>
        <v>0</v>
      </c>
      <c r="T419" s="50">
        <f t="shared" ca="1" si="297"/>
        <v>0</v>
      </c>
      <c r="U419" s="50">
        <f t="shared" ca="1" si="297"/>
        <v>0</v>
      </c>
      <c r="V419" s="50">
        <f t="shared" ca="1" si="297"/>
        <v>0</v>
      </c>
      <c r="W419" s="50">
        <f t="shared" ca="1" si="297"/>
        <v>0</v>
      </c>
      <c r="X419" s="50">
        <f t="shared" ca="1" si="297"/>
        <v>0</v>
      </c>
      <c r="Y419" s="50">
        <f t="shared" ca="1" si="297"/>
        <v>0</v>
      </c>
      <c r="Z419" s="50">
        <f t="shared" ca="1" si="297"/>
        <v>0</v>
      </c>
      <c r="AA419" s="50">
        <f t="shared" ca="1" si="297"/>
        <v>0</v>
      </c>
      <c r="AB419" s="50">
        <f t="shared" ca="1" si="297"/>
        <v>0</v>
      </c>
      <c r="AC419" s="50">
        <f t="shared" ca="1" si="297"/>
        <v>0</v>
      </c>
      <c r="AD419" s="50">
        <f t="shared" ca="1" si="297"/>
        <v>0</v>
      </c>
      <c r="AE419" s="50">
        <f t="shared" ca="1" si="297"/>
        <v>0</v>
      </c>
      <c r="AF419" s="50">
        <f t="shared" ca="1" si="297"/>
        <v>0</v>
      </c>
      <c r="AG419" s="50">
        <f t="shared" ca="1" si="297"/>
        <v>0</v>
      </c>
      <c r="AH419" s="50">
        <f t="shared" ca="1" si="297"/>
        <v>0</v>
      </c>
      <c r="AI419" s="50">
        <f t="shared" ca="1" si="297"/>
        <v>0</v>
      </c>
      <c r="AJ419" s="50">
        <f t="shared" ca="1" si="297"/>
        <v>0</v>
      </c>
      <c r="AK419" s="50">
        <f t="shared" ca="1" si="297"/>
        <v>0</v>
      </c>
      <c r="AL419" s="50">
        <f t="shared" si="297"/>
        <v>0</v>
      </c>
      <c r="AM419" s="50">
        <f t="shared" si="297"/>
        <v>0</v>
      </c>
      <c r="AN419" s="50">
        <f t="shared" si="297"/>
        <v>0</v>
      </c>
      <c r="AO419" s="50">
        <f t="shared" si="297"/>
        <v>0</v>
      </c>
      <c r="AP419" s="50">
        <f t="shared" si="297"/>
        <v>0</v>
      </c>
      <c r="AQ419" s="50">
        <f t="shared" si="297"/>
        <v>0</v>
      </c>
      <c r="AR419" s="50">
        <f t="shared" si="297"/>
        <v>0</v>
      </c>
      <c r="AS419" s="50">
        <f t="shared" si="297"/>
        <v>0</v>
      </c>
      <c r="AT419" s="50">
        <f t="shared" si="297"/>
        <v>0</v>
      </c>
      <c r="AU419" s="50">
        <f t="shared" si="297"/>
        <v>0</v>
      </c>
    </row>
    <row r="420" spans="1:47">
      <c r="A420" s="38" t="str">
        <f t="shared" si="294"/>
        <v>4Y-</v>
      </c>
      <c r="B420" s="38" t="s">
        <v>277</v>
      </c>
      <c r="C420" s="38" t="str">
        <f t="shared" si="298"/>
        <v>Pre-Treatment (CAMBI)</v>
      </c>
      <c r="D420" s="186">
        <f>OMEsc</f>
        <v>0.02</v>
      </c>
      <c r="E420" s="325"/>
      <c r="G420" s="36" t="s">
        <v>276</v>
      </c>
      <c r="I420" s="39"/>
      <c r="K420" s="39"/>
      <c r="L420" s="43" t="str">
        <f>"["&amp;CostBaseYr&amp;" $]"</f>
        <v>[2013 $]</v>
      </c>
      <c r="N420" s="70">
        <f ca="1">SUMIFS(OFFSET(Assumptions!$I$90,0,MATCH($A420,Configurations,0)-1,COUNT(Assumptions!$A$90:$A$183),1),Assumptions!$D$90:$D$183,$B420&amp;$C420)</f>
        <v>0</v>
      </c>
      <c r="O420" s="313"/>
      <c r="P420" s="323"/>
      <c r="Q420" s="313"/>
      <c r="R420" s="50">
        <f t="shared" ca="1" si="296"/>
        <v>0</v>
      </c>
      <c r="S420" s="50">
        <f t="shared" ca="1" si="297"/>
        <v>0</v>
      </c>
      <c r="T420" s="50">
        <f t="shared" ca="1" si="297"/>
        <v>0</v>
      </c>
      <c r="U420" s="50">
        <f t="shared" ca="1" si="297"/>
        <v>0</v>
      </c>
      <c r="V420" s="50">
        <f t="shared" ca="1" si="297"/>
        <v>0</v>
      </c>
      <c r="W420" s="50">
        <f t="shared" ca="1" si="297"/>
        <v>0</v>
      </c>
      <c r="X420" s="50">
        <f t="shared" ca="1" si="297"/>
        <v>0</v>
      </c>
      <c r="Y420" s="50">
        <f t="shared" ca="1" si="297"/>
        <v>0</v>
      </c>
      <c r="Z420" s="50">
        <f t="shared" ca="1" si="297"/>
        <v>0</v>
      </c>
      <c r="AA420" s="50">
        <f t="shared" ca="1" si="297"/>
        <v>0</v>
      </c>
      <c r="AB420" s="50">
        <f t="shared" ca="1" si="297"/>
        <v>0</v>
      </c>
      <c r="AC420" s="50">
        <f t="shared" ca="1" si="297"/>
        <v>0</v>
      </c>
      <c r="AD420" s="50">
        <f t="shared" ca="1" si="297"/>
        <v>0</v>
      </c>
      <c r="AE420" s="50">
        <f t="shared" ca="1" si="297"/>
        <v>0</v>
      </c>
      <c r="AF420" s="50">
        <f t="shared" ca="1" si="297"/>
        <v>0</v>
      </c>
      <c r="AG420" s="50">
        <f t="shared" ca="1" si="297"/>
        <v>0</v>
      </c>
      <c r="AH420" s="50">
        <f t="shared" ca="1" si="297"/>
        <v>0</v>
      </c>
      <c r="AI420" s="50">
        <f t="shared" ca="1" si="297"/>
        <v>0</v>
      </c>
      <c r="AJ420" s="50">
        <f t="shared" ca="1" si="297"/>
        <v>0</v>
      </c>
      <c r="AK420" s="50">
        <f t="shared" ca="1" si="297"/>
        <v>0</v>
      </c>
      <c r="AL420" s="50">
        <f t="shared" si="297"/>
        <v>0</v>
      </c>
      <c r="AM420" s="50">
        <f t="shared" si="297"/>
        <v>0</v>
      </c>
      <c r="AN420" s="50">
        <f t="shared" si="297"/>
        <v>0</v>
      </c>
      <c r="AO420" s="50">
        <f t="shared" si="297"/>
        <v>0</v>
      </c>
      <c r="AP420" s="50">
        <f t="shared" si="297"/>
        <v>0</v>
      </c>
      <c r="AQ420" s="50">
        <f t="shared" si="297"/>
        <v>0</v>
      </c>
      <c r="AR420" s="50">
        <f t="shared" si="297"/>
        <v>0</v>
      </c>
      <c r="AS420" s="50">
        <f t="shared" si="297"/>
        <v>0</v>
      </c>
      <c r="AT420" s="50">
        <f t="shared" si="297"/>
        <v>0</v>
      </c>
      <c r="AU420" s="50">
        <f t="shared" si="297"/>
        <v>0</v>
      </c>
    </row>
    <row r="421" spans="1:47">
      <c r="A421" s="38" t="str">
        <f t="shared" si="294"/>
        <v>4Y-</v>
      </c>
      <c r="B421" s="38" t="s">
        <v>274</v>
      </c>
      <c r="C421" s="38" t="str">
        <f t="shared" si="298"/>
        <v>Pre-Treatment (CAMBI)</v>
      </c>
      <c r="D421" s="186"/>
      <c r="E421" s="325"/>
      <c r="G421" s="36" t="s">
        <v>16</v>
      </c>
      <c r="I421" s="39"/>
      <c r="K421" s="39"/>
      <c r="L421" s="43" t="s">
        <v>275</v>
      </c>
      <c r="N421" s="70">
        <f ca="1">SUMIFS(OFFSET(Assumptions!$I$90,0,MATCH($A421,Configurations,0)-1,COUNT(Assumptions!$A$90:$A$183),1),Assumptions!$D$90:$D$183,$B421&amp;$C421)</f>
        <v>0</v>
      </c>
      <c r="O421" s="313"/>
      <c r="P421" s="323"/>
      <c r="Q421" s="313"/>
      <c r="R421" s="50">
        <f t="shared" ref="R421:AU421" ca="1" si="299">IF(OR(R$99&lt;InServiceYr,R$99&gt;(InServiceYr+analysis_period-1)),0,IF($P421=0,$N421,$P421)*R$505)</f>
        <v>0</v>
      </c>
      <c r="S421" s="50">
        <f t="shared" ca="1" si="299"/>
        <v>0</v>
      </c>
      <c r="T421" s="50">
        <f t="shared" ca="1" si="299"/>
        <v>0</v>
      </c>
      <c r="U421" s="50">
        <f t="shared" ca="1" si="299"/>
        <v>0</v>
      </c>
      <c r="V421" s="50">
        <f t="shared" ca="1" si="299"/>
        <v>0</v>
      </c>
      <c r="W421" s="50">
        <f t="shared" ca="1" si="299"/>
        <v>0</v>
      </c>
      <c r="X421" s="50">
        <f t="shared" ca="1" si="299"/>
        <v>0</v>
      </c>
      <c r="Y421" s="50">
        <f t="shared" ca="1" si="299"/>
        <v>0</v>
      </c>
      <c r="Z421" s="50">
        <f t="shared" ca="1" si="299"/>
        <v>0</v>
      </c>
      <c r="AA421" s="50">
        <f t="shared" ca="1" si="299"/>
        <v>0</v>
      </c>
      <c r="AB421" s="50">
        <f t="shared" ca="1" si="299"/>
        <v>0</v>
      </c>
      <c r="AC421" s="50">
        <f t="shared" ca="1" si="299"/>
        <v>0</v>
      </c>
      <c r="AD421" s="50">
        <f t="shared" ca="1" si="299"/>
        <v>0</v>
      </c>
      <c r="AE421" s="50">
        <f t="shared" ca="1" si="299"/>
        <v>0</v>
      </c>
      <c r="AF421" s="50">
        <f t="shared" ca="1" si="299"/>
        <v>0</v>
      </c>
      <c r="AG421" s="50">
        <f t="shared" ca="1" si="299"/>
        <v>0</v>
      </c>
      <c r="AH421" s="50">
        <f t="shared" ca="1" si="299"/>
        <v>0</v>
      </c>
      <c r="AI421" s="50">
        <f t="shared" ca="1" si="299"/>
        <v>0</v>
      </c>
      <c r="AJ421" s="50">
        <f t="shared" ca="1" si="299"/>
        <v>0</v>
      </c>
      <c r="AK421" s="50">
        <f t="shared" ca="1" si="299"/>
        <v>0</v>
      </c>
      <c r="AL421" s="50">
        <f t="shared" si="299"/>
        <v>0</v>
      </c>
      <c r="AM421" s="50">
        <f t="shared" si="299"/>
        <v>0</v>
      </c>
      <c r="AN421" s="50">
        <f t="shared" si="299"/>
        <v>0</v>
      </c>
      <c r="AO421" s="50">
        <f t="shared" si="299"/>
        <v>0</v>
      </c>
      <c r="AP421" s="50">
        <f t="shared" si="299"/>
        <v>0</v>
      </c>
      <c r="AQ421" s="50">
        <f t="shared" si="299"/>
        <v>0</v>
      </c>
      <c r="AR421" s="50">
        <f t="shared" si="299"/>
        <v>0</v>
      </c>
      <c r="AS421" s="50">
        <f t="shared" si="299"/>
        <v>0</v>
      </c>
      <c r="AT421" s="50">
        <f t="shared" si="299"/>
        <v>0</v>
      </c>
      <c r="AU421" s="50">
        <f t="shared" si="299"/>
        <v>0</v>
      </c>
    </row>
    <row r="422" spans="1:47">
      <c r="A422" s="38" t="str">
        <f t="shared" si="294"/>
        <v>4Y-</v>
      </c>
      <c r="B422" s="38" t="s">
        <v>257</v>
      </c>
      <c r="C422" s="38" t="str">
        <f t="shared" si="298"/>
        <v>Pre-Treatment (CAMBI)</v>
      </c>
      <c r="D422" s="186"/>
      <c r="E422" s="325"/>
      <c r="G422" s="36" t="s">
        <v>284</v>
      </c>
      <c r="I422" s="39"/>
      <c r="K422" s="39"/>
      <c r="L422" s="43" t="s">
        <v>293</v>
      </c>
      <c r="N422" s="70">
        <f ca="1">SUMIFS(OFFSET(Assumptions!$I$90,0,MATCH($A422,Configurations,0)-1,COUNT(Assumptions!$A$90:$A$183),1),Assumptions!$D$90:$D$183,$B422&amp;$C422)</f>
        <v>0</v>
      </c>
      <c r="O422" s="313"/>
      <c r="P422" s="323"/>
      <c r="Q422" s="313"/>
      <c r="R422" s="50">
        <f t="shared" ref="R422:AU422" ca="1" si="300">IF(OR(R$99&lt;InServiceYr,R$99&gt;(InServiceYr+analysis_period-1)),0,IF($P422=0,$N422,$P422)*R$501)</f>
        <v>0</v>
      </c>
      <c r="S422" s="50">
        <f t="shared" ca="1" si="300"/>
        <v>0</v>
      </c>
      <c r="T422" s="50">
        <f t="shared" ca="1" si="300"/>
        <v>0</v>
      </c>
      <c r="U422" s="50">
        <f t="shared" ca="1" si="300"/>
        <v>0</v>
      </c>
      <c r="V422" s="50">
        <f t="shared" ca="1" si="300"/>
        <v>0</v>
      </c>
      <c r="W422" s="50">
        <f t="shared" ca="1" si="300"/>
        <v>0</v>
      </c>
      <c r="X422" s="50">
        <f t="shared" ca="1" si="300"/>
        <v>0</v>
      </c>
      <c r="Y422" s="50">
        <f t="shared" ca="1" si="300"/>
        <v>0</v>
      </c>
      <c r="Z422" s="50">
        <f t="shared" ca="1" si="300"/>
        <v>0</v>
      </c>
      <c r="AA422" s="50">
        <f t="shared" ca="1" si="300"/>
        <v>0</v>
      </c>
      <c r="AB422" s="50">
        <f t="shared" ca="1" si="300"/>
        <v>0</v>
      </c>
      <c r="AC422" s="50">
        <f t="shared" ca="1" si="300"/>
        <v>0</v>
      </c>
      <c r="AD422" s="50">
        <f t="shared" ca="1" si="300"/>
        <v>0</v>
      </c>
      <c r="AE422" s="50">
        <f t="shared" ca="1" si="300"/>
        <v>0</v>
      </c>
      <c r="AF422" s="50">
        <f t="shared" ca="1" si="300"/>
        <v>0</v>
      </c>
      <c r="AG422" s="50">
        <f t="shared" ca="1" si="300"/>
        <v>0</v>
      </c>
      <c r="AH422" s="50">
        <f t="shared" ca="1" si="300"/>
        <v>0</v>
      </c>
      <c r="AI422" s="50">
        <f t="shared" ca="1" si="300"/>
        <v>0</v>
      </c>
      <c r="AJ422" s="50">
        <f t="shared" ca="1" si="300"/>
        <v>0</v>
      </c>
      <c r="AK422" s="50">
        <f t="shared" ca="1" si="300"/>
        <v>0</v>
      </c>
      <c r="AL422" s="50">
        <f t="shared" si="300"/>
        <v>0</v>
      </c>
      <c r="AM422" s="50">
        <f t="shared" si="300"/>
        <v>0</v>
      </c>
      <c r="AN422" s="50">
        <f t="shared" si="300"/>
        <v>0</v>
      </c>
      <c r="AO422" s="50">
        <f t="shared" si="300"/>
        <v>0</v>
      </c>
      <c r="AP422" s="50">
        <f t="shared" si="300"/>
        <v>0</v>
      </c>
      <c r="AQ422" s="50">
        <f t="shared" si="300"/>
        <v>0</v>
      </c>
      <c r="AR422" s="50">
        <f t="shared" si="300"/>
        <v>0</v>
      </c>
      <c r="AS422" s="50">
        <f t="shared" si="300"/>
        <v>0</v>
      </c>
      <c r="AT422" s="50">
        <f t="shared" si="300"/>
        <v>0</v>
      </c>
      <c r="AU422" s="50">
        <f t="shared" si="300"/>
        <v>0</v>
      </c>
    </row>
    <row r="423" spans="1:47">
      <c r="A423" s="38" t="str">
        <f t="shared" si="294"/>
        <v>4Y-</v>
      </c>
      <c r="B423" s="38" t="s">
        <v>864</v>
      </c>
      <c r="C423" s="38" t="str">
        <f t="shared" si="298"/>
        <v>Pre-Treatment (CAMBI)</v>
      </c>
      <c r="D423" s="186">
        <f>GHGEsc</f>
        <v>0.02</v>
      </c>
      <c r="E423" s="325"/>
      <c r="G423" s="36" t="s">
        <v>865</v>
      </c>
      <c r="I423" s="39"/>
      <c r="K423" s="39"/>
      <c r="L423" s="43" t="s">
        <v>866</v>
      </c>
      <c r="N423" s="70">
        <f ca="1">SUMIFS(OFFSET(Assumptions!$I$90,0,MATCH($A423,Configurations,0)-1,COUNT(Assumptions!$A$90:$A$183),1),Assumptions!$D$90:$D$183,$B423&amp;$C423)</f>
        <v>0</v>
      </c>
      <c r="O423" s="313"/>
      <c r="P423" s="323"/>
      <c r="Q423" s="313"/>
      <c r="R423" s="50">
        <f t="shared" ref="R423:AU423" ca="1" si="301">IF(OR(R$99&lt;InServiceYr,R$99&gt;(InServiceYr+analysis_period-1)),0,IF($P423=0,$N423,$P423)*R$513)</f>
        <v>0</v>
      </c>
      <c r="S423" s="50">
        <f t="shared" ca="1" si="301"/>
        <v>0</v>
      </c>
      <c r="T423" s="50">
        <f t="shared" ca="1" si="301"/>
        <v>0</v>
      </c>
      <c r="U423" s="50">
        <f t="shared" ca="1" si="301"/>
        <v>0</v>
      </c>
      <c r="V423" s="50">
        <f t="shared" ca="1" si="301"/>
        <v>0</v>
      </c>
      <c r="W423" s="50">
        <f t="shared" ca="1" si="301"/>
        <v>0</v>
      </c>
      <c r="X423" s="50">
        <f t="shared" ca="1" si="301"/>
        <v>0</v>
      </c>
      <c r="Y423" s="50">
        <f t="shared" ca="1" si="301"/>
        <v>0</v>
      </c>
      <c r="Z423" s="50">
        <f t="shared" ca="1" si="301"/>
        <v>0</v>
      </c>
      <c r="AA423" s="50">
        <f t="shared" ca="1" si="301"/>
        <v>0</v>
      </c>
      <c r="AB423" s="50">
        <f t="shared" ca="1" si="301"/>
        <v>0</v>
      </c>
      <c r="AC423" s="50">
        <f t="shared" ca="1" si="301"/>
        <v>0</v>
      </c>
      <c r="AD423" s="50">
        <f t="shared" ca="1" si="301"/>
        <v>0</v>
      </c>
      <c r="AE423" s="50">
        <f t="shared" ca="1" si="301"/>
        <v>0</v>
      </c>
      <c r="AF423" s="50">
        <f t="shared" ca="1" si="301"/>
        <v>0</v>
      </c>
      <c r="AG423" s="50">
        <f t="shared" ca="1" si="301"/>
        <v>0</v>
      </c>
      <c r="AH423" s="50">
        <f t="shared" ca="1" si="301"/>
        <v>0</v>
      </c>
      <c r="AI423" s="50">
        <f t="shared" ca="1" si="301"/>
        <v>0</v>
      </c>
      <c r="AJ423" s="50">
        <f t="shared" ca="1" si="301"/>
        <v>0</v>
      </c>
      <c r="AK423" s="50">
        <f t="shared" ca="1" si="301"/>
        <v>0</v>
      </c>
      <c r="AL423" s="50">
        <f t="shared" si="301"/>
        <v>0</v>
      </c>
      <c r="AM423" s="50">
        <f t="shared" si="301"/>
        <v>0</v>
      </c>
      <c r="AN423" s="50">
        <f t="shared" si="301"/>
        <v>0</v>
      </c>
      <c r="AO423" s="50">
        <f t="shared" si="301"/>
        <v>0</v>
      </c>
      <c r="AP423" s="50">
        <f t="shared" si="301"/>
        <v>0</v>
      </c>
      <c r="AQ423" s="50">
        <f t="shared" si="301"/>
        <v>0</v>
      </c>
      <c r="AR423" s="50">
        <f t="shared" si="301"/>
        <v>0</v>
      </c>
      <c r="AS423" s="50">
        <f t="shared" si="301"/>
        <v>0</v>
      </c>
      <c r="AT423" s="50">
        <f t="shared" si="301"/>
        <v>0</v>
      </c>
      <c r="AU423" s="50">
        <f t="shared" si="301"/>
        <v>0</v>
      </c>
    </row>
    <row r="424" spans="1:47">
      <c r="A424" s="38" t="str">
        <f t="shared" si="294"/>
        <v>4Y-</v>
      </c>
      <c r="B424" s="38" t="s">
        <v>273</v>
      </c>
      <c r="C424" s="38" t="str">
        <f>C422</f>
        <v>Pre-Treatment (CAMBI)</v>
      </c>
      <c r="D424" s="186">
        <f>LaborEsc</f>
        <v>0.02</v>
      </c>
      <c r="E424" s="325"/>
      <c r="G424" s="36" t="s">
        <v>291</v>
      </c>
      <c r="I424" s="39"/>
      <c r="K424" s="39"/>
      <c r="L424" s="43" t="str">
        <f>"["&amp;CostBaseYr&amp;" $]"</f>
        <v>[2013 $]</v>
      </c>
      <c r="N424" s="70">
        <f ca="1">SUMIFS(OFFSET(Assumptions!$I$90,0,MATCH($A424,Configurations,0)-1,COUNT(Assumptions!$A$90:$A$183),1),Assumptions!$D$90:$D$183,$B424&amp;$C424)</f>
        <v>0</v>
      </c>
      <c r="O424" s="313"/>
      <c r="P424" s="323"/>
      <c r="Q424" s="313"/>
      <c r="R424" s="50">
        <f t="shared" ref="R424:AU424" ca="1" si="302">IF(OR(R$99&lt;InServiceYr,R$99&gt;(InServiceYr+analysis_period-1)),0,IF($P424=0,$N424,$P424)*(1+$D424)^(R$99-CostBaseYr))*R$509</f>
        <v>0</v>
      </c>
      <c r="S424" s="50">
        <f t="shared" ca="1" si="302"/>
        <v>0</v>
      </c>
      <c r="T424" s="50">
        <f t="shared" ca="1" si="302"/>
        <v>0</v>
      </c>
      <c r="U424" s="50">
        <f t="shared" ca="1" si="302"/>
        <v>0</v>
      </c>
      <c r="V424" s="50">
        <f t="shared" ca="1" si="302"/>
        <v>0</v>
      </c>
      <c r="W424" s="50">
        <f t="shared" ca="1" si="302"/>
        <v>0</v>
      </c>
      <c r="X424" s="50">
        <f t="shared" ca="1" si="302"/>
        <v>0</v>
      </c>
      <c r="Y424" s="50">
        <f t="shared" ca="1" si="302"/>
        <v>0</v>
      </c>
      <c r="Z424" s="50">
        <f t="shared" ca="1" si="302"/>
        <v>0</v>
      </c>
      <c r="AA424" s="50">
        <f t="shared" ca="1" si="302"/>
        <v>0</v>
      </c>
      <c r="AB424" s="50">
        <f t="shared" ca="1" si="302"/>
        <v>0</v>
      </c>
      <c r="AC424" s="50">
        <f t="shared" ca="1" si="302"/>
        <v>0</v>
      </c>
      <c r="AD424" s="50">
        <f t="shared" ca="1" si="302"/>
        <v>0</v>
      </c>
      <c r="AE424" s="50">
        <f t="shared" ca="1" si="302"/>
        <v>0</v>
      </c>
      <c r="AF424" s="50">
        <f t="shared" ca="1" si="302"/>
        <v>0</v>
      </c>
      <c r="AG424" s="50">
        <f t="shared" ca="1" si="302"/>
        <v>0</v>
      </c>
      <c r="AH424" s="50">
        <f t="shared" ca="1" si="302"/>
        <v>0</v>
      </c>
      <c r="AI424" s="50">
        <f t="shared" ca="1" si="302"/>
        <v>0</v>
      </c>
      <c r="AJ424" s="50">
        <f t="shared" ca="1" si="302"/>
        <v>0</v>
      </c>
      <c r="AK424" s="50">
        <f t="shared" ca="1" si="302"/>
        <v>0</v>
      </c>
      <c r="AL424" s="50">
        <f t="shared" si="302"/>
        <v>0</v>
      </c>
      <c r="AM424" s="50">
        <f t="shared" si="302"/>
        <v>0</v>
      </c>
      <c r="AN424" s="50">
        <f t="shared" si="302"/>
        <v>0</v>
      </c>
      <c r="AO424" s="50">
        <f t="shared" si="302"/>
        <v>0</v>
      </c>
      <c r="AP424" s="50">
        <f t="shared" si="302"/>
        <v>0</v>
      </c>
      <c r="AQ424" s="50">
        <f t="shared" si="302"/>
        <v>0</v>
      </c>
      <c r="AR424" s="50">
        <f t="shared" si="302"/>
        <v>0</v>
      </c>
      <c r="AS424" s="50">
        <f t="shared" si="302"/>
        <v>0</v>
      </c>
      <c r="AT424" s="50">
        <f t="shared" si="302"/>
        <v>0</v>
      </c>
      <c r="AU424" s="50">
        <f t="shared" si="302"/>
        <v>0</v>
      </c>
    </row>
    <row r="425" spans="1:47">
      <c r="D425" s="186"/>
      <c r="E425" s="325"/>
      <c r="G425" s="39" t="s">
        <v>304</v>
      </c>
      <c r="I425" s="39"/>
      <c r="K425" s="39"/>
      <c r="L425" s="43"/>
      <c r="N425" s="70"/>
      <c r="O425" s="313"/>
      <c r="P425" s="70"/>
      <c r="Q425" s="313"/>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row>
    <row r="426" spans="1:47">
      <c r="A426" s="38" t="str">
        <f>$J$4&amp;"-"</f>
        <v>4Y-</v>
      </c>
      <c r="B426" s="38" t="s">
        <v>265</v>
      </c>
      <c r="C426" s="38" t="str">
        <f>C417</f>
        <v>Pre-Treatment (CAMBI)</v>
      </c>
      <c r="D426" s="186"/>
      <c r="E426" s="325"/>
      <c r="G426" s="36" t="s">
        <v>108</v>
      </c>
      <c r="I426" s="39"/>
      <c r="K426" s="39"/>
      <c r="L426" s="43" t="s">
        <v>293</v>
      </c>
      <c r="N426" s="70">
        <f ca="1">SUMIFS(OFFSET(Assumptions!$I$90,0,MATCH($A426,Configurations,0)-1,COUNT(Assumptions!$A$90:$A$183),1),Assumptions!$D$90:$D$183,$B426&amp;$C426)</f>
        <v>0</v>
      </c>
      <c r="O426" s="313"/>
      <c r="P426" s="323"/>
      <c r="Q426" s="313"/>
      <c r="R426" s="50">
        <f t="shared" ref="R426:AU426" ca="1" si="303">IF(OR(R$99&lt;InServiceYr,R$99&gt;(InServiceYr+analysis_period-1)),0,IF($P426=0,$N426,$P426)*R$501)</f>
        <v>0</v>
      </c>
      <c r="S426" s="50">
        <f t="shared" ca="1" si="303"/>
        <v>0</v>
      </c>
      <c r="T426" s="50">
        <f t="shared" ca="1" si="303"/>
        <v>0</v>
      </c>
      <c r="U426" s="50">
        <f t="shared" ca="1" si="303"/>
        <v>0</v>
      </c>
      <c r="V426" s="50">
        <f t="shared" ca="1" si="303"/>
        <v>0</v>
      </c>
      <c r="W426" s="50">
        <f t="shared" ca="1" si="303"/>
        <v>0</v>
      </c>
      <c r="X426" s="50">
        <f t="shared" ca="1" si="303"/>
        <v>0</v>
      </c>
      <c r="Y426" s="50">
        <f t="shared" ca="1" si="303"/>
        <v>0</v>
      </c>
      <c r="Z426" s="50">
        <f t="shared" ca="1" si="303"/>
        <v>0</v>
      </c>
      <c r="AA426" s="50">
        <f t="shared" ca="1" si="303"/>
        <v>0</v>
      </c>
      <c r="AB426" s="50">
        <f t="shared" ca="1" si="303"/>
        <v>0</v>
      </c>
      <c r="AC426" s="50">
        <f t="shared" ca="1" si="303"/>
        <v>0</v>
      </c>
      <c r="AD426" s="50">
        <f t="shared" ca="1" si="303"/>
        <v>0</v>
      </c>
      <c r="AE426" s="50">
        <f t="shared" ca="1" si="303"/>
        <v>0</v>
      </c>
      <c r="AF426" s="50">
        <f t="shared" ca="1" si="303"/>
        <v>0</v>
      </c>
      <c r="AG426" s="50">
        <f t="shared" ca="1" si="303"/>
        <v>0</v>
      </c>
      <c r="AH426" s="50">
        <f t="shared" ca="1" si="303"/>
        <v>0</v>
      </c>
      <c r="AI426" s="50">
        <f t="shared" ca="1" si="303"/>
        <v>0</v>
      </c>
      <c r="AJ426" s="50">
        <f t="shared" ca="1" si="303"/>
        <v>0</v>
      </c>
      <c r="AK426" s="50">
        <f t="shared" ca="1" si="303"/>
        <v>0</v>
      </c>
      <c r="AL426" s="50">
        <f t="shared" si="303"/>
        <v>0</v>
      </c>
      <c r="AM426" s="50">
        <f t="shared" si="303"/>
        <v>0</v>
      </c>
      <c r="AN426" s="50">
        <f t="shared" si="303"/>
        <v>0</v>
      </c>
      <c r="AO426" s="50">
        <f t="shared" si="303"/>
        <v>0</v>
      </c>
      <c r="AP426" s="50">
        <f t="shared" si="303"/>
        <v>0</v>
      </c>
      <c r="AQ426" s="50">
        <f t="shared" si="303"/>
        <v>0</v>
      </c>
      <c r="AR426" s="50">
        <f t="shared" si="303"/>
        <v>0</v>
      </c>
      <c r="AS426" s="50">
        <f t="shared" si="303"/>
        <v>0</v>
      </c>
      <c r="AT426" s="50">
        <f t="shared" si="303"/>
        <v>0</v>
      </c>
      <c r="AU426" s="50">
        <f t="shared" si="303"/>
        <v>0</v>
      </c>
    </row>
    <row r="427" spans="1:47">
      <c r="A427" s="38" t="str">
        <f>$J$4&amp;"-"</f>
        <v>4Y-</v>
      </c>
      <c r="B427" s="38" t="s">
        <v>289</v>
      </c>
      <c r="C427" s="38" t="str">
        <f>C417</f>
        <v>Pre-Treatment (CAMBI)</v>
      </c>
      <c r="D427" s="186">
        <f>LaborEsc</f>
        <v>0.02</v>
      </c>
      <c r="E427" s="325"/>
      <c r="G427" s="36" t="s">
        <v>292</v>
      </c>
      <c r="I427" s="39"/>
      <c r="K427" s="39"/>
      <c r="L427" s="43" t="str">
        <f>"["&amp;CostBaseYr&amp;" $]"</f>
        <v>[2013 $]</v>
      </c>
      <c r="N427" s="70">
        <f ca="1">SUMIFS(OFFSET(Assumptions!$I$90,0,MATCH($A427,Configurations,0)-1,COUNT(Assumptions!$A$90:$A$183),1),Assumptions!$D$90:$D$183,$B427&amp;$C427)</f>
        <v>0</v>
      </c>
      <c r="O427" s="313"/>
      <c r="P427" s="323"/>
      <c r="Q427" s="313"/>
      <c r="R427" s="50">
        <f t="shared" ref="R427:AU427" ca="1" si="304">IF(OR(R$99&lt;InServiceYr,R$99&gt;(InServiceYr+analysis_period-1)),0,IF($P427=0,$N427,$P427)*(1+$D427)^(R$99-CostBaseYr))</f>
        <v>0</v>
      </c>
      <c r="S427" s="50">
        <f t="shared" ca="1" si="304"/>
        <v>0</v>
      </c>
      <c r="T427" s="50">
        <f t="shared" ca="1" si="304"/>
        <v>0</v>
      </c>
      <c r="U427" s="50">
        <f t="shared" ca="1" si="304"/>
        <v>0</v>
      </c>
      <c r="V427" s="50">
        <f t="shared" ca="1" si="304"/>
        <v>0</v>
      </c>
      <c r="W427" s="50">
        <f t="shared" ca="1" si="304"/>
        <v>0</v>
      </c>
      <c r="X427" s="50">
        <f t="shared" ca="1" si="304"/>
        <v>0</v>
      </c>
      <c r="Y427" s="50">
        <f t="shared" ca="1" si="304"/>
        <v>0</v>
      </c>
      <c r="Z427" s="50">
        <f t="shared" ca="1" si="304"/>
        <v>0</v>
      </c>
      <c r="AA427" s="50">
        <f t="shared" ca="1" si="304"/>
        <v>0</v>
      </c>
      <c r="AB427" s="50">
        <f t="shared" ca="1" si="304"/>
        <v>0</v>
      </c>
      <c r="AC427" s="50">
        <f t="shared" ca="1" si="304"/>
        <v>0</v>
      </c>
      <c r="AD427" s="50">
        <f t="shared" ca="1" si="304"/>
        <v>0</v>
      </c>
      <c r="AE427" s="50">
        <f t="shared" ca="1" si="304"/>
        <v>0</v>
      </c>
      <c r="AF427" s="50">
        <f t="shared" ca="1" si="304"/>
        <v>0</v>
      </c>
      <c r="AG427" s="50">
        <f t="shared" ca="1" si="304"/>
        <v>0</v>
      </c>
      <c r="AH427" s="50">
        <f t="shared" ca="1" si="304"/>
        <v>0</v>
      </c>
      <c r="AI427" s="50">
        <f t="shared" ca="1" si="304"/>
        <v>0</v>
      </c>
      <c r="AJ427" s="50">
        <f t="shared" ca="1" si="304"/>
        <v>0</v>
      </c>
      <c r="AK427" s="50">
        <f t="shared" ca="1" si="304"/>
        <v>0</v>
      </c>
      <c r="AL427" s="50">
        <f t="shared" si="304"/>
        <v>0</v>
      </c>
      <c r="AM427" s="50">
        <f t="shared" si="304"/>
        <v>0</v>
      </c>
      <c r="AN427" s="50">
        <f t="shared" si="304"/>
        <v>0</v>
      </c>
      <c r="AO427" s="50">
        <f t="shared" si="304"/>
        <v>0</v>
      </c>
      <c r="AP427" s="50">
        <f t="shared" si="304"/>
        <v>0</v>
      </c>
      <c r="AQ427" s="50">
        <f t="shared" si="304"/>
        <v>0</v>
      </c>
      <c r="AR427" s="50">
        <f t="shared" si="304"/>
        <v>0</v>
      </c>
      <c r="AS427" s="50">
        <f t="shared" si="304"/>
        <v>0</v>
      </c>
      <c r="AT427" s="50">
        <f t="shared" si="304"/>
        <v>0</v>
      </c>
      <c r="AU427" s="50">
        <f t="shared" si="304"/>
        <v>0</v>
      </c>
    </row>
    <row r="428" spans="1:47" s="60" customFormat="1">
      <c r="D428" s="187"/>
      <c r="E428" s="325"/>
      <c r="G428" s="39" t="s">
        <v>305</v>
      </c>
      <c r="I428" s="39"/>
      <c r="K428" s="39"/>
      <c r="L428" s="174"/>
      <c r="N428" s="188"/>
      <c r="O428" s="314"/>
      <c r="P428" s="185"/>
      <c r="Q428" s="314"/>
      <c r="R428" s="185">
        <f ca="1">SUM(R417:R424)-SUM(R426:R427)</f>
        <v>0</v>
      </c>
      <c r="S428" s="185">
        <f t="shared" ref="S428:AU428" ca="1" si="305">SUM(S417:S424)-SUM(S426:S427)</f>
        <v>0</v>
      </c>
      <c r="T428" s="185">
        <f t="shared" ca="1" si="305"/>
        <v>0</v>
      </c>
      <c r="U428" s="185">
        <f t="shared" ca="1" si="305"/>
        <v>0</v>
      </c>
      <c r="V428" s="185">
        <f t="shared" ca="1" si="305"/>
        <v>0</v>
      </c>
      <c r="W428" s="185">
        <f t="shared" ca="1" si="305"/>
        <v>0</v>
      </c>
      <c r="X428" s="185">
        <f t="shared" ca="1" si="305"/>
        <v>0</v>
      </c>
      <c r="Y428" s="185">
        <f t="shared" ca="1" si="305"/>
        <v>0</v>
      </c>
      <c r="Z428" s="185">
        <f t="shared" ca="1" si="305"/>
        <v>0</v>
      </c>
      <c r="AA428" s="185">
        <f t="shared" ca="1" si="305"/>
        <v>0</v>
      </c>
      <c r="AB428" s="185">
        <f t="shared" ca="1" si="305"/>
        <v>0</v>
      </c>
      <c r="AC428" s="185">
        <f t="shared" ca="1" si="305"/>
        <v>0</v>
      </c>
      <c r="AD428" s="185">
        <f t="shared" ca="1" si="305"/>
        <v>0</v>
      </c>
      <c r="AE428" s="185">
        <f t="shared" ca="1" si="305"/>
        <v>0</v>
      </c>
      <c r="AF428" s="185">
        <f t="shared" ca="1" si="305"/>
        <v>0</v>
      </c>
      <c r="AG428" s="185">
        <f t="shared" ca="1" si="305"/>
        <v>0</v>
      </c>
      <c r="AH428" s="185">
        <f t="shared" ca="1" si="305"/>
        <v>0</v>
      </c>
      <c r="AI428" s="185">
        <f t="shared" ca="1" si="305"/>
        <v>0</v>
      </c>
      <c r="AJ428" s="185">
        <f t="shared" ca="1" si="305"/>
        <v>0</v>
      </c>
      <c r="AK428" s="185">
        <f t="shared" ca="1" si="305"/>
        <v>0</v>
      </c>
      <c r="AL428" s="185">
        <f t="shared" si="305"/>
        <v>0</v>
      </c>
      <c r="AM428" s="185">
        <f t="shared" si="305"/>
        <v>0</v>
      </c>
      <c r="AN428" s="185">
        <f t="shared" si="305"/>
        <v>0</v>
      </c>
      <c r="AO428" s="185">
        <f t="shared" si="305"/>
        <v>0</v>
      </c>
      <c r="AP428" s="185">
        <f t="shared" si="305"/>
        <v>0</v>
      </c>
      <c r="AQ428" s="185">
        <f t="shared" si="305"/>
        <v>0</v>
      </c>
      <c r="AR428" s="185">
        <f t="shared" si="305"/>
        <v>0</v>
      </c>
      <c r="AS428" s="185">
        <f t="shared" si="305"/>
        <v>0</v>
      </c>
      <c r="AT428" s="185">
        <f t="shared" si="305"/>
        <v>0</v>
      </c>
      <c r="AU428" s="185">
        <f t="shared" si="305"/>
        <v>0</v>
      </c>
    </row>
    <row r="429" spans="1:47">
      <c r="E429" s="36"/>
      <c r="G429" s="39"/>
      <c r="H429" s="39"/>
      <c r="I429" s="39"/>
      <c r="J429" s="39"/>
      <c r="K429" s="39"/>
    </row>
    <row r="430" spans="1:47">
      <c r="E430" s="327"/>
      <c r="F430" s="28"/>
      <c r="G430" s="324" t="str">
        <f>C432&amp;" Capital Costs"</f>
        <v>Sitework Capital Costs</v>
      </c>
      <c r="H430" s="324"/>
      <c r="I430" s="324"/>
      <c r="J430" s="324"/>
      <c r="K430" s="324"/>
      <c r="L430" s="405" t="s">
        <v>79</v>
      </c>
      <c r="M430" s="256"/>
      <c r="N430" s="325" t="s">
        <v>490</v>
      </c>
      <c r="O430" s="311"/>
      <c r="P430" s="325" t="s">
        <v>491</v>
      </c>
      <c r="Q430" s="310"/>
      <c r="R430" s="325">
        <f>R$8</f>
        <v>2014</v>
      </c>
      <c r="S430" s="325">
        <f t="shared" ref="S430:AU430" si="306">S$8</f>
        <v>2015</v>
      </c>
      <c r="T430" s="325">
        <f t="shared" si="306"/>
        <v>2016</v>
      </c>
      <c r="U430" s="325">
        <f t="shared" si="306"/>
        <v>2017</v>
      </c>
      <c r="V430" s="325">
        <f t="shared" si="306"/>
        <v>2018</v>
      </c>
      <c r="W430" s="325">
        <f t="shared" si="306"/>
        <v>2019</v>
      </c>
      <c r="X430" s="325">
        <f t="shared" si="306"/>
        <v>2020</v>
      </c>
      <c r="Y430" s="325">
        <f t="shared" si="306"/>
        <v>2021</v>
      </c>
      <c r="Z430" s="325">
        <f t="shared" si="306"/>
        <v>2022</v>
      </c>
      <c r="AA430" s="325">
        <f t="shared" si="306"/>
        <v>2023</v>
      </c>
      <c r="AB430" s="325">
        <f t="shared" si="306"/>
        <v>2024</v>
      </c>
      <c r="AC430" s="325">
        <f t="shared" si="306"/>
        <v>2025</v>
      </c>
      <c r="AD430" s="325">
        <f t="shared" si="306"/>
        <v>2026</v>
      </c>
      <c r="AE430" s="325">
        <f t="shared" si="306"/>
        <v>2027</v>
      </c>
      <c r="AF430" s="325">
        <f t="shared" si="306"/>
        <v>2028</v>
      </c>
      <c r="AG430" s="325">
        <f t="shared" si="306"/>
        <v>2029</v>
      </c>
      <c r="AH430" s="325">
        <f t="shared" si="306"/>
        <v>2030</v>
      </c>
      <c r="AI430" s="325">
        <f t="shared" si="306"/>
        <v>2031</v>
      </c>
      <c r="AJ430" s="325">
        <f t="shared" si="306"/>
        <v>2032</v>
      </c>
      <c r="AK430" s="325">
        <f t="shared" si="306"/>
        <v>2033</v>
      </c>
      <c r="AL430" s="325">
        <f t="shared" si="306"/>
        <v>2034</v>
      </c>
      <c r="AM430" s="325">
        <f t="shared" si="306"/>
        <v>2035</v>
      </c>
      <c r="AN430" s="325">
        <f t="shared" si="306"/>
        <v>2036</v>
      </c>
      <c r="AO430" s="325">
        <f t="shared" si="306"/>
        <v>2037</v>
      </c>
      <c r="AP430" s="325">
        <f t="shared" si="306"/>
        <v>2038</v>
      </c>
      <c r="AQ430" s="325">
        <f t="shared" si="306"/>
        <v>2039</v>
      </c>
      <c r="AR430" s="325">
        <f t="shared" si="306"/>
        <v>2040</v>
      </c>
      <c r="AS430" s="325">
        <f t="shared" si="306"/>
        <v>2041</v>
      </c>
      <c r="AT430" s="325">
        <f t="shared" si="306"/>
        <v>2042</v>
      </c>
      <c r="AU430" s="325">
        <f t="shared" si="306"/>
        <v>2043</v>
      </c>
    </row>
    <row r="431" spans="1:47">
      <c r="E431" s="325"/>
      <c r="G431" s="39"/>
      <c r="H431" s="39"/>
      <c r="I431" s="39"/>
      <c r="J431" s="39"/>
      <c r="K431" s="39"/>
    </row>
    <row r="432" spans="1:47">
      <c r="A432" s="38" t="str">
        <f>$J$4&amp;"-"</f>
        <v>4Y-</v>
      </c>
      <c r="B432" s="38" t="s">
        <v>306</v>
      </c>
      <c r="C432" s="38" t="s">
        <v>113</v>
      </c>
      <c r="D432" s="186">
        <f>CapExEsc</f>
        <v>0.03</v>
      </c>
      <c r="E432" s="325"/>
      <c r="G432" s="36" t="s">
        <v>8</v>
      </c>
      <c r="H432" s="39"/>
      <c r="I432" s="39"/>
      <c r="J432" s="70"/>
      <c r="K432" s="39"/>
      <c r="L432" s="43" t="str">
        <f>"["&amp;CostBaseYr&amp;" $]"</f>
        <v>[2013 $]</v>
      </c>
      <c r="N432" s="52">
        <f ca="1">SUMIFS(OFFSET(Assumptions!$I$65,0,MATCH($A432,Configurations,0)-1,COUNT(Assumptions!$A$65:$A$84),1),Assumptions!$E$65:$E$84,$C432)</f>
        <v>942000</v>
      </c>
      <c r="O432" s="52"/>
      <c r="P432" s="322"/>
      <c r="Q432" s="52"/>
      <c r="R432" s="52">
        <f t="shared" ref="R432:AU432" ca="1" si="307">R433*IF($P432=0,$N432,$P432)*(1+$D432)^(R$8-CostBaseYr)</f>
        <v>970260</v>
      </c>
      <c r="S432" s="52">
        <f t="shared" ca="1" si="307"/>
        <v>0</v>
      </c>
      <c r="T432" s="52">
        <f t="shared" ca="1" si="307"/>
        <v>0</v>
      </c>
      <c r="U432" s="52">
        <f t="shared" ca="1" si="307"/>
        <v>0</v>
      </c>
      <c r="V432" s="52">
        <f t="shared" ca="1" si="307"/>
        <v>0</v>
      </c>
      <c r="W432" s="52">
        <f t="shared" ca="1" si="307"/>
        <v>0</v>
      </c>
      <c r="X432" s="52">
        <f t="shared" ca="1" si="307"/>
        <v>0</v>
      </c>
      <c r="Y432" s="52">
        <f t="shared" ca="1" si="307"/>
        <v>0</v>
      </c>
      <c r="Z432" s="52">
        <f t="shared" ca="1" si="307"/>
        <v>0</v>
      </c>
      <c r="AA432" s="52">
        <f t="shared" ca="1" si="307"/>
        <v>0</v>
      </c>
      <c r="AB432" s="52">
        <f t="shared" ca="1" si="307"/>
        <v>0</v>
      </c>
      <c r="AC432" s="52">
        <f t="shared" ca="1" si="307"/>
        <v>0</v>
      </c>
      <c r="AD432" s="52">
        <f t="shared" ca="1" si="307"/>
        <v>0</v>
      </c>
      <c r="AE432" s="52">
        <f t="shared" ca="1" si="307"/>
        <v>0</v>
      </c>
      <c r="AF432" s="52">
        <f t="shared" ca="1" si="307"/>
        <v>0</v>
      </c>
      <c r="AG432" s="52">
        <f t="shared" ca="1" si="307"/>
        <v>0</v>
      </c>
      <c r="AH432" s="52">
        <f t="shared" ca="1" si="307"/>
        <v>0</v>
      </c>
      <c r="AI432" s="52">
        <f t="shared" ca="1" si="307"/>
        <v>0</v>
      </c>
      <c r="AJ432" s="52">
        <f t="shared" ca="1" si="307"/>
        <v>0</v>
      </c>
      <c r="AK432" s="52">
        <f t="shared" ca="1" si="307"/>
        <v>0</v>
      </c>
      <c r="AL432" s="52">
        <f t="shared" ca="1" si="307"/>
        <v>0</v>
      </c>
      <c r="AM432" s="52">
        <f t="shared" ca="1" si="307"/>
        <v>0</v>
      </c>
      <c r="AN432" s="52">
        <f t="shared" ca="1" si="307"/>
        <v>0</v>
      </c>
      <c r="AO432" s="52">
        <f t="shared" ca="1" si="307"/>
        <v>0</v>
      </c>
      <c r="AP432" s="52">
        <f t="shared" ca="1" si="307"/>
        <v>0</v>
      </c>
      <c r="AQ432" s="52">
        <f t="shared" ca="1" si="307"/>
        <v>0</v>
      </c>
      <c r="AR432" s="52">
        <f t="shared" ca="1" si="307"/>
        <v>0</v>
      </c>
      <c r="AS432" s="52">
        <f t="shared" ca="1" si="307"/>
        <v>0</v>
      </c>
      <c r="AT432" s="52">
        <f t="shared" ca="1" si="307"/>
        <v>0</v>
      </c>
      <c r="AU432" s="52">
        <f t="shared" ca="1" si="307"/>
        <v>0</v>
      </c>
    </row>
    <row r="433" spans="1:47">
      <c r="E433" s="325"/>
      <c r="G433" s="36" t="s">
        <v>10</v>
      </c>
      <c r="H433" s="39"/>
      <c r="I433" s="39"/>
      <c r="J433" s="39"/>
      <c r="K433" s="39"/>
      <c r="L433" s="43"/>
      <c r="R433" s="54">
        <f>Assumptions!M$60</f>
        <v>1</v>
      </c>
      <c r="S433" s="54">
        <f>Assumptions!N$60</f>
        <v>0</v>
      </c>
      <c r="T433" s="54">
        <f>Assumptions!O$60</f>
        <v>0</v>
      </c>
      <c r="U433" s="54">
        <f>Assumptions!P$60</f>
        <v>0</v>
      </c>
      <c r="V433" s="54">
        <f>Assumptions!Q$60</f>
        <v>0</v>
      </c>
      <c r="W433" s="54">
        <f>Assumptions!R$60</f>
        <v>0</v>
      </c>
      <c r="X433" s="54">
        <f>Assumptions!S$60</f>
        <v>0</v>
      </c>
      <c r="Y433" s="54">
        <f>Assumptions!T$60</f>
        <v>0</v>
      </c>
      <c r="Z433" s="54">
        <f>Assumptions!U$60</f>
        <v>0</v>
      </c>
      <c r="AA433" s="54">
        <f>Assumptions!V$60</f>
        <v>0</v>
      </c>
      <c r="AB433" s="54">
        <f>Assumptions!W$60</f>
        <v>0</v>
      </c>
      <c r="AC433" s="54">
        <f>Assumptions!X$60</f>
        <v>0</v>
      </c>
      <c r="AD433" s="54">
        <f>Assumptions!Y$60</f>
        <v>0</v>
      </c>
      <c r="AE433" s="54">
        <f>Assumptions!Z$60</f>
        <v>0</v>
      </c>
      <c r="AF433" s="54">
        <f>Assumptions!AA$60</f>
        <v>0</v>
      </c>
      <c r="AG433" s="54">
        <f>Assumptions!AB$60</f>
        <v>0</v>
      </c>
      <c r="AH433" s="54">
        <f>Assumptions!AC$60</f>
        <v>0</v>
      </c>
      <c r="AI433" s="54">
        <f>Assumptions!AD$60</f>
        <v>0</v>
      </c>
      <c r="AJ433" s="54">
        <f>Assumptions!AE$60</f>
        <v>0</v>
      </c>
      <c r="AK433" s="54">
        <f>Assumptions!AF$60</f>
        <v>0</v>
      </c>
      <c r="AL433" s="54">
        <f>Assumptions!AG$60</f>
        <v>0</v>
      </c>
      <c r="AM433" s="54">
        <f>Assumptions!AH$60</f>
        <v>0</v>
      </c>
      <c r="AN433" s="54">
        <f>Assumptions!AI$60</f>
        <v>0</v>
      </c>
      <c r="AO433" s="54">
        <f>Assumptions!AJ$60</f>
        <v>0</v>
      </c>
      <c r="AP433" s="54">
        <f>Assumptions!AK$60</f>
        <v>0</v>
      </c>
      <c r="AQ433" s="54">
        <f>Assumptions!AL$60</f>
        <v>0</v>
      </c>
      <c r="AR433" s="54">
        <f>Assumptions!AM$60</f>
        <v>0</v>
      </c>
      <c r="AS433" s="54">
        <f>Assumptions!AN$60</f>
        <v>0</v>
      </c>
      <c r="AT433" s="54">
        <f>Assumptions!AO$60</f>
        <v>0</v>
      </c>
      <c r="AU433" s="54">
        <f>Assumptions!AP$60</f>
        <v>0</v>
      </c>
    </row>
    <row r="434" spans="1:47">
      <c r="E434" s="36"/>
      <c r="G434" s="39"/>
      <c r="H434" s="39"/>
      <c r="I434" s="39"/>
      <c r="J434" s="39"/>
      <c r="K434" s="39"/>
    </row>
    <row r="435" spans="1:47">
      <c r="E435" s="327"/>
      <c r="F435" s="28"/>
      <c r="G435" s="324" t="str">
        <f>C437&amp;" Capital Costs"</f>
        <v>General Requirements Capital Costs</v>
      </c>
      <c r="H435" s="324"/>
      <c r="I435" s="324"/>
      <c r="J435" s="324"/>
      <c r="K435" s="324"/>
      <c r="L435" s="405" t="s">
        <v>79</v>
      </c>
      <c r="M435" s="256"/>
      <c r="N435" s="325" t="s">
        <v>490</v>
      </c>
      <c r="O435" s="311"/>
      <c r="P435" s="325" t="s">
        <v>491</v>
      </c>
      <c r="Q435" s="310"/>
      <c r="R435" s="325">
        <f>R$8</f>
        <v>2014</v>
      </c>
      <c r="S435" s="325">
        <f t="shared" ref="S435:AU435" si="308">S$8</f>
        <v>2015</v>
      </c>
      <c r="T435" s="325">
        <f t="shared" si="308"/>
        <v>2016</v>
      </c>
      <c r="U435" s="325">
        <f t="shared" si="308"/>
        <v>2017</v>
      </c>
      <c r="V435" s="325">
        <f t="shared" si="308"/>
        <v>2018</v>
      </c>
      <c r="W435" s="325">
        <f t="shared" si="308"/>
        <v>2019</v>
      </c>
      <c r="X435" s="325">
        <f t="shared" si="308"/>
        <v>2020</v>
      </c>
      <c r="Y435" s="325">
        <f t="shared" si="308"/>
        <v>2021</v>
      </c>
      <c r="Z435" s="325">
        <f t="shared" si="308"/>
        <v>2022</v>
      </c>
      <c r="AA435" s="325">
        <f t="shared" si="308"/>
        <v>2023</v>
      </c>
      <c r="AB435" s="325">
        <f t="shared" si="308"/>
        <v>2024</v>
      </c>
      <c r="AC435" s="325">
        <f t="shared" si="308"/>
        <v>2025</v>
      </c>
      <c r="AD435" s="325">
        <f t="shared" si="308"/>
        <v>2026</v>
      </c>
      <c r="AE435" s="325">
        <f t="shared" si="308"/>
        <v>2027</v>
      </c>
      <c r="AF435" s="325">
        <f t="shared" si="308"/>
        <v>2028</v>
      </c>
      <c r="AG435" s="325">
        <f t="shared" si="308"/>
        <v>2029</v>
      </c>
      <c r="AH435" s="325">
        <f t="shared" si="308"/>
        <v>2030</v>
      </c>
      <c r="AI435" s="325">
        <f t="shared" si="308"/>
        <v>2031</v>
      </c>
      <c r="AJ435" s="325">
        <f t="shared" si="308"/>
        <v>2032</v>
      </c>
      <c r="AK435" s="325">
        <f t="shared" si="308"/>
        <v>2033</v>
      </c>
      <c r="AL435" s="325">
        <f t="shared" si="308"/>
        <v>2034</v>
      </c>
      <c r="AM435" s="325">
        <f t="shared" si="308"/>
        <v>2035</v>
      </c>
      <c r="AN435" s="325">
        <f t="shared" si="308"/>
        <v>2036</v>
      </c>
      <c r="AO435" s="325">
        <f t="shared" si="308"/>
        <v>2037</v>
      </c>
      <c r="AP435" s="325">
        <f t="shared" si="308"/>
        <v>2038</v>
      </c>
      <c r="AQ435" s="325">
        <f t="shared" si="308"/>
        <v>2039</v>
      </c>
      <c r="AR435" s="325">
        <f t="shared" si="308"/>
        <v>2040</v>
      </c>
      <c r="AS435" s="325">
        <f t="shared" si="308"/>
        <v>2041</v>
      </c>
      <c r="AT435" s="325">
        <f t="shared" si="308"/>
        <v>2042</v>
      </c>
      <c r="AU435" s="325">
        <f t="shared" si="308"/>
        <v>2043</v>
      </c>
    </row>
    <row r="436" spans="1:47">
      <c r="E436" s="325"/>
      <c r="G436" s="39"/>
      <c r="H436" s="39"/>
      <c r="I436" s="39"/>
      <c r="J436" s="39"/>
      <c r="K436" s="39"/>
    </row>
    <row r="437" spans="1:47">
      <c r="A437" s="38" t="str">
        <f>$J$4&amp;"-"</f>
        <v>4Y-</v>
      </c>
      <c r="B437" s="38" t="s">
        <v>306</v>
      </c>
      <c r="C437" s="38" t="s">
        <v>115</v>
      </c>
      <c r="D437" s="186">
        <f>CapExEsc</f>
        <v>0.03</v>
      </c>
      <c r="E437" s="325"/>
      <c r="G437" s="36" t="s">
        <v>8</v>
      </c>
      <c r="H437" s="39"/>
      <c r="I437" s="39"/>
      <c r="J437" s="70"/>
      <c r="K437" s="39"/>
      <c r="L437" s="43" t="str">
        <f>"["&amp;CostBaseYr&amp;" $]"</f>
        <v>[2013 $]</v>
      </c>
      <c r="N437" s="52">
        <f ca="1">SUMIFS(OFFSET(Assumptions!$I$65,0,MATCH($A437,Configurations,0)-1,COUNT(Assumptions!$A$65:$A$84),1),Assumptions!$E$65:$E$84,$C437)</f>
        <v>1884000</v>
      </c>
      <c r="O437" s="52"/>
      <c r="P437" s="322"/>
      <c r="Q437" s="52"/>
      <c r="R437" s="52">
        <f t="shared" ref="R437:AU437" ca="1" si="309">R438*IF($P437=0,$N437,$P437)*(1+$D437)^(R$8-CostBaseYr)</f>
        <v>1940520</v>
      </c>
      <c r="S437" s="52">
        <f t="shared" ca="1" si="309"/>
        <v>0</v>
      </c>
      <c r="T437" s="52">
        <f t="shared" ca="1" si="309"/>
        <v>0</v>
      </c>
      <c r="U437" s="52">
        <f t="shared" ca="1" si="309"/>
        <v>0</v>
      </c>
      <c r="V437" s="52">
        <f t="shared" ca="1" si="309"/>
        <v>0</v>
      </c>
      <c r="W437" s="52">
        <f t="shared" ca="1" si="309"/>
        <v>0</v>
      </c>
      <c r="X437" s="52">
        <f t="shared" ca="1" si="309"/>
        <v>0</v>
      </c>
      <c r="Y437" s="52">
        <f t="shared" ca="1" si="309"/>
        <v>0</v>
      </c>
      <c r="Z437" s="52">
        <f t="shared" ca="1" si="309"/>
        <v>0</v>
      </c>
      <c r="AA437" s="52">
        <f t="shared" ca="1" si="309"/>
        <v>0</v>
      </c>
      <c r="AB437" s="52">
        <f t="shared" ca="1" si="309"/>
        <v>0</v>
      </c>
      <c r="AC437" s="52">
        <f t="shared" ca="1" si="309"/>
        <v>0</v>
      </c>
      <c r="AD437" s="52">
        <f t="shared" ca="1" si="309"/>
        <v>0</v>
      </c>
      <c r="AE437" s="52">
        <f t="shared" ca="1" si="309"/>
        <v>0</v>
      </c>
      <c r="AF437" s="52">
        <f t="shared" ca="1" si="309"/>
        <v>0</v>
      </c>
      <c r="AG437" s="52">
        <f t="shared" ca="1" si="309"/>
        <v>0</v>
      </c>
      <c r="AH437" s="52">
        <f t="shared" ca="1" si="309"/>
        <v>0</v>
      </c>
      <c r="AI437" s="52">
        <f t="shared" ca="1" si="309"/>
        <v>0</v>
      </c>
      <c r="AJ437" s="52">
        <f t="shared" ca="1" si="309"/>
        <v>0</v>
      </c>
      <c r="AK437" s="52">
        <f t="shared" ca="1" si="309"/>
        <v>0</v>
      </c>
      <c r="AL437" s="52">
        <f t="shared" ca="1" si="309"/>
        <v>0</v>
      </c>
      <c r="AM437" s="52">
        <f t="shared" ca="1" si="309"/>
        <v>0</v>
      </c>
      <c r="AN437" s="52">
        <f t="shared" ca="1" si="309"/>
        <v>0</v>
      </c>
      <c r="AO437" s="52">
        <f t="shared" ca="1" si="309"/>
        <v>0</v>
      </c>
      <c r="AP437" s="52">
        <f t="shared" ca="1" si="309"/>
        <v>0</v>
      </c>
      <c r="AQ437" s="52">
        <f t="shared" ca="1" si="309"/>
        <v>0</v>
      </c>
      <c r="AR437" s="52">
        <f t="shared" ca="1" si="309"/>
        <v>0</v>
      </c>
      <c r="AS437" s="52">
        <f t="shared" ca="1" si="309"/>
        <v>0</v>
      </c>
      <c r="AT437" s="52">
        <f t="shared" ca="1" si="309"/>
        <v>0</v>
      </c>
      <c r="AU437" s="52">
        <f t="shared" ca="1" si="309"/>
        <v>0</v>
      </c>
    </row>
    <row r="438" spans="1:47">
      <c r="E438" s="325"/>
      <c r="G438" s="36" t="s">
        <v>10</v>
      </c>
      <c r="H438" s="39"/>
      <c r="I438" s="39"/>
      <c r="J438" s="39"/>
      <c r="K438" s="39"/>
      <c r="L438" s="43"/>
      <c r="R438" s="54">
        <f>Assumptions!M$60</f>
        <v>1</v>
      </c>
      <c r="S438" s="54">
        <f>Assumptions!N$60</f>
        <v>0</v>
      </c>
      <c r="T438" s="54">
        <f>Assumptions!O$60</f>
        <v>0</v>
      </c>
      <c r="U438" s="54">
        <f>Assumptions!P$60</f>
        <v>0</v>
      </c>
      <c r="V438" s="54">
        <f>Assumptions!Q$60</f>
        <v>0</v>
      </c>
      <c r="W438" s="54">
        <f>Assumptions!R$60</f>
        <v>0</v>
      </c>
      <c r="X438" s="54">
        <f>Assumptions!S$60</f>
        <v>0</v>
      </c>
      <c r="Y438" s="54">
        <f>Assumptions!T$60</f>
        <v>0</v>
      </c>
      <c r="Z438" s="54">
        <f>Assumptions!U$60</f>
        <v>0</v>
      </c>
      <c r="AA438" s="54">
        <f>Assumptions!V$60</f>
        <v>0</v>
      </c>
      <c r="AB438" s="54">
        <f>Assumptions!W$60</f>
        <v>0</v>
      </c>
      <c r="AC438" s="54">
        <f>Assumptions!X$60</f>
        <v>0</v>
      </c>
      <c r="AD438" s="54">
        <f>Assumptions!Y$60</f>
        <v>0</v>
      </c>
      <c r="AE438" s="54">
        <f>Assumptions!Z$60</f>
        <v>0</v>
      </c>
      <c r="AF438" s="54">
        <f>Assumptions!AA$60</f>
        <v>0</v>
      </c>
      <c r="AG438" s="54">
        <f>Assumptions!AB$60</f>
        <v>0</v>
      </c>
      <c r="AH438" s="54">
        <f>Assumptions!AC$60</f>
        <v>0</v>
      </c>
      <c r="AI438" s="54">
        <f>Assumptions!AD$60</f>
        <v>0</v>
      </c>
      <c r="AJ438" s="54">
        <f>Assumptions!AE$60</f>
        <v>0</v>
      </c>
      <c r="AK438" s="54">
        <f>Assumptions!AF$60</f>
        <v>0</v>
      </c>
      <c r="AL438" s="54">
        <f>Assumptions!AG$60</f>
        <v>0</v>
      </c>
      <c r="AM438" s="54">
        <f>Assumptions!AH$60</f>
        <v>0</v>
      </c>
      <c r="AN438" s="54">
        <f>Assumptions!AI$60</f>
        <v>0</v>
      </c>
      <c r="AO438" s="54">
        <f>Assumptions!AJ$60</f>
        <v>0</v>
      </c>
      <c r="AP438" s="54">
        <f>Assumptions!AK$60</f>
        <v>0</v>
      </c>
      <c r="AQ438" s="54">
        <f>Assumptions!AL$60</f>
        <v>0</v>
      </c>
      <c r="AR438" s="54">
        <f>Assumptions!AM$60</f>
        <v>0</v>
      </c>
      <c r="AS438" s="54">
        <f>Assumptions!AN$60</f>
        <v>0</v>
      </c>
      <c r="AT438" s="54">
        <f>Assumptions!AO$60</f>
        <v>0</v>
      </c>
      <c r="AU438" s="54">
        <f>Assumptions!AP$60</f>
        <v>0</v>
      </c>
    </row>
    <row r="439" spans="1:47">
      <c r="E439" s="36"/>
      <c r="G439" s="39"/>
      <c r="H439" s="39"/>
      <c r="I439" s="39"/>
      <c r="J439" s="39"/>
      <c r="K439" s="39"/>
    </row>
    <row r="440" spans="1:47">
      <c r="E440" s="327"/>
      <c r="F440" s="28"/>
      <c r="G440" s="324" t="str">
        <f>C442&amp;" Capital Costs"</f>
        <v>Contingencies Capital Costs</v>
      </c>
      <c r="H440" s="324"/>
      <c r="I440" s="324"/>
      <c r="J440" s="324"/>
      <c r="K440" s="324"/>
      <c r="L440" s="405" t="s">
        <v>79</v>
      </c>
      <c r="M440" s="256"/>
      <c r="N440" s="325" t="s">
        <v>490</v>
      </c>
      <c r="O440" s="311"/>
      <c r="P440" s="325" t="s">
        <v>491</v>
      </c>
      <c r="Q440" s="310"/>
      <c r="R440" s="325">
        <f>R$8</f>
        <v>2014</v>
      </c>
      <c r="S440" s="325">
        <f t="shared" ref="S440:AU440" si="310">S$8</f>
        <v>2015</v>
      </c>
      <c r="T440" s="325">
        <f t="shared" si="310"/>
        <v>2016</v>
      </c>
      <c r="U440" s="325">
        <f t="shared" si="310"/>
        <v>2017</v>
      </c>
      <c r="V440" s="325">
        <f t="shared" si="310"/>
        <v>2018</v>
      </c>
      <c r="W440" s="325">
        <f t="shared" si="310"/>
        <v>2019</v>
      </c>
      <c r="X440" s="325">
        <f t="shared" si="310"/>
        <v>2020</v>
      </c>
      <c r="Y440" s="325">
        <f t="shared" si="310"/>
        <v>2021</v>
      </c>
      <c r="Z440" s="325">
        <f t="shared" si="310"/>
        <v>2022</v>
      </c>
      <c r="AA440" s="325">
        <f t="shared" si="310"/>
        <v>2023</v>
      </c>
      <c r="AB440" s="325">
        <f t="shared" si="310"/>
        <v>2024</v>
      </c>
      <c r="AC440" s="325">
        <f t="shared" si="310"/>
        <v>2025</v>
      </c>
      <c r="AD440" s="325">
        <f t="shared" si="310"/>
        <v>2026</v>
      </c>
      <c r="AE440" s="325">
        <f t="shared" si="310"/>
        <v>2027</v>
      </c>
      <c r="AF440" s="325">
        <f t="shared" si="310"/>
        <v>2028</v>
      </c>
      <c r="AG440" s="325">
        <f t="shared" si="310"/>
        <v>2029</v>
      </c>
      <c r="AH440" s="325">
        <f t="shared" si="310"/>
        <v>2030</v>
      </c>
      <c r="AI440" s="325">
        <f t="shared" si="310"/>
        <v>2031</v>
      </c>
      <c r="AJ440" s="325">
        <f t="shared" si="310"/>
        <v>2032</v>
      </c>
      <c r="AK440" s="325">
        <f t="shared" si="310"/>
        <v>2033</v>
      </c>
      <c r="AL440" s="325">
        <f t="shared" si="310"/>
        <v>2034</v>
      </c>
      <c r="AM440" s="325">
        <f t="shared" si="310"/>
        <v>2035</v>
      </c>
      <c r="AN440" s="325">
        <f t="shared" si="310"/>
        <v>2036</v>
      </c>
      <c r="AO440" s="325">
        <f t="shared" si="310"/>
        <v>2037</v>
      </c>
      <c r="AP440" s="325">
        <f t="shared" si="310"/>
        <v>2038</v>
      </c>
      <c r="AQ440" s="325">
        <f t="shared" si="310"/>
        <v>2039</v>
      </c>
      <c r="AR440" s="325">
        <f t="shared" si="310"/>
        <v>2040</v>
      </c>
      <c r="AS440" s="325">
        <f t="shared" si="310"/>
        <v>2041</v>
      </c>
      <c r="AT440" s="325">
        <f t="shared" si="310"/>
        <v>2042</v>
      </c>
      <c r="AU440" s="325">
        <f t="shared" si="310"/>
        <v>2043</v>
      </c>
    </row>
    <row r="441" spans="1:47">
      <c r="E441" s="325"/>
      <c r="G441" s="39"/>
      <c r="H441" s="39"/>
      <c r="I441" s="39"/>
      <c r="J441" s="39"/>
      <c r="K441" s="39"/>
    </row>
    <row r="442" spans="1:47">
      <c r="A442" s="38" t="str">
        <f>$J$4&amp;"-"</f>
        <v>4Y-</v>
      </c>
      <c r="B442" s="38" t="s">
        <v>306</v>
      </c>
      <c r="C442" s="38" t="s">
        <v>146</v>
      </c>
      <c r="D442" s="186">
        <f>CapExEsc</f>
        <v>0.03</v>
      </c>
      <c r="E442" s="325"/>
      <c r="G442" s="36" t="s">
        <v>8</v>
      </c>
      <c r="H442" s="39"/>
      <c r="I442" s="39"/>
      <c r="J442" s="70"/>
      <c r="K442" s="39"/>
      <c r="L442" s="43" t="str">
        <f>"["&amp;CostBaseYr&amp;" $]"</f>
        <v>[2013 $]</v>
      </c>
      <c r="N442" s="52">
        <f ca="1">SUMIFS(OFFSET(Assumptions!$I$65,0,MATCH($A442,Configurations,0)-1,COUNT(Assumptions!$A$65:$A$84),1),Assumptions!$E$65:$E$84,$C442)</f>
        <v>6500000</v>
      </c>
      <c r="O442" s="52"/>
      <c r="P442" s="322"/>
      <c r="Q442" s="52"/>
      <c r="R442" s="52">
        <f t="shared" ref="R442:AU442" ca="1" si="311">R443*IF($P442=0,$N442,$P442)*(1+$D442)^(R$8-CostBaseYr)</f>
        <v>6695000</v>
      </c>
      <c r="S442" s="52">
        <f t="shared" ca="1" si="311"/>
        <v>0</v>
      </c>
      <c r="T442" s="52">
        <f t="shared" ca="1" si="311"/>
        <v>0</v>
      </c>
      <c r="U442" s="52">
        <f t="shared" ca="1" si="311"/>
        <v>0</v>
      </c>
      <c r="V442" s="52">
        <f t="shared" ca="1" si="311"/>
        <v>0</v>
      </c>
      <c r="W442" s="52">
        <f t="shared" ca="1" si="311"/>
        <v>0</v>
      </c>
      <c r="X442" s="52">
        <f t="shared" ca="1" si="311"/>
        <v>0</v>
      </c>
      <c r="Y442" s="52">
        <f t="shared" ca="1" si="311"/>
        <v>0</v>
      </c>
      <c r="Z442" s="52">
        <f t="shared" ca="1" si="311"/>
        <v>0</v>
      </c>
      <c r="AA442" s="52">
        <f t="shared" ca="1" si="311"/>
        <v>0</v>
      </c>
      <c r="AB442" s="52">
        <f t="shared" ca="1" si="311"/>
        <v>0</v>
      </c>
      <c r="AC442" s="52">
        <f t="shared" ca="1" si="311"/>
        <v>0</v>
      </c>
      <c r="AD442" s="52">
        <f t="shared" ca="1" si="311"/>
        <v>0</v>
      </c>
      <c r="AE442" s="52">
        <f t="shared" ca="1" si="311"/>
        <v>0</v>
      </c>
      <c r="AF442" s="52">
        <f t="shared" ca="1" si="311"/>
        <v>0</v>
      </c>
      <c r="AG442" s="52">
        <f t="shared" ca="1" si="311"/>
        <v>0</v>
      </c>
      <c r="AH442" s="52">
        <f t="shared" ca="1" si="311"/>
        <v>0</v>
      </c>
      <c r="AI442" s="52">
        <f t="shared" ca="1" si="311"/>
        <v>0</v>
      </c>
      <c r="AJ442" s="52">
        <f t="shared" ca="1" si="311"/>
        <v>0</v>
      </c>
      <c r="AK442" s="52">
        <f t="shared" ca="1" si="311"/>
        <v>0</v>
      </c>
      <c r="AL442" s="52">
        <f t="shared" ca="1" si="311"/>
        <v>0</v>
      </c>
      <c r="AM442" s="52">
        <f t="shared" ca="1" si="311"/>
        <v>0</v>
      </c>
      <c r="AN442" s="52">
        <f t="shared" ca="1" si="311"/>
        <v>0</v>
      </c>
      <c r="AO442" s="52">
        <f t="shared" ca="1" si="311"/>
        <v>0</v>
      </c>
      <c r="AP442" s="52">
        <f t="shared" ca="1" si="311"/>
        <v>0</v>
      </c>
      <c r="AQ442" s="52">
        <f t="shared" ca="1" si="311"/>
        <v>0</v>
      </c>
      <c r="AR442" s="52">
        <f t="shared" ca="1" si="311"/>
        <v>0</v>
      </c>
      <c r="AS442" s="52">
        <f t="shared" ca="1" si="311"/>
        <v>0</v>
      </c>
      <c r="AT442" s="52">
        <f t="shared" ca="1" si="311"/>
        <v>0</v>
      </c>
      <c r="AU442" s="52">
        <f t="shared" ca="1" si="311"/>
        <v>0</v>
      </c>
    </row>
    <row r="443" spans="1:47">
      <c r="E443" s="325"/>
      <c r="G443" s="36" t="s">
        <v>10</v>
      </c>
      <c r="H443" s="39"/>
      <c r="I443" s="39"/>
      <c r="J443" s="39"/>
      <c r="K443" s="39"/>
      <c r="L443" s="43"/>
      <c r="R443" s="54">
        <f>Assumptions!M$60</f>
        <v>1</v>
      </c>
      <c r="S443" s="54">
        <f>Assumptions!N$60</f>
        <v>0</v>
      </c>
      <c r="T443" s="54">
        <f>Assumptions!O$60</f>
        <v>0</v>
      </c>
      <c r="U443" s="54">
        <f>Assumptions!P$60</f>
        <v>0</v>
      </c>
      <c r="V443" s="54">
        <f>Assumptions!Q$60</f>
        <v>0</v>
      </c>
      <c r="W443" s="54">
        <f>Assumptions!R$60</f>
        <v>0</v>
      </c>
      <c r="X443" s="54">
        <f>Assumptions!S$60</f>
        <v>0</v>
      </c>
      <c r="Y443" s="54">
        <f>Assumptions!T$60</f>
        <v>0</v>
      </c>
      <c r="Z443" s="54">
        <f>Assumptions!U$60</f>
        <v>0</v>
      </c>
      <c r="AA443" s="54">
        <f>Assumptions!V$60</f>
        <v>0</v>
      </c>
      <c r="AB443" s="54">
        <f>Assumptions!W$60</f>
        <v>0</v>
      </c>
      <c r="AC443" s="54">
        <f>Assumptions!X$60</f>
        <v>0</v>
      </c>
      <c r="AD443" s="54">
        <f>Assumptions!Y$60</f>
        <v>0</v>
      </c>
      <c r="AE443" s="54">
        <f>Assumptions!Z$60</f>
        <v>0</v>
      </c>
      <c r="AF443" s="54">
        <f>Assumptions!AA$60</f>
        <v>0</v>
      </c>
      <c r="AG443" s="54">
        <f>Assumptions!AB$60</f>
        <v>0</v>
      </c>
      <c r="AH443" s="54">
        <f>Assumptions!AC$60</f>
        <v>0</v>
      </c>
      <c r="AI443" s="54">
        <f>Assumptions!AD$60</f>
        <v>0</v>
      </c>
      <c r="AJ443" s="54">
        <f>Assumptions!AE$60</f>
        <v>0</v>
      </c>
      <c r="AK443" s="54">
        <f>Assumptions!AF$60</f>
        <v>0</v>
      </c>
      <c r="AL443" s="54">
        <f>Assumptions!AG$60</f>
        <v>0</v>
      </c>
      <c r="AM443" s="54">
        <f>Assumptions!AH$60</f>
        <v>0</v>
      </c>
      <c r="AN443" s="54">
        <f>Assumptions!AI$60</f>
        <v>0</v>
      </c>
      <c r="AO443" s="54">
        <f>Assumptions!AJ$60</f>
        <v>0</v>
      </c>
      <c r="AP443" s="54">
        <f>Assumptions!AK$60</f>
        <v>0</v>
      </c>
      <c r="AQ443" s="54">
        <f>Assumptions!AL$60</f>
        <v>0</v>
      </c>
      <c r="AR443" s="54">
        <f>Assumptions!AM$60</f>
        <v>0</v>
      </c>
      <c r="AS443" s="54">
        <f>Assumptions!AN$60</f>
        <v>0</v>
      </c>
      <c r="AT443" s="54">
        <f>Assumptions!AO$60</f>
        <v>0</v>
      </c>
      <c r="AU443" s="54">
        <f>Assumptions!AP$60</f>
        <v>0</v>
      </c>
    </row>
    <row r="444" spans="1:47">
      <c r="E444" s="36"/>
      <c r="G444" s="39"/>
      <c r="H444" s="39"/>
      <c r="I444" s="39"/>
      <c r="J444" s="39"/>
      <c r="K444" s="39"/>
    </row>
    <row r="445" spans="1:47">
      <c r="E445" s="327"/>
      <c r="F445" s="28"/>
      <c r="G445" s="324" t="str">
        <f>C447&amp;" Capital Costs"</f>
        <v>Engineering, Legal &amp; Admin Capital Costs</v>
      </c>
      <c r="H445" s="324"/>
      <c r="I445" s="324"/>
      <c r="J445" s="324"/>
      <c r="K445" s="324"/>
      <c r="L445" s="405" t="s">
        <v>79</v>
      </c>
      <c r="M445" s="256"/>
      <c r="N445" s="325" t="s">
        <v>490</v>
      </c>
      <c r="O445" s="311"/>
      <c r="P445" s="325" t="s">
        <v>491</v>
      </c>
      <c r="Q445" s="310"/>
      <c r="R445" s="325">
        <f>R$8</f>
        <v>2014</v>
      </c>
      <c r="S445" s="325">
        <f t="shared" ref="S445:AU445" si="312">S$8</f>
        <v>2015</v>
      </c>
      <c r="T445" s="325">
        <f t="shared" si="312"/>
        <v>2016</v>
      </c>
      <c r="U445" s="325">
        <f t="shared" si="312"/>
        <v>2017</v>
      </c>
      <c r="V445" s="325">
        <f t="shared" si="312"/>
        <v>2018</v>
      </c>
      <c r="W445" s="325">
        <f t="shared" si="312"/>
        <v>2019</v>
      </c>
      <c r="X445" s="325">
        <f t="shared" si="312"/>
        <v>2020</v>
      </c>
      <c r="Y445" s="325">
        <f t="shared" si="312"/>
        <v>2021</v>
      </c>
      <c r="Z445" s="325">
        <f t="shared" si="312"/>
        <v>2022</v>
      </c>
      <c r="AA445" s="325">
        <f t="shared" si="312"/>
        <v>2023</v>
      </c>
      <c r="AB445" s="325">
        <f t="shared" si="312"/>
        <v>2024</v>
      </c>
      <c r="AC445" s="325">
        <f t="shared" si="312"/>
        <v>2025</v>
      </c>
      <c r="AD445" s="325">
        <f t="shared" si="312"/>
        <v>2026</v>
      </c>
      <c r="AE445" s="325">
        <f t="shared" si="312"/>
        <v>2027</v>
      </c>
      <c r="AF445" s="325">
        <f t="shared" si="312"/>
        <v>2028</v>
      </c>
      <c r="AG445" s="325">
        <f t="shared" si="312"/>
        <v>2029</v>
      </c>
      <c r="AH445" s="325">
        <f t="shared" si="312"/>
        <v>2030</v>
      </c>
      <c r="AI445" s="325">
        <f t="shared" si="312"/>
        <v>2031</v>
      </c>
      <c r="AJ445" s="325">
        <f t="shared" si="312"/>
        <v>2032</v>
      </c>
      <c r="AK445" s="325">
        <f t="shared" si="312"/>
        <v>2033</v>
      </c>
      <c r="AL445" s="325">
        <f t="shared" si="312"/>
        <v>2034</v>
      </c>
      <c r="AM445" s="325">
        <f t="shared" si="312"/>
        <v>2035</v>
      </c>
      <c r="AN445" s="325">
        <f t="shared" si="312"/>
        <v>2036</v>
      </c>
      <c r="AO445" s="325">
        <f t="shared" si="312"/>
        <v>2037</v>
      </c>
      <c r="AP445" s="325">
        <f t="shared" si="312"/>
        <v>2038</v>
      </c>
      <c r="AQ445" s="325">
        <f t="shared" si="312"/>
        <v>2039</v>
      </c>
      <c r="AR445" s="325">
        <f t="shared" si="312"/>
        <v>2040</v>
      </c>
      <c r="AS445" s="325">
        <f t="shared" si="312"/>
        <v>2041</v>
      </c>
      <c r="AT445" s="325">
        <f t="shared" si="312"/>
        <v>2042</v>
      </c>
      <c r="AU445" s="325">
        <f t="shared" si="312"/>
        <v>2043</v>
      </c>
    </row>
    <row r="446" spans="1:47">
      <c r="E446" s="325"/>
      <c r="G446" s="39"/>
      <c r="H446" s="39"/>
      <c r="I446" s="39"/>
      <c r="J446" s="39"/>
      <c r="K446" s="39"/>
    </row>
    <row r="447" spans="1:47">
      <c r="A447" s="38" t="str">
        <f>$J$4&amp;"-"</f>
        <v>4Y-</v>
      </c>
      <c r="B447" s="38" t="s">
        <v>306</v>
      </c>
      <c r="C447" s="38" t="s">
        <v>147</v>
      </c>
      <c r="D447" s="186">
        <f>CapExEsc</f>
        <v>0.03</v>
      </c>
      <c r="E447" s="325"/>
      <c r="G447" s="36" t="s">
        <v>8</v>
      </c>
      <c r="H447" s="39"/>
      <c r="I447" s="39"/>
      <c r="J447" s="70"/>
      <c r="K447" s="39"/>
      <c r="L447" s="43" t="str">
        <f>"["&amp;CostBaseYr&amp;" $]"</f>
        <v>[2013 $]</v>
      </c>
      <c r="N447" s="52">
        <f ca="1">SUMIFS(OFFSET(Assumptions!$I$65,0,MATCH($A447,Configurations,0)-1,COUNT(Assumptions!$A$65:$A$84),1),Assumptions!$E$65:$E$84,$C447)</f>
        <v>4225000</v>
      </c>
      <c r="O447" s="52"/>
      <c r="P447" s="322"/>
      <c r="Q447" s="52"/>
      <c r="R447" s="52">
        <f t="shared" ref="R447:AU447" ca="1" si="313">R448*IF($P447=0,$N447,$P447)*(1+$D447)^(R$8-CostBaseYr)</f>
        <v>4351750</v>
      </c>
      <c r="S447" s="52">
        <f t="shared" ca="1" si="313"/>
        <v>0</v>
      </c>
      <c r="T447" s="52">
        <f t="shared" ca="1" si="313"/>
        <v>0</v>
      </c>
      <c r="U447" s="52">
        <f t="shared" ca="1" si="313"/>
        <v>0</v>
      </c>
      <c r="V447" s="52">
        <f t="shared" ca="1" si="313"/>
        <v>0</v>
      </c>
      <c r="W447" s="52">
        <f t="shared" ca="1" si="313"/>
        <v>0</v>
      </c>
      <c r="X447" s="52">
        <f t="shared" ca="1" si="313"/>
        <v>0</v>
      </c>
      <c r="Y447" s="52">
        <f t="shared" ca="1" si="313"/>
        <v>0</v>
      </c>
      <c r="Z447" s="52">
        <f t="shared" ca="1" si="313"/>
        <v>0</v>
      </c>
      <c r="AA447" s="52">
        <f t="shared" ca="1" si="313"/>
        <v>0</v>
      </c>
      <c r="AB447" s="52">
        <f t="shared" ca="1" si="313"/>
        <v>0</v>
      </c>
      <c r="AC447" s="52">
        <f t="shared" ca="1" si="313"/>
        <v>0</v>
      </c>
      <c r="AD447" s="52">
        <f t="shared" ca="1" si="313"/>
        <v>0</v>
      </c>
      <c r="AE447" s="52">
        <f t="shared" ca="1" si="313"/>
        <v>0</v>
      </c>
      <c r="AF447" s="52">
        <f t="shared" ca="1" si="313"/>
        <v>0</v>
      </c>
      <c r="AG447" s="52">
        <f t="shared" ca="1" si="313"/>
        <v>0</v>
      </c>
      <c r="AH447" s="52">
        <f t="shared" ca="1" si="313"/>
        <v>0</v>
      </c>
      <c r="AI447" s="52">
        <f t="shared" ca="1" si="313"/>
        <v>0</v>
      </c>
      <c r="AJ447" s="52">
        <f t="shared" ca="1" si="313"/>
        <v>0</v>
      </c>
      <c r="AK447" s="52">
        <f t="shared" ca="1" si="313"/>
        <v>0</v>
      </c>
      <c r="AL447" s="52">
        <f t="shared" ca="1" si="313"/>
        <v>0</v>
      </c>
      <c r="AM447" s="52">
        <f t="shared" ca="1" si="313"/>
        <v>0</v>
      </c>
      <c r="AN447" s="52">
        <f t="shared" ca="1" si="313"/>
        <v>0</v>
      </c>
      <c r="AO447" s="52">
        <f t="shared" ca="1" si="313"/>
        <v>0</v>
      </c>
      <c r="AP447" s="52">
        <f t="shared" ca="1" si="313"/>
        <v>0</v>
      </c>
      <c r="AQ447" s="52">
        <f t="shared" ca="1" si="313"/>
        <v>0</v>
      </c>
      <c r="AR447" s="52">
        <f t="shared" ca="1" si="313"/>
        <v>0</v>
      </c>
      <c r="AS447" s="52">
        <f t="shared" ca="1" si="313"/>
        <v>0</v>
      </c>
      <c r="AT447" s="52">
        <f t="shared" ca="1" si="313"/>
        <v>0</v>
      </c>
      <c r="AU447" s="52">
        <f t="shared" ca="1" si="313"/>
        <v>0</v>
      </c>
    </row>
    <row r="448" spans="1:47">
      <c r="E448" s="325"/>
      <c r="G448" s="36" t="s">
        <v>10</v>
      </c>
      <c r="H448" s="39"/>
      <c r="I448" s="39"/>
      <c r="J448" s="39"/>
      <c r="K448" s="39"/>
      <c r="L448" s="43"/>
      <c r="R448" s="54">
        <f>Assumptions!M$60</f>
        <v>1</v>
      </c>
      <c r="S448" s="54">
        <f>Assumptions!N$60</f>
        <v>0</v>
      </c>
      <c r="T448" s="54">
        <f>Assumptions!O$60</f>
        <v>0</v>
      </c>
      <c r="U448" s="54">
        <f>Assumptions!P$60</f>
        <v>0</v>
      </c>
      <c r="V448" s="54">
        <f>Assumptions!Q$60</f>
        <v>0</v>
      </c>
      <c r="W448" s="54">
        <f>Assumptions!R$60</f>
        <v>0</v>
      </c>
      <c r="X448" s="54">
        <f>Assumptions!S$60</f>
        <v>0</v>
      </c>
      <c r="Y448" s="54">
        <f>Assumptions!T$60</f>
        <v>0</v>
      </c>
      <c r="Z448" s="54">
        <f>Assumptions!U$60</f>
        <v>0</v>
      </c>
      <c r="AA448" s="54">
        <f>Assumptions!V$60</f>
        <v>0</v>
      </c>
      <c r="AB448" s="54">
        <f>Assumptions!W$60</f>
        <v>0</v>
      </c>
      <c r="AC448" s="54">
        <f>Assumptions!X$60</f>
        <v>0</v>
      </c>
      <c r="AD448" s="54">
        <f>Assumptions!Y$60</f>
        <v>0</v>
      </c>
      <c r="AE448" s="54">
        <f>Assumptions!Z$60</f>
        <v>0</v>
      </c>
      <c r="AF448" s="54">
        <f>Assumptions!AA$60</f>
        <v>0</v>
      </c>
      <c r="AG448" s="54">
        <f>Assumptions!AB$60</f>
        <v>0</v>
      </c>
      <c r="AH448" s="54">
        <f>Assumptions!AC$60</f>
        <v>0</v>
      </c>
      <c r="AI448" s="54">
        <f>Assumptions!AD$60</f>
        <v>0</v>
      </c>
      <c r="AJ448" s="54">
        <f>Assumptions!AE$60</f>
        <v>0</v>
      </c>
      <c r="AK448" s="54">
        <f>Assumptions!AF$60</f>
        <v>0</v>
      </c>
      <c r="AL448" s="54">
        <f>Assumptions!AG$60</f>
        <v>0</v>
      </c>
      <c r="AM448" s="54">
        <f>Assumptions!AH$60</f>
        <v>0</v>
      </c>
      <c r="AN448" s="54">
        <f>Assumptions!AI$60</f>
        <v>0</v>
      </c>
      <c r="AO448" s="54">
        <f>Assumptions!AJ$60</f>
        <v>0</v>
      </c>
      <c r="AP448" s="54">
        <f>Assumptions!AK$60</f>
        <v>0</v>
      </c>
      <c r="AQ448" s="54">
        <f>Assumptions!AL$60</f>
        <v>0</v>
      </c>
      <c r="AR448" s="54">
        <f>Assumptions!AM$60</f>
        <v>0</v>
      </c>
      <c r="AS448" s="54">
        <f>Assumptions!AN$60</f>
        <v>0</v>
      </c>
      <c r="AT448" s="54">
        <f>Assumptions!AO$60</f>
        <v>0</v>
      </c>
      <c r="AU448" s="54">
        <f>Assumptions!AP$60</f>
        <v>0</v>
      </c>
    </row>
    <row r="449" spans="1:47">
      <c r="E449" s="36"/>
      <c r="G449" s="39"/>
      <c r="H449" s="39"/>
      <c r="I449" s="39"/>
      <c r="J449" s="39"/>
      <c r="K449" s="39"/>
    </row>
    <row r="450" spans="1:47">
      <c r="E450" s="327"/>
      <c r="F450" s="28"/>
      <c r="G450" s="324" t="str">
        <f>C453&amp;" O&amp;M"</f>
        <v>Land Application O&amp;M</v>
      </c>
      <c r="H450" s="324"/>
      <c r="I450" s="324"/>
      <c r="J450" s="324"/>
      <c r="K450" s="324"/>
      <c r="L450" s="405" t="s">
        <v>79</v>
      </c>
      <c r="M450" s="256"/>
      <c r="N450" s="325" t="s">
        <v>490</v>
      </c>
      <c r="O450" s="311"/>
      <c r="P450" s="325" t="s">
        <v>491</v>
      </c>
      <c r="Q450" s="310"/>
      <c r="R450" s="325">
        <f>R$8</f>
        <v>2014</v>
      </c>
      <c r="S450" s="325">
        <f t="shared" ref="S450:AU450" si="314">S$8</f>
        <v>2015</v>
      </c>
      <c r="T450" s="325">
        <f t="shared" si="314"/>
        <v>2016</v>
      </c>
      <c r="U450" s="325">
        <f t="shared" si="314"/>
        <v>2017</v>
      </c>
      <c r="V450" s="325">
        <f t="shared" si="314"/>
        <v>2018</v>
      </c>
      <c r="W450" s="325">
        <f t="shared" si="314"/>
        <v>2019</v>
      </c>
      <c r="X450" s="325">
        <f t="shared" si="314"/>
        <v>2020</v>
      </c>
      <c r="Y450" s="325">
        <f t="shared" si="314"/>
        <v>2021</v>
      </c>
      <c r="Z450" s="325">
        <f t="shared" si="314"/>
        <v>2022</v>
      </c>
      <c r="AA450" s="325">
        <f t="shared" si="314"/>
        <v>2023</v>
      </c>
      <c r="AB450" s="325">
        <f t="shared" si="314"/>
        <v>2024</v>
      </c>
      <c r="AC450" s="325">
        <f t="shared" si="314"/>
        <v>2025</v>
      </c>
      <c r="AD450" s="325">
        <f t="shared" si="314"/>
        <v>2026</v>
      </c>
      <c r="AE450" s="325">
        <f t="shared" si="314"/>
        <v>2027</v>
      </c>
      <c r="AF450" s="325">
        <f t="shared" si="314"/>
        <v>2028</v>
      </c>
      <c r="AG450" s="325">
        <f t="shared" si="314"/>
        <v>2029</v>
      </c>
      <c r="AH450" s="325">
        <f t="shared" si="314"/>
        <v>2030</v>
      </c>
      <c r="AI450" s="325">
        <f t="shared" si="314"/>
        <v>2031</v>
      </c>
      <c r="AJ450" s="325">
        <f t="shared" si="314"/>
        <v>2032</v>
      </c>
      <c r="AK450" s="325">
        <f t="shared" si="314"/>
        <v>2033</v>
      </c>
      <c r="AL450" s="325">
        <f t="shared" si="314"/>
        <v>2034</v>
      </c>
      <c r="AM450" s="325">
        <f t="shared" si="314"/>
        <v>2035</v>
      </c>
      <c r="AN450" s="325">
        <f t="shared" si="314"/>
        <v>2036</v>
      </c>
      <c r="AO450" s="325">
        <f t="shared" si="314"/>
        <v>2037</v>
      </c>
      <c r="AP450" s="325">
        <f t="shared" si="314"/>
        <v>2038</v>
      </c>
      <c r="AQ450" s="325">
        <f t="shared" si="314"/>
        <v>2039</v>
      </c>
      <c r="AR450" s="325">
        <f t="shared" si="314"/>
        <v>2040</v>
      </c>
      <c r="AS450" s="325">
        <f t="shared" si="314"/>
        <v>2041</v>
      </c>
      <c r="AT450" s="325">
        <f t="shared" si="314"/>
        <v>2042</v>
      </c>
      <c r="AU450" s="325">
        <f t="shared" si="314"/>
        <v>2043</v>
      </c>
    </row>
    <row r="451" spans="1:47">
      <c r="E451" s="325"/>
      <c r="G451" s="39"/>
      <c r="H451" s="39"/>
      <c r="I451" s="39"/>
      <c r="J451" s="39"/>
      <c r="K451" s="39"/>
    </row>
    <row r="452" spans="1:47">
      <c r="E452" s="325"/>
      <c r="G452" s="39" t="s">
        <v>23</v>
      </c>
      <c r="H452" s="39"/>
      <c r="I452" s="39"/>
      <c r="J452" s="39"/>
      <c r="K452" s="39"/>
    </row>
    <row r="453" spans="1:47">
      <c r="A453" s="38" t="str">
        <f t="shared" ref="A453:A460" si="315">$J$4&amp;"-"</f>
        <v>4Y-</v>
      </c>
      <c r="B453" s="38" t="s">
        <v>262</v>
      </c>
      <c r="C453" s="38" t="s">
        <v>309</v>
      </c>
      <c r="D453" s="186">
        <f>LaborEsc</f>
        <v>0.02</v>
      </c>
      <c r="E453" s="325"/>
      <c r="G453" s="36" t="s">
        <v>125</v>
      </c>
      <c r="I453" s="39"/>
      <c r="K453" s="39"/>
      <c r="L453" s="43" t="s">
        <v>266</v>
      </c>
      <c r="N453" s="70">
        <f ca="1">SUMIFS(OFFSET(Assumptions!$I$90,0,MATCH($A453,Configurations,0)-1,COUNT(Assumptions!$A$90:$A$183),1),Assumptions!$D$90:$D$183,$B453&amp;$C453)</f>
        <v>0</v>
      </c>
      <c r="O453" s="313"/>
      <c r="P453" s="323"/>
      <c r="Q453" s="313"/>
      <c r="R453" s="50">
        <f t="shared" ref="R453:AU453" ca="1" si="316">IF(OR(R$99&lt;InServiceYr,R$99&gt;(InServiceYr+analysis_period-1)),0,IF($P453=0,$N453,$P453)*LaborCost*(1+$D453)^(R$99-CostBaseYr))</f>
        <v>0</v>
      </c>
      <c r="S453" s="50">
        <f t="shared" ca="1" si="316"/>
        <v>0</v>
      </c>
      <c r="T453" s="50">
        <f t="shared" ca="1" si="316"/>
        <v>0</v>
      </c>
      <c r="U453" s="50">
        <f t="shared" ca="1" si="316"/>
        <v>0</v>
      </c>
      <c r="V453" s="50">
        <f t="shared" ca="1" si="316"/>
        <v>0</v>
      </c>
      <c r="W453" s="50">
        <f t="shared" ca="1" si="316"/>
        <v>0</v>
      </c>
      <c r="X453" s="50">
        <f t="shared" ca="1" si="316"/>
        <v>0</v>
      </c>
      <c r="Y453" s="50">
        <f t="shared" ca="1" si="316"/>
        <v>0</v>
      </c>
      <c r="Z453" s="50">
        <f t="shared" ca="1" si="316"/>
        <v>0</v>
      </c>
      <c r="AA453" s="50">
        <f t="shared" ca="1" si="316"/>
        <v>0</v>
      </c>
      <c r="AB453" s="50">
        <f t="shared" ca="1" si="316"/>
        <v>0</v>
      </c>
      <c r="AC453" s="50">
        <f t="shared" ca="1" si="316"/>
        <v>0</v>
      </c>
      <c r="AD453" s="50">
        <f t="shared" ca="1" si="316"/>
        <v>0</v>
      </c>
      <c r="AE453" s="50">
        <f t="shared" ca="1" si="316"/>
        <v>0</v>
      </c>
      <c r="AF453" s="50">
        <f t="shared" ca="1" si="316"/>
        <v>0</v>
      </c>
      <c r="AG453" s="50">
        <f t="shared" ca="1" si="316"/>
        <v>0</v>
      </c>
      <c r="AH453" s="50">
        <f t="shared" ca="1" si="316"/>
        <v>0</v>
      </c>
      <c r="AI453" s="50">
        <f t="shared" ca="1" si="316"/>
        <v>0</v>
      </c>
      <c r="AJ453" s="50">
        <f t="shared" ca="1" si="316"/>
        <v>0</v>
      </c>
      <c r="AK453" s="50">
        <f t="shared" ca="1" si="316"/>
        <v>0</v>
      </c>
      <c r="AL453" s="50">
        <f t="shared" si="316"/>
        <v>0</v>
      </c>
      <c r="AM453" s="50">
        <f t="shared" si="316"/>
        <v>0</v>
      </c>
      <c r="AN453" s="50">
        <f t="shared" si="316"/>
        <v>0</v>
      </c>
      <c r="AO453" s="50">
        <f t="shared" si="316"/>
        <v>0</v>
      </c>
      <c r="AP453" s="50">
        <f t="shared" si="316"/>
        <v>0</v>
      </c>
      <c r="AQ453" s="50">
        <f t="shared" si="316"/>
        <v>0</v>
      </c>
      <c r="AR453" s="50">
        <f t="shared" si="316"/>
        <v>0</v>
      </c>
      <c r="AS453" s="50">
        <f t="shared" si="316"/>
        <v>0</v>
      </c>
      <c r="AT453" s="50">
        <f t="shared" si="316"/>
        <v>0</v>
      </c>
      <c r="AU453" s="50">
        <f t="shared" si="316"/>
        <v>0</v>
      </c>
    </row>
    <row r="454" spans="1:47">
      <c r="A454" s="38" t="str">
        <f t="shared" si="315"/>
        <v>4Y-</v>
      </c>
      <c r="B454" s="38" t="s">
        <v>270</v>
      </c>
      <c r="C454" s="38" t="str">
        <f>C453</f>
        <v>Land Application</v>
      </c>
      <c r="D454" s="186">
        <f>OMEsc</f>
        <v>0.02</v>
      </c>
      <c r="E454" s="325"/>
      <c r="G454" s="36" t="s">
        <v>126</v>
      </c>
      <c r="I454" s="39"/>
      <c r="K454" s="39"/>
      <c r="L454" s="43" t="str">
        <f>"["&amp;CostBaseYr&amp;" $]"</f>
        <v>[2013 $]</v>
      </c>
      <c r="N454" s="70">
        <f ca="1">SUMIFS(OFFSET(Assumptions!$I$90,0,MATCH($A454,Configurations,0)-1,COUNT(Assumptions!$A$90:$A$183),1),Assumptions!$D$90:$D$183,$B454&amp;$C454)</f>
        <v>0</v>
      </c>
      <c r="O454" s="313"/>
      <c r="P454" s="323"/>
      <c r="Q454" s="313"/>
      <c r="R454" s="50">
        <f t="shared" ref="R454:AG456" ca="1" si="317">IF(OR(R$99&lt;InServiceYr,R$99&gt;(InServiceYr+analysis_period-1)),0,IF($P454=0,$N454,$P454)*(1+$D454)^(R$99-CostBaseYr))</f>
        <v>0</v>
      </c>
      <c r="S454" s="50">
        <f t="shared" ca="1" si="317"/>
        <v>0</v>
      </c>
      <c r="T454" s="50">
        <f t="shared" ca="1" si="317"/>
        <v>0</v>
      </c>
      <c r="U454" s="50">
        <f t="shared" ca="1" si="317"/>
        <v>0</v>
      </c>
      <c r="V454" s="50">
        <f t="shared" ca="1" si="317"/>
        <v>0</v>
      </c>
      <c r="W454" s="50">
        <f t="shared" ca="1" si="317"/>
        <v>0</v>
      </c>
      <c r="X454" s="50">
        <f t="shared" ca="1" si="317"/>
        <v>0</v>
      </c>
      <c r="Y454" s="50">
        <f t="shared" ca="1" si="317"/>
        <v>0</v>
      </c>
      <c r="Z454" s="50">
        <f t="shared" ca="1" si="317"/>
        <v>0</v>
      </c>
      <c r="AA454" s="50">
        <f t="shared" ca="1" si="317"/>
        <v>0</v>
      </c>
      <c r="AB454" s="50">
        <f t="shared" ca="1" si="317"/>
        <v>0</v>
      </c>
      <c r="AC454" s="50">
        <f t="shared" ca="1" si="317"/>
        <v>0</v>
      </c>
      <c r="AD454" s="50">
        <f t="shared" ca="1" si="317"/>
        <v>0</v>
      </c>
      <c r="AE454" s="50">
        <f t="shared" ca="1" si="317"/>
        <v>0</v>
      </c>
      <c r="AF454" s="50">
        <f t="shared" ca="1" si="317"/>
        <v>0</v>
      </c>
      <c r="AG454" s="50">
        <f t="shared" ca="1" si="317"/>
        <v>0</v>
      </c>
      <c r="AH454" s="50">
        <f t="shared" ref="S454:AU456" ca="1" si="318">IF(OR(AH$99&lt;InServiceYr,AH$99&gt;(InServiceYr+analysis_period-1)),0,IF($P454=0,$N454,$P454)*(1+$D454)^(AH$99-CostBaseYr))</f>
        <v>0</v>
      </c>
      <c r="AI454" s="50">
        <f t="shared" ca="1" si="318"/>
        <v>0</v>
      </c>
      <c r="AJ454" s="50">
        <f t="shared" ca="1" si="318"/>
        <v>0</v>
      </c>
      <c r="AK454" s="50">
        <f t="shared" ca="1" si="318"/>
        <v>0</v>
      </c>
      <c r="AL454" s="50">
        <f t="shared" si="318"/>
        <v>0</v>
      </c>
      <c r="AM454" s="50">
        <f t="shared" si="318"/>
        <v>0</v>
      </c>
      <c r="AN454" s="50">
        <f t="shared" si="318"/>
        <v>0</v>
      </c>
      <c r="AO454" s="50">
        <f t="shared" si="318"/>
        <v>0</v>
      </c>
      <c r="AP454" s="50">
        <f t="shared" si="318"/>
        <v>0</v>
      </c>
      <c r="AQ454" s="50">
        <f t="shared" si="318"/>
        <v>0</v>
      </c>
      <c r="AR454" s="50">
        <f t="shared" si="318"/>
        <v>0</v>
      </c>
      <c r="AS454" s="50">
        <f t="shared" si="318"/>
        <v>0</v>
      </c>
      <c r="AT454" s="50">
        <f t="shared" si="318"/>
        <v>0</v>
      </c>
      <c r="AU454" s="50">
        <f t="shared" si="318"/>
        <v>0</v>
      </c>
    </row>
    <row r="455" spans="1:47">
      <c r="A455" s="38" t="str">
        <f t="shared" si="315"/>
        <v>4Y-</v>
      </c>
      <c r="B455" s="38" t="s">
        <v>263</v>
      </c>
      <c r="C455" s="38" t="str">
        <f t="shared" ref="C455:C459" si="319">C454</f>
        <v>Land Application</v>
      </c>
      <c r="D455" s="186">
        <f>OMEsc</f>
        <v>0.02</v>
      </c>
      <c r="E455" s="325"/>
      <c r="G455" s="36" t="s">
        <v>127</v>
      </c>
      <c r="I455" s="39"/>
      <c r="K455" s="39"/>
      <c r="L455" s="43" t="str">
        <f>"["&amp;CostBaseYr&amp;" $]"</f>
        <v>[2013 $]</v>
      </c>
      <c r="N455" s="70">
        <f ca="1">SUMIFS(OFFSET(Assumptions!$I$90,0,MATCH($A455,Configurations,0)-1,COUNT(Assumptions!$A$90:$A$183),1),Assumptions!$D$90:$D$183,$B455&amp;$C455)</f>
        <v>0</v>
      </c>
      <c r="O455" s="313"/>
      <c r="P455" s="323"/>
      <c r="Q455" s="313"/>
      <c r="R455" s="50">
        <f t="shared" ca="1" si="317"/>
        <v>0</v>
      </c>
      <c r="S455" s="50">
        <f t="shared" ca="1" si="318"/>
        <v>0</v>
      </c>
      <c r="T455" s="50">
        <f t="shared" ca="1" si="318"/>
        <v>0</v>
      </c>
      <c r="U455" s="50">
        <f t="shared" ca="1" si="318"/>
        <v>0</v>
      </c>
      <c r="V455" s="50">
        <f t="shared" ca="1" si="318"/>
        <v>0</v>
      </c>
      <c r="W455" s="50">
        <f t="shared" ca="1" si="318"/>
        <v>0</v>
      </c>
      <c r="X455" s="50">
        <f t="shared" ca="1" si="318"/>
        <v>0</v>
      </c>
      <c r="Y455" s="50">
        <f t="shared" ca="1" si="318"/>
        <v>0</v>
      </c>
      <c r="Z455" s="50">
        <f t="shared" ca="1" si="318"/>
        <v>0</v>
      </c>
      <c r="AA455" s="50">
        <f t="shared" ca="1" si="318"/>
        <v>0</v>
      </c>
      <c r="AB455" s="50">
        <f t="shared" ca="1" si="318"/>
        <v>0</v>
      </c>
      <c r="AC455" s="50">
        <f t="shared" ca="1" si="318"/>
        <v>0</v>
      </c>
      <c r="AD455" s="50">
        <f t="shared" ca="1" si="318"/>
        <v>0</v>
      </c>
      <c r="AE455" s="50">
        <f t="shared" ca="1" si="318"/>
        <v>0</v>
      </c>
      <c r="AF455" s="50">
        <f t="shared" ca="1" si="318"/>
        <v>0</v>
      </c>
      <c r="AG455" s="50">
        <f t="shared" ca="1" si="318"/>
        <v>0</v>
      </c>
      <c r="AH455" s="50">
        <f t="shared" ca="1" si="318"/>
        <v>0</v>
      </c>
      <c r="AI455" s="50">
        <f t="shared" ca="1" si="318"/>
        <v>0</v>
      </c>
      <c r="AJ455" s="50">
        <f t="shared" ca="1" si="318"/>
        <v>0</v>
      </c>
      <c r="AK455" s="50">
        <f t="shared" ca="1" si="318"/>
        <v>0</v>
      </c>
      <c r="AL455" s="50">
        <f t="shared" si="318"/>
        <v>0</v>
      </c>
      <c r="AM455" s="50">
        <f t="shared" si="318"/>
        <v>0</v>
      </c>
      <c r="AN455" s="50">
        <f t="shared" si="318"/>
        <v>0</v>
      </c>
      <c r="AO455" s="50">
        <f t="shared" si="318"/>
        <v>0</v>
      </c>
      <c r="AP455" s="50">
        <f t="shared" si="318"/>
        <v>0</v>
      </c>
      <c r="AQ455" s="50">
        <f t="shared" si="318"/>
        <v>0</v>
      </c>
      <c r="AR455" s="50">
        <f t="shared" si="318"/>
        <v>0</v>
      </c>
      <c r="AS455" s="50">
        <f t="shared" si="318"/>
        <v>0</v>
      </c>
      <c r="AT455" s="50">
        <f t="shared" si="318"/>
        <v>0</v>
      </c>
      <c r="AU455" s="50">
        <f t="shared" si="318"/>
        <v>0</v>
      </c>
    </row>
    <row r="456" spans="1:47">
      <c r="A456" s="38" t="str">
        <f t="shared" si="315"/>
        <v>4Y-</v>
      </c>
      <c r="B456" s="38" t="s">
        <v>277</v>
      </c>
      <c r="C456" s="38" t="str">
        <f t="shared" si="319"/>
        <v>Land Application</v>
      </c>
      <c r="D456" s="186">
        <f>OMEsc</f>
        <v>0.02</v>
      </c>
      <c r="E456" s="325"/>
      <c r="G456" s="36" t="s">
        <v>276</v>
      </c>
      <c r="I456" s="39"/>
      <c r="K456" s="39"/>
      <c r="L456" s="43" t="str">
        <f>"["&amp;CostBaseYr&amp;" $]"</f>
        <v>[2013 $]</v>
      </c>
      <c r="N456" s="70">
        <f ca="1">SUMIFS(OFFSET(Assumptions!$I$90,0,MATCH($A456,Configurations,0)-1,COUNT(Assumptions!$A$90:$A$183),1),Assumptions!$D$90:$D$183,$B456&amp;$C456)</f>
        <v>0</v>
      </c>
      <c r="O456" s="313"/>
      <c r="P456" s="323"/>
      <c r="Q456" s="313"/>
      <c r="R456" s="50">
        <f t="shared" ca="1" si="317"/>
        <v>0</v>
      </c>
      <c r="S456" s="50">
        <f t="shared" ca="1" si="318"/>
        <v>0</v>
      </c>
      <c r="T456" s="50">
        <f t="shared" ca="1" si="318"/>
        <v>0</v>
      </c>
      <c r="U456" s="50">
        <f t="shared" ca="1" si="318"/>
        <v>0</v>
      </c>
      <c r="V456" s="50">
        <f t="shared" ca="1" si="318"/>
        <v>0</v>
      </c>
      <c r="W456" s="50">
        <f t="shared" ca="1" si="318"/>
        <v>0</v>
      </c>
      <c r="X456" s="50">
        <f t="shared" ca="1" si="318"/>
        <v>0</v>
      </c>
      <c r="Y456" s="50">
        <f t="shared" ca="1" si="318"/>
        <v>0</v>
      </c>
      <c r="Z456" s="50">
        <f t="shared" ca="1" si="318"/>
        <v>0</v>
      </c>
      <c r="AA456" s="50">
        <f t="shared" ca="1" si="318"/>
        <v>0</v>
      </c>
      <c r="AB456" s="50">
        <f t="shared" ca="1" si="318"/>
        <v>0</v>
      </c>
      <c r="AC456" s="50">
        <f t="shared" ca="1" si="318"/>
        <v>0</v>
      </c>
      <c r="AD456" s="50">
        <f t="shared" ca="1" si="318"/>
        <v>0</v>
      </c>
      <c r="AE456" s="50">
        <f t="shared" ca="1" si="318"/>
        <v>0</v>
      </c>
      <c r="AF456" s="50">
        <f t="shared" ca="1" si="318"/>
        <v>0</v>
      </c>
      <c r="AG456" s="50">
        <f t="shared" ca="1" si="318"/>
        <v>0</v>
      </c>
      <c r="AH456" s="50">
        <f t="shared" ca="1" si="318"/>
        <v>0</v>
      </c>
      <c r="AI456" s="50">
        <f t="shared" ca="1" si="318"/>
        <v>0</v>
      </c>
      <c r="AJ456" s="50">
        <f t="shared" ca="1" si="318"/>
        <v>0</v>
      </c>
      <c r="AK456" s="50">
        <f t="shared" ca="1" si="318"/>
        <v>0</v>
      </c>
      <c r="AL456" s="50">
        <f t="shared" si="318"/>
        <v>0</v>
      </c>
      <c r="AM456" s="50">
        <f t="shared" si="318"/>
        <v>0</v>
      </c>
      <c r="AN456" s="50">
        <f t="shared" si="318"/>
        <v>0</v>
      </c>
      <c r="AO456" s="50">
        <f t="shared" si="318"/>
        <v>0</v>
      </c>
      <c r="AP456" s="50">
        <f t="shared" si="318"/>
        <v>0</v>
      </c>
      <c r="AQ456" s="50">
        <f t="shared" si="318"/>
        <v>0</v>
      </c>
      <c r="AR456" s="50">
        <f t="shared" si="318"/>
        <v>0</v>
      </c>
      <c r="AS456" s="50">
        <f t="shared" si="318"/>
        <v>0</v>
      </c>
      <c r="AT456" s="50">
        <f t="shared" si="318"/>
        <v>0</v>
      </c>
      <c r="AU456" s="50">
        <f t="shared" si="318"/>
        <v>0</v>
      </c>
    </row>
    <row r="457" spans="1:47">
      <c r="A457" s="38" t="str">
        <f t="shared" si="315"/>
        <v>4Y-</v>
      </c>
      <c r="B457" s="38" t="s">
        <v>274</v>
      </c>
      <c r="C457" s="38" t="str">
        <f t="shared" si="319"/>
        <v>Land Application</v>
      </c>
      <c r="D457" s="186"/>
      <c r="E457" s="325"/>
      <c r="G457" s="36" t="s">
        <v>16</v>
      </c>
      <c r="I457" s="39"/>
      <c r="K457" s="39"/>
      <c r="L457" s="43" t="s">
        <v>275</v>
      </c>
      <c r="N457" s="70">
        <f ca="1">SUMIFS(OFFSET(Assumptions!$I$90,0,MATCH($A457,Configurations,0)-1,COUNT(Assumptions!$A$90:$A$183),1),Assumptions!$D$90:$D$183,$B457&amp;$C457)</f>
        <v>0</v>
      </c>
      <c r="O457" s="313"/>
      <c r="P457" s="323"/>
      <c r="Q457" s="313"/>
      <c r="R457" s="50">
        <f t="shared" ref="R457:AU457" ca="1" si="320">IF(OR(R$99&lt;InServiceYr,R$99&gt;(InServiceYr+analysis_period-1)),0,IF($P457=0,$N457,$P457)*R$505)</f>
        <v>0</v>
      </c>
      <c r="S457" s="50">
        <f t="shared" ca="1" si="320"/>
        <v>0</v>
      </c>
      <c r="T457" s="50">
        <f t="shared" ca="1" si="320"/>
        <v>0</v>
      </c>
      <c r="U457" s="50">
        <f t="shared" ca="1" si="320"/>
        <v>0</v>
      </c>
      <c r="V457" s="50">
        <f t="shared" ca="1" si="320"/>
        <v>0</v>
      </c>
      <c r="W457" s="50">
        <f t="shared" ca="1" si="320"/>
        <v>0</v>
      </c>
      <c r="X457" s="50">
        <f t="shared" ca="1" si="320"/>
        <v>0</v>
      </c>
      <c r="Y457" s="50">
        <f t="shared" ca="1" si="320"/>
        <v>0</v>
      </c>
      <c r="Z457" s="50">
        <f t="shared" ca="1" si="320"/>
        <v>0</v>
      </c>
      <c r="AA457" s="50">
        <f t="shared" ca="1" si="320"/>
        <v>0</v>
      </c>
      <c r="AB457" s="50">
        <f t="shared" ca="1" si="320"/>
        <v>0</v>
      </c>
      <c r="AC457" s="50">
        <f t="shared" ca="1" si="320"/>
        <v>0</v>
      </c>
      <c r="AD457" s="50">
        <f t="shared" ca="1" si="320"/>
        <v>0</v>
      </c>
      <c r="AE457" s="50">
        <f t="shared" ca="1" si="320"/>
        <v>0</v>
      </c>
      <c r="AF457" s="50">
        <f t="shared" ca="1" si="320"/>
        <v>0</v>
      </c>
      <c r="AG457" s="50">
        <f t="shared" ca="1" si="320"/>
        <v>0</v>
      </c>
      <c r="AH457" s="50">
        <f t="shared" ca="1" si="320"/>
        <v>0</v>
      </c>
      <c r="AI457" s="50">
        <f t="shared" ca="1" si="320"/>
        <v>0</v>
      </c>
      <c r="AJ457" s="50">
        <f t="shared" ca="1" si="320"/>
        <v>0</v>
      </c>
      <c r="AK457" s="50">
        <f t="shared" ca="1" si="320"/>
        <v>0</v>
      </c>
      <c r="AL457" s="50">
        <f t="shared" si="320"/>
        <v>0</v>
      </c>
      <c r="AM457" s="50">
        <f t="shared" si="320"/>
        <v>0</v>
      </c>
      <c r="AN457" s="50">
        <f t="shared" si="320"/>
        <v>0</v>
      </c>
      <c r="AO457" s="50">
        <f t="shared" si="320"/>
        <v>0</v>
      </c>
      <c r="AP457" s="50">
        <f t="shared" si="320"/>
        <v>0</v>
      </c>
      <c r="AQ457" s="50">
        <f t="shared" si="320"/>
        <v>0</v>
      </c>
      <c r="AR457" s="50">
        <f t="shared" si="320"/>
        <v>0</v>
      </c>
      <c r="AS457" s="50">
        <f t="shared" si="320"/>
        <v>0</v>
      </c>
      <c r="AT457" s="50">
        <f t="shared" si="320"/>
        <v>0</v>
      </c>
      <c r="AU457" s="50">
        <f t="shared" si="320"/>
        <v>0</v>
      </c>
    </row>
    <row r="458" spans="1:47">
      <c r="A458" s="38" t="str">
        <f t="shared" si="315"/>
        <v>4Y-</v>
      </c>
      <c r="B458" s="38" t="s">
        <v>257</v>
      </c>
      <c r="C458" s="38" t="str">
        <f t="shared" si="319"/>
        <v>Land Application</v>
      </c>
      <c r="D458" s="186"/>
      <c r="E458" s="325"/>
      <c r="G458" s="36" t="s">
        <v>284</v>
      </c>
      <c r="I458" s="39"/>
      <c r="K458" s="39"/>
      <c r="L458" s="43" t="s">
        <v>293</v>
      </c>
      <c r="N458" s="70">
        <f ca="1">SUMIFS(OFFSET(Assumptions!$I$90,0,MATCH($A458,Configurations,0)-1,COUNT(Assumptions!$A$90:$A$183),1),Assumptions!$D$90:$D$183,$B458&amp;$C458)</f>
        <v>0</v>
      </c>
      <c r="O458" s="313"/>
      <c r="P458" s="323"/>
      <c r="Q458" s="313"/>
      <c r="R458" s="50">
        <f t="shared" ref="R458:AU458" ca="1" si="321">IF(OR(R$99&lt;InServiceYr,R$99&gt;(InServiceYr+analysis_period-1)),0,IF($P458=0,$N458,$P458)*R$501)</f>
        <v>0</v>
      </c>
      <c r="S458" s="50">
        <f t="shared" ca="1" si="321"/>
        <v>0</v>
      </c>
      <c r="T458" s="50">
        <f t="shared" ca="1" si="321"/>
        <v>0</v>
      </c>
      <c r="U458" s="50">
        <f t="shared" ca="1" si="321"/>
        <v>0</v>
      </c>
      <c r="V458" s="50">
        <f t="shared" ca="1" si="321"/>
        <v>0</v>
      </c>
      <c r="W458" s="50">
        <f t="shared" ca="1" si="321"/>
        <v>0</v>
      </c>
      <c r="X458" s="50">
        <f t="shared" ca="1" si="321"/>
        <v>0</v>
      </c>
      <c r="Y458" s="50">
        <f t="shared" ca="1" si="321"/>
        <v>0</v>
      </c>
      <c r="Z458" s="50">
        <f t="shared" ca="1" si="321"/>
        <v>0</v>
      </c>
      <c r="AA458" s="50">
        <f t="shared" ca="1" si="321"/>
        <v>0</v>
      </c>
      <c r="AB458" s="50">
        <f t="shared" ca="1" si="321"/>
        <v>0</v>
      </c>
      <c r="AC458" s="50">
        <f t="shared" ca="1" si="321"/>
        <v>0</v>
      </c>
      <c r="AD458" s="50">
        <f t="shared" ca="1" si="321"/>
        <v>0</v>
      </c>
      <c r="AE458" s="50">
        <f t="shared" ca="1" si="321"/>
        <v>0</v>
      </c>
      <c r="AF458" s="50">
        <f t="shared" ca="1" si="321"/>
        <v>0</v>
      </c>
      <c r="AG458" s="50">
        <f t="shared" ca="1" si="321"/>
        <v>0</v>
      </c>
      <c r="AH458" s="50">
        <f t="shared" ca="1" si="321"/>
        <v>0</v>
      </c>
      <c r="AI458" s="50">
        <f t="shared" ca="1" si="321"/>
        <v>0</v>
      </c>
      <c r="AJ458" s="50">
        <f t="shared" ca="1" si="321"/>
        <v>0</v>
      </c>
      <c r="AK458" s="50">
        <f t="shared" ca="1" si="321"/>
        <v>0</v>
      </c>
      <c r="AL458" s="50">
        <f t="shared" si="321"/>
        <v>0</v>
      </c>
      <c r="AM458" s="50">
        <f t="shared" si="321"/>
        <v>0</v>
      </c>
      <c r="AN458" s="50">
        <f t="shared" si="321"/>
        <v>0</v>
      </c>
      <c r="AO458" s="50">
        <f t="shared" si="321"/>
        <v>0</v>
      </c>
      <c r="AP458" s="50">
        <f t="shared" si="321"/>
        <v>0</v>
      </c>
      <c r="AQ458" s="50">
        <f t="shared" si="321"/>
        <v>0</v>
      </c>
      <c r="AR458" s="50">
        <f t="shared" si="321"/>
        <v>0</v>
      </c>
      <c r="AS458" s="50">
        <f t="shared" si="321"/>
        <v>0</v>
      </c>
      <c r="AT458" s="50">
        <f t="shared" si="321"/>
        <v>0</v>
      </c>
      <c r="AU458" s="50">
        <f t="shared" si="321"/>
        <v>0</v>
      </c>
    </row>
    <row r="459" spans="1:47">
      <c r="A459" s="38" t="str">
        <f t="shared" si="315"/>
        <v>4Y-</v>
      </c>
      <c r="B459" s="38" t="s">
        <v>864</v>
      </c>
      <c r="C459" s="38" t="str">
        <f t="shared" si="319"/>
        <v>Land Application</v>
      </c>
      <c r="D459" s="186">
        <f>GHGEsc</f>
        <v>0.02</v>
      </c>
      <c r="E459" s="325"/>
      <c r="G459" s="36" t="s">
        <v>865</v>
      </c>
      <c r="I459" s="39"/>
      <c r="K459" s="39"/>
      <c r="L459" s="43" t="s">
        <v>866</v>
      </c>
      <c r="N459" s="70">
        <f ca="1">SUMIFS(OFFSET(Assumptions!$I$90,0,MATCH($A459,Configurations,0)-1,COUNT(Assumptions!$A$90:$A$183),1),Assumptions!$D$90:$D$183,$B459&amp;$C459)</f>
        <v>0</v>
      </c>
      <c r="O459" s="313"/>
      <c r="P459" s="323"/>
      <c r="Q459" s="313"/>
      <c r="R459" s="50">
        <f t="shared" ref="R459:AU459" ca="1" si="322">IF(OR(R$99&lt;InServiceYr,R$99&gt;(InServiceYr+analysis_period-1)),0,IF($P459=0,$N459,$P459)*R$513)</f>
        <v>0</v>
      </c>
      <c r="S459" s="50">
        <f t="shared" ca="1" si="322"/>
        <v>0</v>
      </c>
      <c r="T459" s="50">
        <f t="shared" ca="1" si="322"/>
        <v>0</v>
      </c>
      <c r="U459" s="50">
        <f t="shared" ca="1" si="322"/>
        <v>0</v>
      </c>
      <c r="V459" s="50">
        <f t="shared" ca="1" si="322"/>
        <v>0</v>
      </c>
      <c r="W459" s="50">
        <f t="shared" ca="1" si="322"/>
        <v>0</v>
      </c>
      <c r="X459" s="50">
        <f t="shared" ca="1" si="322"/>
        <v>0</v>
      </c>
      <c r="Y459" s="50">
        <f t="shared" ca="1" si="322"/>
        <v>0</v>
      </c>
      <c r="Z459" s="50">
        <f t="shared" ca="1" si="322"/>
        <v>0</v>
      </c>
      <c r="AA459" s="50">
        <f t="shared" ca="1" si="322"/>
        <v>0</v>
      </c>
      <c r="AB459" s="50">
        <f t="shared" ca="1" si="322"/>
        <v>0</v>
      </c>
      <c r="AC459" s="50">
        <f t="shared" ca="1" si="322"/>
        <v>0</v>
      </c>
      <c r="AD459" s="50">
        <f t="shared" ca="1" si="322"/>
        <v>0</v>
      </c>
      <c r="AE459" s="50">
        <f t="shared" ca="1" si="322"/>
        <v>0</v>
      </c>
      <c r="AF459" s="50">
        <f t="shared" ca="1" si="322"/>
        <v>0</v>
      </c>
      <c r="AG459" s="50">
        <f t="shared" ca="1" si="322"/>
        <v>0</v>
      </c>
      <c r="AH459" s="50">
        <f t="shared" ca="1" si="322"/>
        <v>0</v>
      </c>
      <c r="AI459" s="50">
        <f t="shared" ca="1" si="322"/>
        <v>0</v>
      </c>
      <c r="AJ459" s="50">
        <f t="shared" ca="1" si="322"/>
        <v>0</v>
      </c>
      <c r="AK459" s="50">
        <f t="shared" ca="1" si="322"/>
        <v>0</v>
      </c>
      <c r="AL459" s="50">
        <f t="shared" si="322"/>
        <v>0</v>
      </c>
      <c r="AM459" s="50">
        <f t="shared" si="322"/>
        <v>0</v>
      </c>
      <c r="AN459" s="50">
        <f t="shared" si="322"/>
        <v>0</v>
      </c>
      <c r="AO459" s="50">
        <f t="shared" si="322"/>
        <v>0</v>
      </c>
      <c r="AP459" s="50">
        <f t="shared" si="322"/>
        <v>0</v>
      </c>
      <c r="AQ459" s="50">
        <f t="shared" si="322"/>
        <v>0</v>
      </c>
      <c r="AR459" s="50">
        <f t="shared" si="322"/>
        <v>0</v>
      </c>
      <c r="AS459" s="50">
        <f t="shared" si="322"/>
        <v>0</v>
      </c>
      <c r="AT459" s="50">
        <f t="shared" si="322"/>
        <v>0</v>
      </c>
      <c r="AU459" s="50">
        <f t="shared" si="322"/>
        <v>0</v>
      </c>
    </row>
    <row r="460" spans="1:47">
      <c r="A460" s="38" t="str">
        <f t="shared" si="315"/>
        <v>4Y-</v>
      </c>
      <c r="B460" s="38" t="s">
        <v>273</v>
      </c>
      <c r="C460" s="38" t="str">
        <f>C458</f>
        <v>Land Application</v>
      </c>
      <c r="D460" s="186">
        <f>LaborEsc</f>
        <v>0.02</v>
      </c>
      <c r="E460" s="325"/>
      <c r="G460" s="36" t="s">
        <v>291</v>
      </c>
      <c r="I460" s="39"/>
      <c r="K460" s="39"/>
      <c r="L460" s="43" t="str">
        <f>"["&amp;CostBaseYr&amp;" $]"</f>
        <v>[2013 $]</v>
      </c>
      <c r="N460" s="70">
        <f ca="1">SUMIFS(OFFSET(Assumptions!$I$90,0,MATCH($A460,Configurations,0)-1,COUNT(Assumptions!$A$90:$A$183),1),Assumptions!$D$90:$D$183,$B460&amp;$C460)</f>
        <v>0</v>
      </c>
      <c r="O460" s="313"/>
      <c r="P460" s="323"/>
      <c r="Q460" s="313"/>
      <c r="R460" s="50">
        <f t="shared" ref="R460:AU460" ca="1" si="323">IF(OR(R$99&lt;InServiceYr,R$99&gt;(InServiceYr+analysis_period-1)),0,IF($P460=0,$N460,$P460)*(1+$D460)^(R$99-CostBaseYr))*R$509</f>
        <v>0</v>
      </c>
      <c r="S460" s="50">
        <f t="shared" ca="1" si="323"/>
        <v>0</v>
      </c>
      <c r="T460" s="50">
        <f t="shared" ca="1" si="323"/>
        <v>0</v>
      </c>
      <c r="U460" s="50">
        <f t="shared" ca="1" si="323"/>
        <v>0</v>
      </c>
      <c r="V460" s="50">
        <f t="shared" ca="1" si="323"/>
        <v>0</v>
      </c>
      <c r="W460" s="50">
        <f t="shared" ca="1" si="323"/>
        <v>0</v>
      </c>
      <c r="X460" s="50">
        <f t="shared" ca="1" si="323"/>
        <v>0</v>
      </c>
      <c r="Y460" s="50">
        <f t="shared" ca="1" si="323"/>
        <v>0</v>
      </c>
      <c r="Z460" s="50">
        <f t="shared" ca="1" si="323"/>
        <v>0</v>
      </c>
      <c r="AA460" s="50">
        <f t="shared" ca="1" si="323"/>
        <v>0</v>
      </c>
      <c r="AB460" s="50">
        <f t="shared" ca="1" si="323"/>
        <v>0</v>
      </c>
      <c r="AC460" s="50">
        <f t="shared" ca="1" si="323"/>
        <v>0</v>
      </c>
      <c r="AD460" s="50">
        <f t="shared" ca="1" si="323"/>
        <v>0</v>
      </c>
      <c r="AE460" s="50">
        <f t="shared" ca="1" si="323"/>
        <v>0</v>
      </c>
      <c r="AF460" s="50">
        <f t="shared" ca="1" si="323"/>
        <v>0</v>
      </c>
      <c r="AG460" s="50">
        <f t="shared" ca="1" si="323"/>
        <v>0</v>
      </c>
      <c r="AH460" s="50">
        <f t="shared" ca="1" si="323"/>
        <v>0</v>
      </c>
      <c r="AI460" s="50">
        <f t="shared" ca="1" si="323"/>
        <v>0</v>
      </c>
      <c r="AJ460" s="50">
        <f t="shared" ca="1" si="323"/>
        <v>0</v>
      </c>
      <c r="AK460" s="50">
        <f t="shared" ca="1" si="323"/>
        <v>0</v>
      </c>
      <c r="AL460" s="50">
        <f t="shared" si="323"/>
        <v>0</v>
      </c>
      <c r="AM460" s="50">
        <f t="shared" si="323"/>
        <v>0</v>
      </c>
      <c r="AN460" s="50">
        <f t="shared" si="323"/>
        <v>0</v>
      </c>
      <c r="AO460" s="50">
        <f t="shared" si="323"/>
        <v>0</v>
      </c>
      <c r="AP460" s="50">
        <f t="shared" si="323"/>
        <v>0</v>
      </c>
      <c r="AQ460" s="50">
        <f t="shared" si="323"/>
        <v>0</v>
      </c>
      <c r="AR460" s="50">
        <f t="shared" si="323"/>
        <v>0</v>
      </c>
      <c r="AS460" s="50">
        <f t="shared" si="323"/>
        <v>0</v>
      </c>
      <c r="AT460" s="50">
        <f t="shared" si="323"/>
        <v>0</v>
      </c>
      <c r="AU460" s="50">
        <f t="shared" si="323"/>
        <v>0</v>
      </c>
    </row>
    <row r="461" spans="1:47">
      <c r="D461" s="186"/>
      <c r="E461" s="325"/>
      <c r="G461" s="39" t="s">
        <v>304</v>
      </c>
      <c r="I461" s="39"/>
      <c r="K461" s="39"/>
      <c r="L461" s="43"/>
      <c r="N461" s="70"/>
      <c r="O461" s="313"/>
      <c r="P461" s="70"/>
      <c r="Q461" s="313"/>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row>
    <row r="462" spans="1:47">
      <c r="A462" s="38" t="str">
        <f>$J$4&amp;"-"</f>
        <v>4Y-</v>
      </c>
      <c r="B462" s="38" t="s">
        <v>265</v>
      </c>
      <c r="C462" s="38" t="str">
        <f>C453</f>
        <v>Land Application</v>
      </c>
      <c r="D462" s="186"/>
      <c r="E462" s="325"/>
      <c r="G462" s="36" t="s">
        <v>108</v>
      </c>
      <c r="I462" s="39"/>
      <c r="K462" s="39"/>
      <c r="L462" s="43" t="s">
        <v>293</v>
      </c>
      <c r="N462" s="70">
        <f ca="1">SUMIFS(OFFSET(Assumptions!$I$90,0,MATCH($A462,Configurations,0)-1,COUNT(Assumptions!$A$90:$A$183),1),Assumptions!$D$90:$D$183,$B462&amp;$C462)</f>
        <v>0</v>
      </c>
      <c r="O462" s="313"/>
      <c r="P462" s="323"/>
      <c r="Q462" s="313"/>
      <c r="R462" s="50">
        <f t="shared" ref="R462:AU462" ca="1" si="324">IF(OR(R$99&lt;InServiceYr,R$99&gt;(InServiceYr+analysis_period-1)),0,IF($P462=0,$N462,$P462)*R$501)</f>
        <v>0</v>
      </c>
      <c r="S462" s="50">
        <f t="shared" ca="1" si="324"/>
        <v>0</v>
      </c>
      <c r="T462" s="50">
        <f t="shared" ca="1" si="324"/>
        <v>0</v>
      </c>
      <c r="U462" s="50">
        <f t="shared" ca="1" si="324"/>
        <v>0</v>
      </c>
      <c r="V462" s="50">
        <f t="shared" ca="1" si="324"/>
        <v>0</v>
      </c>
      <c r="W462" s="50">
        <f t="shared" ca="1" si="324"/>
        <v>0</v>
      </c>
      <c r="X462" s="50">
        <f t="shared" ca="1" si="324"/>
        <v>0</v>
      </c>
      <c r="Y462" s="50">
        <f t="shared" ca="1" si="324"/>
        <v>0</v>
      </c>
      <c r="Z462" s="50">
        <f t="shared" ca="1" si="324"/>
        <v>0</v>
      </c>
      <c r="AA462" s="50">
        <f t="shared" ca="1" si="324"/>
        <v>0</v>
      </c>
      <c r="AB462" s="50">
        <f t="shared" ca="1" si="324"/>
        <v>0</v>
      </c>
      <c r="AC462" s="50">
        <f t="shared" ca="1" si="324"/>
        <v>0</v>
      </c>
      <c r="AD462" s="50">
        <f t="shared" ca="1" si="324"/>
        <v>0</v>
      </c>
      <c r="AE462" s="50">
        <f t="shared" ca="1" si="324"/>
        <v>0</v>
      </c>
      <c r="AF462" s="50">
        <f t="shared" ca="1" si="324"/>
        <v>0</v>
      </c>
      <c r="AG462" s="50">
        <f t="shared" ca="1" si="324"/>
        <v>0</v>
      </c>
      <c r="AH462" s="50">
        <f t="shared" ca="1" si="324"/>
        <v>0</v>
      </c>
      <c r="AI462" s="50">
        <f t="shared" ca="1" si="324"/>
        <v>0</v>
      </c>
      <c r="AJ462" s="50">
        <f t="shared" ca="1" si="324"/>
        <v>0</v>
      </c>
      <c r="AK462" s="50">
        <f t="shared" ca="1" si="324"/>
        <v>0</v>
      </c>
      <c r="AL462" s="50">
        <f t="shared" si="324"/>
        <v>0</v>
      </c>
      <c r="AM462" s="50">
        <f t="shared" si="324"/>
        <v>0</v>
      </c>
      <c r="AN462" s="50">
        <f t="shared" si="324"/>
        <v>0</v>
      </c>
      <c r="AO462" s="50">
        <f t="shared" si="324"/>
        <v>0</v>
      </c>
      <c r="AP462" s="50">
        <f t="shared" si="324"/>
        <v>0</v>
      </c>
      <c r="AQ462" s="50">
        <f t="shared" si="324"/>
        <v>0</v>
      </c>
      <c r="AR462" s="50">
        <f t="shared" si="324"/>
        <v>0</v>
      </c>
      <c r="AS462" s="50">
        <f t="shared" si="324"/>
        <v>0</v>
      </c>
      <c r="AT462" s="50">
        <f t="shared" si="324"/>
        <v>0</v>
      </c>
      <c r="AU462" s="50">
        <f t="shared" si="324"/>
        <v>0</v>
      </c>
    </row>
    <row r="463" spans="1:47">
      <c r="A463" s="38" t="str">
        <f>$J$4&amp;"-"</f>
        <v>4Y-</v>
      </c>
      <c r="B463" s="38" t="s">
        <v>289</v>
      </c>
      <c r="C463" s="38" t="str">
        <f>C453</f>
        <v>Land Application</v>
      </c>
      <c r="D463" s="186">
        <f>LaborEsc</f>
        <v>0.02</v>
      </c>
      <c r="E463" s="325"/>
      <c r="G463" s="36" t="s">
        <v>292</v>
      </c>
      <c r="I463" s="39"/>
      <c r="K463" s="39"/>
      <c r="L463" s="43" t="str">
        <f>"["&amp;CostBaseYr&amp;" $]"</f>
        <v>[2013 $]</v>
      </c>
      <c r="N463" s="70">
        <f ca="1">SUMIFS(OFFSET(Assumptions!$I$90,0,MATCH($A463,Configurations,0)-1,COUNT(Assumptions!$A$90:$A$183),1),Assumptions!$D$90:$D$183,$B463&amp;$C463)</f>
        <v>0</v>
      </c>
      <c r="O463" s="313"/>
      <c r="P463" s="323"/>
      <c r="Q463" s="313"/>
      <c r="R463" s="50">
        <f t="shared" ref="R463:AU463" ca="1" si="325">IF(OR(R$99&lt;InServiceYr,R$99&gt;(InServiceYr+analysis_period-1)),0,IF($P463=0,$N463,$P463)*(1+$D463)^(R$99-CostBaseYr))</f>
        <v>0</v>
      </c>
      <c r="S463" s="50">
        <f t="shared" ca="1" si="325"/>
        <v>0</v>
      </c>
      <c r="T463" s="50">
        <f t="shared" ca="1" si="325"/>
        <v>0</v>
      </c>
      <c r="U463" s="50">
        <f t="shared" ca="1" si="325"/>
        <v>0</v>
      </c>
      <c r="V463" s="50">
        <f t="shared" ca="1" si="325"/>
        <v>0</v>
      </c>
      <c r="W463" s="50">
        <f t="shared" ca="1" si="325"/>
        <v>0</v>
      </c>
      <c r="X463" s="50">
        <f t="shared" ca="1" si="325"/>
        <v>0</v>
      </c>
      <c r="Y463" s="50">
        <f t="shared" ca="1" si="325"/>
        <v>0</v>
      </c>
      <c r="Z463" s="50">
        <f t="shared" ca="1" si="325"/>
        <v>0</v>
      </c>
      <c r="AA463" s="50">
        <f t="shared" ca="1" si="325"/>
        <v>0</v>
      </c>
      <c r="AB463" s="50">
        <f t="shared" ca="1" si="325"/>
        <v>0</v>
      </c>
      <c r="AC463" s="50">
        <f t="shared" ca="1" si="325"/>
        <v>0</v>
      </c>
      <c r="AD463" s="50">
        <f t="shared" ca="1" si="325"/>
        <v>0</v>
      </c>
      <c r="AE463" s="50">
        <f t="shared" ca="1" si="325"/>
        <v>0</v>
      </c>
      <c r="AF463" s="50">
        <f t="shared" ca="1" si="325"/>
        <v>0</v>
      </c>
      <c r="AG463" s="50">
        <f t="shared" ca="1" si="325"/>
        <v>0</v>
      </c>
      <c r="AH463" s="50">
        <f t="shared" ca="1" si="325"/>
        <v>0</v>
      </c>
      <c r="AI463" s="50">
        <f t="shared" ca="1" si="325"/>
        <v>0</v>
      </c>
      <c r="AJ463" s="50">
        <f t="shared" ca="1" si="325"/>
        <v>0</v>
      </c>
      <c r="AK463" s="50">
        <f t="shared" ca="1" si="325"/>
        <v>0</v>
      </c>
      <c r="AL463" s="50">
        <f t="shared" si="325"/>
        <v>0</v>
      </c>
      <c r="AM463" s="50">
        <f t="shared" si="325"/>
        <v>0</v>
      </c>
      <c r="AN463" s="50">
        <f t="shared" si="325"/>
        <v>0</v>
      </c>
      <c r="AO463" s="50">
        <f t="shared" si="325"/>
        <v>0</v>
      </c>
      <c r="AP463" s="50">
        <f t="shared" si="325"/>
        <v>0</v>
      </c>
      <c r="AQ463" s="50">
        <f t="shared" si="325"/>
        <v>0</v>
      </c>
      <c r="AR463" s="50">
        <f t="shared" si="325"/>
        <v>0</v>
      </c>
      <c r="AS463" s="50">
        <f t="shared" si="325"/>
        <v>0</v>
      </c>
      <c r="AT463" s="50">
        <f t="shared" si="325"/>
        <v>0</v>
      </c>
      <c r="AU463" s="50">
        <f t="shared" si="325"/>
        <v>0</v>
      </c>
    </row>
    <row r="464" spans="1:47" s="60" customFormat="1">
      <c r="D464" s="187"/>
      <c r="E464" s="325"/>
      <c r="G464" s="39" t="s">
        <v>305</v>
      </c>
      <c r="I464" s="39"/>
      <c r="K464" s="39"/>
      <c r="L464" s="174"/>
      <c r="N464" s="188"/>
      <c r="O464" s="314"/>
      <c r="P464" s="185"/>
      <c r="Q464" s="314"/>
      <c r="R464" s="185">
        <f ca="1">SUM(R453:R460)-SUM(R462:R463)</f>
        <v>0</v>
      </c>
      <c r="S464" s="185">
        <f t="shared" ref="S464:AU464" ca="1" si="326">SUM(S453:S460)-SUM(S462:S463)</f>
        <v>0</v>
      </c>
      <c r="T464" s="185">
        <f t="shared" ca="1" si="326"/>
        <v>0</v>
      </c>
      <c r="U464" s="185">
        <f t="shared" ca="1" si="326"/>
        <v>0</v>
      </c>
      <c r="V464" s="185">
        <f t="shared" ca="1" si="326"/>
        <v>0</v>
      </c>
      <c r="W464" s="185">
        <f t="shared" ca="1" si="326"/>
        <v>0</v>
      </c>
      <c r="X464" s="185">
        <f t="shared" ca="1" si="326"/>
        <v>0</v>
      </c>
      <c r="Y464" s="185">
        <f t="shared" ca="1" si="326"/>
        <v>0</v>
      </c>
      <c r="Z464" s="185">
        <f t="shared" ca="1" si="326"/>
        <v>0</v>
      </c>
      <c r="AA464" s="185">
        <f t="shared" ca="1" si="326"/>
        <v>0</v>
      </c>
      <c r="AB464" s="185">
        <f t="shared" ca="1" si="326"/>
        <v>0</v>
      </c>
      <c r="AC464" s="185">
        <f t="shared" ca="1" si="326"/>
        <v>0</v>
      </c>
      <c r="AD464" s="185">
        <f t="shared" ca="1" si="326"/>
        <v>0</v>
      </c>
      <c r="AE464" s="185">
        <f t="shared" ca="1" si="326"/>
        <v>0</v>
      </c>
      <c r="AF464" s="185">
        <f t="shared" ca="1" si="326"/>
        <v>0</v>
      </c>
      <c r="AG464" s="185">
        <f t="shared" ca="1" si="326"/>
        <v>0</v>
      </c>
      <c r="AH464" s="185">
        <f t="shared" ca="1" si="326"/>
        <v>0</v>
      </c>
      <c r="AI464" s="185">
        <f t="shared" ca="1" si="326"/>
        <v>0</v>
      </c>
      <c r="AJ464" s="185">
        <f t="shared" ca="1" si="326"/>
        <v>0</v>
      </c>
      <c r="AK464" s="185">
        <f t="shared" ca="1" si="326"/>
        <v>0</v>
      </c>
      <c r="AL464" s="185">
        <f t="shared" si="326"/>
        <v>0</v>
      </c>
      <c r="AM464" s="185">
        <f t="shared" si="326"/>
        <v>0</v>
      </c>
      <c r="AN464" s="185">
        <f t="shared" si="326"/>
        <v>0</v>
      </c>
      <c r="AO464" s="185">
        <f t="shared" si="326"/>
        <v>0</v>
      </c>
      <c r="AP464" s="185">
        <f t="shared" si="326"/>
        <v>0</v>
      </c>
      <c r="AQ464" s="185">
        <f t="shared" si="326"/>
        <v>0</v>
      </c>
      <c r="AR464" s="185">
        <f t="shared" si="326"/>
        <v>0</v>
      </c>
      <c r="AS464" s="185">
        <f t="shared" si="326"/>
        <v>0</v>
      </c>
      <c r="AT464" s="185">
        <f t="shared" si="326"/>
        <v>0</v>
      </c>
      <c r="AU464" s="185">
        <f t="shared" si="326"/>
        <v>0</v>
      </c>
    </row>
    <row r="465" spans="1:47">
      <c r="E465" s="36"/>
      <c r="G465" s="39"/>
      <c r="H465" s="39"/>
      <c r="I465" s="39"/>
      <c r="J465" s="39"/>
      <c r="K465" s="39"/>
    </row>
    <row r="466" spans="1:47">
      <c r="E466" s="327"/>
      <c r="F466" s="28"/>
      <c r="G466" s="324" t="str">
        <f>C469&amp;" O&amp;M"</f>
        <v>Land Disposal O&amp;M</v>
      </c>
      <c r="H466" s="324"/>
      <c r="I466" s="324"/>
      <c r="J466" s="324"/>
      <c r="K466" s="324"/>
      <c r="L466" s="405" t="s">
        <v>79</v>
      </c>
      <c r="M466" s="256"/>
      <c r="N466" s="325" t="s">
        <v>490</v>
      </c>
      <c r="O466" s="311"/>
      <c r="P466" s="325" t="s">
        <v>491</v>
      </c>
      <c r="Q466" s="310"/>
      <c r="R466" s="325">
        <f>R$8</f>
        <v>2014</v>
      </c>
      <c r="S466" s="325">
        <f t="shared" ref="S466:AU466" si="327">S$8</f>
        <v>2015</v>
      </c>
      <c r="T466" s="325">
        <f t="shared" si="327"/>
        <v>2016</v>
      </c>
      <c r="U466" s="325">
        <f t="shared" si="327"/>
        <v>2017</v>
      </c>
      <c r="V466" s="325">
        <f t="shared" si="327"/>
        <v>2018</v>
      </c>
      <c r="W466" s="325">
        <f t="shared" si="327"/>
        <v>2019</v>
      </c>
      <c r="X466" s="325">
        <f t="shared" si="327"/>
        <v>2020</v>
      </c>
      <c r="Y466" s="325">
        <f t="shared" si="327"/>
        <v>2021</v>
      </c>
      <c r="Z466" s="325">
        <f t="shared" si="327"/>
        <v>2022</v>
      </c>
      <c r="AA466" s="325">
        <f t="shared" si="327"/>
        <v>2023</v>
      </c>
      <c r="AB466" s="325">
        <f t="shared" si="327"/>
        <v>2024</v>
      </c>
      <c r="AC466" s="325">
        <f t="shared" si="327"/>
        <v>2025</v>
      </c>
      <c r="AD466" s="325">
        <f t="shared" si="327"/>
        <v>2026</v>
      </c>
      <c r="AE466" s="325">
        <f t="shared" si="327"/>
        <v>2027</v>
      </c>
      <c r="AF466" s="325">
        <f t="shared" si="327"/>
        <v>2028</v>
      </c>
      <c r="AG466" s="325">
        <f t="shared" si="327"/>
        <v>2029</v>
      </c>
      <c r="AH466" s="325">
        <f t="shared" si="327"/>
        <v>2030</v>
      </c>
      <c r="AI466" s="325">
        <f t="shared" si="327"/>
        <v>2031</v>
      </c>
      <c r="AJ466" s="325">
        <f t="shared" si="327"/>
        <v>2032</v>
      </c>
      <c r="AK466" s="325">
        <f t="shared" si="327"/>
        <v>2033</v>
      </c>
      <c r="AL466" s="325">
        <f t="shared" si="327"/>
        <v>2034</v>
      </c>
      <c r="AM466" s="325">
        <f t="shared" si="327"/>
        <v>2035</v>
      </c>
      <c r="AN466" s="325">
        <f t="shared" si="327"/>
        <v>2036</v>
      </c>
      <c r="AO466" s="325">
        <f t="shared" si="327"/>
        <v>2037</v>
      </c>
      <c r="AP466" s="325">
        <f t="shared" si="327"/>
        <v>2038</v>
      </c>
      <c r="AQ466" s="325">
        <f t="shared" si="327"/>
        <v>2039</v>
      </c>
      <c r="AR466" s="325">
        <f t="shared" si="327"/>
        <v>2040</v>
      </c>
      <c r="AS466" s="325">
        <f t="shared" si="327"/>
        <v>2041</v>
      </c>
      <c r="AT466" s="325">
        <f t="shared" si="327"/>
        <v>2042</v>
      </c>
      <c r="AU466" s="325">
        <f t="shared" si="327"/>
        <v>2043</v>
      </c>
    </row>
    <row r="467" spans="1:47">
      <c r="E467" s="325"/>
      <c r="G467" s="39"/>
      <c r="H467" s="39"/>
      <c r="I467" s="39"/>
      <c r="J467" s="39"/>
      <c r="K467" s="39"/>
    </row>
    <row r="468" spans="1:47">
      <c r="E468" s="325"/>
      <c r="G468" s="39" t="s">
        <v>23</v>
      </c>
      <c r="H468" s="39"/>
      <c r="I468" s="39"/>
      <c r="J468" s="39"/>
      <c r="K468" s="39"/>
    </row>
    <row r="469" spans="1:47">
      <c r="A469" s="38" t="str">
        <f t="shared" ref="A469:A476" si="328">$J$4&amp;"-"</f>
        <v>4Y-</v>
      </c>
      <c r="B469" s="38" t="s">
        <v>262</v>
      </c>
      <c r="C469" s="38" t="s">
        <v>311</v>
      </c>
      <c r="D469" s="186">
        <f>LaborEsc</f>
        <v>0.02</v>
      </c>
      <c r="E469" s="325"/>
      <c r="G469" s="36" t="s">
        <v>125</v>
      </c>
      <c r="I469" s="39"/>
      <c r="K469" s="39"/>
      <c r="L469" s="43" t="s">
        <v>266</v>
      </c>
      <c r="N469" s="70">
        <f ca="1">SUMIFS(OFFSET(Assumptions!$I$90,0,MATCH($A469,Configurations,0)-1,COUNT(Assumptions!$A$90:$A$183),1),Assumptions!$D$90:$D$183,$B469&amp;$C469)</f>
        <v>0</v>
      </c>
      <c r="O469" s="313"/>
      <c r="P469" s="323"/>
      <c r="Q469" s="313"/>
      <c r="R469" s="50">
        <f t="shared" ref="R469:AU469" ca="1" si="329">IF(OR(R$99&lt;InServiceYr,R$99&gt;(InServiceYr+analysis_period-1)),0,IF($P469=0,$N469,$P469)*LaborCost*(1+$D469)^(R$99-CostBaseYr))</f>
        <v>0</v>
      </c>
      <c r="S469" s="50">
        <f t="shared" ca="1" si="329"/>
        <v>0</v>
      </c>
      <c r="T469" s="50">
        <f t="shared" ca="1" si="329"/>
        <v>0</v>
      </c>
      <c r="U469" s="50">
        <f t="shared" ca="1" si="329"/>
        <v>0</v>
      </c>
      <c r="V469" s="50">
        <f t="shared" ca="1" si="329"/>
        <v>0</v>
      </c>
      <c r="W469" s="50">
        <f t="shared" ca="1" si="329"/>
        <v>0</v>
      </c>
      <c r="X469" s="50">
        <f t="shared" ca="1" si="329"/>
        <v>0</v>
      </c>
      <c r="Y469" s="50">
        <f t="shared" ca="1" si="329"/>
        <v>0</v>
      </c>
      <c r="Z469" s="50">
        <f t="shared" ca="1" si="329"/>
        <v>0</v>
      </c>
      <c r="AA469" s="50">
        <f t="shared" ca="1" si="329"/>
        <v>0</v>
      </c>
      <c r="AB469" s="50">
        <f t="shared" ca="1" si="329"/>
        <v>0</v>
      </c>
      <c r="AC469" s="50">
        <f t="shared" ca="1" si="329"/>
        <v>0</v>
      </c>
      <c r="AD469" s="50">
        <f t="shared" ca="1" si="329"/>
        <v>0</v>
      </c>
      <c r="AE469" s="50">
        <f t="shared" ca="1" si="329"/>
        <v>0</v>
      </c>
      <c r="AF469" s="50">
        <f t="shared" ca="1" si="329"/>
        <v>0</v>
      </c>
      <c r="AG469" s="50">
        <f t="shared" ca="1" si="329"/>
        <v>0</v>
      </c>
      <c r="AH469" s="50">
        <f t="shared" ca="1" si="329"/>
        <v>0</v>
      </c>
      <c r="AI469" s="50">
        <f t="shared" ca="1" si="329"/>
        <v>0</v>
      </c>
      <c r="AJ469" s="50">
        <f t="shared" ca="1" si="329"/>
        <v>0</v>
      </c>
      <c r="AK469" s="50">
        <f t="shared" ca="1" si="329"/>
        <v>0</v>
      </c>
      <c r="AL469" s="50">
        <f t="shared" si="329"/>
        <v>0</v>
      </c>
      <c r="AM469" s="50">
        <f t="shared" si="329"/>
        <v>0</v>
      </c>
      <c r="AN469" s="50">
        <f t="shared" si="329"/>
        <v>0</v>
      </c>
      <c r="AO469" s="50">
        <f t="shared" si="329"/>
        <v>0</v>
      </c>
      <c r="AP469" s="50">
        <f t="shared" si="329"/>
        <v>0</v>
      </c>
      <c r="AQ469" s="50">
        <f t="shared" si="329"/>
        <v>0</v>
      </c>
      <c r="AR469" s="50">
        <f t="shared" si="329"/>
        <v>0</v>
      </c>
      <c r="AS469" s="50">
        <f t="shared" si="329"/>
        <v>0</v>
      </c>
      <c r="AT469" s="50">
        <f t="shared" si="329"/>
        <v>0</v>
      </c>
      <c r="AU469" s="50">
        <f t="shared" si="329"/>
        <v>0</v>
      </c>
    </row>
    <row r="470" spans="1:47">
      <c r="A470" s="38" t="str">
        <f t="shared" si="328"/>
        <v>4Y-</v>
      </c>
      <c r="B470" s="38" t="s">
        <v>270</v>
      </c>
      <c r="C470" s="38" t="str">
        <f>C469</f>
        <v>Land Disposal</v>
      </c>
      <c r="D470" s="186">
        <f>OMEsc</f>
        <v>0.02</v>
      </c>
      <c r="E470" s="325"/>
      <c r="G470" s="36" t="s">
        <v>126</v>
      </c>
      <c r="I470" s="39"/>
      <c r="K470" s="39"/>
      <c r="L470" s="43" t="str">
        <f>"["&amp;CostBaseYr&amp;" $]"</f>
        <v>[2013 $]</v>
      </c>
      <c r="N470" s="70">
        <f ca="1">SUMIFS(OFFSET(Assumptions!$I$90,0,MATCH($A470,Configurations,0)-1,COUNT(Assumptions!$A$90:$A$183),1),Assumptions!$D$90:$D$183,$B470&amp;$C470)</f>
        <v>0</v>
      </c>
      <c r="O470" s="313"/>
      <c r="P470" s="323"/>
      <c r="Q470" s="313"/>
      <c r="R470" s="50">
        <f t="shared" ref="R470:AG472" ca="1" si="330">IF(OR(R$99&lt;InServiceYr,R$99&gt;(InServiceYr+analysis_period-1)),0,IF($P470=0,$N470,$P470)*(1+$D470)^(R$99-CostBaseYr))</f>
        <v>0</v>
      </c>
      <c r="S470" s="50">
        <f t="shared" ca="1" si="330"/>
        <v>0</v>
      </c>
      <c r="T470" s="50">
        <f t="shared" ca="1" si="330"/>
        <v>0</v>
      </c>
      <c r="U470" s="50">
        <f t="shared" ca="1" si="330"/>
        <v>0</v>
      </c>
      <c r="V470" s="50">
        <f t="shared" ca="1" si="330"/>
        <v>0</v>
      </c>
      <c r="W470" s="50">
        <f t="shared" ca="1" si="330"/>
        <v>0</v>
      </c>
      <c r="X470" s="50">
        <f t="shared" ca="1" si="330"/>
        <v>0</v>
      </c>
      <c r="Y470" s="50">
        <f t="shared" ca="1" si="330"/>
        <v>0</v>
      </c>
      <c r="Z470" s="50">
        <f t="shared" ca="1" si="330"/>
        <v>0</v>
      </c>
      <c r="AA470" s="50">
        <f t="shared" ca="1" si="330"/>
        <v>0</v>
      </c>
      <c r="AB470" s="50">
        <f t="shared" ca="1" si="330"/>
        <v>0</v>
      </c>
      <c r="AC470" s="50">
        <f t="shared" ca="1" si="330"/>
        <v>0</v>
      </c>
      <c r="AD470" s="50">
        <f t="shared" ca="1" si="330"/>
        <v>0</v>
      </c>
      <c r="AE470" s="50">
        <f t="shared" ca="1" si="330"/>
        <v>0</v>
      </c>
      <c r="AF470" s="50">
        <f t="shared" ca="1" si="330"/>
        <v>0</v>
      </c>
      <c r="AG470" s="50">
        <f t="shared" ca="1" si="330"/>
        <v>0</v>
      </c>
      <c r="AH470" s="50">
        <f t="shared" ref="S470:AU472" ca="1" si="331">IF(OR(AH$99&lt;InServiceYr,AH$99&gt;(InServiceYr+analysis_period-1)),0,IF($P470=0,$N470,$P470)*(1+$D470)^(AH$99-CostBaseYr))</f>
        <v>0</v>
      </c>
      <c r="AI470" s="50">
        <f t="shared" ca="1" si="331"/>
        <v>0</v>
      </c>
      <c r="AJ470" s="50">
        <f t="shared" ca="1" si="331"/>
        <v>0</v>
      </c>
      <c r="AK470" s="50">
        <f t="shared" ca="1" si="331"/>
        <v>0</v>
      </c>
      <c r="AL470" s="50">
        <f t="shared" si="331"/>
        <v>0</v>
      </c>
      <c r="AM470" s="50">
        <f t="shared" si="331"/>
        <v>0</v>
      </c>
      <c r="AN470" s="50">
        <f t="shared" si="331"/>
        <v>0</v>
      </c>
      <c r="AO470" s="50">
        <f t="shared" si="331"/>
        <v>0</v>
      </c>
      <c r="AP470" s="50">
        <f t="shared" si="331"/>
        <v>0</v>
      </c>
      <c r="AQ470" s="50">
        <f t="shared" si="331"/>
        <v>0</v>
      </c>
      <c r="AR470" s="50">
        <f t="shared" si="331"/>
        <v>0</v>
      </c>
      <c r="AS470" s="50">
        <f t="shared" si="331"/>
        <v>0</v>
      </c>
      <c r="AT470" s="50">
        <f t="shared" si="331"/>
        <v>0</v>
      </c>
      <c r="AU470" s="50">
        <f t="shared" si="331"/>
        <v>0</v>
      </c>
    </row>
    <row r="471" spans="1:47">
      <c r="A471" s="38" t="str">
        <f t="shared" si="328"/>
        <v>4Y-</v>
      </c>
      <c r="B471" s="38" t="s">
        <v>263</v>
      </c>
      <c r="C471" s="38" t="str">
        <f t="shared" ref="C471:C475" si="332">C470</f>
        <v>Land Disposal</v>
      </c>
      <c r="D471" s="186">
        <f>OMEsc</f>
        <v>0.02</v>
      </c>
      <c r="E471" s="325"/>
      <c r="G471" s="36" t="s">
        <v>127</v>
      </c>
      <c r="I471" s="39"/>
      <c r="K471" s="39"/>
      <c r="L471" s="43" t="str">
        <f>"["&amp;CostBaseYr&amp;" $]"</f>
        <v>[2013 $]</v>
      </c>
      <c r="N471" s="70">
        <f ca="1">SUMIFS(OFFSET(Assumptions!$I$90,0,MATCH($A471,Configurations,0)-1,COUNT(Assumptions!$A$90:$A$183),1),Assumptions!$D$90:$D$183,$B471&amp;$C471)</f>
        <v>0</v>
      </c>
      <c r="O471" s="313"/>
      <c r="P471" s="323"/>
      <c r="Q471" s="313"/>
      <c r="R471" s="50">
        <f t="shared" ca="1" si="330"/>
        <v>0</v>
      </c>
      <c r="S471" s="50">
        <f t="shared" ca="1" si="331"/>
        <v>0</v>
      </c>
      <c r="T471" s="50">
        <f t="shared" ca="1" si="331"/>
        <v>0</v>
      </c>
      <c r="U471" s="50">
        <f t="shared" ca="1" si="331"/>
        <v>0</v>
      </c>
      <c r="V471" s="50">
        <f t="shared" ca="1" si="331"/>
        <v>0</v>
      </c>
      <c r="W471" s="50">
        <f t="shared" ca="1" si="331"/>
        <v>0</v>
      </c>
      <c r="X471" s="50">
        <f t="shared" ca="1" si="331"/>
        <v>0</v>
      </c>
      <c r="Y471" s="50">
        <f t="shared" ca="1" si="331"/>
        <v>0</v>
      </c>
      <c r="Z471" s="50">
        <f t="shared" ca="1" si="331"/>
        <v>0</v>
      </c>
      <c r="AA471" s="50">
        <f t="shared" ca="1" si="331"/>
        <v>0</v>
      </c>
      <c r="AB471" s="50">
        <f t="shared" ca="1" si="331"/>
        <v>0</v>
      </c>
      <c r="AC471" s="50">
        <f t="shared" ca="1" si="331"/>
        <v>0</v>
      </c>
      <c r="AD471" s="50">
        <f t="shared" ca="1" si="331"/>
        <v>0</v>
      </c>
      <c r="AE471" s="50">
        <f t="shared" ca="1" si="331"/>
        <v>0</v>
      </c>
      <c r="AF471" s="50">
        <f t="shared" ca="1" si="331"/>
        <v>0</v>
      </c>
      <c r="AG471" s="50">
        <f t="shared" ca="1" si="331"/>
        <v>0</v>
      </c>
      <c r="AH471" s="50">
        <f t="shared" ca="1" si="331"/>
        <v>0</v>
      </c>
      <c r="AI471" s="50">
        <f t="shared" ca="1" si="331"/>
        <v>0</v>
      </c>
      <c r="AJ471" s="50">
        <f t="shared" ca="1" si="331"/>
        <v>0</v>
      </c>
      <c r="AK471" s="50">
        <f t="shared" ca="1" si="331"/>
        <v>0</v>
      </c>
      <c r="AL471" s="50">
        <f t="shared" si="331"/>
        <v>0</v>
      </c>
      <c r="AM471" s="50">
        <f t="shared" si="331"/>
        <v>0</v>
      </c>
      <c r="AN471" s="50">
        <f t="shared" si="331"/>
        <v>0</v>
      </c>
      <c r="AO471" s="50">
        <f t="shared" si="331"/>
        <v>0</v>
      </c>
      <c r="AP471" s="50">
        <f t="shared" si="331"/>
        <v>0</v>
      </c>
      <c r="AQ471" s="50">
        <f t="shared" si="331"/>
        <v>0</v>
      </c>
      <c r="AR471" s="50">
        <f t="shared" si="331"/>
        <v>0</v>
      </c>
      <c r="AS471" s="50">
        <f t="shared" si="331"/>
        <v>0</v>
      </c>
      <c r="AT471" s="50">
        <f t="shared" si="331"/>
        <v>0</v>
      </c>
      <c r="AU471" s="50">
        <f t="shared" si="331"/>
        <v>0</v>
      </c>
    </row>
    <row r="472" spans="1:47">
      <c r="A472" s="38" t="str">
        <f t="shared" si="328"/>
        <v>4Y-</v>
      </c>
      <c r="B472" s="38" t="s">
        <v>277</v>
      </c>
      <c r="C472" s="38" t="str">
        <f t="shared" si="332"/>
        <v>Land Disposal</v>
      </c>
      <c r="D472" s="186">
        <f>OMEsc</f>
        <v>0.02</v>
      </c>
      <c r="E472" s="325"/>
      <c r="G472" s="36" t="s">
        <v>276</v>
      </c>
      <c r="I472" s="39"/>
      <c r="K472" s="39"/>
      <c r="L472" s="43" t="str">
        <f>"["&amp;CostBaseYr&amp;" $]"</f>
        <v>[2013 $]</v>
      </c>
      <c r="N472" s="70">
        <f ca="1">SUMIFS(OFFSET(Assumptions!$I$90,0,MATCH($A472,Configurations,0)-1,COUNT(Assumptions!$A$90:$A$183),1),Assumptions!$D$90:$D$183,$B472&amp;$C472)</f>
        <v>0</v>
      </c>
      <c r="O472" s="313"/>
      <c r="P472" s="323"/>
      <c r="Q472" s="313"/>
      <c r="R472" s="50">
        <f t="shared" ca="1" si="330"/>
        <v>0</v>
      </c>
      <c r="S472" s="50">
        <f t="shared" ca="1" si="331"/>
        <v>0</v>
      </c>
      <c r="T472" s="50">
        <f t="shared" ca="1" si="331"/>
        <v>0</v>
      </c>
      <c r="U472" s="50">
        <f t="shared" ca="1" si="331"/>
        <v>0</v>
      </c>
      <c r="V472" s="50">
        <f t="shared" ca="1" si="331"/>
        <v>0</v>
      </c>
      <c r="W472" s="50">
        <f t="shared" ca="1" si="331"/>
        <v>0</v>
      </c>
      <c r="X472" s="50">
        <f t="shared" ca="1" si="331"/>
        <v>0</v>
      </c>
      <c r="Y472" s="50">
        <f t="shared" ca="1" si="331"/>
        <v>0</v>
      </c>
      <c r="Z472" s="50">
        <f t="shared" ca="1" si="331"/>
        <v>0</v>
      </c>
      <c r="AA472" s="50">
        <f t="shared" ca="1" si="331"/>
        <v>0</v>
      </c>
      <c r="AB472" s="50">
        <f t="shared" ca="1" si="331"/>
        <v>0</v>
      </c>
      <c r="AC472" s="50">
        <f t="shared" ca="1" si="331"/>
        <v>0</v>
      </c>
      <c r="AD472" s="50">
        <f t="shared" ca="1" si="331"/>
        <v>0</v>
      </c>
      <c r="AE472" s="50">
        <f t="shared" ca="1" si="331"/>
        <v>0</v>
      </c>
      <c r="AF472" s="50">
        <f t="shared" ca="1" si="331"/>
        <v>0</v>
      </c>
      <c r="AG472" s="50">
        <f t="shared" ca="1" si="331"/>
        <v>0</v>
      </c>
      <c r="AH472" s="50">
        <f t="shared" ca="1" si="331"/>
        <v>0</v>
      </c>
      <c r="AI472" s="50">
        <f t="shared" ca="1" si="331"/>
        <v>0</v>
      </c>
      <c r="AJ472" s="50">
        <f t="shared" ca="1" si="331"/>
        <v>0</v>
      </c>
      <c r="AK472" s="50">
        <f t="shared" ca="1" si="331"/>
        <v>0</v>
      </c>
      <c r="AL472" s="50">
        <f t="shared" si="331"/>
        <v>0</v>
      </c>
      <c r="AM472" s="50">
        <f t="shared" si="331"/>
        <v>0</v>
      </c>
      <c r="AN472" s="50">
        <f t="shared" si="331"/>
        <v>0</v>
      </c>
      <c r="AO472" s="50">
        <f t="shared" si="331"/>
        <v>0</v>
      </c>
      <c r="AP472" s="50">
        <f t="shared" si="331"/>
        <v>0</v>
      </c>
      <c r="AQ472" s="50">
        <f t="shared" si="331"/>
        <v>0</v>
      </c>
      <c r="AR472" s="50">
        <f t="shared" si="331"/>
        <v>0</v>
      </c>
      <c r="AS472" s="50">
        <f t="shared" si="331"/>
        <v>0</v>
      </c>
      <c r="AT472" s="50">
        <f t="shared" si="331"/>
        <v>0</v>
      </c>
      <c r="AU472" s="50">
        <f t="shared" si="331"/>
        <v>0</v>
      </c>
    </row>
    <row r="473" spans="1:47">
      <c r="A473" s="38" t="str">
        <f t="shared" si="328"/>
        <v>4Y-</v>
      </c>
      <c r="B473" s="38" t="s">
        <v>274</v>
      </c>
      <c r="C473" s="38" t="str">
        <f t="shared" si="332"/>
        <v>Land Disposal</v>
      </c>
      <c r="D473" s="186"/>
      <c r="E473" s="325"/>
      <c r="G473" s="36" t="s">
        <v>16</v>
      </c>
      <c r="I473" s="39"/>
      <c r="K473" s="39"/>
      <c r="L473" s="43" t="s">
        <v>275</v>
      </c>
      <c r="N473" s="70">
        <f ca="1">SUMIFS(OFFSET(Assumptions!$I$90,0,MATCH($A473,Configurations,0)-1,COUNT(Assumptions!$A$90:$A$183),1),Assumptions!$D$90:$D$183,$B473&amp;$C473)</f>
        <v>0</v>
      </c>
      <c r="O473" s="313"/>
      <c r="P473" s="323"/>
      <c r="Q473" s="313"/>
      <c r="R473" s="50">
        <f t="shared" ref="R473:AU473" ca="1" si="333">IF(OR(R$99&lt;InServiceYr,R$99&gt;(InServiceYr+analysis_period-1)),0,IF($P473=0,$N473,$P473)*R$505)</f>
        <v>0</v>
      </c>
      <c r="S473" s="50">
        <f t="shared" ca="1" si="333"/>
        <v>0</v>
      </c>
      <c r="T473" s="50">
        <f t="shared" ca="1" si="333"/>
        <v>0</v>
      </c>
      <c r="U473" s="50">
        <f t="shared" ca="1" si="333"/>
        <v>0</v>
      </c>
      <c r="V473" s="50">
        <f t="shared" ca="1" si="333"/>
        <v>0</v>
      </c>
      <c r="W473" s="50">
        <f t="shared" ca="1" si="333"/>
        <v>0</v>
      </c>
      <c r="X473" s="50">
        <f t="shared" ca="1" si="333"/>
        <v>0</v>
      </c>
      <c r="Y473" s="50">
        <f t="shared" ca="1" si="333"/>
        <v>0</v>
      </c>
      <c r="Z473" s="50">
        <f t="shared" ca="1" si="333"/>
        <v>0</v>
      </c>
      <c r="AA473" s="50">
        <f t="shared" ca="1" si="333"/>
        <v>0</v>
      </c>
      <c r="AB473" s="50">
        <f t="shared" ca="1" si="333"/>
        <v>0</v>
      </c>
      <c r="AC473" s="50">
        <f t="shared" ca="1" si="333"/>
        <v>0</v>
      </c>
      <c r="AD473" s="50">
        <f t="shared" ca="1" si="333"/>
        <v>0</v>
      </c>
      <c r="AE473" s="50">
        <f t="shared" ca="1" si="333"/>
        <v>0</v>
      </c>
      <c r="AF473" s="50">
        <f t="shared" ca="1" si="333"/>
        <v>0</v>
      </c>
      <c r="AG473" s="50">
        <f t="shared" ca="1" si="333"/>
        <v>0</v>
      </c>
      <c r="AH473" s="50">
        <f t="shared" ca="1" si="333"/>
        <v>0</v>
      </c>
      <c r="AI473" s="50">
        <f t="shared" ca="1" si="333"/>
        <v>0</v>
      </c>
      <c r="AJ473" s="50">
        <f t="shared" ca="1" si="333"/>
        <v>0</v>
      </c>
      <c r="AK473" s="50">
        <f t="shared" ca="1" si="333"/>
        <v>0</v>
      </c>
      <c r="AL473" s="50">
        <f t="shared" si="333"/>
        <v>0</v>
      </c>
      <c r="AM473" s="50">
        <f t="shared" si="333"/>
        <v>0</v>
      </c>
      <c r="AN473" s="50">
        <f t="shared" si="333"/>
        <v>0</v>
      </c>
      <c r="AO473" s="50">
        <f t="shared" si="333"/>
        <v>0</v>
      </c>
      <c r="AP473" s="50">
        <f t="shared" si="333"/>
        <v>0</v>
      </c>
      <c r="AQ473" s="50">
        <f t="shared" si="333"/>
        <v>0</v>
      </c>
      <c r="AR473" s="50">
        <f t="shared" si="333"/>
        <v>0</v>
      </c>
      <c r="AS473" s="50">
        <f t="shared" si="333"/>
        <v>0</v>
      </c>
      <c r="AT473" s="50">
        <f t="shared" si="333"/>
        <v>0</v>
      </c>
      <c r="AU473" s="50">
        <f t="shared" si="333"/>
        <v>0</v>
      </c>
    </row>
    <row r="474" spans="1:47">
      <c r="A474" s="38" t="str">
        <f t="shared" si="328"/>
        <v>4Y-</v>
      </c>
      <c r="B474" s="38" t="s">
        <v>257</v>
      </c>
      <c r="C474" s="38" t="str">
        <f t="shared" si="332"/>
        <v>Land Disposal</v>
      </c>
      <c r="D474" s="186"/>
      <c r="E474" s="325"/>
      <c r="G474" s="36" t="s">
        <v>284</v>
      </c>
      <c r="I474" s="39"/>
      <c r="K474" s="39"/>
      <c r="L474" s="43" t="s">
        <v>293</v>
      </c>
      <c r="N474" s="70">
        <f ca="1">SUMIFS(OFFSET(Assumptions!$I$90,0,MATCH($A474,Configurations,0)-1,COUNT(Assumptions!$A$90:$A$183),1),Assumptions!$D$90:$D$183,$B474&amp;$C474)</f>
        <v>0</v>
      </c>
      <c r="O474" s="313"/>
      <c r="P474" s="323"/>
      <c r="Q474" s="313"/>
      <c r="R474" s="50">
        <f t="shared" ref="R474:AU474" ca="1" si="334">IF(OR(R$99&lt;InServiceYr,R$99&gt;(InServiceYr+analysis_period-1)),0,IF($P474=0,$N474,$P474)*R$501)</f>
        <v>0</v>
      </c>
      <c r="S474" s="50">
        <f t="shared" ca="1" si="334"/>
        <v>0</v>
      </c>
      <c r="T474" s="50">
        <f t="shared" ca="1" si="334"/>
        <v>0</v>
      </c>
      <c r="U474" s="50">
        <f t="shared" ca="1" si="334"/>
        <v>0</v>
      </c>
      <c r="V474" s="50">
        <f t="shared" ca="1" si="334"/>
        <v>0</v>
      </c>
      <c r="W474" s="50">
        <f t="shared" ca="1" si="334"/>
        <v>0</v>
      </c>
      <c r="X474" s="50">
        <f t="shared" ca="1" si="334"/>
        <v>0</v>
      </c>
      <c r="Y474" s="50">
        <f t="shared" ca="1" si="334"/>
        <v>0</v>
      </c>
      <c r="Z474" s="50">
        <f t="shared" ca="1" si="334"/>
        <v>0</v>
      </c>
      <c r="AA474" s="50">
        <f t="shared" ca="1" si="334"/>
        <v>0</v>
      </c>
      <c r="AB474" s="50">
        <f t="shared" ca="1" si="334"/>
        <v>0</v>
      </c>
      <c r="AC474" s="50">
        <f t="shared" ca="1" si="334"/>
        <v>0</v>
      </c>
      <c r="AD474" s="50">
        <f t="shared" ca="1" si="334"/>
        <v>0</v>
      </c>
      <c r="AE474" s="50">
        <f t="shared" ca="1" si="334"/>
        <v>0</v>
      </c>
      <c r="AF474" s="50">
        <f t="shared" ca="1" si="334"/>
        <v>0</v>
      </c>
      <c r="AG474" s="50">
        <f t="shared" ca="1" si="334"/>
        <v>0</v>
      </c>
      <c r="AH474" s="50">
        <f t="shared" ca="1" si="334"/>
        <v>0</v>
      </c>
      <c r="AI474" s="50">
        <f t="shared" ca="1" si="334"/>
        <v>0</v>
      </c>
      <c r="AJ474" s="50">
        <f t="shared" ca="1" si="334"/>
        <v>0</v>
      </c>
      <c r="AK474" s="50">
        <f t="shared" ca="1" si="334"/>
        <v>0</v>
      </c>
      <c r="AL474" s="50">
        <f t="shared" si="334"/>
        <v>0</v>
      </c>
      <c r="AM474" s="50">
        <f t="shared" si="334"/>
        <v>0</v>
      </c>
      <c r="AN474" s="50">
        <f t="shared" si="334"/>
        <v>0</v>
      </c>
      <c r="AO474" s="50">
        <f t="shared" si="334"/>
        <v>0</v>
      </c>
      <c r="AP474" s="50">
        <f t="shared" si="334"/>
        <v>0</v>
      </c>
      <c r="AQ474" s="50">
        <f t="shared" si="334"/>
        <v>0</v>
      </c>
      <c r="AR474" s="50">
        <f t="shared" si="334"/>
        <v>0</v>
      </c>
      <c r="AS474" s="50">
        <f t="shared" si="334"/>
        <v>0</v>
      </c>
      <c r="AT474" s="50">
        <f t="shared" si="334"/>
        <v>0</v>
      </c>
      <c r="AU474" s="50">
        <f t="shared" si="334"/>
        <v>0</v>
      </c>
    </row>
    <row r="475" spans="1:47">
      <c r="A475" s="38" t="str">
        <f t="shared" si="328"/>
        <v>4Y-</v>
      </c>
      <c r="B475" s="38" t="s">
        <v>864</v>
      </c>
      <c r="C475" s="38" t="str">
        <f t="shared" si="332"/>
        <v>Land Disposal</v>
      </c>
      <c r="D475" s="186">
        <f>GHGEsc</f>
        <v>0.02</v>
      </c>
      <c r="E475" s="325"/>
      <c r="G475" s="36" t="s">
        <v>865</v>
      </c>
      <c r="I475" s="39"/>
      <c r="K475" s="39"/>
      <c r="L475" s="43" t="s">
        <v>866</v>
      </c>
      <c r="N475" s="70">
        <f ca="1">SUMIFS(OFFSET(Assumptions!$I$90,0,MATCH($A475,Configurations,0)-1,COUNT(Assumptions!$A$90:$A$183),1),Assumptions!$D$90:$D$183,$B475&amp;$C475)</f>
        <v>0</v>
      </c>
      <c r="O475" s="313"/>
      <c r="P475" s="323"/>
      <c r="Q475" s="313"/>
      <c r="R475" s="50">
        <f t="shared" ref="R475:AU475" ca="1" si="335">IF(OR(R$99&lt;InServiceYr,R$99&gt;(InServiceYr+analysis_period-1)),0,IF($P475=0,$N475,$P475)*R$513)</f>
        <v>0</v>
      </c>
      <c r="S475" s="50">
        <f t="shared" ca="1" si="335"/>
        <v>0</v>
      </c>
      <c r="T475" s="50">
        <f t="shared" ca="1" si="335"/>
        <v>0</v>
      </c>
      <c r="U475" s="50">
        <f t="shared" ca="1" si="335"/>
        <v>0</v>
      </c>
      <c r="V475" s="50">
        <f t="shared" ca="1" si="335"/>
        <v>0</v>
      </c>
      <c r="W475" s="50">
        <f t="shared" ca="1" si="335"/>
        <v>0</v>
      </c>
      <c r="X475" s="50">
        <f t="shared" ca="1" si="335"/>
        <v>0</v>
      </c>
      <c r="Y475" s="50">
        <f t="shared" ca="1" si="335"/>
        <v>0</v>
      </c>
      <c r="Z475" s="50">
        <f t="shared" ca="1" si="335"/>
        <v>0</v>
      </c>
      <c r="AA475" s="50">
        <f t="shared" ca="1" si="335"/>
        <v>0</v>
      </c>
      <c r="AB475" s="50">
        <f t="shared" ca="1" si="335"/>
        <v>0</v>
      </c>
      <c r="AC475" s="50">
        <f t="shared" ca="1" si="335"/>
        <v>0</v>
      </c>
      <c r="AD475" s="50">
        <f t="shared" ca="1" si="335"/>
        <v>0</v>
      </c>
      <c r="AE475" s="50">
        <f t="shared" ca="1" si="335"/>
        <v>0</v>
      </c>
      <c r="AF475" s="50">
        <f t="shared" ca="1" si="335"/>
        <v>0</v>
      </c>
      <c r="AG475" s="50">
        <f t="shared" ca="1" si="335"/>
        <v>0</v>
      </c>
      <c r="AH475" s="50">
        <f t="shared" ca="1" si="335"/>
        <v>0</v>
      </c>
      <c r="AI475" s="50">
        <f t="shared" ca="1" si="335"/>
        <v>0</v>
      </c>
      <c r="AJ475" s="50">
        <f t="shared" ca="1" si="335"/>
        <v>0</v>
      </c>
      <c r="AK475" s="50">
        <f t="shared" ca="1" si="335"/>
        <v>0</v>
      </c>
      <c r="AL475" s="50">
        <f t="shared" si="335"/>
        <v>0</v>
      </c>
      <c r="AM475" s="50">
        <f t="shared" si="335"/>
        <v>0</v>
      </c>
      <c r="AN475" s="50">
        <f t="shared" si="335"/>
        <v>0</v>
      </c>
      <c r="AO475" s="50">
        <f t="shared" si="335"/>
        <v>0</v>
      </c>
      <c r="AP475" s="50">
        <f t="shared" si="335"/>
        <v>0</v>
      </c>
      <c r="AQ475" s="50">
        <f t="shared" si="335"/>
        <v>0</v>
      </c>
      <c r="AR475" s="50">
        <f t="shared" si="335"/>
        <v>0</v>
      </c>
      <c r="AS475" s="50">
        <f t="shared" si="335"/>
        <v>0</v>
      </c>
      <c r="AT475" s="50">
        <f t="shared" si="335"/>
        <v>0</v>
      </c>
      <c r="AU475" s="50">
        <f t="shared" si="335"/>
        <v>0</v>
      </c>
    </row>
    <row r="476" spans="1:47">
      <c r="A476" s="38" t="str">
        <f t="shared" si="328"/>
        <v>4Y-</v>
      </c>
      <c r="B476" s="38" t="s">
        <v>273</v>
      </c>
      <c r="C476" s="38" t="str">
        <f>C474</f>
        <v>Land Disposal</v>
      </c>
      <c r="D476" s="186">
        <f>LaborEsc</f>
        <v>0.02</v>
      </c>
      <c r="E476" s="325"/>
      <c r="G476" s="36" t="s">
        <v>291</v>
      </c>
      <c r="I476" s="39"/>
      <c r="K476" s="39"/>
      <c r="L476" s="43" t="str">
        <f>"["&amp;CostBaseYr&amp;" $]"</f>
        <v>[2013 $]</v>
      </c>
      <c r="N476" s="70">
        <f ca="1">SUMIFS(OFFSET(Assumptions!$I$90,0,MATCH($A476,Configurations,0)-1,COUNT(Assumptions!$A$90:$A$183),1),Assumptions!$D$90:$D$183,$B476&amp;$C476)</f>
        <v>0</v>
      </c>
      <c r="O476" s="313"/>
      <c r="P476" s="323"/>
      <c r="Q476" s="313"/>
      <c r="R476" s="50">
        <f t="shared" ref="R476:AU476" ca="1" si="336">IF(OR(R$99&lt;InServiceYr,R$99&gt;(InServiceYr+analysis_period-1)),0,IF($P476=0,$N476,$P476)*(1+$D476)^(R$99-CostBaseYr))*R$509</f>
        <v>0</v>
      </c>
      <c r="S476" s="50">
        <f t="shared" ca="1" si="336"/>
        <v>0</v>
      </c>
      <c r="T476" s="50">
        <f t="shared" ca="1" si="336"/>
        <v>0</v>
      </c>
      <c r="U476" s="50">
        <f t="shared" ca="1" si="336"/>
        <v>0</v>
      </c>
      <c r="V476" s="50">
        <f t="shared" ca="1" si="336"/>
        <v>0</v>
      </c>
      <c r="W476" s="50">
        <f t="shared" ca="1" si="336"/>
        <v>0</v>
      </c>
      <c r="X476" s="50">
        <f t="shared" ca="1" si="336"/>
        <v>0</v>
      </c>
      <c r="Y476" s="50">
        <f t="shared" ca="1" si="336"/>
        <v>0</v>
      </c>
      <c r="Z476" s="50">
        <f t="shared" ca="1" si="336"/>
        <v>0</v>
      </c>
      <c r="AA476" s="50">
        <f t="shared" ca="1" si="336"/>
        <v>0</v>
      </c>
      <c r="AB476" s="50">
        <f t="shared" ca="1" si="336"/>
        <v>0</v>
      </c>
      <c r="AC476" s="50">
        <f t="shared" ca="1" si="336"/>
        <v>0</v>
      </c>
      <c r="AD476" s="50">
        <f t="shared" ca="1" si="336"/>
        <v>0</v>
      </c>
      <c r="AE476" s="50">
        <f t="shared" ca="1" si="336"/>
        <v>0</v>
      </c>
      <c r="AF476" s="50">
        <f t="shared" ca="1" si="336"/>
        <v>0</v>
      </c>
      <c r="AG476" s="50">
        <f t="shared" ca="1" si="336"/>
        <v>0</v>
      </c>
      <c r="AH476" s="50">
        <f t="shared" ca="1" si="336"/>
        <v>0</v>
      </c>
      <c r="AI476" s="50">
        <f t="shared" ca="1" si="336"/>
        <v>0</v>
      </c>
      <c r="AJ476" s="50">
        <f t="shared" ca="1" si="336"/>
        <v>0</v>
      </c>
      <c r="AK476" s="50">
        <f t="shared" ca="1" si="336"/>
        <v>0</v>
      </c>
      <c r="AL476" s="50">
        <f t="shared" si="336"/>
        <v>0</v>
      </c>
      <c r="AM476" s="50">
        <f t="shared" si="336"/>
        <v>0</v>
      </c>
      <c r="AN476" s="50">
        <f t="shared" si="336"/>
        <v>0</v>
      </c>
      <c r="AO476" s="50">
        <f t="shared" si="336"/>
        <v>0</v>
      </c>
      <c r="AP476" s="50">
        <f t="shared" si="336"/>
        <v>0</v>
      </c>
      <c r="AQ476" s="50">
        <f t="shared" si="336"/>
        <v>0</v>
      </c>
      <c r="AR476" s="50">
        <f t="shared" si="336"/>
        <v>0</v>
      </c>
      <c r="AS476" s="50">
        <f t="shared" si="336"/>
        <v>0</v>
      </c>
      <c r="AT476" s="50">
        <f t="shared" si="336"/>
        <v>0</v>
      </c>
      <c r="AU476" s="50">
        <f t="shared" si="336"/>
        <v>0</v>
      </c>
    </row>
    <row r="477" spans="1:47">
      <c r="D477" s="186"/>
      <c r="E477" s="325"/>
      <c r="G477" s="39" t="s">
        <v>304</v>
      </c>
      <c r="I477" s="39"/>
      <c r="K477" s="39"/>
      <c r="L477" s="43"/>
      <c r="N477" s="70"/>
      <c r="O477" s="313"/>
      <c r="P477" s="70"/>
      <c r="Q477" s="313"/>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row>
    <row r="478" spans="1:47">
      <c r="A478" s="38" t="str">
        <f>$J$4&amp;"-"</f>
        <v>4Y-</v>
      </c>
      <c r="B478" s="38" t="s">
        <v>265</v>
      </c>
      <c r="C478" s="38" t="str">
        <f>C469</f>
        <v>Land Disposal</v>
      </c>
      <c r="D478" s="186"/>
      <c r="E478" s="325"/>
      <c r="G478" s="36" t="s">
        <v>108</v>
      </c>
      <c r="I478" s="39"/>
      <c r="K478" s="39"/>
      <c r="L478" s="43" t="s">
        <v>293</v>
      </c>
      <c r="N478" s="70">
        <f ca="1">SUMIFS(OFFSET(Assumptions!$I$90,0,MATCH($A478,Configurations,0)-1,COUNT(Assumptions!$A$90:$A$183),1),Assumptions!$D$90:$D$183,$B478&amp;$C478)</f>
        <v>0</v>
      </c>
      <c r="O478" s="313"/>
      <c r="P478" s="323"/>
      <c r="Q478" s="313"/>
      <c r="R478" s="50">
        <f t="shared" ref="R478:AU478" ca="1" si="337">IF(OR(R$99&lt;InServiceYr,R$99&gt;(InServiceYr+analysis_period-1)),0,IF($P478=0,$N478,$P478)*R$501)</f>
        <v>0</v>
      </c>
      <c r="S478" s="50">
        <f t="shared" ca="1" si="337"/>
        <v>0</v>
      </c>
      <c r="T478" s="50">
        <f t="shared" ca="1" si="337"/>
        <v>0</v>
      </c>
      <c r="U478" s="50">
        <f t="shared" ca="1" si="337"/>
        <v>0</v>
      </c>
      <c r="V478" s="50">
        <f t="shared" ca="1" si="337"/>
        <v>0</v>
      </c>
      <c r="W478" s="50">
        <f t="shared" ca="1" si="337"/>
        <v>0</v>
      </c>
      <c r="X478" s="50">
        <f t="shared" ca="1" si="337"/>
        <v>0</v>
      </c>
      <c r="Y478" s="50">
        <f t="shared" ca="1" si="337"/>
        <v>0</v>
      </c>
      <c r="Z478" s="50">
        <f t="shared" ca="1" si="337"/>
        <v>0</v>
      </c>
      <c r="AA478" s="50">
        <f t="shared" ca="1" si="337"/>
        <v>0</v>
      </c>
      <c r="AB478" s="50">
        <f t="shared" ca="1" si="337"/>
        <v>0</v>
      </c>
      <c r="AC478" s="50">
        <f t="shared" ca="1" si="337"/>
        <v>0</v>
      </c>
      <c r="AD478" s="50">
        <f t="shared" ca="1" si="337"/>
        <v>0</v>
      </c>
      <c r="AE478" s="50">
        <f t="shared" ca="1" si="337"/>
        <v>0</v>
      </c>
      <c r="AF478" s="50">
        <f t="shared" ca="1" si="337"/>
        <v>0</v>
      </c>
      <c r="AG478" s="50">
        <f t="shared" ca="1" si="337"/>
        <v>0</v>
      </c>
      <c r="AH478" s="50">
        <f t="shared" ca="1" si="337"/>
        <v>0</v>
      </c>
      <c r="AI478" s="50">
        <f t="shared" ca="1" si="337"/>
        <v>0</v>
      </c>
      <c r="AJ478" s="50">
        <f t="shared" ca="1" si="337"/>
        <v>0</v>
      </c>
      <c r="AK478" s="50">
        <f t="shared" ca="1" si="337"/>
        <v>0</v>
      </c>
      <c r="AL478" s="50">
        <f t="shared" si="337"/>
        <v>0</v>
      </c>
      <c r="AM478" s="50">
        <f t="shared" si="337"/>
        <v>0</v>
      </c>
      <c r="AN478" s="50">
        <f t="shared" si="337"/>
        <v>0</v>
      </c>
      <c r="AO478" s="50">
        <f t="shared" si="337"/>
        <v>0</v>
      </c>
      <c r="AP478" s="50">
        <f t="shared" si="337"/>
        <v>0</v>
      </c>
      <c r="AQ478" s="50">
        <f t="shared" si="337"/>
        <v>0</v>
      </c>
      <c r="AR478" s="50">
        <f t="shared" si="337"/>
        <v>0</v>
      </c>
      <c r="AS478" s="50">
        <f t="shared" si="337"/>
        <v>0</v>
      </c>
      <c r="AT478" s="50">
        <f t="shared" si="337"/>
        <v>0</v>
      </c>
      <c r="AU478" s="50">
        <f t="shared" si="337"/>
        <v>0</v>
      </c>
    </row>
    <row r="479" spans="1:47">
      <c r="A479" s="38" t="str">
        <f>$J$4&amp;"-"</f>
        <v>4Y-</v>
      </c>
      <c r="B479" s="38" t="s">
        <v>289</v>
      </c>
      <c r="C479" s="38" t="str">
        <f>C469</f>
        <v>Land Disposal</v>
      </c>
      <c r="D479" s="186">
        <f>LaborEsc</f>
        <v>0.02</v>
      </c>
      <c r="E479" s="325"/>
      <c r="G479" s="36" t="s">
        <v>292</v>
      </c>
      <c r="I479" s="39"/>
      <c r="K479" s="39"/>
      <c r="L479" s="43" t="str">
        <f>"["&amp;CostBaseYr&amp;" $]"</f>
        <v>[2013 $]</v>
      </c>
      <c r="N479" s="70">
        <f ca="1">SUMIFS(OFFSET(Assumptions!$I$90,0,MATCH($A479,Configurations,0)-1,COUNT(Assumptions!$A$90:$A$183),1),Assumptions!$D$90:$D$183,$B479&amp;$C479)</f>
        <v>0</v>
      </c>
      <c r="O479" s="313"/>
      <c r="P479" s="323"/>
      <c r="Q479" s="313"/>
      <c r="R479" s="50">
        <f t="shared" ref="R479:AU479" ca="1" si="338">IF(OR(R$99&lt;InServiceYr,R$99&gt;(InServiceYr+analysis_period-1)),0,IF($P479=0,$N479,$P479)*(1+$D479)^(R$99-CostBaseYr))</f>
        <v>0</v>
      </c>
      <c r="S479" s="50">
        <f t="shared" ca="1" si="338"/>
        <v>0</v>
      </c>
      <c r="T479" s="50">
        <f t="shared" ca="1" si="338"/>
        <v>0</v>
      </c>
      <c r="U479" s="50">
        <f t="shared" ca="1" si="338"/>
        <v>0</v>
      </c>
      <c r="V479" s="50">
        <f t="shared" ca="1" si="338"/>
        <v>0</v>
      </c>
      <c r="W479" s="50">
        <f t="shared" ca="1" si="338"/>
        <v>0</v>
      </c>
      <c r="X479" s="50">
        <f t="shared" ca="1" si="338"/>
        <v>0</v>
      </c>
      <c r="Y479" s="50">
        <f t="shared" ca="1" si="338"/>
        <v>0</v>
      </c>
      <c r="Z479" s="50">
        <f t="shared" ca="1" si="338"/>
        <v>0</v>
      </c>
      <c r="AA479" s="50">
        <f t="shared" ca="1" si="338"/>
        <v>0</v>
      </c>
      <c r="AB479" s="50">
        <f t="shared" ca="1" si="338"/>
        <v>0</v>
      </c>
      <c r="AC479" s="50">
        <f t="shared" ca="1" si="338"/>
        <v>0</v>
      </c>
      <c r="AD479" s="50">
        <f t="shared" ca="1" si="338"/>
        <v>0</v>
      </c>
      <c r="AE479" s="50">
        <f t="shared" ca="1" si="338"/>
        <v>0</v>
      </c>
      <c r="AF479" s="50">
        <f t="shared" ca="1" si="338"/>
        <v>0</v>
      </c>
      <c r="AG479" s="50">
        <f t="shared" ca="1" si="338"/>
        <v>0</v>
      </c>
      <c r="AH479" s="50">
        <f t="shared" ca="1" si="338"/>
        <v>0</v>
      </c>
      <c r="AI479" s="50">
        <f t="shared" ca="1" si="338"/>
        <v>0</v>
      </c>
      <c r="AJ479" s="50">
        <f t="shared" ca="1" si="338"/>
        <v>0</v>
      </c>
      <c r="AK479" s="50">
        <f t="shared" ca="1" si="338"/>
        <v>0</v>
      </c>
      <c r="AL479" s="50">
        <f t="shared" si="338"/>
        <v>0</v>
      </c>
      <c r="AM479" s="50">
        <f t="shared" si="338"/>
        <v>0</v>
      </c>
      <c r="AN479" s="50">
        <f t="shared" si="338"/>
        <v>0</v>
      </c>
      <c r="AO479" s="50">
        <f t="shared" si="338"/>
        <v>0</v>
      </c>
      <c r="AP479" s="50">
        <f t="shared" si="338"/>
        <v>0</v>
      </c>
      <c r="AQ479" s="50">
        <f t="shared" si="338"/>
        <v>0</v>
      </c>
      <c r="AR479" s="50">
        <f t="shared" si="338"/>
        <v>0</v>
      </c>
      <c r="AS479" s="50">
        <f t="shared" si="338"/>
        <v>0</v>
      </c>
      <c r="AT479" s="50">
        <f t="shared" si="338"/>
        <v>0</v>
      </c>
      <c r="AU479" s="50">
        <f t="shared" si="338"/>
        <v>0</v>
      </c>
    </row>
    <row r="480" spans="1:47" s="60" customFormat="1">
      <c r="D480" s="187"/>
      <c r="E480" s="325"/>
      <c r="G480" s="39" t="s">
        <v>305</v>
      </c>
      <c r="I480" s="39"/>
      <c r="K480" s="39"/>
      <c r="L480" s="174"/>
      <c r="N480" s="188"/>
      <c r="O480" s="314"/>
      <c r="P480" s="185"/>
      <c r="Q480" s="314"/>
      <c r="R480" s="185">
        <f ca="1">SUM(R469:R476)-SUM(R478:R479)</f>
        <v>0</v>
      </c>
      <c r="S480" s="185">
        <f t="shared" ref="S480:AU480" ca="1" si="339">SUM(S469:S476)-SUM(S478:S479)</f>
        <v>0</v>
      </c>
      <c r="T480" s="185">
        <f t="shared" ca="1" si="339"/>
        <v>0</v>
      </c>
      <c r="U480" s="185">
        <f t="shared" ca="1" si="339"/>
        <v>0</v>
      </c>
      <c r="V480" s="185">
        <f t="shared" ca="1" si="339"/>
        <v>0</v>
      </c>
      <c r="W480" s="185">
        <f t="shared" ca="1" si="339"/>
        <v>0</v>
      </c>
      <c r="X480" s="185">
        <f t="shared" ca="1" si="339"/>
        <v>0</v>
      </c>
      <c r="Y480" s="185">
        <f t="shared" ca="1" si="339"/>
        <v>0</v>
      </c>
      <c r="Z480" s="185">
        <f t="shared" ca="1" si="339"/>
        <v>0</v>
      </c>
      <c r="AA480" s="185">
        <f t="shared" ca="1" si="339"/>
        <v>0</v>
      </c>
      <c r="AB480" s="185">
        <f t="shared" ca="1" si="339"/>
        <v>0</v>
      </c>
      <c r="AC480" s="185">
        <f t="shared" ca="1" si="339"/>
        <v>0</v>
      </c>
      <c r="AD480" s="185">
        <f t="shared" ca="1" si="339"/>
        <v>0</v>
      </c>
      <c r="AE480" s="185">
        <f t="shared" ca="1" si="339"/>
        <v>0</v>
      </c>
      <c r="AF480" s="185">
        <f t="shared" ca="1" si="339"/>
        <v>0</v>
      </c>
      <c r="AG480" s="185">
        <f t="shared" ca="1" si="339"/>
        <v>0</v>
      </c>
      <c r="AH480" s="185">
        <f t="shared" ca="1" si="339"/>
        <v>0</v>
      </c>
      <c r="AI480" s="185">
        <f t="shared" ca="1" si="339"/>
        <v>0</v>
      </c>
      <c r="AJ480" s="185">
        <f t="shared" ca="1" si="339"/>
        <v>0</v>
      </c>
      <c r="AK480" s="185">
        <f t="shared" ca="1" si="339"/>
        <v>0</v>
      </c>
      <c r="AL480" s="185">
        <f t="shared" si="339"/>
        <v>0</v>
      </c>
      <c r="AM480" s="185">
        <f t="shared" si="339"/>
        <v>0</v>
      </c>
      <c r="AN480" s="185">
        <f t="shared" si="339"/>
        <v>0</v>
      </c>
      <c r="AO480" s="185">
        <f t="shared" si="339"/>
        <v>0</v>
      </c>
      <c r="AP480" s="185">
        <f t="shared" si="339"/>
        <v>0</v>
      </c>
      <c r="AQ480" s="185">
        <f t="shared" si="339"/>
        <v>0</v>
      </c>
      <c r="AR480" s="185">
        <f t="shared" si="339"/>
        <v>0</v>
      </c>
      <c r="AS480" s="185">
        <f t="shared" si="339"/>
        <v>0</v>
      </c>
      <c r="AT480" s="185">
        <f t="shared" si="339"/>
        <v>0</v>
      </c>
      <c r="AU480" s="185">
        <f t="shared" si="339"/>
        <v>0</v>
      </c>
    </row>
    <row r="481" spans="1:47">
      <c r="E481" s="36"/>
      <c r="G481" s="39"/>
      <c r="H481" s="39"/>
      <c r="I481" s="39"/>
      <c r="J481" s="39"/>
      <c r="K481" s="39"/>
    </row>
    <row r="482" spans="1:47">
      <c r="E482" s="327"/>
      <c r="F482" s="28"/>
      <c r="G482" s="324" t="str">
        <f>C485&amp;" O&amp;M"</f>
        <v>General O&amp;M O&amp;M</v>
      </c>
      <c r="H482" s="324"/>
      <c r="I482" s="324"/>
      <c r="J482" s="324"/>
      <c r="K482" s="324"/>
      <c r="L482" s="405" t="s">
        <v>79</v>
      </c>
      <c r="M482" s="256"/>
      <c r="N482" s="325" t="s">
        <v>490</v>
      </c>
      <c r="O482" s="311"/>
      <c r="P482" s="325" t="s">
        <v>491</v>
      </c>
      <c r="Q482" s="310"/>
      <c r="R482" s="325">
        <f>R$8</f>
        <v>2014</v>
      </c>
      <c r="S482" s="325">
        <f t="shared" ref="S482:AU482" si="340">S$8</f>
        <v>2015</v>
      </c>
      <c r="T482" s="325">
        <f t="shared" si="340"/>
        <v>2016</v>
      </c>
      <c r="U482" s="325">
        <f t="shared" si="340"/>
        <v>2017</v>
      </c>
      <c r="V482" s="325">
        <f t="shared" si="340"/>
        <v>2018</v>
      </c>
      <c r="W482" s="325">
        <f t="shared" si="340"/>
        <v>2019</v>
      </c>
      <c r="X482" s="325">
        <f t="shared" si="340"/>
        <v>2020</v>
      </c>
      <c r="Y482" s="325">
        <f t="shared" si="340"/>
        <v>2021</v>
      </c>
      <c r="Z482" s="325">
        <f t="shared" si="340"/>
        <v>2022</v>
      </c>
      <c r="AA482" s="325">
        <f t="shared" si="340"/>
        <v>2023</v>
      </c>
      <c r="AB482" s="325">
        <f t="shared" si="340"/>
        <v>2024</v>
      </c>
      <c r="AC482" s="325">
        <f t="shared" si="340"/>
        <v>2025</v>
      </c>
      <c r="AD482" s="325">
        <f t="shared" si="340"/>
        <v>2026</v>
      </c>
      <c r="AE482" s="325">
        <f t="shared" si="340"/>
        <v>2027</v>
      </c>
      <c r="AF482" s="325">
        <f t="shared" si="340"/>
        <v>2028</v>
      </c>
      <c r="AG482" s="325">
        <f t="shared" si="340"/>
        <v>2029</v>
      </c>
      <c r="AH482" s="325">
        <f t="shared" si="340"/>
        <v>2030</v>
      </c>
      <c r="AI482" s="325">
        <f t="shared" si="340"/>
        <v>2031</v>
      </c>
      <c r="AJ482" s="325">
        <f t="shared" si="340"/>
        <v>2032</v>
      </c>
      <c r="AK482" s="325">
        <f t="shared" si="340"/>
        <v>2033</v>
      </c>
      <c r="AL482" s="325">
        <f t="shared" si="340"/>
        <v>2034</v>
      </c>
      <c r="AM482" s="325">
        <f t="shared" si="340"/>
        <v>2035</v>
      </c>
      <c r="AN482" s="325">
        <f t="shared" si="340"/>
        <v>2036</v>
      </c>
      <c r="AO482" s="325">
        <f t="shared" si="340"/>
        <v>2037</v>
      </c>
      <c r="AP482" s="325">
        <f t="shared" si="340"/>
        <v>2038</v>
      </c>
      <c r="AQ482" s="325">
        <f t="shared" si="340"/>
        <v>2039</v>
      </c>
      <c r="AR482" s="325">
        <f t="shared" si="340"/>
        <v>2040</v>
      </c>
      <c r="AS482" s="325">
        <f t="shared" si="340"/>
        <v>2041</v>
      </c>
      <c r="AT482" s="325">
        <f t="shared" si="340"/>
        <v>2042</v>
      </c>
      <c r="AU482" s="325">
        <f t="shared" si="340"/>
        <v>2043</v>
      </c>
    </row>
    <row r="483" spans="1:47">
      <c r="E483" s="325"/>
      <c r="G483" s="39"/>
      <c r="H483" s="39"/>
      <c r="I483" s="39"/>
      <c r="J483" s="39"/>
      <c r="K483" s="39"/>
    </row>
    <row r="484" spans="1:47">
      <c r="E484" s="325"/>
      <c r="G484" s="39" t="s">
        <v>23</v>
      </c>
      <c r="H484" s="39"/>
      <c r="I484" s="39"/>
      <c r="J484" s="39"/>
      <c r="K484" s="39"/>
    </row>
    <row r="485" spans="1:47">
      <c r="A485" s="38" t="str">
        <f t="shared" ref="A485:A492" si="341">$J$4&amp;"-"</f>
        <v>4Y-</v>
      </c>
      <c r="B485" s="38" t="s">
        <v>262</v>
      </c>
      <c r="C485" s="38" t="s">
        <v>308</v>
      </c>
      <c r="D485" s="186">
        <f>LaborEsc</f>
        <v>0.02</v>
      </c>
      <c r="E485" s="325"/>
      <c r="G485" s="36" t="s">
        <v>125</v>
      </c>
      <c r="I485" s="39"/>
      <c r="K485" s="39"/>
      <c r="L485" s="43" t="s">
        <v>266</v>
      </c>
      <c r="N485" s="70">
        <f ca="1">SUMIFS(OFFSET(Assumptions!$I$90,0,MATCH($A485,Configurations,0)-1,COUNT(Assumptions!$A$90:$A$183),1),Assumptions!$D$90:$D$183,$B485&amp;$C485)</f>
        <v>0</v>
      </c>
      <c r="O485" s="313"/>
      <c r="P485" s="323"/>
      <c r="Q485" s="313"/>
      <c r="R485" s="50">
        <f t="shared" ref="R485:AU485" ca="1" si="342">IF(OR(R$99&lt;InServiceYr,R$99&gt;(InServiceYr+analysis_period-1)),0,IF($P485=0,$N485,$P485)*LaborCost*(1+$D485)^(R$99-CostBaseYr))</f>
        <v>0</v>
      </c>
      <c r="S485" s="50">
        <f t="shared" ca="1" si="342"/>
        <v>0</v>
      </c>
      <c r="T485" s="50">
        <f t="shared" ca="1" si="342"/>
        <v>0</v>
      </c>
      <c r="U485" s="50">
        <f t="shared" ca="1" si="342"/>
        <v>0</v>
      </c>
      <c r="V485" s="50">
        <f t="shared" ca="1" si="342"/>
        <v>0</v>
      </c>
      <c r="W485" s="50">
        <f t="shared" ca="1" si="342"/>
        <v>0</v>
      </c>
      <c r="X485" s="50">
        <f t="shared" ca="1" si="342"/>
        <v>0</v>
      </c>
      <c r="Y485" s="50">
        <f t="shared" ca="1" si="342"/>
        <v>0</v>
      </c>
      <c r="Z485" s="50">
        <f t="shared" ca="1" si="342"/>
        <v>0</v>
      </c>
      <c r="AA485" s="50">
        <f t="shared" ca="1" si="342"/>
        <v>0</v>
      </c>
      <c r="AB485" s="50">
        <f t="shared" ca="1" si="342"/>
        <v>0</v>
      </c>
      <c r="AC485" s="50">
        <f t="shared" ca="1" si="342"/>
        <v>0</v>
      </c>
      <c r="AD485" s="50">
        <f t="shared" ca="1" si="342"/>
        <v>0</v>
      </c>
      <c r="AE485" s="50">
        <f t="shared" ca="1" si="342"/>
        <v>0</v>
      </c>
      <c r="AF485" s="50">
        <f t="shared" ca="1" si="342"/>
        <v>0</v>
      </c>
      <c r="AG485" s="50">
        <f t="shared" ca="1" si="342"/>
        <v>0</v>
      </c>
      <c r="AH485" s="50">
        <f t="shared" ca="1" si="342"/>
        <v>0</v>
      </c>
      <c r="AI485" s="50">
        <f t="shared" ca="1" si="342"/>
        <v>0</v>
      </c>
      <c r="AJ485" s="50">
        <f t="shared" ca="1" si="342"/>
        <v>0</v>
      </c>
      <c r="AK485" s="50">
        <f t="shared" ca="1" si="342"/>
        <v>0</v>
      </c>
      <c r="AL485" s="50">
        <f t="shared" si="342"/>
        <v>0</v>
      </c>
      <c r="AM485" s="50">
        <f t="shared" si="342"/>
        <v>0</v>
      </c>
      <c r="AN485" s="50">
        <f t="shared" si="342"/>
        <v>0</v>
      </c>
      <c r="AO485" s="50">
        <f t="shared" si="342"/>
        <v>0</v>
      </c>
      <c r="AP485" s="50">
        <f t="shared" si="342"/>
        <v>0</v>
      </c>
      <c r="AQ485" s="50">
        <f t="shared" si="342"/>
        <v>0</v>
      </c>
      <c r="AR485" s="50">
        <f t="shared" si="342"/>
        <v>0</v>
      </c>
      <c r="AS485" s="50">
        <f t="shared" si="342"/>
        <v>0</v>
      </c>
      <c r="AT485" s="50">
        <f t="shared" si="342"/>
        <v>0</v>
      </c>
      <c r="AU485" s="50">
        <f t="shared" si="342"/>
        <v>0</v>
      </c>
    </row>
    <row r="486" spans="1:47">
      <c r="A486" s="38" t="str">
        <f t="shared" si="341"/>
        <v>4Y-</v>
      </c>
      <c r="B486" s="38" t="s">
        <v>270</v>
      </c>
      <c r="C486" s="38" t="str">
        <f>C485</f>
        <v>General O&amp;M</v>
      </c>
      <c r="D486" s="186">
        <f>OMEsc</f>
        <v>0.02</v>
      </c>
      <c r="E486" s="325"/>
      <c r="G486" s="36" t="s">
        <v>126</v>
      </c>
      <c r="I486" s="39"/>
      <c r="K486" s="39"/>
      <c r="L486" s="43" t="str">
        <f>"["&amp;CostBaseYr&amp;" $]"</f>
        <v>[2013 $]</v>
      </c>
      <c r="N486" s="70">
        <f ca="1">SUMIFS(OFFSET(Assumptions!$I$90,0,MATCH($A486,Configurations,0)-1,COUNT(Assumptions!$A$90:$A$183),1),Assumptions!$D$90:$D$183,$B486&amp;$C486)</f>
        <v>0</v>
      </c>
      <c r="O486" s="313"/>
      <c r="P486" s="323"/>
      <c r="Q486" s="313"/>
      <c r="R486" s="50">
        <f t="shared" ref="R486:AG488" ca="1" si="343">IF(OR(R$99&lt;InServiceYr,R$99&gt;(InServiceYr+analysis_period-1)),0,IF($P486=0,$N486,$P486)*(1+$D486)^(R$99-CostBaseYr))</f>
        <v>0</v>
      </c>
      <c r="S486" s="50">
        <f t="shared" ca="1" si="343"/>
        <v>0</v>
      </c>
      <c r="T486" s="50">
        <f t="shared" ca="1" si="343"/>
        <v>0</v>
      </c>
      <c r="U486" s="50">
        <f t="shared" ca="1" si="343"/>
        <v>0</v>
      </c>
      <c r="V486" s="50">
        <f t="shared" ca="1" si="343"/>
        <v>0</v>
      </c>
      <c r="W486" s="50">
        <f t="shared" ca="1" si="343"/>
        <v>0</v>
      </c>
      <c r="X486" s="50">
        <f t="shared" ca="1" si="343"/>
        <v>0</v>
      </c>
      <c r="Y486" s="50">
        <f t="shared" ca="1" si="343"/>
        <v>0</v>
      </c>
      <c r="Z486" s="50">
        <f t="shared" ca="1" si="343"/>
        <v>0</v>
      </c>
      <c r="AA486" s="50">
        <f t="shared" ca="1" si="343"/>
        <v>0</v>
      </c>
      <c r="AB486" s="50">
        <f t="shared" ca="1" si="343"/>
        <v>0</v>
      </c>
      <c r="AC486" s="50">
        <f t="shared" ca="1" si="343"/>
        <v>0</v>
      </c>
      <c r="AD486" s="50">
        <f t="shared" ca="1" si="343"/>
        <v>0</v>
      </c>
      <c r="AE486" s="50">
        <f t="shared" ca="1" si="343"/>
        <v>0</v>
      </c>
      <c r="AF486" s="50">
        <f t="shared" ca="1" si="343"/>
        <v>0</v>
      </c>
      <c r="AG486" s="50">
        <f t="shared" ca="1" si="343"/>
        <v>0</v>
      </c>
      <c r="AH486" s="50">
        <f t="shared" ref="S486:AU488" ca="1" si="344">IF(OR(AH$99&lt;InServiceYr,AH$99&gt;(InServiceYr+analysis_period-1)),0,IF($P486=0,$N486,$P486)*(1+$D486)^(AH$99-CostBaseYr))</f>
        <v>0</v>
      </c>
      <c r="AI486" s="50">
        <f t="shared" ca="1" si="344"/>
        <v>0</v>
      </c>
      <c r="AJ486" s="50">
        <f t="shared" ca="1" si="344"/>
        <v>0</v>
      </c>
      <c r="AK486" s="50">
        <f t="shared" ca="1" si="344"/>
        <v>0</v>
      </c>
      <c r="AL486" s="50">
        <f t="shared" si="344"/>
        <v>0</v>
      </c>
      <c r="AM486" s="50">
        <f t="shared" si="344"/>
        <v>0</v>
      </c>
      <c r="AN486" s="50">
        <f t="shared" si="344"/>
        <v>0</v>
      </c>
      <c r="AO486" s="50">
        <f t="shared" si="344"/>
        <v>0</v>
      </c>
      <c r="AP486" s="50">
        <f t="shared" si="344"/>
        <v>0</v>
      </c>
      <c r="AQ486" s="50">
        <f t="shared" si="344"/>
        <v>0</v>
      </c>
      <c r="AR486" s="50">
        <f t="shared" si="344"/>
        <v>0</v>
      </c>
      <c r="AS486" s="50">
        <f t="shared" si="344"/>
        <v>0</v>
      </c>
      <c r="AT486" s="50">
        <f t="shared" si="344"/>
        <v>0</v>
      </c>
      <c r="AU486" s="50">
        <f t="shared" si="344"/>
        <v>0</v>
      </c>
    </row>
    <row r="487" spans="1:47">
      <c r="A487" s="38" t="str">
        <f t="shared" si="341"/>
        <v>4Y-</v>
      </c>
      <c r="B487" s="38" t="s">
        <v>263</v>
      </c>
      <c r="C487" s="38" t="str">
        <f t="shared" ref="C487:C491" si="345">C486</f>
        <v>General O&amp;M</v>
      </c>
      <c r="D487" s="186">
        <f>OMEsc</f>
        <v>0.02</v>
      </c>
      <c r="E487" s="325"/>
      <c r="G487" s="36" t="s">
        <v>127</v>
      </c>
      <c r="I487" s="39"/>
      <c r="K487" s="39"/>
      <c r="L487" s="43" t="str">
        <f>"["&amp;CostBaseYr&amp;" $]"</f>
        <v>[2013 $]</v>
      </c>
      <c r="N487" s="70">
        <f ca="1">SUMIFS(OFFSET(Assumptions!$I$90,0,MATCH($A487,Configurations,0)-1,COUNT(Assumptions!$A$90:$A$183),1),Assumptions!$D$90:$D$183,$B487&amp;$C487)</f>
        <v>0</v>
      </c>
      <c r="O487" s="313"/>
      <c r="P487" s="323"/>
      <c r="Q487" s="313"/>
      <c r="R487" s="50">
        <f t="shared" ca="1" si="343"/>
        <v>0</v>
      </c>
      <c r="S487" s="50">
        <f t="shared" ca="1" si="344"/>
        <v>0</v>
      </c>
      <c r="T487" s="50">
        <f t="shared" ca="1" si="344"/>
        <v>0</v>
      </c>
      <c r="U487" s="50">
        <f t="shared" ca="1" si="344"/>
        <v>0</v>
      </c>
      <c r="V487" s="50">
        <f t="shared" ca="1" si="344"/>
        <v>0</v>
      </c>
      <c r="W487" s="50">
        <f t="shared" ca="1" si="344"/>
        <v>0</v>
      </c>
      <c r="X487" s="50">
        <f t="shared" ca="1" si="344"/>
        <v>0</v>
      </c>
      <c r="Y487" s="50">
        <f t="shared" ca="1" si="344"/>
        <v>0</v>
      </c>
      <c r="Z487" s="50">
        <f t="shared" ca="1" si="344"/>
        <v>0</v>
      </c>
      <c r="AA487" s="50">
        <f t="shared" ca="1" si="344"/>
        <v>0</v>
      </c>
      <c r="AB487" s="50">
        <f t="shared" ca="1" si="344"/>
        <v>0</v>
      </c>
      <c r="AC487" s="50">
        <f t="shared" ca="1" si="344"/>
        <v>0</v>
      </c>
      <c r="AD487" s="50">
        <f t="shared" ca="1" si="344"/>
        <v>0</v>
      </c>
      <c r="AE487" s="50">
        <f t="shared" ca="1" si="344"/>
        <v>0</v>
      </c>
      <c r="AF487" s="50">
        <f t="shared" ca="1" si="344"/>
        <v>0</v>
      </c>
      <c r="AG487" s="50">
        <f t="shared" ca="1" si="344"/>
        <v>0</v>
      </c>
      <c r="AH487" s="50">
        <f t="shared" ca="1" si="344"/>
        <v>0</v>
      </c>
      <c r="AI487" s="50">
        <f t="shared" ca="1" si="344"/>
        <v>0</v>
      </c>
      <c r="AJ487" s="50">
        <f t="shared" ca="1" si="344"/>
        <v>0</v>
      </c>
      <c r="AK487" s="50">
        <f t="shared" ca="1" si="344"/>
        <v>0</v>
      </c>
      <c r="AL487" s="50">
        <f t="shared" si="344"/>
        <v>0</v>
      </c>
      <c r="AM487" s="50">
        <f t="shared" si="344"/>
        <v>0</v>
      </c>
      <c r="AN487" s="50">
        <f t="shared" si="344"/>
        <v>0</v>
      </c>
      <c r="AO487" s="50">
        <f t="shared" si="344"/>
        <v>0</v>
      </c>
      <c r="AP487" s="50">
        <f t="shared" si="344"/>
        <v>0</v>
      </c>
      <c r="AQ487" s="50">
        <f t="shared" si="344"/>
        <v>0</v>
      </c>
      <c r="AR487" s="50">
        <f t="shared" si="344"/>
        <v>0</v>
      </c>
      <c r="AS487" s="50">
        <f t="shared" si="344"/>
        <v>0</v>
      </c>
      <c r="AT487" s="50">
        <f t="shared" si="344"/>
        <v>0</v>
      </c>
      <c r="AU487" s="50">
        <f t="shared" si="344"/>
        <v>0</v>
      </c>
    </row>
    <row r="488" spans="1:47">
      <c r="A488" s="38" t="str">
        <f t="shared" si="341"/>
        <v>4Y-</v>
      </c>
      <c r="B488" s="38" t="s">
        <v>277</v>
      </c>
      <c r="C488" s="38" t="str">
        <f t="shared" si="345"/>
        <v>General O&amp;M</v>
      </c>
      <c r="D488" s="186">
        <f>OMEsc</f>
        <v>0.02</v>
      </c>
      <c r="E488" s="325"/>
      <c r="G488" s="36" t="s">
        <v>276</v>
      </c>
      <c r="I488" s="39"/>
      <c r="K488" s="39"/>
      <c r="L488" s="43" t="str">
        <f>"["&amp;CostBaseYr&amp;" $]"</f>
        <v>[2013 $]</v>
      </c>
      <c r="N488" s="70">
        <f ca="1">SUMIFS(OFFSET(Assumptions!$I$90,0,MATCH($A488,Configurations,0)-1,COUNT(Assumptions!$A$90:$A$183),1),Assumptions!$D$90:$D$183,$B488&amp;$C488)</f>
        <v>0</v>
      </c>
      <c r="O488" s="313"/>
      <c r="P488" s="323"/>
      <c r="Q488" s="313"/>
      <c r="R488" s="50">
        <f t="shared" ca="1" si="343"/>
        <v>0</v>
      </c>
      <c r="S488" s="50">
        <f t="shared" ca="1" si="344"/>
        <v>0</v>
      </c>
      <c r="T488" s="50">
        <f t="shared" ca="1" si="344"/>
        <v>0</v>
      </c>
      <c r="U488" s="50">
        <f t="shared" ca="1" si="344"/>
        <v>0</v>
      </c>
      <c r="V488" s="50">
        <f t="shared" ca="1" si="344"/>
        <v>0</v>
      </c>
      <c r="W488" s="50">
        <f t="shared" ca="1" si="344"/>
        <v>0</v>
      </c>
      <c r="X488" s="50">
        <f t="shared" ca="1" si="344"/>
        <v>0</v>
      </c>
      <c r="Y488" s="50">
        <f t="shared" ca="1" si="344"/>
        <v>0</v>
      </c>
      <c r="Z488" s="50">
        <f t="shared" ca="1" si="344"/>
        <v>0</v>
      </c>
      <c r="AA488" s="50">
        <f t="shared" ca="1" si="344"/>
        <v>0</v>
      </c>
      <c r="AB488" s="50">
        <f t="shared" ca="1" si="344"/>
        <v>0</v>
      </c>
      <c r="AC488" s="50">
        <f t="shared" ca="1" si="344"/>
        <v>0</v>
      </c>
      <c r="AD488" s="50">
        <f t="shared" ca="1" si="344"/>
        <v>0</v>
      </c>
      <c r="AE488" s="50">
        <f t="shared" ca="1" si="344"/>
        <v>0</v>
      </c>
      <c r="AF488" s="50">
        <f t="shared" ca="1" si="344"/>
        <v>0</v>
      </c>
      <c r="AG488" s="50">
        <f t="shared" ca="1" si="344"/>
        <v>0</v>
      </c>
      <c r="AH488" s="50">
        <f t="shared" ca="1" si="344"/>
        <v>0</v>
      </c>
      <c r="AI488" s="50">
        <f t="shared" ca="1" si="344"/>
        <v>0</v>
      </c>
      <c r="AJ488" s="50">
        <f t="shared" ca="1" si="344"/>
        <v>0</v>
      </c>
      <c r="AK488" s="50">
        <f t="shared" ca="1" si="344"/>
        <v>0</v>
      </c>
      <c r="AL488" s="50">
        <f t="shared" si="344"/>
        <v>0</v>
      </c>
      <c r="AM488" s="50">
        <f t="shared" si="344"/>
        <v>0</v>
      </c>
      <c r="AN488" s="50">
        <f t="shared" si="344"/>
        <v>0</v>
      </c>
      <c r="AO488" s="50">
        <f t="shared" si="344"/>
        <v>0</v>
      </c>
      <c r="AP488" s="50">
        <f t="shared" si="344"/>
        <v>0</v>
      </c>
      <c r="AQ488" s="50">
        <f t="shared" si="344"/>
        <v>0</v>
      </c>
      <c r="AR488" s="50">
        <f t="shared" si="344"/>
        <v>0</v>
      </c>
      <c r="AS488" s="50">
        <f t="shared" si="344"/>
        <v>0</v>
      </c>
      <c r="AT488" s="50">
        <f t="shared" si="344"/>
        <v>0</v>
      </c>
      <c r="AU488" s="50">
        <f t="shared" si="344"/>
        <v>0</v>
      </c>
    </row>
    <row r="489" spans="1:47">
      <c r="A489" s="38" t="str">
        <f t="shared" si="341"/>
        <v>4Y-</v>
      </c>
      <c r="B489" s="38" t="s">
        <v>274</v>
      </c>
      <c r="C489" s="38" t="str">
        <f t="shared" si="345"/>
        <v>General O&amp;M</v>
      </c>
      <c r="D489" s="186"/>
      <c r="E489" s="325"/>
      <c r="G489" s="36" t="s">
        <v>16</v>
      </c>
      <c r="I489" s="39"/>
      <c r="K489" s="39"/>
      <c r="L489" s="43" t="s">
        <v>275</v>
      </c>
      <c r="N489" s="70">
        <f ca="1">SUMIFS(OFFSET(Assumptions!$I$90,0,MATCH($A489,Configurations,0)-1,COUNT(Assumptions!$A$90:$A$183),1),Assumptions!$D$90:$D$183,$B489&amp;$C489)</f>
        <v>0</v>
      </c>
      <c r="O489" s="313"/>
      <c r="P489" s="323"/>
      <c r="Q489" s="313"/>
      <c r="R489" s="50">
        <f t="shared" ref="R489:AU489" ca="1" si="346">IF(OR(R$99&lt;InServiceYr,R$99&gt;(InServiceYr+analysis_period-1)),0,IF($P489=0,$N489,$P489)*R$505)</f>
        <v>0</v>
      </c>
      <c r="S489" s="50">
        <f t="shared" ca="1" si="346"/>
        <v>0</v>
      </c>
      <c r="T489" s="50">
        <f t="shared" ca="1" si="346"/>
        <v>0</v>
      </c>
      <c r="U489" s="50">
        <f t="shared" ca="1" si="346"/>
        <v>0</v>
      </c>
      <c r="V489" s="50">
        <f t="shared" ca="1" si="346"/>
        <v>0</v>
      </c>
      <c r="W489" s="50">
        <f t="shared" ca="1" si="346"/>
        <v>0</v>
      </c>
      <c r="X489" s="50">
        <f t="shared" ca="1" si="346"/>
        <v>0</v>
      </c>
      <c r="Y489" s="50">
        <f t="shared" ca="1" si="346"/>
        <v>0</v>
      </c>
      <c r="Z489" s="50">
        <f t="shared" ca="1" si="346"/>
        <v>0</v>
      </c>
      <c r="AA489" s="50">
        <f t="shared" ca="1" si="346"/>
        <v>0</v>
      </c>
      <c r="AB489" s="50">
        <f t="shared" ca="1" si="346"/>
        <v>0</v>
      </c>
      <c r="AC489" s="50">
        <f t="shared" ca="1" si="346"/>
        <v>0</v>
      </c>
      <c r="AD489" s="50">
        <f t="shared" ca="1" si="346"/>
        <v>0</v>
      </c>
      <c r="AE489" s="50">
        <f t="shared" ca="1" si="346"/>
        <v>0</v>
      </c>
      <c r="AF489" s="50">
        <f t="shared" ca="1" si="346"/>
        <v>0</v>
      </c>
      <c r="AG489" s="50">
        <f t="shared" ca="1" si="346"/>
        <v>0</v>
      </c>
      <c r="AH489" s="50">
        <f t="shared" ca="1" si="346"/>
        <v>0</v>
      </c>
      <c r="AI489" s="50">
        <f t="shared" ca="1" si="346"/>
        <v>0</v>
      </c>
      <c r="AJ489" s="50">
        <f t="shared" ca="1" si="346"/>
        <v>0</v>
      </c>
      <c r="AK489" s="50">
        <f t="shared" ca="1" si="346"/>
        <v>0</v>
      </c>
      <c r="AL489" s="50">
        <f t="shared" si="346"/>
        <v>0</v>
      </c>
      <c r="AM489" s="50">
        <f t="shared" si="346"/>
        <v>0</v>
      </c>
      <c r="AN489" s="50">
        <f t="shared" si="346"/>
        <v>0</v>
      </c>
      <c r="AO489" s="50">
        <f t="shared" si="346"/>
        <v>0</v>
      </c>
      <c r="AP489" s="50">
        <f t="shared" si="346"/>
        <v>0</v>
      </c>
      <c r="AQ489" s="50">
        <f t="shared" si="346"/>
        <v>0</v>
      </c>
      <c r="AR489" s="50">
        <f t="shared" si="346"/>
        <v>0</v>
      </c>
      <c r="AS489" s="50">
        <f t="shared" si="346"/>
        <v>0</v>
      </c>
      <c r="AT489" s="50">
        <f t="shared" si="346"/>
        <v>0</v>
      </c>
      <c r="AU489" s="50">
        <f t="shared" si="346"/>
        <v>0</v>
      </c>
    </row>
    <row r="490" spans="1:47">
      <c r="A490" s="38" t="str">
        <f t="shared" si="341"/>
        <v>4Y-</v>
      </c>
      <c r="B490" s="38" t="s">
        <v>257</v>
      </c>
      <c r="C490" s="38" t="str">
        <f t="shared" si="345"/>
        <v>General O&amp;M</v>
      </c>
      <c r="D490" s="186"/>
      <c r="E490" s="325"/>
      <c r="G490" s="36" t="s">
        <v>284</v>
      </c>
      <c r="I490" s="39"/>
      <c r="K490" s="39"/>
      <c r="L490" s="43" t="s">
        <v>293</v>
      </c>
      <c r="N490" s="70">
        <f ca="1">SUMIFS(OFFSET(Assumptions!$I$90,0,MATCH($A490,Configurations,0)-1,COUNT(Assumptions!$A$90:$A$183),1),Assumptions!$D$90:$D$183,$B490&amp;$C490)</f>
        <v>0</v>
      </c>
      <c r="O490" s="313"/>
      <c r="P490" s="323"/>
      <c r="Q490" s="313"/>
      <c r="R490" s="50">
        <f t="shared" ref="R490:AU490" ca="1" si="347">IF(OR(R$99&lt;InServiceYr,R$99&gt;(InServiceYr+analysis_period-1)),0,IF($P490=0,$N490,$P490)*R$501)</f>
        <v>0</v>
      </c>
      <c r="S490" s="50">
        <f t="shared" ca="1" si="347"/>
        <v>0</v>
      </c>
      <c r="T490" s="50">
        <f t="shared" ca="1" si="347"/>
        <v>0</v>
      </c>
      <c r="U490" s="50">
        <f t="shared" ca="1" si="347"/>
        <v>0</v>
      </c>
      <c r="V490" s="50">
        <f t="shared" ca="1" si="347"/>
        <v>0</v>
      </c>
      <c r="W490" s="50">
        <f t="shared" ca="1" si="347"/>
        <v>0</v>
      </c>
      <c r="X490" s="50">
        <f t="shared" ca="1" si="347"/>
        <v>0</v>
      </c>
      <c r="Y490" s="50">
        <f t="shared" ca="1" si="347"/>
        <v>0</v>
      </c>
      <c r="Z490" s="50">
        <f t="shared" ca="1" si="347"/>
        <v>0</v>
      </c>
      <c r="AA490" s="50">
        <f t="shared" ca="1" si="347"/>
        <v>0</v>
      </c>
      <c r="AB490" s="50">
        <f t="shared" ca="1" si="347"/>
        <v>0</v>
      </c>
      <c r="AC490" s="50">
        <f t="shared" ca="1" si="347"/>
        <v>0</v>
      </c>
      <c r="AD490" s="50">
        <f t="shared" ca="1" si="347"/>
        <v>0</v>
      </c>
      <c r="AE490" s="50">
        <f t="shared" ca="1" si="347"/>
        <v>0</v>
      </c>
      <c r="AF490" s="50">
        <f t="shared" ca="1" si="347"/>
        <v>0</v>
      </c>
      <c r="AG490" s="50">
        <f t="shared" ca="1" si="347"/>
        <v>0</v>
      </c>
      <c r="AH490" s="50">
        <f t="shared" ca="1" si="347"/>
        <v>0</v>
      </c>
      <c r="AI490" s="50">
        <f t="shared" ca="1" si="347"/>
        <v>0</v>
      </c>
      <c r="AJ490" s="50">
        <f t="shared" ca="1" si="347"/>
        <v>0</v>
      </c>
      <c r="AK490" s="50">
        <f t="shared" ca="1" si="347"/>
        <v>0</v>
      </c>
      <c r="AL490" s="50">
        <f t="shared" si="347"/>
        <v>0</v>
      </c>
      <c r="AM490" s="50">
        <f t="shared" si="347"/>
        <v>0</v>
      </c>
      <c r="AN490" s="50">
        <f t="shared" si="347"/>
        <v>0</v>
      </c>
      <c r="AO490" s="50">
        <f t="shared" si="347"/>
        <v>0</v>
      </c>
      <c r="AP490" s="50">
        <f t="shared" si="347"/>
        <v>0</v>
      </c>
      <c r="AQ490" s="50">
        <f t="shared" si="347"/>
        <v>0</v>
      </c>
      <c r="AR490" s="50">
        <f t="shared" si="347"/>
        <v>0</v>
      </c>
      <c r="AS490" s="50">
        <f t="shared" si="347"/>
        <v>0</v>
      </c>
      <c r="AT490" s="50">
        <f t="shared" si="347"/>
        <v>0</v>
      </c>
      <c r="AU490" s="50">
        <f t="shared" si="347"/>
        <v>0</v>
      </c>
    </row>
    <row r="491" spans="1:47">
      <c r="A491" s="38" t="str">
        <f t="shared" si="341"/>
        <v>4Y-</v>
      </c>
      <c r="B491" s="38" t="s">
        <v>864</v>
      </c>
      <c r="C491" s="38" t="str">
        <f t="shared" si="345"/>
        <v>General O&amp;M</v>
      </c>
      <c r="D491" s="186">
        <f>GHGEsc</f>
        <v>0.02</v>
      </c>
      <c r="E491" s="325"/>
      <c r="G491" s="36" t="s">
        <v>865</v>
      </c>
      <c r="I491" s="39"/>
      <c r="K491" s="39"/>
      <c r="L491" s="43" t="s">
        <v>866</v>
      </c>
      <c r="N491" s="70">
        <f ca="1">SUMIFS(OFFSET(Assumptions!$I$90,0,MATCH($A491,Configurations,0)-1,COUNT(Assumptions!$A$90:$A$183),1),Assumptions!$D$90:$D$183,$B491&amp;$C491)</f>
        <v>0</v>
      </c>
      <c r="O491" s="313"/>
      <c r="P491" s="323"/>
      <c r="Q491" s="313"/>
      <c r="R491" s="50">
        <f t="shared" ref="R491:AU491" ca="1" si="348">IF(OR(R$99&lt;InServiceYr,R$99&gt;(InServiceYr+analysis_period-1)),0,IF($P491=0,$N491,$P491)*R$513)</f>
        <v>0</v>
      </c>
      <c r="S491" s="50">
        <f t="shared" ca="1" si="348"/>
        <v>0</v>
      </c>
      <c r="T491" s="50">
        <f t="shared" ca="1" si="348"/>
        <v>0</v>
      </c>
      <c r="U491" s="50">
        <f t="shared" ca="1" si="348"/>
        <v>0</v>
      </c>
      <c r="V491" s="50">
        <f t="shared" ca="1" si="348"/>
        <v>0</v>
      </c>
      <c r="W491" s="50">
        <f t="shared" ca="1" si="348"/>
        <v>0</v>
      </c>
      <c r="X491" s="50">
        <f t="shared" ca="1" si="348"/>
        <v>0</v>
      </c>
      <c r="Y491" s="50">
        <f t="shared" ca="1" si="348"/>
        <v>0</v>
      </c>
      <c r="Z491" s="50">
        <f t="shared" ca="1" si="348"/>
        <v>0</v>
      </c>
      <c r="AA491" s="50">
        <f t="shared" ca="1" si="348"/>
        <v>0</v>
      </c>
      <c r="AB491" s="50">
        <f t="shared" ca="1" si="348"/>
        <v>0</v>
      </c>
      <c r="AC491" s="50">
        <f t="shared" ca="1" si="348"/>
        <v>0</v>
      </c>
      <c r="AD491" s="50">
        <f t="shared" ca="1" si="348"/>
        <v>0</v>
      </c>
      <c r="AE491" s="50">
        <f t="shared" ca="1" si="348"/>
        <v>0</v>
      </c>
      <c r="AF491" s="50">
        <f t="shared" ca="1" si="348"/>
        <v>0</v>
      </c>
      <c r="AG491" s="50">
        <f t="shared" ca="1" si="348"/>
        <v>0</v>
      </c>
      <c r="AH491" s="50">
        <f t="shared" ca="1" si="348"/>
        <v>0</v>
      </c>
      <c r="AI491" s="50">
        <f t="shared" ca="1" si="348"/>
        <v>0</v>
      </c>
      <c r="AJ491" s="50">
        <f t="shared" ca="1" si="348"/>
        <v>0</v>
      </c>
      <c r="AK491" s="50">
        <f t="shared" ca="1" si="348"/>
        <v>0</v>
      </c>
      <c r="AL491" s="50">
        <f t="shared" si="348"/>
        <v>0</v>
      </c>
      <c r="AM491" s="50">
        <f t="shared" si="348"/>
        <v>0</v>
      </c>
      <c r="AN491" s="50">
        <f t="shared" si="348"/>
        <v>0</v>
      </c>
      <c r="AO491" s="50">
        <f t="shared" si="348"/>
        <v>0</v>
      </c>
      <c r="AP491" s="50">
        <f t="shared" si="348"/>
        <v>0</v>
      </c>
      <c r="AQ491" s="50">
        <f t="shared" si="348"/>
        <v>0</v>
      </c>
      <c r="AR491" s="50">
        <f t="shared" si="348"/>
        <v>0</v>
      </c>
      <c r="AS491" s="50">
        <f t="shared" si="348"/>
        <v>0</v>
      </c>
      <c r="AT491" s="50">
        <f t="shared" si="348"/>
        <v>0</v>
      </c>
      <c r="AU491" s="50">
        <f t="shared" si="348"/>
        <v>0</v>
      </c>
    </row>
    <row r="492" spans="1:47">
      <c r="A492" s="38" t="str">
        <f t="shared" si="341"/>
        <v>4Y-</v>
      </c>
      <c r="B492" s="38" t="s">
        <v>273</v>
      </c>
      <c r="C492" s="38" t="str">
        <f>C490</f>
        <v>General O&amp;M</v>
      </c>
      <c r="D492" s="186">
        <f>LaborEsc</f>
        <v>0.02</v>
      </c>
      <c r="E492" s="325"/>
      <c r="G492" s="36" t="s">
        <v>291</v>
      </c>
      <c r="I492" s="39"/>
      <c r="K492" s="39"/>
      <c r="L492" s="43" t="str">
        <f>"["&amp;CostBaseYr&amp;" $]"</f>
        <v>[2013 $]</v>
      </c>
      <c r="N492" s="70">
        <f ca="1">SUMIFS(OFFSET(Assumptions!$I$90,0,MATCH($A492,Configurations,0)-1,COUNT(Assumptions!$A$90:$A$183),1),Assumptions!$D$90:$D$183,$B492&amp;$C492)</f>
        <v>0</v>
      </c>
      <c r="O492" s="313"/>
      <c r="P492" s="323"/>
      <c r="Q492" s="313"/>
      <c r="R492" s="50">
        <f t="shared" ref="R492:AU492" ca="1" si="349">IF(OR(R$99&lt;InServiceYr,R$99&gt;(InServiceYr+analysis_period-1)),0,IF($P492=0,$N492,$P492)*(1+$D492)^(R$99-CostBaseYr))*R$509</f>
        <v>0</v>
      </c>
      <c r="S492" s="50">
        <f t="shared" ca="1" si="349"/>
        <v>0</v>
      </c>
      <c r="T492" s="50">
        <f t="shared" ca="1" si="349"/>
        <v>0</v>
      </c>
      <c r="U492" s="50">
        <f t="shared" ca="1" si="349"/>
        <v>0</v>
      </c>
      <c r="V492" s="50">
        <f t="shared" ca="1" si="349"/>
        <v>0</v>
      </c>
      <c r="W492" s="50">
        <f t="shared" ca="1" si="349"/>
        <v>0</v>
      </c>
      <c r="X492" s="50">
        <f t="shared" ca="1" si="349"/>
        <v>0</v>
      </c>
      <c r="Y492" s="50">
        <f t="shared" ca="1" si="349"/>
        <v>0</v>
      </c>
      <c r="Z492" s="50">
        <f t="shared" ca="1" si="349"/>
        <v>0</v>
      </c>
      <c r="AA492" s="50">
        <f t="shared" ca="1" si="349"/>
        <v>0</v>
      </c>
      <c r="AB492" s="50">
        <f t="shared" ca="1" si="349"/>
        <v>0</v>
      </c>
      <c r="AC492" s="50">
        <f t="shared" ca="1" si="349"/>
        <v>0</v>
      </c>
      <c r="AD492" s="50">
        <f t="shared" ca="1" si="349"/>
        <v>0</v>
      </c>
      <c r="AE492" s="50">
        <f t="shared" ca="1" si="349"/>
        <v>0</v>
      </c>
      <c r="AF492" s="50">
        <f t="shared" ca="1" si="349"/>
        <v>0</v>
      </c>
      <c r="AG492" s="50">
        <f t="shared" ca="1" si="349"/>
        <v>0</v>
      </c>
      <c r="AH492" s="50">
        <f t="shared" ca="1" si="349"/>
        <v>0</v>
      </c>
      <c r="AI492" s="50">
        <f t="shared" ca="1" si="349"/>
        <v>0</v>
      </c>
      <c r="AJ492" s="50">
        <f t="shared" ca="1" si="349"/>
        <v>0</v>
      </c>
      <c r="AK492" s="50">
        <f t="shared" ca="1" si="349"/>
        <v>0</v>
      </c>
      <c r="AL492" s="50">
        <f t="shared" si="349"/>
        <v>0</v>
      </c>
      <c r="AM492" s="50">
        <f t="shared" si="349"/>
        <v>0</v>
      </c>
      <c r="AN492" s="50">
        <f t="shared" si="349"/>
        <v>0</v>
      </c>
      <c r="AO492" s="50">
        <f t="shared" si="349"/>
        <v>0</v>
      </c>
      <c r="AP492" s="50">
        <f t="shared" si="349"/>
        <v>0</v>
      </c>
      <c r="AQ492" s="50">
        <f t="shared" si="349"/>
        <v>0</v>
      </c>
      <c r="AR492" s="50">
        <f t="shared" si="349"/>
        <v>0</v>
      </c>
      <c r="AS492" s="50">
        <f t="shared" si="349"/>
        <v>0</v>
      </c>
      <c r="AT492" s="50">
        <f t="shared" si="349"/>
        <v>0</v>
      </c>
      <c r="AU492" s="50">
        <f t="shared" si="349"/>
        <v>0</v>
      </c>
    </row>
    <row r="493" spans="1:47">
      <c r="D493" s="186"/>
      <c r="E493" s="325"/>
      <c r="G493" s="39" t="s">
        <v>304</v>
      </c>
      <c r="I493" s="39"/>
      <c r="K493" s="39"/>
      <c r="L493" s="43"/>
      <c r="N493" s="70"/>
      <c r="O493" s="313"/>
      <c r="P493" s="70"/>
      <c r="Q493" s="313"/>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row>
    <row r="494" spans="1:47">
      <c r="A494" s="38" t="str">
        <f>$J$4&amp;"-"</f>
        <v>4Y-</v>
      </c>
      <c r="B494" s="38" t="s">
        <v>265</v>
      </c>
      <c r="C494" s="38" t="str">
        <f>C485</f>
        <v>General O&amp;M</v>
      </c>
      <c r="D494" s="186"/>
      <c r="E494" s="325"/>
      <c r="G494" s="36" t="s">
        <v>108</v>
      </c>
      <c r="I494" s="39"/>
      <c r="K494" s="39"/>
      <c r="L494" s="43" t="s">
        <v>293</v>
      </c>
      <c r="N494" s="70">
        <f ca="1">SUMIFS(OFFSET(Assumptions!$I$90,0,MATCH($A494,Configurations,0)-1,COUNT(Assumptions!$A$90:$A$183),1),Assumptions!$D$90:$D$183,$B494&amp;$C494)</f>
        <v>0</v>
      </c>
      <c r="O494" s="313"/>
      <c r="P494" s="323"/>
      <c r="Q494" s="313"/>
      <c r="R494" s="50">
        <f t="shared" ref="R494:AU494" ca="1" si="350">IF(OR(R$99&lt;InServiceYr,R$99&gt;(InServiceYr+analysis_period-1)),0,IF($P494=0,$N494,$P494)*R$501)</f>
        <v>0</v>
      </c>
      <c r="S494" s="50">
        <f t="shared" ca="1" si="350"/>
        <v>0</v>
      </c>
      <c r="T494" s="50">
        <f t="shared" ca="1" si="350"/>
        <v>0</v>
      </c>
      <c r="U494" s="50">
        <f t="shared" ca="1" si="350"/>
        <v>0</v>
      </c>
      <c r="V494" s="50">
        <f t="shared" ca="1" si="350"/>
        <v>0</v>
      </c>
      <c r="W494" s="50">
        <f t="shared" ca="1" si="350"/>
        <v>0</v>
      </c>
      <c r="X494" s="50">
        <f t="shared" ca="1" si="350"/>
        <v>0</v>
      </c>
      <c r="Y494" s="50">
        <f t="shared" ca="1" si="350"/>
        <v>0</v>
      </c>
      <c r="Z494" s="50">
        <f t="shared" ca="1" si="350"/>
        <v>0</v>
      </c>
      <c r="AA494" s="50">
        <f t="shared" ca="1" si="350"/>
        <v>0</v>
      </c>
      <c r="AB494" s="50">
        <f t="shared" ca="1" si="350"/>
        <v>0</v>
      </c>
      <c r="AC494" s="50">
        <f t="shared" ca="1" si="350"/>
        <v>0</v>
      </c>
      <c r="AD494" s="50">
        <f t="shared" ca="1" si="350"/>
        <v>0</v>
      </c>
      <c r="AE494" s="50">
        <f t="shared" ca="1" si="350"/>
        <v>0</v>
      </c>
      <c r="AF494" s="50">
        <f t="shared" ca="1" si="350"/>
        <v>0</v>
      </c>
      <c r="AG494" s="50">
        <f t="shared" ca="1" si="350"/>
        <v>0</v>
      </c>
      <c r="AH494" s="50">
        <f t="shared" ca="1" si="350"/>
        <v>0</v>
      </c>
      <c r="AI494" s="50">
        <f t="shared" ca="1" si="350"/>
        <v>0</v>
      </c>
      <c r="AJ494" s="50">
        <f t="shared" ca="1" si="350"/>
        <v>0</v>
      </c>
      <c r="AK494" s="50">
        <f t="shared" ca="1" si="350"/>
        <v>0</v>
      </c>
      <c r="AL494" s="50">
        <f t="shared" si="350"/>
        <v>0</v>
      </c>
      <c r="AM494" s="50">
        <f t="shared" si="350"/>
        <v>0</v>
      </c>
      <c r="AN494" s="50">
        <f t="shared" si="350"/>
        <v>0</v>
      </c>
      <c r="AO494" s="50">
        <f t="shared" si="350"/>
        <v>0</v>
      </c>
      <c r="AP494" s="50">
        <f t="shared" si="350"/>
        <v>0</v>
      </c>
      <c r="AQ494" s="50">
        <f t="shared" si="350"/>
        <v>0</v>
      </c>
      <c r="AR494" s="50">
        <f t="shared" si="350"/>
        <v>0</v>
      </c>
      <c r="AS494" s="50">
        <f t="shared" si="350"/>
        <v>0</v>
      </c>
      <c r="AT494" s="50">
        <f t="shared" si="350"/>
        <v>0</v>
      </c>
      <c r="AU494" s="50">
        <f t="shared" si="350"/>
        <v>0</v>
      </c>
    </row>
    <row r="495" spans="1:47">
      <c r="A495" s="38" t="str">
        <f>$J$4&amp;"-"</f>
        <v>4Y-</v>
      </c>
      <c r="B495" s="38" t="s">
        <v>289</v>
      </c>
      <c r="C495" s="38" t="str">
        <f>C485</f>
        <v>General O&amp;M</v>
      </c>
      <c r="D495" s="186">
        <f>LaborEsc</f>
        <v>0.02</v>
      </c>
      <c r="E495" s="325"/>
      <c r="G495" s="36" t="s">
        <v>292</v>
      </c>
      <c r="I495" s="39"/>
      <c r="K495" s="39"/>
      <c r="L495" s="43" t="str">
        <f>"["&amp;CostBaseYr&amp;" $]"</f>
        <v>[2013 $]</v>
      </c>
      <c r="N495" s="70">
        <f ca="1">SUMIFS(OFFSET(Assumptions!$I$90,0,MATCH($A495,Configurations,0)-1,COUNT(Assumptions!$A$90:$A$183),1),Assumptions!$D$90:$D$183,$B495&amp;$C495)</f>
        <v>0</v>
      </c>
      <c r="O495" s="313"/>
      <c r="P495" s="323"/>
      <c r="Q495" s="313"/>
      <c r="R495" s="50">
        <f t="shared" ref="R495:AU495" ca="1" si="351">IF(OR(R$99&lt;InServiceYr,R$99&gt;(InServiceYr+analysis_period-1)),0,IF($P495=0,$N495,$P495)*(1+$D495)^(R$99-CostBaseYr))</f>
        <v>0</v>
      </c>
      <c r="S495" s="50">
        <f t="shared" ca="1" si="351"/>
        <v>0</v>
      </c>
      <c r="T495" s="50">
        <f t="shared" ca="1" si="351"/>
        <v>0</v>
      </c>
      <c r="U495" s="50">
        <f t="shared" ca="1" si="351"/>
        <v>0</v>
      </c>
      <c r="V495" s="50">
        <f t="shared" ca="1" si="351"/>
        <v>0</v>
      </c>
      <c r="W495" s="50">
        <f t="shared" ca="1" si="351"/>
        <v>0</v>
      </c>
      <c r="X495" s="50">
        <f t="shared" ca="1" si="351"/>
        <v>0</v>
      </c>
      <c r="Y495" s="50">
        <f t="shared" ca="1" si="351"/>
        <v>0</v>
      </c>
      <c r="Z495" s="50">
        <f t="shared" ca="1" si="351"/>
        <v>0</v>
      </c>
      <c r="AA495" s="50">
        <f t="shared" ca="1" si="351"/>
        <v>0</v>
      </c>
      <c r="AB495" s="50">
        <f t="shared" ca="1" si="351"/>
        <v>0</v>
      </c>
      <c r="AC495" s="50">
        <f t="shared" ca="1" si="351"/>
        <v>0</v>
      </c>
      <c r="AD495" s="50">
        <f t="shared" ca="1" si="351"/>
        <v>0</v>
      </c>
      <c r="AE495" s="50">
        <f t="shared" ca="1" si="351"/>
        <v>0</v>
      </c>
      <c r="AF495" s="50">
        <f t="shared" ca="1" si="351"/>
        <v>0</v>
      </c>
      <c r="AG495" s="50">
        <f t="shared" ca="1" si="351"/>
        <v>0</v>
      </c>
      <c r="AH495" s="50">
        <f t="shared" ca="1" si="351"/>
        <v>0</v>
      </c>
      <c r="AI495" s="50">
        <f t="shared" ca="1" si="351"/>
        <v>0</v>
      </c>
      <c r="AJ495" s="50">
        <f t="shared" ca="1" si="351"/>
        <v>0</v>
      </c>
      <c r="AK495" s="50">
        <f t="shared" ca="1" si="351"/>
        <v>0</v>
      </c>
      <c r="AL495" s="50">
        <f t="shared" si="351"/>
        <v>0</v>
      </c>
      <c r="AM495" s="50">
        <f t="shared" si="351"/>
        <v>0</v>
      </c>
      <c r="AN495" s="50">
        <f t="shared" si="351"/>
        <v>0</v>
      </c>
      <c r="AO495" s="50">
        <f t="shared" si="351"/>
        <v>0</v>
      </c>
      <c r="AP495" s="50">
        <f t="shared" si="351"/>
        <v>0</v>
      </c>
      <c r="AQ495" s="50">
        <f t="shared" si="351"/>
        <v>0</v>
      </c>
      <c r="AR495" s="50">
        <f t="shared" si="351"/>
        <v>0</v>
      </c>
      <c r="AS495" s="50">
        <f t="shared" si="351"/>
        <v>0</v>
      </c>
      <c r="AT495" s="50">
        <f t="shared" si="351"/>
        <v>0</v>
      </c>
      <c r="AU495" s="50">
        <f t="shared" si="351"/>
        <v>0</v>
      </c>
    </row>
    <row r="496" spans="1:47" s="60" customFormat="1">
      <c r="D496" s="187"/>
      <c r="E496" s="325"/>
      <c r="G496" s="39" t="s">
        <v>305</v>
      </c>
      <c r="I496" s="39"/>
      <c r="K496" s="39"/>
      <c r="L496" s="174"/>
      <c r="N496" s="188"/>
      <c r="O496" s="314"/>
      <c r="P496" s="185"/>
      <c r="Q496" s="314"/>
      <c r="R496" s="185">
        <f ca="1">SUM(R485:R492)-SUM(R494:R495)</f>
        <v>0</v>
      </c>
      <c r="S496" s="185">
        <f t="shared" ref="S496:AU496" ca="1" si="352">SUM(S485:S492)-SUM(S494:S495)</f>
        <v>0</v>
      </c>
      <c r="T496" s="185">
        <f t="shared" ca="1" si="352"/>
        <v>0</v>
      </c>
      <c r="U496" s="185">
        <f t="shared" ca="1" si="352"/>
        <v>0</v>
      </c>
      <c r="V496" s="185">
        <f t="shared" ca="1" si="352"/>
        <v>0</v>
      </c>
      <c r="W496" s="185">
        <f t="shared" ca="1" si="352"/>
        <v>0</v>
      </c>
      <c r="X496" s="185">
        <f t="shared" ca="1" si="352"/>
        <v>0</v>
      </c>
      <c r="Y496" s="185">
        <f t="shared" ca="1" si="352"/>
        <v>0</v>
      </c>
      <c r="Z496" s="185">
        <f t="shared" ca="1" si="352"/>
        <v>0</v>
      </c>
      <c r="AA496" s="185">
        <f t="shared" ca="1" si="352"/>
        <v>0</v>
      </c>
      <c r="AB496" s="185">
        <f t="shared" ca="1" si="352"/>
        <v>0</v>
      </c>
      <c r="AC496" s="185">
        <f t="shared" ca="1" si="352"/>
        <v>0</v>
      </c>
      <c r="AD496" s="185">
        <f t="shared" ca="1" si="352"/>
        <v>0</v>
      </c>
      <c r="AE496" s="185">
        <f t="shared" ca="1" si="352"/>
        <v>0</v>
      </c>
      <c r="AF496" s="185">
        <f t="shared" ca="1" si="352"/>
        <v>0</v>
      </c>
      <c r="AG496" s="185">
        <f t="shared" ca="1" si="352"/>
        <v>0</v>
      </c>
      <c r="AH496" s="185">
        <f t="shared" ca="1" si="352"/>
        <v>0</v>
      </c>
      <c r="AI496" s="185">
        <f t="shared" ca="1" si="352"/>
        <v>0</v>
      </c>
      <c r="AJ496" s="185">
        <f t="shared" ca="1" si="352"/>
        <v>0</v>
      </c>
      <c r="AK496" s="185">
        <f t="shared" ca="1" si="352"/>
        <v>0</v>
      </c>
      <c r="AL496" s="185">
        <f t="shared" si="352"/>
        <v>0</v>
      </c>
      <c r="AM496" s="185">
        <f t="shared" si="352"/>
        <v>0</v>
      </c>
      <c r="AN496" s="185">
        <f t="shared" si="352"/>
        <v>0</v>
      </c>
      <c r="AO496" s="185">
        <f t="shared" si="352"/>
        <v>0</v>
      </c>
      <c r="AP496" s="185">
        <f t="shared" si="352"/>
        <v>0</v>
      </c>
      <c r="AQ496" s="185">
        <f t="shared" si="352"/>
        <v>0</v>
      </c>
      <c r="AR496" s="185">
        <f t="shared" si="352"/>
        <v>0</v>
      </c>
      <c r="AS496" s="185">
        <f t="shared" si="352"/>
        <v>0</v>
      </c>
      <c r="AT496" s="185">
        <f t="shared" si="352"/>
        <v>0</v>
      </c>
      <c r="AU496" s="185">
        <f t="shared" si="352"/>
        <v>0</v>
      </c>
    </row>
    <row r="497" spans="1:16384">
      <c r="E497" s="36"/>
      <c r="G497" s="39"/>
      <c r="H497" s="39"/>
      <c r="I497" s="39"/>
      <c r="J497" s="39"/>
      <c r="K497" s="39"/>
    </row>
    <row r="498" spans="1:16384">
      <c r="E498" s="36"/>
      <c r="G498" s="39"/>
      <c r="H498" s="39"/>
      <c r="I498" s="39"/>
      <c r="J498" s="39"/>
      <c r="K498" s="39"/>
    </row>
    <row r="499" spans="1:16384">
      <c r="E499" s="327"/>
      <c r="F499" s="28"/>
      <c r="G499" s="324" t="s">
        <v>6</v>
      </c>
      <c r="H499" s="324"/>
      <c r="I499" s="324"/>
      <c r="J499" s="324"/>
      <c r="K499" s="324"/>
      <c r="L499" s="405" t="s">
        <v>79</v>
      </c>
      <c r="M499" s="256"/>
      <c r="N499" s="325"/>
      <c r="O499" s="311"/>
      <c r="P499" s="325"/>
      <c r="Q499" s="310"/>
      <c r="R499" s="325">
        <f>R$8</f>
        <v>2014</v>
      </c>
      <c r="S499" s="325">
        <f t="shared" ref="S499:AU499" si="353">S$8</f>
        <v>2015</v>
      </c>
      <c r="T499" s="325">
        <f t="shared" si="353"/>
        <v>2016</v>
      </c>
      <c r="U499" s="325">
        <f t="shared" si="353"/>
        <v>2017</v>
      </c>
      <c r="V499" s="325">
        <f t="shared" si="353"/>
        <v>2018</v>
      </c>
      <c r="W499" s="325">
        <f t="shared" si="353"/>
        <v>2019</v>
      </c>
      <c r="X499" s="325">
        <f t="shared" si="353"/>
        <v>2020</v>
      </c>
      <c r="Y499" s="325">
        <f t="shared" si="353"/>
        <v>2021</v>
      </c>
      <c r="Z499" s="325">
        <f t="shared" si="353"/>
        <v>2022</v>
      </c>
      <c r="AA499" s="325">
        <f t="shared" si="353"/>
        <v>2023</v>
      </c>
      <c r="AB499" s="325">
        <f t="shared" si="353"/>
        <v>2024</v>
      </c>
      <c r="AC499" s="325">
        <f t="shared" si="353"/>
        <v>2025</v>
      </c>
      <c r="AD499" s="325">
        <f t="shared" si="353"/>
        <v>2026</v>
      </c>
      <c r="AE499" s="325">
        <f t="shared" si="353"/>
        <v>2027</v>
      </c>
      <c r="AF499" s="325">
        <f t="shared" si="353"/>
        <v>2028</v>
      </c>
      <c r="AG499" s="325">
        <f t="shared" si="353"/>
        <v>2029</v>
      </c>
      <c r="AH499" s="325">
        <f t="shared" si="353"/>
        <v>2030</v>
      </c>
      <c r="AI499" s="325">
        <f t="shared" si="353"/>
        <v>2031</v>
      </c>
      <c r="AJ499" s="325">
        <f t="shared" si="353"/>
        <v>2032</v>
      </c>
      <c r="AK499" s="325">
        <f t="shared" si="353"/>
        <v>2033</v>
      </c>
      <c r="AL499" s="325">
        <f t="shared" si="353"/>
        <v>2034</v>
      </c>
      <c r="AM499" s="325">
        <f t="shared" si="353"/>
        <v>2035</v>
      </c>
      <c r="AN499" s="325">
        <f t="shared" si="353"/>
        <v>2036</v>
      </c>
      <c r="AO499" s="325">
        <f t="shared" si="353"/>
        <v>2037</v>
      </c>
      <c r="AP499" s="325">
        <f t="shared" si="353"/>
        <v>2038</v>
      </c>
      <c r="AQ499" s="325">
        <f t="shared" si="353"/>
        <v>2039</v>
      </c>
      <c r="AR499" s="325">
        <f t="shared" si="353"/>
        <v>2040</v>
      </c>
      <c r="AS499" s="325">
        <f t="shared" si="353"/>
        <v>2041</v>
      </c>
      <c r="AT499" s="325">
        <f t="shared" si="353"/>
        <v>2042</v>
      </c>
      <c r="AU499" s="325">
        <f t="shared" si="353"/>
        <v>2043</v>
      </c>
    </row>
    <row r="500" spans="1:16384">
      <c r="E500" s="325"/>
      <c r="G500" s="39"/>
      <c r="H500" s="39"/>
      <c r="I500" s="39"/>
      <c r="J500" s="39"/>
      <c r="K500" s="39"/>
    </row>
    <row r="501" spans="1:16384">
      <c r="E501" s="325"/>
      <c r="G501" s="36" t="s">
        <v>90</v>
      </c>
      <c r="H501" s="39"/>
      <c r="I501" s="39"/>
      <c r="J501" s="70"/>
      <c r="K501" s="39"/>
      <c r="L501" s="43" t="str">
        <f>Assumptions!G29</f>
        <v>[Nominal $/kWh]</v>
      </c>
      <c r="N501" s="320"/>
      <c r="P501" s="320"/>
      <c r="Q501" s="52"/>
      <c r="R501" s="52">
        <f>Assumptions!M29</f>
        <v>6.4581556062773368E-2</v>
      </c>
      <c r="S501" s="52">
        <f>Assumptions!N29</f>
        <v>6.4984127212630846E-2</v>
      </c>
      <c r="T501" s="52">
        <f>Assumptions!O29</f>
        <v>6.7785589135026608E-2</v>
      </c>
      <c r="U501" s="52">
        <f>Assumptions!P29</f>
        <v>6.981898718592304E-2</v>
      </c>
      <c r="V501" s="52">
        <f>Assumptions!Q29</f>
        <v>7.1503796868933267E-2</v>
      </c>
      <c r="W501" s="52">
        <f>Assumptions!R29</f>
        <v>7.2418565164272669E-2</v>
      </c>
      <c r="X501" s="52">
        <f>Assumptions!S29</f>
        <v>7.3596994326953685E-2</v>
      </c>
      <c r="Y501" s="52">
        <f>Assumptions!T29</f>
        <v>7.5410274370898506E-2</v>
      </c>
      <c r="Z501" s="52">
        <f>Assumptions!U29</f>
        <v>7.7215647759667966E-2</v>
      </c>
      <c r="AA501" s="52">
        <f>Assumptions!V29</f>
        <v>7.9146228607689051E-2</v>
      </c>
      <c r="AB501" s="52">
        <f>Assumptions!W29</f>
        <v>8.0860520329207805E-2</v>
      </c>
      <c r="AC501" s="52">
        <f>Assumptions!X29</f>
        <v>8.2417599515092449E-2</v>
      </c>
      <c r="AD501" s="52">
        <f>Assumptions!Y29</f>
        <v>8.4321429342628054E-2</v>
      </c>
      <c r="AE501" s="52">
        <f>Assumptions!Z29</f>
        <v>8.6243254567324276E-2</v>
      </c>
      <c r="AF501" s="52">
        <f>Assumptions!AA29</f>
        <v>8.829382632331699E-2</v>
      </c>
      <c r="AG501" s="52">
        <f>Assumptions!AB29</f>
        <v>9.0590950022257213E-2</v>
      </c>
      <c r="AH501" s="52">
        <f>Assumptions!AC29</f>
        <v>9.2811104018487828E-2</v>
      </c>
      <c r="AI501" s="52">
        <f>Assumptions!AD29</f>
        <v>9.521877087141481E-2</v>
      </c>
      <c r="AJ501" s="52">
        <f>Assumptions!AE29</f>
        <v>9.776763578849744E-2</v>
      </c>
      <c r="AK501" s="52">
        <f>Assumptions!AF29</f>
        <v>0.10042723479216267</v>
      </c>
      <c r="AL501" s="52">
        <f>Assumptions!AG29</f>
        <v>0.10338391809597851</v>
      </c>
      <c r="AM501" s="52">
        <f>Assumptions!AH29</f>
        <v>0.10713549812003452</v>
      </c>
      <c r="AN501" s="52">
        <f>Assumptions!AI29</f>
        <v>0.11152585678161221</v>
      </c>
      <c r="AO501" s="52">
        <f>Assumptions!AJ29</f>
        <v>0.11570324377054081</v>
      </c>
      <c r="AP501" s="52">
        <f>Assumptions!AK29</f>
        <v>0.11992306893841188</v>
      </c>
      <c r="AQ501" s="52">
        <f>Assumptions!AL29</f>
        <v>0.12437235076287895</v>
      </c>
      <c r="AR501" s="52">
        <f>Assumptions!AM29</f>
        <v>0.12798765946565488</v>
      </c>
      <c r="AS501" s="52">
        <f>Assumptions!AN29</f>
        <v>0.13080338797389929</v>
      </c>
      <c r="AT501" s="52">
        <f>Assumptions!AO29</f>
        <v>0.13368106250932507</v>
      </c>
      <c r="AU501" s="52">
        <f>Assumptions!AP29</f>
        <v>0.13662204588453022</v>
      </c>
    </row>
    <row r="502" spans="1:16384">
      <c r="E502" s="36"/>
      <c r="G502" s="37"/>
      <c r="H502" s="37"/>
      <c r="I502" s="37"/>
      <c r="J502" s="37"/>
      <c r="K502" s="37"/>
      <c r="L502" s="43"/>
      <c r="M502" s="43"/>
      <c r="N502" s="48"/>
      <c r="O502" s="43"/>
      <c r="P502" s="48"/>
      <c r="Q502" s="43"/>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row>
    <row r="503" spans="1:16384">
      <c r="E503" s="327"/>
      <c r="F503" s="28"/>
      <c r="G503" s="324" t="s">
        <v>16</v>
      </c>
      <c r="H503" s="324"/>
      <c r="I503" s="324"/>
      <c r="J503" s="324"/>
      <c r="K503" s="324"/>
      <c r="L503" s="405" t="s">
        <v>79</v>
      </c>
      <c r="M503" s="256"/>
      <c r="N503" s="325"/>
      <c r="O503" s="311"/>
      <c r="P503" s="325"/>
      <c r="Q503" s="310"/>
      <c r="R503" s="325">
        <f>R$8</f>
        <v>2014</v>
      </c>
      <c r="S503" s="325">
        <f t="shared" ref="S503:AU503" si="354">S$8</f>
        <v>2015</v>
      </c>
      <c r="T503" s="325">
        <f t="shared" si="354"/>
        <v>2016</v>
      </c>
      <c r="U503" s="325">
        <f t="shared" si="354"/>
        <v>2017</v>
      </c>
      <c r="V503" s="325">
        <f t="shared" si="354"/>
        <v>2018</v>
      </c>
      <c r="W503" s="325">
        <f t="shared" si="354"/>
        <v>2019</v>
      </c>
      <c r="X503" s="325">
        <f t="shared" si="354"/>
        <v>2020</v>
      </c>
      <c r="Y503" s="325">
        <f t="shared" si="354"/>
        <v>2021</v>
      </c>
      <c r="Z503" s="325">
        <f t="shared" si="354"/>
        <v>2022</v>
      </c>
      <c r="AA503" s="325">
        <f t="shared" si="354"/>
        <v>2023</v>
      </c>
      <c r="AB503" s="325">
        <f t="shared" si="354"/>
        <v>2024</v>
      </c>
      <c r="AC503" s="325">
        <f t="shared" si="354"/>
        <v>2025</v>
      </c>
      <c r="AD503" s="325">
        <f t="shared" si="354"/>
        <v>2026</v>
      </c>
      <c r="AE503" s="325">
        <f t="shared" si="354"/>
        <v>2027</v>
      </c>
      <c r="AF503" s="325">
        <f t="shared" si="354"/>
        <v>2028</v>
      </c>
      <c r="AG503" s="325">
        <f t="shared" si="354"/>
        <v>2029</v>
      </c>
      <c r="AH503" s="325">
        <f t="shared" si="354"/>
        <v>2030</v>
      </c>
      <c r="AI503" s="325">
        <f t="shared" si="354"/>
        <v>2031</v>
      </c>
      <c r="AJ503" s="325">
        <f t="shared" si="354"/>
        <v>2032</v>
      </c>
      <c r="AK503" s="325">
        <f t="shared" si="354"/>
        <v>2033</v>
      </c>
      <c r="AL503" s="325">
        <f t="shared" si="354"/>
        <v>2034</v>
      </c>
      <c r="AM503" s="325">
        <f t="shared" si="354"/>
        <v>2035</v>
      </c>
      <c r="AN503" s="325">
        <f t="shared" si="354"/>
        <v>2036</v>
      </c>
      <c r="AO503" s="325">
        <f t="shared" si="354"/>
        <v>2037</v>
      </c>
      <c r="AP503" s="325">
        <f t="shared" si="354"/>
        <v>2038</v>
      </c>
      <c r="AQ503" s="325">
        <f t="shared" si="354"/>
        <v>2039</v>
      </c>
      <c r="AR503" s="325">
        <f t="shared" si="354"/>
        <v>2040</v>
      </c>
      <c r="AS503" s="325">
        <f t="shared" si="354"/>
        <v>2041</v>
      </c>
      <c r="AT503" s="325">
        <f t="shared" si="354"/>
        <v>2042</v>
      </c>
      <c r="AU503" s="325">
        <f t="shared" si="354"/>
        <v>2043</v>
      </c>
    </row>
    <row r="504" spans="1:16384">
      <c r="E504" s="325"/>
      <c r="G504" s="39"/>
      <c r="H504" s="39"/>
      <c r="I504" s="39"/>
      <c r="J504" s="39"/>
      <c r="K504" s="39"/>
    </row>
    <row r="505" spans="1:16384">
      <c r="E505" s="325"/>
      <c r="G505" s="36" t="s">
        <v>4</v>
      </c>
      <c r="H505" s="39"/>
      <c r="I505" s="39"/>
      <c r="J505" s="70"/>
      <c r="K505" s="39"/>
      <c r="L505" s="43" t="str">
        <f>Assumptions!G30</f>
        <v>[Nominal $/GJ]</v>
      </c>
      <c r="N505" s="320"/>
      <c r="P505" s="320"/>
      <c r="Q505" s="52"/>
      <c r="R505" s="52">
        <f>Assumptions!M30/1000</f>
        <v>4.349162302177351E-3</v>
      </c>
      <c r="S505" s="52">
        <f>Assumptions!N30/1000</f>
        <v>4.4637464839421513E-3</v>
      </c>
      <c r="T505" s="52">
        <f>Assumptions!O30/1000</f>
        <v>4.9882201407370225E-3</v>
      </c>
      <c r="U505" s="52">
        <f>Assumptions!P30/1000</f>
        <v>5.274039417731349E-3</v>
      </c>
      <c r="V505" s="52">
        <f>Assumptions!Q30/1000</f>
        <v>5.6269550228721333E-3</v>
      </c>
      <c r="W505" s="52">
        <f>Assumptions!R30/1000</f>
        <v>5.8540511616013337E-3</v>
      </c>
      <c r="X505" s="52">
        <f>Assumptions!S30/1000</f>
        <v>6.038428026177464E-3</v>
      </c>
      <c r="Y505" s="52">
        <f>Assumptions!T30/1000</f>
        <v>6.2668036784831469E-3</v>
      </c>
      <c r="Z505" s="52">
        <f>Assumptions!U30/1000</f>
        <v>6.5922054798412668E-3</v>
      </c>
      <c r="AA505" s="52">
        <f>Assumptions!V30/1000</f>
        <v>6.9223010408478308E-3</v>
      </c>
      <c r="AB505" s="52">
        <f>Assumptions!W30/1000</f>
        <v>7.1632208510517392E-3</v>
      </c>
      <c r="AC505" s="52">
        <f>Assumptions!X30/1000</f>
        <v>7.3414909032361933E-3</v>
      </c>
      <c r="AD505" s="52">
        <f>Assumptions!Y30/1000</f>
        <v>7.6021404150132107E-3</v>
      </c>
      <c r="AE505" s="52">
        <f>Assumptions!Z30/1000</f>
        <v>7.7884635419133022E-3</v>
      </c>
      <c r="AF505" s="52">
        <f>Assumptions!AA30/1000</f>
        <v>8.0591711100798397E-3</v>
      </c>
      <c r="AG505" s="52">
        <f>Assumptions!AB30/1000</f>
        <v>8.3231988786498338E-3</v>
      </c>
      <c r="AH505" s="52">
        <f>Assumptions!AC30/1000</f>
        <v>8.5753643914497045E-3</v>
      </c>
      <c r="AI505" s="52">
        <f>Assumptions!AD30/1000</f>
        <v>8.8888916249159466E-3</v>
      </c>
      <c r="AJ505" s="52">
        <f>Assumptions!AE30/1000</f>
        <v>9.1809181054485871E-3</v>
      </c>
      <c r="AK505" s="52">
        <f>Assumptions!AF30/1000</f>
        <v>9.5487976739560727E-3</v>
      </c>
      <c r="AL505" s="52">
        <f>Assumptions!AG30/1000</f>
        <v>1.0077524695274986E-2</v>
      </c>
      <c r="AM505" s="52">
        <f>Assumptions!AH30/1000</f>
        <v>1.0655171564681258E-2</v>
      </c>
      <c r="AN505" s="52">
        <f>Assumptions!AI30/1000</f>
        <v>1.1383030107873128E-2</v>
      </c>
      <c r="AO505" s="52">
        <f>Assumptions!AJ30/1000</f>
        <v>1.2092621250722151E-2</v>
      </c>
      <c r="AP505" s="52">
        <f>Assumptions!AK30/1000</f>
        <v>1.2829558563080681E-2</v>
      </c>
      <c r="AQ505" s="52">
        <f>Assumptions!AL30/1000</f>
        <v>1.3272130091772659E-2</v>
      </c>
      <c r="AR505" s="52">
        <f>Assumptions!AM30/1000</f>
        <v>1.3882156894314641E-2</v>
      </c>
      <c r="AS505" s="52">
        <f>Assumptions!AN30/1000</f>
        <v>1.442356101319291E-2</v>
      </c>
      <c r="AT505" s="52">
        <f>Assumptions!AO30/1000</f>
        <v>1.4986079892707432E-2</v>
      </c>
      <c r="AU505" s="52">
        <f>Assumptions!AP30/1000</f>
        <v>1.5570537008523021E-2</v>
      </c>
    </row>
    <row r="506" spans="1:16384">
      <c r="G506" s="37"/>
      <c r="H506" s="37"/>
      <c r="I506" s="37"/>
      <c r="J506" s="37"/>
      <c r="K506" s="37"/>
      <c r="L506" s="43"/>
      <c r="M506" s="43"/>
      <c r="N506" s="51"/>
      <c r="O506" s="43"/>
      <c r="P506" s="51"/>
      <c r="Q506" s="43"/>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0"/>
      <c r="AW506" s="50"/>
      <c r="AX506" s="50"/>
      <c r="AY506" s="50"/>
      <c r="AZ506" s="50"/>
      <c r="BA506" s="50"/>
      <c r="BB506" s="50"/>
      <c r="BC506" s="50"/>
      <c r="BD506" s="50"/>
      <c r="BE506" s="50"/>
      <c r="BF506" s="50"/>
      <c r="BG506" s="50"/>
      <c r="BH506" s="50"/>
      <c r="BI506" s="50"/>
      <c r="BJ506" s="50"/>
      <c r="BK506" s="50"/>
      <c r="BL506" s="50"/>
      <c r="BM506" s="50"/>
      <c r="BN506" s="50"/>
      <c r="BO506" s="50"/>
      <c r="BP506" s="50"/>
      <c r="BQ506" s="50"/>
      <c r="BR506" s="50"/>
      <c r="BS506" s="50"/>
      <c r="BT506" s="50"/>
      <c r="BU506" s="50"/>
    </row>
    <row r="507" spans="1:16384">
      <c r="A507" s="327"/>
      <c r="B507" s="28"/>
      <c r="C507" s="324"/>
      <c r="D507" s="324"/>
      <c r="E507" s="324"/>
      <c r="F507" s="324"/>
      <c r="G507" s="324" t="s">
        <v>303</v>
      </c>
      <c r="H507" s="324"/>
      <c r="I507" s="256"/>
      <c r="J507" s="325"/>
      <c r="K507" s="311"/>
      <c r="L507" s="325"/>
      <c r="M507" s="310"/>
      <c r="N507" s="325"/>
      <c r="O507" s="325"/>
      <c r="P507" s="325"/>
      <c r="Q507" s="325"/>
      <c r="R507" s="325">
        <f>R$8</f>
        <v>2014</v>
      </c>
      <c r="S507" s="325">
        <f t="shared" ref="S507:AU507" si="355">S$8</f>
        <v>2015</v>
      </c>
      <c r="T507" s="325">
        <f t="shared" si="355"/>
        <v>2016</v>
      </c>
      <c r="U507" s="325">
        <f t="shared" si="355"/>
        <v>2017</v>
      </c>
      <c r="V507" s="325">
        <f t="shared" si="355"/>
        <v>2018</v>
      </c>
      <c r="W507" s="325">
        <f t="shared" si="355"/>
        <v>2019</v>
      </c>
      <c r="X507" s="325">
        <f t="shared" si="355"/>
        <v>2020</v>
      </c>
      <c r="Y507" s="325">
        <f t="shared" si="355"/>
        <v>2021</v>
      </c>
      <c r="Z507" s="325">
        <f t="shared" si="355"/>
        <v>2022</v>
      </c>
      <c r="AA507" s="325">
        <f t="shared" si="355"/>
        <v>2023</v>
      </c>
      <c r="AB507" s="325">
        <f t="shared" si="355"/>
        <v>2024</v>
      </c>
      <c r="AC507" s="325">
        <f t="shared" si="355"/>
        <v>2025</v>
      </c>
      <c r="AD507" s="325">
        <f t="shared" si="355"/>
        <v>2026</v>
      </c>
      <c r="AE507" s="325">
        <f t="shared" si="355"/>
        <v>2027</v>
      </c>
      <c r="AF507" s="325">
        <f t="shared" si="355"/>
        <v>2028</v>
      </c>
      <c r="AG507" s="325">
        <f t="shared" si="355"/>
        <v>2029</v>
      </c>
      <c r="AH507" s="325">
        <f t="shared" si="355"/>
        <v>2030</v>
      </c>
      <c r="AI507" s="325">
        <f t="shared" si="355"/>
        <v>2031</v>
      </c>
      <c r="AJ507" s="325">
        <f t="shared" si="355"/>
        <v>2032</v>
      </c>
      <c r="AK507" s="325">
        <f t="shared" si="355"/>
        <v>2033</v>
      </c>
      <c r="AL507" s="325">
        <f t="shared" si="355"/>
        <v>2034</v>
      </c>
      <c r="AM507" s="325">
        <f t="shared" si="355"/>
        <v>2035</v>
      </c>
      <c r="AN507" s="325">
        <f t="shared" si="355"/>
        <v>2036</v>
      </c>
      <c r="AO507" s="325">
        <f t="shared" si="355"/>
        <v>2037</v>
      </c>
      <c r="AP507" s="325">
        <f t="shared" si="355"/>
        <v>2038</v>
      </c>
      <c r="AQ507" s="325">
        <f t="shared" si="355"/>
        <v>2039</v>
      </c>
      <c r="AR507" s="325">
        <f t="shared" si="355"/>
        <v>2040</v>
      </c>
      <c r="AS507" s="325">
        <f t="shared" si="355"/>
        <v>2041</v>
      </c>
      <c r="AT507" s="325">
        <f t="shared" si="355"/>
        <v>2042</v>
      </c>
      <c r="AU507" s="325">
        <f t="shared" si="355"/>
        <v>2043</v>
      </c>
      <c r="BB507" s="311"/>
      <c r="BC507" s="325"/>
      <c r="BD507" s="310"/>
      <c r="BE507" s="325"/>
      <c r="BF507" s="325"/>
      <c r="BG507" s="325"/>
      <c r="BH507" s="325"/>
      <c r="BI507" s="325"/>
      <c r="BJ507" s="325"/>
      <c r="BK507" s="325"/>
      <c r="BL507" s="325"/>
      <c r="BM507" s="325"/>
      <c r="BN507" s="325"/>
      <c r="BO507" s="325"/>
      <c r="BP507" s="325"/>
      <c r="BQ507" s="325"/>
      <c r="BR507" s="325"/>
      <c r="BS507" s="325"/>
      <c r="BT507" s="325"/>
      <c r="BU507" s="325"/>
      <c r="BV507" s="325"/>
      <c r="BW507" s="325"/>
      <c r="BX507" s="325"/>
      <c r="BY507" s="325"/>
      <c r="BZ507" s="325"/>
      <c r="CA507" s="325"/>
      <c r="CB507" s="325"/>
      <c r="CC507" s="325"/>
      <c r="CD507" s="325"/>
      <c r="CE507" s="325"/>
      <c r="CF507" s="325"/>
      <c r="CG507" s="325"/>
      <c r="CH507" s="325"/>
      <c r="CI507" s="327"/>
      <c r="CJ507" s="28"/>
      <c r="CK507" s="324"/>
      <c r="CL507" s="324"/>
      <c r="CM507" s="324"/>
      <c r="CN507" s="324"/>
      <c r="CO507" s="324"/>
      <c r="CP507" s="324"/>
      <c r="CQ507" s="256"/>
      <c r="CR507" s="325"/>
      <c r="CS507" s="311"/>
      <c r="CT507" s="325"/>
      <c r="CU507" s="310"/>
      <c r="CV507" s="325"/>
      <c r="CW507" s="325"/>
      <c r="CX507" s="325"/>
      <c r="CY507" s="325"/>
      <c r="CZ507" s="325"/>
      <c r="DA507" s="325"/>
      <c r="DB507" s="325"/>
      <c r="DC507" s="325"/>
      <c r="DD507" s="325"/>
      <c r="DE507" s="325"/>
      <c r="DF507" s="325"/>
      <c r="DG507" s="325"/>
      <c r="DH507" s="325"/>
      <c r="DI507" s="325"/>
      <c r="DJ507" s="325"/>
      <c r="DK507" s="325"/>
      <c r="DL507" s="325"/>
      <c r="DM507" s="325"/>
      <c r="DN507" s="325"/>
      <c r="DO507" s="325"/>
      <c r="DP507" s="325"/>
      <c r="DQ507" s="325"/>
      <c r="DR507" s="325"/>
      <c r="DS507" s="325"/>
      <c r="DT507" s="325"/>
      <c r="DU507" s="325"/>
      <c r="DV507" s="325"/>
      <c r="DW507" s="325"/>
      <c r="DX507" s="325"/>
      <c r="DY507" s="325"/>
      <c r="DZ507" s="327"/>
      <c r="EA507" s="28"/>
      <c r="EB507" s="324"/>
      <c r="EC507" s="324"/>
      <c r="ED507" s="324"/>
      <c r="EE507" s="324"/>
      <c r="EF507" s="324"/>
      <c r="EG507" s="324"/>
      <c r="EH507" s="256"/>
      <c r="EI507" s="325"/>
      <c r="EJ507" s="311"/>
      <c r="EK507" s="325"/>
      <c r="EL507" s="310"/>
      <c r="EM507" s="325"/>
      <c r="EN507" s="325"/>
      <c r="EO507" s="325"/>
      <c r="EP507" s="325"/>
      <c r="EQ507" s="325"/>
      <c r="ER507" s="325"/>
      <c r="ES507" s="325"/>
      <c r="ET507" s="325"/>
      <c r="EU507" s="325"/>
      <c r="EV507" s="325"/>
      <c r="EW507" s="325"/>
      <c r="EX507" s="325"/>
      <c r="EY507" s="325"/>
      <c r="EZ507" s="325"/>
      <c r="FA507" s="325"/>
      <c r="FB507" s="325"/>
      <c r="FC507" s="325"/>
      <c r="FD507" s="325"/>
      <c r="FE507" s="325"/>
      <c r="FF507" s="325"/>
      <c r="FG507" s="325"/>
      <c r="FH507" s="325"/>
      <c r="FI507" s="325"/>
      <c r="FJ507" s="325"/>
      <c r="FK507" s="325"/>
      <c r="FL507" s="325"/>
      <c r="FM507" s="325"/>
      <c r="FN507" s="325"/>
      <c r="FO507" s="325"/>
      <c r="FP507" s="325"/>
      <c r="FQ507" s="327"/>
      <c r="FR507" s="28"/>
      <c r="FS507" s="324"/>
      <c r="FT507" s="324"/>
      <c r="FU507" s="324"/>
      <c r="FV507" s="324"/>
      <c r="FW507" s="324"/>
      <c r="FX507" s="324"/>
      <c r="FY507" s="256"/>
      <c r="FZ507" s="325"/>
      <c r="GA507" s="311"/>
      <c r="GB507" s="325"/>
      <c r="GC507" s="310"/>
      <c r="GD507" s="325"/>
      <c r="GE507" s="325"/>
      <c r="GF507" s="325"/>
      <c r="GG507" s="325"/>
      <c r="GH507" s="325"/>
      <c r="GI507" s="325"/>
      <c r="GJ507" s="325"/>
      <c r="GK507" s="325"/>
      <c r="GL507" s="325"/>
      <c r="GM507" s="325"/>
      <c r="GN507" s="325"/>
      <c r="GO507" s="325"/>
      <c r="GP507" s="325"/>
      <c r="GQ507" s="325"/>
      <c r="GR507" s="325"/>
      <c r="GS507" s="325"/>
      <c r="GT507" s="325"/>
      <c r="GU507" s="325"/>
      <c r="GV507" s="325"/>
      <c r="GW507" s="325"/>
      <c r="GX507" s="325"/>
      <c r="GY507" s="325"/>
      <c r="GZ507" s="325"/>
      <c r="HA507" s="325"/>
      <c r="HB507" s="325"/>
      <c r="HC507" s="325"/>
      <c r="HD507" s="325"/>
      <c r="HE507" s="325"/>
      <c r="HF507" s="325"/>
      <c r="HG507" s="325"/>
      <c r="HH507" s="327"/>
      <c r="HI507" s="28"/>
      <c r="HJ507" s="324"/>
      <c r="HK507" s="324"/>
      <c r="HL507" s="324"/>
      <c r="HM507" s="324"/>
      <c r="HN507" s="324"/>
      <c r="HO507" s="324"/>
      <c r="HP507" s="256"/>
      <c r="HQ507" s="325"/>
      <c r="HR507" s="311"/>
      <c r="HS507" s="325"/>
      <c r="HT507" s="310"/>
      <c r="HU507" s="325"/>
      <c r="HV507" s="325"/>
      <c r="HW507" s="325"/>
      <c r="HX507" s="325"/>
      <c r="HY507" s="325"/>
      <c r="HZ507" s="325"/>
      <c r="IA507" s="325"/>
      <c r="IB507" s="325"/>
      <c r="IC507" s="325"/>
      <c r="ID507" s="325"/>
      <c r="IE507" s="325"/>
      <c r="IF507" s="325"/>
      <c r="IG507" s="325"/>
      <c r="IH507" s="325"/>
      <c r="II507" s="325"/>
      <c r="IJ507" s="325"/>
      <c r="IK507" s="325"/>
      <c r="IL507" s="325"/>
      <c r="IM507" s="325"/>
      <c r="IN507" s="325"/>
      <c r="IO507" s="325"/>
      <c r="IP507" s="325"/>
      <c r="IQ507" s="325"/>
      <c r="IR507" s="325"/>
      <c r="IS507" s="325"/>
      <c r="IT507" s="325"/>
      <c r="IU507" s="325"/>
      <c r="IV507" s="325"/>
      <c r="IW507" s="325"/>
      <c r="IX507" s="325"/>
      <c r="IY507" s="327"/>
      <c r="IZ507" s="28"/>
      <c r="JA507" s="324"/>
      <c r="JB507" s="324"/>
      <c r="JC507" s="324"/>
      <c r="JD507" s="324"/>
      <c r="JE507" s="324"/>
      <c r="JF507" s="324"/>
      <c r="JG507" s="256"/>
      <c r="JH507" s="325"/>
      <c r="JI507" s="311"/>
      <c r="JJ507" s="325"/>
      <c r="JK507" s="310"/>
      <c r="JL507" s="325"/>
      <c r="JM507" s="325"/>
      <c r="JN507" s="325"/>
      <c r="JO507" s="325"/>
      <c r="JP507" s="325"/>
      <c r="JQ507" s="325"/>
      <c r="JR507" s="325"/>
      <c r="JS507" s="325"/>
      <c r="JT507" s="325"/>
      <c r="JU507" s="325"/>
      <c r="JV507" s="325"/>
      <c r="JW507" s="325"/>
      <c r="JX507" s="325"/>
      <c r="JY507" s="325"/>
      <c r="JZ507" s="325"/>
      <c r="KA507" s="325"/>
      <c r="KB507" s="325"/>
      <c r="KC507" s="325"/>
      <c r="KD507" s="325"/>
      <c r="KE507" s="325"/>
      <c r="KF507" s="325"/>
      <c r="KG507" s="325"/>
      <c r="KH507" s="325"/>
      <c r="KI507" s="325"/>
      <c r="KJ507" s="325"/>
      <c r="KK507" s="325"/>
      <c r="KL507" s="325"/>
      <c r="KM507" s="325"/>
      <c r="KN507" s="325"/>
      <c r="KO507" s="325"/>
      <c r="KP507" s="327"/>
      <c r="KQ507" s="28"/>
      <c r="KR507" s="324"/>
      <c r="KS507" s="324"/>
      <c r="KT507" s="324"/>
      <c r="KU507" s="324"/>
      <c r="KV507" s="324"/>
      <c r="KW507" s="324"/>
      <c r="KX507" s="256"/>
      <c r="KY507" s="325"/>
      <c r="KZ507" s="311"/>
      <c r="LA507" s="325"/>
      <c r="LB507" s="310"/>
      <c r="LC507" s="325"/>
      <c r="LD507" s="325"/>
      <c r="LE507" s="325"/>
      <c r="LF507" s="325"/>
      <c r="LG507" s="325"/>
      <c r="LH507" s="325"/>
      <c r="LI507" s="325"/>
      <c r="LJ507" s="325"/>
      <c r="LK507" s="325"/>
      <c r="LL507" s="325"/>
      <c r="LM507" s="325"/>
      <c r="LN507" s="325"/>
      <c r="LO507" s="325"/>
      <c r="LP507" s="325"/>
      <c r="LQ507" s="325"/>
      <c r="LR507" s="325"/>
      <c r="LS507" s="325"/>
      <c r="LT507" s="325"/>
      <c r="LU507" s="325"/>
      <c r="LV507" s="325"/>
      <c r="LW507" s="325"/>
      <c r="LX507" s="325"/>
      <c r="LY507" s="325"/>
      <c r="LZ507" s="325"/>
      <c r="MA507" s="325"/>
      <c r="MB507" s="325"/>
      <c r="MC507" s="325"/>
      <c r="MD507" s="325"/>
      <c r="ME507" s="325"/>
      <c r="MF507" s="325"/>
      <c r="MG507" s="327"/>
      <c r="MH507" s="28"/>
      <c r="MI507" s="324"/>
      <c r="MJ507" s="324"/>
      <c r="MK507" s="324"/>
      <c r="ML507" s="324"/>
      <c r="MM507" s="324"/>
      <c r="MN507" s="324"/>
      <c r="MO507" s="256"/>
      <c r="MP507" s="325"/>
      <c r="MQ507" s="311"/>
      <c r="MR507" s="325"/>
      <c r="MS507" s="310"/>
      <c r="MT507" s="325"/>
      <c r="MU507" s="325"/>
      <c r="MV507" s="325"/>
      <c r="MW507" s="325"/>
      <c r="MX507" s="325"/>
      <c r="MY507" s="325"/>
      <c r="MZ507" s="325"/>
      <c r="NA507" s="325"/>
      <c r="NB507" s="325"/>
      <c r="NC507" s="325"/>
      <c r="ND507" s="325"/>
      <c r="NE507" s="325"/>
      <c r="NF507" s="325"/>
      <c r="NG507" s="325"/>
      <c r="NH507" s="325"/>
      <c r="NI507" s="325"/>
      <c r="NJ507" s="325"/>
      <c r="NK507" s="325"/>
      <c r="NL507" s="325"/>
      <c r="NM507" s="325"/>
      <c r="NN507" s="325"/>
      <c r="NO507" s="325"/>
      <c r="NP507" s="325"/>
      <c r="NQ507" s="325"/>
      <c r="NR507" s="325"/>
      <c r="NS507" s="325"/>
      <c r="NT507" s="325"/>
      <c r="NU507" s="325"/>
      <c r="NV507" s="325"/>
      <c r="NW507" s="325"/>
      <c r="NX507" s="327"/>
      <c r="NY507" s="28"/>
      <c r="NZ507" s="324"/>
      <c r="OA507" s="324"/>
      <c r="OB507" s="324"/>
      <c r="OC507" s="324"/>
      <c r="OD507" s="324"/>
      <c r="OE507" s="324"/>
      <c r="OF507" s="256"/>
      <c r="OG507" s="325"/>
      <c r="OH507" s="311"/>
      <c r="OI507" s="325"/>
      <c r="OJ507" s="310"/>
      <c r="OK507" s="325"/>
      <c r="OL507" s="325"/>
      <c r="OM507" s="325"/>
      <c r="ON507" s="325"/>
      <c r="OO507" s="325"/>
      <c r="OP507" s="325"/>
      <c r="OQ507" s="325"/>
      <c r="OR507" s="325"/>
      <c r="OS507" s="325"/>
      <c r="OT507" s="325"/>
      <c r="OU507" s="325"/>
      <c r="OV507" s="325"/>
      <c r="OW507" s="325"/>
      <c r="OX507" s="325"/>
      <c r="OY507" s="325"/>
      <c r="OZ507" s="325"/>
      <c r="PA507" s="325"/>
      <c r="PB507" s="325"/>
      <c r="PC507" s="325"/>
      <c r="PD507" s="325"/>
      <c r="PE507" s="325"/>
      <c r="PF507" s="325"/>
      <c r="PG507" s="325"/>
      <c r="PH507" s="325"/>
      <c r="PI507" s="325"/>
      <c r="PJ507" s="325"/>
      <c r="PK507" s="325"/>
      <c r="PL507" s="325"/>
      <c r="PM507" s="325"/>
      <c r="PN507" s="325"/>
      <c r="PO507" s="327"/>
      <c r="PP507" s="28"/>
      <c r="PQ507" s="324"/>
      <c r="PR507" s="324"/>
      <c r="PS507" s="324"/>
      <c r="PT507" s="324"/>
      <c r="PU507" s="324"/>
      <c r="PV507" s="324"/>
      <c r="PW507" s="256"/>
      <c r="PX507" s="325"/>
      <c r="PY507" s="311"/>
      <c r="PZ507" s="325"/>
      <c r="QA507" s="310"/>
      <c r="QB507" s="325"/>
      <c r="QC507" s="325"/>
      <c r="QD507" s="325"/>
      <c r="QE507" s="325"/>
      <c r="QF507" s="325"/>
      <c r="QG507" s="325"/>
      <c r="QH507" s="325"/>
      <c r="QI507" s="325"/>
      <c r="QJ507" s="325"/>
      <c r="QK507" s="325"/>
      <c r="QL507" s="325"/>
      <c r="QM507" s="325"/>
      <c r="QN507" s="325"/>
      <c r="QO507" s="325"/>
      <c r="QP507" s="325"/>
      <c r="QQ507" s="325"/>
      <c r="QR507" s="325"/>
      <c r="QS507" s="325"/>
      <c r="QT507" s="325"/>
      <c r="QU507" s="325"/>
      <c r="QV507" s="325"/>
      <c r="QW507" s="325"/>
      <c r="QX507" s="325"/>
      <c r="QY507" s="325"/>
      <c r="QZ507" s="325"/>
      <c r="RA507" s="325"/>
      <c r="RB507" s="325"/>
      <c r="RC507" s="325"/>
      <c r="RD507" s="325"/>
      <c r="RE507" s="325"/>
      <c r="RF507" s="327"/>
      <c r="RG507" s="28"/>
      <c r="RH507" s="324"/>
      <c r="RI507" s="324"/>
      <c r="RJ507" s="324"/>
      <c r="RK507" s="324"/>
      <c r="RL507" s="324"/>
      <c r="RM507" s="324"/>
      <c r="RN507" s="256"/>
      <c r="RO507" s="325"/>
      <c r="RP507" s="311"/>
      <c r="RQ507" s="325"/>
      <c r="RR507" s="310"/>
      <c r="RS507" s="325"/>
      <c r="RT507" s="325"/>
      <c r="RU507" s="325"/>
      <c r="RV507" s="325"/>
      <c r="RW507" s="325"/>
      <c r="RX507" s="325"/>
      <c r="RY507" s="325"/>
      <c r="RZ507" s="325"/>
      <c r="SA507" s="325"/>
      <c r="SB507" s="325"/>
      <c r="SC507" s="325"/>
      <c r="SD507" s="325"/>
      <c r="SE507" s="325"/>
      <c r="SF507" s="325"/>
      <c r="SG507" s="325"/>
      <c r="SH507" s="325"/>
      <c r="SI507" s="325"/>
      <c r="SJ507" s="325"/>
      <c r="SK507" s="325"/>
      <c r="SL507" s="325"/>
      <c r="SM507" s="325"/>
      <c r="SN507" s="325"/>
      <c r="SO507" s="325"/>
      <c r="SP507" s="325"/>
      <c r="SQ507" s="325"/>
      <c r="SR507" s="325"/>
      <c r="SS507" s="325"/>
      <c r="ST507" s="325"/>
      <c r="SU507" s="325"/>
      <c r="SV507" s="325"/>
      <c r="SW507" s="327"/>
      <c r="SX507" s="28"/>
      <c r="SY507" s="324"/>
      <c r="SZ507" s="324"/>
      <c r="TA507" s="324"/>
      <c r="TB507" s="324"/>
      <c r="TC507" s="324"/>
      <c r="TD507" s="324"/>
      <c r="TE507" s="256"/>
      <c r="TF507" s="325"/>
      <c r="TG507" s="311"/>
      <c r="TH507" s="325"/>
      <c r="TI507" s="310"/>
      <c r="TJ507" s="325"/>
      <c r="TK507" s="325"/>
      <c r="TL507" s="325"/>
      <c r="TM507" s="325"/>
      <c r="TN507" s="325"/>
      <c r="TO507" s="325"/>
      <c r="TP507" s="325"/>
      <c r="TQ507" s="325"/>
      <c r="TR507" s="325"/>
      <c r="TS507" s="325"/>
      <c r="TT507" s="325"/>
      <c r="TU507" s="325"/>
      <c r="TV507" s="325"/>
      <c r="TW507" s="325"/>
      <c r="TX507" s="325"/>
      <c r="TY507" s="325"/>
      <c r="TZ507" s="325"/>
      <c r="UA507" s="325"/>
      <c r="UB507" s="325"/>
      <c r="UC507" s="325"/>
      <c r="UD507" s="325"/>
      <c r="UE507" s="325"/>
      <c r="UF507" s="325"/>
      <c r="UG507" s="325"/>
      <c r="UH507" s="325"/>
      <c r="UI507" s="325"/>
      <c r="UJ507" s="325"/>
      <c r="UK507" s="325"/>
      <c r="UL507" s="325"/>
      <c r="UM507" s="325"/>
      <c r="UN507" s="327"/>
      <c r="UO507" s="28"/>
      <c r="UP507" s="324"/>
      <c r="UQ507" s="324"/>
      <c r="UR507" s="324"/>
      <c r="US507" s="324"/>
      <c r="UT507" s="324"/>
      <c r="UU507" s="324"/>
      <c r="UV507" s="256"/>
      <c r="UW507" s="325"/>
      <c r="UX507" s="311"/>
      <c r="UY507" s="325"/>
      <c r="UZ507" s="310"/>
      <c r="VA507" s="325"/>
      <c r="VB507" s="325"/>
      <c r="VC507" s="325"/>
      <c r="VD507" s="325"/>
      <c r="VE507" s="325"/>
      <c r="VF507" s="325"/>
      <c r="VG507" s="325"/>
      <c r="VH507" s="325"/>
      <c r="VI507" s="325"/>
      <c r="VJ507" s="325"/>
      <c r="VK507" s="325"/>
      <c r="VL507" s="325"/>
      <c r="VM507" s="325"/>
      <c r="VN507" s="325"/>
      <c r="VO507" s="325"/>
      <c r="VP507" s="325"/>
      <c r="VQ507" s="325"/>
      <c r="VR507" s="325"/>
      <c r="VS507" s="325"/>
      <c r="VT507" s="325"/>
      <c r="VU507" s="325"/>
      <c r="VV507" s="325"/>
      <c r="VW507" s="325"/>
      <c r="VX507" s="325"/>
      <c r="VY507" s="325"/>
      <c r="VZ507" s="325"/>
      <c r="WA507" s="325"/>
      <c r="WB507" s="325"/>
      <c r="WC507" s="325"/>
      <c r="WD507" s="325"/>
      <c r="WE507" s="327"/>
      <c r="WF507" s="28"/>
      <c r="WG507" s="324"/>
      <c r="WH507" s="324"/>
      <c r="WI507" s="324"/>
      <c r="WJ507" s="324"/>
      <c r="WK507" s="324"/>
      <c r="WL507" s="324"/>
      <c r="WM507" s="256"/>
      <c r="WN507" s="325"/>
      <c r="WO507" s="311"/>
      <c r="WP507" s="325"/>
      <c r="WQ507" s="310"/>
      <c r="WR507" s="325"/>
      <c r="WS507" s="325"/>
      <c r="WT507" s="325"/>
      <c r="WU507" s="325"/>
      <c r="WV507" s="325"/>
      <c r="WW507" s="325"/>
      <c r="WX507" s="325"/>
      <c r="WY507" s="325"/>
      <c r="WZ507" s="325"/>
      <c r="XA507" s="325"/>
      <c r="XB507" s="325"/>
      <c r="XC507" s="325"/>
      <c r="XD507" s="325"/>
      <c r="XE507" s="325"/>
      <c r="XF507" s="325"/>
      <c r="XG507" s="325"/>
      <c r="XH507" s="325"/>
      <c r="XI507" s="325"/>
      <c r="XJ507" s="325"/>
      <c r="XK507" s="325"/>
      <c r="XL507" s="325"/>
      <c r="XM507" s="325"/>
      <c r="XN507" s="325"/>
      <c r="XO507" s="325"/>
      <c r="XP507" s="325"/>
      <c r="XQ507" s="325"/>
      <c r="XR507" s="325"/>
      <c r="XS507" s="325"/>
      <c r="XT507" s="325"/>
      <c r="XU507" s="325"/>
      <c r="XV507" s="327"/>
      <c r="XW507" s="28"/>
      <c r="XX507" s="324"/>
      <c r="XY507" s="324"/>
      <c r="XZ507" s="324"/>
      <c r="YA507" s="324"/>
      <c r="YB507" s="324"/>
      <c r="YC507" s="324"/>
      <c r="YD507" s="256"/>
      <c r="YE507" s="325"/>
      <c r="YF507" s="311"/>
      <c r="YG507" s="325"/>
      <c r="YH507" s="310"/>
      <c r="YI507" s="325"/>
      <c r="YJ507" s="325"/>
      <c r="YK507" s="325"/>
      <c r="YL507" s="325"/>
      <c r="YM507" s="325"/>
      <c r="YN507" s="325"/>
      <c r="YO507" s="325"/>
      <c r="YP507" s="325"/>
      <c r="YQ507" s="325"/>
      <c r="YR507" s="325"/>
      <c r="YS507" s="325"/>
      <c r="YT507" s="325"/>
      <c r="YU507" s="325"/>
      <c r="YV507" s="325"/>
      <c r="YW507" s="325"/>
      <c r="YX507" s="325"/>
      <c r="YY507" s="325"/>
      <c r="YZ507" s="325"/>
      <c r="ZA507" s="325"/>
      <c r="ZB507" s="325"/>
      <c r="ZC507" s="325"/>
      <c r="ZD507" s="325"/>
      <c r="ZE507" s="325"/>
      <c r="ZF507" s="325"/>
      <c r="ZG507" s="325"/>
      <c r="ZH507" s="325"/>
      <c r="ZI507" s="325"/>
      <c r="ZJ507" s="325"/>
      <c r="ZK507" s="325"/>
      <c r="ZL507" s="325"/>
      <c r="ZM507" s="327"/>
      <c r="ZN507" s="28"/>
      <c r="ZO507" s="324"/>
      <c r="ZP507" s="324"/>
      <c r="ZQ507" s="324"/>
      <c r="ZR507" s="324"/>
      <c r="ZS507" s="324"/>
      <c r="ZT507" s="324"/>
      <c r="ZU507" s="256"/>
      <c r="ZV507" s="325"/>
      <c r="ZW507" s="311"/>
      <c r="ZX507" s="325"/>
      <c r="ZY507" s="310"/>
      <c r="ZZ507" s="325"/>
      <c r="AAA507" s="325"/>
      <c r="AAB507" s="325"/>
      <c r="AAC507" s="325"/>
      <c r="AAD507" s="325"/>
      <c r="AAE507" s="325"/>
      <c r="AAF507" s="325"/>
      <c r="AAG507" s="325"/>
      <c r="AAH507" s="325"/>
      <c r="AAI507" s="325"/>
      <c r="AAJ507" s="325"/>
      <c r="AAK507" s="325"/>
      <c r="AAL507" s="325"/>
      <c r="AAM507" s="325"/>
      <c r="AAN507" s="325"/>
      <c r="AAO507" s="325"/>
      <c r="AAP507" s="325"/>
      <c r="AAQ507" s="325"/>
      <c r="AAR507" s="325"/>
      <c r="AAS507" s="325"/>
      <c r="AAT507" s="325"/>
      <c r="AAU507" s="325"/>
      <c r="AAV507" s="325"/>
      <c r="AAW507" s="325"/>
      <c r="AAX507" s="325"/>
      <c r="AAY507" s="325"/>
      <c r="AAZ507" s="325"/>
      <c r="ABA507" s="325"/>
      <c r="ABB507" s="325"/>
      <c r="ABC507" s="325"/>
      <c r="ABD507" s="327"/>
      <c r="ABE507" s="28"/>
      <c r="ABF507" s="324"/>
      <c r="ABG507" s="324"/>
      <c r="ABH507" s="324"/>
      <c r="ABI507" s="324"/>
      <c r="ABJ507" s="324"/>
      <c r="ABK507" s="324"/>
      <c r="ABL507" s="256"/>
      <c r="ABM507" s="325"/>
      <c r="ABN507" s="311"/>
      <c r="ABO507" s="325"/>
      <c r="ABP507" s="310"/>
      <c r="ABQ507" s="325"/>
      <c r="ABR507" s="325"/>
      <c r="ABS507" s="325"/>
      <c r="ABT507" s="325"/>
      <c r="ABU507" s="325"/>
      <c r="ABV507" s="325"/>
      <c r="ABW507" s="325"/>
      <c r="ABX507" s="325"/>
      <c r="ABY507" s="325"/>
      <c r="ABZ507" s="325"/>
      <c r="ACA507" s="325"/>
      <c r="ACB507" s="325"/>
      <c r="ACC507" s="325"/>
      <c r="ACD507" s="325"/>
      <c r="ACE507" s="325"/>
      <c r="ACF507" s="325"/>
      <c r="ACG507" s="325"/>
      <c r="ACH507" s="325"/>
      <c r="ACI507" s="325"/>
      <c r="ACJ507" s="325"/>
      <c r="ACK507" s="325"/>
      <c r="ACL507" s="325"/>
      <c r="ACM507" s="325"/>
      <c r="ACN507" s="325"/>
      <c r="ACO507" s="325"/>
      <c r="ACP507" s="325"/>
      <c r="ACQ507" s="325"/>
      <c r="ACR507" s="325"/>
      <c r="ACS507" s="325"/>
      <c r="ACT507" s="325"/>
      <c r="ACU507" s="327"/>
      <c r="ACV507" s="28"/>
      <c r="ACW507" s="324"/>
      <c r="ACX507" s="324"/>
      <c r="ACY507" s="324"/>
      <c r="ACZ507" s="324"/>
      <c r="ADA507" s="324"/>
      <c r="ADB507" s="324"/>
      <c r="ADC507" s="256"/>
      <c r="ADD507" s="325"/>
      <c r="ADE507" s="311"/>
      <c r="ADF507" s="325"/>
      <c r="ADG507" s="310"/>
      <c r="ADH507" s="325"/>
      <c r="ADI507" s="325"/>
      <c r="ADJ507" s="325"/>
      <c r="ADK507" s="325"/>
      <c r="ADL507" s="325"/>
      <c r="ADM507" s="325"/>
      <c r="ADN507" s="325"/>
      <c r="ADO507" s="325"/>
      <c r="ADP507" s="325"/>
      <c r="ADQ507" s="325"/>
      <c r="ADR507" s="325"/>
      <c r="ADS507" s="325"/>
      <c r="ADT507" s="325"/>
      <c r="ADU507" s="325"/>
      <c r="ADV507" s="325"/>
      <c r="ADW507" s="325"/>
      <c r="ADX507" s="325"/>
      <c r="ADY507" s="325"/>
      <c r="ADZ507" s="325"/>
      <c r="AEA507" s="325"/>
      <c r="AEB507" s="325"/>
      <c r="AEC507" s="325"/>
      <c r="AED507" s="325"/>
      <c r="AEE507" s="325"/>
      <c r="AEF507" s="325"/>
      <c r="AEG507" s="325"/>
      <c r="AEH507" s="325"/>
      <c r="AEI507" s="325"/>
      <c r="AEJ507" s="325"/>
      <c r="AEK507" s="325"/>
      <c r="AEL507" s="327"/>
      <c r="AEM507" s="28"/>
      <c r="AEN507" s="324"/>
      <c r="AEO507" s="324"/>
      <c r="AEP507" s="324"/>
      <c r="AEQ507" s="324"/>
      <c r="AER507" s="324"/>
      <c r="AES507" s="324"/>
      <c r="AET507" s="256"/>
      <c r="AEU507" s="325"/>
      <c r="AEV507" s="311"/>
      <c r="AEW507" s="325"/>
      <c r="AEX507" s="310"/>
      <c r="AEY507" s="325"/>
      <c r="AEZ507" s="325"/>
      <c r="AFA507" s="325"/>
      <c r="AFB507" s="325"/>
      <c r="AFC507" s="325"/>
      <c r="AFD507" s="325"/>
      <c r="AFE507" s="325"/>
      <c r="AFF507" s="325"/>
      <c r="AFG507" s="325"/>
      <c r="AFH507" s="325"/>
      <c r="AFI507" s="325"/>
      <c r="AFJ507" s="325"/>
      <c r="AFK507" s="325"/>
      <c r="AFL507" s="325"/>
      <c r="AFM507" s="325"/>
      <c r="AFN507" s="325"/>
      <c r="AFO507" s="325"/>
      <c r="AFP507" s="325"/>
      <c r="AFQ507" s="325"/>
      <c r="AFR507" s="325"/>
      <c r="AFS507" s="325"/>
      <c r="AFT507" s="325"/>
      <c r="AFU507" s="325"/>
      <c r="AFV507" s="325"/>
      <c r="AFW507" s="325"/>
      <c r="AFX507" s="325"/>
      <c r="AFY507" s="325"/>
      <c r="AFZ507" s="325"/>
      <c r="AGA507" s="325"/>
      <c r="AGB507" s="325"/>
      <c r="AGC507" s="327"/>
      <c r="AGD507" s="28"/>
      <c r="AGE507" s="324"/>
      <c r="AGF507" s="324"/>
      <c r="AGG507" s="324"/>
      <c r="AGH507" s="324"/>
      <c r="AGI507" s="324"/>
      <c r="AGJ507" s="324"/>
      <c r="AGK507" s="256"/>
      <c r="AGL507" s="325"/>
      <c r="AGM507" s="311"/>
      <c r="AGN507" s="325"/>
      <c r="AGO507" s="310"/>
      <c r="AGP507" s="325"/>
      <c r="AGQ507" s="325"/>
      <c r="AGR507" s="325"/>
      <c r="AGS507" s="325"/>
      <c r="AGT507" s="325"/>
      <c r="AGU507" s="325"/>
      <c r="AGV507" s="325"/>
      <c r="AGW507" s="325"/>
      <c r="AGX507" s="325"/>
      <c r="AGY507" s="325"/>
      <c r="AGZ507" s="325"/>
      <c r="AHA507" s="325"/>
      <c r="AHB507" s="325"/>
      <c r="AHC507" s="325"/>
      <c r="AHD507" s="325"/>
      <c r="AHE507" s="325"/>
      <c r="AHF507" s="325"/>
      <c r="AHG507" s="325"/>
      <c r="AHH507" s="325"/>
      <c r="AHI507" s="325"/>
      <c r="AHJ507" s="325"/>
      <c r="AHK507" s="325"/>
      <c r="AHL507" s="325"/>
      <c r="AHM507" s="325"/>
      <c r="AHN507" s="325"/>
      <c r="AHO507" s="325"/>
      <c r="AHP507" s="325"/>
      <c r="AHQ507" s="325"/>
      <c r="AHR507" s="325"/>
      <c r="AHS507" s="325"/>
      <c r="AHT507" s="327"/>
      <c r="AHU507" s="28"/>
      <c r="AHV507" s="324"/>
      <c r="AHW507" s="324"/>
      <c r="AHX507" s="324"/>
      <c r="AHY507" s="324"/>
      <c r="AHZ507" s="324"/>
      <c r="AIA507" s="324"/>
      <c r="AIB507" s="256"/>
      <c r="AIC507" s="325"/>
      <c r="AID507" s="311"/>
      <c r="AIE507" s="325"/>
      <c r="AIF507" s="310"/>
      <c r="AIG507" s="325"/>
      <c r="AIH507" s="325"/>
      <c r="AII507" s="325"/>
      <c r="AIJ507" s="325"/>
      <c r="AIK507" s="325"/>
      <c r="AIL507" s="325"/>
      <c r="AIM507" s="325"/>
      <c r="AIN507" s="325"/>
      <c r="AIO507" s="325"/>
      <c r="AIP507" s="325"/>
      <c r="AIQ507" s="325"/>
      <c r="AIR507" s="325"/>
      <c r="AIS507" s="325"/>
      <c r="AIT507" s="325"/>
      <c r="AIU507" s="325"/>
      <c r="AIV507" s="325"/>
      <c r="AIW507" s="325"/>
      <c r="AIX507" s="325"/>
      <c r="AIY507" s="325"/>
      <c r="AIZ507" s="325"/>
      <c r="AJA507" s="325"/>
      <c r="AJB507" s="325"/>
      <c r="AJC507" s="325"/>
      <c r="AJD507" s="325"/>
      <c r="AJE507" s="325"/>
      <c r="AJF507" s="325"/>
      <c r="AJG507" s="325"/>
      <c r="AJH507" s="325"/>
      <c r="AJI507" s="325"/>
      <c r="AJJ507" s="325"/>
      <c r="AJK507" s="327"/>
      <c r="AJL507" s="28"/>
      <c r="AJM507" s="324"/>
      <c r="AJN507" s="324"/>
      <c r="AJO507" s="324"/>
      <c r="AJP507" s="324"/>
      <c r="AJQ507" s="324"/>
      <c r="AJR507" s="324"/>
      <c r="AJS507" s="256"/>
      <c r="AJT507" s="325"/>
      <c r="AJU507" s="311"/>
      <c r="AJV507" s="325"/>
      <c r="AJW507" s="310"/>
      <c r="AJX507" s="325"/>
      <c r="AJY507" s="325"/>
      <c r="AJZ507" s="325"/>
      <c r="AKA507" s="325"/>
      <c r="AKB507" s="325"/>
      <c r="AKC507" s="325"/>
      <c r="AKD507" s="325"/>
      <c r="AKE507" s="325"/>
      <c r="AKF507" s="325"/>
      <c r="AKG507" s="325"/>
      <c r="AKH507" s="325"/>
      <c r="AKI507" s="325"/>
      <c r="AKJ507" s="325"/>
      <c r="AKK507" s="325"/>
      <c r="AKL507" s="325"/>
      <c r="AKM507" s="325"/>
      <c r="AKN507" s="325"/>
      <c r="AKO507" s="325"/>
      <c r="AKP507" s="325"/>
      <c r="AKQ507" s="325"/>
      <c r="AKR507" s="325"/>
      <c r="AKS507" s="325"/>
      <c r="AKT507" s="325"/>
      <c r="AKU507" s="325"/>
      <c r="AKV507" s="325"/>
      <c r="AKW507" s="325"/>
      <c r="AKX507" s="325"/>
      <c r="AKY507" s="325"/>
      <c r="AKZ507" s="325"/>
      <c r="ALA507" s="325"/>
      <c r="ALB507" s="327"/>
      <c r="ALC507" s="28"/>
      <c r="ALD507" s="324"/>
      <c r="ALE507" s="324"/>
      <c r="ALF507" s="324"/>
      <c r="ALG507" s="324"/>
      <c r="ALH507" s="324"/>
      <c r="ALI507" s="324"/>
      <c r="ALJ507" s="256"/>
      <c r="ALK507" s="325"/>
      <c r="ALL507" s="311"/>
      <c r="ALM507" s="325"/>
      <c r="ALN507" s="310"/>
      <c r="ALO507" s="325"/>
      <c r="ALP507" s="325"/>
      <c r="ALQ507" s="325"/>
      <c r="ALR507" s="325"/>
      <c r="ALS507" s="325"/>
      <c r="ALT507" s="325"/>
      <c r="ALU507" s="325"/>
      <c r="ALV507" s="325"/>
      <c r="ALW507" s="325"/>
      <c r="ALX507" s="325"/>
      <c r="ALY507" s="325"/>
      <c r="ALZ507" s="325"/>
      <c r="AMA507" s="325"/>
      <c r="AMB507" s="325"/>
      <c r="AMC507" s="325"/>
      <c r="AMD507" s="325"/>
      <c r="AME507" s="325"/>
      <c r="AMF507" s="325"/>
      <c r="AMG507" s="325"/>
      <c r="AMH507" s="325"/>
      <c r="AMI507" s="325"/>
      <c r="AMJ507" s="325"/>
      <c r="AMK507" s="325"/>
      <c r="AML507" s="325"/>
      <c r="AMM507" s="325"/>
      <c r="AMN507" s="325"/>
      <c r="AMO507" s="325"/>
      <c r="AMP507" s="325"/>
      <c r="AMQ507" s="325"/>
      <c r="AMR507" s="325"/>
      <c r="AMS507" s="327"/>
      <c r="AMT507" s="28"/>
      <c r="AMU507" s="324"/>
      <c r="AMV507" s="324"/>
      <c r="AMW507" s="324"/>
      <c r="AMX507" s="324"/>
      <c r="AMY507" s="324"/>
      <c r="AMZ507" s="324"/>
      <c r="ANA507" s="256"/>
      <c r="ANB507" s="325"/>
      <c r="ANC507" s="311"/>
      <c r="AND507" s="325"/>
      <c r="ANE507" s="310"/>
      <c r="ANF507" s="325"/>
      <c r="ANG507" s="325"/>
      <c r="ANH507" s="325"/>
      <c r="ANI507" s="325"/>
      <c r="ANJ507" s="325"/>
      <c r="ANK507" s="325"/>
      <c r="ANL507" s="325"/>
      <c r="ANM507" s="325"/>
      <c r="ANN507" s="325"/>
      <c r="ANO507" s="325"/>
      <c r="ANP507" s="325"/>
      <c r="ANQ507" s="325"/>
      <c r="ANR507" s="325"/>
      <c r="ANS507" s="325"/>
      <c r="ANT507" s="325"/>
      <c r="ANU507" s="325"/>
      <c r="ANV507" s="325"/>
      <c r="ANW507" s="325"/>
      <c r="ANX507" s="325"/>
      <c r="ANY507" s="325"/>
      <c r="ANZ507" s="325"/>
      <c r="AOA507" s="325"/>
      <c r="AOB507" s="325"/>
      <c r="AOC507" s="325"/>
      <c r="AOD507" s="325"/>
      <c r="AOE507" s="325"/>
      <c r="AOF507" s="325"/>
      <c r="AOG507" s="325"/>
      <c r="AOH507" s="325"/>
      <c r="AOI507" s="325"/>
      <c r="AOJ507" s="327"/>
      <c r="AOK507" s="28"/>
      <c r="AOL507" s="324"/>
      <c r="AOM507" s="324"/>
      <c r="AON507" s="324"/>
      <c r="AOO507" s="324"/>
      <c r="AOP507" s="324"/>
      <c r="AOQ507" s="324"/>
      <c r="AOR507" s="256"/>
      <c r="AOS507" s="325"/>
      <c r="AOT507" s="311"/>
      <c r="AOU507" s="325"/>
      <c r="AOV507" s="310"/>
      <c r="AOW507" s="325"/>
      <c r="AOX507" s="325"/>
      <c r="AOY507" s="325"/>
      <c r="AOZ507" s="325"/>
      <c r="APA507" s="325"/>
      <c r="APB507" s="325"/>
      <c r="APC507" s="325"/>
      <c r="APD507" s="325"/>
      <c r="APE507" s="325"/>
      <c r="APF507" s="325"/>
      <c r="APG507" s="325"/>
      <c r="APH507" s="325"/>
      <c r="API507" s="325"/>
      <c r="APJ507" s="325"/>
      <c r="APK507" s="325"/>
      <c r="APL507" s="325"/>
      <c r="APM507" s="325"/>
      <c r="APN507" s="325"/>
      <c r="APO507" s="325"/>
      <c r="APP507" s="325"/>
      <c r="APQ507" s="325"/>
      <c r="APR507" s="325"/>
      <c r="APS507" s="325"/>
      <c r="APT507" s="325"/>
      <c r="APU507" s="325"/>
      <c r="APV507" s="325"/>
      <c r="APW507" s="325"/>
      <c r="APX507" s="325"/>
      <c r="APY507" s="325"/>
      <c r="APZ507" s="325"/>
      <c r="AQA507" s="327"/>
      <c r="AQB507" s="28"/>
      <c r="AQC507" s="324"/>
      <c r="AQD507" s="324"/>
      <c r="AQE507" s="324"/>
      <c r="AQF507" s="324"/>
      <c r="AQG507" s="324"/>
      <c r="AQH507" s="324"/>
      <c r="AQI507" s="256"/>
      <c r="AQJ507" s="325"/>
      <c r="AQK507" s="311"/>
      <c r="AQL507" s="325"/>
      <c r="AQM507" s="310"/>
      <c r="AQN507" s="325"/>
      <c r="AQO507" s="325"/>
      <c r="AQP507" s="325"/>
      <c r="AQQ507" s="325"/>
      <c r="AQR507" s="325"/>
      <c r="AQS507" s="325"/>
      <c r="AQT507" s="325"/>
      <c r="AQU507" s="325"/>
      <c r="AQV507" s="325"/>
      <c r="AQW507" s="325"/>
      <c r="AQX507" s="325"/>
      <c r="AQY507" s="325"/>
      <c r="AQZ507" s="325"/>
      <c r="ARA507" s="325"/>
      <c r="ARB507" s="325"/>
      <c r="ARC507" s="325"/>
      <c r="ARD507" s="325"/>
      <c r="ARE507" s="325"/>
      <c r="ARF507" s="325"/>
      <c r="ARG507" s="325"/>
      <c r="ARH507" s="325"/>
      <c r="ARI507" s="325"/>
      <c r="ARJ507" s="325"/>
      <c r="ARK507" s="325"/>
      <c r="ARL507" s="325"/>
      <c r="ARM507" s="325"/>
      <c r="ARN507" s="325"/>
      <c r="ARO507" s="325"/>
      <c r="ARP507" s="325"/>
      <c r="ARQ507" s="325"/>
      <c r="ARR507" s="327"/>
      <c r="ARS507" s="28"/>
      <c r="ART507" s="324"/>
      <c r="ARU507" s="324"/>
      <c r="ARV507" s="324"/>
      <c r="ARW507" s="324"/>
      <c r="ARX507" s="324"/>
      <c r="ARY507" s="324"/>
      <c r="ARZ507" s="256"/>
      <c r="ASA507" s="325"/>
      <c r="ASB507" s="311"/>
      <c r="ASC507" s="325"/>
      <c r="ASD507" s="310"/>
      <c r="ASE507" s="325"/>
      <c r="ASF507" s="325"/>
      <c r="ASG507" s="325"/>
      <c r="ASH507" s="325"/>
      <c r="ASI507" s="325"/>
      <c r="ASJ507" s="325"/>
      <c r="ASK507" s="325"/>
      <c r="ASL507" s="325"/>
      <c r="ASM507" s="325"/>
      <c r="ASN507" s="325"/>
      <c r="ASO507" s="325"/>
      <c r="ASP507" s="325"/>
      <c r="ASQ507" s="325"/>
      <c r="ASR507" s="325"/>
      <c r="ASS507" s="325"/>
      <c r="AST507" s="325"/>
      <c r="ASU507" s="325"/>
      <c r="ASV507" s="325"/>
      <c r="ASW507" s="325"/>
      <c r="ASX507" s="325"/>
      <c r="ASY507" s="325"/>
      <c r="ASZ507" s="325"/>
      <c r="ATA507" s="325"/>
      <c r="ATB507" s="325"/>
      <c r="ATC507" s="325"/>
      <c r="ATD507" s="325"/>
      <c r="ATE507" s="325"/>
      <c r="ATF507" s="325"/>
      <c r="ATG507" s="325"/>
      <c r="ATH507" s="325"/>
      <c r="ATI507" s="327"/>
      <c r="ATJ507" s="28"/>
      <c r="ATK507" s="324"/>
      <c r="ATL507" s="324"/>
      <c r="ATM507" s="324"/>
      <c r="ATN507" s="324"/>
      <c r="ATO507" s="324"/>
      <c r="ATP507" s="324"/>
      <c r="ATQ507" s="256"/>
      <c r="ATR507" s="325"/>
      <c r="ATS507" s="311"/>
      <c r="ATT507" s="325"/>
      <c r="ATU507" s="310"/>
      <c r="ATV507" s="325"/>
      <c r="ATW507" s="325"/>
      <c r="ATX507" s="325"/>
      <c r="ATY507" s="325"/>
      <c r="ATZ507" s="325"/>
      <c r="AUA507" s="325"/>
      <c r="AUB507" s="325"/>
      <c r="AUC507" s="325"/>
      <c r="AUD507" s="325"/>
      <c r="AUE507" s="325"/>
      <c r="AUF507" s="325"/>
      <c r="AUG507" s="325"/>
      <c r="AUH507" s="325"/>
      <c r="AUI507" s="325"/>
      <c r="AUJ507" s="325"/>
      <c r="AUK507" s="325"/>
      <c r="AUL507" s="325"/>
      <c r="AUM507" s="325"/>
      <c r="AUN507" s="325"/>
      <c r="AUO507" s="325"/>
      <c r="AUP507" s="325"/>
      <c r="AUQ507" s="325"/>
      <c r="AUR507" s="325"/>
      <c r="AUS507" s="325"/>
      <c r="AUT507" s="325"/>
      <c r="AUU507" s="325"/>
      <c r="AUV507" s="325"/>
      <c r="AUW507" s="325"/>
      <c r="AUX507" s="325"/>
      <c r="AUY507" s="325"/>
      <c r="AUZ507" s="327"/>
      <c r="AVA507" s="28"/>
      <c r="AVB507" s="324"/>
      <c r="AVC507" s="324"/>
      <c r="AVD507" s="324"/>
      <c r="AVE507" s="324"/>
      <c r="AVF507" s="324"/>
      <c r="AVG507" s="324"/>
      <c r="AVH507" s="256"/>
      <c r="AVI507" s="325"/>
      <c r="AVJ507" s="311"/>
      <c r="AVK507" s="325"/>
      <c r="AVL507" s="310"/>
      <c r="AVM507" s="325"/>
      <c r="AVN507" s="325"/>
      <c r="AVO507" s="325"/>
      <c r="AVP507" s="325"/>
      <c r="AVQ507" s="325"/>
      <c r="AVR507" s="325"/>
      <c r="AVS507" s="325"/>
      <c r="AVT507" s="325"/>
      <c r="AVU507" s="325"/>
      <c r="AVV507" s="325"/>
      <c r="AVW507" s="325"/>
      <c r="AVX507" s="325"/>
      <c r="AVY507" s="325"/>
      <c r="AVZ507" s="325"/>
      <c r="AWA507" s="325"/>
      <c r="AWB507" s="325"/>
      <c r="AWC507" s="325"/>
      <c r="AWD507" s="325"/>
      <c r="AWE507" s="325"/>
      <c r="AWF507" s="325"/>
      <c r="AWG507" s="325"/>
      <c r="AWH507" s="325"/>
      <c r="AWI507" s="325"/>
      <c r="AWJ507" s="325"/>
      <c r="AWK507" s="325"/>
      <c r="AWL507" s="325"/>
      <c r="AWM507" s="325"/>
      <c r="AWN507" s="325"/>
      <c r="AWO507" s="325"/>
      <c r="AWP507" s="325"/>
      <c r="AWQ507" s="327"/>
      <c r="AWR507" s="28"/>
      <c r="AWS507" s="324"/>
      <c r="AWT507" s="324"/>
      <c r="AWU507" s="324"/>
      <c r="AWV507" s="324"/>
      <c r="AWW507" s="324"/>
      <c r="AWX507" s="324"/>
      <c r="AWY507" s="256"/>
      <c r="AWZ507" s="325"/>
      <c r="AXA507" s="311"/>
      <c r="AXB507" s="325"/>
      <c r="AXC507" s="310"/>
      <c r="AXD507" s="325"/>
      <c r="AXE507" s="325"/>
      <c r="AXF507" s="325"/>
      <c r="AXG507" s="325"/>
      <c r="AXH507" s="325"/>
      <c r="AXI507" s="325"/>
      <c r="AXJ507" s="325"/>
      <c r="AXK507" s="325"/>
      <c r="AXL507" s="325"/>
      <c r="AXM507" s="325"/>
      <c r="AXN507" s="325"/>
      <c r="AXO507" s="325"/>
      <c r="AXP507" s="325"/>
      <c r="AXQ507" s="325"/>
      <c r="AXR507" s="325"/>
      <c r="AXS507" s="325"/>
      <c r="AXT507" s="325"/>
      <c r="AXU507" s="325"/>
      <c r="AXV507" s="325"/>
      <c r="AXW507" s="325"/>
      <c r="AXX507" s="325"/>
      <c r="AXY507" s="325"/>
      <c r="AXZ507" s="325"/>
      <c r="AYA507" s="325"/>
      <c r="AYB507" s="325"/>
      <c r="AYC507" s="325"/>
      <c r="AYD507" s="325"/>
      <c r="AYE507" s="325"/>
      <c r="AYF507" s="325"/>
      <c r="AYG507" s="325"/>
      <c r="AYH507" s="327"/>
      <c r="AYI507" s="28"/>
      <c r="AYJ507" s="324"/>
      <c r="AYK507" s="324"/>
      <c r="AYL507" s="324"/>
      <c r="AYM507" s="324"/>
      <c r="AYN507" s="324"/>
      <c r="AYO507" s="324"/>
      <c r="AYP507" s="256"/>
      <c r="AYQ507" s="325"/>
      <c r="AYR507" s="311"/>
      <c r="AYS507" s="325"/>
      <c r="AYT507" s="310"/>
      <c r="AYU507" s="325"/>
      <c r="AYV507" s="325"/>
      <c r="AYW507" s="325"/>
      <c r="AYX507" s="325"/>
      <c r="AYY507" s="325"/>
      <c r="AYZ507" s="325"/>
      <c r="AZA507" s="325"/>
      <c r="AZB507" s="325"/>
      <c r="AZC507" s="325"/>
      <c r="AZD507" s="325"/>
      <c r="AZE507" s="325"/>
      <c r="AZF507" s="325"/>
      <c r="AZG507" s="325"/>
      <c r="AZH507" s="325"/>
      <c r="AZI507" s="325"/>
      <c r="AZJ507" s="325"/>
      <c r="AZK507" s="325"/>
      <c r="AZL507" s="325"/>
      <c r="AZM507" s="325"/>
      <c r="AZN507" s="325"/>
      <c r="AZO507" s="325"/>
      <c r="AZP507" s="325"/>
      <c r="AZQ507" s="325"/>
      <c r="AZR507" s="325"/>
      <c r="AZS507" s="325"/>
      <c r="AZT507" s="325"/>
      <c r="AZU507" s="325"/>
      <c r="AZV507" s="325"/>
      <c r="AZW507" s="325"/>
      <c r="AZX507" s="325"/>
      <c r="AZY507" s="327"/>
      <c r="AZZ507" s="28"/>
      <c r="BAA507" s="324"/>
      <c r="BAB507" s="324"/>
      <c r="BAC507" s="324"/>
      <c r="BAD507" s="324"/>
      <c r="BAE507" s="324"/>
      <c r="BAF507" s="324"/>
      <c r="BAG507" s="256"/>
      <c r="BAH507" s="325"/>
      <c r="BAI507" s="311"/>
      <c r="BAJ507" s="325"/>
      <c r="BAK507" s="310"/>
      <c r="BAL507" s="325"/>
      <c r="BAM507" s="325"/>
      <c r="BAN507" s="325"/>
      <c r="BAO507" s="325"/>
      <c r="BAP507" s="325"/>
      <c r="BAQ507" s="325"/>
      <c r="BAR507" s="325"/>
      <c r="BAS507" s="325"/>
      <c r="BAT507" s="325"/>
      <c r="BAU507" s="325"/>
      <c r="BAV507" s="325"/>
      <c r="BAW507" s="325"/>
      <c r="BAX507" s="325"/>
      <c r="BAY507" s="325"/>
      <c r="BAZ507" s="325"/>
      <c r="BBA507" s="325"/>
      <c r="BBB507" s="325"/>
      <c r="BBC507" s="325"/>
      <c r="BBD507" s="325"/>
      <c r="BBE507" s="325"/>
      <c r="BBF507" s="325"/>
      <c r="BBG507" s="325"/>
      <c r="BBH507" s="325"/>
      <c r="BBI507" s="325"/>
      <c r="BBJ507" s="325"/>
      <c r="BBK507" s="325"/>
      <c r="BBL507" s="325"/>
      <c r="BBM507" s="325"/>
      <c r="BBN507" s="325"/>
      <c r="BBO507" s="325"/>
      <c r="BBP507" s="327"/>
      <c r="BBQ507" s="28"/>
      <c r="BBR507" s="324"/>
      <c r="BBS507" s="324"/>
      <c r="BBT507" s="324"/>
      <c r="BBU507" s="324"/>
      <c r="BBV507" s="324"/>
      <c r="BBW507" s="324"/>
      <c r="BBX507" s="256"/>
      <c r="BBY507" s="325"/>
      <c r="BBZ507" s="311"/>
      <c r="BCA507" s="325"/>
      <c r="BCB507" s="310"/>
      <c r="BCC507" s="325"/>
      <c r="BCD507" s="325"/>
      <c r="BCE507" s="325"/>
      <c r="BCF507" s="325"/>
      <c r="BCG507" s="325"/>
      <c r="BCH507" s="325"/>
      <c r="BCI507" s="325"/>
      <c r="BCJ507" s="325"/>
      <c r="BCK507" s="325"/>
      <c r="BCL507" s="325"/>
      <c r="BCM507" s="325"/>
      <c r="BCN507" s="325"/>
      <c r="BCO507" s="325"/>
      <c r="BCP507" s="325"/>
      <c r="BCQ507" s="325"/>
      <c r="BCR507" s="325"/>
      <c r="BCS507" s="325"/>
      <c r="BCT507" s="325"/>
      <c r="BCU507" s="325"/>
      <c r="BCV507" s="325"/>
      <c r="BCW507" s="325"/>
      <c r="BCX507" s="325"/>
      <c r="BCY507" s="325"/>
      <c r="BCZ507" s="325"/>
      <c r="BDA507" s="325"/>
      <c r="BDB507" s="325"/>
      <c r="BDC507" s="325"/>
      <c r="BDD507" s="325"/>
      <c r="BDE507" s="325"/>
      <c r="BDF507" s="325"/>
      <c r="BDG507" s="327"/>
      <c r="BDH507" s="28"/>
      <c r="BDI507" s="324"/>
      <c r="BDJ507" s="324"/>
      <c r="BDK507" s="324"/>
      <c r="BDL507" s="324"/>
      <c r="BDM507" s="324"/>
      <c r="BDN507" s="324"/>
      <c r="BDO507" s="256"/>
      <c r="BDP507" s="325"/>
      <c r="BDQ507" s="311"/>
      <c r="BDR507" s="325"/>
      <c r="BDS507" s="310"/>
      <c r="BDT507" s="325"/>
      <c r="BDU507" s="325"/>
      <c r="BDV507" s="325"/>
      <c r="BDW507" s="325"/>
      <c r="BDX507" s="325"/>
      <c r="BDY507" s="325"/>
      <c r="BDZ507" s="325"/>
      <c r="BEA507" s="325"/>
      <c r="BEB507" s="325"/>
      <c r="BEC507" s="325"/>
      <c r="BED507" s="325"/>
      <c r="BEE507" s="325"/>
      <c r="BEF507" s="325"/>
      <c r="BEG507" s="325"/>
      <c r="BEH507" s="325"/>
      <c r="BEI507" s="325"/>
      <c r="BEJ507" s="325"/>
      <c r="BEK507" s="325"/>
      <c r="BEL507" s="325"/>
      <c r="BEM507" s="325"/>
      <c r="BEN507" s="325"/>
      <c r="BEO507" s="325"/>
      <c r="BEP507" s="325"/>
      <c r="BEQ507" s="325"/>
      <c r="BER507" s="325"/>
      <c r="BES507" s="325"/>
      <c r="BET507" s="325"/>
      <c r="BEU507" s="325"/>
      <c r="BEV507" s="325"/>
      <c r="BEW507" s="325"/>
      <c r="BEX507" s="327"/>
      <c r="BEY507" s="28"/>
      <c r="BEZ507" s="324"/>
      <c r="BFA507" s="324"/>
      <c r="BFB507" s="324"/>
      <c r="BFC507" s="324"/>
      <c r="BFD507" s="324"/>
      <c r="BFE507" s="324"/>
      <c r="BFF507" s="256"/>
      <c r="BFG507" s="325"/>
      <c r="BFH507" s="311"/>
      <c r="BFI507" s="325"/>
      <c r="BFJ507" s="310"/>
      <c r="BFK507" s="325"/>
      <c r="BFL507" s="325"/>
      <c r="BFM507" s="325"/>
      <c r="BFN507" s="325"/>
      <c r="BFO507" s="325"/>
      <c r="BFP507" s="325"/>
      <c r="BFQ507" s="325"/>
      <c r="BFR507" s="325"/>
      <c r="BFS507" s="325"/>
      <c r="BFT507" s="325"/>
      <c r="BFU507" s="325"/>
      <c r="BFV507" s="325"/>
      <c r="BFW507" s="325"/>
      <c r="BFX507" s="325"/>
      <c r="BFY507" s="325"/>
      <c r="BFZ507" s="325"/>
      <c r="BGA507" s="325"/>
      <c r="BGB507" s="325"/>
      <c r="BGC507" s="325"/>
      <c r="BGD507" s="325"/>
      <c r="BGE507" s="325"/>
      <c r="BGF507" s="325"/>
      <c r="BGG507" s="325"/>
      <c r="BGH507" s="325"/>
      <c r="BGI507" s="325"/>
      <c r="BGJ507" s="325"/>
      <c r="BGK507" s="325"/>
      <c r="BGL507" s="325"/>
      <c r="BGM507" s="325"/>
      <c r="BGN507" s="325"/>
      <c r="BGO507" s="327"/>
      <c r="BGP507" s="28"/>
      <c r="BGQ507" s="324"/>
      <c r="BGR507" s="324"/>
      <c r="BGS507" s="324"/>
      <c r="BGT507" s="324"/>
      <c r="BGU507" s="324"/>
      <c r="BGV507" s="324"/>
      <c r="BGW507" s="256"/>
      <c r="BGX507" s="325"/>
      <c r="BGY507" s="311"/>
      <c r="BGZ507" s="325"/>
      <c r="BHA507" s="310"/>
      <c r="BHB507" s="325"/>
      <c r="BHC507" s="325"/>
      <c r="BHD507" s="325"/>
      <c r="BHE507" s="325"/>
      <c r="BHF507" s="325"/>
      <c r="BHG507" s="325"/>
      <c r="BHH507" s="325"/>
      <c r="BHI507" s="325"/>
      <c r="BHJ507" s="325"/>
      <c r="BHK507" s="325"/>
      <c r="BHL507" s="325"/>
      <c r="BHM507" s="325"/>
      <c r="BHN507" s="325"/>
      <c r="BHO507" s="325"/>
      <c r="BHP507" s="325"/>
      <c r="BHQ507" s="325"/>
      <c r="BHR507" s="325"/>
      <c r="BHS507" s="325"/>
      <c r="BHT507" s="325"/>
      <c r="BHU507" s="325"/>
      <c r="BHV507" s="325"/>
      <c r="BHW507" s="325"/>
      <c r="BHX507" s="325"/>
      <c r="BHY507" s="325"/>
      <c r="BHZ507" s="325"/>
      <c r="BIA507" s="325"/>
      <c r="BIB507" s="325"/>
      <c r="BIC507" s="325"/>
      <c r="BID507" s="325"/>
      <c r="BIE507" s="325"/>
      <c r="BIF507" s="327"/>
      <c r="BIG507" s="28"/>
      <c r="BIH507" s="324"/>
      <c r="BII507" s="324"/>
      <c r="BIJ507" s="324"/>
      <c r="BIK507" s="324"/>
      <c r="BIL507" s="324"/>
      <c r="BIM507" s="324"/>
      <c r="BIN507" s="256"/>
      <c r="BIO507" s="325"/>
      <c r="BIP507" s="311"/>
      <c r="BIQ507" s="325"/>
      <c r="BIR507" s="310"/>
      <c r="BIS507" s="325"/>
      <c r="BIT507" s="325"/>
      <c r="BIU507" s="325"/>
      <c r="BIV507" s="325"/>
      <c r="BIW507" s="325"/>
      <c r="BIX507" s="325"/>
      <c r="BIY507" s="325"/>
      <c r="BIZ507" s="325"/>
      <c r="BJA507" s="325"/>
      <c r="BJB507" s="325"/>
      <c r="BJC507" s="325"/>
      <c r="BJD507" s="325"/>
      <c r="BJE507" s="325"/>
      <c r="BJF507" s="325"/>
      <c r="BJG507" s="325"/>
      <c r="BJH507" s="325"/>
      <c r="BJI507" s="325"/>
      <c r="BJJ507" s="325"/>
      <c r="BJK507" s="325"/>
      <c r="BJL507" s="325"/>
      <c r="BJM507" s="325"/>
      <c r="BJN507" s="325"/>
      <c r="BJO507" s="325"/>
      <c r="BJP507" s="325"/>
      <c r="BJQ507" s="325"/>
      <c r="BJR507" s="325"/>
      <c r="BJS507" s="325"/>
      <c r="BJT507" s="325"/>
      <c r="BJU507" s="325"/>
      <c r="BJV507" s="325"/>
      <c r="BJW507" s="327"/>
      <c r="BJX507" s="28"/>
      <c r="BJY507" s="324"/>
      <c r="BJZ507" s="324"/>
      <c r="BKA507" s="324"/>
      <c r="BKB507" s="324"/>
      <c r="BKC507" s="324"/>
      <c r="BKD507" s="324"/>
      <c r="BKE507" s="256"/>
      <c r="BKF507" s="325"/>
      <c r="BKG507" s="311"/>
      <c r="BKH507" s="325"/>
      <c r="BKI507" s="310"/>
      <c r="BKJ507" s="325"/>
      <c r="BKK507" s="325"/>
      <c r="BKL507" s="325"/>
      <c r="BKM507" s="325"/>
      <c r="BKN507" s="325"/>
      <c r="BKO507" s="325"/>
      <c r="BKP507" s="325"/>
      <c r="BKQ507" s="325"/>
      <c r="BKR507" s="325"/>
      <c r="BKS507" s="325"/>
      <c r="BKT507" s="325"/>
      <c r="BKU507" s="325"/>
      <c r="BKV507" s="325"/>
      <c r="BKW507" s="325"/>
      <c r="BKX507" s="325"/>
      <c r="BKY507" s="325"/>
      <c r="BKZ507" s="325"/>
      <c r="BLA507" s="325"/>
      <c r="BLB507" s="325"/>
      <c r="BLC507" s="325"/>
      <c r="BLD507" s="325"/>
      <c r="BLE507" s="325"/>
      <c r="BLF507" s="325"/>
      <c r="BLG507" s="325"/>
      <c r="BLH507" s="325"/>
      <c r="BLI507" s="325"/>
      <c r="BLJ507" s="325"/>
      <c r="BLK507" s="325"/>
      <c r="BLL507" s="325"/>
      <c r="BLM507" s="325"/>
      <c r="BLN507" s="327"/>
      <c r="BLO507" s="28"/>
      <c r="BLP507" s="324"/>
      <c r="BLQ507" s="324"/>
      <c r="BLR507" s="324"/>
      <c r="BLS507" s="324"/>
      <c r="BLT507" s="324"/>
      <c r="BLU507" s="324"/>
      <c r="BLV507" s="256"/>
      <c r="BLW507" s="325"/>
      <c r="BLX507" s="311"/>
      <c r="BLY507" s="325"/>
      <c r="BLZ507" s="310"/>
      <c r="BMA507" s="325"/>
      <c r="BMB507" s="325"/>
      <c r="BMC507" s="325"/>
      <c r="BMD507" s="325"/>
      <c r="BME507" s="325"/>
      <c r="BMF507" s="325"/>
      <c r="BMG507" s="325"/>
      <c r="BMH507" s="325"/>
      <c r="BMI507" s="325"/>
      <c r="BMJ507" s="325"/>
      <c r="BMK507" s="325"/>
      <c r="BML507" s="325"/>
      <c r="BMM507" s="325"/>
      <c r="BMN507" s="325"/>
      <c r="BMO507" s="325"/>
      <c r="BMP507" s="325"/>
      <c r="BMQ507" s="325"/>
      <c r="BMR507" s="325"/>
      <c r="BMS507" s="325"/>
      <c r="BMT507" s="325"/>
      <c r="BMU507" s="325"/>
      <c r="BMV507" s="325"/>
      <c r="BMW507" s="325"/>
      <c r="BMX507" s="325"/>
      <c r="BMY507" s="325"/>
      <c r="BMZ507" s="325"/>
      <c r="BNA507" s="325"/>
      <c r="BNB507" s="325"/>
      <c r="BNC507" s="325"/>
      <c r="BND507" s="325"/>
      <c r="BNE507" s="327"/>
      <c r="BNF507" s="28"/>
      <c r="BNG507" s="324"/>
      <c r="BNH507" s="324"/>
      <c r="BNI507" s="324"/>
      <c r="BNJ507" s="324"/>
      <c r="BNK507" s="324"/>
      <c r="BNL507" s="324"/>
      <c r="BNM507" s="256"/>
      <c r="BNN507" s="325"/>
      <c r="BNO507" s="311"/>
      <c r="BNP507" s="325"/>
      <c r="BNQ507" s="310"/>
      <c r="BNR507" s="325"/>
      <c r="BNS507" s="325"/>
      <c r="BNT507" s="325"/>
      <c r="BNU507" s="325"/>
      <c r="BNV507" s="325"/>
      <c r="BNW507" s="325"/>
      <c r="BNX507" s="325"/>
      <c r="BNY507" s="325"/>
      <c r="BNZ507" s="325"/>
      <c r="BOA507" s="325"/>
      <c r="BOB507" s="325"/>
      <c r="BOC507" s="325"/>
      <c r="BOD507" s="325"/>
      <c r="BOE507" s="325"/>
      <c r="BOF507" s="325"/>
      <c r="BOG507" s="325"/>
      <c r="BOH507" s="325"/>
      <c r="BOI507" s="325"/>
      <c r="BOJ507" s="325"/>
      <c r="BOK507" s="325"/>
      <c r="BOL507" s="325"/>
      <c r="BOM507" s="325"/>
      <c r="BON507" s="325"/>
      <c r="BOO507" s="325"/>
      <c r="BOP507" s="325"/>
      <c r="BOQ507" s="325"/>
      <c r="BOR507" s="325"/>
      <c r="BOS507" s="325"/>
      <c r="BOT507" s="325"/>
      <c r="BOU507" s="325"/>
      <c r="BOV507" s="327"/>
      <c r="BOW507" s="28"/>
      <c r="BOX507" s="324"/>
      <c r="BOY507" s="324"/>
      <c r="BOZ507" s="324"/>
      <c r="BPA507" s="324"/>
      <c r="BPB507" s="324"/>
      <c r="BPC507" s="324"/>
      <c r="BPD507" s="256"/>
      <c r="BPE507" s="325"/>
      <c r="BPF507" s="311"/>
      <c r="BPG507" s="325"/>
      <c r="BPH507" s="310"/>
      <c r="BPI507" s="325"/>
      <c r="BPJ507" s="325"/>
      <c r="BPK507" s="325"/>
      <c r="BPL507" s="325"/>
      <c r="BPM507" s="325"/>
      <c r="BPN507" s="325"/>
      <c r="BPO507" s="325"/>
      <c r="BPP507" s="325"/>
      <c r="BPQ507" s="325"/>
      <c r="BPR507" s="325"/>
      <c r="BPS507" s="325"/>
      <c r="BPT507" s="325"/>
      <c r="BPU507" s="325"/>
      <c r="BPV507" s="325"/>
      <c r="BPW507" s="325"/>
      <c r="BPX507" s="325"/>
      <c r="BPY507" s="325"/>
      <c r="BPZ507" s="325"/>
      <c r="BQA507" s="325"/>
      <c r="BQB507" s="325"/>
      <c r="BQC507" s="325"/>
      <c r="BQD507" s="325"/>
      <c r="BQE507" s="325"/>
      <c r="BQF507" s="325"/>
      <c r="BQG507" s="325"/>
      <c r="BQH507" s="325"/>
      <c r="BQI507" s="325"/>
      <c r="BQJ507" s="325"/>
      <c r="BQK507" s="325"/>
      <c r="BQL507" s="325"/>
      <c r="BQM507" s="327"/>
      <c r="BQN507" s="28"/>
      <c r="BQO507" s="324"/>
      <c r="BQP507" s="324"/>
      <c r="BQQ507" s="324"/>
      <c r="BQR507" s="324"/>
      <c r="BQS507" s="324"/>
      <c r="BQT507" s="324"/>
      <c r="BQU507" s="256"/>
      <c r="BQV507" s="325"/>
      <c r="BQW507" s="311"/>
      <c r="BQX507" s="325"/>
      <c r="BQY507" s="310"/>
      <c r="BQZ507" s="325"/>
      <c r="BRA507" s="325"/>
      <c r="BRB507" s="325"/>
      <c r="BRC507" s="325"/>
      <c r="BRD507" s="325"/>
      <c r="BRE507" s="325"/>
      <c r="BRF507" s="325"/>
      <c r="BRG507" s="325"/>
      <c r="BRH507" s="325"/>
      <c r="BRI507" s="325"/>
      <c r="BRJ507" s="325"/>
      <c r="BRK507" s="325"/>
      <c r="BRL507" s="325"/>
      <c r="BRM507" s="325"/>
      <c r="BRN507" s="325"/>
      <c r="BRO507" s="325"/>
      <c r="BRP507" s="325"/>
      <c r="BRQ507" s="325"/>
      <c r="BRR507" s="325"/>
      <c r="BRS507" s="325"/>
      <c r="BRT507" s="325"/>
      <c r="BRU507" s="325"/>
      <c r="BRV507" s="325"/>
      <c r="BRW507" s="325"/>
      <c r="BRX507" s="325"/>
      <c r="BRY507" s="325"/>
      <c r="BRZ507" s="325"/>
      <c r="BSA507" s="325"/>
      <c r="BSB507" s="325"/>
      <c r="BSC507" s="325"/>
      <c r="BSD507" s="327"/>
      <c r="BSE507" s="28"/>
      <c r="BSF507" s="324"/>
      <c r="BSG507" s="324"/>
      <c r="BSH507" s="324"/>
      <c r="BSI507" s="324"/>
      <c r="BSJ507" s="324"/>
      <c r="BSK507" s="324"/>
      <c r="BSL507" s="256"/>
      <c r="BSM507" s="325"/>
      <c r="BSN507" s="311"/>
      <c r="BSO507" s="325"/>
      <c r="BSP507" s="310"/>
      <c r="BSQ507" s="325"/>
      <c r="BSR507" s="325"/>
      <c r="BSS507" s="325"/>
      <c r="BST507" s="325"/>
      <c r="BSU507" s="325"/>
      <c r="BSV507" s="325"/>
      <c r="BSW507" s="325"/>
      <c r="BSX507" s="325"/>
      <c r="BSY507" s="325"/>
      <c r="BSZ507" s="325"/>
      <c r="BTA507" s="325"/>
      <c r="BTB507" s="325"/>
      <c r="BTC507" s="325"/>
      <c r="BTD507" s="325"/>
      <c r="BTE507" s="325"/>
      <c r="BTF507" s="325"/>
      <c r="BTG507" s="325"/>
      <c r="BTH507" s="325"/>
      <c r="BTI507" s="325"/>
      <c r="BTJ507" s="325"/>
      <c r="BTK507" s="325"/>
      <c r="BTL507" s="325"/>
      <c r="BTM507" s="325"/>
      <c r="BTN507" s="325"/>
      <c r="BTO507" s="325"/>
      <c r="BTP507" s="325"/>
      <c r="BTQ507" s="325"/>
      <c r="BTR507" s="325"/>
      <c r="BTS507" s="325"/>
      <c r="BTT507" s="325"/>
      <c r="BTU507" s="327"/>
      <c r="BTV507" s="28"/>
      <c r="BTW507" s="324"/>
      <c r="BTX507" s="324"/>
      <c r="BTY507" s="324"/>
      <c r="BTZ507" s="324"/>
      <c r="BUA507" s="324"/>
      <c r="BUB507" s="324"/>
      <c r="BUC507" s="256"/>
      <c r="BUD507" s="325"/>
      <c r="BUE507" s="311"/>
      <c r="BUF507" s="325"/>
      <c r="BUG507" s="310"/>
      <c r="BUH507" s="325"/>
      <c r="BUI507" s="325"/>
      <c r="BUJ507" s="325"/>
      <c r="BUK507" s="325"/>
      <c r="BUL507" s="325"/>
      <c r="BUM507" s="325"/>
      <c r="BUN507" s="325"/>
      <c r="BUO507" s="325"/>
      <c r="BUP507" s="325"/>
      <c r="BUQ507" s="325"/>
      <c r="BUR507" s="325"/>
      <c r="BUS507" s="325"/>
      <c r="BUT507" s="325"/>
      <c r="BUU507" s="325"/>
      <c r="BUV507" s="325"/>
      <c r="BUW507" s="325"/>
      <c r="BUX507" s="325"/>
      <c r="BUY507" s="325"/>
      <c r="BUZ507" s="325"/>
      <c r="BVA507" s="325"/>
      <c r="BVB507" s="325"/>
      <c r="BVC507" s="325"/>
      <c r="BVD507" s="325"/>
      <c r="BVE507" s="325"/>
      <c r="BVF507" s="325"/>
      <c r="BVG507" s="325"/>
      <c r="BVH507" s="325"/>
      <c r="BVI507" s="325"/>
      <c r="BVJ507" s="325"/>
      <c r="BVK507" s="325"/>
      <c r="BVL507" s="327"/>
      <c r="BVM507" s="28"/>
      <c r="BVN507" s="324"/>
      <c r="BVO507" s="324"/>
      <c r="BVP507" s="324"/>
      <c r="BVQ507" s="324"/>
      <c r="BVR507" s="324"/>
      <c r="BVS507" s="324"/>
      <c r="BVT507" s="256"/>
      <c r="BVU507" s="325"/>
      <c r="BVV507" s="311"/>
      <c r="BVW507" s="325"/>
      <c r="BVX507" s="310"/>
      <c r="BVY507" s="325"/>
      <c r="BVZ507" s="325"/>
      <c r="BWA507" s="325"/>
      <c r="BWB507" s="325"/>
      <c r="BWC507" s="325"/>
      <c r="BWD507" s="325"/>
      <c r="BWE507" s="325"/>
      <c r="BWF507" s="325"/>
      <c r="BWG507" s="325"/>
      <c r="BWH507" s="325"/>
      <c r="BWI507" s="325"/>
      <c r="BWJ507" s="325"/>
      <c r="BWK507" s="325"/>
      <c r="BWL507" s="325"/>
      <c r="BWM507" s="325"/>
      <c r="BWN507" s="325"/>
      <c r="BWO507" s="325"/>
      <c r="BWP507" s="325"/>
      <c r="BWQ507" s="325"/>
      <c r="BWR507" s="325"/>
      <c r="BWS507" s="325"/>
      <c r="BWT507" s="325"/>
      <c r="BWU507" s="325"/>
      <c r="BWV507" s="325"/>
      <c r="BWW507" s="325"/>
      <c r="BWX507" s="325"/>
      <c r="BWY507" s="325"/>
      <c r="BWZ507" s="325"/>
      <c r="BXA507" s="325"/>
      <c r="BXB507" s="325"/>
      <c r="BXC507" s="327"/>
      <c r="BXD507" s="28"/>
      <c r="BXE507" s="324"/>
      <c r="BXF507" s="324"/>
      <c r="BXG507" s="324"/>
      <c r="BXH507" s="324"/>
      <c r="BXI507" s="324"/>
      <c r="BXJ507" s="324"/>
      <c r="BXK507" s="256"/>
      <c r="BXL507" s="325"/>
      <c r="BXM507" s="311"/>
      <c r="BXN507" s="325"/>
      <c r="BXO507" s="310"/>
      <c r="BXP507" s="325"/>
      <c r="BXQ507" s="325"/>
      <c r="BXR507" s="325"/>
      <c r="BXS507" s="325"/>
      <c r="BXT507" s="325"/>
      <c r="BXU507" s="325"/>
      <c r="BXV507" s="325"/>
      <c r="BXW507" s="325"/>
      <c r="BXX507" s="325"/>
      <c r="BXY507" s="325"/>
      <c r="BXZ507" s="325"/>
      <c r="BYA507" s="325"/>
      <c r="BYB507" s="325"/>
      <c r="BYC507" s="325"/>
      <c r="BYD507" s="325"/>
      <c r="BYE507" s="325"/>
      <c r="BYF507" s="325"/>
      <c r="BYG507" s="325"/>
      <c r="BYH507" s="325"/>
      <c r="BYI507" s="325"/>
      <c r="BYJ507" s="325"/>
      <c r="BYK507" s="325"/>
      <c r="BYL507" s="325"/>
      <c r="BYM507" s="325"/>
      <c r="BYN507" s="325"/>
      <c r="BYO507" s="325"/>
      <c r="BYP507" s="325"/>
      <c r="BYQ507" s="325"/>
      <c r="BYR507" s="325"/>
      <c r="BYS507" s="325"/>
      <c r="BYT507" s="327"/>
      <c r="BYU507" s="28"/>
      <c r="BYV507" s="324"/>
      <c r="BYW507" s="324"/>
      <c r="BYX507" s="324"/>
      <c r="BYY507" s="324"/>
      <c r="BYZ507" s="324"/>
      <c r="BZA507" s="324"/>
      <c r="BZB507" s="256"/>
      <c r="BZC507" s="325"/>
      <c r="BZD507" s="311"/>
      <c r="BZE507" s="325"/>
      <c r="BZF507" s="310"/>
      <c r="BZG507" s="325"/>
      <c r="BZH507" s="325"/>
      <c r="BZI507" s="325"/>
      <c r="BZJ507" s="325"/>
      <c r="BZK507" s="325"/>
      <c r="BZL507" s="325"/>
      <c r="BZM507" s="325"/>
      <c r="BZN507" s="325"/>
      <c r="BZO507" s="325"/>
      <c r="BZP507" s="325"/>
      <c r="BZQ507" s="325"/>
      <c r="BZR507" s="325"/>
      <c r="BZS507" s="325"/>
      <c r="BZT507" s="325"/>
      <c r="BZU507" s="325"/>
      <c r="BZV507" s="325"/>
      <c r="BZW507" s="325"/>
      <c r="BZX507" s="325"/>
      <c r="BZY507" s="325"/>
      <c r="BZZ507" s="325"/>
      <c r="CAA507" s="325"/>
      <c r="CAB507" s="325"/>
      <c r="CAC507" s="325"/>
      <c r="CAD507" s="325"/>
      <c r="CAE507" s="325"/>
      <c r="CAF507" s="325"/>
      <c r="CAG507" s="325"/>
      <c r="CAH507" s="325"/>
      <c r="CAI507" s="325"/>
      <c r="CAJ507" s="325"/>
      <c r="CAK507" s="327"/>
      <c r="CAL507" s="28"/>
      <c r="CAM507" s="324"/>
      <c r="CAN507" s="324"/>
      <c r="CAO507" s="324"/>
      <c r="CAP507" s="324"/>
      <c r="CAQ507" s="324"/>
      <c r="CAR507" s="324"/>
      <c r="CAS507" s="256"/>
      <c r="CAT507" s="325"/>
      <c r="CAU507" s="311"/>
      <c r="CAV507" s="325"/>
      <c r="CAW507" s="310"/>
      <c r="CAX507" s="325"/>
      <c r="CAY507" s="325"/>
      <c r="CAZ507" s="325"/>
      <c r="CBA507" s="325"/>
      <c r="CBB507" s="325"/>
      <c r="CBC507" s="325"/>
      <c r="CBD507" s="325"/>
      <c r="CBE507" s="325"/>
      <c r="CBF507" s="325"/>
      <c r="CBG507" s="325"/>
      <c r="CBH507" s="325"/>
      <c r="CBI507" s="325"/>
      <c r="CBJ507" s="325"/>
      <c r="CBK507" s="325"/>
      <c r="CBL507" s="325"/>
      <c r="CBM507" s="325"/>
      <c r="CBN507" s="325"/>
      <c r="CBO507" s="325"/>
      <c r="CBP507" s="325"/>
      <c r="CBQ507" s="325"/>
      <c r="CBR507" s="325"/>
      <c r="CBS507" s="325"/>
      <c r="CBT507" s="325"/>
      <c r="CBU507" s="325"/>
      <c r="CBV507" s="325"/>
      <c r="CBW507" s="325"/>
      <c r="CBX507" s="325"/>
      <c r="CBY507" s="325"/>
      <c r="CBZ507" s="325"/>
      <c r="CCA507" s="325"/>
      <c r="CCB507" s="327"/>
      <c r="CCC507" s="28"/>
      <c r="CCD507" s="324"/>
      <c r="CCE507" s="324"/>
      <c r="CCF507" s="324"/>
      <c r="CCG507" s="324"/>
      <c r="CCH507" s="324"/>
      <c r="CCI507" s="324"/>
      <c r="CCJ507" s="256"/>
      <c r="CCK507" s="325"/>
      <c r="CCL507" s="311"/>
      <c r="CCM507" s="325"/>
      <c r="CCN507" s="310"/>
      <c r="CCO507" s="325"/>
      <c r="CCP507" s="325"/>
      <c r="CCQ507" s="325"/>
      <c r="CCR507" s="325"/>
      <c r="CCS507" s="325"/>
      <c r="CCT507" s="325"/>
      <c r="CCU507" s="325"/>
      <c r="CCV507" s="325"/>
      <c r="CCW507" s="325"/>
      <c r="CCX507" s="325"/>
      <c r="CCY507" s="325"/>
      <c r="CCZ507" s="325"/>
      <c r="CDA507" s="325"/>
      <c r="CDB507" s="325"/>
      <c r="CDC507" s="325"/>
      <c r="CDD507" s="325"/>
      <c r="CDE507" s="325"/>
      <c r="CDF507" s="325"/>
      <c r="CDG507" s="325"/>
      <c r="CDH507" s="325"/>
      <c r="CDI507" s="325"/>
      <c r="CDJ507" s="325"/>
      <c r="CDK507" s="325"/>
      <c r="CDL507" s="325"/>
      <c r="CDM507" s="325"/>
      <c r="CDN507" s="325"/>
      <c r="CDO507" s="325"/>
      <c r="CDP507" s="325"/>
      <c r="CDQ507" s="325"/>
      <c r="CDR507" s="325"/>
      <c r="CDS507" s="327"/>
      <c r="CDT507" s="28"/>
      <c r="CDU507" s="324"/>
      <c r="CDV507" s="324"/>
      <c r="CDW507" s="324"/>
      <c r="CDX507" s="324"/>
      <c r="CDY507" s="324"/>
      <c r="CDZ507" s="324"/>
      <c r="CEA507" s="256"/>
      <c r="CEB507" s="325"/>
      <c r="CEC507" s="311"/>
      <c r="CED507" s="325"/>
      <c r="CEE507" s="310"/>
      <c r="CEF507" s="325"/>
      <c r="CEG507" s="325"/>
      <c r="CEH507" s="325"/>
      <c r="CEI507" s="325"/>
      <c r="CEJ507" s="325"/>
      <c r="CEK507" s="325"/>
      <c r="CEL507" s="325"/>
      <c r="CEM507" s="325"/>
      <c r="CEN507" s="325"/>
      <c r="CEO507" s="325"/>
      <c r="CEP507" s="325"/>
      <c r="CEQ507" s="325"/>
      <c r="CER507" s="325"/>
      <c r="CES507" s="325"/>
      <c r="CET507" s="325"/>
      <c r="CEU507" s="325"/>
      <c r="CEV507" s="325"/>
      <c r="CEW507" s="325"/>
      <c r="CEX507" s="325"/>
      <c r="CEY507" s="325"/>
      <c r="CEZ507" s="325"/>
      <c r="CFA507" s="325"/>
      <c r="CFB507" s="325"/>
      <c r="CFC507" s="325"/>
      <c r="CFD507" s="325"/>
      <c r="CFE507" s="325"/>
      <c r="CFF507" s="325"/>
      <c r="CFG507" s="325"/>
      <c r="CFH507" s="325"/>
      <c r="CFI507" s="325"/>
      <c r="CFJ507" s="327"/>
      <c r="CFK507" s="28"/>
      <c r="CFL507" s="324"/>
      <c r="CFM507" s="324"/>
      <c r="CFN507" s="324"/>
      <c r="CFO507" s="324"/>
      <c r="CFP507" s="324"/>
      <c r="CFQ507" s="324"/>
      <c r="CFR507" s="256"/>
      <c r="CFS507" s="325"/>
      <c r="CFT507" s="311"/>
      <c r="CFU507" s="325"/>
      <c r="CFV507" s="310"/>
      <c r="CFW507" s="325"/>
      <c r="CFX507" s="325"/>
      <c r="CFY507" s="325"/>
      <c r="CFZ507" s="325"/>
      <c r="CGA507" s="325"/>
      <c r="CGB507" s="325"/>
      <c r="CGC507" s="325"/>
      <c r="CGD507" s="325"/>
      <c r="CGE507" s="325"/>
      <c r="CGF507" s="325"/>
      <c r="CGG507" s="325"/>
      <c r="CGH507" s="325"/>
      <c r="CGI507" s="325"/>
      <c r="CGJ507" s="325"/>
      <c r="CGK507" s="325"/>
      <c r="CGL507" s="325"/>
      <c r="CGM507" s="325"/>
      <c r="CGN507" s="325"/>
      <c r="CGO507" s="325"/>
      <c r="CGP507" s="325"/>
      <c r="CGQ507" s="325"/>
      <c r="CGR507" s="325"/>
      <c r="CGS507" s="325"/>
      <c r="CGT507" s="325"/>
      <c r="CGU507" s="325"/>
      <c r="CGV507" s="325"/>
      <c r="CGW507" s="325"/>
      <c r="CGX507" s="325"/>
      <c r="CGY507" s="325"/>
      <c r="CGZ507" s="325"/>
      <c r="CHA507" s="327"/>
      <c r="CHB507" s="28"/>
      <c r="CHC507" s="324"/>
      <c r="CHD507" s="324"/>
      <c r="CHE507" s="324"/>
      <c r="CHF507" s="324"/>
      <c r="CHG507" s="324"/>
      <c r="CHH507" s="324"/>
      <c r="CHI507" s="256"/>
      <c r="CHJ507" s="325"/>
      <c r="CHK507" s="311"/>
      <c r="CHL507" s="325"/>
      <c r="CHM507" s="310"/>
      <c r="CHN507" s="325"/>
      <c r="CHO507" s="325"/>
      <c r="CHP507" s="325"/>
      <c r="CHQ507" s="325"/>
      <c r="CHR507" s="325"/>
      <c r="CHS507" s="325"/>
      <c r="CHT507" s="325"/>
      <c r="CHU507" s="325"/>
      <c r="CHV507" s="325"/>
      <c r="CHW507" s="325"/>
      <c r="CHX507" s="325"/>
      <c r="CHY507" s="325"/>
      <c r="CHZ507" s="325"/>
      <c r="CIA507" s="325"/>
      <c r="CIB507" s="325"/>
      <c r="CIC507" s="325"/>
      <c r="CID507" s="325"/>
      <c r="CIE507" s="325"/>
      <c r="CIF507" s="325"/>
      <c r="CIG507" s="325"/>
      <c r="CIH507" s="325"/>
      <c r="CII507" s="325"/>
      <c r="CIJ507" s="325"/>
      <c r="CIK507" s="325"/>
      <c r="CIL507" s="325"/>
      <c r="CIM507" s="325"/>
      <c r="CIN507" s="325"/>
      <c r="CIO507" s="325"/>
      <c r="CIP507" s="325"/>
      <c r="CIQ507" s="325"/>
      <c r="CIR507" s="327"/>
      <c r="CIS507" s="28"/>
      <c r="CIT507" s="324"/>
      <c r="CIU507" s="324"/>
      <c r="CIV507" s="324"/>
      <c r="CIW507" s="324"/>
      <c r="CIX507" s="324"/>
      <c r="CIY507" s="324"/>
      <c r="CIZ507" s="256"/>
      <c r="CJA507" s="325"/>
      <c r="CJB507" s="311"/>
      <c r="CJC507" s="325"/>
      <c r="CJD507" s="310"/>
      <c r="CJE507" s="325"/>
      <c r="CJF507" s="325"/>
      <c r="CJG507" s="325"/>
      <c r="CJH507" s="325"/>
      <c r="CJI507" s="325"/>
      <c r="CJJ507" s="325"/>
      <c r="CJK507" s="325"/>
      <c r="CJL507" s="325"/>
      <c r="CJM507" s="325"/>
      <c r="CJN507" s="325"/>
      <c r="CJO507" s="325"/>
      <c r="CJP507" s="325"/>
      <c r="CJQ507" s="325"/>
      <c r="CJR507" s="325"/>
      <c r="CJS507" s="325"/>
      <c r="CJT507" s="325"/>
      <c r="CJU507" s="325"/>
      <c r="CJV507" s="325"/>
      <c r="CJW507" s="325"/>
      <c r="CJX507" s="325"/>
      <c r="CJY507" s="325"/>
      <c r="CJZ507" s="325"/>
      <c r="CKA507" s="325"/>
      <c r="CKB507" s="325"/>
      <c r="CKC507" s="325"/>
      <c r="CKD507" s="325"/>
      <c r="CKE507" s="325"/>
      <c r="CKF507" s="325"/>
      <c r="CKG507" s="325"/>
      <c r="CKH507" s="325"/>
      <c r="CKI507" s="327"/>
      <c r="CKJ507" s="28"/>
      <c r="CKK507" s="324"/>
      <c r="CKL507" s="324"/>
      <c r="CKM507" s="324"/>
      <c r="CKN507" s="324"/>
      <c r="CKO507" s="324"/>
      <c r="CKP507" s="324"/>
      <c r="CKQ507" s="256"/>
      <c r="CKR507" s="325"/>
      <c r="CKS507" s="311"/>
      <c r="CKT507" s="325"/>
      <c r="CKU507" s="310"/>
      <c r="CKV507" s="325"/>
      <c r="CKW507" s="325"/>
      <c r="CKX507" s="325"/>
      <c r="CKY507" s="325"/>
      <c r="CKZ507" s="325"/>
      <c r="CLA507" s="325"/>
      <c r="CLB507" s="325"/>
      <c r="CLC507" s="325"/>
      <c r="CLD507" s="325"/>
      <c r="CLE507" s="325"/>
      <c r="CLF507" s="325"/>
      <c r="CLG507" s="325"/>
      <c r="CLH507" s="325"/>
      <c r="CLI507" s="325"/>
      <c r="CLJ507" s="325"/>
      <c r="CLK507" s="325"/>
      <c r="CLL507" s="325"/>
      <c r="CLM507" s="325"/>
      <c r="CLN507" s="325"/>
      <c r="CLO507" s="325"/>
      <c r="CLP507" s="325"/>
      <c r="CLQ507" s="325"/>
      <c r="CLR507" s="325"/>
      <c r="CLS507" s="325"/>
      <c r="CLT507" s="325"/>
      <c r="CLU507" s="325"/>
      <c r="CLV507" s="325"/>
      <c r="CLW507" s="325"/>
      <c r="CLX507" s="325"/>
      <c r="CLY507" s="325"/>
      <c r="CLZ507" s="327"/>
      <c r="CMA507" s="28"/>
      <c r="CMB507" s="324"/>
      <c r="CMC507" s="324"/>
      <c r="CMD507" s="324"/>
      <c r="CME507" s="324"/>
      <c r="CMF507" s="324"/>
      <c r="CMG507" s="324"/>
      <c r="CMH507" s="256"/>
      <c r="CMI507" s="325"/>
      <c r="CMJ507" s="311"/>
      <c r="CMK507" s="325"/>
      <c r="CML507" s="310"/>
      <c r="CMM507" s="325"/>
      <c r="CMN507" s="325"/>
      <c r="CMO507" s="325"/>
      <c r="CMP507" s="325"/>
      <c r="CMQ507" s="325"/>
      <c r="CMR507" s="325"/>
      <c r="CMS507" s="325"/>
      <c r="CMT507" s="325"/>
      <c r="CMU507" s="325"/>
      <c r="CMV507" s="325"/>
      <c r="CMW507" s="325"/>
      <c r="CMX507" s="325"/>
      <c r="CMY507" s="325"/>
      <c r="CMZ507" s="325"/>
      <c r="CNA507" s="325"/>
      <c r="CNB507" s="325"/>
      <c r="CNC507" s="325"/>
      <c r="CND507" s="325"/>
      <c r="CNE507" s="325"/>
      <c r="CNF507" s="325"/>
      <c r="CNG507" s="325"/>
      <c r="CNH507" s="325"/>
      <c r="CNI507" s="325"/>
      <c r="CNJ507" s="325"/>
      <c r="CNK507" s="325"/>
      <c r="CNL507" s="325"/>
      <c r="CNM507" s="325"/>
      <c r="CNN507" s="325"/>
      <c r="CNO507" s="325"/>
      <c r="CNP507" s="325"/>
      <c r="CNQ507" s="327"/>
      <c r="CNR507" s="28"/>
      <c r="CNS507" s="324"/>
      <c r="CNT507" s="324"/>
      <c r="CNU507" s="324"/>
      <c r="CNV507" s="324"/>
      <c r="CNW507" s="324"/>
      <c r="CNX507" s="324"/>
      <c r="CNY507" s="256"/>
      <c r="CNZ507" s="325"/>
      <c r="COA507" s="311"/>
      <c r="COB507" s="325"/>
      <c r="COC507" s="310"/>
      <c r="COD507" s="325"/>
      <c r="COE507" s="325"/>
      <c r="COF507" s="325"/>
      <c r="COG507" s="325"/>
      <c r="COH507" s="325"/>
      <c r="COI507" s="325"/>
      <c r="COJ507" s="325"/>
      <c r="COK507" s="325"/>
      <c r="COL507" s="325"/>
      <c r="COM507" s="325"/>
      <c r="CON507" s="325"/>
      <c r="COO507" s="325"/>
      <c r="COP507" s="325"/>
      <c r="COQ507" s="325"/>
      <c r="COR507" s="325"/>
      <c r="COS507" s="325"/>
      <c r="COT507" s="325"/>
      <c r="COU507" s="325"/>
      <c r="COV507" s="325"/>
      <c r="COW507" s="325"/>
      <c r="COX507" s="325"/>
      <c r="COY507" s="325"/>
      <c r="COZ507" s="325"/>
      <c r="CPA507" s="325"/>
      <c r="CPB507" s="325"/>
      <c r="CPC507" s="325"/>
      <c r="CPD507" s="325"/>
      <c r="CPE507" s="325"/>
      <c r="CPF507" s="325"/>
      <c r="CPG507" s="325"/>
      <c r="CPH507" s="327"/>
      <c r="CPI507" s="28"/>
      <c r="CPJ507" s="324"/>
      <c r="CPK507" s="324"/>
      <c r="CPL507" s="324"/>
      <c r="CPM507" s="324"/>
      <c r="CPN507" s="324"/>
      <c r="CPO507" s="324"/>
      <c r="CPP507" s="256"/>
      <c r="CPQ507" s="325"/>
      <c r="CPR507" s="311"/>
      <c r="CPS507" s="325"/>
      <c r="CPT507" s="310"/>
      <c r="CPU507" s="325"/>
      <c r="CPV507" s="325"/>
      <c r="CPW507" s="325"/>
      <c r="CPX507" s="325"/>
      <c r="CPY507" s="325"/>
      <c r="CPZ507" s="325"/>
      <c r="CQA507" s="325"/>
      <c r="CQB507" s="325"/>
      <c r="CQC507" s="325"/>
      <c r="CQD507" s="325"/>
      <c r="CQE507" s="325"/>
      <c r="CQF507" s="325"/>
      <c r="CQG507" s="325"/>
      <c r="CQH507" s="325"/>
      <c r="CQI507" s="325"/>
      <c r="CQJ507" s="325"/>
      <c r="CQK507" s="325"/>
      <c r="CQL507" s="325"/>
      <c r="CQM507" s="325"/>
      <c r="CQN507" s="325"/>
      <c r="CQO507" s="325"/>
      <c r="CQP507" s="325"/>
      <c r="CQQ507" s="325"/>
      <c r="CQR507" s="325"/>
      <c r="CQS507" s="325"/>
      <c r="CQT507" s="325"/>
      <c r="CQU507" s="325"/>
      <c r="CQV507" s="325"/>
      <c r="CQW507" s="325"/>
      <c r="CQX507" s="325"/>
      <c r="CQY507" s="327"/>
      <c r="CQZ507" s="28"/>
      <c r="CRA507" s="324"/>
      <c r="CRB507" s="324"/>
      <c r="CRC507" s="324"/>
      <c r="CRD507" s="324"/>
      <c r="CRE507" s="324"/>
      <c r="CRF507" s="324"/>
      <c r="CRG507" s="256"/>
      <c r="CRH507" s="325"/>
      <c r="CRI507" s="311"/>
      <c r="CRJ507" s="325"/>
      <c r="CRK507" s="310"/>
      <c r="CRL507" s="325"/>
      <c r="CRM507" s="325"/>
      <c r="CRN507" s="325"/>
      <c r="CRO507" s="325"/>
      <c r="CRP507" s="325"/>
      <c r="CRQ507" s="325"/>
      <c r="CRR507" s="325"/>
      <c r="CRS507" s="325"/>
      <c r="CRT507" s="325"/>
      <c r="CRU507" s="325"/>
      <c r="CRV507" s="325"/>
      <c r="CRW507" s="325"/>
      <c r="CRX507" s="325"/>
      <c r="CRY507" s="325"/>
      <c r="CRZ507" s="325"/>
      <c r="CSA507" s="325"/>
      <c r="CSB507" s="325"/>
      <c r="CSC507" s="325"/>
      <c r="CSD507" s="325"/>
      <c r="CSE507" s="325"/>
      <c r="CSF507" s="325"/>
      <c r="CSG507" s="325"/>
      <c r="CSH507" s="325"/>
      <c r="CSI507" s="325"/>
      <c r="CSJ507" s="325"/>
      <c r="CSK507" s="325"/>
      <c r="CSL507" s="325"/>
      <c r="CSM507" s="325"/>
      <c r="CSN507" s="325"/>
      <c r="CSO507" s="325"/>
      <c r="CSP507" s="327"/>
      <c r="CSQ507" s="28"/>
      <c r="CSR507" s="324"/>
      <c r="CSS507" s="324"/>
      <c r="CST507" s="324"/>
      <c r="CSU507" s="324"/>
      <c r="CSV507" s="324"/>
      <c r="CSW507" s="324"/>
      <c r="CSX507" s="256"/>
      <c r="CSY507" s="325"/>
      <c r="CSZ507" s="311"/>
      <c r="CTA507" s="325"/>
      <c r="CTB507" s="310"/>
      <c r="CTC507" s="325"/>
      <c r="CTD507" s="325"/>
      <c r="CTE507" s="325"/>
      <c r="CTF507" s="325"/>
      <c r="CTG507" s="325"/>
      <c r="CTH507" s="325"/>
      <c r="CTI507" s="325"/>
      <c r="CTJ507" s="325"/>
      <c r="CTK507" s="325"/>
      <c r="CTL507" s="325"/>
      <c r="CTM507" s="325"/>
      <c r="CTN507" s="325"/>
      <c r="CTO507" s="325"/>
      <c r="CTP507" s="325"/>
      <c r="CTQ507" s="325"/>
      <c r="CTR507" s="325"/>
      <c r="CTS507" s="325"/>
      <c r="CTT507" s="325"/>
      <c r="CTU507" s="325"/>
      <c r="CTV507" s="325"/>
      <c r="CTW507" s="325"/>
      <c r="CTX507" s="325"/>
      <c r="CTY507" s="325"/>
      <c r="CTZ507" s="325"/>
      <c r="CUA507" s="325"/>
      <c r="CUB507" s="325"/>
      <c r="CUC507" s="325"/>
      <c r="CUD507" s="325"/>
      <c r="CUE507" s="325"/>
      <c r="CUF507" s="325"/>
      <c r="CUG507" s="327"/>
      <c r="CUH507" s="28"/>
      <c r="CUI507" s="324"/>
      <c r="CUJ507" s="324"/>
      <c r="CUK507" s="324"/>
      <c r="CUL507" s="324"/>
      <c r="CUM507" s="324"/>
      <c r="CUN507" s="324"/>
      <c r="CUO507" s="256"/>
      <c r="CUP507" s="325"/>
      <c r="CUQ507" s="311"/>
      <c r="CUR507" s="325"/>
      <c r="CUS507" s="310"/>
      <c r="CUT507" s="325"/>
      <c r="CUU507" s="325"/>
      <c r="CUV507" s="325"/>
      <c r="CUW507" s="325"/>
      <c r="CUX507" s="325"/>
      <c r="CUY507" s="325"/>
      <c r="CUZ507" s="325"/>
      <c r="CVA507" s="325"/>
      <c r="CVB507" s="325"/>
      <c r="CVC507" s="325"/>
      <c r="CVD507" s="325"/>
      <c r="CVE507" s="325"/>
      <c r="CVF507" s="325"/>
      <c r="CVG507" s="325"/>
      <c r="CVH507" s="325"/>
      <c r="CVI507" s="325"/>
      <c r="CVJ507" s="325"/>
      <c r="CVK507" s="325"/>
      <c r="CVL507" s="325"/>
      <c r="CVM507" s="325"/>
      <c r="CVN507" s="325"/>
      <c r="CVO507" s="325"/>
      <c r="CVP507" s="325"/>
      <c r="CVQ507" s="325"/>
      <c r="CVR507" s="325"/>
      <c r="CVS507" s="325"/>
      <c r="CVT507" s="325"/>
      <c r="CVU507" s="325"/>
      <c r="CVV507" s="325"/>
      <c r="CVW507" s="325"/>
      <c r="CVX507" s="327"/>
      <c r="CVY507" s="28"/>
      <c r="CVZ507" s="324"/>
      <c r="CWA507" s="324"/>
      <c r="CWB507" s="324"/>
      <c r="CWC507" s="324"/>
      <c r="CWD507" s="324"/>
      <c r="CWE507" s="324"/>
      <c r="CWF507" s="256"/>
      <c r="CWG507" s="325"/>
      <c r="CWH507" s="311"/>
      <c r="CWI507" s="325"/>
      <c r="CWJ507" s="310"/>
      <c r="CWK507" s="325"/>
      <c r="CWL507" s="325"/>
      <c r="CWM507" s="325"/>
      <c r="CWN507" s="325"/>
      <c r="CWO507" s="325"/>
      <c r="CWP507" s="325"/>
      <c r="CWQ507" s="325"/>
      <c r="CWR507" s="325"/>
      <c r="CWS507" s="325"/>
      <c r="CWT507" s="325"/>
      <c r="CWU507" s="325"/>
      <c r="CWV507" s="325"/>
      <c r="CWW507" s="325"/>
      <c r="CWX507" s="325"/>
      <c r="CWY507" s="325"/>
      <c r="CWZ507" s="325"/>
      <c r="CXA507" s="325"/>
      <c r="CXB507" s="325"/>
      <c r="CXC507" s="325"/>
      <c r="CXD507" s="325"/>
      <c r="CXE507" s="325"/>
      <c r="CXF507" s="325"/>
      <c r="CXG507" s="325"/>
      <c r="CXH507" s="325"/>
      <c r="CXI507" s="325"/>
      <c r="CXJ507" s="325"/>
      <c r="CXK507" s="325"/>
      <c r="CXL507" s="325"/>
      <c r="CXM507" s="325"/>
      <c r="CXN507" s="325"/>
      <c r="CXO507" s="327"/>
      <c r="CXP507" s="28"/>
      <c r="CXQ507" s="324"/>
      <c r="CXR507" s="324"/>
      <c r="CXS507" s="324"/>
      <c r="CXT507" s="324"/>
      <c r="CXU507" s="324"/>
      <c r="CXV507" s="324"/>
      <c r="CXW507" s="256"/>
      <c r="CXX507" s="325"/>
      <c r="CXY507" s="311"/>
      <c r="CXZ507" s="325"/>
      <c r="CYA507" s="310"/>
      <c r="CYB507" s="325"/>
      <c r="CYC507" s="325"/>
      <c r="CYD507" s="325"/>
      <c r="CYE507" s="325"/>
      <c r="CYF507" s="325"/>
      <c r="CYG507" s="325"/>
      <c r="CYH507" s="325"/>
      <c r="CYI507" s="325"/>
      <c r="CYJ507" s="325"/>
      <c r="CYK507" s="325"/>
      <c r="CYL507" s="325"/>
      <c r="CYM507" s="325"/>
      <c r="CYN507" s="325"/>
      <c r="CYO507" s="325"/>
      <c r="CYP507" s="325"/>
      <c r="CYQ507" s="325"/>
      <c r="CYR507" s="325"/>
      <c r="CYS507" s="325"/>
      <c r="CYT507" s="325"/>
      <c r="CYU507" s="325"/>
      <c r="CYV507" s="325"/>
      <c r="CYW507" s="325"/>
      <c r="CYX507" s="325"/>
      <c r="CYY507" s="325"/>
      <c r="CYZ507" s="325"/>
      <c r="CZA507" s="325"/>
      <c r="CZB507" s="325"/>
      <c r="CZC507" s="325"/>
      <c r="CZD507" s="325"/>
      <c r="CZE507" s="325"/>
      <c r="CZF507" s="327"/>
      <c r="CZG507" s="28"/>
      <c r="CZH507" s="324"/>
      <c r="CZI507" s="324"/>
      <c r="CZJ507" s="324"/>
      <c r="CZK507" s="324"/>
      <c r="CZL507" s="324"/>
      <c r="CZM507" s="324"/>
      <c r="CZN507" s="256"/>
      <c r="CZO507" s="325"/>
      <c r="CZP507" s="311"/>
      <c r="CZQ507" s="325"/>
      <c r="CZR507" s="310"/>
      <c r="CZS507" s="325"/>
      <c r="CZT507" s="325"/>
      <c r="CZU507" s="325"/>
      <c r="CZV507" s="325"/>
      <c r="CZW507" s="325"/>
      <c r="CZX507" s="325"/>
      <c r="CZY507" s="325"/>
      <c r="CZZ507" s="325"/>
      <c r="DAA507" s="325"/>
      <c r="DAB507" s="325"/>
      <c r="DAC507" s="325"/>
      <c r="DAD507" s="325"/>
      <c r="DAE507" s="325"/>
      <c r="DAF507" s="325"/>
      <c r="DAG507" s="325"/>
      <c r="DAH507" s="325"/>
      <c r="DAI507" s="325"/>
      <c r="DAJ507" s="325"/>
      <c r="DAK507" s="325"/>
      <c r="DAL507" s="325"/>
      <c r="DAM507" s="325"/>
      <c r="DAN507" s="325"/>
      <c r="DAO507" s="325"/>
      <c r="DAP507" s="325"/>
      <c r="DAQ507" s="325"/>
      <c r="DAR507" s="325"/>
      <c r="DAS507" s="325"/>
      <c r="DAT507" s="325"/>
      <c r="DAU507" s="325"/>
      <c r="DAV507" s="325"/>
      <c r="DAW507" s="327"/>
      <c r="DAX507" s="28"/>
      <c r="DAY507" s="324"/>
      <c r="DAZ507" s="324"/>
      <c r="DBA507" s="324"/>
      <c r="DBB507" s="324"/>
      <c r="DBC507" s="324"/>
      <c r="DBD507" s="324"/>
      <c r="DBE507" s="256"/>
      <c r="DBF507" s="325"/>
      <c r="DBG507" s="311"/>
      <c r="DBH507" s="325"/>
      <c r="DBI507" s="310"/>
      <c r="DBJ507" s="325"/>
      <c r="DBK507" s="325"/>
      <c r="DBL507" s="325"/>
      <c r="DBM507" s="325"/>
      <c r="DBN507" s="325"/>
      <c r="DBO507" s="325"/>
      <c r="DBP507" s="325"/>
      <c r="DBQ507" s="325"/>
      <c r="DBR507" s="325"/>
      <c r="DBS507" s="325"/>
      <c r="DBT507" s="325"/>
      <c r="DBU507" s="325"/>
      <c r="DBV507" s="325"/>
      <c r="DBW507" s="325"/>
      <c r="DBX507" s="325"/>
      <c r="DBY507" s="325"/>
      <c r="DBZ507" s="325"/>
      <c r="DCA507" s="325"/>
      <c r="DCB507" s="325"/>
      <c r="DCC507" s="325"/>
      <c r="DCD507" s="325"/>
      <c r="DCE507" s="325"/>
      <c r="DCF507" s="325"/>
      <c r="DCG507" s="325"/>
      <c r="DCH507" s="325"/>
      <c r="DCI507" s="325"/>
      <c r="DCJ507" s="325"/>
      <c r="DCK507" s="325"/>
      <c r="DCL507" s="325"/>
      <c r="DCM507" s="325"/>
      <c r="DCN507" s="327"/>
      <c r="DCO507" s="28"/>
      <c r="DCP507" s="324"/>
      <c r="DCQ507" s="324"/>
      <c r="DCR507" s="324"/>
      <c r="DCS507" s="324"/>
      <c r="DCT507" s="324"/>
      <c r="DCU507" s="324"/>
      <c r="DCV507" s="256"/>
      <c r="DCW507" s="325"/>
      <c r="DCX507" s="311"/>
      <c r="DCY507" s="325"/>
      <c r="DCZ507" s="310"/>
      <c r="DDA507" s="325"/>
      <c r="DDB507" s="325"/>
      <c r="DDC507" s="325"/>
      <c r="DDD507" s="325"/>
      <c r="DDE507" s="325"/>
      <c r="DDF507" s="325"/>
      <c r="DDG507" s="325"/>
      <c r="DDH507" s="325"/>
      <c r="DDI507" s="325"/>
      <c r="DDJ507" s="325"/>
      <c r="DDK507" s="325"/>
      <c r="DDL507" s="325"/>
      <c r="DDM507" s="325"/>
      <c r="DDN507" s="325"/>
      <c r="DDO507" s="325"/>
      <c r="DDP507" s="325"/>
      <c r="DDQ507" s="325"/>
      <c r="DDR507" s="325"/>
      <c r="DDS507" s="325"/>
      <c r="DDT507" s="325"/>
      <c r="DDU507" s="325"/>
      <c r="DDV507" s="325"/>
      <c r="DDW507" s="325"/>
      <c r="DDX507" s="325"/>
      <c r="DDY507" s="325"/>
      <c r="DDZ507" s="325"/>
      <c r="DEA507" s="325"/>
      <c r="DEB507" s="325"/>
      <c r="DEC507" s="325"/>
      <c r="DED507" s="325"/>
      <c r="DEE507" s="327"/>
      <c r="DEF507" s="28"/>
      <c r="DEG507" s="324"/>
      <c r="DEH507" s="324"/>
      <c r="DEI507" s="324"/>
      <c r="DEJ507" s="324"/>
      <c r="DEK507" s="324"/>
      <c r="DEL507" s="324"/>
      <c r="DEM507" s="256"/>
      <c r="DEN507" s="325"/>
      <c r="DEO507" s="311"/>
      <c r="DEP507" s="325"/>
      <c r="DEQ507" s="310"/>
      <c r="DER507" s="325"/>
      <c r="DES507" s="325"/>
      <c r="DET507" s="325"/>
      <c r="DEU507" s="325"/>
      <c r="DEV507" s="325"/>
      <c r="DEW507" s="325"/>
      <c r="DEX507" s="325"/>
      <c r="DEY507" s="325"/>
      <c r="DEZ507" s="325"/>
      <c r="DFA507" s="325"/>
      <c r="DFB507" s="325"/>
      <c r="DFC507" s="325"/>
      <c r="DFD507" s="325"/>
      <c r="DFE507" s="325"/>
      <c r="DFF507" s="325"/>
      <c r="DFG507" s="325"/>
      <c r="DFH507" s="325"/>
      <c r="DFI507" s="325"/>
      <c r="DFJ507" s="325"/>
      <c r="DFK507" s="325"/>
      <c r="DFL507" s="325"/>
      <c r="DFM507" s="325"/>
      <c r="DFN507" s="325"/>
      <c r="DFO507" s="325"/>
      <c r="DFP507" s="325"/>
      <c r="DFQ507" s="325"/>
      <c r="DFR507" s="325"/>
      <c r="DFS507" s="325"/>
      <c r="DFT507" s="325"/>
      <c r="DFU507" s="325"/>
      <c r="DFV507" s="327"/>
      <c r="DFW507" s="28"/>
      <c r="DFX507" s="324"/>
      <c r="DFY507" s="324"/>
      <c r="DFZ507" s="324"/>
      <c r="DGA507" s="324"/>
      <c r="DGB507" s="324"/>
      <c r="DGC507" s="324"/>
      <c r="DGD507" s="256"/>
      <c r="DGE507" s="325"/>
      <c r="DGF507" s="311"/>
      <c r="DGG507" s="325"/>
      <c r="DGH507" s="310"/>
      <c r="DGI507" s="325"/>
      <c r="DGJ507" s="325"/>
      <c r="DGK507" s="325"/>
      <c r="DGL507" s="325"/>
      <c r="DGM507" s="325"/>
      <c r="DGN507" s="325"/>
      <c r="DGO507" s="325"/>
      <c r="DGP507" s="325"/>
      <c r="DGQ507" s="325"/>
      <c r="DGR507" s="325"/>
      <c r="DGS507" s="325"/>
      <c r="DGT507" s="325"/>
      <c r="DGU507" s="325"/>
      <c r="DGV507" s="325"/>
      <c r="DGW507" s="325"/>
      <c r="DGX507" s="325"/>
      <c r="DGY507" s="325"/>
      <c r="DGZ507" s="325"/>
      <c r="DHA507" s="325"/>
      <c r="DHB507" s="325"/>
      <c r="DHC507" s="325"/>
      <c r="DHD507" s="325"/>
      <c r="DHE507" s="325"/>
      <c r="DHF507" s="325"/>
      <c r="DHG507" s="325"/>
      <c r="DHH507" s="325"/>
      <c r="DHI507" s="325"/>
      <c r="DHJ507" s="325"/>
      <c r="DHK507" s="325"/>
      <c r="DHL507" s="325"/>
      <c r="DHM507" s="327"/>
      <c r="DHN507" s="28"/>
      <c r="DHO507" s="324"/>
      <c r="DHP507" s="324"/>
      <c r="DHQ507" s="324"/>
      <c r="DHR507" s="324"/>
      <c r="DHS507" s="324"/>
      <c r="DHT507" s="324"/>
      <c r="DHU507" s="256"/>
      <c r="DHV507" s="325"/>
      <c r="DHW507" s="311"/>
      <c r="DHX507" s="325"/>
      <c r="DHY507" s="310"/>
      <c r="DHZ507" s="325"/>
      <c r="DIA507" s="325"/>
      <c r="DIB507" s="325"/>
      <c r="DIC507" s="325"/>
      <c r="DID507" s="325"/>
      <c r="DIE507" s="325"/>
      <c r="DIF507" s="325"/>
      <c r="DIG507" s="325"/>
      <c r="DIH507" s="325"/>
      <c r="DII507" s="325"/>
      <c r="DIJ507" s="325"/>
      <c r="DIK507" s="325"/>
      <c r="DIL507" s="325"/>
      <c r="DIM507" s="325"/>
      <c r="DIN507" s="325"/>
      <c r="DIO507" s="325"/>
      <c r="DIP507" s="325"/>
      <c r="DIQ507" s="325"/>
      <c r="DIR507" s="325"/>
      <c r="DIS507" s="325"/>
      <c r="DIT507" s="325"/>
      <c r="DIU507" s="325"/>
      <c r="DIV507" s="325"/>
      <c r="DIW507" s="325"/>
      <c r="DIX507" s="325"/>
      <c r="DIY507" s="325"/>
      <c r="DIZ507" s="325"/>
      <c r="DJA507" s="325"/>
      <c r="DJB507" s="325"/>
      <c r="DJC507" s="325"/>
      <c r="DJD507" s="327"/>
      <c r="DJE507" s="28"/>
      <c r="DJF507" s="324"/>
      <c r="DJG507" s="324"/>
      <c r="DJH507" s="324"/>
      <c r="DJI507" s="324"/>
      <c r="DJJ507" s="324"/>
      <c r="DJK507" s="324"/>
      <c r="DJL507" s="256"/>
      <c r="DJM507" s="325"/>
      <c r="DJN507" s="311"/>
      <c r="DJO507" s="325"/>
      <c r="DJP507" s="310"/>
      <c r="DJQ507" s="325"/>
      <c r="DJR507" s="325"/>
      <c r="DJS507" s="325"/>
      <c r="DJT507" s="325"/>
      <c r="DJU507" s="325"/>
      <c r="DJV507" s="325"/>
      <c r="DJW507" s="325"/>
      <c r="DJX507" s="325"/>
      <c r="DJY507" s="325"/>
      <c r="DJZ507" s="325"/>
      <c r="DKA507" s="325"/>
      <c r="DKB507" s="325"/>
      <c r="DKC507" s="325"/>
      <c r="DKD507" s="325"/>
      <c r="DKE507" s="325"/>
      <c r="DKF507" s="325"/>
      <c r="DKG507" s="325"/>
      <c r="DKH507" s="325"/>
      <c r="DKI507" s="325"/>
      <c r="DKJ507" s="325"/>
      <c r="DKK507" s="325"/>
      <c r="DKL507" s="325"/>
      <c r="DKM507" s="325"/>
      <c r="DKN507" s="325"/>
      <c r="DKO507" s="325"/>
      <c r="DKP507" s="325"/>
      <c r="DKQ507" s="325"/>
      <c r="DKR507" s="325"/>
      <c r="DKS507" s="325"/>
      <c r="DKT507" s="325"/>
      <c r="DKU507" s="327"/>
      <c r="DKV507" s="28"/>
      <c r="DKW507" s="324"/>
      <c r="DKX507" s="324"/>
      <c r="DKY507" s="324"/>
      <c r="DKZ507" s="324"/>
      <c r="DLA507" s="324"/>
      <c r="DLB507" s="324"/>
      <c r="DLC507" s="256"/>
      <c r="DLD507" s="325"/>
      <c r="DLE507" s="311"/>
      <c r="DLF507" s="325"/>
      <c r="DLG507" s="310"/>
      <c r="DLH507" s="325"/>
      <c r="DLI507" s="325"/>
      <c r="DLJ507" s="325"/>
      <c r="DLK507" s="325"/>
      <c r="DLL507" s="325"/>
      <c r="DLM507" s="325"/>
      <c r="DLN507" s="325"/>
      <c r="DLO507" s="325"/>
      <c r="DLP507" s="325"/>
      <c r="DLQ507" s="325"/>
      <c r="DLR507" s="325"/>
      <c r="DLS507" s="325"/>
      <c r="DLT507" s="325"/>
      <c r="DLU507" s="325"/>
      <c r="DLV507" s="325"/>
      <c r="DLW507" s="325"/>
      <c r="DLX507" s="325"/>
      <c r="DLY507" s="325"/>
      <c r="DLZ507" s="325"/>
      <c r="DMA507" s="325"/>
      <c r="DMB507" s="325"/>
      <c r="DMC507" s="325"/>
      <c r="DMD507" s="325"/>
      <c r="DME507" s="325"/>
      <c r="DMF507" s="325"/>
      <c r="DMG507" s="325"/>
      <c r="DMH507" s="325"/>
      <c r="DMI507" s="325"/>
      <c r="DMJ507" s="325"/>
      <c r="DMK507" s="325"/>
      <c r="DML507" s="327"/>
      <c r="DMM507" s="28"/>
      <c r="DMN507" s="324"/>
      <c r="DMO507" s="324"/>
      <c r="DMP507" s="324"/>
      <c r="DMQ507" s="324"/>
      <c r="DMR507" s="324"/>
      <c r="DMS507" s="324"/>
      <c r="DMT507" s="256"/>
      <c r="DMU507" s="325"/>
      <c r="DMV507" s="311"/>
      <c r="DMW507" s="325"/>
      <c r="DMX507" s="310"/>
      <c r="DMY507" s="325"/>
      <c r="DMZ507" s="325"/>
      <c r="DNA507" s="325"/>
      <c r="DNB507" s="325"/>
      <c r="DNC507" s="325"/>
      <c r="DND507" s="325"/>
      <c r="DNE507" s="325"/>
      <c r="DNF507" s="325"/>
      <c r="DNG507" s="325"/>
      <c r="DNH507" s="325"/>
      <c r="DNI507" s="325"/>
      <c r="DNJ507" s="325"/>
      <c r="DNK507" s="325"/>
      <c r="DNL507" s="325"/>
      <c r="DNM507" s="325"/>
      <c r="DNN507" s="325"/>
      <c r="DNO507" s="325"/>
      <c r="DNP507" s="325"/>
      <c r="DNQ507" s="325"/>
      <c r="DNR507" s="325"/>
      <c r="DNS507" s="325"/>
      <c r="DNT507" s="325"/>
      <c r="DNU507" s="325"/>
      <c r="DNV507" s="325"/>
      <c r="DNW507" s="325"/>
      <c r="DNX507" s="325"/>
      <c r="DNY507" s="325"/>
      <c r="DNZ507" s="325"/>
      <c r="DOA507" s="325"/>
      <c r="DOB507" s="325"/>
      <c r="DOC507" s="327"/>
      <c r="DOD507" s="28"/>
      <c r="DOE507" s="324"/>
      <c r="DOF507" s="324"/>
      <c r="DOG507" s="324"/>
      <c r="DOH507" s="324"/>
      <c r="DOI507" s="324"/>
      <c r="DOJ507" s="324"/>
      <c r="DOK507" s="256"/>
      <c r="DOL507" s="325"/>
      <c r="DOM507" s="311"/>
      <c r="DON507" s="325"/>
      <c r="DOO507" s="310"/>
      <c r="DOP507" s="325"/>
      <c r="DOQ507" s="325"/>
      <c r="DOR507" s="325"/>
      <c r="DOS507" s="325"/>
      <c r="DOT507" s="325"/>
      <c r="DOU507" s="325"/>
      <c r="DOV507" s="325"/>
      <c r="DOW507" s="325"/>
      <c r="DOX507" s="325"/>
      <c r="DOY507" s="325"/>
      <c r="DOZ507" s="325"/>
      <c r="DPA507" s="325"/>
      <c r="DPB507" s="325"/>
      <c r="DPC507" s="325"/>
      <c r="DPD507" s="325"/>
      <c r="DPE507" s="325"/>
      <c r="DPF507" s="325"/>
      <c r="DPG507" s="325"/>
      <c r="DPH507" s="325"/>
      <c r="DPI507" s="325"/>
      <c r="DPJ507" s="325"/>
      <c r="DPK507" s="325"/>
      <c r="DPL507" s="325"/>
      <c r="DPM507" s="325"/>
      <c r="DPN507" s="325"/>
      <c r="DPO507" s="325"/>
      <c r="DPP507" s="325"/>
      <c r="DPQ507" s="325"/>
      <c r="DPR507" s="325"/>
      <c r="DPS507" s="325"/>
      <c r="DPT507" s="327"/>
      <c r="DPU507" s="28"/>
      <c r="DPV507" s="324"/>
      <c r="DPW507" s="324"/>
      <c r="DPX507" s="324"/>
      <c r="DPY507" s="324"/>
      <c r="DPZ507" s="324"/>
      <c r="DQA507" s="324"/>
      <c r="DQB507" s="256"/>
      <c r="DQC507" s="325"/>
      <c r="DQD507" s="311"/>
      <c r="DQE507" s="325"/>
      <c r="DQF507" s="310"/>
      <c r="DQG507" s="325"/>
      <c r="DQH507" s="325"/>
      <c r="DQI507" s="325"/>
      <c r="DQJ507" s="325"/>
      <c r="DQK507" s="325"/>
      <c r="DQL507" s="325"/>
      <c r="DQM507" s="325"/>
      <c r="DQN507" s="325"/>
      <c r="DQO507" s="325"/>
      <c r="DQP507" s="325"/>
      <c r="DQQ507" s="325"/>
      <c r="DQR507" s="325"/>
      <c r="DQS507" s="325"/>
      <c r="DQT507" s="325"/>
      <c r="DQU507" s="325"/>
      <c r="DQV507" s="325"/>
      <c r="DQW507" s="325"/>
      <c r="DQX507" s="325"/>
      <c r="DQY507" s="325"/>
      <c r="DQZ507" s="325"/>
      <c r="DRA507" s="325"/>
      <c r="DRB507" s="325"/>
      <c r="DRC507" s="325"/>
      <c r="DRD507" s="325"/>
      <c r="DRE507" s="325"/>
      <c r="DRF507" s="325"/>
      <c r="DRG507" s="325"/>
      <c r="DRH507" s="325"/>
      <c r="DRI507" s="325"/>
      <c r="DRJ507" s="325"/>
      <c r="DRK507" s="327"/>
      <c r="DRL507" s="28"/>
      <c r="DRM507" s="324"/>
      <c r="DRN507" s="324"/>
      <c r="DRO507" s="324"/>
      <c r="DRP507" s="324"/>
      <c r="DRQ507" s="324"/>
      <c r="DRR507" s="324"/>
      <c r="DRS507" s="256"/>
      <c r="DRT507" s="325"/>
      <c r="DRU507" s="311"/>
      <c r="DRV507" s="325"/>
      <c r="DRW507" s="310"/>
      <c r="DRX507" s="325"/>
      <c r="DRY507" s="325"/>
      <c r="DRZ507" s="325"/>
      <c r="DSA507" s="325"/>
      <c r="DSB507" s="325"/>
      <c r="DSC507" s="325"/>
      <c r="DSD507" s="325"/>
      <c r="DSE507" s="325"/>
      <c r="DSF507" s="325"/>
      <c r="DSG507" s="325"/>
      <c r="DSH507" s="325"/>
      <c r="DSI507" s="325"/>
      <c r="DSJ507" s="325"/>
      <c r="DSK507" s="325"/>
      <c r="DSL507" s="325"/>
      <c r="DSM507" s="325"/>
      <c r="DSN507" s="325"/>
      <c r="DSO507" s="325"/>
      <c r="DSP507" s="325"/>
      <c r="DSQ507" s="325"/>
      <c r="DSR507" s="325"/>
      <c r="DSS507" s="325"/>
      <c r="DST507" s="325"/>
      <c r="DSU507" s="325"/>
      <c r="DSV507" s="325"/>
      <c r="DSW507" s="325"/>
      <c r="DSX507" s="325"/>
      <c r="DSY507" s="325"/>
      <c r="DSZ507" s="325"/>
      <c r="DTA507" s="325"/>
      <c r="DTB507" s="327"/>
      <c r="DTC507" s="28"/>
      <c r="DTD507" s="324"/>
      <c r="DTE507" s="324"/>
      <c r="DTF507" s="324"/>
      <c r="DTG507" s="324"/>
      <c r="DTH507" s="324"/>
      <c r="DTI507" s="324"/>
      <c r="DTJ507" s="256"/>
      <c r="DTK507" s="325"/>
      <c r="DTL507" s="311"/>
      <c r="DTM507" s="325"/>
      <c r="DTN507" s="310"/>
      <c r="DTO507" s="325"/>
      <c r="DTP507" s="325"/>
      <c r="DTQ507" s="325"/>
      <c r="DTR507" s="325"/>
      <c r="DTS507" s="325"/>
      <c r="DTT507" s="325"/>
      <c r="DTU507" s="325"/>
      <c r="DTV507" s="325"/>
      <c r="DTW507" s="325"/>
      <c r="DTX507" s="325"/>
      <c r="DTY507" s="325"/>
      <c r="DTZ507" s="325"/>
      <c r="DUA507" s="325"/>
      <c r="DUB507" s="325"/>
      <c r="DUC507" s="325"/>
      <c r="DUD507" s="325"/>
      <c r="DUE507" s="325"/>
      <c r="DUF507" s="325"/>
      <c r="DUG507" s="325"/>
      <c r="DUH507" s="325"/>
      <c r="DUI507" s="325"/>
      <c r="DUJ507" s="325"/>
      <c r="DUK507" s="325"/>
      <c r="DUL507" s="325"/>
      <c r="DUM507" s="325"/>
      <c r="DUN507" s="325"/>
      <c r="DUO507" s="325"/>
      <c r="DUP507" s="325"/>
      <c r="DUQ507" s="325"/>
      <c r="DUR507" s="325"/>
      <c r="DUS507" s="327"/>
      <c r="DUT507" s="28"/>
      <c r="DUU507" s="324"/>
      <c r="DUV507" s="324"/>
      <c r="DUW507" s="324"/>
      <c r="DUX507" s="324"/>
      <c r="DUY507" s="324"/>
      <c r="DUZ507" s="324"/>
      <c r="DVA507" s="256"/>
      <c r="DVB507" s="325"/>
      <c r="DVC507" s="311"/>
      <c r="DVD507" s="325"/>
      <c r="DVE507" s="310"/>
      <c r="DVF507" s="325"/>
      <c r="DVG507" s="325"/>
      <c r="DVH507" s="325"/>
      <c r="DVI507" s="325"/>
      <c r="DVJ507" s="325"/>
      <c r="DVK507" s="325"/>
      <c r="DVL507" s="325"/>
      <c r="DVM507" s="325"/>
      <c r="DVN507" s="325"/>
      <c r="DVO507" s="325"/>
      <c r="DVP507" s="325"/>
      <c r="DVQ507" s="325"/>
      <c r="DVR507" s="325"/>
      <c r="DVS507" s="325"/>
      <c r="DVT507" s="325"/>
      <c r="DVU507" s="325"/>
      <c r="DVV507" s="325"/>
      <c r="DVW507" s="325"/>
      <c r="DVX507" s="325"/>
      <c r="DVY507" s="325"/>
      <c r="DVZ507" s="325"/>
      <c r="DWA507" s="325"/>
      <c r="DWB507" s="325"/>
      <c r="DWC507" s="325"/>
      <c r="DWD507" s="325"/>
      <c r="DWE507" s="325"/>
      <c r="DWF507" s="325"/>
      <c r="DWG507" s="325"/>
      <c r="DWH507" s="325"/>
      <c r="DWI507" s="325"/>
      <c r="DWJ507" s="327"/>
      <c r="DWK507" s="28"/>
      <c r="DWL507" s="324"/>
      <c r="DWM507" s="324"/>
      <c r="DWN507" s="324"/>
      <c r="DWO507" s="324"/>
      <c r="DWP507" s="324"/>
      <c r="DWQ507" s="324"/>
      <c r="DWR507" s="256"/>
      <c r="DWS507" s="325"/>
      <c r="DWT507" s="311"/>
      <c r="DWU507" s="325"/>
      <c r="DWV507" s="310"/>
      <c r="DWW507" s="325"/>
      <c r="DWX507" s="325"/>
      <c r="DWY507" s="325"/>
      <c r="DWZ507" s="325"/>
      <c r="DXA507" s="325"/>
      <c r="DXB507" s="325"/>
      <c r="DXC507" s="325"/>
      <c r="DXD507" s="325"/>
      <c r="DXE507" s="325"/>
      <c r="DXF507" s="325"/>
      <c r="DXG507" s="325"/>
      <c r="DXH507" s="325"/>
      <c r="DXI507" s="325"/>
      <c r="DXJ507" s="325"/>
      <c r="DXK507" s="325"/>
      <c r="DXL507" s="325"/>
      <c r="DXM507" s="325"/>
      <c r="DXN507" s="325"/>
      <c r="DXO507" s="325"/>
      <c r="DXP507" s="325"/>
      <c r="DXQ507" s="325"/>
      <c r="DXR507" s="325"/>
      <c r="DXS507" s="325"/>
      <c r="DXT507" s="325"/>
      <c r="DXU507" s="325"/>
      <c r="DXV507" s="325"/>
      <c r="DXW507" s="325"/>
      <c r="DXX507" s="325"/>
      <c r="DXY507" s="325"/>
      <c r="DXZ507" s="325"/>
      <c r="DYA507" s="327"/>
      <c r="DYB507" s="28"/>
      <c r="DYC507" s="324"/>
      <c r="DYD507" s="324"/>
      <c r="DYE507" s="324"/>
      <c r="DYF507" s="324"/>
      <c r="DYG507" s="324"/>
      <c r="DYH507" s="324"/>
      <c r="DYI507" s="256"/>
      <c r="DYJ507" s="325"/>
      <c r="DYK507" s="311"/>
      <c r="DYL507" s="325"/>
      <c r="DYM507" s="310"/>
      <c r="DYN507" s="325"/>
      <c r="DYO507" s="325"/>
      <c r="DYP507" s="325"/>
      <c r="DYQ507" s="325"/>
      <c r="DYR507" s="325"/>
      <c r="DYS507" s="325"/>
      <c r="DYT507" s="325"/>
      <c r="DYU507" s="325"/>
      <c r="DYV507" s="325"/>
      <c r="DYW507" s="325"/>
      <c r="DYX507" s="325"/>
      <c r="DYY507" s="325"/>
      <c r="DYZ507" s="325"/>
      <c r="DZA507" s="325"/>
      <c r="DZB507" s="325"/>
      <c r="DZC507" s="325"/>
      <c r="DZD507" s="325"/>
      <c r="DZE507" s="325"/>
      <c r="DZF507" s="325"/>
      <c r="DZG507" s="325"/>
      <c r="DZH507" s="325"/>
      <c r="DZI507" s="325"/>
      <c r="DZJ507" s="325"/>
      <c r="DZK507" s="325"/>
      <c r="DZL507" s="325"/>
      <c r="DZM507" s="325"/>
      <c r="DZN507" s="325"/>
      <c r="DZO507" s="325"/>
      <c r="DZP507" s="325"/>
      <c r="DZQ507" s="325"/>
      <c r="DZR507" s="327"/>
      <c r="DZS507" s="28"/>
      <c r="DZT507" s="324"/>
      <c r="DZU507" s="324"/>
      <c r="DZV507" s="324"/>
      <c r="DZW507" s="324"/>
      <c r="DZX507" s="324"/>
      <c r="DZY507" s="324"/>
      <c r="DZZ507" s="256"/>
      <c r="EAA507" s="325"/>
      <c r="EAB507" s="311"/>
      <c r="EAC507" s="325"/>
      <c r="EAD507" s="310"/>
      <c r="EAE507" s="325"/>
      <c r="EAF507" s="325"/>
      <c r="EAG507" s="325"/>
      <c r="EAH507" s="325"/>
      <c r="EAI507" s="325"/>
      <c r="EAJ507" s="325"/>
      <c r="EAK507" s="325"/>
      <c r="EAL507" s="325"/>
      <c r="EAM507" s="325"/>
      <c r="EAN507" s="325"/>
      <c r="EAO507" s="325"/>
      <c r="EAP507" s="325"/>
      <c r="EAQ507" s="325"/>
      <c r="EAR507" s="325"/>
      <c r="EAS507" s="325"/>
      <c r="EAT507" s="325"/>
      <c r="EAU507" s="325"/>
      <c r="EAV507" s="325"/>
      <c r="EAW507" s="325"/>
      <c r="EAX507" s="325"/>
      <c r="EAY507" s="325"/>
      <c r="EAZ507" s="325"/>
      <c r="EBA507" s="325"/>
      <c r="EBB507" s="325"/>
      <c r="EBC507" s="325"/>
      <c r="EBD507" s="325"/>
      <c r="EBE507" s="325"/>
      <c r="EBF507" s="325"/>
      <c r="EBG507" s="325"/>
      <c r="EBH507" s="325"/>
      <c r="EBI507" s="327"/>
      <c r="EBJ507" s="28"/>
      <c r="EBK507" s="324"/>
      <c r="EBL507" s="324"/>
      <c r="EBM507" s="324"/>
      <c r="EBN507" s="324"/>
      <c r="EBO507" s="324"/>
      <c r="EBP507" s="324"/>
      <c r="EBQ507" s="256"/>
      <c r="EBR507" s="325"/>
      <c r="EBS507" s="311"/>
      <c r="EBT507" s="325"/>
      <c r="EBU507" s="310"/>
      <c r="EBV507" s="325"/>
      <c r="EBW507" s="325"/>
      <c r="EBX507" s="325"/>
      <c r="EBY507" s="325"/>
      <c r="EBZ507" s="325"/>
      <c r="ECA507" s="325"/>
      <c r="ECB507" s="325"/>
      <c r="ECC507" s="325"/>
      <c r="ECD507" s="325"/>
      <c r="ECE507" s="325"/>
      <c r="ECF507" s="325"/>
      <c r="ECG507" s="325"/>
      <c r="ECH507" s="325"/>
      <c r="ECI507" s="325"/>
      <c r="ECJ507" s="325"/>
      <c r="ECK507" s="325"/>
      <c r="ECL507" s="325"/>
      <c r="ECM507" s="325"/>
      <c r="ECN507" s="325"/>
      <c r="ECO507" s="325"/>
      <c r="ECP507" s="325"/>
      <c r="ECQ507" s="325"/>
      <c r="ECR507" s="325"/>
      <c r="ECS507" s="325"/>
      <c r="ECT507" s="325"/>
      <c r="ECU507" s="325"/>
      <c r="ECV507" s="325"/>
      <c r="ECW507" s="325"/>
      <c r="ECX507" s="325"/>
      <c r="ECY507" s="325"/>
      <c r="ECZ507" s="327"/>
      <c r="EDA507" s="28"/>
      <c r="EDB507" s="324"/>
      <c r="EDC507" s="324"/>
      <c r="EDD507" s="324"/>
      <c r="EDE507" s="324"/>
      <c r="EDF507" s="324"/>
      <c r="EDG507" s="324"/>
      <c r="EDH507" s="256"/>
      <c r="EDI507" s="325"/>
      <c r="EDJ507" s="311"/>
      <c r="EDK507" s="325"/>
      <c r="EDL507" s="310"/>
      <c r="EDM507" s="325"/>
      <c r="EDN507" s="325"/>
      <c r="EDO507" s="325"/>
      <c r="EDP507" s="325"/>
      <c r="EDQ507" s="325"/>
      <c r="EDR507" s="325"/>
      <c r="EDS507" s="325"/>
      <c r="EDT507" s="325"/>
      <c r="EDU507" s="325"/>
      <c r="EDV507" s="325"/>
      <c r="EDW507" s="325"/>
      <c r="EDX507" s="325"/>
      <c r="EDY507" s="325"/>
      <c r="EDZ507" s="325"/>
      <c r="EEA507" s="325"/>
      <c r="EEB507" s="325"/>
      <c r="EEC507" s="325"/>
      <c r="EED507" s="325"/>
      <c r="EEE507" s="325"/>
      <c r="EEF507" s="325"/>
      <c r="EEG507" s="325"/>
      <c r="EEH507" s="325"/>
      <c r="EEI507" s="325"/>
      <c r="EEJ507" s="325"/>
      <c r="EEK507" s="325"/>
      <c r="EEL507" s="325"/>
      <c r="EEM507" s="325"/>
      <c r="EEN507" s="325"/>
      <c r="EEO507" s="325"/>
      <c r="EEP507" s="325"/>
      <c r="EEQ507" s="327"/>
      <c r="EER507" s="28"/>
      <c r="EES507" s="324"/>
      <c r="EET507" s="324"/>
      <c r="EEU507" s="324"/>
      <c r="EEV507" s="324"/>
      <c r="EEW507" s="324"/>
      <c r="EEX507" s="324"/>
      <c r="EEY507" s="256"/>
      <c r="EEZ507" s="325"/>
      <c r="EFA507" s="311"/>
      <c r="EFB507" s="325"/>
      <c r="EFC507" s="310"/>
      <c r="EFD507" s="325"/>
      <c r="EFE507" s="325"/>
      <c r="EFF507" s="325"/>
      <c r="EFG507" s="325"/>
      <c r="EFH507" s="325"/>
      <c r="EFI507" s="325"/>
      <c r="EFJ507" s="325"/>
      <c r="EFK507" s="325"/>
      <c r="EFL507" s="325"/>
      <c r="EFM507" s="325"/>
      <c r="EFN507" s="325"/>
      <c r="EFO507" s="325"/>
      <c r="EFP507" s="325"/>
      <c r="EFQ507" s="325"/>
      <c r="EFR507" s="325"/>
      <c r="EFS507" s="325"/>
      <c r="EFT507" s="325"/>
      <c r="EFU507" s="325"/>
      <c r="EFV507" s="325"/>
      <c r="EFW507" s="325"/>
      <c r="EFX507" s="325"/>
      <c r="EFY507" s="325"/>
      <c r="EFZ507" s="325"/>
      <c r="EGA507" s="325"/>
      <c r="EGB507" s="325"/>
      <c r="EGC507" s="325"/>
      <c r="EGD507" s="325"/>
      <c r="EGE507" s="325"/>
      <c r="EGF507" s="325"/>
      <c r="EGG507" s="325"/>
      <c r="EGH507" s="327"/>
      <c r="EGI507" s="28"/>
      <c r="EGJ507" s="324"/>
      <c r="EGK507" s="324"/>
      <c r="EGL507" s="324"/>
      <c r="EGM507" s="324"/>
      <c r="EGN507" s="324"/>
      <c r="EGO507" s="324"/>
      <c r="EGP507" s="256"/>
      <c r="EGQ507" s="325"/>
      <c r="EGR507" s="311"/>
      <c r="EGS507" s="325"/>
      <c r="EGT507" s="310"/>
      <c r="EGU507" s="325"/>
      <c r="EGV507" s="325"/>
      <c r="EGW507" s="325"/>
      <c r="EGX507" s="325"/>
      <c r="EGY507" s="325"/>
      <c r="EGZ507" s="325"/>
      <c r="EHA507" s="325"/>
      <c r="EHB507" s="325"/>
      <c r="EHC507" s="325"/>
      <c r="EHD507" s="325"/>
      <c r="EHE507" s="325"/>
      <c r="EHF507" s="325"/>
      <c r="EHG507" s="325"/>
      <c r="EHH507" s="325"/>
      <c r="EHI507" s="325"/>
      <c r="EHJ507" s="325"/>
      <c r="EHK507" s="325"/>
      <c r="EHL507" s="325"/>
      <c r="EHM507" s="325"/>
      <c r="EHN507" s="325"/>
      <c r="EHO507" s="325"/>
      <c r="EHP507" s="325"/>
      <c r="EHQ507" s="325"/>
      <c r="EHR507" s="325"/>
      <c r="EHS507" s="325"/>
      <c r="EHT507" s="325"/>
      <c r="EHU507" s="325"/>
      <c r="EHV507" s="325"/>
      <c r="EHW507" s="325"/>
      <c r="EHX507" s="325"/>
      <c r="EHY507" s="327"/>
      <c r="EHZ507" s="28"/>
      <c r="EIA507" s="324"/>
      <c r="EIB507" s="324"/>
      <c r="EIC507" s="324"/>
      <c r="EID507" s="324"/>
      <c r="EIE507" s="324"/>
      <c r="EIF507" s="324"/>
      <c r="EIG507" s="256"/>
      <c r="EIH507" s="325"/>
      <c r="EII507" s="311"/>
      <c r="EIJ507" s="325"/>
      <c r="EIK507" s="310"/>
      <c r="EIL507" s="325"/>
      <c r="EIM507" s="325"/>
      <c r="EIN507" s="325"/>
      <c r="EIO507" s="325"/>
      <c r="EIP507" s="325"/>
      <c r="EIQ507" s="325"/>
      <c r="EIR507" s="325"/>
      <c r="EIS507" s="325"/>
      <c r="EIT507" s="325"/>
      <c r="EIU507" s="325"/>
      <c r="EIV507" s="325"/>
      <c r="EIW507" s="325"/>
      <c r="EIX507" s="325"/>
      <c r="EIY507" s="325"/>
      <c r="EIZ507" s="325"/>
      <c r="EJA507" s="325"/>
      <c r="EJB507" s="325"/>
      <c r="EJC507" s="325"/>
      <c r="EJD507" s="325"/>
      <c r="EJE507" s="325"/>
      <c r="EJF507" s="325"/>
      <c r="EJG507" s="325"/>
      <c r="EJH507" s="325"/>
      <c r="EJI507" s="325"/>
      <c r="EJJ507" s="325"/>
      <c r="EJK507" s="325"/>
      <c r="EJL507" s="325"/>
      <c r="EJM507" s="325"/>
      <c r="EJN507" s="325"/>
      <c r="EJO507" s="325"/>
      <c r="EJP507" s="327"/>
      <c r="EJQ507" s="28"/>
      <c r="EJR507" s="324"/>
      <c r="EJS507" s="324"/>
      <c r="EJT507" s="324"/>
      <c r="EJU507" s="324"/>
      <c r="EJV507" s="324"/>
      <c r="EJW507" s="324"/>
      <c r="EJX507" s="256"/>
      <c r="EJY507" s="325"/>
      <c r="EJZ507" s="311"/>
      <c r="EKA507" s="325"/>
      <c r="EKB507" s="310"/>
      <c r="EKC507" s="325"/>
      <c r="EKD507" s="325"/>
      <c r="EKE507" s="325"/>
      <c r="EKF507" s="325"/>
      <c r="EKG507" s="325"/>
      <c r="EKH507" s="325"/>
      <c r="EKI507" s="325"/>
      <c r="EKJ507" s="325"/>
      <c r="EKK507" s="325"/>
      <c r="EKL507" s="325"/>
      <c r="EKM507" s="325"/>
      <c r="EKN507" s="325"/>
      <c r="EKO507" s="325"/>
      <c r="EKP507" s="325"/>
      <c r="EKQ507" s="325"/>
      <c r="EKR507" s="325"/>
      <c r="EKS507" s="325"/>
      <c r="EKT507" s="325"/>
      <c r="EKU507" s="325"/>
      <c r="EKV507" s="325"/>
      <c r="EKW507" s="325"/>
      <c r="EKX507" s="325"/>
      <c r="EKY507" s="325"/>
      <c r="EKZ507" s="325"/>
      <c r="ELA507" s="325"/>
      <c r="ELB507" s="325"/>
      <c r="ELC507" s="325"/>
      <c r="ELD507" s="325"/>
      <c r="ELE507" s="325"/>
      <c r="ELF507" s="325"/>
      <c r="ELG507" s="327"/>
      <c r="ELH507" s="28"/>
      <c r="ELI507" s="324"/>
      <c r="ELJ507" s="324"/>
      <c r="ELK507" s="324"/>
      <c r="ELL507" s="324"/>
      <c r="ELM507" s="324"/>
      <c r="ELN507" s="324"/>
      <c r="ELO507" s="256"/>
      <c r="ELP507" s="325"/>
      <c r="ELQ507" s="311"/>
      <c r="ELR507" s="325"/>
      <c r="ELS507" s="310"/>
      <c r="ELT507" s="325"/>
      <c r="ELU507" s="325"/>
      <c r="ELV507" s="325"/>
      <c r="ELW507" s="325"/>
      <c r="ELX507" s="325"/>
      <c r="ELY507" s="325"/>
      <c r="ELZ507" s="325"/>
      <c r="EMA507" s="325"/>
      <c r="EMB507" s="325"/>
      <c r="EMC507" s="325"/>
      <c r="EMD507" s="325"/>
      <c r="EME507" s="325"/>
      <c r="EMF507" s="325"/>
      <c r="EMG507" s="325"/>
      <c r="EMH507" s="325"/>
      <c r="EMI507" s="325"/>
      <c r="EMJ507" s="325"/>
      <c r="EMK507" s="325"/>
      <c r="EML507" s="325"/>
      <c r="EMM507" s="325"/>
      <c r="EMN507" s="325"/>
      <c r="EMO507" s="325"/>
      <c r="EMP507" s="325"/>
      <c r="EMQ507" s="325"/>
      <c r="EMR507" s="325"/>
      <c r="EMS507" s="325"/>
      <c r="EMT507" s="325"/>
      <c r="EMU507" s="325"/>
      <c r="EMV507" s="325"/>
      <c r="EMW507" s="325"/>
      <c r="EMX507" s="327"/>
      <c r="EMY507" s="28"/>
      <c r="EMZ507" s="324"/>
      <c r="ENA507" s="324"/>
      <c r="ENB507" s="324"/>
      <c r="ENC507" s="324"/>
      <c r="END507" s="324"/>
      <c r="ENE507" s="324"/>
      <c r="ENF507" s="256"/>
      <c r="ENG507" s="325"/>
      <c r="ENH507" s="311"/>
      <c r="ENI507" s="325"/>
      <c r="ENJ507" s="310"/>
      <c r="ENK507" s="325"/>
      <c r="ENL507" s="325"/>
      <c r="ENM507" s="325"/>
      <c r="ENN507" s="325"/>
      <c r="ENO507" s="325"/>
      <c r="ENP507" s="325"/>
      <c r="ENQ507" s="325"/>
      <c r="ENR507" s="325"/>
      <c r="ENS507" s="325"/>
      <c r="ENT507" s="325"/>
      <c r="ENU507" s="325"/>
      <c r="ENV507" s="325"/>
      <c r="ENW507" s="325"/>
      <c r="ENX507" s="325"/>
      <c r="ENY507" s="325"/>
      <c r="ENZ507" s="325"/>
      <c r="EOA507" s="325"/>
      <c r="EOB507" s="325"/>
      <c r="EOC507" s="325"/>
      <c r="EOD507" s="325"/>
      <c r="EOE507" s="325"/>
      <c r="EOF507" s="325"/>
      <c r="EOG507" s="325"/>
      <c r="EOH507" s="325"/>
      <c r="EOI507" s="325"/>
      <c r="EOJ507" s="325"/>
      <c r="EOK507" s="325"/>
      <c r="EOL507" s="325"/>
      <c r="EOM507" s="325"/>
      <c r="EON507" s="325"/>
      <c r="EOO507" s="327"/>
      <c r="EOP507" s="28"/>
      <c r="EOQ507" s="324"/>
      <c r="EOR507" s="324"/>
      <c r="EOS507" s="324"/>
      <c r="EOT507" s="324"/>
      <c r="EOU507" s="324"/>
      <c r="EOV507" s="324"/>
      <c r="EOW507" s="256"/>
      <c r="EOX507" s="325"/>
      <c r="EOY507" s="311"/>
      <c r="EOZ507" s="325"/>
      <c r="EPA507" s="310"/>
      <c r="EPB507" s="325"/>
      <c r="EPC507" s="325"/>
      <c r="EPD507" s="325"/>
      <c r="EPE507" s="325"/>
      <c r="EPF507" s="325"/>
      <c r="EPG507" s="325"/>
      <c r="EPH507" s="325"/>
      <c r="EPI507" s="325"/>
      <c r="EPJ507" s="325"/>
      <c r="EPK507" s="325"/>
      <c r="EPL507" s="325"/>
      <c r="EPM507" s="325"/>
      <c r="EPN507" s="325"/>
      <c r="EPO507" s="325"/>
      <c r="EPP507" s="325"/>
      <c r="EPQ507" s="325"/>
      <c r="EPR507" s="325"/>
      <c r="EPS507" s="325"/>
      <c r="EPT507" s="325"/>
      <c r="EPU507" s="325"/>
      <c r="EPV507" s="325"/>
      <c r="EPW507" s="325"/>
      <c r="EPX507" s="325"/>
      <c r="EPY507" s="325"/>
      <c r="EPZ507" s="325"/>
      <c r="EQA507" s="325"/>
      <c r="EQB507" s="325"/>
      <c r="EQC507" s="325"/>
      <c r="EQD507" s="325"/>
      <c r="EQE507" s="325"/>
      <c r="EQF507" s="327"/>
      <c r="EQG507" s="28"/>
      <c r="EQH507" s="324"/>
      <c r="EQI507" s="324"/>
      <c r="EQJ507" s="324"/>
      <c r="EQK507" s="324"/>
      <c r="EQL507" s="324"/>
      <c r="EQM507" s="324"/>
      <c r="EQN507" s="256"/>
      <c r="EQO507" s="325"/>
      <c r="EQP507" s="311"/>
      <c r="EQQ507" s="325"/>
      <c r="EQR507" s="310"/>
      <c r="EQS507" s="325"/>
      <c r="EQT507" s="325"/>
      <c r="EQU507" s="325"/>
      <c r="EQV507" s="325"/>
      <c r="EQW507" s="325"/>
      <c r="EQX507" s="325"/>
      <c r="EQY507" s="325"/>
      <c r="EQZ507" s="325"/>
      <c r="ERA507" s="325"/>
      <c r="ERB507" s="325"/>
      <c r="ERC507" s="325"/>
      <c r="ERD507" s="325"/>
      <c r="ERE507" s="325"/>
      <c r="ERF507" s="325"/>
      <c r="ERG507" s="325"/>
      <c r="ERH507" s="325"/>
      <c r="ERI507" s="325"/>
      <c r="ERJ507" s="325"/>
      <c r="ERK507" s="325"/>
      <c r="ERL507" s="325"/>
      <c r="ERM507" s="325"/>
      <c r="ERN507" s="325"/>
      <c r="ERO507" s="325"/>
      <c r="ERP507" s="325"/>
      <c r="ERQ507" s="325"/>
      <c r="ERR507" s="325"/>
      <c r="ERS507" s="325"/>
      <c r="ERT507" s="325"/>
      <c r="ERU507" s="325"/>
      <c r="ERV507" s="325"/>
      <c r="ERW507" s="327"/>
      <c r="ERX507" s="28"/>
      <c r="ERY507" s="324"/>
      <c r="ERZ507" s="324"/>
      <c r="ESA507" s="324"/>
      <c r="ESB507" s="324"/>
      <c r="ESC507" s="324"/>
      <c r="ESD507" s="324"/>
      <c r="ESE507" s="256"/>
      <c r="ESF507" s="325"/>
      <c r="ESG507" s="311"/>
      <c r="ESH507" s="325"/>
      <c r="ESI507" s="310"/>
      <c r="ESJ507" s="325"/>
      <c r="ESK507" s="325"/>
      <c r="ESL507" s="325"/>
      <c r="ESM507" s="325"/>
      <c r="ESN507" s="325"/>
      <c r="ESO507" s="325"/>
      <c r="ESP507" s="325"/>
      <c r="ESQ507" s="325"/>
      <c r="ESR507" s="325"/>
      <c r="ESS507" s="325"/>
      <c r="EST507" s="325"/>
      <c r="ESU507" s="325"/>
      <c r="ESV507" s="325"/>
      <c r="ESW507" s="325"/>
      <c r="ESX507" s="325"/>
      <c r="ESY507" s="325"/>
      <c r="ESZ507" s="325"/>
      <c r="ETA507" s="325"/>
      <c r="ETB507" s="325"/>
      <c r="ETC507" s="325"/>
      <c r="ETD507" s="325"/>
      <c r="ETE507" s="325"/>
      <c r="ETF507" s="325"/>
      <c r="ETG507" s="325"/>
      <c r="ETH507" s="325"/>
      <c r="ETI507" s="325"/>
      <c r="ETJ507" s="325"/>
      <c r="ETK507" s="325"/>
      <c r="ETL507" s="325"/>
      <c r="ETM507" s="325"/>
      <c r="ETN507" s="327"/>
      <c r="ETO507" s="28"/>
      <c r="ETP507" s="324"/>
      <c r="ETQ507" s="324"/>
      <c r="ETR507" s="324"/>
      <c r="ETS507" s="324"/>
      <c r="ETT507" s="324"/>
      <c r="ETU507" s="324"/>
      <c r="ETV507" s="256"/>
      <c r="ETW507" s="325"/>
      <c r="ETX507" s="311"/>
      <c r="ETY507" s="325"/>
      <c r="ETZ507" s="310"/>
      <c r="EUA507" s="325"/>
      <c r="EUB507" s="325"/>
      <c r="EUC507" s="325"/>
      <c r="EUD507" s="325"/>
      <c r="EUE507" s="325"/>
      <c r="EUF507" s="325"/>
      <c r="EUG507" s="325"/>
      <c r="EUH507" s="325"/>
      <c r="EUI507" s="325"/>
      <c r="EUJ507" s="325"/>
      <c r="EUK507" s="325"/>
      <c r="EUL507" s="325"/>
      <c r="EUM507" s="325"/>
      <c r="EUN507" s="325"/>
      <c r="EUO507" s="325"/>
      <c r="EUP507" s="325"/>
      <c r="EUQ507" s="325"/>
      <c r="EUR507" s="325"/>
      <c r="EUS507" s="325"/>
      <c r="EUT507" s="325"/>
      <c r="EUU507" s="325"/>
      <c r="EUV507" s="325"/>
      <c r="EUW507" s="325"/>
      <c r="EUX507" s="325"/>
      <c r="EUY507" s="325"/>
      <c r="EUZ507" s="325"/>
      <c r="EVA507" s="325"/>
      <c r="EVB507" s="325"/>
      <c r="EVC507" s="325"/>
      <c r="EVD507" s="325"/>
      <c r="EVE507" s="327"/>
      <c r="EVF507" s="28"/>
      <c r="EVG507" s="324"/>
      <c r="EVH507" s="324"/>
      <c r="EVI507" s="324"/>
      <c r="EVJ507" s="324"/>
      <c r="EVK507" s="324"/>
      <c r="EVL507" s="324"/>
      <c r="EVM507" s="256"/>
      <c r="EVN507" s="325"/>
      <c r="EVO507" s="311"/>
      <c r="EVP507" s="325"/>
      <c r="EVQ507" s="310"/>
      <c r="EVR507" s="325"/>
      <c r="EVS507" s="325"/>
      <c r="EVT507" s="325"/>
      <c r="EVU507" s="325"/>
      <c r="EVV507" s="325"/>
      <c r="EVW507" s="325"/>
      <c r="EVX507" s="325"/>
      <c r="EVY507" s="325"/>
      <c r="EVZ507" s="325"/>
      <c r="EWA507" s="325"/>
      <c r="EWB507" s="325"/>
      <c r="EWC507" s="325"/>
      <c r="EWD507" s="325"/>
      <c r="EWE507" s="325"/>
      <c r="EWF507" s="325"/>
      <c r="EWG507" s="325"/>
      <c r="EWH507" s="325"/>
      <c r="EWI507" s="325"/>
      <c r="EWJ507" s="325"/>
      <c r="EWK507" s="325"/>
      <c r="EWL507" s="325"/>
      <c r="EWM507" s="325"/>
      <c r="EWN507" s="325"/>
      <c r="EWO507" s="325"/>
      <c r="EWP507" s="325"/>
      <c r="EWQ507" s="325"/>
      <c r="EWR507" s="325"/>
      <c r="EWS507" s="325"/>
      <c r="EWT507" s="325"/>
      <c r="EWU507" s="325"/>
      <c r="EWV507" s="327"/>
      <c r="EWW507" s="28"/>
      <c r="EWX507" s="324"/>
      <c r="EWY507" s="324"/>
      <c r="EWZ507" s="324"/>
      <c r="EXA507" s="324"/>
      <c r="EXB507" s="324"/>
      <c r="EXC507" s="324"/>
      <c r="EXD507" s="256"/>
      <c r="EXE507" s="325"/>
      <c r="EXF507" s="311"/>
      <c r="EXG507" s="325"/>
      <c r="EXH507" s="310"/>
      <c r="EXI507" s="325"/>
      <c r="EXJ507" s="325"/>
      <c r="EXK507" s="325"/>
      <c r="EXL507" s="325"/>
      <c r="EXM507" s="325"/>
      <c r="EXN507" s="325"/>
      <c r="EXO507" s="325"/>
      <c r="EXP507" s="325"/>
      <c r="EXQ507" s="325"/>
      <c r="EXR507" s="325"/>
      <c r="EXS507" s="325"/>
      <c r="EXT507" s="325"/>
      <c r="EXU507" s="325"/>
      <c r="EXV507" s="325"/>
      <c r="EXW507" s="325"/>
      <c r="EXX507" s="325"/>
      <c r="EXY507" s="325"/>
      <c r="EXZ507" s="325"/>
      <c r="EYA507" s="325"/>
      <c r="EYB507" s="325"/>
      <c r="EYC507" s="325"/>
      <c r="EYD507" s="325"/>
      <c r="EYE507" s="325"/>
      <c r="EYF507" s="325"/>
      <c r="EYG507" s="325"/>
      <c r="EYH507" s="325"/>
      <c r="EYI507" s="325"/>
      <c r="EYJ507" s="325"/>
      <c r="EYK507" s="325"/>
      <c r="EYL507" s="325"/>
      <c r="EYM507" s="327"/>
      <c r="EYN507" s="28"/>
      <c r="EYO507" s="324"/>
      <c r="EYP507" s="324"/>
      <c r="EYQ507" s="324"/>
      <c r="EYR507" s="324"/>
      <c r="EYS507" s="324"/>
      <c r="EYT507" s="324"/>
      <c r="EYU507" s="256"/>
      <c r="EYV507" s="325"/>
      <c r="EYW507" s="311"/>
      <c r="EYX507" s="325"/>
      <c r="EYY507" s="310"/>
      <c r="EYZ507" s="325"/>
      <c r="EZA507" s="325"/>
      <c r="EZB507" s="325"/>
      <c r="EZC507" s="325"/>
      <c r="EZD507" s="325"/>
      <c r="EZE507" s="325"/>
      <c r="EZF507" s="325"/>
      <c r="EZG507" s="325"/>
      <c r="EZH507" s="325"/>
      <c r="EZI507" s="325"/>
      <c r="EZJ507" s="325"/>
      <c r="EZK507" s="325"/>
      <c r="EZL507" s="325"/>
      <c r="EZM507" s="325"/>
      <c r="EZN507" s="325"/>
      <c r="EZO507" s="325"/>
      <c r="EZP507" s="325"/>
      <c r="EZQ507" s="325"/>
      <c r="EZR507" s="325"/>
      <c r="EZS507" s="325"/>
      <c r="EZT507" s="325"/>
      <c r="EZU507" s="325"/>
      <c r="EZV507" s="325"/>
      <c r="EZW507" s="325"/>
      <c r="EZX507" s="325"/>
      <c r="EZY507" s="325"/>
      <c r="EZZ507" s="325"/>
      <c r="FAA507" s="325"/>
      <c r="FAB507" s="325"/>
      <c r="FAC507" s="325"/>
      <c r="FAD507" s="327"/>
      <c r="FAE507" s="28"/>
      <c r="FAF507" s="324"/>
      <c r="FAG507" s="324"/>
      <c r="FAH507" s="324"/>
      <c r="FAI507" s="324"/>
      <c r="FAJ507" s="324"/>
      <c r="FAK507" s="324"/>
      <c r="FAL507" s="256"/>
      <c r="FAM507" s="325"/>
      <c r="FAN507" s="311"/>
      <c r="FAO507" s="325"/>
      <c r="FAP507" s="310"/>
      <c r="FAQ507" s="325"/>
      <c r="FAR507" s="325"/>
      <c r="FAS507" s="325"/>
      <c r="FAT507" s="325"/>
      <c r="FAU507" s="325"/>
      <c r="FAV507" s="325"/>
      <c r="FAW507" s="325"/>
      <c r="FAX507" s="325"/>
      <c r="FAY507" s="325"/>
      <c r="FAZ507" s="325"/>
      <c r="FBA507" s="325"/>
      <c r="FBB507" s="325"/>
      <c r="FBC507" s="325"/>
      <c r="FBD507" s="325"/>
      <c r="FBE507" s="325"/>
      <c r="FBF507" s="325"/>
      <c r="FBG507" s="325"/>
      <c r="FBH507" s="325"/>
      <c r="FBI507" s="325"/>
      <c r="FBJ507" s="325"/>
      <c r="FBK507" s="325"/>
      <c r="FBL507" s="325"/>
      <c r="FBM507" s="325"/>
      <c r="FBN507" s="325"/>
      <c r="FBO507" s="325"/>
      <c r="FBP507" s="325"/>
      <c r="FBQ507" s="325"/>
      <c r="FBR507" s="325"/>
      <c r="FBS507" s="325"/>
      <c r="FBT507" s="325"/>
      <c r="FBU507" s="327"/>
      <c r="FBV507" s="28"/>
      <c r="FBW507" s="324"/>
      <c r="FBX507" s="324"/>
      <c r="FBY507" s="324"/>
      <c r="FBZ507" s="324"/>
      <c r="FCA507" s="324"/>
      <c r="FCB507" s="324"/>
      <c r="FCC507" s="256"/>
      <c r="FCD507" s="325"/>
      <c r="FCE507" s="311"/>
      <c r="FCF507" s="325"/>
      <c r="FCG507" s="310"/>
      <c r="FCH507" s="325"/>
      <c r="FCI507" s="325"/>
      <c r="FCJ507" s="325"/>
      <c r="FCK507" s="325"/>
      <c r="FCL507" s="325"/>
      <c r="FCM507" s="325"/>
      <c r="FCN507" s="325"/>
      <c r="FCO507" s="325"/>
      <c r="FCP507" s="325"/>
      <c r="FCQ507" s="325"/>
      <c r="FCR507" s="325"/>
      <c r="FCS507" s="325"/>
      <c r="FCT507" s="325"/>
      <c r="FCU507" s="325"/>
      <c r="FCV507" s="325"/>
      <c r="FCW507" s="325"/>
      <c r="FCX507" s="325"/>
      <c r="FCY507" s="325"/>
      <c r="FCZ507" s="325"/>
      <c r="FDA507" s="325"/>
      <c r="FDB507" s="325"/>
      <c r="FDC507" s="325"/>
      <c r="FDD507" s="325"/>
      <c r="FDE507" s="325"/>
      <c r="FDF507" s="325"/>
      <c r="FDG507" s="325"/>
      <c r="FDH507" s="325"/>
      <c r="FDI507" s="325"/>
      <c r="FDJ507" s="325"/>
      <c r="FDK507" s="325"/>
      <c r="FDL507" s="327"/>
      <c r="FDM507" s="28"/>
      <c r="FDN507" s="324"/>
      <c r="FDO507" s="324"/>
      <c r="FDP507" s="324"/>
      <c r="FDQ507" s="324"/>
      <c r="FDR507" s="324"/>
      <c r="FDS507" s="324"/>
      <c r="FDT507" s="256"/>
      <c r="FDU507" s="325"/>
      <c r="FDV507" s="311"/>
      <c r="FDW507" s="325"/>
      <c r="FDX507" s="310"/>
      <c r="FDY507" s="325"/>
      <c r="FDZ507" s="325"/>
      <c r="FEA507" s="325"/>
      <c r="FEB507" s="325"/>
      <c r="FEC507" s="325"/>
      <c r="FED507" s="325"/>
      <c r="FEE507" s="325"/>
      <c r="FEF507" s="325"/>
      <c r="FEG507" s="325"/>
      <c r="FEH507" s="325"/>
      <c r="FEI507" s="325"/>
      <c r="FEJ507" s="325"/>
      <c r="FEK507" s="325"/>
      <c r="FEL507" s="325"/>
      <c r="FEM507" s="325"/>
      <c r="FEN507" s="325"/>
      <c r="FEO507" s="325"/>
      <c r="FEP507" s="325"/>
      <c r="FEQ507" s="325"/>
      <c r="FER507" s="325"/>
      <c r="FES507" s="325"/>
      <c r="FET507" s="325"/>
      <c r="FEU507" s="325"/>
      <c r="FEV507" s="325"/>
      <c r="FEW507" s="325"/>
      <c r="FEX507" s="325"/>
      <c r="FEY507" s="325"/>
      <c r="FEZ507" s="325"/>
      <c r="FFA507" s="325"/>
      <c r="FFB507" s="325"/>
      <c r="FFC507" s="327"/>
      <c r="FFD507" s="28"/>
      <c r="FFE507" s="324"/>
      <c r="FFF507" s="324"/>
      <c r="FFG507" s="324"/>
      <c r="FFH507" s="324"/>
      <c r="FFI507" s="324"/>
      <c r="FFJ507" s="324"/>
      <c r="FFK507" s="256"/>
      <c r="FFL507" s="325"/>
      <c r="FFM507" s="311"/>
      <c r="FFN507" s="325"/>
      <c r="FFO507" s="310"/>
      <c r="FFP507" s="325"/>
      <c r="FFQ507" s="325"/>
      <c r="FFR507" s="325"/>
      <c r="FFS507" s="325"/>
      <c r="FFT507" s="325"/>
      <c r="FFU507" s="325"/>
      <c r="FFV507" s="325"/>
      <c r="FFW507" s="325"/>
      <c r="FFX507" s="325"/>
      <c r="FFY507" s="325"/>
      <c r="FFZ507" s="325"/>
      <c r="FGA507" s="325"/>
      <c r="FGB507" s="325"/>
      <c r="FGC507" s="325"/>
      <c r="FGD507" s="325"/>
      <c r="FGE507" s="325"/>
      <c r="FGF507" s="325"/>
      <c r="FGG507" s="325"/>
      <c r="FGH507" s="325"/>
      <c r="FGI507" s="325"/>
      <c r="FGJ507" s="325"/>
      <c r="FGK507" s="325"/>
      <c r="FGL507" s="325"/>
      <c r="FGM507" s="325"/>
      <c r="FGN507" s="325"/>
      <c r="FGO507" s="325"/>
      <c r="FGP507" s="325"/>
      <c r="FGQ507" s="325"/>
      <c r="FGR507" s="325"/>
      <c r="FGS507" s="325"/>
      <c r="FGT507" s="327"/>
      <c r="FGU507" s="28"/>
      <c r="FGV507" s="324"/>
      <c r="FGW507" s="324"/>
      <c r="FGX507" s="324"/>
      <c r="FGY507" s="324"/>
      <c r="FGZ507" s="324"/>
      <c r="FHA507" s="324"/>
      <c r="FHB507" s="256"/>
      <c r="FHC507" s="325"/>
      <c r="FHD507" s="311"/>
      <c r="FHE507" s="325"/>
      <c r="FHF507" s="310"/>
      <c r="FHG507" s="325"/>
      <c r="FHH507" s="325"/>
      <c r="FHI507" s="325"/>
      <c r="FHJ507" s="325"/>
      <c r="FHK507" s="325"/>
      <c r="FHL507" s="325"/>
      <c r="FHM507" s="325"/>
      <c r="FHN507" s="325"/>
      <c r="FHO507" s="325"/>
      <c r="FHP507" s="325"/>
      <c r="FHQ507" s="325"/>
      <c r="FHR507" s="325"/>
      <c r="FHS507" s="325"/>
      <c r="FHT507" s="325"/>
      <c r="FHU507" s="325"/>
      <c r="FHV507" s="325"/>
      <c r="FHW507" s="325"/>
      <c r="FHX507" s="325"/>
      <c r="FHY507" s="325"/>
      <c r="FHZ507" s="325"/>
      <c r="FIA507" s="325"/>
      <c r="FIB507" s="325"/>
      <c r="FIC507" s="325"/>
      <c r="FID507" s="325"/>
      <c r="FIE507" s="325"/>
      <c r="FIF507" s="325"/>
      <c r="FIG507" s="325"/>
      <c r="FIH507" s="325"/>
      <c r="FII507" s="325"/>
      <c r="FIJ507" s="325"/>
      <c r="FIK507" s="327"/>
      <c r="FIL507" s="28"/>
      <c r="FIM507" s="324"/>
      <c r="FIN507" s="324"/>
      <c r="FIO507" s="324"/>
      <c r="FIP507" s="324"/>
      <c r="FIQ507" s="324"/>
      <c r="FIR507" s="324"/>
      <c r="FIS507" s="256"/>
      <c r="FIT507" s="325"/>
      <c r="FIU507" s="311"/>
      <c r="FIV507" s="325"/>
      <c r="FIW507" s="310"/>
      <c r="FIX507" s="325"/>
      <c r="FIY507" s="325"/>
      <c r="FIZ507" s="325"/>
      <c r="FJA507" s="325"/>
      <c r="FJB507" s="325"/>
      <c r="FJC507" s="325"/>
      <c r="FJD507" s="325"/>
      <c r="FJE507" s="325"/>
      <c r="FJF507" s="325"/>
      <c r="FJG507" s="325"/>
      <c r="FJH507" s="325"/>
      <c r="FJI507" s="325"/>
      <c r="FJJ507" s="325"/>
      <c r="FJK507" s="325"/>
      <c r="FJL507" s="325"/>
      <c r="FJM507" s="325"/>
      <c r="FJN507" s="325"/>
      <c r="FJO507" s="325"/>
      <c r="FJP507" s="325"/>
      <c r="FJQ507" s="325"/>
      <c r="FJR507" s="325"/>
      <c r="FJS507" s="325"/>
      <c r="FJT507" s="325"/>
      <c r="FJU507" s="325"/>
      <c r="FJV507" s="325"/>
      <c r="FJW507" s="325"/>
      <c r="FJX507" s="325"/>
      <c r="FJY507" s="325"/>
      <c r="FJZ507" s="325"/>
      <c r="FKA507" s="325"/>
      <c r="FKB507" s="327"/>
      <c r="FKC507" s="28"/>
      <c r="FKD507" s="324"/>
      <c r="FKE507" s="324"/>
      <c r="FKF507" s="324"/>
      <c r="FKG507" s="324"/>
      <c r="FKH507" s="324"/>
      <c r="FKI507" s="324"/>
      <c r="FKJ507" s="256"/>
      <c r="FKK507" s="325"/>
      <c r="FKL507" s="311"/>
      <c r="FKM507" s="325"/>
      <c r="FKN507" s="310"/>
      <c r="FKO507" s="325"/>
      <c r="FKP507" s="325"/>
      <c r="FKQ507" s="325"/>
      <c r="FKR507" s="325"/>
      <c r="FKS507" s="325"/>
      <c r="FKT507" s="325"/>
      <c r="FKU507" s="325"/>
      <c r="FKV507" s="325"/>
      <c r="FKW507" s="325"/>
      <c r="FKX507" s="325"/>
      <c r="FKY507" s="325"/>
      <c r="FKZ507" s="325"/>
      <c r="FLA507" s="325"/>
      <c r="FLB507" s="325"/>
      <c r="FLC507" s="325"/>
      <c r="FLD507" s="325"/>
      <c r="FLE507" s="325"/>
      <c r="FLF507" s="325"/>
      <c r="FLG507" s="325"/>
      <c r="FLH507" s="325"/>
      <c r="FLI507" s="325"/>
      <c r="FLJ507" s="325"/>
      <c r="FLK507" s="325"/>
      <c r="FLL507" s="325"/>
      <c r="FLM507" s="325"/>
      <c r="FLN507" s="325"/>
      <c r="FLO507" s="325"/>
      <c r="FLP507" s="325"/>
      <c r="FLQ507" s="325"/>
      <c r="FLR507" s="325"/>
      <c r="FLS507" s="327"/>
      <c r="FLT507" s="28"/>
      <c r="FLU507" s="324"/>
      <c r="FLV507" s="324"/>
      <c r="FLW507" s="324"/>
      <c r="FLX507" s="324"/>
      <c r="FLY507" s="324"/>
      <c r="FLZ507" s="324"/>
      <c r="FMA507" s="256"/>
      <c r="FMB507" s="325"/>
      <c r="FMC507" s="311"/>
      <c r="FMD507" s="325"/>
      <c r="FME507" s="310"/>
      <c r="FMF507" s="325"/>
      <c r="FMG507" s="325"/>
      <c r="FMH507" s="325"/>
      <c r="FMI507" s="325"/>
      <c r="FMJ507" s="325"/>
      <c r="FMK507" s="325"/>
      <c r="FML507" s="325"/>
      <c r="FMM507" s="325"/>
      <c r="FMN507" s="325"/>
      <c r="FMO507" s="325"/>
      <c r="FMP507" s="325"/>
      <c r="FMQ507" s="325"/>
      <c r="FMR507" s="325"/>
      <c r="FMS507" s="325"/>
      <c r="FMT507" s="325"/>
      <c r="FMU507" s="325"/>
      <c r="FMV507" s="325"/>
      <c r="FMW507" s="325"/>
      <c r="FMX507" s="325"/>
      <c r="FMY507" s="325"/>
      <c r="FMZ507" s="325"/>
      <c r="FNA507" s="325"/>
      <c r="FNB507" s="325"/>
      <c r="FNC507" s="325"/>
      <c r="FND507" s="325"/>
      <c r="FNE507" s="325"/>
      <c r="FNF507" s="325"/>
      <c r="FNG507" s="325"/>
      <c r="FNH507" s="325"/>
      <c r="FNI507" s="325"/>
      <c r="FNJ507" s="327"/>
      <c r="FNK507" s="28"/>
      <c r="FNL507" s="324"/>
      <c r="FNM507" s="324"/>
      <c r="FNN507" s="324"/>
      <c r="FNO507" s="324"/>
      <c r="FNP507" s="324"/>
      <c r="FNQ507" s="324"/>
      <c r="FNR507" s="256"/>
      <c r="FNS507" s="325"/>
      <c r="FNT507" s="311"/>
      <c r="FNU507" s="325"/>
      <c r="FNV507" s="310"/>
      <c r="FNW507" s="325"/>
      <c r="FNX507" s="325"/>
      <c r="FNY507" s="325"/>
      <c r="FNZ507" s="325"/>
      <c r="FOA507" s="325"/>
      <c r="FOB507" s="325"/>
      <c r="FOC507" s="325"/>
      <c r="FOD507" s="325"/>
      <c r="FOE507" s="325"/>
      <c r="FOF507" s="325"/>
      <c r="FOG507" s="325"/>
      <c r="FOH507" s="325"/>
      <c r="FOI507" s="325"/>
      <c r="FOJ507" s="325"/>
      <c r="FOK507" s="325"/>
      <c r="FOL507" s="325"/>
      <c r="FOM507" s="325"/>
      <c r="FON507" s="325"/>
      <c r="FOO507" s="325"/>
      <c r="FOP507" s="325"/>
      <c r="FOQ507" s="325"/>
      <c r="FOR507" s="325"/>
      <c r="FOS507" s="325"/>
      <c r="FOT507" s="325"/>
      <c r="FOU507" s="325"/>
      <c r="FOV507" s="325"/>
      <c r="FOW507" s="325"/>
      <c r="FOX507" s="325"/>
      <c r="FOY507" s="325"/>
      <c r="FOZ507" s="325"/>
      <c r="FPA507" s="327"/>
      <c r="FPB507" s="28"/>
      <c r="FPC507" s="324"/>
      <c r="FPD507" s="324"/>
      <c r="FPE507" s="324"/>
      <c r="FPF507" s="324"/>
      <c r="FPG507" s="324"/>
      <c r="FPH507" s="324"/>
      <c r="FPI507" s="256"/>
      <c r="FPJ507" s="325"/>
      <c r="FPK507" s="311"/>
      <c r="FPL507" s="325"/>
      <c r="FPM507" s="310"/>
      <c r="FPN507" s="325"/>
      <c r="FPO507" s="325"/>
      <c r="FPP507" s="325"/>
      <c r="FPQ507" s="325"/>
      <c r="FPR507" s="325"/>
      <c r="FPS507" s="325"/>
      <c r="FPT507" s="325"/>
      <c r="FPU507" s="325"/>
      <c r="FPV507" s="325"/>
      <c r="FPW507" s="325"/>
      <c r="FPX507" s="325"/>
      <c r="FPY507" s="325"/>
      <c r="FPZ507" s="325"/>
      <c r="FQA507" s="325"/>
      <c r="FQB507" s="325"/>
      <c r="FQC507" s="325"/>
      <c r="FQD507" s="325"/>
      <c r="FQE507" s="325"/>
      <c r="FQF507" s="325"/>
      <c r="FQG507" s="325"/>
      <c r="FQH507" s="325"/>
      <c r="FQI507" s="325"/>
      <c r="FQJ507" s="325"/>
      <c r="FQK507" s="325"/>
      <c r="FQL507" s="325"/>
      <c r="FQM507" s="325"/>
      <c r="FQN507" s="325"/>
      <c r="FQO507" s="325"/>
      <c r="FQP507" s="325"/>
      <c r="FQQ507" s="325"/>
      <c r="FQR507" s="327"/>
      <c r="FQS507" s="28"/>
      <c r="FQT507" s="324"/>
      <c r="FQU507" s="324"/>
      <c r="FQV507" s="324"/>
      <c r="FQW507" s="324"/>
      <c r="FQX507" s="324"/>
      <c r="FQY507" s="324"/>
      <c r="FQZ507" s="256"/>
      <c r="FRA507" s="325"/>
      <c r="FRB507" s="311"/>
      <c r="FRC507" s="325"/>
      <c r="FRD507" s="310"/>
      <c r="FRE507" s="325"/>
      <c r="FRF507" s="325"/>
      <c r="FRG507" s="325"/>
      <c r="FRH507" s="325"/>
      <c r="FRI507" s="325"/>
      <c r="FRJ507" s="325"/>
      <c r="FRK507" s="325"/>
      <c r="FRL507" s="325"/>
      <c r="FRM507" s="325"/>
      <c r="FRN507" s="325"/>
      <c r="FRO507" s="325"/>
      <c r="FRP507" s="325"/>
      <c r="FRQ507" s="325"/>
      <c r="FRR507" s="325"/>
      <c r="FRS507" s="325"/>
      <c r="FRT507" s="325"/>
      <c r="FRU507" s="325"/>
      <c r="FRV507" s="325"/>
      <c r="FRW507" s="325"/>
      <c r="FRX507" s="325"/>
      <c r="FRY507" s="325"/>
      <c r="FRZ507" s="325"/>
      <c r="FSA507" s="325"/>
      <c r="FSB507" s="325"/>
      <c r="FSC507" s="325"/>
      <c r="FSD507" s="325"/>
      <c r="FSE507" s="325"/>
      <c r="FSF507" s="325"/>
      <c r="FSG507" s="325"/>
      <c r="FSH507" s="325"/>
      <c r="FSI507" s="327"/>
      <c r="FSJ507" s="28"/>
      <c r="FSK507" s="324"/>
      <c r="FSL507" s="324"/>
      <c r="FSM507" s="324"/>
      <c r="FSN507" s="324"/>
      <c r="FSO507" s="324"/>
      <c r="FSP507" s="324"/>
      <c r="FSQ507" s="256"/>
      <c r="FSR507" s="325"/>
      <c r="FSS507" s="311"/>
      <c r="FST507" s="325"/>
      <c r="FSU507" s="310"/>
      <c r="FSV507" s="325"/>
      <c r="FSW507" s="325"/>
      <c r="FSX507" s="325"/>
      <c r="FSY507" s="325"/>
      <c r="FSZ507" s="325"/>
      <c r="FTA507" s="325"/>
      <c r="FTB507" s="325"/>
      <c r="FTC507" s="325"/>
      <c r="FTD507" s="325"/>
      <c r="FTE507" s="325"/>
      <c r="FTF507" s="325"/>
      <c r="FTG507" s="325"/>
      <c r="FTH507" s="325"/>
      <c r="FTI507" s="325"/>
      <c r="FTJ507" s="325"/>
      <c r="FTK507" s="325"/>
      <c r="FTL507" s="325"/>
      <c r="FTM507" s="325"/>
      <c r="FTN507" s="325"/>
      <c r="FTO507" s="325"/>
      <c r="FTP507" s="325"/>
      <c r="FTQ507" s="325"/>
      <c r="FTR507" s="325"/>
      <c r="FTS507" s="325"/>
      <c r="FTT507" s="325"/>
      <c r="FTU507" s="325"/>
      <c r="FTV507" s="325"/>
      <c r="FTW507" s="325"/>
      <c r="FTX507" s="325"/>
      <c r="FTY507" s="325"/>
      <c r="FTZ507" s="327"/>
      <c r="FUA507" s="28"/>
      <c r="FUB507" s="324"/>
      <c r="FUC507" s="324"/>
      <c r="FUD507" s="324"/>
      <c r="FUE507" s="324"/>
      <c r="FUF507" s="324"/>
      <c r="FUG507" s="324"/>
      <c r="FUH507" s="256"/>
      <c r="FUI507" s="325"/>
      <c r="FUJ507" s="311"/>
      <c r="FUK507" s="325"/>
      <c r="FUL507" s="310"/>
      <c r="FUM507" s="325"/>
      <c r="FUN507" s="325"/>
      <c r="FUO507" s="325"/>
      <c r="FUP507" s="325"/>
      <c r="FUQ507" s="325"/>
      <c r="FUR507" s="325"/>
      <c r="FUS507" s="325"/>
      <c r="FUT507" s="325"/>
      <c r="FUU507" s="325"/>
      <c r="FUV507" s="325"/>
      <c r="FUW507" s="325"/>
      <c r="FUX507" s="325"/>
      <c r="FUY507" s="325"/>
      <c r="FUZ507" s="325"/>
      <c r="FVA507" s="325"/>
      <c r="FVB507" s="325"/>
      <c r="FVC507" s="325"/>
      <c r="FVD507" s="325"/>
      <c r="FVE507" s="325"/>
      <c r="FVF507" s="325"/>
      <c r="FVG507" s="325"/>
      <c r="FVH507" s="325"/>
      <c r="FVI507" s="325"/>
      <c r="FVJ507" s="325"/>
      <c r="FVK507" s="325"/>
      <c r="FVL507" s="325"/>
      <c r="FVM507" s="325"/>
      <c r="FVN507" s="325"/>
      <c r="FVO507" s="325"/>
      <c r="FVP507" s="325"/>
      <c r="FVQ507" s="327"/>
      <c r="FVR507" s="28"/>
      <c r="FVS507" s="324"/>
      <c r="FVT507" s="324"/>
      <c r="FVU507" s="324"/>
      <c r="FVV507" s="324"/>
      <c r="FVW507" s="324"/>
      <c r="FVX507" s="324"/>
      <c r="FVY507" s="256"/>
      <c r="FVZ507" s="325"/>
      <c r="FWA507" s="311"/>
      <c r="FWB507" s="325"/>
      <c r="FWC507" s="310"/>
      <c r="FWD507" s="325"/>
      <c r="FWE507" s="325"/>
      <c r="FWF507" s="325"/>
      <c r="FWG507" s="325"/>
      <c r="FWH507" s="325"/>
      <c r="FWI507" s="325"/>
      <c r="FWJ507" s="325"/>
      <c r="FWK507" s="325"/>
      <c r="FWL507" s="325"/>
      <c r="FWM507" s="325"/>
      <c r="FWN507" s="325"/>
      <c r="FWO507" s="325"/>
      <c r="FWP507" s="325"/>
      <c r="FWQ507" s="325"/>
      <c r="FWR507" s="325"/>
      <c r="FWS507" s="325"/>
      <c r="FWT507" s="325"/>
      <c r="FWU507" s="325"/>
      <c r="FWV507" s="325"/>
      <c r="FWW507" s="325"/>
      <c r="FWX507" s="325"/>
      <c r="FWY507" s="325"/>
      <c r="FWZ507" s="325"/>
      <c r="FXA507" s="325"/>
      <c r="FXB507" s="325"/>
      <c r="FXC507" s="325"/>
      <c r="FXD507" s="325"/>
      <c r="FXE507" s="325"/>
      <c r="FXF507" s="325"/>
      <c r="FXG507" s="325"/>
      <c r="FXH507" s="327"/>
      <c r="FXI507" s="28"/>
      <c r="FXJ507" s="324"/>
      <c r="FXK507" s="324"/>
      <c r="FXL507" s="324"/>
      <c r="FXM507" s="324"/>
      <c r="FXN507" s="324"/>
      <c r="FXO507" s="324"/>
      <c r="FXP507" s="256"/>
      <c r="FXQ507" s="325"/>
      <c r="FXR507" s="311"/>
      <c r="FXS507" s="325"/>
      <c r="FXT507" s="310"/>
      <c r="FXU507" s="325"/>
      <c r="FXV507" s="325"/>
      <c r="FXW507" s="325"/>
      <c r="FXX507" s="325"/>
      <c r="FXY507" s="325"/>
      <c r="FXZ507" s="325"/>
      <c r="FYA507" s="325"/>
      <c r="FYB507" s="325"/>
      <c r="FYC507" s="325"/>
      <c r="FYD507" s="325"/>
      <c r="FYE507" s="325"/>
      <c r="FYF507" s="325"/>
      <c r="FYG507" s="325"/>
      <c r="FYH507" s="325"/>
      <c r="FYI507" s="325"/>
      <c r="FYJ507" s="325"/>
      <c r="FYK507" s="325"/>
      <c r="FYL507" s="325"/>
      <c r="FYM507" s="325"/>
      <c r="FYN507" s="325"/>
      <c r="FYO507" s="325"/>
      <c r="FYP507" s="325"/>
      <c r="FYQ507" s="325"/>
      <c r="FYR507" s="325"/>
      <c r="FYS507" s="325"/>
      <c r="FYT507" s="325"/>
      <c r="FYU507" s="325"/>
      <c r="FYV507" s="325"/>
      <c r="FYW507" s="325"/>
      <c r="FYX507" s="325"/>
      <c r="FYY507" s="327"/>
      <c r="FYZ507" s="28"/>
      <c r="FZA507" s="324"/>
      <c r="FZB507" s="324"/>
      <c r="FZC507" s="324"/>
      <c r="FZD507" s="324"/>
      <c r="FZE507" s="324"/>
      <c r="FZF507" s="324"/>
      <c r="FZG507" s="256"/>
      <c r="FZH507" s="325"/>
      <c r="FZI507" s="311"/>
      <c r="FZJ507" s="325"/>
      <c r="FZK507" s="310"/>
      <c r="FZL507" s="325"/>
      <c r="FZM507" s="325"/>
      <c r="FZN507" s="325"/>
      <c r="FZO507" s="325"/>
      <c r="FZP507" s="325"/>
      <c r="FZQ507" s="325"/>
      <c r="FZR507" s="325"/>
      <c r="FZS507" s="325"/>
      <c r="FZT507" s="325"/>
      <c r="FZU507" s="325"/>
      <c r="FZV507" s="325"/>
      <c r="FZW507" s="325"/>
      <c r="FZX507" s="325"/>
      <c r="FZY507" s="325"/>
      <c r="FZZ507" s="325"/>
      <c r="GAA507" s="325"/>
      <c r="GAB507" s="325"/>
      <c r="GAC507" s="325"/>
      <c r="GAD507" s="325"/>
      <c r="GAE507" s="325"/>
      <c r="GAF507" s="325"/>
      <c r="GAG507" s="325"/>
      <c r="GAH507" s="325"/>
      <c r="GAI507" s="325"/>
      <c r="GAJ507" s="325"/>
      <c r="GAK507" s="325"/>
      <c r="GAL507" s="325"/>
      <c r="GAM507" s="325"/>
      <c r="GAN507" s="325"/>
      <c r="GAO507" s="325"/>
      <c r="GAP507" s="327"/>
      <c r="GAQ507" s="28"/>
      <c r="GAR507" s="324"/>
      <c r="GAS507" s="324"/>
      <c r="GAT507" s="324"/>
      <c r="GAU507" s="324"/>
      <c r="GAV507" s="324"/>
      <c r="GAW507" s="324"/>
      <c r="GAX507" s="256"/>
      <c r="GAY507" s="325"/>
      <c r="GAZ507" s="311"/>
      <c r="GBA507" s="325"/>
      <c r="GBB507" s="310"/>
      <c r="GBC507" s="325"/>
      <c r="GBD507" s="325"/>
      <c r="GBE507" s="325"/>
      <c r="GBF507" s="325"/>
      <c r="GBG507" s="325"/>
      <c r="GBH507" s="325"/>
      <c r="GBI507" s="325"/>
      <c r="GBJ507" s="325"/>
      <c r="GBK507" s="325"/>
      <c r="GBL507" s="325"/>
      <c r="GBM507" s="325"/>
      <c r="GBN507" s="325"/>
      <c r="GBO507" s="325"/>
      <c r="GBP507" s="325"/>
      <c r="GBQ507" s="325"/>
      <c r="GBR507" s="325"/>
      <c r="GBS507" s="325"/>
      <c r="GBT507" s="325"/>
      <c r="GBU507" s="325"/>
      <c r="GBV507" s="325"/>
      <c r="GBW507" s="325"/>
      <c r="GBX507" s="325"/>
      <c r="GBY507" s="325"/>
      <c r="GBZ507" s="325"/>
      <c r="GCA507" s="325"/>
      <c r="GCB507" s="325"/>
      <c r="GCC507" s="325"/>
      <c r="GCD507" s="325"/>
      <c r="GCE507" s="325"/>
      <c r="GCF507" s="325"/>
      <c r="GCG507" s="327"/>
      <c r="GCH507" s="28"/>
      <c r="GCI507" s="324"/>
      <c r="GCJ507" s="324"/>
      <c r="GCK507" s="324"/>
      <c r="GCL507" s="324"/>
      <c r="GCM507" s="324"/>
      <c r="GCN507" s="324"/>
      <c r="GCO507" s="256"/>
      <c r="GCP507" s="325"/>
      <c r="GCQ507" s="311"/>
      <c r="GCR507" s="325"/>
      <c r="GCS507" s="310"/>
      <c r="GCT507" s="325"/>
      <c r="GCU507" s="325"/>
      <c r="GCV507" s="325"/>
      <c r="GCW507" s="325"/>
      <c r="GCX507" s="325"/>
      <c r="GCY507" s="325"/>
      <c r="GCZ507" s="325"/>
      <c r="GDA507" s="325"/>
      <c r="GDB507" s="325"/>
      <c r="GDC507" s="325"/>
      <c r="GDD507" s="325"/>
      <c r="GDE507" s="325"/>
      <c r="GDF507" s="325"/>
      <c r="GDG507" s="325"/>
      <c r="GDH507" s="325"/>
      <c r="GDI507" s="325"/>
      <c r="GDJ507" s="325"/>
      <c r="GDK507" s="325"/>
      <c r="GDL507" s="325"/>
      <c r="GDM507" s="325"/>
      <c r="GDN507" s="325"/>
      <c r="GDO507" s="325"/>
      <c r="GDP507" s="325"/>
      <c r="GDQ507" s="325"/>
      <c r="GDR507" s="325"/>
      <c r="GDS507" s="325"/>
      <c r="GDT507" s="325"/>
      <c r="GDU507" s="325"/>
      <c r="GDV507" s="325"/>
      <c r="GDW507" s="325"/>
      <c r="GDX507" s="327"/>
      <c r="GDY507" s="28"/>
      <c r="GDZ507" s="324"/>
      <c r="GEA507" s="324"/>
      <c r="GEB507" s="324"/>
      <c r="GEC507" s="324"/>
      <c r="GED507" s="324"/>
      <c r="GEE507" s="324"/>
      <c r="GEF507" s="256"/>
      <c r="GEG507" s="325"/>
      <c r="GEH507" s="311"/>
      <c r="GEI507" s="325"/>
      <c r="GEJ507" s="310"/>
      <c r="GEK507" s="325"/>
      <c r="GEL507" s="325"/>
      <c r="GEM507" s="325"/>
      <c r="GEN507" s="325"/>
      <c r="GEO507" s="325"/>
      <c r="GEP507" s="325"/>
      <c r="GEQ507" s="325"/>
      <c r="GER507" s="325"/>
      <c r="GES507" s="325"/>
      <c r="GET507" s="325"/>
      <c r="GEU507" s="325"/>
      <c r="GEV507" s="325"/>
      <c r="GEW507" s="325"/>
      <c r="GEX507" s="325"/>
      <c r="GEY507" s="325"/>
      <c r="GEZ507" s="325"/>
      <c r="GFA507" s="325"/>
      <c r="GFB507" s="325"/>
      <c r="GFC507" s="325"/>
      <c r="GFD507" s="325"/>
      <c r="GFE507" s="325"/>
      <c r="GFF507" s="325"/>
      <c r="GFG507" s="325"/>
      <c r="GFH507" s="325"/>
      <c r="GFI507" s="325"/>
      <c r="GFJ507" s="325"/>
      <c r="GFK507" s="325"/>
      <c r="GFL507" s="325"/>
      <c r="GFM507" s="325"/>
      <c r="GFN507" s="325"/>
      <c r="GFO507" s="327"/>
      <c r="GFP507" s="28"/>
      <c r="GFQ507" s="324"/>
      <c r="GFR507" s="324"/>
      <c r="GFS507" s="324"/>
      <c r="GFT507" s="324"/>
      <c r="GFU507" s="324"/>
      <c r="GFV507" s="324"/>
      <c r="GFW507" s="256"/>
      <c r="GFX507" s="325"/>
      <c r="GFY507" s="311"/>
      <c r="GFZ507" s="325"/>
      <c r="GGA507" s="310"/>
      <c r="GGB507" s="325"/>
      <c r="GGC507" s="325"/>
      <c r="GGD507" s="325"/>
      <c r="GGE507" s="325"/>
      <c r="GGF507" s="325"/>
      <c r="GGG507" s="325"/>
      <c r="GGH507" s="325"/>
      <c r="GGI507" s="325"/>
      <c r="GGJ507" s="325"/>
      <c r="GGK507" s="325"/>
      <c r="GGL507" s="325"/>
      <c r="GGM507" s="325"/>
      <c r="GGN507" s="325"/>
      <c r="GGO507" s="325"/>
      <c r="GGP507" s="325"/>
      <c r="GGQ507" s="325"/>
      <c r="GGR507" s="325"/>
      <c r="GGS507" s="325"/>
      <c r="GGT507" s="325"/>
      <c r="GGU507" s="325"/>
      <c r="GGV507" s="325"/>
      <c r="GGW507" s="325"/>
      <c r="GGX507" s="325"/>
      <c r="GGY507" s="325"/>
      <c r="GGZ507" s="325"/>
      <c r="GHA507" s="325"/>
      <c r="GHB507" s="325"/>
      <c r="GHC507" s="325"/>
      <c r="GHD507" s="325"/>
      <c r="GHE507" s="325"/>
      <c r="GHF507" s="327"/>
      <c r="GHG507" s="28"/>
      <c r="GHH507" s="324"/>
      <c r="GHI507" s="324"/>
      <c r="GHJ507" s="324"/>
      <c r="GHK507" s="324"/>
      <c r="GHL507" s="324"/>
      <c r="GHM507" s="324"/>
      <c r="GHN507" s="256"/>
      <c r="GHO507" s="325"/>
      <c r="GHP507" s="311"/>
      <c r="GHQ507" s="325"/>
      <c r="GHR507" s="310"/>
      <c r="GHS507" s="325"/>
      <c r="GHT507" s="325"/>
      <c r="GHU507" s="325"/>
      <c r="GHV507" s="325"/>
      <c r="GHW507" s="325"/>
      <c r="GHX507" s="325"/>
      <c r="GHY507" s="325"/>
      <c r="GHZ507" s="325"/>
      <c r="GIA507" s="325"/>
      <c r="GIB507" s="325"/>
      <c r="GIC507" s="325"/>
      <c r="GID507" s="325"/>
      <c r="GIE507" s="325"/>
      <c r="GIF507" s="325"/>
      <c r="GIG507" s="325"/>
      <c r="GIH507" s="325"/>
      <c r="GII507" s="325"/>
      <c r="GIJ507" s="325"/>
      <c r="GIK507" s="325"/>
      <c r="GIL507" s="325"/>
      <c r="GIM507" s="325"/>
      <c r="GIN507" s="325"/>
      <c r="GIO507" s="325"/>
      <c r="GIP507" s="325"/>
      <c r="GIQ507" s="325"/>
      <c r="GIR507" s="325"/>
      <c r="GIS507" s="325"/>
      <c r="GIT507" s="325"/>
      <c r="GIU507" s="325"/>
      <c r="GIV507" s="325"/>
      <c r="GIW507" s="327"/>
      <c r="GIX507" s="28"/>
      <c r="GIY507" s="324"/>
      <c r="GIZ507" s="324"/>
      <c r="GJA507" s="324"/>
      <c r="GJB507" s="324"/>
      <c r="GJC507" s="324"/>
      <c r="GJD507" s="324"/>
      <c r="GJE507" s="256"/>
      <c r="GJF507" s="325"/>
      <c r="GJG507" s="311"/>
      <c r="GJH507" s="325"/>
      <c r="GJI507" s="310"/>
      <c r="GJJ507" s="325"/>
      <c r="GJK507" s="325"/>
      <c r="GJL507" s="325"/>
      <c r="GJM507" s="325"/>
      <c r="GJN507" s="325"/>
      <c r="GJO507" s="325"/>
      <c r="GJP507" s="325"/>
      <c r="GJQ507" s="325"/>
      <c r="GJR507" s="325"/>
      <c r="GJS507" s="325"/>
      <c r="GJT507" s="325"/>
      <c r="GJU507" s="325"/>
      <c r="GJV507" s="325"/>
      <c r="GJW507" s="325"/>
      <c r="GJX507" s="325"/>
      <c r="GJY507" s="325"/>
      <c r="GJZ507" s="325"/>
      <c r="GKA507" s="325"/>
      <c r="GKB507" s="325"/>
      <c r="GKC507" s="325"/>
      <c r="GKD507" s="325"/>
      <c r="GKE507" s="325"/>
      <c r="GKF507" s="325"/>
      <c r="GKG507" s="325"/>
      <c r="GKH507" s="325"/>
      <c r="GKI507" s="325"/>
      <c r="GKJ507" s="325"/>
      <c r="GKK507" s="325"/>
      <c r="GKL507" s="325"/>
      <c r="GKM507" s="325"/>
      <c r="GKN507" s="327"/>
      <c r="GKO507" s="28"/>
      <c r="GKP507" s="324"/>
      <c r="GKQ507" s="324"/>
      <c r="GKR507" s="324"/>
      <c r="GKS507" s="324"/>
      <c r="GKT507" s="324"/>
      <c r="GKU507" s="324"/>
      <c r="GKV507" s="256"/>
      <c r="GKW507" s="325"/>
      <c r="GKX507" s="311"/>
      <c r="GKY507" s="325"/>
      <c r="GKZ507" s="310"/>
      <c r="GLA507" s="325"/>
      <c r="GLB507" s="325"/>
      <c r="GLC507" s="325"/>
      <c r="GLD507" s="325"/>
      <c r="GLE507" s="325"/>
      <c r="GLF507" s="325"/>
      <c r="GLG507" s="325"/>
      <c r="GLH507" s="325"/>
      <c r="GLI507" s="325"/>
      <c r="GLJ507" s="325"/>
      <c r="GLK507" s="325"/>
      <c r="GLL507" s="325"/>
      <c r="GLM507" s="325"/>
      <c r="GLN507" s="325"/>
      <c r="GLO507" s="325"/>
      <c r="GLP507" s="325"/>
      <c r="GLQ507" s="325"/>
      <c r="GLR507" s="325"/>
      <c r="GLS507" s="325"/>
      <c r="GLT507" s="325"/>
      <c r="GLU507" s="325"/>
      <c r="GLV507" s="325"/>
      <c r="GLW507" s="325"/>
      <c r="GLX507" s="325"/>
      <c r="GLY507" s="325"/>
      <c r="GLZ507" s="325"/>
      <c r="GMA507" s="325"/>
      <c r="GMB507" s="325"/>
      <c r="GMC507" s="325"/>
      <c r="GMD507" s="325"/>
      <c r="GME507" s="327"/>
      <c r="GMF507" s="28"/>
      <c r="GMG507" s="324"/>
      <c r="GMH507" s="324"/>
      <c r="GMI507" s="324"/>
      <c r="GMJ507" s="324"/>
      <c r="GMK507" s="324"/>
      <c r="GML507" s="324"/>
      <c r="GMM507" s="256"/>
      <c r="GMN507" s="325"/>
      <c r="GMO507" s="311"/>
      <c r="GMP507" s="325"/>
      <c r="GMQ507" s="310"/>
      <c r="GMR507" s="325"/>
      <c r="GMS507" s="325"/>
      <c r="GMT507" s="325"/>
      <c r="GMU507" s="325"/>
      <c r="GMV507" s="325"/>
      <c r="GMW507" s="325"/>
      <c r="GMX507" s="325"/>
      <c r="GMY507" s="325"/>
      <c r="GMZ507" s="325"/>
      <c r="GNA507" s="325"/>
      <c r="GNB507" s="325"/>
      <c r="GNC507" s="325"/>
      <c r="GND507" s="325"/>
      <c r="GNE507" s="325"/>
      <c r="GNF507" s="325"/>
      <c r="GNG507" s="325"/>
      <c r="GNH507" s="325"/>
      <c r="GNI507" s="325"/>
      <c r="GNJ507" s="325"/>
      <c r="GNK507" s="325"/>
      <c r="GNL507" s="325"/>
      <c r="GNM507" s="325"/>
      <c r="GNN507" s="325"/>
      <c r="GNO507" s="325"/>
      <c r="GNP507" s="325"/>
      <c r="GNQ507" s="325"/>
      <c r="GNR507" s="325"/>
      <c r="GNS507" s="325"/>
      <c r="GNT507" s="325"/>
      <c r="GNU507" s="325"/>
      <c r="GNV507" s="327"/>
      <c r="GNW507" s="28"/>
      <c r="GNX507" s="324"/>
      <c r="GNY507" s="324"/>
      <c r="GNZ507" s="324"/>
      <c r="GOA507" s="324"/>
      <c r="GOB507" s="324"/>
      <c r="GOC507" s="324"/>
      <c r="GOD507" s="256"/>
      <c r="GOE507" s="325"/>
      <c r="GOF507" s="311"/>
      <c r="GOG507" s="325"/>
      <c r="GOH507" s="310"/>
      <c r="GOI507" s="325"/>
      <c r="GOJ507" s="325"/>
      <c r="GOK507" s="325"/>
      <c r="GOL507" s="325"/>
      <c r="GOM507" s="325"/>
      <c r="GON507" s="325"/>
      <c r="GOO507" s="325"/>
      <c r="GOP507" s="325"/>
      <c r="GOQ507" s="325"/>
      <c r="GOR507" s="325"/>
      <c r="GOS507" s="325"/>
      <c r="GOT507" s="325"/>
      <c r="GOU507" s="325"/>
      <c r="GOV507" s="325"/>
      <c r="GOW507" s="325"/>
      <c r="GOX507" s="325"/>
      <c r="GOY507" s="325"/>
      <c r="GOZ507" s="325"/>
      <c r="GPA507" s="325"/>
      <c r="GPB507" s="325"/>
      <c r="GPC507" s="325"/>
      <c r="GPD507" s="325"/>
      <c r="GPE507" s="325"/>
      <c r="GPF507" s="325"/>
      <c r="GPG507" s="325"/>
      <c r="GPH507" s="325"/>
      <c r="GPI507" s="325"/>
      <c r="GPJ507" s="325"/>
      <c r="GPK507" s="325"/>
      <c r="GPL507" s="325"/>
      <c r="GPM507" s="327"/>
      <c r="GPN507" s="28"/>
      <c r="GPO507" s="324"/>
      <c r="GPP507" s="324"/>
      <c r="GPQ507" s="324"/>
      <c r="GPR507" s="324"/>
      <c r="GPS507" s="324"/>
      <c r="GPT507" s="324"/>
      <c r="GPU507" s="256"/>
      <c r="GPV507" s="325"/>
      <c r="GPW507" s="311"/>
      <c r="GPX507" s="325"/>
      <c r="GPY507" s="310"/>
      <c r="GPZ507" s="325"/>
      <c r="GQA507" s="325"/>
      <c r="GQB507" s="325"/>
      <c r="GQC507" s="325"/>
      <c r="GQD507" s="325"/>
      <c r="GQE507" s="325"/>
      <c r="GQF507" s="325"/>
      <c r="GQG507" s="325"/>
      <c r="GQH507" s="325"/>
      <c r="GQI507" s="325"/>
      <c r="GQJ507" s="325"/>
      <c r="GQK507" s="325"/>
      <c r="GQL507" s="325"/>
      <c r="GQM507" s="325"/>
      <c r="GQN507" s="325"/>
      <c r="GQO507" s="325"/>
      <c r="GQP507" s="325"/>
      <c r="GQQ507" s="325"/>
      <c r="GQR507" s="325"/>
      <c r="GQS507" s="325"/>
      <c r="GQT507" s="325"/>
      <c r="GQU507" s="325"/>
      <c r="GQV507" s="325"/>
      <c r="GQW507" s="325"/>
      <c r="GQX507" s="325"/>
      <c r="GQY507" s="325"/>
      <c r="GQZ507" s="325"/>
      <c r="GRA507" s="325"/>
      <c r="GRB507" s="325"/>
      <c r="GRC507" s="325"/>
      <c r="GRD507" s="327"/>
      <c r="GRE507" s="28"/>
      <c r="GRF507" s="324"/>
      <c r="GRG507" s="324"/>
      <c r="GRH507" s="324"/>
      <c r="GRI507" s="324"/>
      <c r="GRJ507" s="324"/>
      <c r="GRK507" s="324"/>
      <c r="GRL507" s="256"/>
      <c r="GRM507" s="325"/>
      <c r="GRN507" s="311"/>
      <c r="GRO507" s="325"/>
      <c r="GRP507" s="310"/>
      <c r="GRQ507" s="325"/>
      <c r="GRR507" s="325"/>
      <c r="GRS507" s="325"/>
      <c r="GRT507" s="325"/>
      <c r="GRU507" s="325"/>
      <c r="GRV507" s="325"/>
      <c r="GRW507" s="325"/>
      <c r="GRX507" s="325"/>
      <c r="GRY507" s="325"/>
      <c r="GRZ507" s="325"/>
      <c r="GSA507" s="325"/>
      <c r="GSB507" s="325"/>
      <c r="GSC507" s="325"/>
      <c r="GSD507" s="325"/>
      <c r="GSE507" s="325"/>
      <c r="GSF507" s="325"/>
      <c r="GSG507" s="325"/>
      <c r="GSH507" s="325"/>
      <c r="GSI507" s="325"/>
      <c r="GSJ507" s="325"/>
      <c r="GSK507" s="325"/>
      <c r="GSL507" s="325"/>
      <c r="GSM507" s="325"/>
      <c r="GSN507" s="325"/>
      <c r="GSO507" s="325"/>
      <c r="GSP507" s="325"/>
      <c r="GSQ507" s="325"/>
      <c r="GSR507" s="325"/>
      <c r="GSS507" s="325"/>
      <c r="GST507" s="325"/>
      <c r="GSU507" s="327"/>
      <c r="GSV507" s="28"/>
      <c r="GSW507" s="324"/>
      <c r="GSX507" s="324"/>
      <c r="GSY507" s="324"/>
      <c r="GSZ507" s="324"/>
      <c r="GTA507" s="324"/>
      <c r="GTB507" s="324"/>
      <c r="GTC507" s="256"/>
      <c r="GTD507" s="325"/>
      <c r="GTE507" s="311"/>
      <c r="GTF507" s="325"/>
      <c r="GTG507" s="310"/>
      <c r="GTH507" s="325"/>
      <c r="GTI507" s="325"/>
      <c r="GTJ507" s="325"/>
      <c r="GTK507" s="325"/>
      <c r="GTL507" s="325"/>
      <c r="GTM507" s="325"/>
      <c r="GTN507" s="325"/>
      <c r="GTO507" s="325"/>
      <c r="GTP507" s="325"/>
      <c r="GTQ507" s="325"/>
      <c r="GTR507" s="325"/>
      <c r="GTS507" s="325"/>
      <c r="GTT507" s="325"/>
      <c r="GTU507" s="325"/>
      <c r="GTV507" s="325"/>
      <c r="GTW507" s="325"/>
      <c r="GTX507" s="325"/>
      <c r="GTY507" s="325"/>
      <c r="GTZ507" s="325"/>
      <c r="GUA507" s="325"/>
      <c r="GUB507" s="325"/>
      <c r="GUC507" s="325"/>
      <c r="GUD507" s="325"/>
      <c r="GUE507" s="325"/>
      <c r="GUF507" s="325"/>
      <c r="GUG507" s="325"/>
      <c r="GUH507" s="325"/>
      <c r="GUI507" s="325"/>
      <c r="GUJ507" s="325"/>
      <c r="GUK507" s="325"/>
      <c r="GUL507" s="327"/>
      <c r="GUM507" s="28"/>
      <c r="GUN507" s="324"/>
      <c r="GUO507" s="324"/>
      <c r="GUP507" s="324"/>
      <c r="GUQ507" s="324"/>
      <c r="GUR507" s="324"/>
      <c r="GUS507" s="324"/>
      <c r="GUT507" s="256"/>
      <c r="GUU507" s="325"/>
      <c r="GUV507" s="311"/>
      <c r="GUW507" s="325"/>
      <c r="GUX507" s="310"/>
      <c r="GUY507" s="325"/>
      <c r="GUZ507" s="325"/>
      <c r="GVA507" s="325"/>
      <c r="GVB507" s="325"/>
      <c r="GVC507" s="325"/>
      <c r="GVD507" s="325"/>
      <c r="GVE507" s="325"/>
      <c r="GVF507" s="325"/>
      <c r="GVG507" s="325"/>
      <c r="GVH507" s="325"/>
      <c r="GVI507" s="325"/>
      <c r="GVJ507" s="325"/>
      <c r="GVK507" s="325"/>
      <c r="GVL507" s="325"/>
      <c r="GVM507" s="325"/>
      <c r="GVN507" s="325"/>
      <c r="GVO507" s="325"/>
      <c r="GVP507" s="325"/>
      <c r="GVQ507" s="325"/>
      <c r="GVR507" s="325"/>
      <c r="GVS507" s="325"/>
      <c r="GVT507" s="325"/>
      <c r="GVU507" s="325"/>
      <c r="GVV507" s="325"/>
      <c r="GVW507" s="325"/>
      <c r="GVX507" s="325"/>
      <c r="GVY507" s="325"/>
      <c r="GVZ507" s="325"/>
      <c r="GWA507" s="325"/>
      <c r="GWB507" s="325"/>
      <c r="GWC507" s="327"/>
      <c r="GWD507" s="28"/>
      <c r="GWE507" s="324"/>
      <c r="GWF507" s="324"/>
      <c r="GWG507" s="324"/>
      <c r="GWH507" s="324"/>
      <c r="GWI507" s="324"/>
      <c r="GWJ507" s="324"/>
      <c r="GWK507" s="256"/>
      <c r="GWL507" s="325"/>
      <c r="GWM507" s="311"/>
      <c r="GWN507" s="325"/>
      <c r="GWO507" s="310"/>
      <c r="GWP507" s="325"/>
      <c r="GWQ507" s="325"/>
      <c r="GWR507" s="325"/>
      <c r="GWS507" s="325"/>
      <c r="GWT507" s="325"/>
      <c r="GWU507" s="325"/>
      <c r="GWV507" s="325"/>
      <c r="GWW507" s="325"/>
      <c r="GWX507" s="325"/>
      <c r="GWY507" s="325"/>
      <c r="GWZ507" s="325"/>
      <c r="GXA507" s="325"/>
      <c r="GXB507" s="325"/>
      <c r="GXC507" s="325"/>
      <c r="GXD507" s="325"/>
      <c r="GXE507" s="325"/>
      <c r="GXF507" s="325"/>
      <c r="GXG507" s="325"/>
      <c r="GXH507" s="325"/>
      <c r="GXI507" s="325"/>
      <c r="GXJ507" s="325"/>
      <c r="GXK507" s="325"/>
      <c r="GXL507" s="325"/>
      <c r="GXM507" s="325"/>
      <c r="GXN507" s="325"/>
      <c r="GXO507" s="325"/>
      <c r="GXP507" s="325"/>
      <c r="GXQ507" s="325"/>
      <c r="GXR507" s="325"/>
      <c r="GXS507" s="325"/>
      <c r="GXT507" s="327"/>
      <c r="GXU507" s="28"/>
      <c r="GXV507" s="324"/>
      <c r="GXW507" s="324"/>
      <c r="GXX507" s="324"/>
      <c r="GXY507" s="324"/>
      <c r="GXZ507" s="324"/>
      <c r="GYA507" s="324"/>
      <c r="GYB507" s="256"/>
      <c r="GYC507" s="325"/>
      <c r="GYD507" s="311"/>
      <c r="GYE507" s="325"/>
      <c r="GYF507" s="310"/>
      <c r="GYG507" s="325"/>
      <c r="GYH507" s="325"/>
      <c r="GYI507" s="325"/>
      <c r="GYJ507" s="325"/>
      <c r="GYK507" s="325"/>
      <c r="GYL507" s="325"/>
      <c r="GYM507" s="325"/>
      <c r="GYN507" s="325"/>
      <c r="GYO507" s="325"/>
      <c r="GYP507" s="325"/>
      <c r="GYQ507" s="325"/>
      <c r="GYR507" s="325"/>
      <c r="GYS507" s="325"/>
      <c r="GYT507" s="325"/>
      <c r="GYU507" s="325"/>
      <c r="GYV507" s="325"/>
      <c r="GYW507" s="325"/>
      <c r="GYX507" s="325"/>
      <c r="GYY507" s="325"/>
      <c r="GYZ507" s="325"/>
      <c r="GZA507" s="325"/>
      <c r="GZB507" s="325"/>
      <c r="GZC507" s="325"/>
      <c r="GZD507" s="325"/>
      <c r="GZE507" s="325"/>
      <c r="GZF507" s="325"/>
      <c r="GZG507" s="325"/>
      <c r="GZH507" s="325"/>
      <c r="GZI507" s="325"/>
      <c r="GZJ507" s="325"/>
      <c r="GZK507" s="327"/>
      <c r="GZL507" s="28"/>
      <c r="GZM507" s="324"/>
      <c r="GZN507" s="324"/>
      <c r="GZO507" s="324"/>
      <c r="GZP507" s="324"/>
      <c r="GZQ507" s="324"/>
      <c r="GZR507" s="324"/>
      <c r="GZS507" s="256"/>
      <c r="GZT507" s="325"/>
      <c r="GZU507" s="311"/>
      <c r="GZV507" s="325"/>
      <c r="GZW507" s="310"/>
      <c r="GZX507" s="325"/>
      <c r="GZY507" s="325"/>
      <c r="GZZ507" s="325"/>
      <c r="HAA507" s="325"/>
      <c r="HAB507" s="325"/>
      <c r="HAC507" s="325"/>
      <c r="HAD507" s="325"/>
      <c r="HAE507" s="325"/>
      <c r="HAF507" s="325"/>
      <c r="HAG507" s="325"/>
      <c r="HAH507" s="325"/>
      <c r="HAI507" s="325"/>
      <c r="HAJ507" s="325"/>
      <c r="HAK507" s="325"/>
      <c r="HAL507" s="325"/>
      <c r="HAM507" s="325"/>
      <c r="HAN507" s="325"/>
      <c r="HAO507" s="325"/>
      <c r="HAP507" s="325"/>
      <c r="HAQ507" s="325"/>
      <c r="HAR507" s="325"/>
      <c r="HAS507" s="325"/>
      <c r="HAT507" s="325"/>
      <c r="HAU507" s="325"/>
      <c r="HAV507" s="325"/>
      <c r="HAW507" s="325"/>
      <c r="HAX507" s="325"/>
      <c r="HAY507" s="325"/>
      <c r="HAZ507" s="325"/>
      <c r="HBA507" s="325"/>
      <c r="HBB507" s="327"/>
      <c r="HBC507" s="28"/>
      <c r="HBD507" s="324"/>
      <c r="HBE507" s="324"/>
      <c r="HBF507" s="324"/>
      <c r="HBG507" s="324"/>
      <c r="HBH507" s="324"/>
      <c r="HBI507" s="324"/>
      <c r="HBJ507" s="256"/>
      <c r="HBK507" s="325"/>
      <c r="HBL507" s="311"/>
      <c r="HBM507" s="325"/>
      <c r="HBN507" s="310"/>
      <c r="HBO507" s="325"/>
      <c r="HBP507" s="325"/>
      <c r="HBQ507" s="325"/>
      <c r="HBR507" s="325"/>
      <c r="HBS507" s="325"/>
      <c r="HBT507" s="325"/>
      <c r="HBU507" s="325"/>
      <c r="HBV507" s="325"/>
      <c r="HBW507" s="325"/>
      <c r="HBX507" s="325"/>
      <c r="HBY507" s="325"/>
      <c r="HBZ507" s="325"/>
      <c r="HCA507" s="325"/>
      <c r="HCB507" s="325"/>
      <c r="HCC507" s="325"/>
      <c r="HCD507" s="325"/>
      <c r="HCE507" s="325"/>
      <c r="HCF507" s="325"/>
      <c r="HCG507" s="325"/>
      <c r="HCH507" s="325"/>
      <c r="HCI507" s="325"/>
      <c r="HCJ507" s="325"/>
      <c r="HCK507" s="325"/>
      <c r="HCL507" s="325"/>
      <c r="HCM507" s="325"/>
      <c r="HCN507" s="325"/>
      <c r="HCO507" s="325"/>
      <c r="HCP507" s="325"/>
      <c r="HCQ507" s="325"/>
      <c r="HCR507" s="325"/>
      <c r="HCS507" s="327"/>
      <c r="HCT507" s="28"/>
      <c r="HCU507" s="324"/>
      <c r="HCV507" s="324"/>
      <c r="HCW507" s="324"/>
      <c r="HCX507" s="324"/>
      <c r="HCY507" s="324"/>
      <c r="HCZ507" s="324"/>
      <c r="HDA507" s="256"/>
      <c r="HDB507" s="325"/>
      <c r="HDC507" s="311"/>
      <c r="HDD507" s="325"/>
      <c r="HDE507" s="310"/>
      <c r="HDF507" s="325"/>
      <c r="HDG507" s="325"/>
      <c r="HDH507" s="325"/>
      <c r="HDI507" s="325"/>
      <c r="HDJ507" s="325"/>
      <c r="HDK507" s="325"/>
      <c r="HDL507" s="325"/>
      <c r="HDM507" s="325"/>
      <c r="HDN507" s="325"/>
      <c r="HDO507" s="325"/>
      <c r="HDP507" s="325"/>
      <c r="HDQ507" s="325"/>
      <c r="HDR507" s="325"/>
      <c r="HDS507" s="325"/>
      <c r="HDT507" s="325"/>
      <c r="HDU507" s="325"/>
      <c r="HDV507" s="325"/>
      <c r="HDW507" s="325"/>
      <c r="HDX507" s="325"/>
      <c r="HDY507" s="325"/>
      <c r="HDZ507" s="325"/>
      <c r="HEA507" s="325"/>
      <c r="HEB507" s="325"/>
      <c r="HEC507" s="325"/>
      <c r="HED507" s="325"/>
      <c r="HEE507" s="325"/>
      <c r="HEF507" s="325"/>
      <c r="HEG507" s="325"/>
      <c r="HEH507" s="325"/>
      <c r="HEI507" s="325"/>
      <c r="HEJ507" s="327"/>
      <c r="HEK507" s="28"/>
      <c r="HEL507" s="324"/>
      <c r="HEM507" s="324"/>
      <c r="HEN507" s="324"/>
      <c r="HEO507" s="324"/>
      <c r="HEP507" s="324"/>
      <c r="HEQ507" s="324"/>
      <c r="HER507" s="256"/>
      <c r="HES507" s="325"/>
      <c r="HET507" s="311"/>
      <c r="HEU507" s="325"/>
      <c r="HEV507" s="310"/>
      <c r="HEW507" s="325"/>
      <c r="HEX507" s="325"/>
      <c r="HEY507" s="325"/>
      <c r="HEZ507" s="325"/>
      <c r="HFA507" s="325"/>
      <c r="HFB507" s="325"/>
      <c r="HFC507" s="325"/>
      <c r="HFD507" s="325"/>
      <c r="HFE507" s="325"/>
      <c r="HFF507" s="325"/>
      <c r="HFG507" s="325"/>
      <c r="HFH507" s="325"/>
      <c r="HFI507" s="325"/>
      <c r="HFJ507" s="325"/>
      <c r="HFK507" s="325"/>
      <c r="HFL507" s="325"/>
      <c r="HFM507" s="325"/>
      <c r="HFN507" s="325"/>
      <c r="HFO507" s="325"/>
      <c r="HFP507" s="325"/>
      <c r="HFQ507" s="325"/>
      <c r="HFR507" s="325"/>
      <c r="HFS507" s="325"/>
      <c r="HFT507" s="325"/>
      <c r="HFU507" s="325"/>
      <c r="HFV507" s="325"/>
      <c r="HFW507" s="325"/>
      <c r="HFX507" s="325"/>
      <c r="HFY507" s="325"/>
      <c r="HFZ507" s="325"/>
      <c r="HGA507" s="327"/>
      <c r="HGB507" s="28"/>
      <c r="HGC507" s="324"/>
      <c r="HGD507" s="324"/>
      <c r="HGE507" s="324"/>
      <c r="HGF507" s="324"/>
      <c r="HGG507" s="324"/>
      <c r="HGH507" s="324"/>
      <c r="HGI507" s="256"/>
      <c r="HGJ507" s="325"/>
      <c r="HGK507" s="311"/>
      <c r="HGL507" s="325"/>
      <c r="HGM507" s="310"/>
      <c r="HGN507" s="325"/>
      <c r="HGO507" s="325"/>
      <c r="HGP507" s="325"/>
      <c r="HGQ507" s="325"/>
      <c r="HGR507" s="325"/>
      <c r="HGS507" s="325"/>
      <c r="HGT507" s="325"/>
      <c r="HGU507" s="325"/>
      <c r="HGV507" s="325"/>
      <c r="HGW507" s="325"/>
      <c r="HGX507" s="325"/>
      <c r="HGY507" s="325"/>
      <c r="HGZ507" s="325"/>
      <c r="HHA507" s="325"/>
      <c r="HHB507" s="325"/>
      <c r="HHC507" s="325"/>
      <c r="HHD507" s="325"/>
      <c r="HHE507" s="325"/>
      <c r="HHF507" s="325"/>
      <c r="HHG507" s="325"/>
      <c r="HHH507" s="325"/>
      <c r="HHI507" s="325"/>
      <c r="HHJ507" s="325"/>
      <c r="HHK507" s="325"/>
      <c r="HHL507" s="325"/>
      <c r="HHM507" s="325"/>
      <c r="HHN507" s="325"/>
      <c r="HHO507" s="325"/>
      <c r="HHP507" s="325"/>
      <c r="HHQ507" s="325"/>
      <c r="HHR507" s="327"/>
      <c r="HHS507" s="28"/>
      <c r="HHT507" s="324"/>
      <c r="HHU507" s="324"/>
      <c r="HHV507" s="324"/>
      <c r="HHW507" s="324"/>
      <c r="HHX507" s="324"/>
      <c r="HHY507" s="324"/>
      <c r="HHZ507" s="256"/>
      <c r="HIA507" s="325"/>
      <c r="HIB507" s="311"/>
      <c r="HIC507" s="325"/>
      <c r="HID507" s="310"/>
      <c r="HIE507" s="325"/>
      <c r="HIF507" s="325"/>
      <c r="HIG507" s="325"/>
      <c r="HIH507" s="325"/>
      <c r="HII507" s="325"/>
      <c r="HIJ507" s="325"/>
      <c r="HIK507" s="325"/>
      <c r="HIL507" s="325"/>
      <c r="HIM507" s="325"/>
      <c r="HIN507" s="325"/>
      <c r="HIO507" s="325"/>
      <c r="HIP507" s="325"/>
      <c r="HIQ507" s="325"/>
      <c r="HIR507" s="325"/>
      <c r="HIS507" s="325"/>
      <c r="HIT507" s="325"/>
      <c r="HIU507" s="325"/>
      <c r="HIV507" s="325"/>
      <c r="HIW507" s="325"/>
      <c r="HIX507" s="325"/>
      <c r="HIY507" s="325"/>
      <c r="HIZ507" s="325"/>
      <c r="HJA507" s="325"/>
      <c r="HJB507" s="325"/>
      <c r="HJC507" s="325"/>
      <c r="HJD507" s="325"/>
      <c r="HJE507" s="325"/>
      <c r="HJF507" s="325"/>
      <c r="HJG507" s="325"/>
      <c r="HJH507" s="325"/>
      <c r="HJI507" s="327"/>
      <c r="HJJ507" s="28"/>
      <c r="HJK507" s="324"/>
      <c r="HJL507" s="324"/>
      <c r="HJM507" s="324"/>
      <c r="HJN507" s="324"/>
      <c r="HJO507" s="324"/>
      <c r="HJP507" s="324"/>
      <c r="HJQ507" s="256"/>
      <c r="HJR507" s="325"/>
      <c r="HJS507" s="311"/>
      <c r="HJT507" s="325"/>
      <c r="HJU507" s="310"/>
      <c r="HJV507" s="325"/>
      <c r="HJW507" s="325"/>
      <c r="HJX507" s="325"/>
      <c r="HJY507" s="325"/>
      <c r="HJZ507" s="325"/>
      <c r="HKA507" s="325"/>
      <c r="HKB507" s="325"/>
      <c r="HKC507" s="325"/>
      <c r="HKD507" s="325"/>
      <c r="HKE507" s="325"/>
      <c r="HKF507" s="325"/>
      <c r="HKG507" s="325"/>
      <c r="HKH507" s="325"/>
      <c r="HKI507" s="325"/>
      <c r="HKJ507" s="325"/>
      <c r="HKK507" s="325"/>
      <c r="HKL507" s="325"/>
      <c r="HKM507" s="325"/>
      <c r="HKN507" s="325"/>
      <c r="HKO507" s="325"/>
      <c r="HKP507" s="325"/>
      <c r="HKQ507" s="325"/>
      <c r="HKR507" s="325"/>
      <c r="HKS507" s="325"/>
      <c r="HKT507" s="325"/>
      <c r="HKU507" s="325"/>
      <c r="HKV507" s="325"/>
      <c r="HKW507" s="325"/>
      <c r="HKX507" s="325"/>
      <c r="HKY507" s="325"/>
      <c r="HKZ507" s="327"/>
      <c r="HLA507" s="28"/>
      <c r="HLB507" s="324"/>
      <c r="HLC507" s="324"/>
      <c r="HLD507" s="324"/>
      <c r="HLE507" s="324"/>
      <c r="HLF507" s="324"/>
      <c r="HLG507" s="324"/>
      <c r="HLH507" s="256"/>
      <c r="HLI507" s="325"/>
      <c r="HLJ507" s="311"/>
      <c r="HLK507" s="325"/>
      <c r="HLL507" s="310"/>
      <c r="HLM507" s="325"/>
      <c r="HLN507" s="325"/>
      <c r="HLO507" s="325"/>
      <c r="HLP507" s="325"/>
      <c r="HLQ507" s="325"/>
      <c r="HLR507" s="325"/>
      <c r="HLS507" s="325"/>
      <c r="HLT507" s="325"/>
      <c r="HLU507" s="325"/>
      <c r="HLV507" s="325"/>
      <c r="HLW507" s="325"/>
      <c r="HLX507" s="325"/>
      <c r="HLY507" s="325"/>
      <c r="HLZ507" s="325"/>
      <c r="HMA507" s="325"/>
      <c r="HMB507" s="325"/>
      <c r="HMC507" s="325"/>
      <c r="HMD507" s="325"/>
      <c r="HME507" s="325"/>
      <c r="HMF507" s="325"/>
      <c r="HMG507" s="325"/>
      <c r="HMH507" s="325"/>
      <c r="HMI507" s="325"/>
      <c r="HMJ507" s="325"/>
      <c r="HMK507" s="325"/>
      <c r="HML507" s="325"/>
      <c r="HMM507" s="325"/>
      <c r="HMN507" s="325"/>
      <c r="HMO507" s="325"/>
      <c r="HMP507" s="325"/>
      <c r="HMQ507" s="327"/>
      <c r="HMR507" s="28"/>
      <c r="HMS507" s="324"/>
      <c r="HMT507" s="324"/>
      <c r="HMU507" s="324"/>
      <c r="HMV507" s="324"/>
      <c r="HMW507" s="324"/>
      <c r="HMX507" s="324"/>
      <c r="HMY507" s="256"/>
      <c r="HMZ507" s="325"/>
      <c r="HNA507" s="311"/>
      <c r="HNB507" s="325"/>
      <c r="HNC507" s="310"/>
      <c r="HND507" s="325"/>
      <c r="HNE507" s="325"/>
      <c r="HNF507" s="325"/>
      <c r="HNG507" s="325"/>
      <c r="HNH507" s="325"/>
      <c r="HNI507" s="325"/>
      <c r="HNJ507" s="325"/>
      <c r="HNK507" s="325"/>
      <c r="HNL507" s="325"/>
      <c r="HNM507" s="325"/>
      <c r="HNN507" s="325"/>
      <c r="HNO507" s="325"/>
      <c r="HNP507" s="325"/>
      <c r="HNQ507" s="325"/>
      <c r="HNR507" s="325"/>
      <c r="HNS507" s="325"/>
      <c r="HNT507" s="325"/>
      <c r="HNU507" s="325"/>
      <c r="HNV507" s="325"/>
      <c r="HNW507" s="325"/>
      <c r="HNX507" s="325"/>
      <c r="HNY507" s="325"/>
      <c r="HNZ507" s="325"/>
      <c r="HOA507" s="325"/>
      <c r="HOB507" s="325"/>
      <c r="HOC507" s="325"/>
      <c r="HOD507" s="325"/>
      <c r="HOE507" s="325"/>
      <c r="HOF507" s="325"/>
      <c r="HOG507" s="325"/>
      <c r="HOH507" s="327"/>
      <c r="HOI507" s="28"/>
      <c r="HOJ507" s="324"/>
      <c r="HOK507" s="324"/>
      <c r="HOL507" s="324"/>
      <c r="HOM507" s="324"/>
      <c r="HON507" s="324"/>
      <c r="HOO507" s="324"/>
      <c r="HOP507" s="256"/>
      <c r="HOQ507" s="325"/>
      <c r="HOR507" s="311"/>
      <c r="HOS507" s="325"/>
      <c r="HOT507" s="310"/>
      <c r="HOU507" s="325"/>
      <c r="HOV507" s="325"/>
      <c r="HOW507" s="325"/>
      <c r="HOX507" s="325"/>
      <c r="HOY507" s="325"/>
      <c r="HOZ507" s="325"/>
      <c r="HPA507" s="325"/>
      <c r="HPB507" s="325"/>
      <c r="HPC507" s="325"/>
      <c r="HPD507" s="325"/>
      <c r="HPE507" s="325"/>
      <c r="HPF507" s="325"/>
      <c r="HPG507" s="325"/>
      <c r="HPH507" s="325"/>
      <c r="HPI507" s="325"/>
      <c r="HPJ507" s="325"/>
      <c r="HPK507" s="325"/>
      <c r="HPL507" s="325"/>
      <c r="HPM507" s="325"/>
      <c r="HPN507" s="325"/>
      <c r="HPO507" s="325"/>
      <c r="HPP507" s="325"/>
      <c r="HPQ507" s="325"/>
      <c r="HPR507" s="325"/>
      <c r="HPS507" s="325"/>
      <c r="HPT507" s="325"/>
      <c r="HPU507" s="325"/>
      <c r="HPV507" s="325"/>
      <c r="HPW507" s="325"/>
      <c r="HPX507" s="325"/>
      <c r="HPY507" s="327"/>
      <c r="HPZ507" s="28"/>
      <c r="HQA507" s="324"/>
      <c r="HQB507" s="324"/>
      <c r="HQC507" s="324"/>
      <c r="HQD507" s="324"/>
      <c r="HQE507" s="324"/>
      <c r="HQF507" s="324"/>
      <c r="HQG507" s="256"/>
      <c r="HQH507" s="325"/>
      <c r="HQI507" s="311"/>
      <c r="HQJ507" s="325"/>
      <c r="HQK507" s="310"/>
      <c r="HQL507" s="325"/>
      <c r="HQM507" s="325"/>
      <c r="HQN507" s="325"/>
      <c r="HQO507" s="325"/>
      <c r="HQP507" s="325"/>
      <c r="HQQ507" s="325"/>
      <c r="HQR507" s="325"/>
      <c r="HQS507" s="325"/>
      <c r="HQT507" s="325"/>
      <c r="HQU507" s="325"/>
      <c r="HQV507" s="325"/>
      <c r="HQW507" s="325"/>
      <c r="HQX507" s="325"/>
      <c r="HQY507" s="325"/>
      <c r="HQZ507" s="325"/>
      <c r="HRA507" s="325"/>
      <c r="HRB507" s="325"/>
      <c r="HRC507" s="325"/>
      <c r="HRD507" s="325"/>
      <c r="HRE507" s="325"/>
      <c r="HRF507" s="325"/>
      <c r="HRG507" s="325"/>
      <c r="HRH507" s="325"/>
      <c r="HRI507" s="325"/>
      <c r="HRJ507" s="325"/>
      <c r="HRK507" s="325"/>
      <c r="HRL507" s="325"/>
      <c r="HRM507" s="325"/>
      <c r="HRN507" s="325"/>
      <c r="HRO507" s="325"/>
      <c r="HRP507" s="327"/>
      <c r="HRQ507" s="28"/>
      <c r="HRR507" s="324"/>
      <c r="HRS507" s="324"/>
      <c r="HRT507" s="324"/>
      <c r="HRU507" s="324"/>
      <c r="HRV507" s="324"/>
      <c r="HRW507" s="324"/>
      <c r="HRX507" s="256"/>
      <c r="HRY507" s="325"/>
      <c r="HRZ507" s="311"/>
      <c r="HSA507" s="325"/>
      <c r="HSB507" s="310"/>
      <c r="HSC507" s="325"/>
      <c r="HSD507" s="325"/>
      <c r="HSE507" s="325"/>
      <c r="HSF507" s="325"/>
      <c r="HSG507" s="325"/>
      <c r="HSH507" s="325"/>
      <c r="HSI507" s="325"/>
      <c r="HSJ507" s="325"/>
      <c r="HSK507" s="325"/>
      <c r="HSL507" s="325"/>
      <c r="HSM507" s="325"/>
      <c r="HSN507" s="325"/>
      <c r="HSO507" s="325"/>
      <c r="HSP507" s="325"/>
      <c r="HSQ507" s="325"/>
      <c r="HSR507" s="325"/>
      <c r="HSS507" s="325"/>
      <c r="HST507" s="325"/>
      <c r="HSU507" s="325"/>
      <c r="HSV507" s="325"/>
      <c r="HSW507" s="325"/>
      <c r="HSX507" s="325"/>
      <c r="HSY507" s="325"/>
      <c r="HSZ507" s="325"/>
      <c r="HTA507" s="325"/>
      <c r="HTB507" s="325"/>
      <c r="HTC507" s="325"/>
      <c r="HTD507" s="325"/>
      <c r="HTE507" s="325"/>
      <c r="HTF507" s="325"/>
      <c r="HTG507" s="327"/>
      <c r="HTH507" s="28"/>
      <c r="HTI507" s="324"/>
      <c r="HTJ507" s="324"/>
      <c r="HTK507" s="324"/>
      <c r="HTL507" s="324"/>
      <c r="HTM507" s="324"/>
      <c r="HTN507" s="324"/>
      <c r="HTO507" s="256"/>
      <c r="HTP507" s="325"/>
      <c r="HTQ507" s="311"/>
      <c r="HTR507" s="325"/>
      <c r="HTS507" s="310"/>
      <c r="HTT507" s="325"/>
      <c r="HTU507" s="325"/>
      <c r="HTV507" s="325"/>
      <c r="HTW507" s="325"/>
      <c r="HTX507" s="325"/>
      <c r="HTY507" s="325"/>
      <c r="HTZ507" s="325"/>
      <c r="HUA507" s="325"/>
      <c r="HUB507" s="325"/>
      <c r="HUC507" s="325"/>
      <c r="HUD507" s="325"/>
      <c r="HUE507" s="325"/>
      <c r="HUF507" s="325"/>
      <c r="HUG507" s="325"/>
      <c r="HUH507" s="325"/>
      <c r="HUI507" s="325"/>
      <c r="HUJ507" s="325"/>
      <c r="HUK507" s="325"/>
      <c r="HUL507" s="325"/>
      <c r="HUM507" s="325"/>
      <c r="HUN507" s="325"/>
      <c r="HUO507" s="325"/>
      <c r="HUP507" s="325"/>
      <c r="HUQ507" s="325"/>
      <c r="HUR507" s="325"/>
      <c r="HUS507" s="325"/>
      <c r="HUT507" s="325"/>
      <c r="HUU507" s="325"/>
      <c r="HUV507" s="325"/>
      <c r="HUW507" s="325"/>
      <c r="HUX507" s="327"/>
      <c r="HUY507" s="28"/>
      <c r="HUZ507" s="324"/>
      <c r="HVA507" s="324"/>
      <c r="HVB507" s="324"/>
      <c r="HVC507" s="324"/>
      <c r="HVD507" s="324"/>
      <c r="HVE507" s="324"/>
      <c r="HVF507" s="256"/>
      <c r="HVG507" s="325"/>
      <c r="HVH507" s="311"/>
      <c r="HVI507" s="325"/>
      <c r="HVJ507" s="310"/>
      <c r="HVK507" s="325"/>
      <c r="HVL507" s="325"/>
      <c r="HVM507" s="325"/>
      <c r="HVN507" s="325"/>
      <c r="HVO507" s="325"/>
      <c r="HVP507" s="325"/>
      <c r="HVQ507" s="325"/>
      <c r="HVR507" s="325"/>
      <c r="HVS507" s="325"/>
      <c r="HVT507" s="325"/>
      <c r="HVU507" s="325"/>
      <c r="HVV507" s="325"/>
      <c r="HVW507" s="325"/>
      <c r="HVX507" s="325"/>
      <c r="HVY507" s="325"/>
      <c r="HVZ507" s="325"/>
      <c r="HWA507" s="325"/>
      <c r="HWB507" s="325"/>
      <c r="HWC507" s="325"/>
      <c r="HWD507" s="325"/>
      <c r="HWE507" s="325"/>
      <c r="HWF507" s="325"/>
      <c r="HWG507" s="325"/>
      <c r="HWH507" s="325"/>
      <c r="HWI507" s="325"/>
      <c r="HWJ507" s="325"/>
      <c r="HWK507" s="325"/>
      <c r="HWL507" s="325"/>
      <c r="HWM507" s="325"/>
      <c r="HWN507" s="325"/>
      <c r="HWO507" s="327"/>
      <c r="HWP507" s="28"/>
      <c r="HWQ507" s="324"/>
      <c r="HWR507" s="324"/>
      <c r="HWS507" s="324"/>
      <c r="HWT507" s="324"/>
      <c r="HWU507" s="324"/>
      <c r="HWV507" s="324"/>
      <c r="HWW507" s="256"/>
      <c r="HWX507" s="325"/>
      <c r="HWY507" s="311"/>
      <c r="HWZ507" s="325"/>
      <c r="HXA507" s="310"/>
      <c r="HXB507" s="325"/>
      <c r="HXC507" s="325"/>
      <c r="HXD507" s="325"/>
      <c r="HXE507" s="325"/>
      <c r="HXF507" s="325"/>
      <c r="HXG507" s="325"/>
      <c r="HXH507" s="325"/>
      <c r="HXI507" s="325"/>
      <c r="HXJ507" s="325"/>
      <c r="HXK507" s="325"/>
      <c r="HXL507" s="325"/>
      <c r="HXM507" s="325"/>
      <c r="HXN507" s="325"/>
      <c r="HXO507" s="325"/>
      <c r="HXP507" s="325"/>
      <c r="HXQ507" s="325"/>
      <c r="HXR507" s="325"/>
      <c r="HXS507" s="325"/>
      <c r="HXT507" s="325"/>
      <c r="HXU507" s="325"/>
      <c r="HXV507" s="325"/>
      <c r="HXW507" s="325"/>
      <c r="HXX507" s="325"/>
      <c r="HXY507" s="325"/>
      <c r="HXZ507" s="325"/>
      <c r="HYA507" s="325"/>
      <c r="HYB507" s="325"/>
      <c r="HYC507" s="325"/>
      <c r="HYD507" s="325"/>
      <c r="HYE507" s="325"/>
      <c r="HYF507" s="327"/>
      <c r="HYG507" s="28"/>
      <c r="HYH507" s="324"/>
      <c r="HYI507" s="324"/>
      <c r="HYJ507" s="324"/>
      <c r="HYK507" s="324"/>
      <c r="HYL507" s="324"/>
      <c r="HYM507" s="324"/>
      <c r="HYN507" s="256"/>
      <c r="HYO507" s="325"/>
      <c r="HYP507" s="311"/>
      <c r="HYQ507" s="325"/>
      <c r="HYR507" s="310"/>
      <c r="HYS507" s="325"/>
      <c r="HYT507" s="325"/>
      <c r="HYU507" s="325"/>
      <c r="HYV507" s="325"/>
      <c r="HYW507" s="325"/>
      <c r="HYX507" s="325"/>
      <c r="HYY507" s="325"/>
      <c r="HYZ507" s="325"/>
      <c r="HZA507" s="325"/>
      <c r="HZB507" s="325"/>
      <c r="HZC507" s="325"/>
      <c r="HZD507" s="325"/>
      <c r="HZE507" s="325"/>
      <c r="HZF507" s="325"/>
      <c r="HZG507" s="325"/>
      <c r="HZH507" s="325"/>
      <c r="HZI507" s="325"/>
      <c r="HZJ507" s="325"/>
      <c r="HZK507" s="325"/>
      <c r="HZL507" s="325"/>
      <c r="HZM507" s="325"/>
      <c r="HZN507" s="325"/>
      <c r="HZO507" s="325"/>
      <c r="HZP507" s="325"/>
      <c r="HZQ507" s="325"/>
      <c r="HZR507" s="325"/>
      <c r="HZS507" s="325"/>
      <c r="HZT507" s="325"/>
      <c r="HZU507" s="325"/>
      <c r="HZV507" s="325"/>
      <c r="HZW507" s="327"/>
      <c r="HZX507" s="28"/>
      <c r="HZY507" s="324"/>
      <c r="HZZ507" s="324"/>
      <c r="IAA507" s="324"/>
      <c r="IAB507" s="324"/>
      <c r="IAC507" s="324"/>
      <c r="IAD507" s="324"/>
      <c r="IAE507" s="256"/>
      <c r="IAF507" s="325"/>
      <c r="IAG507" s="311"/>
      <c r="IAH507" s="325"/>
      <c r="IAI507" s="310"/>
      <c r="IAJ507" s="325"/>
      <c r="IAK507" s="325"/>
      <c r="IAL507" s="325"/>
      <c r="IAM507" s="325"/>
      <c r="IAN507" s="325"/>
      <c r="IAO507" s="325"/>
      <c r="IAP507" s="325"/>
      <c r="IAQ507" s="325"/>
      <c r="IAR507" s="325"/>
      <c r="IAS507" s="325"/>
      <c r="IAT507" s="325"/>
      <c r="IAU507" s="325"/>
      <c r="IAV507" s="325"/>
      <c r="IAW507" s="325"/>
      <c r="IAX507" s="325"/>
      <c r="IAY507" s="325"/>
      <c r="IAZ507" s="325"/>
      <c r="IBA507" s="325"/>
      <c r="IBB507" s="325"/>
      <c r="IBC507" s="325"/>
      <c r="IBD507" s="325"/>
      <c r="IBE507" s="325"/>
      <c r="IBF507" s="325"/>
      <c r="IBG507" s="325"/>
      <c r="IBH507" s="325"/>
      <c r="IBI507" s="325"/>
      <c r="IBJ507" s="325"/>
      <c r="IBK507" s="325"/>
      <c r="IBL507" s="325"/>
      <c r="IBM507" s="325"/>
      <c r="IBN507" s="327"/>
      <c r="IBO507" s="28"/>
      <c r="IBP507" s="324"/>
      <c r="IBQ507" s="324"/>
      <c r="IBR507" s="324"/>
      <c r="IBS507" s="324"/>
      <c r="IBT507" s="324"/>
      <c r="IBU507" s="324"/>
      <c r="IBV507" s="256"/>
      <c r="IBW507" s="325"/>
      <c r="IBX507" s="311"/>
      <c r="IBY507" s="325"/>
      <c r="IBZ507" s="310"/>
      <c r="ICA507" s="325"/>
      <c r="ICB507" s="325"/>
      <c r="ICC507" s="325"/>
      <c r="ICD507" s="325"/>
      <c r="ICE507" s="325"/>
      <c r="ICF507" s="325"/>
      <c r="ICG507" s="325"/>
      <c r="ICH507" s="325"/>
      <c r="ICI507" s="325"/>
      <c r="ICJ507" s="325"/>
      <c r="ICK507" s="325"/>
      <c r="ICL507" s="325"/>
      <c r="ICM507" s="325"/>
      <c r="ICN507" s="325"/>
      <c r="ICO507" s="325"/>
      <c r="ICP507" s="325"/>
      <c r="ICQ507" s="325"/>
      <c r="ICR507" s="325"/>
      <c r="ICS507" s="325"/>
      <c r="ICT507" s="325"/>
      <c r="ICU507" s="325"/>
      <c r="ICV507" s="325"/>
      <c r="ICW507" s="325"/>
      <c r="ICX507" s="325"/>
      <c r="ICY507" s="325"/>
      <c r="ICZ507" s="325"/>
      <c r="IDA507" s="325"/>
      <c r="IDB507" s="325"/>
      <c r="IDC507" s="325"/>
      <c r="IDD507" s="325"/>
      <c r="IDE507" s="327"/>
      <c r="IDF507" s="28"/>
      <c r="IDG507" s="324"/>
      <c r="IDH507" s="324"/>
      <c r="IDI507" s="324"/>
      <c r="IDJ507" s="324"/>
      <c r="IDK507" s="324"/>
      <c r="IDL507" s="324"/>
      <c r="IDM507" s="256"/>
      <c r="IDN507" s="325"/>
      <c r="IDO507" s="311"/>
      <c r="IDP507" s="325"/>
      <c r="IDQ507" s="310"/>
      <c r="IDR507" s="325"/>
      <c r="IDS507" s="325"/>
      <c r="IDT507" s="325"/>
      <c r="IDU507" s="325"/>
      <c r="IDV507" s="325"/>
      <c r="IDW507" s="325"/>
      <c r="IDX507" s="325"/>
      <c r="IDY507" s="325"/>
      <c r="IDZ507" s="325"/>
      <c r="IEA507" s="325"/>
      <c r="IEB507" s="325"/>
      <c r="IEC507" s="325"/>
      <c r="IED507" s="325"/>
      <c r="IEE507" s="325"/>
      <c r="IEF507" s="325"/>
      <c r="IEG507" s="325"/>
      <c r="IEH507" s="325"/>
      <c r="IEI507" s="325"/>
      <c r="IEJ507" s="325"/>
      <c r="IEK507" s="325"/>
      <c r="IEL507" s="325"/>
      <c r="IEM507" s="325"/>
      <c r="IEN507" s="325"/>
      <c r="IEO507" s="325"/>
      <c r="IEP507" s="325"/>
      <c r="IEQ507" s="325"/>
      <c r="IER507" s="325"/>
      <c r="IES507" s="325"/>
      <c r="IET507" s="325"/>
      <c r="IEU507" s="325"/>
      <c r="IEV507" s="327"/>
      <c r="IEW507" s="28"/>
      <c r="IEX507" s="324"/>
      <c r="IEY507" s="324"/>
      <c r="IEZ507" s="324"/>
      <c r="IFA507" s="324"/>
      <c r="IFB507" s="324"/>
      <c r="IFC507" s="324"/>
      <c r="IFD507" s="256"/>
      <c r="IFE507" s="325"/>
      <c r="IFF507" s="311"/>
      <c r="IFG507" s="325"/>
      <c r="IFH507" s="310"/>
      <c r="IFI507" s="325"/>
      <c r="IFJ507" s="325"/>
      <c r="IFK507" s="325"/>
      <c r="IFL507" s="325"/>
      <c r="IFM507" s="325"/>
      <c r="IFN507" s="325"/>
      <c r="IFO507" s="325"/>
      <c r="IFP507" s="325"/>
      <c r="IFQ507" s="325"/>
      <c r="IFR507" s="325"/>
      <c r="IFS507" s="325"/>
      <c r="IFT507" s="325"/>
      <c r="IFU507" s="325"/>
      <c r="IFV507" s="325"/>
      <c r="IFW507" s="325"/>
      <c r="IFX507" s="325"/>
      <c r="IFY507" s="325"/>
      <c r="IFZ507" s="325"/>
      <c r="IGA507" s="325"/>
      <c r="IGB507" s="325"/>
      <c r="IGC507" s="325"/>
      <c r="IGD507" s="325"/>
      <c r="IGE507" s="325"/>
      <c r="IGF507" s="325"/>
      <c r="IGG507" s="325"/>
      <c r="IGH507" s="325"/>
      <c r="IGI507" s="325"/>
      <c r="IGJ507" s="325"/>
      <c r="IGK507" s="325"/>
      <c r="IGL507" s="325"/>
      <c r="IGM507" s="327"/>
      <c r="IGN507" s="28"/>
      <c r="IGO507" s="324"/>
      <c r="IGP507" s="324"/>
      <c r="IGQ507" s="324"/>
      <c r="IGR507" s="324"/>
      <c r="IGS507" s="324"/>
      <c r="IGT507" s="324"/>
      <c r="IGU507" s="256"/>
      <c r="IGV507" s="325"/>
      <c r="IGW507" s="311"/>
      <c r="IGX507" s="325"/>
      <c r="IGY507" s="310"/>
      <c r="IGZ507" s="325"/>
      <c r="IHA507" s="325"/>
      <c r="IHB507" s="325"/>
      <c r="IHC507" s="325"/>
      <c r="IHD507" s="325"/>
      <c r="IHE507" s="325"/>
      <c r="IHF507" s="325"/>
      <c r="IHG507" s="325"/>
      <c r="IHH507" s="325"/>
      <c r="IHI507" s="325"/>
      <c r="IHJ507" s="325"/>
      <c r="IHK507" s="325"/>
      <c r="IHL507" s="325"/>
      <c r="IHM507" s="325"/>
      <c r="IHN507" s="325"/>
      <c r="IHO507" s="325"/>
      <c r="IHP507" s="325"/>
      <c r="IHQ507" s="325"/>
      <c r="IHR507" s="325"/>
      <c r="IHS507" s="325"/>
      <c r="IHT507" s="325"/>
      <c r="IHU507" s="325"/>
      <c r="IHV507" s="325"/>
      <c r="IHW507" s="325"/>
      <c r="IHX507" s="325"/>
      <c r="IHY507" s="325"/>
      <c r="IHZ507" s="325"/>
      <c r="IIA507" s="325"/>
      <c r="IIB507" s="325"/>
      <c r="IIC507" s="325"/>
      <c r="IID507" s="327"/>
      <c r="IIE507" s="28"/>
      <c r="IIF507" s="324"/>
      <c r="IIG507" s="324"/>
      <c r="IIH507" s="324"/>
      <c r="III507" s="324"/>
      <c r="IIJ507" s="324"/>
      <c r="IIK507" s="324"/>
      <c r="IIL507" s="256"/>
      <c r="IIM507" s="325"/>
      <c r="IIN507" s="311"/>
      <c r="IIO507" s="325"/>
      <c r="IIP507" s="310"/>
      <c r="IIQ507" s="325"/>
      <c r="IIR507" s="325"/>
      <c r="IIS507" s="325"/>
      <c r="IIT507" s="325"/>
      <c r="IIU507" s="325"/>
      <c r="IIV507" s="325"/>
      <c r="IIW507" s="325"/>
      <c r="IIX507" s="325"/>
      <c r="IIY507" s="325"/>
      <c r="IIZ507" s="325"/>
      <c r="IJA507" s="325"/>
      <c r="IJB507" s="325"/>
      <c r="IJC507" s="325"/>
      <c r="IJD507" s="325"/>
      <c r="IJE507" s="325"/>
      <c r="IJF507" s="325"/>
      <c r="IJG507" s="325"/>
      <c r="IJH507" s="325"/>
      <c r="IJI507" s="325"/>
      <c r="IJJ507" s="325"/>
      <c r="IJK507" s="325"/>
      <c r="IJL507" s="325"/>
      <c r="IJM507" s="325"/>
      <c r="IJN507" s="325"/>
      <c r="IJO507" s="325"/>
      <c r="IJP507" s="325"/>
      <c r="IJQ507" s="325"/>
      <c r="IJR507" s="325"/>
      <c r="IJS507" s="325"/>
      <c r="IJT507" s="325"/>
      <c r="IJU507" s="327"/>
      <c r="IJV507" s="28"/>
      <c r="IJW507" s="324"/>
      <c r="IJX507" s="324"/>
      <c r="IJY507" s="324"/>
      <c r="IJZ507" s="324"/>
      <c r="IKA507" s="324"/>
      <c r="IKB507" s="324"/>
      <c r="IKC507" s="256"/>
      <c r="IKD507" s="325"/>
      <c r="IKE507" s="311"/>
      <c r="IKF507" s="325"/>
      <c r="IKG507" s="310"/>
      <c r="IKH507" s="325"/>
      <c r="IKI507" s="325"/>
      <c r="IKJ507" s="325"/>
      <c r="IKK507" s="325"/>
      <c r="IKL507" s="325"/>
      <c r="IKM507" s="325"/>
      <c r="IKN507" s="325"/>
      <c r="IKO507" s="325"/>
      <c r="IKP507" s="325"/>
      <c r="IKQ507" s="325"/>
      <c r="IKR507" s="325"/>
      <c r="IKS507" s="325"/>
      <c r="IKT507" s="325"/>
      <c r="IKU507" s="325"/>
      <c r="IKV507" s="325"/>
      <c r="IKW507" s="325"/>
      <c r="IKX507" s="325"/>
      <c r="IKY507" s="325"/>
      <c r="IKZ507" s="325"/>
      <c r="ILA507" s="325"/>
      <c r="ILB507" s="325"/>
      <c r="ILC507" s="325"/>
      <c r="ILD507" s="325"/>
      <c r="ILE507" s="325"/>
      <c r="ILF507" s="325"/>
      <c r="ILG507" s="325"/>
      <c r="ILH507" s="325"/>
      <c r="ILI507" s="325"/>
      <c r="ILJ507" s="325"/>
      <c r="ILK507" s="325"/>
      <c r="ILL507" s="327"/>
      <c r="ILM507" s="28"/>
      <c r="ILN507" s="324"/>
      <c r="ILO507" s="324"/>
      <c r="ILP507" s="324"/>
      <c r="ILQ507" s="324"/>
      <c r="ILR507" s="324"/>
      <c r="ILS507" s="324"/>
      <c r="ILT507" s="256"/>
      <c r="ILU507" s="325"/>
      <c r="ILV507" s="311"/>
      <c r="ILW507" s="325"/>
      <c r="ILX507" s="310"/>
      <c r="ILY507" s="325"/>
      <c r="ILZ507" s="325"/>
      <c r="IMA507" s="325"/>
      <c r="IMB507" s="325"/>
      <c r="IMC507" s="325"/>
      <c r="IMD507" s="325"/>
      <c r="IME507" s="325"/>
      <c r="IMF507" s="325"/>
      <c r="IMG507" s="325"/>
      <c r="IMH507" s="325"/>
      <c r="IMI507" s="325"/>
      <c r="IMJ507" s="325"/>
      <c r="IMK507" s="325"/>
      <c r="IML507" s="325"/>
      <c r="IMM507" s="325"/>
      <c r="IMN507" s="325"/>
      <c r="IMO507" s="325"/>
      <c r="IMP507" s="325"/>
      <c r="IMQ507" s="325"/>
      <c r="IMR507" s="325"/>
      <c r="IMS507" s="325"/>
      <c r="IMT507" s="325"/>
      <c r="IMU507" s="325"/>
      <c r="IMV507" s="325"/>
      <c r="IMW507" s="325"/>
      <c r="IMX507" s="325"/>
      <c r="IMY507" s="325"/>
      <c r="IMZ507" s="325"/>
      <c r="INA507" s="325"/>
      <c r="INB507" s="325"/>
      <c r="INC507" s="327"/>
      <c r="IND507" s="28"/>
      <c r="INE507" s="324"/>
      <c r="INF507" s="324"/>
      <c r="ING507" s="324"/>
      <c r="INH507" s="324"/>
      <c r="INI507" s="324"/>
      <c r="INJ507" s="324"/>
      <c r="INK507" s="256"/>
      <c r="INL507" s="325"/>
      <c r="INM507" s="311"/>
      <c r="INN507" s="325"/>
      <c r="INO507" s="310"/>
      <c r="INP507" s="325"/>
      <c r="INQ507" s="325"/>
      <c r="INR507" s="325"/>
      <c r="INS507" s="325"/>
      <c r="INT507" s="325"/>
      <c r="INU507" s="325"/>
      <c r="INV507" s="325"/>
      <c r="INW507" s="325"/>
      <c r="INX507" s="325"/>
      <c r="INY507" s="325"/>
      <c r="INZ507" s="325"/>
      <c r="IOA507" s="325"/>
      <c r="IOB507" s="325"/>
      <c r="IOC507" s="325"/>
      <c r="IOD507" s="325"/>
      <c r="IOE507" s="325"/>
      <c r="IOF507" s="325"/>
      <c r="IOG507" s="325"/>
      <c r="IOH507" s="325"/>
      <c r="IOI507" s="325"/>
      <c r="IOJ507" s="325"/>
      <c r="IOK507" s="325"/>
      <c r="IOL507" s="325"/>
      <c r="IOM507" s="325"/>
      <c r="ION507" s="325"/>
      <c r="IOO507" s="325"/>
      <c r="IOP507" s="325"/>
      <c r="IOQ507" s="325"/>
      <c r="IOR507" s="325"/>
      <c r="IOS507" s="325"/>
      <c r="IOT507" s="327"/>
      <c r="IOU507" s="28"/>
      <c r="IOV507" s="324"/>
      <c r="IOW507" s="324"/>
      <c r="IOX507" s="324"/>
      <c r="IOY507" s="324"/>
      <c r="IOZ507" s="324"/>
      <c r="IPA507" s="324"/>
      <c r="IPB507" s="256"/>
      <c r="IPC507" s="325"/>
      <c r="IPD507" s="311"/>
      <c r="IPE507" s="325"/>
      <c r="IPF507" s="310"/>
      <c r="IPG507" s="325"/>
      <c r="IPH507" s="325"/>
      <c r="IPI507" s="325"/>
      <c r="IPJ507" s="325"/>
      <c r="IPK507" s="325"/>
      <c r="IPL507" s="325"/>
      <c r="IPM507" s="325"/>
      <c r="IPN507" s="325"/>
      <c r="IPO507" s="325"/>
      <c r="IPP507" s="325"/>
      <c r="IPQ507" s="325"/>
      <c r="IPR507" s="325"/>
      <c r="IPS507" s="325"/>
      <c r="IPT507" s="325"/>
      <c r="IPU507" s="325"/>
      <c r="IPV507" s="325"/>
      <c r="IPW507" s="325"/>
      <c r="IPX507" s="325"/>
      <c r="IPY507" s="325"/>
      <c r="IPZ507" s="325"/>
      <c r="IQA507" s="325"/>
      <c r="IQB507" s="325"/>
      <c r="IQC507" s="325"/>
      <c r="IQD507" s="325"/>
      <c r="IQE507" s="325"/>
      <c r="IQF507" s="325"/>
      <c r="IQG507" s="325"/>
      <c r="IQH507" s="325"/>
      <c r="IQI507" s="325"/>
      <c r="IQJ507" s="325"/>
      <c r="IQK507" s="327"/>
      <c r="IQL507" s="28"/>
      <c r="IQM507" s="324"/>
      <c r="IQN507" s="324"/>
      <c r="IQO507" s="324"/>
      <c r="IQP507" s="324"/>
      <c r="IQQ507" s="324"/>
      <c r="IQR507" s="324"/>
      <c r="IQS507" s="256"/>
      <c r="IQT507" s="325"/>
      <c r="IQU507" s="311"/>
      <c r="IQV507" s="325"/>
      <c r="IQW507" s="310"/>
      <c r="IQX507" s="325"/>
      <c r="IQY507" s="325"/>
      <c r="IQZ507" s="325"/>
      <c r="IRA507" s="325"/>
      <c r="IRB507" s="325"/>
      <c r="IRC507" s="325"/>
      <c r="IRD507" s="325"/>
      <c r="IRE507" s="325"/>
      <c r="IRF507" s="325"/>
      <c r="IRG507" s="325"/>
      <c r="IRH507" s="325"/>
      <c r="IRI507" s="325"/>
      <c r="IRJ507" s="325"/>
      <c r="IRK507" s="325"/>
      <c r="IRL507" s="325"/>
      <c r="IRM507" s="325"/>
      <c r="IRN507" s="325"/>
      <c r="IRO507" s="325"/>
      <c r="IRP507" s="325"/>
      <c r="IRQ507" s="325"/>
      <c r="IRR507" s="325"/>
      <c r="IRS507" s="325"/>
      <c r="IRT507" s="325"/>
      <c r="IRU507" s="325"/>
      <c r="IRV507" s="325"/>
      <c r="IRW507" s="325"/>
      <c r="IRX507" s="325"/>
      <c r="IRY507" s="325"/>
      <c r="IRZ507" s="325"/>
      <c r="ISA507" s="325"/>
      <c r="ISB507" s="327"/>
      <c r="ISC507" s="28"/>
      <c r="ISD507" s="324"/>
      <c r="ISE507" s="324"/>
      <c r="ISF507" s="324"/>
      <c r="ISG507" s="324"/>
      <c r="ISH507" s="324"/>
      <c r="ISI507" s="324"/>
      <c r="ISJ507" s="256"/>
      <c r="ISK507" s="325"/>
      <c r="ISL507" s="311"/>
      <c r="ISM507" s="325"/>
      <c r="ISN507" s="310"/>
      <c r="ISO507" s="325"/>
      <c r="ISP507" s="325"/>
      <c r="ISQ507" s="325"/>
      <c r="ISR507" s="325"/>
      <c r="ISS507" s="325"/>
      <c r="IST507" s="325"/>
      <c r="ISU507" s="325"/>
      <c r="ISV507" s="325"/>
      <c r="ISW507" s="325"/>
      <c r="ISX507" s="325"/>
      <c r="ISY507" s="325"/>
      <c r="ISZ507" s="325"/>
      <c r="ITA507" s="325"/>
      <c r="ITB507" s="325"/>
      <c r="ITC507" s="325"/>
      <c r="ITD507" s="325"/>
      <c r="ITE507" s="325"/>
      <c r="ITF507" s="325"/>
      <c r="ITG507" s="325"/>
      <c r="ITH507" s="325"/>
      <c r="ITI507" s="325"/>
      <c r="ITJ507" s="325"/>
      <c r="ITK507" s="325"/>
      <c r="ITL507" s="325"/>
      <c r="ITM507" s="325"/>
      <c r="ITN507" s="325"/>
      <c r="ITO507" s="325"/>
      <c r="ITP507" s="325"/>
      <c r="ITQ507" s="325"/>
      <c r="ITR507" s="325"/>
      <c r="ITS507" s="327"/>
      <c r="ITT507" s="28"/>
      <c r="ITU507" s="324"/>
      <c r="ITV507" s="324"/>
      <c r="ITW507" s="324"/>
      <c r="ITX507" s="324"/>
      <c r="ITY507" s="324"/>
      <c r="ITZ507" s="324"/>
      <c r="IUA507" s="256"/>
      <c r="IUB507" s="325"/>
      <c r="IUC507" s="311"/>
      <c r="IUD507" s="325"/>
      <c r="IUE507" s="310"/>
      <c r="IUF507" s="325"/>
      <c r="IUG507" s="325"/>
      <c r="IUH507" s="325"/>
      <c r="IUI507" s="325"/>
      <c r="IUJ507" s="325"/>
      <c r="IUK507" s="325"/>
      <c r="IUL507" s="325"/>
      <c r="IUM507" s="325"/>
      <c r="IUN507" s="325"/>
      <c r="IUO507" s="325"/>
      <c r="IUP507" s="325"/>
      <c r="IUQ507" s="325"/>
      <c r="IUR507" s="325"/>
      <c r="IUS507" s="325"/>
      <c r="IUT507" s="325"/>
      <c r="IUU507" s="325"/>
      <c r="IUV507" s="325"/>
      <c r="IUW507" s="325"/>
      <c r="IUX507" s="325"/>
      <c r="IUY507" s="325"/>
      <c r="IUZ507" s="325"/>
      <c r="IVA507" s="325"/>
      <c r="IVB507" s="325"/>
      <c r="IVC507" s="325"/>
      <c r="IVD507" s="325"/>
      <c r="IVE507" s="325"/>
      <c r="IVF507" s="325"/>
      <c r="IVG507" s="325"/>
      <c r="IVH507" s="325"/>
      <c r="IVI507" s="325"/>
      <c r="IVJ507" s="327"/>
      <c r="IVK507" s="28"/>
      <c r="IVL507" s="324"/>
      <c r="IVM507" s="324"/>
      <c r="IVN507" s="324"/>
      <c r="IVO507" s="324"/>
      <c r="IVP507" s="324"/>
      <c r="IVQ507" s="324"/>
      <c r="IVR507" s="256"/>
      <c r="IVS507" s="325"/>
      <c r="IVT507" s="311"/>
      <c r="IVU507" s="325"/>
      <c r="IVV507" s="310"/>
      <c r="IVW507" s="325"/>
      <c r="IVX507" s="325"/>
      <c r="IVY507" s="325"/>
      <c r="IVZ507" s="325"/>
      <c r="IWA507" s="325"/>
      <c r="IWB507" s="325"/>
      <c r="IWC507" s="325"/>
      <c r="IWD507" s="325"/>
      <c r="IWE507" s="325"/>
      <c r="IWF507" s="325"/>
      <c r="IWG507" s="325"/>
      <c r="IWH507" s="325"/>
      <c r="IWI507" s="325"/>
      <c r="IWJ507" s="325"/>
      <c r="IWK507" s="325"/>
      <c r="IWL507" s="325"/>
      <c r="IWM507" s="325"/>
      <c r="IWN507" s="325"/>
      <c r="IWO507" s="325"/>
      <c r="IWP507" s="325"/>
      <c r="IWQ507" s="325"/>
      <c r="IWR507" s="325"/>
      <c r="IWS507" s="325"/>
      <c r="IWT507" s="325"/>
      <c r="IWU507" s="325"/>
      <c r="IWV507" s="325"/>
      <c r="IWW507" s="325"/>
      <c r="IWX507" s="325"/>
      <c r="IWY507" s="325"/>
      <c r="IWZ507" s="325"/>
      <c r="IXA507" s="327"/>
      <c r="IXB507" s="28"/>
      <c r="IXC507" s="324"/>
      <c r="IXD507" s="324"/>
      <c r="IXE507" s="324"/>
      <c r="IXF507" s="324"/>
      <c r="IXG507" s="324"/>
      <c r="IXH507" s="324"/>
      <c r="IXI507" s="256"/>
      <c r="IXJ507" s="325"/>
      <c r="IXK507" s="311"/>
      <c r="IXL507" s="325"/>
      <c r="IXM507" s="310"/>
      <c r="IXN507" s="325"/>
      <c r="IXO507" s="325"/>
      <c r="IXP507" s="325"/>
      <c r="IXQ507" s="325"/>
      <c r="IXR507" s="325"/>
      <c r="IXS507" s="325"/>
      <c r="IXT507" s="325"/>
      <c r="IXU507" s="325"/>
      <c r="IXV507" s="325"/>
      <c r="IXW507" s="325"/>
      <c r="IXX507" s="325"/>
      <c r="IXY507" s="325"/>
      <c r="IXZ507" s="325"/>
      <c r="IYA507" s="325"/>
      <c r="IYB507" s="325"/>
      <c r="IYC507" s="325"/>
      <c r="IYD507" s="325"/>
      <c r="IYE507" s="325"/>
      <c r="IYF507" s="325"/>
      <c r="IYG507" s="325"/>
      <c r="IYH507" s="325"/>
      <c r="IYI507" s="325"/>
      <c r="IYJ507" s="325"/>
      <c r="IYK507" s="325"/>
      <c r="IYL507" s="325"/>
      <c r="IYM507" s="325"/>
      <c r="IYN507" s="325"/>
      <c r="IYO507" s="325"/>
      <c r="IYP507" s="325"/>
      <c r="IYQ507" s="325"/>
      <c r="IYR507" s="327"/>
      <c r="IYS507" s="28"/>
      <c r="IYT507" s="324"/>
      <c r="IYU507" s="324"/>
      <c r="IYV507" s="324"/>
      <c r="IYW507" s="324"/>
      <c r="IYX507" s="324"/>
      <c r="IYY507" s="324"/>
      <c r="IYZ507" s="256"/>
      <c r="IZA507" s="325"/>
      <c r="IZB507" s="311"/>
      <c r="IZC507" s="325"/>
      <c r="IZD507" s="310"/>
      <c r="IZE507" s="325"/>
      <c r="IZF507" s="325"/>
      <c r="IZG507" s="325"/>
      <c r="IZH507" s="325"/>
      <c r="IZI507" s="325"/>
      <c r="IZJ507" s="325"/>
      <c r="IZK507" s="325"/>
      <c r="IZL507" s="325"/>
      <c r="IZM507" s="325"/>
      <c r="IZN507" s="325"/>
      <c r="IZO507" s="325"/>
      <c r="IZP507" s="325"/>
      <c r="IZQ507" s="325"/>
      <c r="IZR507" s="325"/>
      <c r="IZS507" s="325"/>
      <c r="IZT507" s="325"/>
      <c r="IZU507" s="325"/>
      <c r="IZV507" s="325"/>
      <c r="IZW507" s="325"/>
      <c r="IZX507" s="325"/>
      <c r="IZY507" s="325"/>
      <c r="IZZ507" s="325"/>
      <c r="JAA507" s="325"/>
      <c r="JAB507" s="325"/>
      <c r="JAC507" s="325"/>
      <c r="JAD507" s="325"/>
      <c r="JAE507" s="325"/>
      <c r="JAF507" s="325"/>
      <c r="JAG507" s="325"/>
      <c r="JAH507" s="325"/>
      <c r="JAI507" s="327"/>
      <c r="JAJ507" s="28"/>
      <c r="JAK507" s="324"/>
      <c r="JAL507" s="324"/>
      <c r="JAM507" s="324"/>
      <c r="JAN507" s="324"/>
      <c r="JAO507" s="324"/>
      <c r="JAP507" s="324"/>
      <c r="JAQ507" s="256"/>
      <c r="JAR507" s="325"/>
      <c r="JAS507" s="311"/>
      <c r="JAT507" s="325"/>
      <c r="JAU507" s="310"/>
      <c r="JAV507" s="325"/>
      <c r="JAW507" s="325"/>
      <c r="JAX507" s="325"/>
      <c r="JAY507" s="325"/>
      <c r="JAZ507" s="325"/>
      <c r="JBA507" s="325"/>
      <c r="JBB507" s="325"/>
      <c r="JBC507" s="325"/>
      <c r="JBD507" s="325"/>
      <c r="JBE507" s="325"/>
      <c r="JBF507" s="325"/>
      <c r="JBG507" s="325"/>
      <c r="JBH507" s="325"/>
      <c r="JBI507" s="325"/>
      <c r="JBJ507" s="325"/>
      <c r="JBK507" s="325"/>
      <c r="JBL507" s="325"/>
      <c r="JBM507" s="325"/>
      <c r="JBN507" s="325"/>
      <c r="JBO507" s="325"/>
      <c r="JBP507" s="325"/>
      <c r="JBQ507" s="325"/>
      <c r="JBR507" s="325"/>
      <c r="JBS507" s="325"/>
      <c r="JBT507" s="325"/>
      <c r="JBU507" s="325"/>
      <c r="JBV507" s="325"/>
      <c r="JBW507" s="325"/>
      <c r="JBX507" s="325"/>
      <c r="JBY507" s="325"/>
      <c r="JBZ507" s="327"/>
      <c r="JCA507" s="28"/>
      <c r="JCB507" s="324"/>
      <c r="JCC507" s="324"/>
      <c r="JCD507" s="324"/>
      <c r="JCE507" s="324"/>
      <c r="JCF507" s="324"/>
      <c r="JCG507" s="324"/>
      <c r="JCH507" s="256"/>
      <c r="JCI507" s="325"/>
      <c r="JCJ507" s="311"/>
      <c r="JCK507" s="325"/>
      <c r="JCL507" s="310"/>
      <c r="JCM507" s="325"/>
      <c r="JCN507" s="325"/>
      <c r="JCO507" s="325"/>
      <c r="JCP507" s="325"/>
      <c r="JCQ507" s="325"/>
      <c r="JCR507" s="325"/>
      <c r="JCS507" s="325"/>
      <c r="JCT507" s="325"/>
      <c r="JCU507" s="325"/>
      <c r="JCV507" s="325"/>
      <c r="JCW507" s="325"/>
      <c r="JCX507" s="325"/>
      <c r="JCY507" s="325"/>
      <c r="JCZ507" s="325"/>
      <c r="JDA507" s="325"/>
      <c r="JDB507" s="325"/>
      <c r="JDC507" s="325"/>
      <c r="JDD507" s="325"/>
      <c r="JDE507" s="325"/>
      <c r="JDF507" s="325"/>
      <c r="JDG507" s="325"/>
      <c r="JDH507" s="325"/>
      <c r="JDI507" s="325"/>
      <c r="JDJ507" s="325"/>
      <c r="JDK507" s="325"/>
      <c r="JDL507" s="325"/>
      <c r="JDM507" s="325"/>
      <c r="JDN507" s="325"/>
      <c r="JDO507" s="325"/>
      <c r="JDP507" s="325"/>
      <c r="JDQ507" s="327"/>
      <c r="JDR507" s="28"/>
      <c r="JDS507" s="324"/>
      <c r="JDT507" s="324"/>
      <c r="JDU507" s="324"/>
      <c r="JDV507" s="324"/>
      <c r="JDW507" s="324"/>
      <c r="JDX507" s="324"/>
      <c r="JDY507" s="256"/>
      <c r="JDZ507" s="325"/>
      <c r="JEA507" s="311"/>
      <c r="JEB507" s="325"/>
      <c r="JEC507" s="310"/>
      <c r="JED507" s="325"/>
      <c r="JEE507" s="325"/>
      <c r="JEF507" s="325"/>
      <c r="JEG507" s="325"/>
      <c r="JEH507" s="325"/>
      <c r="JEI507" s="325"/>
      <c r="JEJ507" s="325"/>
      <c r="JEK507" s="325"/>
      <c r="JEL507" s="325"/>
      <c r="JEM507" s="325"/>
      <c r="JEN507" s="325"/>
      <c r="JEO507" s="325"/>
      <c r="JEP507" s="325"/>
      <c r="JEQ507" s="325"/>
      <c r="JER507" s="325"/>
      <c r="JES507" s="325"/>
      <c r="JET507" s="325"/>
      <c r="JEU507" s="325"/>
      <c r="JEV507" s="325"/>
      <c r="JEW507" s="325"/>
      <c r="JEX507" s="325"/>
      <c r="JEY507" s="325"/>
      <c r="JEZ507" s="325"/>
      <c r="JFA507" s="325"/>
      <c r="JFB507" s="325"/>
      <c r="JFC507" s="325"/>
      <c r="JFD507" s="325"/>
      <c r="JFE507" s="325"/>
      <c r="JFF507" s="325"/>
      <c r="JFG507" s="325"/>
      <c r="JFH507" s="327"/>
      <c r="JFI507" s="28"/>
      <c r="JFJ507" s="324"/>
      <c r="JFK507" s="324"/>
      <c r="JFL507" s="324"/>
      <c r="JFM507" s="324"/>
      <c r="JFN507" s="324"/>
      <c r="JFO507" s="324"/>
      <c r="JFP507" s="256"/>
      <c r="JFQ507" s="325"/>
      <c r="JFR507" s="311"/>
      <c r="JFS507" s="325"/>
      <c r="JFT507" s="310"/>
      <c r="JFU507" s="325"/>
      <c r="JFV507" s="325"/>
      <c r="JFW507" s="325"/>
      <c r="JFX507" s="325"/>
      <c r="JFY507" s="325"/>
      <c r="JFZ507" s="325"/>
      <c r="JGA507" s="325"/>
      <c r="JGB507" s="325"/>
      <c r="JGC507" s="325"/>
      <c r="JGD507" s="325"/>
      <c r="JGE507" s="325"/>
      <c r="JGF507" s="325"/>
      <c r="JGG507" s="325"/>
      <c r="JGH507" s="325"/>
      <c r="JGI507" s="325"/>
      <c r="JGJ507" s="325"/>
      <c r="JGK507" s="325"/>
      <c r="JGL507" s="325"/>
      <c r="JGM507" s="325"/>
      <c r="JGN507" s="325"/>
      <c r="JGO507" s="325"/>
      <c r="JGP507" s="325"/>
      <c r="JGQ507" s="325"/>
      <c r="JGR507" s="325"/>
      <c r="JGS507" s="325"/>
      <c r="JGT507" s="325"/>
      <c r="JGU507" s="325"/>
      <c r="JGV507" s="325"/>
      <c r="JGW507" s="325"/>
      <c r="JGX507" s="325"/>
      <c r="JGY507" s="327"/>
      <c r="JGZ507" s="28"/>
      <c r="JHA507" s="324"/>
      <c r="JHB507" s="324"/>
      <c r="JHC507" s="324"/>
      <c r="JHD507" s="324"/>
      <c r="JHE507" s="324"/>
      <c r="JHF507" s="324"/>
      <c r="JHG507" s="256"/>
      <c r="JHH507" s="325"/>
      <c r="JHI507" s="311"/>
      <c r="JHJ507" s="325"/>
      <c r="JHK507" s="310"/>
      <c r="JHL507" s="325"/>
      <c r="JHM507" s="325"/>
      <c r="JHN507" s="325"/>
      <c r="JHO507" s="325"/>
      <c r="JHP507" s="325"/>
      <c r="JHQ507" s="325"/>
      <c r="JHR507" s="325"/>
      <c r="JHS507" s="325"/>
      <c r="JHT507" s="325"/>
      <c r="JHU507" s="325"/>
      <c r="JHV507" s="325"/>
      <c r="JHW507" s="325"/>
      <c r="JHX507" s="325"/>
      <c r="JHY507" s="325"/>
      <c r="JHZ507" s="325"/>
      <c r="JIA507" s="325"/>
      <c r="JIB507" s="325"/>
      <c r="JIC507" s="325"/>
      <c r="JID507" s="325"/>
      <c r="JIE507" s="325"/>
      <c r="JIF507" s="325"/>
      <c r="JIG507" s="325"/>
      <c r="JIH507" s="325"/>
      <c r="JII507" s="325"/>
      <c r="JIJ507" s="325"/>
      <c r="JIK507" s="325"/>
      <c r="JIL507" s="325"/>
      <c r="JIM507" s="325"/>
      <c r="JIN507" s="325"/>
      <c r="JIO507" s="325"/>
      <c r="JIP507" s="327"/>
      <c r="JIQ507" s="28"/>
      <c r="JIR507" s="324"/>
      <c r="JIS507" s="324"/>
      <c r="JIT507" s="324"/>
      <c r="JIU507" s="324"/>
      <c r="JIV507" s="324"/>
      <c r="JIW507" s="324"/>
      <c r="JIX507" s="256"/>
      <c r="JIY507" s="325"/>
      <c r="JIZ507" s="311"/>
      <c r="JJA507" s="325"/>
      <c r="JJB507" s="310"/>
      <c r="JJC507" s="325"/>
      <c r="JJD507" s="325"/>
      <c r="JJE507" s="325"/>
      <c r="JJF507" s="325"/>
      <c r="JJG507" s="325"/>
      <c r="JJH507" s="325"/>
      <c r="JJI507" s="325"/>
      <c r="JJJ507" s="325"/>
      <c r="JJK507" s="325"/>
      <c r="JJL507" s="325"/>
      <c r="JJM507" s="325"/>
      <c r="JJN507" s="325"/>
      <c r="JJO507" s="325"/>
      <c r="JJP507" s="325"/>
      <c r="JJQ507" s="325"/>
      <c r="JJR507" s="325"/>
      <c r="JJS507" s="325"/>
      <c r="JJT507" s="325"/>
      <c r="JJU507" s="325"/>
      <c r="JJV507" s="325"/>
      <c r="JJW507" s="325"/>
      <c r="JJX507" s="325"/>
      <c r="JJY507" s="325"/>
      <c r="JJZ507" s="325"/>
      <c r="JKA507" s="325"/>
      <c r="JKB507" s="325"/>
      <c r="JKC507" s="325"/>
      <c r="JKD507" s="325"/>
      <c r="JKE507" s="325"/>
      <c r="JKF507" s="325"/>
      <c r="JKG507" s="327"/>
      <c r="JKH507" s="28"/>
      <c r="JKI507" s="324"/>
      <c r="JKJ507" s="324"/>
      <c r="JKK507" s="324"/>
      <c r="JKL507" s="324"/>
      <c r="JKM507" s="324"/>
      <c r="JKN507" s="324"/>
      <c r="JKO507" s="256"/>
      <c r="JKP507" s="325"/>
      <c r="JKQ507" s="311"/>
      <c r="JKR507" s="325"/>
      <c r="JKS507" s="310"/>
      <c r="JKT507" s="325"/>
      <c r="JKU507" s="325"/>
      <c r="JKV507" s="325"/>
      <c r="JKW507" s="325"/>
      <c r="JKX507" s="325"/>
      <c r="JKY507" s="325"/>
      <c r="JKZ507" s="325"/>
      <c r="JLA507" s="325"/>
      <c r="JLB507" s="325"/>
      <c r="JLC507" s="325"/>
      <c r="JLD507" s="325"/>
      <c r="JLE507" s="325"/>
      <c r="JLF507" s="325"/>
      <c r="JLG507" s="325"/>
      <c r="JLH507" s="325"/>
      <c r="JLI507" s="325"/>
      <c r="JLJ507" s="325"/>
      <c r="JLK507" s="325"/>
      <c r="JLL507" s="325"/>
      <c r="JLM507" s="325"/>
      <c r="JLN507" s="325"/>
      <c r="JLO507" s="325"/>
      <c r="JLP507" s="325"/>
      <c r="JLQ507" s="325"/>
      <c r="JLR507" s="325"/>
      <c r="JLS507" s="325"/>
      <c r="JLT507" s="325"/>
      <c r="JLU507" s="325"/>
      <c r="JLV507" s="325"/>
      <c r="JLW507" s="325"/>
      <c r="JLX507" s="327"/>
      <c r="JLY507" s="28"/>
      <c r="JLZ507" s="324"/>
      <c r="JMA507" s="324"/>
      <c r="JMB507" s="324"/>
      <c r="JMC507" s="324"/>
      <c r="JMD507" s="324"/>
      <c r="JME507" s="324"/>
      <c r="JMF507" s="256"/>
      <c r="JMG507" s="325"/>
      <c r="JMH507" s="311"/>
      <c r="JMI507" s="325"/>
      <c r="JMJ507" s="310"/>
      <c r="JMK507" s="325"/>
      <c r="JML507" s="325"/>
      <c r="JMM507" s="325"/>
      <c r="JMN507" s="325"/>
      <c r="JMO507" s="325"/>
      <c r="JMP507" s="325"/>
      <c r="JMQ507" s="325"/>
      <c r="JMR507" s="325"/>
      <c r="JMS507" s="325"/>
      <c r="JMT507" s="325"/>
      <c r="JMU507" s="325"/>
      <c r="JMV507" s="325"/>
      <c r="JMW507" s="325"/>
      <c r="JMX507" s="325"/>
      <c r="JMY507" s="325"/>
      <c r="JMZ507" s="325"/>
      <c r="JNA507" s="325"/>
      <c r="JNB507" s="325"/>
      <c r="JNC507" s="325"/>
      <c r="JND507" s="325"/>
      <c r="JNE507" s="325"/>
      <c r="JNF507" s="325"/>
      <c r="JNG507" s="325"/>
      <c r="JNH507" s="325"/>
      <c r="JNI507" s="325"/>
      <c r="JNJ507" s="325"/>
      <c r="JNK507" s="325"/>
      <c r="JNL507" s="325"/>
      <c r="JNM507" s="325"/>
      <c r="JNN507" s="325"/>
      <c r="JNO507" s="327"/>
      <c r="JNP507" s="28"/>
      <c r="JNQ507" s="324"/>
      <c r="JNR507" s="324"/>
      <c r="JNS507" s="324"/>
      <c r="JNT507" s="324"/>
      <c r="JNU507" s="324"/>
      <c r="JNV507" s="324"/>
      <c r="JNW507" s="256"/>
      <c r="JNX507" s="325"/>
      <c r="JNY507" s="311"/>
      <c r="JNZ507" s="325"/>
      <c r="JOA507" s="310"/>
      <c r="JOB507" s="325"/>
      <c r="JOC507" s="325"/>
      <c r="JOD507" s="325"/>
      <c r="JOE507" s="325"/>
      <c r="JOF507" s="325"/>
      <c r="JOG507" s="325"/>
      <c r="JOH507" s="325"/>
      <c r="JOI507" s="325"/>
      <c r="JOJ507" s="325"/>
      <c r="JOK507" s="325"/>
      <c r="JOL507" s="325"/>
      <c r="JOM507" s="325"/>
      <c r="JON507" s="325"/>
      <c r="JOO507" s="325"/>
      <c r="JOP507" s="325"/>
      <c r="JOQ507" s="325"/>
      <c r="JOR507" s="325"/>
      <c r="JOS507" s="325"/>
      <c r="JOT507" s="325"/>
      <c r="JOU507" s="325"/>
      <c r="JOV507" s="325"/>
      <c r="JOW507" s="325"/>
      <c r="JOX507" s="325"/>
      <c r="JOY507" s="325"/>
      <c r="JOZ507" s="325"/>
      <c r="JPA507" s="325"/>
      <c r="JPB507" s="325"/>
      <c r="JPC507" s="325"/>
      <c r="JPD507" s="325"/>
      <c r="JPE507" s="325"/>
      <c r="JPF507" s="327"/>
      <c r="JPG507" s="28"/>
      <c r="JPH507" s="324"/>
      <c r="JPI507" s="324"/>
      <c r="JPJ507" s="324"/>
      <c r="JPK507" s="324"/>
      <c r="JPL507" s="324"/>
      <c r="JPM507" s="324"/>
      <c r="JPN507" s="256"/>
      <c r="JPO507" s="325"/>
      <c r="JPP507" s="311"/>
      <c r="JPQ507" s="325"/>
      <c r="JPR507" s="310"/>
      <c r="JPS507" s="325"/>
      <c r="JPT507" s="325"/>
      <c r="JPU507" s="325"/>
      <c r="JPV507" s="325"/>
      <c r="JPW507" s="325"/>
      <c r="JPX507" s="325"/>
      <c r="JPY507" s="325"/>
      <c r="JPZ507" s="325"/>
      <c r="JQA507" s="325"/>
      <c r="JQB507" s="325"/>
      <c r="JQC507" s="325"/>
      <c r="JQD507" s="325"/>
      <c r="JQE507" s="325"/>
      <c r="JQF507" s="325"/>
      <c r="JQG507" s="325"/>
      <c r="JQH507" s="325"/>
      <c r="JQI507" s="325"/>
      <c r="JQJ507" s="325"/>
      <c r="JQK507" s="325"/>
      <c r="JQL507" s="325"/>
      <c r="JQM507" s="325"/>
      <c r="JQN507" s="325"/>
      <c r="JQO507" s="325"/>
      <c r="JQP507" s="325"/>
      <c r="JQQ507" s="325"/>
      <c r="JQR507" s="325"/>
      <c r="JQS507" s="325"/>
      <c r="JQT507" s="325"/>
      <c r="JQU507" s="325"/>
      <c r="JQV507" s="325"/>
      <c r="JQW507" s="327"/>
      <c r="JQX507" s="28"/>
      <c r="JQY507" s="324"/>
      <c r="JQZ507" s="324"/>
      <c r="JRA507" s="324"/>
      <c r="JRB507" s="324"/>
      <c r="JRC507" s="324"/>
      <c r="JRD507" s="324"/>
      <c r="JRE507" s="256"/>
      <c r="JRF507" s="325"/>
      <c r="JRG507" s="311"/>
      <c r="JRH507" s="325"/>
      <c r="JRI507" s="310"/>
      <c r="JRJ507" s="325"/>
      <c r="JRK507" s="325"/>
      <c r="JRL507" s="325"/>
      <c r="JRM507" s="325"/>
      <c r="JRN507" s="325"/>
      <c r="JRO507" s="325"/>
      <c r="JRP507" s="325"/>
      <c r="JRQ507" s="325"/>
      <c r="JRR507" s="325"/>
      <c r="JRS507" s="325"/>
      <c r="JRT507" s="325"/>
      <c r="JRU507" s="325"/>
      <c r="JRV507" s="325"/>
      <c r="JRW507" s="325"/>
      <c r="JRX507" s="325"/>
      <c r="JRY507" s="325"/>
      <c r="JRZ507" s="325"/>
      <c r="JSA507" s="325"/>
      <c r="JSB507" s="325"/>
      <c r="JSC507" s="325"/>
      <c r="JSD507" s="325"/>
      <c r="JSE507" s="325"/>
      <c r="JSF507" s="325"/>
      <c r="JSG507" s="325"/>
      <c r="JSH507" s="325"/>
      <c r="JSI507" s="325"/>
      <c r="JSJ507" s="325"/>
      <c r="JSK507" s="325"/>
      <c r="JSL507" s="325"/>
      <c r="JSM507" s="325"/>
      <c r="JSN507" s="327"/>
      <c r="JSO507" s="28"/>
      <c r="JSP507" s="324"/>
      <c r="JSQ507" s="324"/>
      <c r="JSR507" s="324"/>
      <c r="JSS507" s="324"/>
      <c r="JST507" s="324"/>
      <c r="JSU507" s="324"/>
      <c r="JSV507" s="256"/>
      <c r="JSW507" s="325"/>
      <c r="JSX507" s="311"/>
      <c r="JSY507" s="325"/>
      <c r="JSZ507" s="310"/>
      <c r="JTA507" s="325"/>
      <c r="JTB507" s="325"/>
      <c r="JTC507" s="325"/>
      <c r="JTD507" s="325"/>
      <c r="JTE507" s="325"/>
      <c r="JTF507" s="325"/>
      <c r="JTG507" s="325"/>
      <c r="JTH507" s="325"/>
      <c r="JTI507" s="325"/>
      <c r="JTJ507" s="325"/>
      <c r="JTK507" s="325"/>
      <c r="JTL507" s="325"/>
      <c r="JTM507" s="325"/>
      <c r="JTN507" s="325"/>
      <c r="JTO507" s="325"/>
      <c r="JTP507" s="325"/>
      <c r="JTQ507" s="325"/>
      <c r="JTR507" s="325"/>
      <c r="JTS507" s="325"/>
      <c r="JTT507" s="325"/>
      <c r="JTU507" s="325"/>
      <c r="JTV507" s="325"/>
      <c r="JTW507" s="325"/>
      <c r="JTX507" s="325"/>
      <c r="JTY507" s="325"/>
      <c r="JTZ507" s="325"/>
      <c r="JUA507" s="325"/>
      <c r="JUB507" s="325"/>
      <c r="JUC507" s="325"/>
      <c r="JUD507" s="325"/>
      <c r="JUE507" s="327"/>
      <c r="JUF507" s="28"/>
      <c r="JUG507" s="324"/>
      <c r="JUH507" s="324"/>
      <c r="JUI507" s="324"/>
      <c r="JUJ507" s="324"/>
      <c r="JUK507" s="324"/>
      <c r="JUL507" s="324"/>
      <c r="JUM507" s="256"/>
      <c r="JUN507" s="325"/>
      <c r="JUO507" s="311"/>
      <c r="JUP507" s="325"/>
      <c r="JUQ507" s="310"/>
      <c r="JUR507" s="325"/>
      <c r="JUS507" s="325"/>
      <c r="JUT507" s="325"/>
      <c r="JUU507" s="325"/>
      <c r="JUV507" s="325"/>
      <c r="JUW507" s="325"/>
      <c r="JUX507" s="325"/>
      <c r="JUY507" s="325"/>
      <c r="JUZ507" s="325"/>
      <c r="JVA507" s="325"/>
      <c r="JVB507" s="325"/>
      <c r="JVC507" s="325"/>
      <c r="JVD507" s="325"/>
      <c r="JVE507" s="325"/>
      <c r="JVF507" s="325"/>
      <c r="JVG507" s="325"/>
      <c r="JVH507" s="325"/>
      <c r="JVI507" s="325"/>
      <c r="JVJ507" s="325"/>
      <c r="JVK507" s="325"/>
      <c r="JVL507" s="325"/>
      <c r="JVM507" s="325"/>
      <c r="JVN507" s="325"/>
      <c r="JVO507" s="325"/>
      <c r="JVP507" s="325"/>
      <c r="JVQ507" s="325"/>
      <c r="JVR507" s="325"/>
      <c r="JVS507" s="325"/>
      <c r="JVT507" s="325"/>
      <c r="JVU507" s="325"/>
      <c r="JVV507" s="327"/>
      <c r="JVW507" s="28"/>
      <c r="JVX507" s="324"/>
      <c r="JVY507" s="324"/>
      <c r="JVZ507" s="324"/>
      <c r="JWA507" s="324"/>
      <c r="JWB507" s="324"/>
      <c r="JWC507" s="324"/>
      <c r="JWD507" s="256"/>
      <c r="JWE507" s="325"/>
      <c r="JWF507" s="311"/>
      <c r="JWG507" s="325"/>
      <c r="JWH507" s="310"/>
      <c r="JWI507" s="325"/>
      <c r="JWJ507" s="325"/>
      <c r="JWK507" s="325"/>
      <c r="JWL507" s="325"/>
      <c r="JWM507" s="325"/>
      <c r="JWN507" s="325"/>
      <c r="JWO507" s="325"/>
      <c r="JWP507" s="325"/>
      <c r="JWQ507" s="325"/>
      <c r="JWR507" s="325"/>
      <c r="JWS507" s="325"/>
      <c r="JWT507" s="325"/>
      <c r="JWU507" s="325"/>
      <c r="JWV507" s="325"/>
      <c r="JWW507" s="325"/>
      <c r="JWX507" s="325"/>
      <c r="JWY507" s="325"/>
      <c r="JWZ507" s="325"/>
      <c r="JXA507" s="325"/>
      <c r="JXB507" s="325"/>
      <c r="JXC507" s="325"/>
      <c r="JXD507" s="325"/>
      <c r="JXE507" s="325"/>
      <c r="JXF507" s="325"/>
      <c r="JXG507" s="325"/>
      <c r="JXH507" s="325"/>
      <c r="JXI507" s="325"/>
      <c r="JXJ507" s="325"/>
      <c r="JXK507" s="325"/>
      <c r="JXL507" s="325"/>
      <c r="JXM507" s="327"/>
      <c r="JXN507" s="28"/>
      <c r="JXO507" s="324"/>
      <c r="JXP507" s="324"/>
      <c r="JXQ507" s="324"/>
      <c r="JXR507" s="324"/>
      <c r="JXS507" s="324"/>
      <c r="JXT507" s="324"/>
      <c r="JXU507" s="256"/>
      <c r="JXV507" s="325"/>
      <c r="JXW507" s="311"/>
      <c r="JXX507" s="325"/>
      <c r="JXY507" s="310"/>
      <c r="JXZ507" s="325"/>
      <c r="JYA507" s="325"/>
      <c r="JYB507" s="325"/>
      <c r="JYC507" s="325"/>
      <c r="JYD507" s="325"/>
      <c r="JYE507" s="325"/>
      <c r="JYF507" s="325"/>
      <c r="JYG507" s="325"/>
      <c r="JYH507" s="325"/>
      <c r="JYI507" s="325"/>
      <c r="JYJ507" s="325"/>
      <c r="JYK507" s="325"/>
      <c r="JYL507" s="325"/>
      <c r="JYM507" s="325"/>
      <c r="JYN507" s="325"/>
      <c r="JYO507" s="325"/>
      <c r="JYP507" s="325"/>
      <c r="JYQ507" s="325"/>
      <c r="JYR507" s="325"/>
      <c r="JYS507" s="325"/>
      <c r="JYT507" s="325"/>
      <c r="JYU507" s="325"/>
      <c r="JYV507" s="325"/>
      <c r="JYW507" s="325"/>
      <c r="JYX507" s="325"/>
      <c r="JYY507" s="325"/>
      <c r="JYZ507" s="325"/>
      <c r="JZA507" s="325"/>
      <c r="JZB507" s="325"/>
      <c r="JZC507" s="325"/>
      <c r="JZD507" s="327"/>
      <c r="JZE507" s="28"/>
      <c r="JZF507" s="324"/>
      <c r="JZG507" s="324"/>
      <c r="JZH507" s="324"/>
      <c r="JZI507" s="324"/>
      <c r="JZJ507" s="324"/>
      <c r="JZK507" s="324"/>
      <c r="JZL507" s="256"/>
      <c r="JZM507" s="325"/>
      <c r="JZN507" s="311"/>
      <c r="JZO507" s="325"/>
      <c r="JZP507" s="310"/>
      <c r="JZQ507" s="325"/>
      <c r="JZR507" s="325"/>
      <c r="JZS507" s="325"/>
      <c r="JZT507" s="325"/>
      <c r="JZU507" s="325"/>
      <c r="JZV507" s="325"/>
      <c r="JZW507" s="325"/>
      <c r="JZX507" s="325"/>
      <c r="JZY507" s="325"/>
      <c r="JZZ507" s="325"/>
      <c r="KAA507" s="325"/>
      <c r="KAB507" s="325"/>
      <c r="KAC507" s="325"/>
      <c r="KAD507" s="325"/>
      <c r="KAE507" s="325"/>
      <c r="KAF507" s="325"/>
      <c r="KAG507" s="325"/>
      <c r="KAH507" s="325"/>
      <c r="KAI507" s="325"/>
      <c r="KAJ507" s="325"/>
      <c r="KAK507" s="325"/>
      <c r="KAL507" s="325"/>
      <c r="KAM507" s="325"/>
      <c r="KAN507" s="325"/>
      <c r="KAO507" s="325"/>
      <c r="KAP507" s="325"/>
      <c r="KAQ507" s="325"/>
      <c r="KAR507" s="325"/>
      <c r="KAS507" s="325"/>
      <c r="KAT507" s="325"/>
      <c r="KAU507" s="327"/>
      <c r="KAV507" s="28"/>
      <c r="KAW507" s="324"/>
      <c r="KAX507" s="324"/>
      <c r="KAY507" s="324"/>
      <c r="KAZ507" s="324"/>
      <c r="KBA507" s="324"/>
      <c r="KBB507" s="324"/>
      <c r="KBC507" s="256"/>
      <c r="KBD507" s="325"/>
      <c r="KBE507" s="311"/>
      <c r="KBF507" s="325"/>
      <c r="KBG507" s="310"/>
      <c r="KBH507" s="325"/>
      <c r="KBI507" s="325"/>
      <c r="KBJ507" s="325"/>
      <c r="KBK507" s="325"/>
      <c r="KBL507" s="325"/>
      <c r="KBM507" s="325"/>
      <c r="KBN507" s="325"/>
      <c r="KBO507" s="325"/>
      <c r="KBP507" s="325"/>
      <c r="KBQ507" s="325"/>
      <c r="KBR507" s="325"/>
      <c r="KBS507" s="325"/>
      <c r="KBT507" s="325"/>
      <c r="KBU507" s="325"/>
      <c r="KBV507" s="325"/>
      <c r="KBW507" s="325"/>
      <c r="KBX507" s="325"/>
      <c r="KBY507" s="325"/>
      <c r="KBZ507" s="325"/>
      <c r="KCA507" s="325"/>
      <c r="KCB507" s="325"/>
      <c r="KCC507" s="325"/>
      <c r="KCD507" s="325"/>
      <c r="KCE507" s="325"/>
      <c r="KCF507" s="325"/>
      <c r="KCG507" s="325"/>
      <c r="KCH507" s="325"/>
      <c r="KCI507" s="325"/>
      <c r="KCJ507" s="325"/>
      <c r="KCK507" s="325"/>
      <c r="KCL507" s="327"/>
      <c r="KCM507" s="28"/>
      <c r="KCN507" s="324"/>
      <c r="KCO507" s="324"/>
      <c r="KCP507" s="324"/>
      <c r="KCQ507" s="324"/>
      <c r="KCR507" s="324"/>
      <c r="KCS507" s="324"/>
      <c r="KCT507" s="256"/>
      <c r="KCU507" s="325"/>
      <c r="KCV507" s="311"/>
      <c r="KCW507" s="325"/>
      <c r="KCX507" s="310"/>
      <c r="KCY507" s="325"/>
      <c r="KCZ507" s="325"/>
      <c r="KDA507" s="325"/>
      <c r="KDB507" s="325"/>
      <c r="KDC507" s="325"/>
      <c r="KDD507" s="325"/>
      <c r="KDE507" s="325"/>
      <c r="KDF507" s="325"/>
      <c r="KDG507" s="325"/>
      <c r="KDH507" s="325"/>
      <c r="KDI507" s="325"/>
      <c r="KDJ507" s="325"/>
      <c r="KDK507" s="325"/>
      <c r="KDL507" s="325"/>
      <c r="KDM507" s="325"/>
      <c r="KDN507" s="325"/>
      <c r="KDO507" s="325"/>
      <c r="KDP507" s="325"/>
      <c r="KDQ507" s="325"/>
      <c r="KDR507" s="325"/>
      <c r="KDS507" s="325"/>
      <c r="KDT507" s="325"/>
      <c r="KDU507" s="325"/>
      <c r="KDV507" s="325"/>
      <c r="KDW507" s="325"/>
      <c r="KDX507" s="325"/>
      <c r="KDY507" s="325"/>
      <c r="KDZ507" s="325"/>
      <c r="KEA507" s="325"/>
      <c r="KEB507" s="325"/>
      <c r="KEC507" s="327"/>
      <c r="KED507" s="28"/>
      <c r="KEE507" s="324"/>
      <c r="KEF507" s="324"/>
      <c r="KEG507" s="324"/>
      <c r="KEH507" s="324"/>
      <c r="KEI507" s="324"/>
      <c r="KEJ507" s="324"/>
      <c r="KEK507" s="256"/>
      <c r="KEL507" s="325"/>
      <c r="KEM507" s="311"/>
      <c r="KEN507" s="325"/>
      <c r="KEO507" s="310"/>
      <c r="KEP507" s="325"/>
      <c r="KEQ507" s="325"/>
      <c r="KER507" s="325"/>
      <c r="KES507" s="325"/>
      <c r="KET507" s="325"/>
      <c r="KEU507" s="325"/>
      <c r="KEV507" s="325"/>
      <c r="KEW507" s="325"/>
      <c r="KEX507" s="325"/>
      <c r="KEY507" s="325"/>
      <c r="KEZ507" s="325"/>
      <c r="KFA507" s="325"/>
      <c r="KFB507" s="325"/>
      <c r="KFC507" s="325"/>
      <c r="KFD507" s="325"/>
      <c r="KFE507" s="325"/>
      <c r="KFF507" s="325"/>
      <c r="KFG507" s="325"/>
      <c r="KFH507" s="325"/>
      <c r="KFI507" s="325"/>
      <c r="KFJ507" s="325"/>
      <c r="KFK507" s="325"/>
      <c r="KFL507" s="325"/>
      <c r="KFM507" s="325"/>
      <c r="KFN507" s="325"/>
      <c r="KFO507" s="325"/>
      <c r="KFP507" s="325"/>
      <c r="KFQ507" s="325"/>
      <c r="KFR507" s="325"/>
      <c r="KFS507" s="325"/>
      <c r="KFT507" s="327"/>
      <c r="KFU507" s="28"/>
      <c r="KFV507" s="324"/>
      <c r="KFW507" s="324"/>
      <c r="KFX507" s="324"/>
      <c r="KFY507" s="324"/>
      <c r="KFZ507" s="324"/>
      <c r="KGA507" s="324"/>
      <c r="KGB507" s="256"/>
      <c r="KGC507" s="325"/>
      <c r="KGD507" s="311"/>
      <c r="KGE507" s="325"/>
      <c r="KGF507" s="310"/>
      <c r="KGG507" s="325"/>
      <c r="KGH507" s="325"/>
      <c r="KGI507" s="325"/>
      <c r="KGJ507" s="325"/>
      <c r="KGK507" s="325"/>
      <c r="KGL507" s="325"/>
      <c r="KGM507" s="325"/>
      <c r="KGN507" s="325"/>
      <c r="KGO507" s="325"/>
      <c r="KGP507" s="325"/>
      <c r="KGQ507" s="325"/>
      <c r="KGR507" s="325"/>
      <c r="KGS507" s="325"/>
      <c r="KGT507" s="325"/>
      <c r="KGU507" s="325"/>
      <c r="KGV507" s="325"/>
      <c r="KGW507" s="325"/>
      <c r="KGX507" s="325"/>
      <c r="KGY507" s="325"/>
      <c r="KGZ507" s="325"/>
      <c r="KHA507" s="325"/>
      <c r="KHB507" s="325"/>
      <c r="KHC507" s="325"/>
      <c r="KHD507" s="325"/>
      <c r="KHE507" s="325"/>
      <c r="KHF507" s="325"/>
      <c r="KHG507" s="325"/>
      <c r="KHH507" s="325"/>
      <c r="KHI507" s="325"/>
      <c r="KHJ507" s="325"/>
      <c r="KHK507" s="327"/>
      <c r="KHL507" s="28"/>
      <c r="KHM507" s="324"/>
      <c r="KHN507" s="324"/>
      <c r="KHO507" s="324"/>
      <c r="KHP507" s="324"/>
      <c r="KHQ507" s="324"/>
      <c r="KHR507" s="324"/>
      <c r="KHS507" s="256"/>
      <c r="KHT507" s="325"/>
      <c r="KHU507" s="311"/>
      <c r="KHV507" s="325"/>
      <c r="KHW507" s="310"/>
      <c r="KHX507" s="325"/>
      <c r="KHY507" s="325"/>
      <c r="KHZ507" s="325"/>
      <c r="KIA507" s="325"/>
      <c r="KIB507" s="325"/>
      <c r="KIC507" s="325"/>
      <c r="KID507" s="325"/>
      <c r="KIE507" s="325"/>
      <c r="KIF507" s="325"/>
      <c r="KIG507" s="325"/>
      <c r="KIH507" s="325"/>
      <c r="KII507" s="325"/>
      <c r="KIJ507" s="325"/>
      <c r="KIK507" s="325"/>
      <c r="KIL507" s="325"/>
      <c r="KIM507" s="325"/>
      <c r="KIN507" s="325"/>
      <c r="KIO507" s="325"/>
      <c r="KIP507" s="325"/>
      <c r="KIQ507" s="325"/>
      <c r="KIR507" s="325"/>
      <c r="KIS507" s="325"/>
      <c r="KIT507" s="325"/>
      <c r="KIU507" s="325"/>
      <c r="KIV507" s="325"/>
      <c r="KIW507" s="325"/>
      <c r="KIX507" s="325"/>
      <c r="KIY507" s="325"/>
      <c r="KIZ507" s="325"/>
      <c r="KJA507" s="325"/>
      <c r="KJB507" s="327"/>
      <c r="KJC507" s="28"/>
      <c r="KJD507" s="324"/>
      <c r="KJE507" s="324"/>
      <c r="KJF507" s="324"/>
      <c r="KJG507" s="324"/>
      <c r="KJH507" s="324"/>
      <c r="KJI507" s="324"/>
      <c r="KJJ507" s="256"/>
      <c r="KJK507" s="325"/>
      <c r="KJL507" s="311"/>
      <c r="KJM507" s="325"/>
      <c r="KJN507" s="310"/>
      <c r="KJO507" s="325"/>
      <c r="KJP507" s="325"/>
      <c r="KJQ507" s="325"/>
      <c r="KJR507" s="325"/>
      <c r="KJS507" s="325"/>
      <c r="KJT507" s="325"/>
      <c r="KJU507" s="325"/>
      <c r="KJV507" s="325"/>
      <c r="KJW507" s="325"/>
      <c r="KJX507" s="325"/>
      <c r="KJY507" s="325"/>
      <c r="KJZ507" s="325"/>
      <c r="KKA507" s="325"/>
      <c r="KKB507" s="325"/>
      <c r="KKC507" s="325"/>
      <c r="KKD507" s="325"/>
      <c r="KKE507" s="325"/>
      <c r="KKF507" s="325"/>
      <c r="KKG507" s="325"/>
      <c r="KKH507" s="325"/>
      <c r="KKI507" s="325"/>
      <c r="KKJ507" s="325"/>
      <c r="KKK507" s="325"/>
      <c r="KKL507" s="325"/>
      <c r="KKM507" s="325"/>
      <c r="KKN507" s="325"/>
      <c r="KKO507" s="325"/>
      <c r="KKP507" s="325"/>
      <c r="KKQ507" s="325"/>
      <c r="KKR507" s="325"/>
      <c r="KKS507" s="327"/>
      <c r="KKT507" s="28"/>
      <c r="KKU507" s="324"/>
      <c r="KKV507" s="324"/>
      <c r="KKW507" s="324"/>
      <c r="KKX507" s="324"/>
      <c r="KKY507" s="324"/>
      <c r="KKZ507" s="324"/>
      <c r="KLA507" s="256"/>
      <c r="KLB507" s="325"/>
      <c r="KLC507" s="311"/>
      <c r="KLD507" s="325"/>
      <c r="KLE507" s="310"/>
      <c r="KLF507" s="325"/>
      <c r="KLG507" s="325"/>
      <c r="KLH507" s="325"/>
      <c r="KLI507" s="325"/>
      <c r="KLJ507" s="325"/>
      <c r="KLK507" s="325"/>
      <c r="KLL507" s="325"/>
      <c r="KLM507" s="325"/>
      <c r="KLN507" s="325"/>
      <c r="KLO507" s="325"/>
      <c r="KLP507" s="325"/>
      <c r="KLQ507" s="325"/>
      <c r="KLR507" s="325"/>
      <c r="KLS507" s="325"/>
      <c r="KLT507" s="325"/>
      <c r="KLU507" s="325"/>
      <c r="KLV507" s="325"/>
      <c r="KLW507" s="325"/>
      <c r="KLX507" s="325"/>
      <c r="KLY507" s="325"/>
      <c r="KLZ507" s="325"/>
      <c r="KMA507" s="325"/>
      <c r="KMB507" s="325"/>
      <c r="KMC507" s="325"/>
      <c r="KMD507" s="325"/>
      <c r="KME507" s="325"/>
      <c r="KMF507" s="325"/>
      <c r="KMG507" s="325"/>
      <c r="KMH507" s="325"/>
      <c r="KMI507" s="325"/>
      <c r="KMJ507" s="327"/>
      <c r="KMK507" s="28"/>
      <c r="KML507" s="324"/>
      <c r="KMM507" s="324"/>
      <c r="KMN507" s="324"/>
      <c r="KMO507" s="324"/>
      <c r="KMP507" s="324"/>
      <c r="KMQ507" s="324"/>
      <c r="KMR507" s="256"/>
      <c r="KMS507" s="325"/>
      <c r="KMT507" s="311"/>
      <c r="KMU507" s="325"/>
      <c r="KMV507" s="310"/>
      <c r="KMW507" s="325"/>
      <c r="KMX507" s="325"/>
      <c r="KMY507" s="325"/>
      <c r="KMZ507" s="325"/>
      <c r="KNA507" s="325"/>
      <c r="KNB507" s="325"/>
      <c r="KNC507" s="325"/>
      <c r="KND507" s="325"/>
      <c r="KNE507" s="325"/>
      <c r="KNF507" s="325"/>
      <c r="KNG507" s="325"/>
      <c r="KNH507" s="325"/>
      <c r="KNI507" s="325"/>
      <c r="KNJ507" s="325"/>
      <c r="KNK507" s="325"/>
      <c r="KNL507" s="325"/>
      <c r="KNM507" s="325"/>
      <c r="KNN507" s="325"/>
      <c r="KNO507" s="325"/>
      <c r="KNP507" s="325"/>
      <c r="KNQ507" s="325"/>
      <c r="KNR507" s="325"/>
      <c r="KNS507" s="325"/>
      <c r="KNT507" s="325"/>
      <c r="KNU507" s="325"/>
      <c r="KNV507" s="325"/>
      <c r="KNW507" s="325"/>
      <c r="KNX507" s="325"/>
      <c r="KNY507" s="325"/>
      <c r="KNZ507" s="325"/>
      <c r="KOA507" s="327"/>
      <c r="KOB507" s="28"/>
      <c r="KOC507" s="324"/>
      <c r="KOD507" s="324"/>
      <c r="KOE507" s="324"/>
      <c r="KOF507" s="324"/>
      <c r="KOG507" s="324"/>
      <c r="KOH507" s="324"/>
      <c r="KOI507" s="256"/>
      <c r="KOJ507" s="325"/>
      <c r="KOK507" s="311"/>
      <c r="KOL507" s="325"/>
      <c r="KOM507" s="310"/>
      <c r="KON507" s="325"/>
      <c r="KOO507" s="325"/>
      <c r="KOP507" s="325"/>
      <c r="KOQ507" s="325"/>
      <c r="KOR507" s="325"/>
      <c r="KOS507" s="325"/>
      <c r="KOT507" s="325"/>
      <c r="KOU507" s="325"/>
      <c r="KOV507" s="325"/>
      <c r="KOW507" s="325"/>
      <c r="KOX507" s="325"/>
      <c r="KOY507" s="325"/>
      <c r="KOZ507" s="325"/>
      <c r="KPA507" s="325"/>
      <c r="KPB507" s="325"/>
      <c r="KPC507" s="325"/>
      <c r="KPD507" s="325"/>
      <c r="KPE507" s="325"/>
      <c r="KPF507" s="325"/>
      <c r="KPG507" s="325"/>
      <c r="KPH507" s="325"/>
      <c r="KPI507" s="325"/>
      <c r="KPJ507" s="325"/>
      <c r="KPK507" s="325"/>
      <c r="KPL507" s="325"/>
      <c r="KPM507" s="325"/>
      <c r="KPN507" s="325"/>
      <c r="KPO507" s="325"/>
      <c r="KPP507" s="325"/>
      <c r="KPQ507" s="325"/>
      <c r="KPR507" s="327"/>
      <c r="KPS507" s="28"/>
      <c r="KPT507" s="324"/>
      <c r="KPU507" s="324"/>
      <c r="KPV507" s="324"/>
      <c r="KPW507" s="324"/>
      <c r="KPX507" s="324"/>
      <c r="KPY507" s="324"/>
      <c r="KPZ507" s="256"/>
      <c r="KQA507" s="325"/>
      <c r="KQB507" s="311"/>
      <c r="KQC507" s="325"/>
      <c r="KQD507" s="310"/>
      <c r="KQE507" s="325"/>
      <c r="KQF507" s="325"/>
      <c r="KQG507" s="325"/>
      <c r="KQH507" s="325"/>
      <c r="KQI507" s="325"/>
      <c r="KQJ507" s="325"/>
      <c r="KQK507" s="325"/>
      <c r="KQL507" s="325"/>
      <c r="KQM507" s="325"/>
      <c r="KQN507" s="325"/>
      <c r="KQO507" s="325"/>
      <c r="KQP507" s="325"/>
      <c r="KQQ507" s="325"/>
      <c r="KQR507" s="325"/>
      <c r="KQS507" s="325"/>
      <c r="KQT507" s="325"/>
      <c r="KQU507" s="325"/>
      <c r="KQV507" s="325"/>
      <c r="KQW507" s="325"/>
      <c r="KQX507" s="325"/>
      <c r="KQY507" s="325"/>
      <c r="KQZ507" s="325"/>
      <c r="KRA507" s="325"/>
      <c r="KRB507" s="325"/>
      <c r="KRC507" s="325"/>
      <c r="KRD507" s="325"/>
      <c r="KRE507" s="325"/>
      <c r="KRF507" s="325"/>
      <c r="KRG507" s="325"/>
      <c r="KRH507" s="325"/>
      <c r="KRI507" s="327"/>
      <c r="KRJ507" s="28"/>
      <c r="KRK507" s="324"/>
      <c r="KRL507" s="324"/>
      <c r="KRM507" s="324"/>
      <c r="KRN507" s="324"/>
      <c r="KRO507" s="324"/>
      <c r="KRP507" s="324"/>
      <c r="KRQ507" s="256"/>
      <c r="KRR507" s="325"/>
      <c r="KRS507" s="311"/>
      <c r="KRT507" s="325"/>
      <c r="KRU507" s="310"/>
      <c r="KRV507" s="325"/>
      <c r="KRW507" s="325"/>
      <c r="KRX507" s="325"/>
      <c r="KRY507" s="325"/>
      <c r="KRZ507" s="325"/>
      <c r="KSA507" s="325"/>
      <c r="KSB507" s="325"/>
      <c r="KSC507" s="325"/>
      <c r="KSD507" s="325"/>
      <c r="KSE507" s="325"/>
      <c r="KSF507" s="325"/>
      <c r="KSG507" s="325"/>
      <c r="KSH507" s="325"/>
      <c r="KSI507" s="325"/>
      <c r="KSJ507" s="325"/>
      <c r="KSK507" s="325"/>
      <c r="KSL507" s="325"/>
      <c r="KSM507" s="325"/>
      <c r="KSN507" s="325"/>
      <c r="KSO507" s="325"/>
      <c r="KSP507" s="325"/>
      <c r="KSQ507" s="325"/>
      <c r="KSR507" s="325"/>
      <c r="KSS507" s="325"/>
      <c r="KST507" s="325"/>
      <c r="KSU507" s="325"/>
      <c r="KSV507" s="325"/>
      <c r="KSW507" s="325"/>
      <c r="KSX507" s="325"/>
      <c r="KSY507" s="325"/>
      <c r="KSZ507" s="327"/>
      <c r="KTA507" s="28"/>
      <c r="KTB507" s="324"/>
      <c r="KTC507" s="324"/>
      <c r="KTD507" s="324"/>
      <c r="KTE507" s="324"/>
      <c r="KTF507" s="324"/>
      <c r="KTG507" s="324"/>
      <c r="KTH507" s="256"/>
      <c r="KTI507" s="325"/>
      <c r="KTJ507" s="311"/>
      <c r="KTK507" s="325"/>
      <c r="KTL507" s="310"/>
      <c r="KTM507" s="325"/>
      <c r="KTN507" s="325"/>
      <c r="KTO507" s="325"/>
      <c r="KTP507" s="325"/>
      <c r="KTQ507" s="325"/>
      <c r="KTR507" s="325"/>
      <c r="KTS507" s="325"/>
      <c r="KTT507" s="325"/>
      <c r="KTU507" s="325"/>
      <c r="KTV507" s="325"/>
      <c r="KTW507" s="325"/>
      <c r="KTX507" s="325"/>
      <c r="KTY507" s="325"/>
      <c r="KTZ507" s="325"/>
      <c r="KUA507" s="325"/>
      <c r="KUB507" s="325"/>
      <c r="KUC507" s="325"/>
      <c r="KUD507" s="325"/>
      <c r="KUE507" s="325"/>
      <c r="KUF507" s="325"/>
      <c r="KUG507" s="325"/>
      <c r="KUH507" s="325"/>
      <c r="KUI507" s="325"/>
      <c r="KUJ507" s="325"/>
      <c r="KUK507" s="325"/>
      <c r="KUL507" s="325"/>
      <c r="KUM507" s="325"/>
      <c r="KUN507" s="325"/>
      <c r="KUO507" s="325"/>
      <c r="KUP507" s="325"/>
      <c r="KUQ507" s="327"/>
      <c r="KUR507" s="28"/>
      <c r="KUS507" s="324"/>
      <c r="KUT507" s="324"/>
      <c r="KUU507" s="324"/>
      <c r="KUV507" s="324"/>
      <c r="KUW507" s="324"/>
      <c r="KUX507" s="324"/>
      <c r="KUY507" s="256"/>
      <c r="KUZ507" s="325"/>
      <c r="KVA507" s="311"/>
      <c r="KVB507" s="325"/>
      <c r="KVC507" s="310"/>
      <c r="KVD507" s="325"/>
      <c r="KVE507" s="325"/>
      <c r="KVF507" s="325"/>
      <c r="KVG507" s="325"/>
      <c r="KVH507" s="325"/>
      <c r="KVI507" s="325"/>
      <c r="KVJ507" s="325"/>
      <c r="KVK507" s="325"/>
      <c r="KVL507" s="325"/>
      <c r="KVM507" s="325"/>
      <c r="KVN507" s="325"/>
      <c r="KVO507" s="325"/>
      <c r="KVP507" s="325"/>
      <c r="KVQ507" s="325"/>
      <c r="KVR507" s="325"/>
      <c r="KVS507" s="325"/>
      <c r="KVT507" s="325"/>
      <c r="KVU507" s="325"/>
      <c r="KVV507" s="325"/>
      <c r="KVW507" s="325"/>
      <c r="KVX507" s="325"/>
      <c r="KVY507" s="325"/>
      <c r="KVZ507" s="325"/>
      <c r="KWA507" s="325"/>
      <c r="KWB507" s="325"/>
      <c r="KWC507" s="325"/>
      <c r="KWD507" s="325"/>
      <c r="KWE507" s="325"/>
      <c r="KWF507" s="325"/>
      <c r="KWG507" s="325"/>
      <c r="KWH507" s="327"/>
      <c r="KWI507" s="28"/>
      <c r="KWJ507" s="324"/>
      <c r="KWK507" s="324"/>
      <c r="KWL507" s="324"/>
      <c r="KWM507" s="324"/>
      <c r="KWN507" s="324"/>
      <c r="KWO507" s="324"/>
      <c r="KWP507" s="256"/>
      <c r="KWQ507" s="325"/>
      <c r="KWR507" s="311"/>
      <c r="KWS507" s="325"/>
      <c r="KWT507" s="310"/>
      <c r="KWU507" s="325"/>
      <c r="KWV507" s="325"/>
      <c r="KWW507" s="325"/>
      <c r="KWX507" s="325"/>
      <c r="KWY507" s="325"/>
      <c r="KWZ507" s="325"/>
      <c r="KXA507" s="325"/>
      <c r="KXB507" s="325"/>
      <c r="KXC507" s="325"/>
      <c r="KXD507" s="325"/>
      <c r="KXE507" s="325"/>
      <c r="KXF507" s="325"/>
      <c r="KXG507" s="325"/>
      <c r="KXH507" s="325"/>
      <c r="KXI507" s="325"/>
      <c r="KXJ507" s="325"/>
      <c r="KXK507" s="325"/>
      <c r="KXL507" s="325"/>
      <c r="KXM507" s="325"/>
      <c r="KXN507" s="325"/>
      <c r="KXO507" s="325"/>
      <c r="KXP507" s="325"/>
      <c r="KXQ507" s="325"/>
      <c r="KXR507" s="325"/>
      <c r="KXS507" s="325"/>
      <c r="KXT507" s="325"/>
      <c r="KXU507" s="325"/>
      <c r="KXV507" s="325"/>
      <c r="KXW507" s="325"/>
      <c r="KXX507" s="325"/>
      <c r="KXY507" s="327"/>
      <c r="KXZ507" s="28"/>
      <c r="KYA507" s="324"/>
      <c r="KYB507" s="324"/>
      <c r="KYC507" s="324"/>
      <c r="KYD507" s="324"/>
      <c r="KYE507" s="324"/>
      <c r="KYF507" s="324"/>
      <c r="KYG507" s="256"/>
      <c r="KYH507" s="325"/>
      <c r="KYI507" s="311"/>
      <c r="KYJ507" s="325"/>
      <c r="KYK507" s="310"/>
      <c r="KYL507" s="325"/>
      <c r="KYM507" s="325"/>
      <c r="KYN507" s="325"/>
      <c r="KYO507" s="325"/>
      <c r="KYP507" s="325"/>
      <c r="KYQ507" s="325"/>
      <c r="KYR507" s="325"/>
      <c r="KYS507" s="325"/>
      <c r="KYT507" s="325"/>
      <c r="KYU507" s="325"/>
      <c r="KYV507" s="325"/>
      <c r="KYW507" s="325"/>
      <c r="KYX507" s="325"/>
      <c r="KYY507" s="325"/>
      <c r="KYZ507" s="325"/>
      <c r="KZA507" s="325"/>
      <c r="KZB507" s="325"/>
      <c r="KZC507" s="325"/>
      <c r="KZD507" s="325"/>
      <c r="KZE507" s="325"/>
      <c r="KZF507" s="325"/>
      <c r="KZG507" s="325"/>
      <c r="KZH507" s="325"/>
      <c r="KZI507" s="325"/>
      <c r="KZJ507" s="325"/>
      <c r="KZK507" s="325"/>
      <c r="KZL507" s="325"/>
      <c r="KZM507" s="325"/>
      <c r="KZN507" s="325"/>
      <c r="KZO507" s="325"/>
      <c r="KZP507" s="327"/>
      <c r="KZQ507" s="28"/>
      <c r="KZR507" s="324"/>
      <c r="KZS507" s="324"/>
      <c r="KZT507" s="324"/>
      <c r="KZU507" s="324"/>
      <c r="KZV507" s="324"/>
      <c r="KZW507" s="324"/>
      <c r="KZX507" s="256"/>
      <c r="KZY507" s="325"/>
      <c r="KZZ507" s="311"/>
      <c r="LAA507" s="325"/>
      <c r="LAB507" s="310"/>
      <c r="LAC507" s="325"/>
      <c r="LAD507" s="325"/>
      <c r="LAE507" s="325"/>
      <c r="LAF507" s="325"/>
      <c r="LAG507" s="325"/>
      <c r="LAH507" s="325"/>
      <c r="LAI507" s="325"/>
      <c r="LAJ507" s="325"/>
      <c r="LAK507" s="325"/>
      <c r="LAL507" s="325"/>
      <c r="LAM507" s="325"/>
      <c r="LAN507" s="325"/>
      <c r="LAO507" s="325"/>
      <c r="LAP507" s="325"/>
      <c r="LAQ507" s="325"/>
      <c r="LAR507" s="325"/>
      <c r="LAS507" s="325"/>
      <c r="LAT507" s="325"/>
      <c r="LAU507" s="325"/>
      <c r="LAV507" s="325"/>
      <c r="LAW507" s="325"/>
      <c r="LAX507" s="325"/>
      <c r="LAY507" s="325"/>
      <c r="LAZ507" s="325"/>
      <c r="LBA507" s="325"/>
      <c r="LBB507" s="325"/>
      <c r="LBC507" s="325"/>
      <c r="LBD507" s="325"/>
      <c r="LBE507" s="325"/>
      <c r="LBF507" s="325"/>
      <c r="LBG507" s="327"/>
      <c r="LBH507" s="28"/>
      <c r="LBI507" s="324"/>
      <c r="LBJ507" s="324"/>
      <c r="LBK507" s="324"/>
      <c r="LBL507" s="324"/>
      <c r="LBM507" s="324"/>
      <c r="LBN507" s="324"/>
      <c r="LBO507" s="256"/>
      <c r="LBP507" s="325"/>
      <c r="LBQ507" s="311"/>
      <c r="LBR507" s="325"/>
      <c r="LBS507" s="310"/>
      <c r="LBT507" s="325"/>
      <c r="LBU507" s="325"/>
      <c r="LBV507" s="325"/>
      <c r="LBW507" s="325"/>
      <c r="LBX507" s="325"/>
      <c r="LBY507" s="325"/>
      <c r="LBZ507" s="325"/>
      <c r="LCA507" s="325"/>
      <c r="LCB507" s="325"/>
      <c r="LCC507" s="325"/>
      <c r="LCD507" s="325"/>
      <c r="LCE507" s="325"/>
      <c r="LCF507" s="325"/>
      <c r="LCG507" s="325"/>
      <c r="LCH507" s="325"/>
      <c r="LCI507" s="325"/>
      <c r="LCJ507" s="325"/>
      <c r="LCK507" s="325"/>
      <c r="LCL507" s="325"/>
      <c r="LCM507" s="325"/>
      <c r="LCN507" s="325"/>
      <c r="LCO507" s="325"/>
      <c r="LCP507" s="325"/>
      <c r="LCQ507" s="325"/>
      <c r="LCR507" s="325"/>
      <c r="LCS507" s="325"/>
      <c r="LCT507" s="325"/>
      <c r="LCU507" s="325"/>
      <c r="LCV507" s="325"/>
      <c r="LCW507" s="325"/>
      <c r="LCX507" s="327"/>
      <c r="LCY507" s="28"/>
      <c r="LCZ507" s="324"/>
      <c r="LDA507" s="324"/>
      <c r="LDB507" s="324"/>
      <c r="LDC507" s="324"/>
      <c r="LDD507" s="324"/>
      <c r="LDE507" s="324"/>
      <c r="LDF507" s="256"/>
      <c r="LDG507" s="325"/>
      <c r="LDH507" s="311"/>
      <c r="LDI507" s="325"/>
      <c r="LDJ507" s="310"/>
      <c r="LDK507" s="325"/>
      <c r="LDL507" s="325"/>
      <c r="LDM507" s="325"/>
      <c r="LDN507" s="325"/>
      <c r="LDO507" s="325"/>
      <c r="LDP507" s="325"/>
      <c r="LDQ507" s="325"/>
      <c r="LDR507" s="325"/>
      <c r="LDS507" s="325"/>
      <c r="LDT507" s="325"/>
      <c r="LDU507" s="325"/>
      <c r="LDV507" s="325"/>
      <c r="LDW507" s="325"/>
      <c r="LDX507" s="325"/>
      <c r="LDY507" s="325"/>
      <c r="LDZ507" s="325"/>
      <c r="LEA507" s="325"/>
      <c r="LEB507" s="325"/>
      <c r="LEC507" s="325"/>
      <c r="LED507" s="325"/>
      <c r="LEE507" s="325"/>
      <c r="LEF507" s="325"/>
      <c r="LEG507" s="325"/>
      <c r="LEH507" s="325"/>
      <c r="LEI507" s="325"/>
      <c r="LEJ507" s="325"/>
      <c r="LEK507" s="325"/>
      <c r="LEL507" s="325"/>
      <c r="LEM507" s="325"/>
      <c r="LEN507" s="325"/>
      <c r="LEO507" s="327"/>
      <c r="LEP507" s="28"/>
      <c r="LEQ507" s="324"/>
      <c r="LER507" s="324"/>
      <c r="LES507" s="324"/>
      <c r="LET507" s="324"/>
      <c r="LEU507" s="324"/>
      <c r="LEV507" s="324"/>
      <c r="LEW507" s="256"/>
      <c r="LEX507" s="325"/>
      <c r="LEY507" s="311"/>
      <c r="LEZ507" s="325"/>
      <c r="LFA507" s="310"/>
      <c r="LFB507" s="325"/>
      <c r="LFC507" s="325"/>
      <c r="LFD507" s="325"/>
      <c r="LFE507" s="325"/>
      <c r="LFF507" s="325"/>
      <c r="LFG507" s="325"/>
      <c r="LFH507" s="325"/>
      <c r="LFI507" s="325"/>
      <c r="LFJ507" s="325"/>
      <c r="LFK507" s="325"/>
      <c r="LFL507" s="325"/>
      <c r="LFM507" s="325"/>
      <c r="LFN507" s="325"/>
      <c r="LFO507" s="325"/>
      <c r="LFP507" s="325"/>
      <c r="LFQ507" s="325"/>
      <c r="LFR507" s="325"/>
      <c r="LFS507" s="325"/>
      <c r="LFT507" s="325"/>
      <c r="LFU507" s="325"/>
      <c r="LFV507" s="325"/>
      <c r="LFW507" s="325"/>
      <c r="LFX507" s="325"/>
      <c r="LFY507" s="325"/>
      <c r="LFZ507" s="325"/>
      <c r="LGA507" s="325"/>
      <c r="LGB507" s="325"/>
      <c r="LGC507" s="325"/>
      <c r="LGD507" s="325"/>
      <c r="LGE507" s="325"/>
      <c r="LGF507" s="327"/>
      <c r="LGG507" s="28"/>
      <c r="LGH507" s="324"/>
      <c r="LGI507" s="324"/>
      <c r="LGJ507" s="324"/>
      <c r="LGK507" s="324"/>
      <c r="LGL507" s="324"/>
      <c r="LGM507" s="324"/>
      <c r="LGN507" s="256"/>
      <c r="LGO507" s="325"/>
      <c r="LGP507" s="311"/>
      <c r="LGQ507" s="325"/>
      <c r="LGR507" s="310"/>
      <c r="LGS507" s="325"/>
      <c r="LGT507" s="325"/>
      <c r="LGU507" s="325"/>
      <c r="LGV507" s="325"/>
      <c r="LGW507" s="325"/>
      <c r="LGX507" s="325"/>
      <c r="LGY507" s="325"/>
      <c r="LGZ507" s="325"/>
      <c r="LHA507" s="325"/>
      <c r="LHB507" s="325"/>
      <c r="LHC507" s="325"/>
      <c r="LHD507" s="325"/>
      <c r="LHE507" s="325"/>
      <c r="LHF507" s="325"/>
      <c r="LHG507" s="325"/>
      <c r="LHH507" s="325"/>
      <c r="LHI507" s="325"/>
      <c r="LHJ507" s="325"/>
      <c r="LHK507" s="325"/>
      <c r="LHL507" s="325"/>
      <c r="LHM507" s="325"/>
      <c r="LHN507" s="325"/>
      <c r="LHO507" s="325"/>
      <c r="LHP507" s="325"/>
      <c r="LHQ507" s="325"/>
      <c r="LHR507" s="325"/>
      <c r="LHS507" s="325"/>
      <c r="LHT507" s="325"/>
      <c r="LHU507" s="325"/>
      <c r="LHV507" s="325"/>
      <c r="LHW507" s="327"/>
      <c r="LHX507" s="28"/>
      <c r="LHY507" s="324"/>
      <c r="LHZ507" s="324"/>
      <c r="LIA507" s="324"/>
      <c r="LIB507" s="324"/>
      <c r="LIC507" s="324"/>
      <c r="LID507" s="324"/>
      <c r="LIE507" s="256"/>
      <c r="LIF507" s="325"/>
      <c r="LIG507" s="311"/>
      <c r="LIH507" s="325"/>
      <c r="LII507" s="310"/>
      <c r="LIJ507" s="325"/>
      <c r="LIK507" s="325"/>
      <c r="LIL507" s="325"/>
      <c r="LIM507" s="325"/>
      <c r="LIN507" s="325"/>
      <c r="LIO507" s="325"/>
      <c r="LIP507" s="325"/>
      <c r="LIQ507" s="325"/>
      <c r="LIR507" s="325"/>
      <c r="LIS507" s="325"/>
      <c r="LIT507" s="325"/>
      <c r="LIU507" s="325"/>
      <c r="LIV507" s="325"/>
      <c r="LIW507" s="325"/>
      <c r="LIX507" s="325"/>
      <c r="LIY507" s="325"/>
      <c r="LIZ507" s="325"/>
      <c r="LJA507" s="325"/>
      <c r="LJB507" s="325"/>
      <c r="LJC507" s="325"/>
      <c r="LJD507" s="325"/>
      <c r="LJE507" s="325"/>
      <c r="LJF507" s="325"/>
      <c r="LJG507" s="325"/>
      <c r="LJH507" s="325"/>
      <c r="LJI507" s="325"/>
      <c r="LJJ507" s="325"/>
      <c r="LJK507" s="325"/>
      <c r="LJL507" s="325"/>
      <c r="LJM507" s="325"/>
      <c r="LJN507" s="327"/>
      <c r="LJO507" s="28"/>
      <c r="LJP507" s="324"/>
      <c r="LJQ507" s="324"/>
      <c r="LJR507" s="324"/>
      <c r="LJS507" s="324"/>
      <c r="LJT507" s="324"/>
      <c r="LJU507" s="324"/>
      <c r="LJV507" s="256"/>
      <c r="LJW507" s="325"/>
      <c r="LJX507" s="311"/>
      <c r="LJY507" s="325"/>
      <c r="LJZ507" s="310"/>
      <c r="LKA507" s="325"/>
      <c r="LKB507" s="325"/>
      <c r="LKC507" s="325"/>
      <c r="LKD507" s="325"/>
      <c r="LKE507" s="325"/>
      <c r="LKF507" s="325"/>
      <c r="LKG507" s="325"/>
      <c r="LKH507" s="325"/>
      <c r="LKI507" s="325"/>
      <c r="LKJ507" s="325"/>
      <c r="LKK507" s="325"/>
      <c r="LKL507" s="325"/>
      <c r="LKM507" s="325"/>
      <c r="LKN507" s="325"/>
      <c r="LKO507" s="325"/>
      <c r="LKP507" s="325"/>
      <c r="LKQ507" s="325"/>
      <c r="LKR507" s="325"/>
      <c r="LKS507" s="325"/>
      <c r="LKT507" s="325"/>
      <c r="LKU507" s="325"/>
      <c r="LKV507" s="325"/>
      <c r="LKW507" s="325"/>
      <c r="LKX507" s="325"/>
      <c r="LKY507" s="325"/>
      <c r="LKZ507" s="325"/>
      <c r="LLA507" s="325"/>
      <c r="LLB507" s="325"/>
      <c r="LLC507" s="325"/>
      <c r="LLD507" s="325"/>
      <c r="LLE507" s="327"/>
      <c r="LLF507" s="28"/>
      <c r="LLG507" s="324"/>
      <c r="LLH507" s="324"/>
      <c r="LLI507" s="324"/>
      <c r="LLJ507" s="324"/>
      <c r="LLK507" s="324"/>
      <c r="LLL507" s="324"/>
      <c r="LLM507" s="256"/>
      <c r="LLN507" s="325"/>
      <c r="LLO507" s="311"/>
      <c r="LLP507" s="325"/>
      <c r="LLQ507" s="310"/>
      <c r="LLR507" s="325"/>
      <c r="LLS507" s="325"/>
      <c r="LLT507" s="325"/>
      <c r="LLU507" s="325"/>
      <c r="LLV507" s="325"/>
      <c r="LLW507" s="325"/>
      <c r="LLX507" s="325"/>
      <c r="LLY507" s="325"/>
      <c r="LLZ507" s="325"/>
      <c r="LMA507" s="325"/>
      <c r="LMB507" s="325"/>
      <c r="LMC507" s="325"/>
      <c r="LMD507" s="325"/>
      <c r="LME507" s="325"/>
      <c r="LMF507" s="325"/>
      <c r="LMG507" s="325"/>
      <c r="LMH507" s="325"/>
      <c r="LMI507" s="325"/>
      <c r="LMJ507" s="325"/>
      <c r="LMK507" s="325"/>
      <c r="LML507" s="325"/>
      <c r="LMM507" s="325"/>
      <c r="LMN507" s="325"/>
      <c r="LMO507" s="325"/>
      <c r="LMP507" s="325"/>
      <c r="LMQ507" s="325"/>
      <c r="LMR507" s="325"/>
      <c r="LMS507" s="325"/>
      <c r="LMT507" s="325"/>
      <c r="LMU507" s="325"/>
      <c r="LMV507" s="327"/>
      <c r="LMW507" s="28"/>
      <c r="LMX507" s="324"/>
      <c r="LMY507" s="324"/>
      <c r="LMZ507" s="324"/>
      <c r="LNA507" s="324"/>
      <c r="LNB507" s="324"/>
      <c r="LNC507" s="324"/>
      <c r="LND507" s="256"/>
      <c r="LNE507" s="325"/>
      <c r="LNF507" s="311"/>
      <c r="LNG507" s="325"/>
      <c r="LNH507" s="310"/>
      <c r="LNI507" s="325"/>
      <c r="LNJ507" s="325"/>
      <c r="LNK507" s="325"/>
      <c r="LNL507" s="325"/>
      <c r="LNM507" s="325"/>
      <c r="LNN507" s="325"/>
      <c r="LNO507" s="325"/>
      <c r="LNP507" s="325"/>
      <c r="LNQ507" s="325"/>
      <c r="LNR507" s="325"/>
      <c r="LNS507" s="325"/>
      <c r="LNT507" s="325"/>
      <c r="LNU507" s="325"/>
      <c r="LNV507" s="325"/>
      <c r="LNW507" s="325"/>
      <c r="LNX507" s="325"/>
      <c r="LNY507" s="325"/>
      <c r="LNZ507" s="325"/>
      <c r="LOA507" s="325"/>
      <c r="LOB507" s="325"/>
      <c r="LOC507" s="325"/>
      <c r="LOD507" s="325"/>
      <c r="LOE507" s="325"/>
      <c r="LOF507" s="325"/>
      <c r="LOG507" s="325"/>
      <c r="LOH507" s="325"/>
      <c r="LOI507" s="325"/>
      <c r="LOJ507" s="325"/>
      <c r="LOK507" s="325"/>
      <c r="LOL507" s="325"/>
      <c r="LOM507" s="327"/>
      <c r="LON507" s="28"/>
      <c r="LOO507" s="324"/>
      <c r="LOP507" s="324"/>
      <c r="LOQ507" s="324"/>
      <c r="LOR507" s="324"/>
      <c r="LOS507" s="324"/>
      <c r="LOT507" s="324"/>
      <c r="LOU507" s="256"/>
      <c r="LOV507" s="325"/>
      <c r="LOW507" s="311"/>
      <c r="LOX507" s="325"/>
      <c r="LOY507" s="310"/>
      <c r="LOZ507" s="325"/>
      <c r="LPA507" s="325"/>
      <c r="LPB507" s="325"/>
      <c r="LPC507" s="325"/>
      <c r="LPD507" s="325"/>
      <c r="LPE507" s="325"/>
      <c r="LPF507" s="325"/>
      <c r="LPG507" s="325"/>
      <c r="LPH507" s="325"/>
      <c r="LPI507" s="325"/>
      <c r="LPJ507" s="325"/>
      <c r="LPK507" s="325"/>
      <c r="LPL507" s="325"/>
      <c r="LPM507" s="325"/>
      <c r="LPN507" s="325"/>
      <c r="LPO507" s="325"/>
      <c r="LPP507" s="325"/>
      <c r="LPQ507" s="325"/>
      <c r="LPR507" s="325"/>
      <c r="LPS507" s="325"/>
      <c r="LPT507" s="325"/>
      <c r="LPU507" s="325"/>
      <c r="LPV507" s="325"/>
      <c r="LPW507" s="325"/>
      <c r="LPX507" s="325"/>
      <c r="LPY507" s="325"/>
      <c r="LPZ507" s="325"/>
      <c r="LQA507" s="325"/>
      <c r="LQB507" s="325"/>
      <c r="LQC507" s="325"/>
      <c r="LQD507" s="327"/>
      <c r="LQE507" s="28"/>
      <c r="LQF507" s="324"/>
      <c r="LQG507" s="324"/>
      <c r="LQH507" s="324"/>
      <c r="LQI507" s="324"/>
      <c r="LQJ507" s="324"/>
      <c r="LQK507" s="324"/>
      <c r="LQL507" s="256"/>
      <c r="LQM507" s="325"/>
      <c r="LQN507" s="311"/>
      <c r="LQO507" s="325"/>
      <c r="LQP507" s="310"/>
      <c r="LQQ507" s="325"/>
      <c r="LQR507" s="325"/>
      <c r="LQS507" s="325"/>
      <c r="LQT507" s="325"/>
      <c r="LQU507" s="325"/>
      <c r="LQV507" s="325"/>
      <c r="LQW507" s="325"/>
      <c r="LQX507" s="325"/>
      <c r="LQY507" s="325"/>
      <c r="LQZ507" s="325"/>
      <c r="LRA507" s="325"/>
      <c r="LRB507" s="325"/>
      <c r="LRC507" s="325"/>
      <c r="LRD507" s="325"/>
      <c r="LRE507" s="325"/>
      <c r="LRF507" s="325"/>
      <c r="LRG507" s="325"/>
      <c r="LRH507" s="325"/>
      <c r="LRI507" s="325"/>
      <c r="LRJ507" s="325"/>
      <c r="LRK507" s="325"/>
      <c r="LRL507" s="325"/>
      <c r="LRM507" s="325"/>
      <c r="LRN507" s="325"/>
      <c r="LRO507" s="325"/>
      <c r="LRP507" s="325"/>
      <c r="LRQ507" s="325"/>
      <c r="LRR507" s="325"/>
      <c r="LRS507" s="325"/>
      <c r="LRT507" s="325"/>
      <c r="LRU507" s="327"/>
      <c r="LRV507" s="28"/>
      <c r="LRW507" s="324"/>
      <c r="LRX507" s="324"/>
      <c r="LRY507" s="324"/>
      <c r="LRZ507" s="324"/>
      <c r="LSA507" s="324"/>
      <c r="LSB507" s="324"/>
      <c r="LSC507" s="256"/>
      <c r="LSD507" s="325"/>
      <c r="LSE507" s="311"/>
      <c r="LSF507" s="325"/>
      <c r="LSG507" s="310"/>
      <c r="LSH507" s="325"/>
      <c r="LSI507" s="325"/>
      <c r="LSJ507" s="325"/>
      <c r="LSK507" s="325"/>
      <c r="LSL507" s="325"/>
      <c r="LSM507" s="325"/>
      <c r="LSN507" s="325"/>
      <c r="LSO507" s="325"/>
      <c r="LSP507" s="325"/>
      <c r="LSQ507" s="325"/>
      <c r="LSR507" s="325"/>
      <c r="LSS507" s="325"/>
      <c r="LST507" s="325"/>
      <c r="LSU507" s="325"/>
      <c r="LSV507" s="325"/>
      <c r="LSW507" s="325"/>
      <c r="LSX507" s="325"/>
      <c r="LSY507" s="325"/>
      <c r="LSZ507" s="325"/>
      <c r="LTA507" s="325"/>
      <c r="LTB507" s="325"/>
      <c r="LTC507" s="325"/>
      <c r="LTD507" s="325"/>
      <c r="LTE507" s="325"/>
      <c r="LTF507" s="325"/>
      <c r="LTG507" s="325"/>
      <c r="LTH507" s="325"/>
      <c r="LTI507" s="325"/>
      <c r="LTJ507" s="325"/>
      <c r="LTK507" s="325"/>
      <c r="LTL507" s="327"/>
      <c r="LTM507" s="28"/>
      <c r="LTN507" s="324"/>
      <c r="LTO507" s="324"/>
      <c r="LTP507" s="324"/>
      <c r="LTQ507" s="324"/>
      <c r="LTR507" s="324"/>
      <c r="LTS507" s="324"/>
      <c r="LTT507" s="256"/>
      <c r="LTU507" s="325"/>
      <c r="LTV507" s="311"/>
      <c r="LTW507" s="325"/>
      <c r="LTX507" s="310"/>
      <c r="LTY507" s="325"/>
      <c r="LTZ507" s="325"/>
      <c r="LUA507" s="325"/>
      <c r="LUB507" s="325"/>
      <c r="LUC507" s="325"/>
      <c r="LUD507" s="325"/>
      <c r="LUE507" s="325"/>
      <c r="LUF507" s="325"/>
      <c r="LUG507" s="325"/>
      <c r="LUH507" s="325"/>
      <c r="LUI507" s="325"/>
      <c r="LUJ507" s="325"/>
      <c r="LUK507" s="325"/>
      <c r="LUL507" s="325"/>
      <c r="LUM507" s="325"/>
      <c r="LUN507" s="325"/>
      <c r="LUO507" s="325"/>
      <c r="LUP507" s="325"/>
      <c r="LUQ507" s="325"/>
      <c r="LUR507" s="325"/>
      <c r="LUS507" s="325"/>
      <c r="LUT507" s="325"/>
      <c r="LUU507" s="325"/>
      <c r="LUV507" s="325"/>
      <c r="LUW507" s="325"/>
      <c r="LUX507" s="325"/>
      <c r="LUY507" s="325"/>
      <c r="LUZ507" s="325"/>
      <c r="LVA507" s="325"/>
      <c r="LVB507" s="325"/>
      <c r="LVC507" s="327"/>
      <c r="LVD507" s="28"/>
      <c r="LVE507" s="324"/>
      <c r="LVF507" s="324"/>
      <c r="LVG507" s="324"/>
      <c r="LVH507" s="324"/>
      <c r="LVI507" s="324"/>
      <c r="LVJ507" s="324"/>
      <c r="LVK507" s="256"/>
      <c r="LVL507" s="325"/>
      <c r="LVM507" s="311"/>
      <c r="LVN507" s="325"/>
      <c r="LVO507" s="310"/>
      <c r="LVP507" s="325"/>
      <c r="LVQ507" s="325"/>
      <c r="LVR507" s="325"/>
      <c r="LVS507" s="325"/>
      <c r="LVT507" s="325"/>
      <c r="LVU507" s="325"/>
      <c r="LVV507" s="325"/>
      <c r="LVW507" s="325"/>
      <c r="LVX507" s="325"/>
      <c r="LVY507" s="325"/>
      <c r="LVZ507" s="325"/>
      <c r="LWA507" s="325"/>
      <c r="LWB507" s="325"/>
      <c r="LWC507" s="325"/>
      <c r="LWD507" s="325"/>
      <c r="LWE507" s="325"/>
      <c r="LWF507" s="325"/>
      <c r="LWG507" s="325"/>
      <c r="LWH507" s="325"/>
      <c r="LWI507" s="325"/>
      <c r="LWJ507" s="325"/>
      <c r="LWK507" s="325"/>
      <c r="LWL507" s="325"/>
      <c r="LWM507" s="325"/>
      <c r="LWN507" s="325"/>
      <c r="LWO507" s="325"/>
      <c r="LWP507" s="325"/>
      <c r="LWQ507" s="325"/>
      <c r="LWR507" s="325"/>
      <c r="LWS507" s="325"/>
      <c r="LWT507" s="327"/>
      <c r="LWU507" s="28"/>
      <c r="LWV507" s="324"/>
      <c r="LWW507" s="324"/>
      <c r="LWX507" s="324"/>
      <c r="LWY507" s="324"/>
      <c r="LWZ507" s="324"/>
      <c r="LXA507" s="324"/>
      <c r="LXB507" s="256"/>
      <c r="LXC507" s="325"/>
      <c r="LXD507" s="311"/>
      <c r="LXE507" s="325"/>
      <c r="LXF507" s="310"/>
      <c r="LXG507" s="325"/>
      <c r="LXH507" s="325"/>
      <c r="LXI507" s="325"/>
      <c r="LXJ507" s="325"/>
      <c r="LXK507" s="325"/>
      <c r="LXL507" s="325"/>
      <c r="LXM507" s="325"/>
      <c r="LXN507" s="325"/>
      <c r="LXO507" s="325"/>
      <c r="LXP507" s="325"/>
      <c r="LXQ507" s="325"/>
      <c r="LXR507" s="325"/>
      <c r="LXS507" s="325"/>
      <c r="LXT507" s="325"/>
      <c r="LXU507" s="325"/>
      <c r="LXV507" s="325"/>
      <c r="LXW507" s="325"/>
      <c r="LXX507" s="325"/>
      <c r="LXY507" s="325"/>
      <c r="LXZ507" s="325"/>
      <c r="LYA507" s="325"/>
      <c r="LYB507" s="325"/>
      <c r="LYC507" s="325"/>
      <c r="LYD507" s="325"/>
      <c r="LYE507" s="325"/>
      <c r="LYF507" s="325"/>
      <c r="LYG507" s="325"/>
      <c r="LYH507" s="325"/>
      <c r="LYI507" s="325"/>
      <c r="LYJ507" s="325"/>
      <c r="LYK507" s="327"/>
      <c r="LYL507" s="28"/>
      <c r="LYM507" s="324"/>
      <c r="LYN507" s="324"/>
      <c r="LYO507" s="324"/>
      <c r="LYP507" s="324"/>
      <c r="LYQ507" s="324"/>
      <c r="LYR507" s="324"/>
      <c r="LYS507" s="256"/>
      <c r="LYT507" s="325"/>
      <c r="LYU507" s="311"/>
      <c r="LYV507" s="325"/>
      <c r="LYW507" s="310"/>
      <c r="LYX507" s="325"/>
      <c r="LYY507" s="325"/>
      <c r="LYZ507" s="325"/>
      <c r="LZA507" s="325"/>
      <c r="LZB507" s="325"/>
      <c r="LZC507" s="325"/>
      <c r="LZD507" s="325"/>
      <c r="LZE507" s="325"/>
      <c r="LZF507" s="325"/>
      <c r="LZG507" s="325"/>
      <c r="LZH507" s="325"/>
      <c r="LZI507" s="325"/>
      <c r="LZJ507" s="325"/>
      <c r="LZK507" s="325"/>
      <c r="LZL507" s="325"/>
      <c r="LZM507" s="325"/>
      <c r="LZN507" s="325"/>
      <c r="LZO507" s="325"/>
      <c r="LZP507" s="325"/>
      <c r="LZQ507" s="325"/>
      <c r="LZR507" s="325"/>
      <c r="LZS507" s="325"/>
      <c r="LZT507" s="325"/>
      <c r="LZU507" s="325"/>
      <c r="LZV507" s="325"/>
      <c r="LZW507" s="325"/>
      <c r="LZX507" s="325"/>
      <c r="LZY507" s="325"/>
      <c r="LZZ507" s="325"/>
      <c r="MAA507" s="325"/>
      <c r="MAB507" s="327"/>
      <c r="MAC507" s="28"/>
      <c r="MAD507" s="324"/>
      <c r="MAE507" s="324"/>
      <c r="MAF507" s="324"/>
      <c r="MAG507" s="324"/>
      <c r="MAH507" s="324"/>
      <c r="MAI507" s="324"/>
      <c r="MAJ507" s="256"/>
      <c r="MAK507" s="325"/>
      <c r="MAL507" s="311"/>
      <c r="MAM507" s="325"/>
      <c r="MAN507" s="310"/>
      <c r="MAO507" s="325"/>
      <c r="MAP507" s="325"/>
      <c r="MAQ507" s="325"/>
      <c r="MAR507" s="325"/>
      <c r="MAS507" s="325"/>
      <c r="MAT507" s="325"/>
      <c r="MAU507" s="325"/>
      <c r="MAV507" s="325"/>
      <c r="MAW507" s="325"/>
      <c r="MAX507" s="325"/>
      <c r="MAY507" s="325"/>
      <c r="MAZ507" s="325"/>
      <c r="MBA507" s="325"/>
      <c r="MBB507" s="325"/>
      <c r="MBC507" s="325"/>
      <c r="MBD507" s="325"/>
      <c r="MBE507" s="325"/>
      <c r="MBF507" s="325"/>
      <c r="MBG507" s="325"/>
      <c r="MBH507" s="325"/>
      <c r="MBI507" s="325"/>
      <c r="MBJ507" s="325"/>
      <c r="MBK507" s="325"/>
      <c r="MBL507" s="325"/>
      <c r="MBM507" s="325"/>
      <c r="MBN507" s="325"/>
      <c r="MBO507" s="325"/>
      <c r="MBP507" s="325"/>
      <c r="MBQ507" s="325"/>
      <c r="MBR507" s="325"/>
      <c r="MBS507" s="327"/>
      <c r="MBT507" s="28"/>
      <c r="MBU507" s="324"/>
      <c r="MBV507" s="324"/>
      <c r="MBW507" s="324"/>
      <c r="MBX507" s="324"/>
      <c r="MBY507" s="324"/>
      <c r="MBZ507" s="324"/>
      <c r="MCA507" s="256"/>
      <c r="MCB507" s="325"/>
      <c r="MCC507" s="311"/>
      <c r="MCD507" s="325"/>
      <c r="MCE507" s="310"/>
      <c r="MCF507" s="325"/>
      <c r="MCG507" s="325"/>
      <c r="MCH507" s="325"/>
      <c r="MCI507" s="325"/>
      <c r="MCJ507" s="325"/>
      <c r="MCK507" s="325"/>
      <c r="MCL507" s="325"/>
      <c r="MCM507" s="325"/>
      <c r="MCN507" s="325"/>
      <c r="MCO507" s="325"/>
      <c r="MCP507" s="325"/>
      <c r="MCQ507" s="325"/>
      <c r="MCR507" s="325"/>
      <c r="MCS507" s="325"/>
      <c r="MCT507" s="325"/>
      <c r="MCU507" s="325"/>
      <c r="MCV507" s="325"/>
      <c r="MCW507" s="325"/>
      <c r="MCX507" s="325"/>
      <c r="MCY507" s="325"/>
      <c r="MCZ507" s="325"/>
      <c r="MDA507" s="325"/>
      <c r="MDB507" s="325"/>
      <c r="MDC507" s="325"/>
      <c r="MDD507" s="325"/>
      <c r="MDE507" s="325"/>
      <c r="MDF507" s="325"/>
      <c r="MDG507" s="325"/>
      <c r="MDH507" s="325"/>
      <c r="MDI507" s="325"/>
      <c r="MDJ507" s="327"/>
      <c r="MDK507" s="28"/>
      <c r="MDL507" s="324"/>
      <c r="MDM507" s="324"/>
      <c r="MDN507" s="324"/>
      <c r="MDO507" s="324"/>
      <c r="MDP507" s="324"/>
      <c r="MDQ507" s="324"/>
      <c r="MDR507" s="256"/>
      <c r="MDS507" s="325"/>
      <c r="MDT507" s="311"/>
      <c r="MDU507" s="325"/>
      <c r="MDV507" s="310"/>
      <c r="MDW507" s="325"/>
      <c r="MDX507" s="325"/>
      <c r="MDY507" s="325"/>
      <c r="MDZ507" s="325"/>
      <c r="MEA507" s="325"/>
      <c r="MEB507" s="325"/>
      <c r="MEC507" s="325"/>
      <c r="MED507" s="325"/>
      <c r="MEE507" s="325"/>
      <c r="MEF507" s="325"/>
      <c r="MEG507" s="325"/>
      <c r="MEH507" s="325"/>
      <c r="MEI507" s="325"/>
      <c r="MEJ507" s="325"/>
      <c r="MEK507" s="325"/>
      <c r="MEL507" s="325"/>
      <c r="MEM507" s="325"/>
      <c r="MEN507" s="325"/>
      <c r="MEO507" s="325"/>
      <c r="MEP507" s="325"/>
      <c r="MEQ507" s="325"/>
      <c r="MER507" s="325"/>
      <c r="MES507" s="325"/>
      <c r="MET507" s="325"/>
      <c r="MEU507" s="325"/>
      <c r="MEV507" s="325"/>
      <c r="MEW507" s="325"/>
      <c r="MEX507" s="325"/>
      <c r="MEY507" s="325"/>
      <c r="MEZ507" s="325"/>
      <c r="MFA507" s="327"/>
      <c r="MFB507" s="28"/>
      <c r="MFC507" s="324"/>
      <c r="MFD507" s="324"/>
      <c r="MFE507" s="324"/>
      <c r="MFF507" s="324"/>
      <c r="MFG507" s="324"/>
      <c r="MFH507" s="324"/>
      <c r="MFI507" s="256"/>
      <c r="MFJ507" s="325"/>
      <c r="MFK507" s="311"/>
      <c r="MFL507" s="325"/>
      <c r="MFM507" s="310"/>
      <c r="MFN507" s="325"/>
      <c r="MFO507" s="325"/>
      <c r="MFP507" s="325"/>
      <c r="MFQ507" s="325"/>
      <c r="MFR507" s="325"/>
      <c r="MFS507" s="325"/>
      <c r="MFT507" s="325"/>
      <c r="MFU507" s="325"/>
      <c r="MFV507" s="325"/>
      <c r="MFW507" s="325"/>
      <c r="MFX507" s="325"/>
      <c r="MFY507" s="325"/>
      <c r="MFZ507" s="325"/>
      <c r="MGA507" s="325"/>
      <c r="MGB507" s="325"/>
      <c r="MGC507" s="325"/>
      <c r="MGD507" s="325"/>
      <c r="MGE507" s="325"/>
      <c r="MGF507" s="325"/>
      <c r="MGG507" s="325"/>
      <c r="MGH507" s="325"/>
      <c r="MGI507" s="325"/>
      <c r="MGJ507" s="325"/>
      <c r="MGK507" s="325"/>
      <c r="MGL507" s="325"/>
      <c r="MGM507" s="325"/>
      <c r="MGN507" s="325"/>
      <c r="MGO507" s="325"/>
      <c r="MGP507" s="325"/>
      <c r="MGQ507" s="325"/>
      <c r="MGR507" s="327"/>
      <c r="MGS507" s="28"/>
      <c r="MGT507" s="324"/>
      <c r="MGU507" s="324"/>
      <c r="MGV507" s="324"/>
      <c r="MGW507" s="324"/>
      <c r="MGX507" s="324"/>
      <c r="MGY507" s="324"/>
      <c r="MGZ507" s="256"/>
      <c r="MHA507" s="325"/>
      <c r="MHB507" s="311"/>
      <c r="MHC507" s="325"/>
      <c r="MHD507" s="310"/>
      <c r="MHE507" s="325"/>
      <c r="MHF507" s="325"/>
      <c r="MHG507" s="325"/>
      <c r="MHH507" s="325"/>
      <c r="MHI507" s="325"/>
      <c r="MHJ507" s="325"/>
      <c r="MHK507" s="325"/>
      <c r="MHL507" s="325"/>
      <c r="MHM507" s="325"/>
      <c r="MHN507" s="325"/>
      <c r="MHO507" s="325"/>
      <c r="MHP507" s="325"/>
      <c r="MHQ507" s="325"/>
      <c r="MHR507" s="325"/>
      <c r="MHS507" s="325"/>
      <c r="MHT507" s="325"/>
      <c r="MHU507" s="325"/>
      <c r="MHV507" s="325"/>
      <c r="MHW507" s="325"/>
      <c r="MHX507" s="325"/>
      <c r="MHY507" s="325"/>
      <c r="MHZ507" s="325"/>
      <c r="MIA507" s="325"/>
      <c r="MIB507" s="325"/>
      <c r="MIC507" s="325"/>
      <c r="MID507" s="325"/>
      <c r="MIE507" s="325"/>
      <c r="MIF507" s="325"/>
      <c r="MIG507" s="325"/>
      <c r="MIH507" s="325"/>
      <c r="MII507" s="327"/>
      <c r="MIJ507" s="28"/>
      <c r="MIK507" s="324"/>
      <c r="MIL507" s="324"/>
      <c r="MIM507" s="324"/>
      <c r="MIN507" s="324"/>
      <c r="MIO507" s="324"/>
      <c r="MIP507" s="324"/>
      <c r="MIQ507" s="256"/>
      <c r="MIR507" s="325"/>
      <c r="MIS507" s="311"/>
      <c r="MIT507" s="325"/>
      <c r="MIU507" s="310"/>
      <c r="MIV507" s="325"/>
      <c r="MIW507" s="325"/>
      <c r="MIX507" s="325"/>
      <c r="MIY507" s="325"/>
      <c r="MIZ507" s="325"/>
      <c r="MJA507" s="325"/>
      <c r="MJB507" s="325"/>
      <c r="MJC507" s="325"/>
      <c r="MJD507" s="325"/>
      <c r="MJE507" s="325"/>
      <c r="MJF507" s="325"/>
      <c r="MJG507" s="325"/>
      <c r="MJH507" s="325"/>
      <c r="MJI507" s="325"/>
      <c r="MJJ507" s="325"/>
      <c r="MJK507" s="325"/>
      <c r="MJL507" s="325"/>
      <c r="MJM507" s="325"/>
      <c r="MJN507" s="325"/>
      <c r="MJO507" s="325"/>
      <c r="MJP507" s="325"/>
      <c r="MJQ507" s="325"/>
      <c r="MJR507" s="325"/>
      <c r="MJS507" s="325"/>
      <c r="MJT507" s="325"/>
      <c r="MJU507" s="325"/>
      <c r="MJV507" s="325"/>
      <c r="MJW507" s="325"/>
      <c r="MJX507" s="325"/>
      <c r="MJY507" s="325"/>
      <c r="MJZ507" s="327"/>
      <c r="MKA507" s="28"/>
      <c r="MKB507" s="324"/>
      <c r="MKC507" s="324"/>
      <c r="MKD507" s="324"/>
      <c r="MKE507" s="324"/>
      <c r="MKF507" s="324"/>
      <c r="MKG507" s="324"/>
      <c r="MKH507" s="256"/>
      <c r="MKI507" s="325"/>
      <c r="MKJ507" s="311"/>
      <c r="MKK507" s="325"/>
      <c r="MKL507" s="310"/>
      <c r="MKM507" s="325"/>
      <c r="MKN507" s="325"/>
      <c r="MKO507" s="325"/>
      <c r="MKP507" s="325"/>
      <c r="MKQ507" s="325"/>
      <c r="MKR507" s="325"/>
      <c r="MKS507" s="325"/>
      <c r="MKT507" s="325"/>
      <c r="MKU507" s="325"/>
      <c r="MKV507" s="325"/>
      <c r="MKW507" s="325"/>
      <c r="MKX507" s="325"/>
      <c r="MKY507" s="325"/>
      <c r="MKZ507" s="325"/>
      <c r="MLA507" s="325"/>
      <c r="MLB507" s="325"/>
      <c r="MLC507" s="325"/>
      <c r="MLD507" s="325"/>
      <c r="MLE507" s="325"/>
      <c r="MLF507" s="325"/>
      <c r="MLG507" s="325"/>
      <c r="MLH507" s="325"/>
      <c r="MLI507" s="325"/>
      <c r="MLJ507" s="325"/>
      <c r="MLK507" s="325"/>
      <c r="MLL507" s="325"/>
      <c r="MLM507" s="325"/>
      <c r="MLN507" s="325"/>
      <c r="MLO507" s="325"/>
      <c r="MLP507" s="325"/>
      <c r="MLQ507" s="327"/>
      <c r="MLR507" s="28"/>
      <c r="MLS507" s="324"/>
      <c r="MLT507" s="324"/>
      <c r="MLU507" s="324"/>
      <c r="MLV507" s="324"/>
      <c r="MLW507" s="324"/>
      <c r="MLX507" s="324"/>
      <c r="MLY507" s="256"/>
      <c r="MLZ507" s="325"/>
      <c r="MMA507" s="311"/>
      <c r="MMB507" s="325"/>
      <c r="MMC507" s="310"/>
      <c r="MMD507" s="325"/>
      <c r="MME507" s="325"/>
      <c r="MMF507" s="325"/>
      <c r="MMG507" s="325"/>
      <c r="MMH507" s="325"/>
      <c r="MMI507" s="325"/>
      <c r="MMJ507" s="325"/>
      <c r="MMK507" s="325"/>
      <c r="MML507" s="325"/>
      <c r="MMM507" s="325"/>
      <c r="MMN507" s="325"/>
      <c r="MMO507" s="325"/>
      <c r="MMP507" s="325"/>
      <c r="MMQ507" s="325"/>
      <c r="MMR507" s="325"/>
      <c r="MMS507" s="325"/>
      <c r="MMT507" s="325"/>
      <c r="MMU507" s="325"/>
      <c r="MMV507" s="325"/>
      <c r="MMW507" s="325"/>
      <c r="MMX507" s="325"/>
      <c r="MMY507" s="325"/>
      <c r="MMZ507" s="325"/>
      <c r="MNA507" s="325"/>
      <c r="MNB507" s="325"/>
      <c r="MNC507" s="325"/>
      <c r="MND507" s="325"/>
      <c r="MNE507" s="325"/>
      <c r="MNF507" s="325"/>
      <c r="MNG507" s="325"/>
      <c r="MNH507" s="327"/>
      <c r="MNI507" s="28"/>
      <c r="MNJ507" s="324"/>
      <c r="MNK507" s="324"/>
      <c r="MNL507" s="324"/>
      <c r="MNM507" s="324"/>
      <c r="MNN507" s="324"/>
      <c r="MNO507" s="324"/>
      <c r="MNP507" s="256"/>
      <c r="MNQ507" s="325"/>
      <c r="MNR507" s="311"/>
      <c r="MNS507" s="325"/>
      <c r="MNT507" s="310"/>
      <c r="MNU507" s="325"/>
      <c r="MNV507" s="325"/>
      <c r="MNW507" s="325"/>
      <c r="MNX507" s="325"/>
      <c r="MNY507" s="325"/>
      <c r="MNZ507" s="325"/>
      <c r="MOA507" s="325"/>
      <c r="MOB507" s="325"/>
      <c r="MOC507" s="325"/>
      <c r="MOD507" s="325"/>
      <c r="MOE507" s="325"/>
      <c r="MOF507" s="325"/>
      <c r="MOG507" s="325"/>
      <c r="MOH507" s="325"/>
      <c r="MOI507" s="325"/>
      <c r="MOJ507" s="325"/>
      <c r="MOK507" s="325"/>
      <c r="MOL507" s="325"/>
      <c r="MOM507" s="325"/>
      <c r="MON507" s="325"/>
      <c r="MOO507" s="325"/>
      <c r="MOP507" s="325"/>
      <c r="MOQ507" s="325"/>
      <c r="MOR507" s="325"/>
      <c r="MOS507" s="325"/>
      <c r="MOT507" s="325"/>
      <c r="MOU507" s="325"/>
      <c r="MOV507" s="325"/>
      <c r="MOW507" s="325"/>
      <c r="MOX507" s="325"/>
      <c r="MOY507" s="327"/>
      <c r="MOZ507" s="28"/>
      <c r="MPA507" s="324"/>
      <c r="MPB507" s="324"/>
      <c r="MPC507" s="324"/>
      <c r="MPD507" s="324"/>
      <c r="MPE507" s="324"/>
      <c r="MPF507" s="324"/>
      <c r="MPG507" s="256"/>
      <c r="MPH507" s="325"/>
      <c r="MPI507" s="311"/>
      <c r="MPJ507" s="325"/>
      <c r="MPK507" s="310"/>
      <c r="MPL507" s="325"/>
      <c r="MPM507" s="325"/>
      <c r="MPN507" s="325"/>
      <c r="MPO507" s="325"/>
      <c r="MPP507" s="325"/>
      <c r="MPQ507" s="325"/>
      <c r="MPR507" s="325"/>
      <c r="MPS507" s="325"/>
      <c r="MPT507" s="325"/>
      <c r="MPU507" s="325"/>
      <c r="MPV507" s="325"/>
      <c r="MPW507" s="325"/>
      <c r="MPX507" s="325"/>
      <c r="MPY507" s="325"/>
      <c r="MPZ507" s="325"/>
      <c r="MQA507" s="325"/>
      <c r="MQB507" s="325"/>
      <c r="MQC507" s="325"/>
      <c r="MQD507" s="325"/>
      <c r="MQE507" s="325"/>
      <c r="MQF507" s="325"/>
      <c r="MQG507" s="325"/>
      <c r="MQH507" s="325"/>
      <c r="MQI507" s="325"/>
      <c r="MQJ507" s="325"/>
      <c r="MQK507" s="325"/>
      <c r="MQL507" s="325"/>
      <c r="MQM507" s="325"/>
      <c r="MQN507" s="325"/>
      <c r="MQO507" s="325"/>
      <c r="MQP507" s="327"/>
      <c r="MQQ507" s="28"/>
      <c r="MQR507" s="324"/>
      <c r="MQS507" s="324"/>
      <c r="MQT507" s="324"/>
      <c r="MQU507" s="324"/>
      <c r="MQV507" s="324"/>
      <c r="MQW507" s="324"/>
      <c r="MQX507" s="256"/>
      <c r="MQY507" s="325"/>
      <c r="MQZ507" s="311"/>
      <c r="MRA507" s="325"/>
      <c r="MRB507" s="310"/>
      <c r="MRC507" s="325"/>
      <c r="MRD507" s="325"/>
      <c r="MRE507" s="325"/>
      <c r="MRF507" s="325"/>
      <c r="MRG507" s="325"/>
      <c r="MRH507" s="325"/>
      <c r="MRI507" s="325"/>
      <c r="MRJ507" s="325"/>
      <c r="MRK507" s="325"/>
      <c r="MRL507" s="325"/>
      <c r="MRM507" s="325"/>
      <c r="MRN507" s="325"/>
      <c r="MRO507" s="325"/>
      <c r="MRP507" s="325"/>
      <c r="MRQ507" s="325"/>
      <c r="MRR507" s="325"/>
      <c r="MRS507" s="325"/>
      <c r="MRT507" s="325"/>
      <c r="MRU507" s="325"/>
      <c r="MRV507" s="325"/>
      <c r="MRW507" s="325"/>
      <c r="MRX507" s="325"/>
      <c r="MRY507" s="325"/>
      <c r="MRZ507" s="325"/>
      <c r="MSA507" s="325"/>
      <c r="MSB507" s="325"/>
      <c r="MSC507" s="325"/>
      <c r="MSD507" s="325"/>
      <c r="MSE507" s="325"/>
      <c r="MSF507" s="325"/>
      <c r="MSG507" s="327"/>
      <c r="MSH507" s="28"/>
      <c r="MSI507" s="324"/>
      <c r="MSJ507" s="324"/>
      <c r="MSK507" s="324"/>
      <c r="MSL507" s="324"/>
      <c r="MSM507" s="324"/>
      <c r="MSN507" s="324"/>
      <c r="MSO507" s="256"/>
      <c r="MSP507" s="325"/>
      <c r="MSQ507" s="311"/>
      <c r="MSR507" s="325"/>
      <c r="MSS507" s="310"/>
      <c r="MST507" s="325"/>
      <c r="MSU507" s="325"/>
      <c r="MSV507" s="325"/>
      <c r="MSW507" s="325"/>
      <c r="MSX507" s="325"/>
      <c r="MSY507" s="325"/>
      <c r="MSZ507" s="325"/>
      <c r="MTA507" s="325"/>
      <c r="MTB507" s="325"/>
      <c r="MTC507" s="325"/>
      <c r="MTD507" s="325"/>
      <c r="MTE507" s="325"/>
      <c r="MTF507" s="325"/>
      <c r="MTG507" s="325"/>
      <c r="MTH507" s="325"/>
      <c r="MTI507" s="325"/>
      <c r="MTJ507" s="325"/>
      <c r="MTK507" s="325"/>
      <c r="MTL507" s="325"/>
      <c r="MTM507" s="325"/>
      <c r="MTN507" s="325"/>
      <c r="MTO507" s="325"/>
      <c r="MTP507" s="325"/>
      <c r="MTQ507" s="325"/>
      <c r="MTR507" s="325"/>
      <c r="MTS507" s="325"/>
      <c r="MTT507" s="325"/>
      <c r="MTU507" s="325"/>
      <c r="MTV507" s="325"/>
      <c r="MTW507" s="325"/>
      <c r="MTX507" s="327"/>
      <c r="MTY507" s="28"/>
      <c r="MTZ507" s="324"/>
      <c r="MUA507" s="324"/>
      <c r="MUB507" s="324"/>
      <c r="MUC507" s="324"/>
      <c r="MUD507" s="324"/>
      <c r="MUE507" s="324"/>
      <c r="MUF507" s="256"/>
      <c r="MUG507" s="325"/>
      <c r="MUH507" s="311"/>
      <c r="MUI507" s="325"/>
      <c r="MUJ507" s="310"/>
      <c r="MUK507" s="325"/>
      <c r="MUL507" s="325"/>
      <c r="MUM507" s="325"/>
      <c r="MUN507" s="325"/>
      <c r="MUO507" s="325"/>
      <c r="MUP507" s="325"/>
      <c r="MUQ507" s="325"/>
      <c r="MUR507" s="325"/>
      <c r="MUS507" s="325"/>
      <c r="MUT507" s="325"/>
      <c r="MUU507" s="325"/>
      <c r="MUV507" s="325"/>
      <c r="MUW507" s="325"/>
      <c r="MUX507" s="325"/>
      <c r="MUY507" s="325"/>
      <c r="MUZ507" s="325"/>
      <c r="MVA507" s="325"/>
      <c r="MVB507" s="325"/>
      <c r="MVC507" s="325"/>
      <c r="MVD507" s="325"/>
      <c r="MVE507" s="325"/>
      <c r="MVF507" s="325"/>
      <c r="MVG507" s="325"/>
      <c r="MVH507" s="325"/>
      <c r="MVI507" s="325"/>
      <c r="MVJ507" s="325"/>
      <c r="MVK507" s="325"/>
      <c r="MVL507" s="325"/>
      <c r="MVM507" s="325"/>
      <c r="MVN507" s="325"/>
      <c r="MVO507" s="327"/>
      <c r="MVP507" s="28"/>
      <c r="MVQ507" s="324"/>
      <c r="MVR507" s="324"/>
      <c r="MVS507" s="324"/>
      <c r="MVT507" s="324"/>
      <c r="MVU507" s="324"/>
      <c r="MVV507" s="324"/>
      <c r="MVW507" s="256"/>
      <c r="MVX507" s="325"/>
      <c r="MVY507" s="311"/>
      <c r="MVZ507" s="325"/>
      <c r="MWA507" s="310"/>
      <c r="MWB507" s="325"/>
      <c r="MWC507" s="325"/>
      <c r="MWD507" s="325"/>
      <c r="MWE507" s="325"/>
      <c r="MWF507" s="325"/>
      <c r="MWG507" s="325"/>
      <c r="MWH507" s="325"/>
      <c r="MWI507" s="325"/>
      <c r="MWJ507" s="325"/>
      <c r="MWK507" s="325"/>
      <c r="MWL507" s="325"/>
      <c r="MWM507" s="325"/>
      <c r="MWN507" s="325"/>
      <c r="MWO507" s="325"/>
      <c r="MWP507" s="325"/>
      <c r="MWQ507" s="325"/>
      <c r="MWR507" s="325"/>
      <c r="MWS507" s="325"/>
      <c r="MWT507" s="325"/>
      <c r="MWU507" s="325"/>
      <c r="MWV507" s="325"/>
      <c r="MWW507" s="325"/>
      <c r="MWX507" s="325"/>
      <c r="MWY507" s="325"/>
      <c r="MWZ507" s="325"/>
      <c r="MXA507" s="325"/>
      <c r="MXB507" s="325"/>
      <c r="MXC507" s="325"/>
      <c r="MXD507" s="325"/>
      <c r="MXE507" s="325"/>
      <c r="MXF507" s="327"/>
      <c r="MXG507" s="28"/>
      <c r="MXH507" s="324"/>
      <c r="MXI507" s="324"/>
      <c r="MXJ507" s="324"/>
      <c r="MXK507" s="324"/>
      <c r="MXL507" s="324"/>
      <c r="MXM507" s="324"/>
      <c r="MXN507" s="256"/>
      <c r="MXO507" s="325"/>
      <c r="MXP507" s="311"/>
      <c r="MXQ507" s="325"/>
      <c r="MXR507" s="310"/>
      <c r="MXS507" s="325"/>
      <c r="MXT507" s="325"/>
      <c r="MXU507" s="325"/>
      <c r="MXV507" s="325"/>
      <c r="MXW507" s="325"/>
      <c r="MXX507" s="325"/>
      <c r="MXY507" s="325"/>
      <c r="MXZ507" s="325"/>
      <c r="MYA507" s="325"/>
      <c r="MYB507" s="325"/>
      <c r="MYC507" s="325"/>
      <c r="MYD507" s="325"/>
      <c r="MYE507" s="325"/>
      <c r="MYF507" s="325"/>
      <c r="MYG507" s="325"/>
      <c r="MYH507" s="325"/>
      <c r="MYI507" s="325"/>
      <c r="MYJ507" s="325"/>
      <c r="MYK507" s="325"/>
      <c r="MYL507" s="325"/>
      <c r="MYM507" s="325"/>
      <c r="MYN507" s="325"/>
      <c r="MYO507" s="325"/>
      <c r="MYP507" s="325"/>
      <c r="MYQ507" s="325"/>
      <c r="MYR507" s="325"/>
      <c r="MYS507" s="325"/>
      <c r="MYT507" s="325"/>
      <c r="MYU507" s="325"/>
      <c r="MYV507" s="325"/>
      <c r="MYW507" s="327"/>
      <c r="MYX507" s="28"/>
      <c r="MYY507" s="324"/>
      <c r="MYZ507" s="324"/>
      <c r="MZA507" s="324"/>
      <c r="MZB507" s="324"/>
      <c r="MZC507" s="324"/>
      <c r="MZD507" s="324"/>
      <c r="MZE507" s="256"/>
      <c r="MZF507" s="325"/>
      <c r="MZG507" s="311"/>
      <c r="MZH507" s="325"/>
      <c r="MZI507" s="310"/>
      <c r="MZJ507" s="325"/>
      <c r="MZK507" s="325"/>
      <c r="MZL507" s="325"/>
      <c r="MZM507" s="325"/>
      <c r="MZN507" s="325"/>
      <c r="MZO507" s="325"/>
      <c r="MZP507" s="325"/>
      <c r="MZQ507" s="325"/>
      <c r="MZR507" s="325"/>
      <c r="MZS507" s="325"/>
      <c r="MZT507" s="325"/>
      <c r="MZU507" s="325"/>
      <c r="MZV507" s="325"/>
      <c r="MZW507" s="325"/>
      <c r="MZX507" s="325"/>
      <c r="MZY507" s="325"/>
      <c r="MZZ507" s="325"/>
      <c r="NAA507" s="325"/>
      <c r="NAB507" s="325"/>
      <c r="NAC507" s="325"/>
      <c r="NAD507" s="325"/>
      <c r="NAE507" s="325"/>
      <c r="NAF507" s="325"/>
      <c r="NAG507" s="325"/>
      <c r="NAH507" s="325"/>
      <c r="NAI507" s="325"/>
      <c r="NAJ507" s="325"/>
      <c r="NAK507" s="325"/>
      <c r="NAL507" s="325"/>
      <c r="NAM507" s="325"/>
      <c r="NAN507" s="327"/>
      <c r="NAO507" s="28"/>
      <c r="NAP507" s="324"/>
      <c r="NAQ507" s="324"/>
      <c r="NAR507" s="324"/>
      <c r="NAS507" s="324"/>
      <c r="NAT507" s="324"/>
      <c r="NAU507" s="324"/>
      <c r="NAV507" s="256"/>
      <c r="NAW507" s="325"/>
      <c r="NAX507" s="311"/>
      <c r="NAY507" s="325"/>
      <c r="NAZ507" s="310"/>
      <c r="NBA507" s="325"/>
      <c r="NBB507" s="325"/>
      <c r="NBC507" s="325"/>
      <c r="NBD507" s="325"/>
      <c r="NBE507" s="325"/>
      <c r="NBF507" s="325"/>
      <c r="NBG507" s="325"/>
      <c r="NBH507" s="325"/>
      <c r="NBI507" s="325"/>
      <c r="NBJ507" s="325"/>
      <c r="NBK507" s="325"/>
      <c r="NBL507" s="325"/>
      <c r="NBM507" s="325"/>
      <c r="NBN507" s="325"/>
      <c r="NBO507" s="325"/>
      <c r="NBP507" s="325"/>
      <c r="NBQ507" s="325"/>
      <c r="NBR507" s="325"/>
      <c r="NBS507" s="325"/>
      <c r="NBT507" s="325"/>
      <c r="NBU507" s="325"/>
      <c r="NBV507" s="325"/>
      <c r="NBW507" s="325"/>
      <c r="NBX507" s="325"/>
      <c r="NBY507" s="325"/>
      <c r="NBZ507" s="325"/>
      <c r="NCA507" s="325"/>
      <c r="NCB507" s="325"/>
      <c r="NCC507" s="325"/>
      <c r="NCD507" s="325"/>
      <c r="NCE507" s="327"/>
      <c r="NCF507" s="28"/>
      <c r="NCG507" s="324"/>
      <c r="NCH507" s="324"/>
      <c r="NCI507" s="324"/>
      <c r="NCJ507" s="324"/>
      <c r="NCK507" s="324"/>
      <c r="NCL507" s="324"/>
      <c r="NCM507" s="256"/>
      <c r="NCN507" s="325"/>
      <c r="NCO507" s="311"/>
      <c r="NCP507" s="325"/>
      <c r="NCQ507" s="310"/>
      <c r="NCR507" s="325"/>
      <c r="NCS507" s="325"/>
      <c r="NCT507" s="325"/>
      <c r="NCU507" s="325"/>
      <c r="NCV507" s="325"/>
      <c r="NCW507" s="325"/>
      <c r="NCX507" s="325"/>
      <c r="NCY507" s="325"/>
      <c r="NCZ507" s="325"/>
      <c r="NDA507" s="325"/>
      <c r="NDB507" s="325"/>
      <c r="NDC507" s="325"/>
      <c r="NDD507" s="325"/>
      <c r="NDE507" s="325"/>
      <c r="NDF507" s="325"/>
      <c r="NDG507" s="325"/>
      <c r="NDH507" s="325"/>
      <c r="NDI507" s="325"/>
      <c r="NDJ507" s="325"/>
      <c r="NDK507" s="325"/>
      <c r="NDL507" s="325"/>
      <c r="NDM507" s="325"/>
      <c r="NDN507" s="325"/>
      <c r="NDO507" s="325"/>
      <c r="NDP507" s="325"/>
      <c r="NDQ507" s="325"/>
      <c r="NDR507" s="325"/>
      <c r="NDS507" s="325"/>
      <c r="NDT507" s="325"/>
      <c r="NDU507" s="325"/>
      <c r="NDV507" s="327"/>
      <c r="NDW507" s="28"/>
      <c r="NDX507" s="324"/>
      <c r="NDY507" s="324"/>
      <c r="NDZ507" s="324"/>
      <c r="NEA507" s="324"/>
      <c r="NEB507" s="324"/>
      <c r="NEC507" s="324"/>
      <c r="NED507" s="256"/>
      <c r="NEE507" s="325"/>
      <c r="NEF507" s="311"/>
      <c r="NEG507" s="325"/>
      <c r="NEH507" s="310"/>
      <c r="NEI507" s="325"/>
      <c r="NEJ507" s="325"/>
      <c r="NEK507" s="325"/>
      <c r="NEL507" s="325"/>
      <c r="NEM507" s="325"/>
      <c r="NEN507" s="325"/>
      <c r="NEO507" s="325"/>
      <c r="NEP507" s="325"/>
      <c r="NEQ507" s="325"/>
      <c r="NER507" s="325"/>
      <c r="NES507" s="325"/>
      <c r="NET507" s="325"/>
      <c r="NEU507" s="325"/>
      <c r="NEV507" s="325"/>
      <c r="NEW507" s="325"/>
      <c r="NEX507" s="325"/>
      <c r="NEY507" s="325"/>
      <c r="NEZ507" s="325"/>
      <c r="NFA507" s="325"/>
      <c r="NFB507" s="325"/>
      <c r="NFC507" s="325"/>
      <c r="NFD507" s="325"/>
      <c r="NFE507" s="325"/>
      <c r="NFF507" s="325"/>
      <c r="NFG507" s="325"/>
      <c r="NFH507" s="325"/>
      <c r="NFI507" s="325"/>
      <c r="NFJ507" s="325"/>
      <c r="NFK507" s="325"/>
      <c r="NFL507" s="325"/>
      <c r="NFM507" s="327"/>
      <c r="NFN507" s="28"/>
      <c r="NFO507" s="324"/>
      <c r="NFP507" s="324"/>
      <c r="NFQ507" s="324"/>
      <c r="NFR507" s="324"/>
      <c r="NFS507" s="324"/>
      <c r="NFT507" s="324"/>
      <c r="NFU507" s="256"/>
      <c r="NFV507" s="325"/>
      <c r="NFW507" s="311"/>
      <c r="NFX507" s="325"/>
      <c r="NFY507" s="310"/>
      <c r="NFZ507" s="325"/>
      <c r="NGA507" s="325"/>
      <c r="NGB507" s="325"/>
      <c r="NGC507" s="325"/>
      <c r="NGD507" s="325"/>
      <c r="NGE507" s="325"/>
      <c r="NGF507" s="325"/>
      <c r="NGG507" s="325"/>
      <c r="NGH507" s="325"/>
      <c r="NGI507" s="325"/>
      <c r="NGJ507" s="325"/>
      <c r="NGK507" s="325"/>
      <c r="NGL507" s="325"/>
      <c r="NGM507" s="325"/>
      <c r="NGN507" s="325"/>
      <c r="NGO507" s="325"/>
      <c r="NGP507" s="325"/>
      <c r="NGQ507" s="325"/>
      <c r="NGR507" s="325"/>
      <c r="NGS507" s="325"/>
      <c r="NGT507" s="325"/>
      <c r="NGU507" s="325"/>
      <c r="NGV507" s="325"/>
      <c r="NGW507" s="325"/>
      <c r="NGX507" s="325"/>
      <c r="NGY507" s="325"/>
      <c r="NGZ507" s="325"/>
      <c r="NHA507" s="325"/>
      <c r="NHB507" s="325"/>
      <c r="NHC507" s="325"/>
      <c r="NHD507" s="327"/>
      <c r="NHE507" s="28"/>
      <c r="NHF507" s="324"/>
      <c r="NHG507" s="324"/>
      <c r="NHH507" s="324"/>
      <c r="NHI507" s="324"/>
      <c r="NHJ507" s="324"/>
      <c r="NHK507" s="324"/>
      <c r="NHL507" s="256"/>
      <c r="NHM507" s="325"/>
      <c r="NHN507" s="311"/>
      <c r="NHO507" s="325"/>
      <c r="NHP507" s="310"/>
      <c r="NHQ507" s="325"/>
      <c r="NHR507" s="325"/>
      <c r="NHS507" s="325"/>
      <c r="NHT507" s="325"/>
      <c r="NHU507" s="325"/>
      <c r="NHV507" s="325"/>
      <c r="NHW507" s="325"/>
      <c r="NHX507" s="325"/>
      <c r="NHY507" s="325"/>
      <c r="NHZ507" s="325"/>
      <c r="NIA507" s="325"/>
      <c r="NIB507" s="325"/>
      <c r="NIC507" s="325"/>
      <c r="NID507" s="325"/>
      <c r="NIE507" s="325"/>
      <c r="NIF507" s="325"/>
      <c r="NIG507" s="325"/>
      <c r="NIH507" s="325"/>
      <c r="NII507" s="325"/>
      <c r="NIJ507" s="325"/>
      <c r="NIK507" s="325"/>
      <c r="NIL507" s="325"/>
      <c r="NIM507" s="325"/>
      <c r="NIN507" s="325"/>
      <c r="NIO507" s="325"/>
      <c r="NIP507" s="325"/>
      <c r="NIQ507" s="325"/>
      <c r="NIR507" s="325"/>
      <c r="NIS507" s="325"/>
      <c r="NIT507" s="325"/>
      <c r="NIU507" s="327"/>
      <c r="NIV507" s="28"/>
      <c r="NIW507" s="324"/>
      <c r="NIX507" s="324"/>
      <c r="NIY507" s="324"/>
      <c r="NIZ507" s="324"/>
      <c r="NJA507" s="324"/>
      <c r="NJB507" s="324"/>
      <c r="NJC507" s="256"/>
      <c r="NJD507" s="325"/>
      <c r="NJE507" s="311"/>
      <c r="NJF507" s="325"/>
      <c r="NJG507" s="310"/>
      <c r="NJH507" s="325"/>
      <c r="NJI507" s="325"/>
      <c r="NJJ507" s="325"/>
      <c r="NJK507" s="325"/>
      <c r="NJL507" s="325"/>
      <c r="NJM507" s="325"/>
      <c r="NJN507" s="325"/>
      <c r="NJO507" s="325"/>
      <c r="NJP507" s="325"/>
      <c r="NJQ507" s="325"/>
      <c r="NJR507" s="325"/>
      <c r="NJS507" s="325"/>
      <c r="NJT507" s="325"/>
      <c r="NJU507" s="325"/>
      <c r="NJV507" s="325"/>
      <c r="NJW507" s="325"/>
      <c r="NJX507" s="325"/>
      <c r="NJY507" s="325"/>
      <c r="NJZ507" s="325"/>
      <c r="NKA507" s="325"/>
      <c r="NKB507" s="325"/>
      <c r="NKC507" s="325"/>
      <c r="NKD507" s="325"/>
      <c r="NKE507" s="325"/>
      <c r="NKF507" s="325"/>
      <c r="NKG507" s="325"/>
      <c r="NKH507" s="325"/>
      <c r="NKI507" s="325"/>
      <c r="NKJ507" s="325"/>
      <c r="NKK507" s="325"/>
      <c r="NKL507" s="327"/>
      <c r="NKM507" s="28"/>
      <c r="NKN507" s="324"/>
      <c r="NKO507" s="324"/>
      <c r="NKP507" s="324"/>
      <c r="NKQ507" s="324"/>
      <c r="NKR507" s="324"/>
      <c r="NKS507" s="324"/>
      <c r="NKT507" s="256"/>
      <c r="NKU507" s="325"/>
      <c r="NKV507" s="311"/>
      <c r="NKW507" s="325"/>
      <c r="NKX507" s="310"/>
      <c r="NKY507" s="325"/>
      <c r="NKZ507" s="325"/>
      <c r="NLA507" s="325"/>
      <c r="NLB507" s="325"/>
      <c r="NLC507" s="325"/>
      <c r="NLD507" s="325"/>
      <c r="NLE507" s="325"/>
      <c r="NLF507" s="325"/>
      <c r="NLG507" s="325"/>
      <c r="NLH507" s="325"/>
      <c r="NLI507" s="325"/>
      <c r="NLJ507" s="325"/>
      <c r="NLK507" s="325"/>
      <c r="NLL507" s="325"/>
      <c r="NLM507" s="325"/>
      <c r="NLN507" s="325"/>
      <c r="NLO507" s="325"/>
      <c r="NLP507" s="325"/>
      <c r="NLQ507" s="325"/>
      <c r="NLR507" s="325"/>
      <c r="NLS507" s="325"/>
      <c r="NLT507" s="325"/>
      <c r="NLU507" s="325"/>
      <c r="NLV507" s="325"/>
      <c r="NLW507" s="325"/>
      <c r="NLX507" s="325"/>
      <c r="NLY507" s="325"/>
      <c r="NLZ507" s="325"/>
      <c r="NMA507" s="325"/>
      <c r="NMB507" s="325"/>
      <c r="NMC507" s="327"/>
      <c r="NMD507" s="28"/>
      <c r="NME507" s="324"/>
      <c r="NMF507" s="324"/>
      <c r="NMG507" s="324"/>
      <c r="NMH507" s="324"/>
      <c r="NMI507" s="324"/>
      <c r="NMJ507" s="324"/>
      <c r="NMK507" s="256"/>
      <c r="NML507" s="325"/>
      <c r="NMM507" s="311"/>
      <c r="NMN507" s="325"/>
      <c r="NMO507" s="310"/>
      <c r="NMP507" s="325"/>
      <c r="NMQ507" s="325"/>
      <c r="NMR507" s="325"/>
      <c r="NMS507" s="325"/>
      <c r="NMT507" s="325"/>
      <c r="NMU507" s="325"/>
      <c r="NMV507" s="325"/>
      <c r="NMW507" s="325"/>
      <c r="NMX507" s="325"/>
      <c r="NMY507" s="325"/>
      <c r="NMZ507" s="325"/>
      <c r="NNA507" s="325"/>
      <c r="NNB507" s="325"/>
      <c r="NNC507" s="325"/>
      <c r="NND507" s="325"/>
      <c r="NNE507" s="325"/>
      <c r="NNF507" s="325"/>
      <c r="NNG507" s="325"/>
      <c r="NNH507" s="325"/>
      <c r="NNI507" s="325"/>
      <c r="NNJ507" s="325"/>
      <c r="NNK507" s="325"/>
      <c r="NNL507" s="325"/>
      <c r="NNM507" s="325"/>
      <c r="NNN507" s="325"/>
      <c r="NNO507" s="325"/>
      <c r="NNP507" s="325"/>
      <c r="NNQ507" s="325"/>
      <c r="NNR507" s="325"/>
      <c r="NNS507" s="325"/>
      <c r="NNT507" s="327"/>
      <c r="NNU507" s="28"/>
      <c r="NNV507" s="324"/>
      <c r="NNW507" s="324"/>
      <c r="NNX507" s="324"/>
      <c r="NNY507" s="324"/>
      <c r="NNZ507" s="324"/>
      <c r="NOA507" s="324"/>
      <c r="NOB507" s="256"/>
      <c r="NOC507" s="325"/>
      <c r="NOD507" s="311"/>
      <c r="NOE507" s="325"/>
      <c r="NOF507" s="310"/>
      <c r="NOG507" s="325"/>
      <c r="NOH507" s="325"/>
      <c r="NOI507" s="325"/>
      <c r="NOJ507" s="325"/>
      <c r="NOK507" s="325"/>
      <c r="NOL507" s="325"/>
      <c r="NOM507" s="325"/>
      <c r="NON507" s="325"/>
      <c r="NOO507" s="325"/>
      <c r="NOP507" s="325"/>
      <c r="NOQ507" s="325"/>
      <c r="NOR507" s="325"/>
      <c r="NOS507" s="325"/>
      <c r="NOT507" s="325"/>
      <c r="NOU507" s="325"/>
      <c r="NOV507" s="325"/>
      <c r="NOW507" s="325"/>
      <c r="NOX507" s="325"/>
      <c r="NOY507" s="325"/>
      <c r="NOZ507" s="325"/>
      <c r="NPA507" s="325"/>
      <c r="NPB507" s="325"/>
      <c r="NPC507" s="325"/>
      <c r="NPD507" s="325"/>
      <c r="NPE507" s="325"/>
      <c r="NPF507" s="325"/>
      <c r="NPG507" s="325"/>
      <c r="NPH507" s="325"/>
      <c r="NPI507" s="325"/>
      <c r="NPJ507" s="325"/>
      <c r="NPK507" s="327"/>
      <c r="NPL507" s="28"/>
      <c r="NPM507" s="324"/>
      <c r="NPN507" s="324"/>
      <c r="NPO507" s="324"/>
      <c r="NPP507" s="324"/>
      <c r="NPQ507" s="324"/>
      <c r="NPR507" s="324"/>
      <c r="NPS507" s="256"/>
      <c r="NPT507" s="325"/>
      <c r="NPU507" s="311"/>
      <c r="NPV507" s="325"/>
      <c r="NPW507" s="310"/>
      <c r="NPX507" s="325"/>
      <c r="NPY507" s="325"/>
      <c r="NPZ507" s="325"/>
      <c r="NQA507" s="325"/>
      <c r="NQB507" s="325"/>
      <c r="NQC507" s="325"/>
      <c r="NQD507" s="325"/>
      <c r="NQE507" s="325"/>
      <c r="NQF507" s="325"/>
      <c r="NQG507" s="325"/>
      <c r="NQH507" s="325"/>
      <c r="NQI507" s="325"/>
      <c r="NQJ507" s="325"/>
      <c r="NQK507" s="325"/>
      <c r="NQL507" s="325"/>
      <c r="NQM507" s="325"/>
      <c r="NQN507" s="325"/>
      <c r="NQO507" s="325"/>
      <c r="NQP507" s="325"/>
      <c r="NQQ507" s="325"/>
      <c r="NQR507" s="325"/>
      <c r="NQS507" s="325"/>
      <c r="NQT507" s="325"/>
      <c r="NQU507" s="325"/>
      <c r="NQV507" s="325"/>
      <c r="NQW507" s="325"/>
      <c r="NQX507" s="325"/>
      <c r="NQY507" s="325"/>
      <c r="NQZ507" s="325"/>
      <c r="NRA507" s="325"/>
      <c r="NRB507" s="327"/>
      <c r="NRC507" s="28"/>
      <c r="NRD507" s="324"/>
      <c r="NRE507" s="324"/>
      <c r="NRF507" s="324"/>
      <c r="NRG507" s="324"/>
      <c r="NRH507" s="324"/>
      <c r="NRI507" s="324"/>
      <c r="NRJ507" s="256"/>
      <c r="NRK507" s="325"/>
      <c r="NRL507" s="311"/>
      <c r="NRM507" s="325"/>
      <c r="NRN507" s="310"/>
      <c r="NRO507" s="325"/>
      <c r="NRP507" s="325"/>
      <c r="NRQ507" s="325"/>
      <c r="NRR507" s="325"/>
      <c r="NRS507" s="325"/>
      <c r="NRT507" s="325"/>
      <c r="NRU507" s="325"/>
      <c r="NRV507" s="325"/>
      <c r="NRW507" s="325"/>
      <c r="NRX507" s="325"/>
      <c r="NRY507" s="325"/>
      <c r="NRZ507" s="325"/>
      <c r="NSA507" s="325"/>
      <c r="NSB507" s="325"/>
      <c r="NSC507" s="325"/>
      <c r="NSD507" s="325"/>
      <c r="NSE507" s="325"/>
      <c r="NSF507" s="325"/>
      <c r="NSG507" s="325"/>
      <c r="NSH507" s="325"/>
      <c r="NSI507" s="325"/>
      <c r="NSJ507" s="325"/>
      <c r="NSK507" s="325"/>
      <c r="NSL507" s="325"/>
      <c r="NSM507" s="325"/>
      <c r="NSN507" s="325"/>
      <c r="NSO507" s="325"/>
      <c r="NSP507" s="325"/>
      <c r="NSQ507" s="325"/>
      <c r="NSR507" s="325"/>
      <c r="NSS507" s="327"/>
      <c r="NST507" s="28"/>
      <c r="NSU507" s="324"/>
      <c r="NSV507" s="324"/>
      <c r="NSW507" s="324"/>
      <c r="NSX507" s="324"/>
      <c r="NSY507" s="324"/>
      <c r="NSZ507" s="324"/>
      <c r="NTA507" s="256"/>
      <c r="NTB507" s="325"/>
      <c r="NTC507" s="311"/>
      <c r="NTD507" s="325"/>
      <c r="NTE507" s="310"/>
      <c r="NTF507" s="325"/>
      <c r="NTG507" s="325"/>
      <c r="NTH507" s="325"/>
      <c r="NTI507" s="325"/>
      <c r="NTJ507" s="325"/>
      <c r="NTK507" s="325"/>
      <c r="NTL507" s="325"/>
      <c r="NTM507" s="325"/>
      <c r="NTN507" s="325"/>
      <c r="NTO507" s="325"/>
      <c r="NTP507" s="325"/>
      <c r="NTQ507" s="325"/>
      <c r="NTR507" s="325"/>
      <c r="NTS507" s="325"/>
      <c r="NTT507" s="325"/>
      <c r="NTU507" s="325"/>
      <c r="NTV507" s="325"/>
      <c r="NTW507" s="325"/>
      <c r="NTX507" s="325"/>
      <c r="NTY507" s="325"/>
      <c r="NTZ507" s="325"/>
      <c r="NUA507" s="325"/>
      <c r="NUB507" s="325"/>
      <c r="NUC507" s="325"/>
      <c r="NUD507" s="325"/>
      <c r="NUE507" s="325"/>
      <c r="NUF507" s="325"/>
      <c r="NUG507" s="325"/>
      <c r="NUH507" s="325"/>
      <c r="NUI507" s="325"/>
      <c r="NUJ507" s="327"/>
      <c r="NUK507" s="28"/>
      <c r="NUL507" s="324"/>
      <c r="NUM507" s="324"/>
      <c r="NUN507" s="324"/>
      <c r="NUO507" s="324"/>
      <c r="NUP507" s="324"/>
      <c r="NUQ507" s="324"/>
      <c r="NUR507" s="256"/>
      <c r="NUS507" s="325"/>
      <c r="NUT507" s="311"/>
      <c r="NUU507" s="325"/>
      <c r="NUV507" s="310"/>
      <c r="NUW507" s="325"/>
      <c r="NUX507" s="325"/>
      <c r="NUY507" s="325"/>
      <c r="NUZ507" s="325"/>
      <c r="NVA507" s="325"/>
      <c r="NVB507" s="325"/>
      <c r="NVC507" s="325"/>
      <c r="NVD507" s="325"/>
      <c r="NVE507" s="325"/>
      <c r="NVF507" s="325"/>
      <c r="NVG507" s="325"/>
      <c r="NVH507" s="325"/>
      <c r="NVI507" s="325"/>
      <c r="NVJ507" s="325"/>
      <c r="NVK507" s="325"/>
      <c r="NVL507" s="325"/>
      <c r="NVM507" s="325"/>
      <c r="NVN507" s="325"/>
      <c r="NVO507" s="325"/>
      <c r="NVP507" s="325"/>
      <c r="NVQ507" s="325"/>
      <c r="NVR507" s="325"/>
      <c r="NVS507" s="325"/>
      <c r="NVT507" s="325"/>
      <c r="NVU507" s="325"/>
      <c r="NVV507" s="325"/>
      <c r="NVW507" s="325"/>
      <c r="NVX507" s="325"/>
      <c r="NVY507" s="325"/>
      <c r="NVZ507" s="325"/>
      <c r="NWA507" s="327"/>
      <c r="NWB507" s="28"/>
      <c r="NWC507" s="324"/>
      <c r="NWD507" s="324"/>
      <c r="NWE507" s="324"/>
      <c r="NWF507" s="324"/>
      <c r="NWG507" s="324"/>
      <c r="NWH507" s="324"/>
      <c r="NWI507" s="256"/>
      <c r="NWJ507" s="325"/>
      <c r="NWK507" s="311"/>
      <c r="NWL507" s="325"/>
      <c r="NWM507" s="310"/>
      <c r="NWN507" s="325"/>
      <c r="NWO507" s="325"/>
      <c r="NWP507" s="325"/>
      <c r="NWQ507" s="325"/>
      <c r="NWR507" s="325"/>
      <c r="NWS507" s="325"/>
      <c r="NWT507" s="325"/>
      <c r="NWU507" s="325"/>
      <c r="NWV507" s="325"/>
      <c r="NWW507" s="325"/>
      <c r="NWX507" s="325"/>
      <c r="NWY507" s="325"/>
      <c r="NWZ507" s="325"/>
      <c r="NXA507" s="325"/>
      <c r="NXB507" s="325"/>
      <c r="NXC507" s="325"/>
      <c r="NXD507" s="325"/>
      <c r="NXE507" s="325"/>
      <c r="NXF507" s="325"/>
      <c r="NXG507" s="325"/>
      <c r="NXH507" s="325"/>
      <c r="NXI507" s="325"/>
      <c r="NXJ507" s="325"/>
      <c r="NXK507" s="325"/>
      <c r="NXL507" s="325"/>
      <c r="NXM507" s="325"/>
      <c r="NXN507" s="325"/>
      <c r="NXO507" s="325"/>
      <c r="NXP507" s="325"/>
      <c r="NXQ507" s="325"/>
      <c r="NXR507" s="327"/>
      <c r="NXS507" s="28"/>
      <c r="NXT507" s="324"/>
      <c r="NXU507" s="324"/>
      <c r="NXV507" s="324"/>
      <c r="NXW507" s="324"/>
      <c r="NXX507" s="324"/>
      <c r="NXY507" s="324"/>
      <c r="NXZ507" s="256"/>
      <c r="NYA507" s="325"/>
      <c r="NYB507" s="311"/>
      <c r="NYC507" s="325"/>
      <c r="NYD507" s="310"/>
      <c r="NYE507" s="325"/>
      <c r="NYF507" s="325"/>
      <c r="NYG507" s="325"/>
      <c r="NYH507" s="325"/>
      <c r="NYI507" s="325"/>
      <c r="NYJ507" s="325"/>
      <c r="NYK507" s="325"/>
      <c r="NYL507" s="325"/>
      <c r="NYM507" s="325"/>
      <c r="NYN507" s="325"/>
      <c r="NYO507" s="325"/>
      <c r="NYP507" s="325"/>
      <c r="NYQ507" s="325"/>
      <c r="NYR507" s="325"/>
      <c r="NYS507" s="325"/>
      <c r="NYT507" s="325"/>
      <c r="NYU507" s="325"/>
      <c r="NYV507" s="325"/>
      <c r="NYW507" s="325"/>
      <c r="NYX507" s="325"/>
      <c r="NYY507" s="325"/>
      <c r="NYZ507" s="325"/>
      <c r="NZA507" s="325"/>
      <c r="NZB507" s="325"/>
      <c r="NZC507" s="325"/>
      <c r="NZD507" s="325"/>
      <c r="NZE507" s="325"/>
      <c r="NZF507" s="325"/>
      <c r="NZG507" s="325"/>
      <c r="NZH507" s="325"/>
      <c r="NZI507" s="327"/>
      <c r="NZJ507" s="28"/>
      <c r="NZK507" s="324"/>
      <c r="NZL507" s="324"/>
      <c r="NZM507" s="324"/>
      <c r="NZN507" s="324"/>
      <c r="NZO507" s="324"/>
      <c r="NZP507" s="324"/>
      <c r="NZQ507" s="256"/>
      <c r="NZR507" s="325"/>
      <c r="NZS507" s="311"/>
      <c r="NZT507" s="325"/>
      <c r="NZU507" s="310"/>
      <c r="NZV507" s="325"/>
      <c r="NZW507" s="325"/>
      <c r="NZX507" s="325"/>
      <c r="NZY507" s="325"/>
      <c r="NZZ507" s="325"/>
      <c r="OAA507" s="325"/>
      <c r="OAB507" s="325"/>
      <c r="OAC507" s="325"/>
      <c r="OAD507" s="325"/>
      <c r="OAE507" s="325"/>
      <c r="OAF507" s="325"/>
      <c r="OAG507" s="325"/>
      <c r="OAH507" s="325"/>
      <c r="OAI507" s="325"/>
      <c r="OAJ507" s="325"/>
      <c r="OAK507" s="325"/>
      <c r="OAL507" s="325"/>
      <c r="OAM507" s="325"/>
      <c r="OAN507" s="325"/>
      <c r="OAO507" s="325"/>
      <c r="OAP507" s="325"/>
      <c r="OAQ507" s="325"/>
      <c r="OAR507" s="325"/>
      <c r="OAS507" s="325"/>
      <c r="OAT507" s="325"/>
      <c r="OAU507" s="325"/>
      <c r="OAV507" s="325"/>
      <c r="OAW507" s="325"/>
      <c r="OAX507" s="325"/>
      <c r="OAY507" s="325"/>
      <c r="OAZ507" s="327"/>
      <c r="OBA507" s="28"/>
      <c r="OBB507" s="324"/>
      <c r="OBC507" s="324"/>
      <c r="OBD507" s="324"/>
      <c r="OBE507" s="324"/>
      <c r="OBF507" s="324"/>
      <c r="OBG507" s="324"/>
      <c r="OBH507" s="256"/>
      <c r="OBI507" s="325"/>
      <c r="OBJ507" s="311"/>
      <c r="OBK507" s="325"/>
      <c r="OBL507" s="310"/>
      <c r="OBM507" s="325"/>
      <c r="OBN507" s="325"/>
      <c r="OBO507" s="325"/>
      <c r="OBP507" s="325"/>
      <c r="OBQ507" s="325"/>
      <c r="OBR507" s="325"/>
      <c r="OBS507" s="325"/>
      <c r="OBT507" s="325"/>
      <c r="OBU507" s="325"/>
      <c r="OBV507" s="325"/>
      <c r="OBW507" s="325"/>
      <c r="OBX507" s="325"/>
      <c r="OBY507" s="325"/>
      <c r="OBZ507" s="325"/>
      <c r="OCA507" s="325"/>
      <c r="OCB507" s="325"/>
      <c r="OCC507" s="325"/>
      <c r="OCD507" s="325"/>
      <c r="OCE507" s="325"/>
      <c r="OCF507" s="325"/>
      <c r="OCG507" s="325"/>
      <c r="OCH507" s="325"/>
      <c r="OCI507" s="325"/>
      <c r="OCJ507" s="325"/>
      <c r="OCK507" s="325"/>
      <c r="OCL507" s="325"/>
      <c r="OCM507" s="325"/>
      <c r="OCN507" s="325"/>
      <c r="OCO507" s="325"/>
      <c r="OCP507" s="325"/>
      <c r="OCQ507" s="327"/>
      <c r="OCR507" s="28"/>
      <c r="OCS507" s="324"/>
      <c r="OCT507" s="324"/>
      <c r="OCU507" s="324"/>
      <c r="OCV507" s="324"/>
      <c r="OCW507" s="324"/>
      <c r="OCX507" s="324"/>
      <c r="OCY507" s="256"/>
      <c r="OCZ507" s="325"/>
      <c r="ODA507" s="311"/>
      <c r="ODB507" s="325"/>
      <c r="ODC507" s="310"/>
      <c r="ODD507" s="325"/>
      <c r="ODE507" s="325"/>
      <c r="ODF507" s="325"/>
      <c r="ODG507" s="325"/>
      <c r="ODH507" s="325"/>
      <c r="ODI507" s="325"/>
      <c r="ODJ507" s="325"/>
      <c r="ODK507" s="325"/>
      <c r="ODL507" s="325"/>
      <c r="ODM507" s="325"/>
      <c r="ODN507" s="325"/>
      <c r="ODO507" s="325"/>
      <c r="ODP507" s="325"/>
      <c r="ODQ507" s="325"/>
      <c r="ODR507" s="325"/>
      <c r="ODS507" s="325"/>
      <c r="ODT507" s="325"/>
      <c r="ODU507" s="325"/>
      <c r="ODV507" s="325"/>
      <c r="ODW507" s="325"/>
      <c r="ODX507" s="325"/>
      <c r="ODY507" s="325"/>
      <c r="ODZ507" s="325"/>
      <c r="OEA507" s="325"/>
      <c r="OEB507" s="325"/>
      <c r="OEC507" s="325"/>
      <c r="OED507" s="325"/>
      <c r="OEE507" s="325"/>
      <c r="OEF507" s="325"/>
      <c r="OEG507" s="325"/>
      <c r="OEH507" s="327"/>
      <c r="OEI507" s="28"/>
      <c r="OEJ507" s="324"/>
      <c r="OEK507" s="324"/>
      <c r="OEL507" s="324"/>
      <c r="OEM507" s="324"/>
      <c r="OEN507" s="324"/>
      <c r="OEO507" s="324"/>
      <c r="OEP507" s="256"/>
      <c r="OEQ507" s="325"/>
      <c r="OER507" s="311"/>
      <c r="OES507" s="325"/>
      <c r="OET507" s="310"/>
      <c r="OEU507" s="325"/>
      <c r="OEV507" s="325"/>
      <c r="OEW507" s="325"/>
      <c r="OEX507" s="325"/>
      <c r="OEY507" s="325"/>
      <c r="OEZ507" s="325"/>
      <c r="OFA507" s="325"/>
      <c r="OFB507" s="325"/>
      <c r="OFC507" s="325"/>
      <c r="OFD507" s="325"/>
      <c r="OFE507" s="325"/>
      <c r="OFF507" s="325"/>
      <c r="OFG507" s="325"/>
      <c r="OFH507" s="325"/>
      <c r="OFI507" s="325"/>
      <c r="OFJ507" s="325"/>
      <c r="OFK507" s="325"/>
      <c r="OFL507" s="325"/>
      <c r="OFM507" s="325"/>
      <c r="OFN507" s="325"/>
      <c r="OFO507" s="325"/>
      <c r="OFP507" s="325"/>
      <c r="OFQ507" s="325"/>
      <c r="OFR507" s="325"/>
      <c r="OFS507" s="325"/>
      <c r="OFT507" s="325"/>
      <c r="OFU507" s="325"/>
      <c r="OFV507" s="325"/>
      <c r="OFW507" s="325"/>
      <c r="OFX507" s="325"/>
      <c r="OFY507" s="327"/>
      <c r="OFZ507" s="28"/>
      <c r="OGA507" s="324"/>
      <c r="OGB507" s="324"/>
      <c r="OGC507" s="324"/>
      <c r="OGD507" s="324"/>
      <c r="OGE507" s="324"/>
      <c r="OGF507" s="324"/>
      <c r="OGG507" s="256"/>
      <c r="OGH507" s="325"/>
      <c r="OGI507" s="311"/>
      <c r="OGJ507" s="325"/>
      <c r="OGK507" s="310"/>
      <c r="OGL507" s="325"/>
      <c r="OGM507" s="325"/>
      <c r="OGN507" s="325"/>
      <c r="OGO507" s="325"/>
      <c r="OGP507" s="325"/>
      <c r="OGQ507" s="325"/>
      <c r="OGR507" s="325"/>
      <c r="OGS507" s="325"/>
      <c r="OGT507" s="325"/>
      <c r="OGU507" s="325"/>
      <c r="OGV507" s="325"/>
      <c r="OGW507" s="325"/>
      <c r="OGX507" s="325"/>
      <c r="OGY507" s="325"/>
      <c r="OGZ507" s="325"/>
      <c r="OHA507" s="325"/>
      <c r="OHB507" s="325"/>
      <c r="OHC507" s="325"/>
      <c r="OHD507" s="325"/>
      <c r="OHE507" s="325"/>
      <c r="OHF507" s="325"/>
      <c r="OHG507" s="325"/>
      <c r="OHH507" s="325"/>
      <c r="OHI507" s="325"/>
      <c r="OHJ507" s="325"/>
      <c r="OHK507" s="325"/>
      <c r="OHL507" s="325"/>
      <c r="OHM507" s="325"/>
      <c r="OHN507" s="325"/>
      <c r="OHO507" s="325"/>
      <c r="OHP507" s="327"/>
      <c r="OHQ507" s="28"/>
      <c r="OHR507" s="324"/>
      <c r="OHS507" s="324"/>
      <c r="OHT507" s="324"/>
      <c r="OHU507" s="324"/>
      <c r="OHV507" s="324"/>
      <c r="OHW507" s="324"/>
      <c r="OHX507" s="256"/>
      <c r="OHY507" s="325"/>
      <c r="OHZ507" s="311"/>
      <c r="OIA507" s="325"/>
      <c r="OIB507" s="310"/>
      <c r="OIC507" s="325"/>
      <c r="OID507" s="325"/>
      <c r="OIE507" s="325"/>
      <c r="OIF507" s="325"/>
      <c r="OIG507" s="325"/>
      <c r="OIH507" s="325"/>
      <c r="OII507" s="325"/>
      <c r="OIJ507" s="325"/>
      <c r="OIK507" s="325"/>
      <c r="OIL507" s="325"/>
      <c r="OIM507" s="325"/>
      <c r="OIN507" s="325"/>
      <c r="OIO507" s="325"/>
      <c r="OIP507" s="325"/>
      <c r="OIQ507" s="325"/>
      <c r="OIR507" s="325"/>
      <c r="OIS507" s="325"/>
      <c r="OIT507" s="325"/>
      <c r="OIU507" s="325"/>
      <c r="OIV507" s="325"/>
      <c r="OIW507" s="325"/>
      <c r="OIX507" s="325"/>
      <c r="OIY507" s="325"/>
      <c r="OIZ507" s="325"/>
      <c r="OJA507" s="325"/>
      <c r="OJB507" s="325"/>
      <c r="OJC507" s="325"/>
      <c r="OJD507" s="325"/>
      <c r="OJE507" s="325"/>
      <c r="OJF507" s="325"/>
      <c r="OJG507" s="327"/>
      <c r="OJH507" s="28"/>
      <c r="OJI507" s="324"/>
      <c r="OJJ507" s="324"/>
      <c r="OJK507" s="324"/>
      <c r="OJL507" s="324"/>
      <c r="OJM507" s="324"/>
      <c r="OJN507" s="324"/>
      <c r="OJO507" s="256"/>
      <c r="OJP507" s="325"/>
      <c r="OJQ507" s="311"/>
      <c r="OJR507" s="325"/>
      <c r="OJS507" s="310"/>
      <c r="OJT507" s="325"/>
      <c r="OJU507" s="325"/>
      <c r="OJV507" s="325"/>
      <c r="OJW507" s="325"/>
      <c r="OJX507" s="325"/>
      <c r="OJY507" s="325"/>
      <c r="OJZ507" s="325"/>
      <c r="OKA507" s="325"/>
      <c r="OKB507" s="325"/>
      <c r="OKC507" s="325"/>
      <c r="OKD507" s="325"/>
      <c r="OKE507" s="325"/>
      <c r="OKF507" s="325"/>
      <c r="OKG507" s="325"/>
      <c r="OKH507" s="325"/>
      <c r="OKI507" s="325"/>
      <c r="OKJ507" s="325"/>
      <c r="OKK507" s="325"/>
      <c r="OKL507" s="325"/>
      <c r="OKM507" s="325"/>
      <c r="OKN507" s="325"/>
      <c r="OKO507" s="325"/>
      <c r="OKP507" s="325"/>
      <c r="OKQ507" s="325"/>
      <c r="OKR507" s="325"/>
      <c r="OKS507" s="325"/>
      <c r="OKT507" s="325"/>
      <c r="OKU507" s="325"/>
      <c r="OKV507" s="325"/>
      <c r="OKW507" s="325"/>
      <c r="OKX507" s="327"/>
      <c r="OKY507" s="28"/>
      <c r="OKZ507" s="324"/>
      <c r="OLA507" s="324"/>
      <c r="OLB507" s="324"/>
      <c r="OLC507" s="324"/>
      <c r="OLD507" s="324"/>
      <c r="OLE507" s="324"/>
      <c r="OLF507" s="256"/>
      <c r="OLG507" s="325"/>
      <c r="OLH507" s="311"/>
      <c r="OLI507" s="325"/>
      <c r="OLJ507" s="310"/>
      <c r="OLK507" s="325"/>
      <c r="OLL507" s="325"/>
      <c r="OLM507" s="325"/>
      <c r="OLN507" s="325"/>
      <c r="OLO507" s="325"/>
      <c r="OLP507" s="325"/>
      <c r="OLQ507" s="325"/>
      <c r="OLR507" s="325"/>
      <c r="OLS507" s="325"/>
      <c r="OLT507" s="325"/>
      <c r="OLU507" s="325"/>
      <c r="OLV507" s="325"/>
      <c r="OLW507" s="325"/>
      <c r="OLX507" s="325"/>
      <c r="OLY507" s="325"/>
      <c r="OLZ507" s="325"/>
      <c r="OMA507" s="325"/>
      <c r="OMB507" s="325"/>
      <c r="OMC507" s="325"/>
      <c r="OMD507" s="325"/>
      <c r="OME507" s="325"/>
      <c r="OMF507" s="325"/>
      <c r="OMG507" s="325"/>
      <c r="OMH507" s="325"/>
      <c r="OMI507" s="325"/>
      <c r="OMJ507" s="325"/>
      <c r="OMK507" s="325"/>
      <c r="OML507" s="325"/>
      <c r="OMM507" s="325"/>
      <c r="OMN507" s="325"/>
      <c r="OMO507" s="327"/>
      <c r="OMP507" s="28"/>
      <c r="OMQ507" s="324"/>
      <c r="OMR507" s="324"/>
      <c r="OMS507" s="324"/>
      <c r="OMT507" s="324"/>
      <c r="OMU507" s="324"/>
      <c r="OMV507" s="324"/>
      <c r="OMW507" s="256"/>
      <c r="OMX507" s="325"/>
      <c r="OMY507" s="311"/>
      <c r="OMZ507" s="325"/>
      <c r="ONA507" s="310"/>
      <c r="ONB507" s="325"/>
      <c r="ONC507" s="325"/>
      <c r="OND507" s="325"/>
      <c r="ONE507" s="325"/>
      <c r="ONF507" s="325"/>
      <c r="ONG507" s="325"/>
      <c r="ONH507" s="325"/>
      <c r="ONI507" s="325"/>
      <c r="ONJ507" s="325"/>
      <c r="ONK507" s="325"/>
      <c r="ONL507" s="325"/>
      <c r="ONM507" s="325"/>
      <c r="ONN507" s="325"/>
      <c r="ONO507" s="325"/>
      <c r="ONP507" s="325"/>
      <c r="ONQ507" s="325"/>
      <c r="ONR507" s="325"/>
      <c r="ONS507" s="325"/>
      <c r="ONT507" s="325"/>
      <c r="ONU507" s="325"/>
      <c r="ONV507" s="325"/>
      <c r="ONW507" s="325"/>
      <c r="ONX507" s="325"/>
      <c r="ONY507" s="325"/>
      <c r="ONZ507" s="325"/>
      <c r="OOA507" s="325"/>
      <c r="OOB507" s="325"/>
      <c r="OOC507" s="325"/>
      <c r="OOD507" s="325"/>
      <c r="OOE507" s="325"/>
      <c r="OOF507" s="327"/>
      <c r="OOG507" s="28"/>
      <c r="OOH507" s="324"/>
      <c r="OOI507" s="324"/>
      <c r="OOJ507" s="324"/>
      <c r="OOK507" s="324"/>
      <c r="OOL507" s="324"/>
      <c r="OOM507" s="324"/>
      <c r="OON507" s="256"/>
      <c r="OOO507" s="325"/>
      <c r="OOP507" s="311"/>
      <c r="OOQ507" s="325"/>
      <c r="OOR507" s="310"/>
      <c r="OOS507" s="325"/>
      <c r="OOT507" s="325"/>
      <c r="OOU507" s="325"/>
      <c r="OOV507" s="325"/>
      <c r="OOW507" s="325"/>
      <c r="OOX507" s="325"/>
      <c r="OOY507" s="325"/>
      <c r="OOZ507" s="325"/>
      <c r="OPA507" s="325"/>
      <c r="OPB507" s="325"/>
      <c r="OPC507" s="325"/>
      <c r="OPD507" s="325"/>
      <c r="OPE507" s="325"/>
      <c r="OPF507" s="325"/>
      <c r="OPG507" s="325"/>
      <c r="OPH507" s="325"/>
      <c r="OPI507" s="325"/>
      <c r="OPJ507" s="325"/>
      <c r="OPK507" s="325"/>
      <c r="OPL507" s="325"/>
      <c r="OPM507" s="325"/>
      <c r="OPN507" s="325"/>
      <c r="OPO507" s="325"/>
      <c r="OPP507" s="325"/>
      <c r="OPQ507" s="325"/>
      <c r="OPR507" s="325"/>
      <c r="OPS507" s="325"/>
      <c r="OPT507" s="325"/>
      <c r="OPU507" s="325"/>
      <c r="OPV507" s="325"/>
      <c r="OPW507" s="327"/>
      <c r="OPX507" s="28"/>
      <c r="OPY507" s="324"/>
      <c r="OPZ507" s="324"/>
      <c r="OQA507" s="324"/>
      <c r="OQB507" s="324"/>
      <c r="OQC507" s="324"/>
      <c r="OQD507" s="324"/>
      <c r="OQE507" s="256"/>
      <c r="OQF507" s="325"/>
      <c r="OQG507" s="311"/>
      <c r="OQH507" s="325"/>
      <c r="OQI507" s="310"/>
      <c r="OQJ507" s="325"/>
      <c r="OQK507" s="325"/>
      <c r="OQL507" s="325"/>
      <c r="OQM507" s="325"/>
      <c r="OQN507" s="325"/>
      <c r="OQO507" s="325"/>
      <c r="OQP507" s="325"/>
      <c r="OQQ507" s="325"/>
      <c r="OQR507" s="325"/>
      <c r="OQS507" s="325"/>
      <c r="OQT507" s="325"/>
      <c r="OQU507" s="325"/>
      <c r="OQV507" s="325"/>
      <c r="OQW507" s="325"/>
      <c r="OQX507" s="325"/>
      <c r="OQY507" s="325"/>
      <c r="OQZ507" s="325"/>
      <c r="ORA507" s="325"/>
      <c r="ORB507" s="325"/>
      <c r="ORC507" s="325"/>
      <c r="ORD507" s="325"/>
      <c r="ORE507" s="325"/>
      <c r="ORF507" s="325"/>
      <c r="ORG507" s="325"/>
      <c r="ORH507" s="325"/>
      <c r="ORI507" s="325"/>
      <c r="ORJ507" s="325"/>
      <c r="ORK507" s="325"/>
      <c r="ORL507" s="325"/>
      <c r="ORM507" s="325"/>
      <c r="ORN507" s="327"/>
      <c r="ORO507" s="28"/>
      <c r="ORP507" s="324"/>
      <c r="ORQ507" s="324"/>
      <c r="ORR507" s="324"/>
      <c r="ORS507" s="324"/>
      <c r="ORT507" s="324"/>
      <c r="ORU507" s="324"/>
      <c r="ORV507" s="256"/>
      <c r="ORW507" s="325"/>
      <c r="ORX507" s="311"/>
      <c r="ORY507" s="325"/>
      <c r="ORZ507" s="310"/>
      <c r="OSA507" s="325"/>
      <c r="OSB507" s="325"/>
      <c r="OSC507" s="325"/>
      <c r="OSD507" s="325"/>
      <c r="OSE507" s="325"/>
      <c r="OSF507" s="325"/>
      <c r="OSG507" s="325"/>
      <c r="OSH507" s="325"/>
      <c r="OSI507" s="325"/>
      <c r="OSJ507" s="325"/>
      <c r="OSK507" s="325"/>
      <c r="OSL507" s="325"/>
      <c r="OSM507" s="325"/>
      <c r="OSN507" s="325"/>
      <c r="OSO507" s="325"/>
      <c r="OSP507" s="325"/>
      <c r="OSQ507" s="325"/>
      <c r="OSR507" s="325"/>
      <c r="OSS507" s="325"/>
      <c r="OST507" s="325"/>
      <c r="OSU507" s="325"/>
      <c r="OSV507" s="325"/>
      <c r="OSW507" s="325"/>
      <c r="OSX507" s="325"/>
      <c r="OSY507" s="325"/>
      <c r="OSZ507" s="325"/>
      <c r="OTA507" s="325"/>
      <c r="OTB507" s="325"/>
      <c r="OTC507" s="325"/>
      <c r="OTD507" s="325"/>
      <c r="OTE507" s="327"/>
      <c r="OTF507" s="28"/>
      <c r="OTG507" s="324"/>
      <c r="OTH507" s="324"/>
      <c r="OTI507" s="324"/>
      <c r="OTJ507" s="324"/>
      <c r="OTK507" s="324"/>
      <c r="OTL507" s="324"/>
      <c r="OTM507" s="256"/>
      <c r="OTN507" s="325"/>
      <c r="OTO507" s="311"/>
      <c r="OTP507" s="325"/>
      <c r="OTQ507" s="310"/>
      <c r="OTR507" s="325"/>
      <c r="OTS507" s="325"/>
      <c r="OTT507" s="325"/>
      <c r="OTU507" s="325"/>
      <c r="OTV507" s="325"/>
      <c r="OTW507" s="325"/>
      <c r="OTX507" s="325"/>
      <c r="OTY507" s="325"/>
      <c r="OTZ507" s="325"/>
      <c r="OUA507" s="325"/>
      <c r="OUB507" s="325"/>
      <c r="OUC507" s="325"/>
      <c r="OUD507" s="325"/>
      <c r="OUE507" s="325"/>
      <c r="OUF507" s="325"/>
      <c r="OUG507" s="325"/>
      <c r="OUH507" s="325"/>
      <c r="OUI507" s="325"/>
      <c r="OUJ507" s="325"/>
      <c r="OUK507" s="325"/>
      <c r="OUL507" s="325"/>
      <c r="OUM507" s="325"/>
      <c r="OUN507" s="325"/>
      <c r="OUO507" s="325"/>
      <c r="OUP507" s="325"/>
      <c r="OUQ507" s="325"/>
      <c r="OUR507" s="325"/>
      <c r="OUS507" s="325"/>
      <c r="OUT507" s="325"/>
      <c r="OUU507" s="325"/>
      <c r="OUV507" s="327"/>
      <c r="OUW507" s="28"/>
      <c r="OUX507" s="324"/>
      <c r="OUY507" s="324"/>
      <c r="OUZ507" s="324"/>
      <c r="OVA507" s="324"/>
      <c r="OVB507" s="324"/>
      <c r="OVC507" s="324"/>
      <c r="OVD507" s="256"/>
      <c r="OVE507" s="325"/>
      <c r="OVF507" s="311"/>
      <c r="OVG507" s="325"/>
      <c r="OVH507" s="310"/>
      <c r="OVI507" s="325"/>
      <c r="OVJ507" s="325"/>
      <c r="OVK507" s="325"/>
      <c r="OVL507" s="325"/>
      <c r="OVM507" s="325"/>
      <c r="OVN507" s="325"/>
      <c r="OVO507" s="325"/>
      <c r="OVP507" s="325"/>
      <c r="OVQ507" s="325"/>
      <c r="OVR507" s="325"/>
      <c r="OVS507" s="325"/>
      <c r="OVT507" s="325"/>
      <c r="OVU507" s="325"/>
      <c r="OVV507" s="325"/>
      <c r="OVW507" s="325"/>
      <c r="OVX507" s="325"/>
      <c r="OVY507" s="325"/>
      <c r="OVZ507" s="325"/>
      <c r="OWA507" s="325"/>
      <c r="OWB507" s="325"/>
      <c r="OWC507" s="325"/>
      <c r="OWD507" s="325"/>
      <c r="OWE507" s="325"/>
      <c r="OWF507" s="325"/>
      <c r="OWG507" s="325"/>
      <c r="OWH507" s="325"/>
      <c r="OWI507" s="325"/>
      <c r="OWJ507" s="325"/>
      <c r="OWK507" s="325"/>
      <c r="OWL507" s="325"/>
      <c r="OWM507" s="327"/>
      <c r="OWN507" s="28"/>
      <c r="OWO507" s="324"/>
      <c r="OWP507" s="324"/>
      <c r="OWQ507" s="324"/>
      <c r="OWR507" s="324"/>
      <c r="OWS507" s="324"/>
      <c r="OWT507" s="324"/>
      <c r="OWU507" s="256"/>
      <c r="OWV507" s="325"/>
      <c r="OWW507" s="311"/>
      <c r="OWX507" s="325"/>
      <c r="OWY507" s="310"/>
      <c r="OWZ507" s="325"/>
      <c r="OXA507" s="325"/>
      <c r="OXB507" s="325"/>
      <c r="OXC507" s="325"/>
      <c r="OXD507" s="325"/>
      <c r="OXE507" s="325"/>
      <c r="OXF507" s="325"/>
      <c r="OXG507" s="325"/>
      <c r="OXH507" s="325"/>
      <c r="OXI507" s="325"/>
      <c r="OXJ507" s="325"/>
      <c r="OXK507" s="325"/>
      <c r="OXL507" s="325"/>
      <c r="OXM507" s="325"/>
      <c r="OXN507" s="325"/>
      <c r="OXO507" s="325"/>
      <c r="OXP507" s="325"/>
      <c r="OXQ507" s="325"/>
      <c r="OXR507" s="325"/>
      <c r="OXS507" s="325"/>
      <c r="OXT507" s="325"/>
      <c r="OXU507" s="325"/>
      <c r="OXV507" s="325"/>
      <c r="OXW507" s="325"/>
      <c r="OXX507" s="325"/>
      <c r="OXY507" s="325"/>
      <c r="OXZ507" s="325"/>
      <c r="OYA507" s="325"/>
      <c r="OYB507" s="325"/>
      <c r="OYC507" s="325"/>
      <c r="OYD507" s="327"/>
      <c r="OYE507" s="28"/>
      <c r="OYF507" s="324"/>
      <c r="OYG507" s="324"/>
      <c r="OYH507" s="324"/>
      <c r="OYI507" s="324"/>
      <c r="OYJ507" s="324"/>
      <c r="OYK507" s="324"/>
      <c r="OYL507" s="256"/>
      <c r="OYM507" s="325"/>
      <c r="OYN507" s="311"/>
      <c r="OYO507" s="325"/>
      <c r="OYP507" s="310"/>
      <c r="OYQ507" s="325"/>
      <c r="OYR507" s="325"/>
      <c r="OYS507" s="325"/>
      <c r="OYT507" s="325"/>
      <c r="OYU507" s="325"/>
      <c r="OYV507" s="325"/>
      <c r="OYW507" s="325"/>
      <c r="OYX507" s="325"/>
      <c r="OYY507" s="325"/>
      <c r="OYZ507" s="325"/>
      <c r="OZA507" s="325"/>
      <c r="OZB507" s="325"/>
      <c r="OZC507" s="325"/>
      <c r="OZD507" s="325"/>
      <c r="OZE507" s="325"/>
      <c r="OZF507" s="325"/>
      <c r="OZG507" s="325"/>
      <c r="OZH507" s="325"/>
      <c r="OZI507" s="325"/>
      <c r="OZJ507" s="325"/>
      <c r="OZK507" s="325"/>
      <c r="OZL507" s="325"/>
      <c r="OZM507" s="325"/>
      <c r="OZN507" s="325"/>
      <c r="OZO507" s="325"/>
      <c r="OZP507" s="325"/>
      <c r="OZQ507" s="325"/>
      <c r="OZR507" s="325"/>
      <c r="OZS507" s="325"/>
      <c r="OZT507" s="325"/>
      <c r="OZU507" s="327"/>
      <c r="OZV507" s="28"/>
      <c r="OZW507" s="324"/>
      <c r="OZX507" s="324"/>
      <c r="OZY507" s="324"/>
      <c r="OZZ507" s="324"/>
      <c r="PAA507" s="324"/>
      <c r="PAB507" s="324"/>
      <c r="PAC507" s="256"/>
      <c r="PAD507" s="325"/>
      <c r="PAE507" s="311"/>
      <c r="PAF507" s="325"/>
      <c r="PAG507" s="310"/>
      <c r="PAH507" s="325"/>
      <c r="PAI507" s="325"/>
      <c r="PAJ507" s="325"/>
      <c r="PAK507" s="325"/>
      <c r="PAL507" s="325"/>
      <c r="PAM507" s="325"/>
      <c r="PAN507" s="325"/>
      <c r="PAO507" s="325"/>
      <c r="PAP507" s="325"/>
      <c r="PAQ507" s="325"/>
      <c r="PAR507" s="325"/>
      <c r="PAS507" s="325"/>
      <c r="PAT507" s="325"/>
      <c r="PAU507" s="325"/>
      <c r="PAV507" s="325"/>
      <c r="PAW507" s="325"/>
      <c r="PAX507" s="325"/>
      <c r="PAY507" s="325"/>
      <c r="PAZ507" s="325"/>
      <c r="PBA507" s="325"/>
      <c r="PBB507" s="325"/>
      <c r="PBC507" s="325"/>
      <c r="PBD507" s="325"/>
      <c r="PBE507" s="325"/>
      <c r="PBF507" s="325"/>
      <c r="PBG507" s="325"/>
      <c r="PBH507" s="325"/>
      <c r="PBI507" s="325"/>
      <c r="PBJ507" s="325"/>
      <c r="PBK507" s="325"/>
      <c r="PBL507" s="327"/>
      <c r="PBM507" s="28"/>
      <c r="PBN507" s="324"/>
      <c r="PBO507" s="324"/>
      <c r="PBP507" s="324"/>
      <c r="PBQ507" s="324"/>
      <c r="PBR507" s="324"/>
      <c r="PBS507" s="324"/>
      <c r="PBT507" s="256"/>
      <c r="PBU507" s="325"/>
      <c r="PBV507" s="311"/>
      <c r="PBW507" s="325"/>
      <c r="PBX507" s="310"/>
      <c r="PBY507" s="325"/>
      <c r="PBZ507" s="325"/>
      <c r="PCA507" s="325"/>
      <c r="PCB507" s="325"/>
      <c r="PCC507" s="325"/>
      <c r="PCD507" s="325"/>
      <c r="PCE507" s="325"/>
      <c r="PCF507" s="325"/>
      <c r="PCG507" s="325"/>
      <c r="PCH507" s="325"/>
      <c r="PCI507" s="325"/>
      <c r="PCJ507" s="325"/>
      <c r="PCK507" s="325"/>
      <c r="PCL507" s="325"/>
      <c r="PCM507" s="325"/>
      <c r="PCN507" s="325"/>
      <c r="PCO507" s="325"/>
      <c r="PCP507" s="325"/>
      <c r="PCQ507" s="325"/>
      <c r="PCR507" s="325"/>
      <c r="PCS507" s="325"/>
      <c r="PCT507" s="325"/>
      <c r="PCU507" s="325"/>
      <c r="PCV507" s="325"/>
      <c r="PCW507" s="325"/>
      <c r="PCX507" s="325"/>
      <c r="PCY507" s="325"/>
      <c r="PCZ507" s="325"/>
      <c r="PDA507" s="325"/>
      <c r="PDB507" s="325"/>
      <c r="PDC507" s="327"/>
      <c r="PDD507" s="28"/>
      <c r="PDE507" s="324"/>
      <c r="PDF507" s="324"/>
      <c r="PDG507" s="324"/>
      <c r="PDH507" s="324"/>
      <c r="PDI507" s="324"/>
      <c r="PDJ507" s="324"/>
      <c r="PDK507" s="256"/>
      <c r="PDL507" s="325"/>
      <c r="PDM507" s="311"/>
      <c r="PDN507" s="325"/>
      <c r="PDO507" s="310"/>
      <c r="PDP507" s="325"/>
      <c r="PDQ507" s="325"/>
      <c r="PDR507" s="325"/>
      <c r="PDS507" s="325"/>
      <c r="PDT507" s="325"/>
      <c r="PDU507" s="325"/>
      <c r="PDV507" s="325"/>
      <c r="PDW507" s="325"/>
      <c r="PDX507" s="325"/>
      <c r="PDY507" s="325"/>
      <c r="PDZ507" s="325"/>
      <c r="PEA507" s="325"/>
      <c r="PEB507" s="325"/>
      <c r="PEC507" s="325"/>
      <c r="PED507" s="325"/>
      <c r="PEE507" s="325"/>
      <c r="PEF507" s="325"/>
      <c r="PEG507" s="325"/>
      <c r="PEH507" s="325"/>
      <c r="PEI507" s="325"/>
      <c r="PEJ507" s="325"/>
      <c r="PEK507" s="325"/>
      <c r="PEL507" s="325"/>
      <c r="PEM507" s="325"/>
      <c r="PEN507" s="325"/>
      <c r="PEO507" s="325"/>
      <c r="PEP507" s="325"/>
      <c r="PEQ507" s="325"/>
      <c r="PER507" s="325"/>
      <c r="PES507" s="325"/>
      <c r="PET507" s="327"/>
      <c r="PEU507" s="28"/>
      <c r="PEV507" s="324"/>
      <c r="PEW507" s="324"/>
      <c r="PEX507" s="324"/>
      <c r="PEY507" s="324"/>
      <c r="PEZ507" s="324"/>
      <c r="PFA507" s="324"/>
      <c r="PFB507" s="256"/>
      <c r="PFC507" s="325"/>
      <c r="PFD507" s="311"/>
      <c r="PFE507" s="325"/>
      <c r="PFF507" s="310"/>
      <c r="PFG507" s="325"/>
      <c r="PFH507" s="325"/>
      <c r="PFI507" s="325"/>
      <c r="PFJ507" s="325"/>
      <c r="PFK507" s="325"/>
      <c r="PFL507" s="325"/>
      <c r="PFM507" s="325"/>
      <c r="PFN507" s="325"/>
      <c r="PFO507" s="325"/>
      <c r="PFP507" s="325"/>
      <c r="PFQ507" s="325"/>
      <c r="PFR507" s="325"/>
      <c r="PFS507" s="325"/>
      <c r="PFT507" s="325"/>
      <c r="PFU507" s="325"/>
      <c r="PFV507" s="325"/>
      <c r="PFW507" s="325"/>
      <c r="PFX507" s="325"/>
      <c r="PFY507" s="325"/>
      <c r="PFZ507" s="325"/>
      <c r="PGA507" s="325"/>
      <c r="PGB507" s="325"/>
      <c r="PGC507" s="325"/>
      <c r="PGD507" s="325"/>
      <c r="PGE507" s="325"/>
      <c r="PGF507" s="325"/>
      <c r="PGG507" s="325"/>
      <c r="PGH507" s="325"/>
      <c r="PGI507" s="325"/>
      <c r="PGJ507" s="325"/>
      <c r="PGK507" s="327"/>
      <c r="PGL507" s="28"/>
      <c r="PGM507" s="324"/>
      <c r="PGN507" s="324"/>
      <c r="PGO507" s="324"/>
      <c r="PGP507" s="324"/>
      <c r="PGQ507" s="324"/>
      <c r="PGR507" s="324"/>
      <c r="PGS507" s="256"/>
      <c r="PGT507" s="325"/>
      <c r="PGU507" s="311"/>
      <c r="PGV507" s="325"/>
      <c r="PGW507" s="310"/>
      <c r="PGX507" s="325"/>
      <c r="PGY507" s="325"/>
      <c r="PGZ507" s="325"/>
      <c r="PHA507" s="325"/>
      <c r="PHB507" s="325"/>
      <c r="PHC507" s="325"/>
      <c r="PHD507" s="325"/>
      <c r="PHE507" s="325"/>
      <c r="PHF507" s="325"/>
      <c r="PHG507" s="325"/>
      <c r="PHH507" s="325"/>
      <c r="PHI507" s="325"/>
      <c r="PHJ507" s="325"/>
      <c r="PHK507" s="325"/>
      <c r="PHL507" s="325"/>
      <c r="PHM507" s="325"/>
      <c r="PHN507" s="325"/>
      <c r="PHO507" s="325"/>
      <c r="PHP507" s="325"/>
      <c r="PHQ507" s="325"/>
      <c r="PHR507" s="325"/>
      <c r="PHS507" s="325"/>
      <c r="PHT507" s="325"/>
      <c r="PHU507" s="325"/>
      <c r="PHV507" s="325"/>
      <c r="PHW507" s="325"/>
      <c r="PHX507" s="325"/>
      <c r="PHY507" s="325"/>
      <c r="PHZ507" s="325"/>
      <c r="PIA507" s="325"/>
      <c r="PIB507" s="327"/>
      <c r="PIC507" s="28"/>
      <c r="PID507" s="324"/>
      <c r="PIE507" s="324"/>
      <c r="PIF507" s="324"/>
      <c r="PIG507" s="324"/>
      <c r="PIH507" s="324"/>
      <c r="PII507" s="324"/>
      <c r="PIJ507" s="256"/>
      <c r="PIK507" s="325"/>
      <c r="PIL507" s="311"/>
      <c r="PIM507" s="325"/>
      <c r="PIN507" s="310"/>
      <c r="PIO507" s="325"/>
      <c r="PIP507" s="325"/>
      <c r="PIQ507" s="325"/>
      <c r="PIR507" s="325"/>
      <c r="PIS507" s="325"/>
      <c r="PIT507" s="325"/>
      <c r="PIU507" s="325"/>
      <c r="PIV507" s="325"/>
      <c r="PIW507" s="325"/>
      <c r="PIX507" s="325"/>
      <c r="PIY507" s="325"/>
      <c r="PIZ507" s="325"/>
      <c r="PJA507" s="325"/>
      <c r="PJB507" s="325"/>
      <c r="PJC507" s="325"/>
      <c r="PJD507" s="325"/>
      <c r="PJE507" s="325"/>
      <c r="PJF507" s="325"/>
      <c r="PJG507" s="325"/>
      <c r="PJH507" s="325"/>
      <c r="PJI507" s="325"/>
      <c r="PJJ507" s="325"/>
      <c r="PJK507" s="325"/>
      <c r="PJL507" s="325"/>
      <c r="PJM507" s="325"/>
      <c r="PJN507" s="325"/>
      <c r="PJO507" s="325"/>
      <c r="PJP507" s="325"/>
      <c r="PJQ507" s="325"/>
      <c r="PJR507" s="325"/>
      <c r="PJS507" s="327"/>
      <c r="PJT507" s="28"/>
      <c r="PJU507" s="324"/>
      <c r="PJV507" s="324"/>
      <c r="PJW507" s="324"/>
      <c r="PJX507" s="324"/>
      <c r="PJY507" s="324"/>
      <c r="PJZ507" s="324"/>
      <c r="PKA507" s="256"/>
      <c r="PKB507" s="325"/>
      <c r="PKC507" s="311"/>
      <c r="PKD507" s="325"/>
      <c r="PKE507" s="310"/>
      <c r="PKF507" s="325"/>
      <c r="PKG507" s="325"/>
      <c r="PKH507" s="325"/>
      <c r="PKI507" s="325"/>
      <c r="PKJ507" s="325"/>
      <c r="PKK507" s="325"/>
      <c r="PKL507" s="325"/>
      <c r="PKM507" s="325"/>
      <c r="PKN507" s="325"/>
      <c r="PKO507" s="325"/>
      <c r="PKP507" s="325"/>
      <c r="PKQ507" s="325"/>
      <c r="PKR507" s="325"/>
      <c r="PKS507" s="325"/>
      <c r="PKT507" s="325"/>
      <c r="PKU507" s="325"/>
      <c r="PKV507" s="325"/>
      <c r="PKW507" s="325"/>
      <c r="PKX507" s="325"/>
      <c r="PKY507" s="325"/>
      <c r="PKZ507" s="325"/>
      <c r="PLA507" s="325"/>
      <c r="PLB507" s="325"/>
      <c r="PLC507" s="325"/>
      <c r="PLD507" s="325"/>
      <c r="PLE507" s="325"/>
      <c r="PLF507" s="325"/>
      <c r="PLG507" s="325"/>
      <c r="PLH507" s="325"/>
      <c r="PLI507" s="325"/>
      <c r="PLJ507" s="327"/>
      <c r="PLK507" s="28"/>
      <c r="PLL507" s="324"/>
      <c r="PLM507" s="324"/>
      <c r="PLN507" s="324"/>
      <c r="PLO507" s="324"/>
      <c r="PLP507" s="324"/>
      <c r="PLQ507" s="324"/>
      <c r="PLR507" s="256"/>
      <c r="PLS507" s="325"/>
      <c r="PLT507" s="311"/>
      <c r="PLU507" s="325"/>
      <c r="PLV507" s="310"/>
      <c r="PLW507" s="325"/>
      <c r="PLX507" s="325"/>
      <c r="PLY507" s="325"/>
      <c r="PLZ507" s="325"/>
      <c r="PMA507" s="325"/>
      <c r="PMB507" s="325"/>
      <c r="PMC507" s="325"/>
      <c r="PMD507" s="325"/>
      <c r="PME507" s="325"/>
      <c r="PMF507" s="325"/>
      <c r="PMG507" s="325"/>
      <c r="PMH507" s="325"/>
      <c r="PMI507" s="325"/>
      <c r="PMJ507" s="325"/>
      <c r="PMK507" s="325"/>
      <c r="PML507" s="325"/>
      <c r="PMM507" s="325"/>
      <c r="PMN507" s="325"/>
      <c r="PMO507" s="325"/>
      <c r="PMP507" s="325"/>
      <c r="PMQ507" s="325"/>
      <c r="PMR507" s="325"/>
      <c r="PMS507" s="325"/>
      <c r="PMT507" s="325"/>
      <c r="PMU507" s="325"/>
      <c r="PMV507" s="325"/>
      <c r="PMW507" s="325"/>
      <c r="PMX507" s="325"/>
      <c r="PMY507" s="325"/>
      <c r="PMZ507" s="325"/>
      <c r="PNA507" s="327"/>
      <c r="PNB507" s="28"/>
      <c r="PNC507" s="324"/>
      <c r="PND507" s="324"/>
      <c r="PNE507" s="324"/>
      <c r="PNF507" s="324"/>
      <c r="PNG507" s="324"/>
      <c r="PNH507" s="324"/>
      <c r="PNI507" s="256"/>
      <c r="PNJ507" s="325"/>
      <c r="PNK507" s="311"/>
      <c r="PNL507" s="325"/>
      <c r="PNM507" s="310"/>
      <c r="PNN507" s="325"/>
      <c r="PNO507" s="325"/>
      <c r="PNP507" s="325"/>
      <c r="PNQ507" s="325"/>
      <c r="PNR507" s="325"/>
      <c r="PNS507" s="325"/>
      <c r="PNT507" s="325"/>
      <c r="PNU507" s="325"/>
      <c r="PNV507" s="325"/>
      <c r="PNW507" s="325"/>
      <c r="PNX507" s="325"/>
      <c r="PNY507" s="325"/>
      <c r="PNZ507" s="325"/>
      <c r="POA507" s="325"/>
      <c r="POB507" s="325"/>
      <c r="POC507" s="325"/>
      <c r="POD507" s="325"/>
      <c r="POE507" s="325"/>
      <c r="POF507" s="325"/>
      <c r="POG507" s="325"/>
      <c r="POH507" s="325"/>
      <c r="POI507" s="325"/>
      <c r="POJ507" s="325"/>
      <c r="POK507" s="325"/>
      <c r="POL507" s="325"/>
      <c r="POM507" s="325"/>
      <c r="PON507" s="325"/>
      <c r="POO507" s="325"/>
      <c r="POP507" s="325"/>
      <c r="POQ507" s="325"/>
      <c r="POR507" s="327"/>
      <c r="POS507" s="28"/>
      <c r="POT507" s="324"/>
      <c r="POU507" s="324"/>
      <c r="POV507" s="324"/>
      <c r="POW507" s="324"/>
      <c r="POX507" s="324"/>
      <c r="POY507" s="324"/>
      <c r="POZ507" s="256"/>
      <c r="PPA507" s="325"/>
      <c r="PPB507" s="311"/>
      <c r="PPC507" s="325"/>
      <c r="PPD507" s="310"/>
      <c r="PPE507" s="325"/>
      <c r="PPF507" s="325"/>
      <c r="PPG507" s="325"/>
      <c r="PPH507" s="325"/>
      <c r="PPI507" s="325"/>
      <c r="PPJ507" s="325"/>
      <c r="PPK507" s="325"/>
      <c r="PPL507" s="325"/>
      <c r="PPM507" s="325"/>
      <c r="PPN507" s="325"/>
      <c r="PPO507" s="325"/>
      <c r="PPP507" s="325"/>
      <c r="PPQ507" s="325"/>
      <c r="PPR507" s="325"/>
      <c r="PPS507" s="325"/>
      <c r="PPT507" s="325"/>
      <c r="PPU507" s="325"/>
      <c r="PPV507" s="325"/>
      <c r="PPW507" s="325"/>
      <c r="PPX507" s="325"/>
      <c r="PPY507" s="325"/>
      <c r="PPZ507" s="325"/>
      <c r="PQA507" s="325"/>
      <c r="PQB507" s="325"/>
      <c r="PQC507" s="325"/>
      <c r="PQD507" s="325"/>
      <c r="PQE507" s="325"/>
      <c r="PQF507" s="325"/>
      <c r="PQG507" s="325"/>
      <c r="PQH507" s="325"/>
      <c r="PQI507" s="327"/>
      <c r="PQJ507" s="28"/>
      <c r="PQK507" s="324"/>
      <c r="PQL507" s="324"/>
      <c r="PQM507" s="324"/>
      <c r="PQN507" s="324"/>
      <c r="PQO507" s="324"/>
      <c r="PQP507" s="324"/>
      <c r="PQQ507" s="256"/>
      <c r="PQR507" s="325"/>
      <c r="PQS507" s="311"/>
      <c r="PQT507" s="325"/>
      <c r="PQU507" s="310"/>
      <c r="PQV507" s="325"/>
      <c r="PQW507" s="325"/>
      <c r="PQX507" s="325"/>
      <c r="PQY507" s="325"/>
      <c r="PQZ507" s="325"/>
      <c r="PRA507" s="325"/>
      <c r="PRB507" s="325"/>
      <c r="PRC507" s="325"/>
      <c r="PRD507" s="325"/>
      <c r="PRE507" s="325"/>
      <c r="PRF507" s="325"/>
      <c r="PRG507" s="325"/>
      <c r="PRH507" s="325"/>
      <c r="PRI507" s="325"/>
      <c r="PRJ507" s="325"/>
      <c r="PRK507" s="325"/>
      <c r="PRL507" s="325"/>
      <c r="PRM507" s="325"/>
      <c r="PRN507" s="325"/>
      <c r="PRO507" s="325"/>
      <c r="PRP507" s="325"/>
      <c r="PRQ507" s="325"/>
      <c r="PRR507" s="325"/>
      <c r="PRS507" s="325"/>
      <c r="PRT507" s="325"/>
      <c r="PRU507" s="325"/>
      <c r="PRV507" s="325"/>
      <c r="PRW507" s="325"/>
      <c r="PRX507" s="325"/>
      <c r="PRY507" s="325"/>
      <c r="PRZ507" s="327"/>
      <c r="PSA507" s="28"/>
      <c r="PSB507" s="324"/>
      <c r="PSC507" s="324"/>
      <c r="PSD507" s="324"/>
      <c r="PSE507" s="324"/>
      <c r="PSF507" s="324"/>
      <c r="PSG507" s="324"/>
      <c r="PSH507" s="256"/>
      <c r="PSI507" s="325"/>
      <c r="PSJ507" s="311"/>
      <c r="PSK507" s="325"/>
      <c r="PSL507" s="310"/>
      <c r="PSM507" s="325"/>
      <c r="PSN507" s="325"/>
      <c r="PSO507" s="325"/>
      <c r="PSP507" s="325"/>
      <c r="PSQ507" s="325"/>
      <c r="PSR507" s="325"/>
      <c r="PSS507" s="325"/>
      <c r="PST507" s="325"/>
      <c r="PSU507" s="325"/>
      <c r="PSV507" s="325"/>
      <c r="PSW507" s="325"/>
      <c r="PSX507" s="325"/>
      <c r="PSY507" s="325"/>
      <c r="PSZ507" s="325"/>
      <c r="PTA507" s="325"/>
      <c r="PTB507" s="325"/>
      <c r="PTC507" s="325"/>
      <c r="PTD507" s="325"/>
      <c r="PTE507" s="325"/>
      <c r="PTF507" s="325"/>
      <c r="PTG507" s="325"/>
      <c r="PTH507" s="325"/>
      <c r="PTI507" s="325"/>
      <c r="PTJ507" s="325"/>
      <c r="PTK507" s="325"/>
      <c r="PTL507" s="325"/>
      <c r="PTM507" s="325"/>
      <c r="PTN507" s="325"/>
      <c r="PTO507" s="325"/>
      <c r="PTP507" s="325"/>
      <c r="PTQ507" s="327"/>
      <c r="PTR507" s="28"/>
      <c r="PTS507" s="324"/>
      <c r="PTT507" s="324"/>
      <c r="PTU507" s="324"/>
      <c r="PTV507" s="324"/>
      <c r="PTW507" s="324"/>
      <c r="PTX507" s="324"/>
      <c r="PTY507" s="256"/>
      <c r="PTZ507" s="325"/>
      <c r="PUA507" s="311"/>
      <c r="PUB507" s="325"/>
      <c r="PUC507" s="310"/>
      <c r="PUD507" s="325"/>
      <c r="PUE507" s="325"/>
      <c r="PUF507" s="325"/>
      <c r="PUG507" s="325"/>
      <c r="PUH507" s="325"/>
      <c r="PUI507" s="325"/>
      <c r="PUJ507" s="325"/>
      <c r="PUK507" s="325"/>
      <c r="PUL507" s="325"/>
      <c r="PUM507" s="325"/>
      <c r="PUN507" s="325"/>
      <c r="PUO507" s="325"/>
      <c r="PUP507" s="325"/>
      <c r="PUQ507" s="325"/>
      <c r="PUR507" s="325"/>
      <c r="PUS507" s="325"/>
      <c r="PUT507" s="325"/>
      <c r="PUU507" s="325"/>
      <c r="PUV507" s="325"/>
      <c r="PUW507" s="325"/>
      <c r="PUX507" s="325"/>
      <c r="PUY507" s="325"/>
      <c r="PUZ507" s="325"/>
      <c r="PVA507" s="325"/>
      <c r="PVB507" s="325"/>
      <c r="PVC507" s="325"/>
      <c r="PVD507" s="325"/>
      <c r="PVE507" s="325"/>
      <c r="PVF507" s="325"/>
      <c r="PVG507" s="325"/>
      <c r="PVH507" s="327"/>
      <c r="PVI507" s="28"/>
      <c r="PVJ507" s="324"/>
      <c r="PVK507" s="324"/>
      <c r="PVL507" s="324"/>
      <c r="PVM507" s="324"/>
      <c r="PVN507" s="324"/>
      <c r="PVO507" s="324"/>
      <c r="PVP507" s="256"/>
      <c r="PVQ507" s="325"/>
      <c r="PVR507" s="311"/>
      <c r="PVS507" s="325"/>
      <c r="PVT507" s="310"/>
      <c r="PVU507" s="325"/>
      <c r="PVV507" s="325"/>
      <c r="PVW507" s="325"/>
      <c r="PVX507" s="325"/>
      <c r="PVY507" s="325"/>
      <c r="PVZ507" s="325"/>
      <c r="PWA507" s="325"/>
      <c r="PWB507" s="325"/>
      <c r="PWC507" s="325"/>
      <c r="PWD507" s="325"/>
      <c r="PWE507" s="325"/>
      <c r="PWF507" s="325"/>
      <c r="PWG507" s="325"/>
      <c r="PWH507" s="325"/>
      <c r="PWI507" s="325"/>
      <c r="PWJ507" s="325"/>
      <c r="PWK507" s="325"/>
      <c r="PWL507" s="325"/>
      <c r="PWM507" s="325"/>
      <c r="PWN507" s="325"/>
      <c r="PWO507" s="325"/>
      <c r="PWP507" s="325"/>
      <c r="PWQ507" s="325"/>
      <c r="PWR507" s="325"/>
      <c r="PWS507" s="325"/>
      <c r="PWT507" s="325"/>
      <c r="PWU507" s="325"/>
      <c r="PWV507" s="325"/>
      <c r="PWW507" s="325"/>
      <c r="PWX507" s="325"/>
      <c r="PWY507" s="327"/>
      <c r="PWZ507" s="28"/>
      <c r="PXA507" s="324"/>
      <c r="PXB507" s="324"/>
      <c r="PXC507" s="324"/>
      <c r="PXD507" s="324"/>
      <c r="PXE507" s="324"/>
      <c r="PXF507" s="324"/>
      <c r="PXG507" s="256"/>
      <c r="PXH507" s="325"/>
      <c r="PXI507" s="311"/>
      <c r="PXJ507" s="325"/>
      <c r="PXK507" s="310"/>
      <c r="PXL507" s="325"/>
      <c r="PXM507" s="325"/>
      <c r="PXN507" s="325"/>
      <c r="PXO507" s="325"/>
      <c r="PXP507" s="325"/>
      <c r="PXQ507" s="325"/>
      <c r="PXR507" s="325"/>
      <c r="PXS507" s="325"/>
      <c r="PXT507" s="325"/>
      <c r="PXU507" s="325"/>
      <c r="PXV507" s="325"/>
      <c r="PXW507" s="325"/>
      <c r="PXX507" s="325"/>
      <c r="PXY507" s="325"/>
      <c r="PXZ507" s="325"/>
      <c r="PYA507" s="325"/>
      <c r="PYB507" s="325"/>
      <c r="PYC507" s="325"/>
      <c r="PYD507" s="325"/>
      <c r="PYE507" s="325"/>
      <c r="PYF507" s="325"/>
      <c r="PYG507" s="325"/>
      <c r="PYH507" s="325"/>
      <c r="PYI507" s="325"/>
      <c r="PYJ507" s="325"/>
      <c r="PYK507" s="325"/>
      <c r="PYL507" s="325"/>
      <c r="PYM507" s="325"/>
      <c r="PYN507" s="325"/>
      <c r="PYO507" s="325"/>
      <c r="PYP507" s="327"/>
      <c r="PYQ507" s="28"/>
      <c r="PYR507" s="324"/>
      <c r="PYS507" s="324"/>
      <c r="PYT507" s="324"/>
      <c r="PYU507" s="324"/>
      <c r="PYV507" s="324"/>
      <c r="PYW507" s="324"/>
      <c r="PYX507" s="256"/>
      <c r="PYY507" s="325"/>
      <c r="PYZ507" s="311"/>
      <c r="PZA507" s="325"/>
      <c r="PZB507" s="310"/>
      <c r="PZC507" s="325"/>
      <c r="PZD507" s="325"/>
      <c r="PZE507" s="325"/>
      <c r="PZF507" s="325"/>
      <c r="PZG507" s="325"/>
      <c r="PZH507" s="325"/>
      <c r="PZI507" s="325"/>
      <c r="PZJ507" s="325"/>
      <c r="PZK507" s="325"/>
      <c r="PZL507" s="325"/>
      <c r="PZM507" s="325"/>
      <c r="PZN507" s="325"/>
      <c r="PZO507" s="325"/>
      <c r="PZP507" s="325"/>
      <c r="PZQ507" s="325"/>
      <c r="PZR507" s="325"/>
      <c r="PZS507" s="325"/>
      <c r="PZT507" s="325"/>
      <c r="PZU507" s="325"/>
      <c r="PZV507" s="325"/>
      <c r="PZW507" s="325"/>
      <c r="PZX507" s="325"/>
      <c r="PZY507" s="325"/>
      <c r="PZZ507" s="325"/>
      <c r="QAA507" s="325"/>
      <c r="QAB507" s="325"/>
      <c r="QAC507" s="325"/>
      <c r="QAD507" s="325"/>
      <c r="QAE507" s="325"/>
      <c r="QAF507" s="325"/>
      <c r="QAG507" s="327"/>
      <c r="QAH507" s="28"/>
      <c r="QAI507" s="324"/>
      <c r="QAJ507" s="324"/>
      <c r="QAK507" s="324"/>
      <c r="QAL507" s="324"/>
      <c r="QAM507" s="324"/>
      <c r="QAN507" s="324"/>
      <c r="QAO507" s="256"/>
      <c r="QAP507" s="325"/>
      <c r="QAQ507" s="311"/>
      <c r="QAR507" s="325"/>
      <c r="QAS507" s="310"/>
      <c r="QAT507" s="325"/>
      <c r="QAU507" s="325"/>
      <c r="QAV507" s="325"/>
      <c r="QAW507" s="325"/>
      <c r="QAX507" s="325"/>
      <c r="QAY507" s="325"/>
      <c r="QAZ507" s="325"/>
      <c r="QBA507" s="325"/>
      <c r="QBB507" s="325"/>
      <c r="QBC507" s="325"/>
      <c r="QBD507" s="325"/>
      <c r="QBE507" s="325"/>
      <c r="QBF507" s="325"/>
      <c r="QBG507" s="325"/>
      <c r="QBH507" s="325"/>
      <c r="QBI507" s="325"/>
      <c r="QBJ507" s="325"/>
      <c r="QBK507" s="325"/>
      <c r="QBL507" s="325"/>
      <c r="QBM507" s="325"/>
      <c r="QBN507" s="325"/>
      <c r="QBO507" s="325"/>
      <c r="QBP507" s="325"/>
      <c r="QBQ507" s="325"/>
      <c r="QBR507" s="325"/>
      <c r="QBS507" s="325"/>
      <c r="QBT507" s="325"/>
      <c r="QBU507" s="325"/>
      <c r="QBV507" s="325"/>
      <c r="QBW507" s="325"/>
      <c r="QBX507" s="327"/>
      <c r="QBY507" s="28"/>
      <c r="QBZ507" s="324"/>
      <c r="QCA507" s="324"/>
      <c r="QCB507" s="324"/>
      <c r="QCC507" s="324"/>
      <c r="QCD507" s="324"/>
      <c r="QCE507" s="324"/>
      <c r="QCF507" s="256"/>
      <c r="QCG507" s="325"/>
      <c r="QCH507" s="311"/>
      <c r="QCI507" s="325"/>
      <c r="QCJ507" s="310"/>
      <c r="QCK507" s="325"/>
      <c r="QCL507" s="325"/>
      <c r="QCM507" s="325"/>
      <c r="QCN507" s="325"/>
      <c r="QCO507" s="325"/>
      <c r="QCP507" s="325"/>
      <c r="QCQ507" s="325"/>
      <c r="QCR507" s="325"/>
      <c r="QCS507" s="325"/>
      <c r="QCT507" s="325"/>
      <c r="QCU507" s="325"/>
      <c r="QCV507" s="325"/>
      <c r="QCW507" s="325"/>
      <c r="QCX507" s="325"/>
      <c r="QCY507" s="325"/>
      <c r="QCZ507" s="325"/>
      <c r="QDA507" s="325"/>
      <c r="QDB507" s="325"/>
      <c r="QDC507" s="325"/>
      <c r="QDD507" s="325"/>
      <c r="QDE507" s="325"/>
      <c r="QDF507" s="325"/>
      <c r="QDG507" s="325"/>
      <c r="QDH507" s="325"/>
      <c r="QDI507" s="325"/>
      <c r="QDJ507" s="325"/>
      <c r="QDK507" s="325"/>
      <c r="QDL507" s="325"/>
      <c r="QDM507" s="325"/>
      <c r="QDN507" s="325"/>
      <c r="QDO507" s="327"/>
      <c r="QDP507" s="28"/>
      <c r="QDQ507" s="324"/>
      <c r="QDR507" s="324"/>
      <c r="QDS507" s="324"/>
      <c r="QDT507" s="324"/>
      <c r="QDU507" s="324"/>
      <c r="QDV507" s="324"/>
      <c r="QDW507" s="256"/>
      <c r="QDX507" s="325"/>
      <c r="QDY507" s="311"/>
      <c r="QDZ507" s="325"/>
      <c r="QEA507" s="310"/>
      <c r="QEB507" s="325"/>
      <c r="QEC507" s="325"/>
      <c r="QED507" s="325"/>
      <c r="QEE507" s="325"/>
      <c r="QEF507" s="325"/>
      <c r="QEG507" s="325"/>
      <c r="QEH507" s="325"/>
      <c r="QEI507" s="325"/>
      <c r="QEJ507" s="325"/>
      <c r="QEK507" s="325"/>
      <c r="QEL507" s="325"/>
      <c r="QEM507" s="325"/>
      <c r="QEN507" s="325"/>
      <c r="QEO507" s="325"/>
      <c r="QEP507" s="325"/>
      <c r="QEQ507" s="325"/>
      <c r="QER507" s="325"/>
      <c r="QES507" s="325"/>
      <c r="QET507" s="325"/>
      <c r="QEU507" s="325"/>
      <c r="QEV507" s="325"/>
      <c r="QEW507" s="325"/>
      <c r="QEX507" s="325"/>
      <c r="QEY507" s="325"/>
      <c r="QEZ507" s="325"/>
      <c r="QFA507" s="325"/>
      <c r="QFB507" s="325"/>
      <c r="QFC507" s="325"/>
      <c r="QFD507" s="325"/>
      <c r="QFE507" s="325"/>
      <c r="QFF507" s="327"/>
      <c r="QFG507" s="28"/>
      <c r="QFH507" s="324"/>
      <c r="QFI507" s="324"/>
      <c r="QFJ507" s="324"/>
      <c r="QFK507" s="324"/>
      <c r="QFL507" s="324"/>
      <c r="QFM507" s="324"/>
      <c r="QFN507" s="256"/>
      <c r="QFO507" s="325"/>
      <c r="QFP507" s="311"/>
      <c r="QFQ507" s="325"/>
      <c r="QFR507" s="310"/>
      <c r="QFS507" s="325"/>
      <c r="QFT507" s="325"/>
      <c r="QFU507" s="325"/>
      <c r="QFV507" s="325"/>
      <c r="QFW507" s="325"/>
      <c r="QFX507" s="325"/>
      <c r="QFY507" s="325"/>
      <c r="QFZ507" s="325"/>
      <c r="QGA507" s="325"/>
      <c r="QGB507" s="325"/>
      <c r="QGC507" s="325"/>
      <c r="QGD507" s="325"/>
      <c r="QGE507" s="325"/>
      <c r="QGF507" s="325"/>
      <c r="QGG507" s="325"/>
      <c r="QGH507" s="325"/>
      <c r="QGI507" s="325"/>
      <c r="QGJ507" s="325"/>
      <c r="QGK507" s="325"/>
      <c r="QGL507" s="325"/>
      <c r="QGM507" s="325"/>
      <c r="QGN507" s="325"/>
      <c r="QGO507" s="325"/>
      <c r="QGP507" s="325"/>
      <c r="QGQ507" s="325"/>
      <c r="QGR507" s="325"/>
      <c r="QGS507" s="325"/>
      <c r="QGT507" s="325"/>
      <c r="QGU507" s="325"/>
      <c r="QGV507" s="325"/>
      <c r="QGW507" s="327"/>
      <c r="QGX507" s="28"/>
      <c r="QGY507" s="324"/>
      <c r="QGZ507" s="324"/>
      <c r="QHA507" s="324"/>
      <c r="QHB507" s="324"/>
      <c r="QHC507" s="324"/>
      <c r="QHD507" s="324"/>
      <c r="QHE507" s="256"/>
      <c r="QHF507" s="325"/>
      <c r="QHG507" s="311"/>
      <c r="QHH507" s="325"/>
      <c r="QHI507" s="310"/>
      <c r="QHJ507" s="325"/>
      <c r="QHK507" s="325"/>
      <c r="QHL507" s="325"/>
      <c r="QHM507" s="325"/>
      <c r="QHN507" s="325"/>
      <c r="QHO507" s="325"/>
      <c r="QHP507" s="325"/>
      <c r="QHQ507" s="325"/>
      <c r="QHR507" s="325"/>
      <c r="QHS507" s="325"/>
      <c r="QHT507" s="325"/>
      <c r="QHU507" s="325"/>
      <c r="QHV507" s="325"/>
      <c r="QHW507" s="325"/>
      <c r="QHX507" s="325"/>
      <c r="QHY507" s="325"/>
      <c r="QHZ507" s="325"/>
      <c r="QIA507" s="325"/>
      <c r="QIB507" s="325"/>
      <c r="QIC507" s="325"/>
      <c r="QID507" s="325"/>
      <c r="QIE507" s="325"/>
      <c r="QIF507" s="325"/>
      <c r="QIG507" s="325"/>
      <c r="QIH507" s="325"/>
      <c r="QII507" s="325"/>
      <c r="QIJ507" s="325"/>
      <c r="QIK507" s="325"/>
      <c r="QIL507" s="325"/>
      <c r="QIM507" s="325"/>
      <c r="QIN507" s="327"/>
      <c r="QIO507" s="28"/>
      <c r="QIP507" s="324"/>
      <c r="QIQ507" s="324"/>
      <c r="QIR507" s="324"/>
      <c r="QIS507" s="324"/>
      <c r="QIT507" s="324"/>
      <c r="QIU507" s="324"/>
      <c r="QIV507" s="256"/>
      <c r="QIW507" s="325"/>
      <c r="QIX507" s="311"/>
      <c r="QIY507" s="325"/>
      <c r="QIZ507" s="310"/>
      <c r="QJA507" s="325"/>
      <c r="QJB507" s="325"/>
      <c r="QJC507" s="325"/>
      <c r="QJD507" s="325"/>
      <c r="QJE507" s="325"/>
      <c r="QJF507" s="325"/>
      <c r="QJG507" s="325"/>
      <c r="QJH507" s="325"/>
      <c r="QJI507" s="325"/>
      <c r="QJJ507" s="325"/>
      <c r="QJK507" s="325"/>
      <c r="QJL507" s="325"/>
      <c r="QJM507" s="325"/>
      <c r="QJN507" s="325"/>
      <c r="QJO507" s="325"/>
      <c r="QJP507" s="325"/>
      <c r="QJQ507" s="325"/>
      <c r="QJR507" s="325"/>
      <c r="QJS507" s="325"/>
      <c r="QJT507" s="325"/>
      <c r="QJU507" s="325"/>
      <c r="QJV507" s="325"/>
      <c r="QJW507" s="325"/>
      <c r="QJX507" s="325"/>
      <c r="QJY507" s="325"/>
      <c r="QJZ507" s="325"/>
      <c r="QKA507" s="325"/>
      <c r="QKB507" s="325"/>
      <c r="QKC507" s="325"/>
      <c r="QKD507" s="325"/>
      <c r="QKE507" s="327"/>
      <c r="QKF507" s="28"/>
      <c r="QKG507" s="324"/>
      <c r="QKH507" s="324"/>
      <c r="QKI507" s="324"/>
      <c r="QKJ507" s="324"/>
      <c r="QKK507" s="324"/>
      <c r="QKL507" s="324"/>
      <c r="QKM507" s="256"/>
      <c r="QKN507" s="325"/>
      <c r="QKO507" s="311"/>
      <c r="QKP507" s="325"/>
      <c r="QKQ507" s="310"/>
      <c r="QKR507" s="325"/>
      <c r="QKS507" s="325"/>
      <c r="QKT507" s="325"/>
      <c r="QKU507" s="325"/>
      <c r="QKV507" s="325"/>
      <c r="QKW507" s="325"/>
      <c r="QKX507" s="325"/>
      <c r="QKY507" s="325"/>
      <c r="QKZ507" s="325"/>
      <c r="QLA507" s="325"/>
      <c r="QLB507" s="325"/>
      <c r="QLC507" s="325"/>
      <c r="QLD507" s="325"/>
      <c r="QLE507" s="325"/>
      <c r="QLF507" s="325"/>
      <c r="QLG507" s="325"/>
      <c r="QLH507" s="325"/>
      <c r="QLI507" s="325"/>
      <c r="QLJ507" s="325"/>
      <c r="QLK507" s="325"/>
      <c r="QLL507" s="325"/>
      <c r="QLM507" s="325"/>
      <c r="QLN507" s="325"/>
      <c r="QLO507" s="325"/>
      <c r="QLP507" s="325"/>
      <c r="QLQ507" s="325"/>
      <c r="QLR507" s="325"/>
      <c r="QLS507" s="325"/>
      <c r="QLT507" s="325"/>
      <c r="QLU507" s="325"/>
      <c r="QLV507" s="327"/>
      <c r="QLW507" s="28"/>
      <c r="QLX507" s="324"/>
      <c r="QLY507" s="324"/>
      <c r="QLZ507" s="324"/>
      <c r="QMA507" s="324"/>
      <c r="QMB507" s="324"/>
      <c r="QMC507" s="324"/>
      <c r="QMD507" s="256"/>
      <c r="QME507" s="325"/>
      <c r="QMF507" s="311"/>
      <c r="QMG507" s="325"/>
      <c r="QMH507" s="310"/>
      <c r="QMI507" s="325"/>
      <c r="QMJ507" s="325"/>
      <c r="QMK507" s="325"/>
      <c r="QML507" s="325"/>
      <c r="QMM507" s="325"/>
      <c r="QMN507" s="325"/>
      <c r="QMO507" s="325"/>
      <c r="QMP507" s="325"/>
      <c r="QMQ507" s="325"/>
      <c r="QMR507" s="325"/>
      <c r="QMS507" s="325"/>
      <c r="QMT507" s="325"/>
      <c r="QMU507" s="325"/>
      <c r="QMV507" s="325"/>
      <c r="QMW507" s="325"/>
      <c r="QMX507" s="325"/>
      <c r="QMY507" s="325"/>
      <c r="QMZ507" s="325"/>
      <c r="QNA507" s="325"/>
      <c r="QNB507" s="325"/>
      <c r="QNC507" s="325"/>
      <c r="QND507" s="325"/>
      <c r="QNE507" s="325"/>
      <c r="QNF507" s="325"/>
      <c r="QNG507" s="325"/>
      <c r="QNH507" s="325"/>
      <c r="QNI507" s="325"/>
      <c r="QNJ507" s="325"/>
      <c r="QNK507" s="325"/>
      <c r="QNL507" s="325"/>
      <c r="QNM507" s="327"/>
      <c r="QNN507" s="28"/>
      <c r="QNO507" s="324"/>
      <c r="QNP507" s="324"/>
      <c r="QNQ507" s="324"/>
      <c r="QNR507" s="324"/>
      <c r="QNS507" s="324"/>
      <c r="QNT507" s="324"/>
      <c r="QNU507" s="256"/>
      <c r="QNV507" s="325"/>
      <c r="QNW507" s="311"/>
      <c r="QNX507" s="325"/>
      <c r="QNY507" s="310"/>
      <c r="QNZ507" s="325"/>
      <c r="QOA507" s="325"/>
      <c r="QOB507" s="325"/>
      <c r="QOC507" s="325"/>
      <c r="QOD507" s="325"/>
      <c r="QOE507" s="325"/>
      <c r="QOF507" s="325"/>
      <c r="QOG507" s="325"/>
      <c r="QOH507" s="325"/>
      <c r="QOI507" s="325"/>
      <c r="QOJ507" s="325"/>
      <c r="QOK507" s="325"/>
      <c r="QOL507" s="325"/>
      <c r="QOM507" s="325"/>
      <c r="QON507" s="325"/>
      <c r="QOO507" s="325"/>
      <c r="QOP507" s="325"/>
      <c r="QOQ507" s="325"/>
      <c r="QOR507" s="325"/>
      <c r="QOS507" s="325"/>
      <c r="QOT507" s="325"/>
      <c r="QOU507" s="325"/>
      <c r="QOV507" s="325"/>
      <c r="QOW507" s="325"/>
      <c r="QOX507" s="325"/>
      <c r="QOY507" s="325"/>
      <c r="QOZ507" s="325"/>
      <c r="QPA507" s="325"/>
      <c r="QPB507" s="325"/>
      <c r="QPC507" s="325"/>
      <c r="QPD507" s="327"/>
      <c r="QPE507" s="28"/>
      <c r="QPF507" s="324"/>
      <c r="QPG507" s="324"/>
      <c r="QPH507" s="324"/>
      <c r="QPI507" s="324"/>
      <c r="QPJ507" s="324"/>
      <c r="QPK507" s="324"/>
      <c r="QPL507" s="256"/>
      <c r="QPM507" s="325"/>
      <c r="QPN507" s="311"/>
      <c r="QPO507" s="325"/>
      <c r="QPP507" s="310"/>
      <c r="QPQ507" s="325"/>
      <c r="QPR507" s="325"/>
      <c r="QPS507" s="325"/>
      <c r="QPT507" s="325"/>
      <c r="QPU507" s="325"/>
      <c r="QPV507" s="325"/>
      <c r="QPW507" s="325"/>
      <c r="QPX507" s="325"/>
      <c r="QPY507" s="325"/>
      <c r="QPZ507" s="325"/>
      <c r="QQA507" s="325"/>
      <c r="QQB507" s="325"/>
      <c r="QQC507" s="325"/>
      <c r="QQD507" s="325"/>
      <c r="QQE507" s="325"/>
      <c r="QQF507" s="325"/>
      <c r="QQG507" s="325"/>
      <c r="QQH507" s="325"/>
      <c r="QQI507" s="325"/>
      <c r="QQJ507" s="325"/>
      <c r="QQK507" s="325"/>
      <c r="QQL507" s="325"/>
      <c r="QQM507" s="325"/>
      <c r="QQN507" s="325"/>
      <c r="QQO507" s="325"/>
      <c r="QQP507" s="325"/>
      <c r="QQQ507" s="325"/>
      <c r="QQR507" s="325"/>
      <c r="QQS507" s="325"/>
      <c r="QQT507" s="325"/>
      <c r="QQU507" s="327"/>
      <c r="QQV507" s="28"/>
      <c r="QQW507" s="324"/>
      <c r="QQX507" s="324"/>
      <c r="QQY507" s="324"/>
      <c r="QQZ507" s="324"/>
      <c r="QRA507" s="324"/>
      <c r="QRB507" s="324"/>
      <c r="QRC507" s="256"/>
      <c r="QRD507" s="325"/>
      <c r="QRE507" s="311"/>
      <c r="QRF507" s="325"/>
      <c r="QRG507" s="310"/>
      <c r="QRH507" s="325"/>
      <c r="QRI507" s="325"/>
      <c r="QRJ507" s="325"/>
      <c r="QRK507" s="325"/>
      <c r="QRL507" s="325"/>
      <c r="QRM507" s="325"/>
      <c r="QRN507" s="325"/>
      <c r="QRO507" s="325"/>
      <c r="QRP507" s="325"/>
      <c r="QRQ507" s="325"/>
      <c r="QRR507" s="325"/>
      <c r="QRS507" s="325"/>
      <c r="QRT507" s="325"/>
      <c r="QRU507" s="325"/>
      <c r="QRV507" s="325"/>
      <c r="QRW507" s="325"/>
      <c r="QRX507" s="325"/>
      <c r="QRY507" s="325"/>
      <c r="QRZ507" s="325"/>
      <c r="QSA507" s="325"/>
      <c r="QSB507" s="325"/>
      <c r="QSC507" s="325"/>
      <c r="QSD507" s="325"/>
      <c r="QSE507" s="325"/>
      <c r="QSF507" s="325"/>
      <c r="QSG507" s="325"/>
      <c r="QSH507" s="325"/>
      <c r="QSI507" s="325"/>
      <c r="QSJ507" s="325"/>
      <c r="QSK507" s="325"/>
      <c r="QSL507" s="327"/>
      <c r="QSM507" s="28"/>
      <c r="QSN507" s="324"/>
      <c r="QSO507" s="324"/>
      <c r="QSP507" s="324"/>
      <c r="QSQ507" s="324"/>
      <c r="QSR507" s="324"/>
      <c r="QSS507" s="324"/>
      <c r="QST507" s="256"/>
      <c r="QSU507" s="325"/>
      <c r="QSV507" s="311"/>
      <c r="QSW507" s="325"/>
      <c r="QSX507" s="310"/>
      <c r="QSY507" s="325"/>
      <c r="QSZ507" s="325"/>
      <c r="QTA507" s="325"/>
      <c r="QTB507" s="325"/>
      <c r="QTC507" s="325"/>
      <c r="QTD507" s="325"/>
      <c r="QTE507" s="325"/>
      <c r="QTF507" s="325"/>
      <c r="QTG507" s="325"/>
      <c r="QTH507" s="325"/>
      <c r="QTI507" s="325"/>
      <c r="QTJ507" s="325"/>
      <c r="QTK507" s="325"/>
      <c r="QTL507" s="325"/>
      <c r="QTM507" s="325"/>
      <c r="QTN507" s="325"/>
      <c r="QTO507" s="325"/>
      <c r="QTP507" s="325"/>
      <c r="QTQ507" s="325"/>
      <c r="QTR507" s="325"/>
      <c r="QTS507" s="325"/>
      <c r="QTT507" s="325"/>
      <c r="QTU507" s="325"/>
      <c r="QTV507" s="325"/>
      <c r="QTW507" s="325"/>
      <c r="QTX507" s="325"/>
      <c r="QTY507" s="325"/>
      <c r="QTZ507" s="325"/>
      <c r="QUA507" s="325"/>
      <c r="QUB507" s="325"/>
      <c r="QUC507" s="327"/>
      <c r="QUD507" s="28"/>
      <c r="QUE507" s="324"/>
      <c r="QUF507" s="324"/>
      <c r="QUG507" s="324"/>
      <c r="QUH507" s="324"/>
      <c r="QUI507" s="324"/>
      <c r="QUJ507" s="324"/>
      <c r="QUK507" s="256"/>
      <c r="QUL507" s="325"/>
      <c r="QUM507" s="311"/>
      <c r="QUN507" s="325"/>
      <c r="QUO507" s="310"/>
      <c r="QUP507" s="325"/>
      <c r="QUQ507" s="325"/>
      <c r="QUR507" s="325"/>
      <c r="QUS507" s="325"/>
      <c r="QUT507" s="325"/>
      <c r="QUU507" s="325"/>
      <c r="QUV507" s="325"/>
      <c r="QUW507" s="325"/>
      <c r="QUX507" s="325"/>
      <c r="QUY507" s="325"/>
      <c r="QUZ507" s="325"/>
      <c r="QVA507" s="325"/>
      <c r="QVB507" s="325"/>
      <c r="QVC507" s="325"/>
      <c r="QVD507" s="325"/>
      <c r="QVE507" s="325"/>
      <c r="QVF507" s="325"/>
      <c r="QVG507" s="325"/>
      <c r="QVH507" s="325"/>
      <c r="QVI507" s="325"/>
      <c r="QVJ507" s="325"/>
      <c r="QVK507" s="325"/>
      <c r="QVL507" s="325"/>
      <c r="QVM507" s="325"/>
      <c r="QVN507" s="325"/>
      <c r="QVO507" s="325"/>
      <c r="QVP507" s="325"/>
      <c r="QVQ507" s="325"/>
      <c r="QVR507" s="325"/>
      <c r="QVS507" s="325"/>
      <c r="QVT507" s="327"/>
      <c r="QVU507" s="28"/>
      <c r="QVV507" s="324"/>
      <c r="QVW507" s="324"/>
      <c r="QVX507" s="324"/>
      <c r="QVY507" s="324"/>
      <c r="QVZ507" s="324"/>
      <c r="QWA507" s="324"/>
      <c r="QWB507" s="256"/>
      <c r="QWC507" s="325"/>
      <c r="QWD507" s="311"/>
      <c r="QWE507" s="325"/>
      <c r="QWF507" s="310"/>
      <c r="QWG507" s="325"/>
      <c r="QWH507" s="325"/>
      <c r="QWI507" s="325"/>
      <c r="QWJ507" s="325"/>
      <c r="QWK507" s="325"/>
      <c r="QWL507" s="325"/>
      <c r="QWM507" s="325"/>
      <c r="QWN507" s="325"/>
      <c r="QWO507" s="325"/>
      <c r="QWP507" s="325"/>
      <c r="QWQ507" s="325"/>
      <c r="QWR507" s="325"/>
      <c r="QWS507" s="325"/>
      <c r="QWT507" s="325"/>
      <c r="QWU507" s="325"/>
      <c r="QWV507" s="325"/>
      <c r="QWW507" s="325"/>
      <c r="QWX507" s="325"/>
      <c r="QWY507" s="325"/>
      <c r="QWZ507" s="325"/>
      <c r="QXA507" s="325"/>
      <c r="QXB507" s="325"/>
      <c r="QXC507" s="325"/>
      <c r="QXD507" s="325"/>
      <c r="QXE507" s="325"/>
      <c r="QXF507" s="325"/>
      <c r="QXG507" s="325"/>
      <c r="QXH507" s="325"/>
      <c r="QXI507" s="325"/>
      <c r="QXJ507" s="325"/>
      <c r="QXK507" s="327"/>
      <c r="QXL507" s="28"/>
      <c r="QXM507" s="324"/>
      <c r="QXN507" s="324"/>
      <c r="QXO507" s="324"/>
      <c r="QXP507" s="324"/>
      <c r="QXQ507" s="324"/>
      <c r="QXR507" s="324"/>
      <c r="QXS507" s="256"/>
      <c r="QXT507" s="325"/>
      <c r="QXU507" s="311"/>
      <c r="QXV507" s="325"/>
      <c r="QXW507" s="310"/>
      <c r="QXX507" s="325"/>
      <c r="QXY507" s="325"/>
      <c r="QXZ507" s="325"/>
      <c r="QYA507" s="325"/>
      <c r="QYB507" s="325"/>
      <c r="QYC507" s="325"/>
      <c r="QYD507" s="325"/>
      <c r="QYE507" s="325"/>
      <c r="QYF507" s="325"/>
      <c r="QYG507" s="325"/>
      <c r="QYH507" s="325"/>
      <c r="QYI507" s="325"/>
      <c r="QYJ507" s="325"/>
      <c r="QYK507" s="325"/>
      <c r="QYL507" s="325"/>
      <c r="QYM507" s="325"/>
      <c r="QYN507" s="325"/>
      <c r="QYO507" s="325"/>
      <c r="QYP507" s="325"/>
      <c r="QYQ507" s="325"/>
      <c r="QYR507" s="325"/>
      <c r="QYS507" s="325"/>
      <c r="QYT507" s="325"/>
      <c r="QYU507" s="325"/>
      <c r="QYV507" s="325"/>
      <c r="QYW507" s="325"/>
      <c r="QYX507" s="325"/>
      <c r="QYY507" s="325"/>
      <c r="QYZ507" s="325"/>
      <c r="QZA507" s="325"/>
      <c r="QZB507" s="327"/>
      <c r="QZC507" s="28"/>
      <c r="QZD507" s="324"/>
      <c r="QZE507" s="324"/>
      <c r="QZF507" s="324"/>
      <c r="QZG507" s="324"/>
      <c r="QZH507" s="324"/>
      <c r="QZI507" s="324"/>
      <c r="QZJ507" s="256"/>
      <c r="QZK507" s="325"/>
      <c r="QZL507" s="311"/>
      <c r="QZM507" s="325"/>
      <c r="QZN507" s="310"/>
      <c r="QZO507" s="325"/>
      <c r="QZP507" s="325"/>
      <c r="QZQ507" s="325"/>
      <c r="QZR507" s="325"/>
      <c r="QZS507" s="325"/>
      <c r="QZT507" s="325"/>
      <c r="QZU507" s="325"/>
      <c r="QZV507" s="325"/>
      <c r="QZW507" s="325"/>
      <c r="QZX507" s="325"/>
      <c r="QZY507" s="325"/>
      <c r="QZZ507" s="325"/>
      <c r="RAA507" s="325"/>
      <c r="RAB507" s="325"/>
      <c r="RAC507" s="325"/>
      <c r="RAD507" s="325"/>
      <c r="RAE507" s="325"/>
      <c r="RAF507" s="325"/>
      <c r="RAG507" s="325"/>
      <c r="RAH507" s="325"/>
      <c r="RAI507" s="325"/>
      <c r="RAJ507" s="325"/>
      <c r="RAK507" s="325"/>
      <c r="RAL507" s="325"/>
      <c r="RAM507" s="325"/>
      <c r="RAN507" s="325"/>
      <c r="RAO507" s="325"/>
      <c r="RAP507" s="325"/>
      <c r="RAQ507" s="325"/>
      <c r="RAR507" s="325"/>
      <c r="RAS507" s="327"/>
      <c r="RAT507" s="28"/>
      <c r="RAU507" s="324"/>
      <c r="RAV507" s="324"/>
      <c r="RAW507" s="324"/>
      <c r="RAX507" s="324"/>
      <c r="RAY507" s="324"/>
      <c r="RAZ507" s="324"/>
      <c r="RBA507" s="256"/>
      <c r="RBB507" s="325"/>
      <c r="RBC507" s="311"/>
      <c r="RBD507" s="325"/>
      <c r="RBE507" s="310"/>
      <c r="RBF507" s="325"/>
      <c r="RBG507" s="325"/>
      <c r="RBH507" s="325"/>
      <c r="RBI507" s="325"/>
      <c r="RBJ507" s="325"/>
      <c r="RBK507" s="325"/>
      <c r="RBL507" s="325"/>
      <c r="RBM507" s="325"/>
      <c r="RBN507" s="325"/>
      <c r="RBO507" s="325"/>
      <c r="RBP507" s="325"/>
      <c r="RBQ507" s="325"/>
      <c r="RBR507" s="325"/>
      <c r="RBS507" s="325"/>
      <c r="RBT507" s="325"/>
      <c r="RBU507" s="325"/>
      <c r="RBV507" s="325"/>
      <c r="RBW507" s="325"/>
      <c r="RBX507" s="325"/>
      <c r="RBY507" s="325"/>
      <c r="RBZ507" s="325"/>
      <c r="RCA507" s="325"/>
      <c r="RCB507" s="325"/>
      <c r="RCC507" s="325"/>
      <c r="RCD507" s="325"/>
      <c r="RCE507" s="325"/>
      <c r="RCF507" s="325"/>
      <c r="RCG507" s="325"/>
      <c r="RCH507" s="325"/>
      <c r="RCI507" s="325"/>
      <c r="RCJ507" s="327"/>
      <c r="RCK507" s="28"/>
      <c r="RCL507" s="324"/>
      <c r="RCM507" s="324"/>
      <c r="RCN507" s="324"/>
      <c r="RCO507" s="324"/>
      <c r="RCP507" s="324"/>
      <c r="RCQ507" s="324"/>
      <c r="RCR507" s="256"/>
      <c r="RCS507" s="325"/>
      <c r="RCT507" s="311"/>
      <c r="RCU507" s="325"/>
      <c r="RCV507" s="310"/>
      <c r="RCW507" s="325"/>
      <c r="RCX507" s="325"/>
      <c r="RCY507" s="325"/>
      <c r="RCZ507" s="325"/>
      <c r="RDA507" s="325"/>
      <c r="RDB507" s="325"/>
      <c r="RDC507" s="325"/>
      <c r="RDD507" s="325"/>
      <c r="RDE507" s="325"/>
      <c r="RDF507" s="325"/>
      <c r="RDG507" s="325"/>
      <c r="RDH507" s="325"/>
      <c r="RDI507" s="325"/>
      <c r="RDJ507" s="325"/>
      <c r="RDK507" s="325"/>
      <c r="RDL507" s="325"/>
      <c r="RDM507" s="325"/>
      <c r="RDN507" s="325"/>
      <c r="RDO507" s="325"/>
      <c r="RDP507" s="325"/>
      <c r="RDQ507" s="325"/>
      <c r="RDR507" s="325"/>
      <c r="RDS507" s="325"/>
      <c r="RDT507" s="325"/>
      <c r="RDU507" s="325"/>
      <c r="RDV507" s="325"/>
      <c r="RDW507" s="325"/>
      <c r="RDX507" s="325"/>
      <c r="RDY507" s="325"/>
      <c r="RDZ507" s="325"/>
      <c r="REA507" s="327"/>
      <c r="REB507" s="28"/>
      <c r="REC507" s="324"/>
      <c r="RED507" s="324"/>
      <c r="REE507" s="324"/>
      <c r="REF507" s="324"/>
      <c r="REG507" s="324"/>
      <c r="REH507" s="324"/>
      <c r="REI507" s="256"/>
      <c r="REJ507" s="325"/>
      <c r="REK507" s="311"/>
      <c r="REL507" s="325"/>
      <c r="REM507" s="310"/>
      <c r="REN507" s="325"/>
      <c r="REO507" s="325"/>
      <c r="REP507" s="325"/>
      <c r="REQ507" s="325"/>
      <c r="RER507" s="325"/>
      <c r="RES507" s="325"/>
      <c r="RET507" s="325"/>
      <c r="REU507" s="325"/>
      <c r="REV507" s="325"/>
      <c r="REW507" s="325"/>
      <c r="REX507" s="325"/>
      <c r="REY507" s="325"/>
      <c r="REZ507" s="325"/>
      <c r="RFA507" s="325"/>
      <c r="RFB507" s="325"/>
      <c r="RFC507" s="325"/>
      <c r="RFD507" s="325"/>
      <c r="RFE507" s="325"/>
      <c r="RFF507" s="325"/>
      <c r="RFG507" s="325"/>
      <c r="RFH507" s="325"/>
      <c r="RFI507" s="325"/>
      <c r="RFJ507" s="325"/>
      <c r="RFK507" s="325"/>
      <c r="RFL507" s="325"/>
      <c r="RFM507" s="325"/>
      <c r="RFN507" s="325"/>
      <c r="RFO507" s="325"/>
      <c r="RFP507" s="325"/>
      <c r="RFQ507" s="325"/>
      <c r="RFR507" s="327"/>
      <c r="RFS507" s="28"/>
      <c r="RFT507" s="324"/>
      <c r="RFU507" s="324"/>
      <c r="RFV507" s="324"/>
      <c r="RFW507" s="324"/>
      <c r="RFX507" s="324"/>
      <c r="RFY507" s="324"/>
      <c r="RFZ507" s="256"/>
      <c r="RGA507" s="325"/>
      <c r="RGB507" s="311"/>
      <c r="RGC507" s="325"/>
      <c r="RGD507" s="310"/>
      <c r="RGE507" s="325"/>
      <c r="RGF507" s="325"/>
      <c r="RGG507" s="325"/>
      <c r="RGH507" s="325"/>
      <c r="RGI507" s="325"/>
      <c r="RGJ507" s="325"/>
      <c r="RGK507" s="325"/>
      <c r="RGL507" s="325"/>
      <c r="RGM507" s="325"/>
      <c r="RGN507" s="325"/>
      <c r="RGO507" s="325"/>
      <c r="RGP507" s="325"/>
      <c r="RGQ507" s="325"/>
      <c r="RGR507" s="325"/>
      <c r="RGS507" s="325"/>
      <c r="RGT507" s="325"/>
      <c r="RGU507" s="325"/>
      <c r="RGV507" s="325"/>
      <c r="RGW507" s="325"/>
      <c r="RGX507" s="325"/>
      <c r="RGY507" s="325"/>
      <c r="RGZ507" s="325"/>
      <c r="RHA507" s="325"/>
      <c r="RHB507" s="325"/>
      <c r="RHC507" s="325"/>
      <c r="RHD507" s="325"/>
      <c r="RHE507" s="325"/>
      <c r="RHF507" s="325"/>
      <c r="RHG507" s="325"/>
      <c r="RHH507" s="325"/>
      <c r="RHI507" s="327"/>
      <c r="RHJ507" s="28"/>
      <c r="RHK507" s="324"/>
      <c r="RHL507" s="324"/>
      <c r="RHM507" s="324"/>
      <c r="RHN507" s="324"/>
      <c r="RHO507" s="324"/>
      <c r="RHP507" s="324"/>
      <c r="RHQ507" s="256"/>
      <c r="RHR507" s="325"/>
      <c r="RHS507" s="311"/>
      <c r="RHT507" s="325"/>
      <c r="RHU507" s="310"/>
      <c r="RHV507" s="325"/>
      <c r="RHW507" s="325"/>
      <c r="RHX507" s="325"/>
      <c r="RHY507" s="325"/>
      <c r="RHZ507" s="325"/>
      <c r="RIA507" s="325"/>
      <c r="RIB507" s="325"/>
      <c r="RIC507" s="325"/>
      <c r="RID507" s="325"/>
      <c r="RIE507" s="325"/>
      <c r="RIF507" s="325"/>
      <c r="RIG507" s="325"/>
      <c r="RIH507" s="325"/>
      <c r="RII507" s="325"/>
      <c r="RIJ507" s="325"/>
      <c r="RIK507" s="325"/>
      <c r="RIL507" s="325"/>
      <c r="RIM507" s="325"/>
      <c r="RIN507" s="325"/>
      <c r="RIO507" s="325"/>
      <c r="RIP507" s="325"/>
      <c r="RIQ507" s="325"/>
      <c r="RIR507" s="325"/>
      <c r="RIS507" s="325"/>
      <c r="RIT507" s="325"/>
      <c r="RIU507" s="325"/>
      <c r="RIV507" s="325"/>
      <c r="RIW507" s="325"/>
      <c r="RIX507" s="325"/>
      <c r="RIY507" s="325"/>
      <c r="RIZ507" s="327"/>
      <c r="RJA507" s="28"/>
      <c r="RJB507" s="324"/>
      <c r="RJC507" s="324"/>
      <c r="RJD507" s="324"/>
      <c r="RJE507" s="324"/>
      <c r="RJF507" s="324"/>
      <c r="RJG507" s="324"/>
      <c r="RJH507" s="256"/>
      <c r="RJI507" s="325"/>
      <c r="RJJ507" s="311"/>
      <c r="RJK507" s="325"/>
      <c r="RJL507" s="310"/>
      <c r="RJM507" s="325"/>
      <c r="RJN507" s="325"/>
      <c r="RJO507" s="325"/>
      <c r="RJP507" s="325"/>
      <c r="RJQ507" s="325"/>
      <c r="RJR507" s="325"/>
      <c r="RJS507" s="325"/>
      <c r="RJT507" s="325"/>
      <c r="RJU507" s="325"/>
      <c r="RJV507" s="325"/>
      <c r="RJW507" s="325"/>
      <c r="RJX507" s="325"/>
      <c r="RJY507" s="325"/>
      <c r="RJZ507" s="325"/>
      <c r="RKA507" s="325"/>
      <c r="RKB507" s="325"/>
      <c r="RKC507" s="325"/>
      <c r="RKD507" s="325"/>
      <c r="RKE507" s="325"/>
      <c r="RKF507" s="325"/>
      <c r="RKG507" s="325"/>
      <c r="RKH507" s="325"/>
      <c r="RKI507" s="325"/>
      <c r="RKJ507" s="325"/>
      <c r="RKK507" s="325"/>
      <c r="RKL507" s="325"/>
      <c r="RKM507" s="325"/>
      <c r="RKN507" s="325"/>
      <c r="RKO507" s="325"/>
      <c r="RKP507" s="325"/>
      <c r="RKQ507" s="327"/>
      <c r="RKR507" s="28"/>
      <c r="RKS507" s="324"/>
      <c r="RKT507" s="324"/>
      <c r="RKU507" s="324"/>
      <c r="RKV507" s="324"/>
      <c r="RKW507" s="324"/>
      <c r="RKX507" s="324"/>
      <c r="RKY507" s="256"/>
      <c r="RKZ507" s="325"/>
      <c r="RLA507" s="311"/>
      <c r="RLB507" s="325"/>
      <c r="RLC507" s="310"/>
      <c r="RLD507" s="325"/>
      <c r="RLE507" s="325"/>
      <c r="RLF507" s="325"/>
      <c r="RLG507" s="325"/>
      <c r="RLH507" s="325"/>
      <c r="RLI507" s="325"/>
      <c r="RLJ507" s="325"/>
      <c r="RLK507" s="325"/>
      <c r="RLL507" s="325"/>
      <c r="RLM507" s="325"/>
      <c r="RLN507" s="325"/>
      <c r="RLO507" s="325"/>
      <c r="RLP507" s="325"/>
      <c r="RLQ507" s="325"/>
      <c r="RLR507" s="325"/>
      <c r="RLS507" s="325"/>
      <c r="RLT507" s="325"/>
      <c r="RLU507" s="325"/>
      <c r="RLV507" s="325"/>
      <c r="RLW507" s="325"/>
      <c r="RLX507" s="325"/>
      <c r="RLY507" s="325"/>
      <c r="RLZ507" s="325"/>
      <c r="RMA507" s="325"/>
      <c r="RMB507" s="325"/>
      <c r="RMC507" s="325"/>
      <c r="RMD507" s="325"/>
      <c r="RME507" s="325"/>
      <c r="RMF507" s="325"/>
      <c r="RMG507" s="325"/>
      <c r="RMH507" s="327"/>
      <c r="RMI507" s="28"/>
      <c r="RMJ507" s="324"/>
      <c r="RMK507" s="324"/>
      <c r="RML507" s="324"/>
      <c r="RMM507" s="324"/>
      <c r="RMN507" s="324"/>
      <c r="RMO507" s="324"/>
      <c r="RMP507" s="256"/>
      <c r="RMQ507" s="325"/>
      <c r="RMR507" s="311"/>
      <c r="RMS507" s="325"/>
      <c r="RMT507" s="310"/>
      <c r="RMU507" s="325"/>
      <c r="RMV507" s="325"/>
      <c r="RMW507" s="325"/>
      <c r="RMX507" s="325"/>
      <c r="RMY507" s="325"/>
      <c r="RMZ507" s="325"/>
      <c r="RNA507" s="325"/>
      <c r="RNB507" s="325"/>
      <c r="RNC507" s="325"/>
      <c r="RND507" s="325"/>
      <c r="RNE507" s="325"/>
      <c r="RNF507" s="325"/>
      <c r="RNG507" s="325"/>
      <c r="RNH507" s="325"/>
      <c r="RNI507" s="325"/>
      <c r="RNJ507" s="325"/>
      <c r="RNK507" s="325"/>
      <c r="RNL507" s="325"/>
      <c r="RNM507" s="325"/>
      <c r="RNN507" s="325"/>
      <c r="RNO507" s="325"/>
      <c r="RNP507" s="325"/>
      <c r="RNQ507" s="325"/>
      <c r="RNR507" s="325"/>
      <c r="RNS507" s="325"/>
      <c r="RNT507" s="325"/>
      <c r="RNU507" s="325"/>
      <c r="RNV507" s="325"/>
      <c r="RNW507" s="325"/>
      <c r="RNX507" s="325"/>
      <c r="RNY507" s="327"/>
      <c r="RNZ507" s="28"/>
      <c r="ROA507" s="324"/>
      <c r="ROB507" s="324"/>
      <c r="ROC507" s="324"/>
      <c r="ROD507" s="324"/>
      <c r="ROE507" s="324"/>
      <c r="ROF507" s="324"/>
      <c r="ROG507" s="256"/>
      <c r="ROH507" s="325"/>
      <c r="ROI507" s="311"/>
      <c r="ROJ507" s="325"/>
      <c r="ROK507" s="310"/>
      <c r="ROL507" s="325"/>
      <c r="ROM507" s="325"/>
      <c r="RON507" s="325"/>
      <c r="ROO507" s="325"/>
      <c r="ROP507" s="325"/>
      <c r="ROQ507" s="325"/>
      <c r="ROR507" s="325"/>
      <c r="ROS507" s="325"/>
      <c r="ROT507" s="325"/>
      <c r="ROU507" s="325"/>
      <c r="ROV507" s="325"/>
      <c r="ROW507" s="325"/>
      <c r="ROX507" s="325"/>
      <c r="ROY507" s="325"/>
      <c r="ROZ507" s="325"/>
      <c r="RPA507" s="325"/>
      <c r="RPB507" s="325"/>
      <c r="RPC507" s="325"/>
      <c r="RPD507" s="325"/>
      <c r="RPE507" s="325"/>
      <c r="RPF507" s="325"/>
      <c r="RPG507" s="325"/>
      <c r="RPH507" s="325"/>
      <c r="RPI507" s="325"/>
      <c r="RPJ507" s="325"/>
      <c r="RPK507" s="325"/>
      <c r="RPL507" s="325"/>
      <c r="RPM507" s="325"/>
      <c r="RPN507" s="325"/>
      <c r="RPO507" s="325"/>
      <c r="RPP507" s="327"/>
      <c r="RPQ507" s="28"/>
      <c r="RPR507" s="324"/>
      <c r="RPS507" s="324"/>
      <c r="RPT507" s="324"/>
      <c r="RPU507" s="324"/>
      <c r="RPV507" s="324"/>
      <c r="RPW507" s="324"/>
      <c r="RPX507" s="256"/>
      <c r="RPY507" s="325"/>
      <c r="RPZ507" s="311"/>
      <c r="RQA507" s="325"/>
      <c r="RQB507" s="310"/>
      <c r="RQC507" s="325"/>
      <c r="RQD507" s="325"/>
      <c r="RQE507" s="325"/>
      <c r="RQF507" s="325"/>
      <c r="RQG507" s="325"/>
      <c r="RQH507" s="325"/>
      <c r="RQI507" s="325"/>
      <c r="RQJ507" s="325"/>
      <c r="RQK507" s="325"/>
      <c r="RQL507" s="325"/>
      <c r="RQM507" s="325"/>
      <c r="RQN507" s="325"/>
      <c r="RQO507" s="325"/>
      <c r="RQP507" s="325"/>
      <c r="RQQ507" s="325"/>
      <c r="RQR507" s="325"/>
      <c r="RQS507" s="325"/>
      <c r="RQT507" s="325"/>
      <c r="RQU507" s="325"/>
      <c r="RQV507" s="325"/>
      <c r="RQW507" s="325"/>
      <c r="RQX507" s="325"/>
      <c r="RQY507" s="325"/>
      <c r="RQZ507" s="325"/>
      <c r="RRA507" s="325"/>
      <c r="RRB507" s="325"/>
      <c r="RRC507" s="325"/>
      <c r="RRD507" s="325"/>
      <c r="RRE507" s="325"/>
      <c r="RRF507" s="325"/>
      <c r="RRG507" s="327"/>
      <c r="RRH507" s="28"/>
      <c r="RRI507" s="324"/>
      <c r="RRJ507" s="324"/>
      <c r="RRK507" s="324"/>
      <c r="RRL507" s="324"/>
      <c r="RRM507" s="324"/>
      <c r="RRN507" s="324"/>
      <c r="RRO507" s="256"/>
      <c r="RRP507" s="325"/>
      <c r="RRQ507" s="311"/>
      <c r="RRR507" s="325"/>
      <c r="RRS507" s="310"/>
      <c r="RRT507" s="325"/>
      <c r="RRU507" s="325"/>
      <c r="RRV507" s="325"/>
      <c r="RRW507" s="325"/>
      <c r="RRX507" s="325"/>
      <c r="RRY507" s="325"/>
      <c r="RRZ507" s="325"/>
      <c r="RSA507" s="325"/>
      <c r="RSB507" s="325"/>
      <c r="RSC507" s="325"/>
      <c r="RSD507" s="325"/>
      <c r="RSE507" s="325"/>
      <c r="RSF507" s="325"/>
      <c r="RSG507" s="325"/>
      <c r="RSH507" s="325"/>
      <c r="RSI507" s="325"/>
      <c r="RSJ507" s="325"/>
      <c r="RSK507" s="325"/>
      <c r="RSL507" s="325"/>
      <c r="RSM507" s="325"/>
      <c r="RSN507" s="325"/>
      <c r="RSO507" s="325"/>
      <c r="RSP507" s="325"/>
      <c r="RSQ507" s="325"/>
      <c r="RSR507" s="325"/>
      <c r="RSS507" s="325"/>
      <c r="RST507" s="325"/>
      <c r="RSU507" s="325"/>
      <c r="RSV507" s="325"/>
      <c r="RSW507" s="325"/>
      <c r="RSX507" s="327"/>
      <c r="RSY507" s="28"/>
      <c r="RSZ507" s="324"/>
      <c r="RTA507" s="324"/>
      <c r="RTB507" s="324"/>
      <c r="RTC507" s="324"/>
      <c r="RTD507" s="324"/>
      <c r="RTE507" s="324"/>
      <c r="RTF507" s="256"/>
      <c r="RTG507" s="325"/>
      <c r="RTH507" s="311"/>
      <c r="RTI507" s="325"/>
      <c r="RTJ507" s="310"/>
      <c r="RTK507" s="325"/>
      <c r="RTL507" s="325"/>
      <c r="RTM507" s="325"/>
      <c r="RTN507" s="325"/>
      <c r="RTO507" s="325"/>
      <c r="RTP507" s="325"/>
      <c r="RTQ507" s="325"/>
      <c r="RTR507" s="325"/>
      <c r="RTS507" s="325"/>
      <c r="RTT507" s="325"/>
      <c r="RTU507" s="325"/>
      <c r="RTV507" s="325"/>
      <c r="RTW507" s="325"/>
      <c r="RTX507" s="325"/>
      <c r="RTY507" s="325"/>
      <c r="RTZ507" s="325"/>
      <c r="RUA507" s="325"/>
      <c r="RUB507" s="325"/>
      <c r="RUC507" s="325"/>
      <c r="RUD507" s="325"/>
      <c r="RUE507" s="325"/>
      <c r="RUF507" s="325"/>
      <c r="RUG507" s="325"/>
      <c r="RUH507" s="325"/>
      <c r="RUI507" s="325"/>
      <c r="RUJ507" s="325"/>
      <c r="RUK507" s="325"/>
      <c r="RUL507" s="325"/>
      <c r="RUM507" s="325"/>
      <c r="RUN507" s="325"/>
      <c r="RUO507" s="327"/>
      <c r="RUP507" s="28"/>
      <c r="RUQ507" s="324"/>
      <c r="RUR507" s="324"/>
      <c r="RUS507" s="324"/>
      <c r="RUT507" s="324"/>
      <c r="RUU507" s="324"/>
      <c r="RUV507" s="324"/>
      <c r="RUW507" s="256"/>
      <c r="RUX507" s="325"/>
      <c r="RUY507" s="311"/>
      <c r="RUZ507" s="325"/>
      <c r="RVA507" s="310"/>
      <c r="RVB507" s="325"/>
      <c r="RVC507" s="325"/>
      <c r="RVD507" s="325"/>
      <c r="RVE507" s="325"/>
      <c r="RVF507" s="325"/>
      <c r="RVG507" s="325"/>
      <c r="RVH507" s="325"/>
      <c r="RVI507" s="325"/>
      <c r="RVJ507" s="325"/>
      <c r="RVK507" s="325"/>
      <c r="RVL507" s="325"/>
      <c r="RVM507" s="325"/>
      <c r="RVN507" s="325"/>
      <c r="RVO507" s="325"/>
      <c r="RVP507" s="325"/>
      <c r="RVQ507" s="325"/>
      <c r="RVR507" s="325"/>
      <c r="RVS507" s="325"/>
      <c r="RVT507" s="325"/>
      <c r="RVU507" s="325"/>
      <c r="RVV507" s="325"/>
      <c r="RVW507" s="325"/>
      <c r="RVX507" s="325"/>
      <c r="RVY507" s="325"/>
      <c r="RVZ507" s="325"/>
      <c r="RWA507" s="325"/>
      <c r="RWB507" s="325"/>
      <c r="RWC507" s="325"/>
      <c r="RWD507" s="325"/>
      <c r="RWE507" s="325"/>
      <c r="RWF507" s="327"/>
      <c r="RWG507" s="28"/>
      <c r="RWH507" s="324"/>
      <c r="RWI507" s="324"/>
      <c r="RWJ507" s="324"/>
      <c r="RWK507" s="324"/>
      <c r="RWL507" s="324"/>
      <c r="RWM507" s="324"/>
      <c r="RWN507" s="256"/>
      <c r="RWO507" s="325"/>
      <c r="RWP507" s="311"/>
      <c r="RWQ507" s="325"/>
      <c r="RWR507" s="310"/>
      <c r="RWS507" s="325"/>
      <c r="RWT507" s="325"/>
      <c r="RWU507" s="325"/>
      <c r="RWV507" s="325"/>
      <c r="RWW507" s="325"/>
      <c r="RWX507" s="325"/>
      <c r="RWY507" s="325"/>
      <c r="RWZ507" s="325"/>
      <c r="RXA507" s="325"/>
      <c r="RXB507" s="325"/>
      <c r="RXC507" s="325"/>
      <c r="RXD507" s="325"/>
      <c r="RXE507" s="325"/>
      <c r="RXF507" s="325"/>
      <c r="RXG507" s="325"/>
      <c r="RXH507" s="325"/>
      <c r="RXI507" s="325"/>
      <c r="RXJ507" s="325"/>
      <c r="RXK507" s="325"/>
      <c r="RXL507" s="325"/>
      <c r="RXM507" s="325"/>
      <c r="RXN507" s="325"/>
      <c r="RXO507" s="325"/>
      <c r="RXP507" s="325"/>
      <c r="RXQ507" s="325"/>
      <c r="RXR507" s="325"/>
      <c r="RXS507" s="325"/>
      <c r="RXT507" s="325"/>
      <c r="RXU507" s="325"/>
      <c r="RXV507" s="325"/>
      <c r="RXW507" s="327"/>
      <c r="RXX507" s="28"/>
      <c r="RXY507" s="324"/>
      <c r="RXZ507" s="324"/>
      <c r="RYA507" s="324"/>
      <c r="RYB507" s="324"/>
      <c r="RYC507" s="324"/>
      <c r="RYD507" s="324"/>
      <c r="RYE507" s="256"/>
      <c r="RYF507" s="325"/>
      <c r="RYG507" s="311"/>
      <c r="RYH507" s="325"/>
      <c r="RYI507" s="310"/>
      <c r="RYJ507" s="325"/>
      <c r="RYK507" s="325"/>
      <c r="RYL507" s="325"/>
      <c r="RYM507" s="325"/>
      <c r="RYN507" s="325"/>
      <c r="RYO507" s="325"/>
      <c r="RYP507" s="325"/>
      <c r="RYQ507" s="325"/>
      <c r="RYR507" s="325"/>
      <c r="RYS507" s="325"/>
      <c r="RYT507" s="325"/>
      <c r="RYU507" s="325"/>
      <c r="RYV507" s="325"/>
      <c r="RYW507" s="325"/>
      <c r="RYX507" s="325"/>
      <c r="RYY507" s="325"/>
      <c r="RYZ507" s="325"/>
      <c r="RZA507" s="325"/>
      <c r="RZB507" s="325"/>
      <c r="RZC507" s="325"/>
      <c r="RZD507" s="325"/>
      <c r="RZE507" s="325"/>
      <c r="RZF507" s="325"/>
      <c r="RZG507" s="325"/>
      <c r="RZH507" s="325"/>
      <c r="RZI507" s="325"/>
      <c r="RZJ507" s="325"/>
      <c r="RZK507" s="325"/>
      <c r="RZL507" s="325"/>
      <c r="RZM507" s="325"/>
      <c r="RZN507" s="327"/>
      <c r="RZO507" s="28"/>
      <c r="RZP507" s="324"/>
      <c r="RZQ507" s="324"/>
      <c r="RZR507" s="324"/>
      <c r="RZS507" s="324"/>
      <c r="RZT507" s="324"/>
      <c r="RZU507" s="324"/>
      <c r="RZV507" s="256"/>
      <c r="RZW507" s="325"/>
      <c r="RZX507" s="311"/>
      <c r="RZY507" s="325"/>
      <c r="RZZ507" s="310"/>
      <c r="SAA507" s="325"/>
      <c r="SAB507" s="325"/>
      <c r="SAC507" s="325"/>
      <c r="SAD507" s="325"/>
      <c r="SAE507" s="325"/>
      <c r="SAF507" s="325"/>
      <c r="SAG507" s="325"/>
      <c r="SAH507" s="325"/>
      <c r="SAI507" s="325"/>
      <c r="SAJ507" s="325"/>
      <c r="SAK507" s="325"/>
      <c r="SAL507" s="325"/>
      <c r="SAM507" s="325"/>
      <c r="SAN507" s="325"/>
      <c r="SAO507" s="325"/>
      <c r="SAP507" s="325"/>
      <c r="SAQ507" s="325"/>
      <c r="SAR507" s="325"/>
      <c r="SAS507" s="325"/>
      <c r="SAT507" s="325"/>
      <c r="SAU507" s="325"/>
      <c r="SAV507" s="325"/>
      <c r="SAW507" s="325"/>
      <c r="SAX507" s="325"/>
      <c r="SAY507" s="325"/>
      <c r="SAZ507" s="325"/>
      <c r="SBA507" s="325"/>
      <c r="SBB507" s="325"/>
      <c r="SBC507" s="325"/>
      <c r="SBD507" s="325"/>
      <c r="SBE507" s="327"/>
      <c r="SBF507" s="28"/>
      <c r="SBG507" s="324"/>
      <c r="SBH507" s="324"/>
      <c r="SBI507" s="324"/>
      <c r="SBJ507" s="324"/>
      <c r="SBK507" s="324"/>
      <c r="SBL507" s="324"/>
      <c r="SBM507" s="256"/>
      <c r="SBN507" s="325"/>
      <c r="SBO507" s="311"/>
      <c r="SBP507" s="325"/>
      <c r="SBQ507" s="310"/>
      <c r="SBR507" s="325"/>
      <c r="SBS507" s="325"/>
      <c r="SBT507" s="325"/>
      <c r="SBU507" s="325"/>
      <c r="SBV507" s="325"/>
      <c r="SBW507" s="325"/>
      <c r="SBX507" s="325"/>
      <c r="SBY507" s="325"/>
      <c r="SBZ507" s="325"/>
      <c r="SCA507" s="325"/>
      <c r="SCB507" s="325"/>
      <c r="SCC507" s="325"/>
      <c r="SCD507" s="325"/>
      <c r="SCE507" s="325"/>
      <c r="SCF507" s="325"/>
      <c r="SCG507" s="325"/>
      <c r="SCH507" s="325"/>
      <c r="SCI507" s="325"/>
      <c r="SCJ507" s="325"/>
      <c r="SCK507" s="325"/>
      <c r="SCL507" s="325"/>
      <c r="SCM507" s="325"/>
      <c r="SCN507" s="325"/>
      <c r="SCO507" s="325"/>
      <c r="SCP507" s="325"/>
      <c r="SCQ507" s="325"/>
      <c r="SCR507" s="325"/>
      <c r="SCS507" s="325"/>
      <c r="SCT507" s="325"/>
      <c r="SCU507" s="325"/>
      <c r="SCV507" s="327"/>
      <c r="SCW507" s="28"/>
      <c r="SCX507" s="324"/>
      <c r="SCY507" s="324"/>
      <c r="SCZ507" s="324"/>
      <c r="SDA507" s="324"/>
      <c r="SDB507" s="324"/>
      <c r="SDC507" s="324"/>
      <c r="SDD507" s="256"/>
      <c r="SDE507" s="325"/>
      <c r="SDF507" s="311"/>
      <c r="SDG507" s="325"/>
      <c r="SDH507" s="310"/>
      <c r="SDI507" s="325"/>
      <c r="SDJ507" s="325"/>
      <c r="SDK507" s="325"/>
      <c r="SDL507" s="325"/>
      <c r="SDM507" s="325"/>
      <c r="SDN507" s="325"/>
      <c r="SDO507" s="325"/>
      <c r="SDP507" s="325"/>
      <c r="SDQ507" s="325"/>
      <c r="SDR507" s="325"/>
      <c r="SDS507" s="325"/>
      <c r="SDT507" s="325"/>
      <c r="SDU507" s="325"/>
      <c r="SDV507" s="325"/>
      <c r="SDW507" s="325"/>
      <c r="SDX507" s="325"/>
      <c r="SDY507" s="325"/>
      <c r="SDZ507" s="325"/>
      <c r="SEA507" s="325"/>
      <c r="SEB507" s="325"/>
      <c r="SEC507" s="325"/>
      <c r="SED507" s="325"/>
      <c r="SEE507" s="325"/>
      <c r="SEF507" s="325"/>
      <c r="SEG507" s="325"/>
      <c r="SEH507" s="325"/>
      <c r="SEI507" s="325"/>
      <c r="SEJ507" s="325"/>
      <c r="SEK507" s="325"/>
      <c r="SEL507" s="325"/>
      <c r="SEM507" s="327"/>
      <c r="SEN507" s="28"/>
      <c r="SEO507" s="324"/>
      <c r="SEP507" s="324"/>
      <c r="SEQ507" s="324"/>
      <c r="SER507" s="324"/>
      <c r="SES507" s="324"/>
      <c r="SET507" s="324"/>
      <c r="SEU507" s="256"/>
      <c r="SEV507" s="325"/>
      <c r="SEW507" s="311"/>
      <c r="SEX507" s="325"/>
      <c r="SEY507" s="310"/>
      <c r="SEZ507" s="325"/>
      <c r="SFA507" s="325"/>
      <c r="SFB507" s="325"/>
      <c r="SFC507" s="325"/>
      <c r="SFD507" s="325"/>
      <c r="SFE507" s="325"/>
      <c r="SFF507" s="325"/>
      <c r="SFG507" s="325"/>
      <c r="SFH507" s="325"/>
      <c r="SFI507" s="325"/>
      <c r="SFJ507" s="325"/>
      <c r="SFK507" s="325"/>
      <c r="SFL507" s="325"/>
      <c r="SFM507" s="325"/>
      <c r="SFN507" s="325"/>
      <c r="SFO507" s="325"/>
      <c r="SFP507" s="325"/>
      <c r="SFQ507" s="325"/>
      <c r="SFR507" s="325"/>
      <c r="SFS507" s="325"/>
      <c r="SFT507" s="325"/>
      <c r="SFU507" s="325"/>
      <c r="SFV507" s="325"/>
      <c r="SFW507" s="325"/>
      <c r="SFX507" s="325"/>
      <c r="SFY507" s="325"/>
      <c r="SFZ507" s="325"/>
      <c r="SGA507" s="325"/>
      <c r="SGB507" s="325"/>
      <c r="SGC507" s="325"/>
      <c r="SGD507" s="327"/>
      <c r="SGE507" s="28"/>
      <c r="SGF507" s="324"/>
      <c r="SGG507" s="324"/>
      <c r="SGH507" s="324"/>
      <c r="SGI507" s="324"/>
      <c r="SGJ507" s="324"/>
      <c r="SGK507" s="324"/>
      <c r="SGL507" s="256"/>
      <c r="SGM507" s="325"/>
      <c r="SGN507" s="311"/>
      <c r="SGO507" s="325"/>
      <c r="SGP507" s="310"/>
      <c r="SGQ507" s="325"/>
      <c r="SGR507" s="325"/>
      <c r="SGS507" s="325"/>
      <c r="SGT507" s="325"/>
      <c r="SGU507" s="325"/>
      <c r="SGV507" s="325"/>
      <c r="SGW507" s="325"/>
      <c r="SGX507" s="325"/>
      <c r="SGY507" s="325"/>
      <c r="SGZ507" s="325"/>
      <c r="SHA507" s="325"/>
      <c r="SHB507" s="325"/>
      <c r="SHC507" s="325"/>
      <c r="SHD507" s="325"/>
      <c r="SHE507" s="325"/>
      <c r="SHF507" s="325"/>
      <c r="SHG507" s="325"/>
      <c r="SHH507" s="325"/>
      <c r="SHI507" s="325"/>
      <c r="SHJ507" s="325"/>
      <c r="SHK507" s="325"/>
      <c r="SHL507" s="325"/>
      <c r="SHM507" s="325"/>
      <c r="SHN507" s="325"/>
      <c r="SHO507" s="325"/>
      <c r="SHP507" s="325"/>
      <c r="SHQ507" s="325"/>
      <c r="SHR507" s="325"/>
      <c r="SHS507" s="325"/>
      <c r="SHT507" s="325"/>
      <c r="SHU507" s="327"/>
      <c r="SHV507" s="28"/>
      <c r="SHW507" s="324"/>
      <c r="SHX507" s="324"/>
      <c r="SHY507" s="324"/>
      <c r="SHZ507" s="324"/>
      <c r="SIA507" s="324"/>
      <c r="SIB507" s="324"/>
      <c r="SIC507" s="256"/>
      <c r="SID507" s="325"/>
      <c r="SIE507" s="311"/>
      <c r="SIF507" s="325"/>
      <c r="SIG507" s="310"/>
      <c r="SIH507" s="325"/>
      <c r="SII507" s="325"/>
      <c r="SIJ507" s="325"/>
      <c r="SIK507" s="325"/>
      <c r="SIL507" s="325"/>
      <c r="SIM507" s="325"/>
      <c r="SIN507" s="325"/>
      <c r="SIO507" s="325"/>
      <c r="SIP507" s="325"/>
      <c r="SIQ507" s="325"/>
      <c r="SIR507" s="325"/>
      <c r="SIS507" s="325"/>
      <c r="SIT507" s="325"/>
      <c r="SIU507" s="325"/>
      <c r="SIV507" s="325"/>
      <c r="SIW507" s="325"/>
      <c r="SIX507" s="325"/>
      <c r="SIY507" s="325"/>
      <c r="SIZ507" s="325"/>
      <c r="SJA507" s="325"/>
      <c r="SJB507" s="325"/>
      <c r="SJC507" s="325"/>
      <c r="SJD507" s="325"/>
      <c r="SJE507" s="325"/>
      <c r="SJF507" s="325"/>
      <c r="SJG507" s="325"/>
      <c r="SJH507" s="325"/>
      <c r="SJI507" s="325"/>
      <c r="SJJ507" s="325"/>
      <c r="SJK507" s="325"/>
      <c r="SJL507" s="327"/>
      <c r="SJM507" s="28"/>
      <c r="SJN507" s="324"/>
      <c r="SJO507" s="324"/>
      <c r="SJP507" s="324"/>
      <c r="SJQ507" s="324"/>
      <c r="SJR507" s="324"/>
      <c r="SJS507" s="324"/>
      <c r="SJT507" s="256"/>
      <c r="SJU507" s="325"/>
      <c r="SJV507" s="311"/>
      <c r="SJW507" s="325"/>
      <c r="SJX507" s="310"/>
      <c r="SJY507" s="325"/>
      <c r="SJZ507" s="325"/>
      <c r="SKA507" s="325"/>
      <c r="SKB507" s="325"/>
      <c r="SKC507" s="325"/>
      <c r="SKD507" s="325"/>
      <c r="SKE507" s="325"/>
      <c r="SKF507" s="325"/>
      <c r="SKG507" s="325"/>
      <c r="SKH507" s="325"/>
      <c r="SKI507" s="325"/>
      <c r="SKJ507" s="325"/>
      <c r="SKK507" s="325"/>
      <c r="SKL507" s="325"/>
      <c r="SKM507" s="325"/>
      <c r="SKN507" s="325"/>
      <c r="SKO507" s="325"/>
      <c r="SKP507" s="325"/>
      <c r="SKQ507" s="325"/>
      <c r="SKR507" s="325"/>
      <c r="SKS507" s="325"/>
      <c r="SKT507" s="325"/>
      <c r="SKU507" s="325"/>
      <c r="SKV507" s="325"/>
      <c r="SKW507" s="325"/>
      <c r="SKX507" s="325"/>
      <c r="SKY507" s="325"/>
      <c r="SKZ507" s="325"/>
      <c r="SLA507" s="325"/>
      <c r="SLB507" s="325"/>
      <c r="SLC507" s="327"/>
      <c r="SLD507" s="28"/>
      <c r="SLE507" s="324"/>
      <c r="SLF507" s="324"/>
      <c r="SLG507" s="324"/>
      <c r="SLH507" s="324"/>
      <c r="SLI507" s="324"/>
      <c r="SLJ507" s="324"/>
      <c r="SLK507" s="256"/>
      <c r="SLL507" s="325"/>
      <c r="SLM507" s="311"/>
      <c r="SLN507" s="325"/>
      <c r="SLO507" s="310"/>
      <c r="SLP507" s="325"/>
      <c r="SLQ507" s="325"/>
      <c r="SLR507" s="325"/>
      <c r="SLS507" s="325"/>
      <c r="SLT507" s="325"/>
      <c r="SLU507" s="325"/>
      <c r="SLV507" s="325"/>
      <c r="SLW507" s="325"/>
      <c r="SLX507" s="325"/>
      <c r="SLY507" s="325"/>
      <c r="SLZ507" s="325"/>
      <c r="SMA507" s="325"/>
      <c r="SMB507" s="325"/>
      <c r="SMC507" s="325"/>
      <c r="SMD507" s="325"/>
      <c r="SME507" s="325"/>
      <c r="SMF507" s="325"/>
      <c r="SMG507" s="325"/>
      <c r="SMH507" s="325"/>
      <c r="SMI507" s="325"/>
      <c r="SMJ507" s="325"/>
      <c r="SMK507" s="325"/>
      <c r="SML507" s="325"/>
      <c r="SMM507" s="325"/>
      <c r="SMN507" s="325"/>
      <c r="SMO507" s="325"/>
      <c r="SMP507" s="325"/>
      <c r="SMQ507" s="325"/>
      <c r="SMR507" s="325"/>
      <c r="SMS507" s="325"/>
      <c r="SMT507" s="327"/>
      <c r="SMU507" s="28"/>
      <c r="SMV507" s="324"/>
      <c r="SMW507" s="324"/>
      <c r="SMX507" s="324"/>
      <c r="SMY507" s="324"/>
      <c r="SMZ507" s="324"/>
      <c r="SNA507" s="324"/>
      <c r="SNB507" s="256"/>
      <c r="SNC507" s="325"/>
      <c r="SND507" s="311"/>
      <c r="SNE507" s="325"/>
      <c r="SNF507" s="310"/>
      <c r="SNG507" s="325"/>
      <c r="SNH507" s="325"/>
      <c r="SNI507" s="325"/>
      <c r="SNJ507" s="325"/>
      <c r="SNK507" s="325"/>
      <c r="SNL507" s="325"/>
      <c r="SNM507" s="325"/>
      <c r="SNN507" s="325"/>
      <c r="SNO507" s="325"/>
      <c r="SNP507" s="325"/>
      <c r="SNQ507" s="325"/>
      <c r="SNR507" s="325"/>
      <c r="SNS507" s="325"/>
      <c r="SNT507" s="325"/>
      <c r="SNU507" s="325"/>
      <c r="SNV507" s="325"/>
      <c r="SNW507" s="325"/>
      <c r="SNX507" s="325"/>
      <c r="SNY507" s="325"/>
      <c r="SNZ507" s="325"/>
      <c r="SOA507" s="325"/>
      <c r="SOB507" s="325"/>
      <c r="SOC507" s="325"/>
      <c r="SOD507" s="325"/>
      <c r="SOE507" s="325"/>
      <c r="SOF507" s="325"/>
      <c r="SOG507" s="325"/>
      <c r="SOH507" s="325"/>
      <c r="SOI507" s="325"/>
      <c r="SOJ507" s="325"/>
      <c r="SOK507" s="327"/>
      <c r="SOL507" s="28"/>
      <c r="SOM507" s="324"/>
      <c r="SON507" s="324"/>
      <c r="SOO507" s="324"/>
      <c r="SOP507" s="324"/>
      <c r="SOQ507" s="324"/>
      <c r="SOR507" s="324"/>
      <c r="SOS507" s="256"/>
      <c r="SOT507" s="325"/>
      <c r="SOU507" s="311"/>
      <c r="SOV507" s="325"/>
      <c r="SOW507" s="310"/>
      <c r="SOX507" s="325"/>
      <c r="SOY507" s="325"/>
      <c r="SOZ507" s="325"/>
      <c r="SPA507" s="325"/>
      <c r="SPB507" s="325"/>
      <c r="SPC507" s="325"/>
      <c r="SPD507" s="325"/>
      <c r="SPE507" s="325"/>
      <c r="SPF507" s="325"/>
      <c r="SPG507" s="325"/>
      <c r="SPH507" s="325"/>
      <c r="SPI507" s="325"/>
      <c r="SPJ507" s="325"/>
      <c r="SPK507" s="325"/>
      <c r="SPL507" s="325"/>
      <c r="SPM507" s="325"/>
      <c r="SPN507" s="325"/>
      <c r="SPO507" s="325"/>
      <c r="SPP507" s="325"/>
      <c r="SPQ507" s="325"/>
      <c r="SPR507" s="325"/>
      <c r="SPS507" s="325"/>
      <c r="SPT507" s="325"/>
      <c r="SPU507" s="325"/>
      <c r="SPV507" s="325"/>
      <c r="SPW507" s="325"/>
      <c r="SPX507" s="325"/>
      <c r="SPY507" s="325"/>
      <c r="SPZ507" s="325"/>
      <c r="SQA507" s="325"/>
      <c r="SQB507" s="327"/>
      <c r="SQC507" s="28"/>
      <c r="SQD507" s="324"/>
      <c r="SQE507" s="324"/>
      <c r="SQF507" s="324"/>
      <c r="SQG507" s="324"/>
      <c r="SQH507" s="324"/>
      <c r="SQI507" s="324"/>
      <c r="SQJ507" s="256"/>
      <c r="SQK507" s="325"/>
      <c r="SQL507" s="311"/>
      <c r="SQM507" s="325"/>
      <c r="SQN507" s="310"/>
      <c r="SQO507" s="325"/>
      <c r="SQP507" s="325"/>
      <c r="SQQ507" s="325"/>
      <c r="SQR507" s="325"/>
      <c r="SQS507" s="325"/>
      <c r="SQT507" s="325"/>
      <c r="SQU507" s="325"/>
      <c r="SQV507" s="325"/>
      <c r="SQW507" s="325"/>
      <c r="SQX507" s="325"/>
      <c r="SQY507" s="325"/>
      <c r="SQZ507" s="325"/>
      <c r="SRA507" s="325"/>
      <c r="SRB507" s="325"/>
      <c r="SRC507" s="325"/>
      <c r="SRD507" s="325"/>
      <c r="SRE507" s="325"/>
      <c r="SRF507" s="325"/>
      <c r="SRG507" s="325"/>
      <c r="SRH507" s="325"/>
      <c r="SRI507" s="325"/>
      <c r="SRJ507" s="325"/>
      <c r="SRK507" s="325"/>
      <c r="SRL507" s="325"/>
      <c r="SRM507" s="325"/>
      <c r="SRN507" s="325"/>
      <c r="SRO507" s="325"/>
      <c r="SRP507" s="325"/>
      <c r="SRQ507" s="325"/>
      <c r="SRR507" s="325"/>
      <c r="SRS507" s="327"/>
      <c r="SRT507" s="28"/>
      <c r="SRU507" s="324"/>
      <c r="SRV507" s="324"/>
      <c r="SRW507" s="324"/>
      <c r="SRX507" s="324"/>
      <c r="SRY507" s="324"/>
      <c r="SRZ507" s="324"/>
      <c r="SSA507" s="256"/>
      <c r="SSB507" s="325"/>
      <c r="SSC507" s="311"/>
      <c r="SSD507" s="325"/>
      <c r="SSE507" s="310"/>
      <c r="SSF507" s="325"/>
      <c r="SSG507" s="325"/>
      <c r="SSH507" s="325"/>
      <c r="SSI507" s="325"/>
      <c r="SSJ507" s="325"/>
      <c r="SSK507" s="325"/>
      <c r="SSL507" s="325"/>
      <c r="SSM507" s="325"/>
      <c r="SSN507" s="325"/>
      <c r="SSO507" s="325"/>
      <c r="SSP507" s="325"/>
      <c r="SSQ507" s="325"/>
      <c r="SSR507" s="325"/>
      <c r="SSS507" s="325"/>
      <c r="SST507" s="325"/>
      <c r="SSU507" s="325"/>
      <c r="SSV507" s="325"/>
      <c r="SSW507" s="325"/>
      <c r="SSX507" s="325"/>
      <c r="SSY507" s="325"/>
      <c r="SSZ507" s="325"/>
      <c r="STA507" s="325"/>
      <c r="STB507" s="325"/>
      <c r="STC507" s="325"/>
      <c r="STD507" s="325"/>
      <c r="STE507" s="325"/>
      <c r="STF507" s="325"/>
      <c r="STG507" s="325"/>
      <c r="STH507" s="325"/>
      <c r="STI507" s="325"/>
      <c r="STJ507" s="327"/>
      <c r="STK507" s="28"/>
      <c r="STL507" s="324"/>
      <c r="STM507" s="324"/>
      <c r="STN507" s="324"/>
      <c r="STO507" s="324"/>
      <c r="STP507" s="324"/>
      <c r="STQ507" s="324"/>
      <c r="STR507" s="256"/>
      <c r="STS507" s="325"/>
      <c r="STT507" s="311"/>
      <c r="STU507" s="325"/>
      <c r="STV507" s="310"/>
      <c r="STW507" s="325"/>
      <c r="STX507" s="325"/>
      <c r="STY507" s="325"/>
      <c r="STZ507" s="325"/>
      <c r="SUA507" s="325"/>
      <c r="SUB507" s="325"/>
      <c r="SUC507" s="325"/>
      <c r="SUD507" s="325"/>
      <c r="SUE507" s="325"/>
      <c r="SUF507" s="325"/>
      <c r="SUG507" s="325"/>
      <c r="SUH507" s="325"/>
      <c r="SUI507" s="325"/>
      <c r="SUJ507" s="325"/>
      <c r="SUK507" s="325"/>
      <c r="SUL507" s="325"/>
      <c r="SUM507" s="325"/>
      <c r="SUN507" s="325"/>
      <c r="SUO507" s="325"/>
      <c r="SUP507" s="325"/>
      <c r="SUQ507" s="325"/>
      <c r="SUR507" s="325"/>
      <c r="SUS507" s="325"/>
      <c r="SUT507" s="325"/>
      <c r="SUU507" s="325"/>
      <c r="SUV507" s="325"/>
      <c r="SUW507" s="325"/>
      <c r="SUX507" s="325"/>
      <c r="SUY507" s="325"/>
      <c r="SUZ507" s="325"/>
      <c r="SVA507" s="327"/>
      <c r="SVB507" s="28"/>
      <c r="SVC507" s="324"/>
      <c r="SVD507" s="324"/>
      <c r="SVE507" s="324"/>
      <c r="SVF507" s="324"/>
      <c r="SVG507" s="324"/>
      <c r="SVH507" s="324"/>
      <c r="SVI507" s="256"/>
      <c r="SVJ507" s="325"/>
      <c r="SVK507" s="311"/>
      <c r="SVL507" s="325"/>
      <c r="SVM507" s="310"/>
      <c r="SVN507" s="325"/>
      <c r="SVO507" s="325"/>
      <c r="SVP507" s="325"/>
      <c r="SVQ507" s="325"/>
      <c r="SVR507" s="325"/>
      <c r="SVS507" s="325"/>
      <c r="SVT507" s="325"/>
      <c r="SVU507" s="325"/>
      <c r="SVV507" s="325"/>
      <c r="SVW507" s="325"/>
      <c r="SVX507" s="325"/>
      <c r="SVY507" s="325"/>
      <c r="SVZ507" s="325"/>
      <c r="SWA507" s="325"/>
      <c r="SWB507" s="325"/>
      <c r="SWC507" s="325"/>
      <c r="SWD507" s="325"/>
      <c r="SWE507" s="325"/>
      <c r="SWF507" s="325"/>
      <c r="SWG507" s="325"/>
      <c r="SWH507" s="325"/>
      <c r="SWI507" s="325"/>
      <c r="SWJ507" s="325"/>
      <c r="SWK507" s="325"/>
      <c r="SWL507" s="325"/>
      <c r="SWM507" s="325"/>
      <c r="SWN507" s="325"/>
      <c r="SWO507" s="325"/>
      <c r="SWP507" s="325"/>
      <c r="SWQ507" s="325"/>
      <c r="SWR507" s="327"/>
      <c r="SWS507" s="28"/>
      <c r="SWT507" s="324"/>
      <c r="SWU507" s="324"/>
      <c r="SWV507" s="324"/>
      <c r="SWW507" s="324"/>
      <c r="SWX507" s="324"/>
      <c r="SWY507" s="324"/>
      <c r="SWZ507" s="256"/>
      <c r="SXA507" s="325"/>
      <c r="SXB507" s="311"/>
      <c r="SXC507" s="325"/>
      <c r="SXD507" s="310"/>
      <c r="SXE507" s="325"/>
      <c r="SXF507" s="325"/>
      <c r="SXG507" s="325"/>
      <c r="SXH507" s="325"/>
      <c r="SXI507" s="325"/>
      <c r="SXJ507" s="325"/>
      <c r="SXK507" s="325"/>
      <c r="SXL507" s="325"/>
      <c r="SXM507" s="325"/>
      <c r="SXN507" s="325"/>
      <c r="SXO507" s="325"/>
      <c r="SXP507" s="325"/>
      <c r="SXQ507" s="325"/>
      <c r="SXR507" s="325"/>
      <c r="SXS507" s="325"/>
      <c r="SXT507" s="325"/>
      <c r="SXU507" s="325"/>
      <c r="SXV507" s="325"/>
      <c r="SXW507" s="325"/>
      <c r="SXX507" s="325"/>
      <c r="SXY507" s="325"/>
      <c r="SXZ507" s="325"/>
      <c r="SYA507" s="325"/>
      <c r="SYB507" s="325"/>
      <c r="SYC507" s="325"/>
      <c r="SYD507" s="325"/>
      <c r="SYE507" s="325"/>
      <c r="SYF507" s="325"/>
      <c r="SYG507" s="325"/>
      <c r="SYH507" s="325"/>
      <c r="SYI507" s="327"/>
      <c r="SYJ507" s="28"/>
      <c r="SYK507" s="324"/>
      <c r="SYL507" s="324"/>
      <c r="SYM507" s="324"/>
      <c r="SYN507" s="324"/>
      <c r="SYO507" s="324"/>
      <c r="SYP507" s="324"/>
      <c r="SYQ507" s="256"/>
      <c r="SYR507" s="325"/>
      <c r="SYS507" s="311"/>
      <c r="SYT507" s="325"/>
      <c r="SYU507" s="310"/>
      <c r="SYV507" s="325"/>
      <c r="SYW507" s="325"/>
      <c r="SYX507" s="325"/>
      <c r="SYY507" s="325"/>
      <c r="SYZ507" s="325"/>
      <c r="SZA507" s="325"/>
      <c r="SZB507" s="325"/>
      <c r="SZC507" s="325"/>
      <c r="SZD507" s="325"/>
      <c r="SZE507" s="325"/>
      <c r="SZF507" s="325"/>
      <c r="SZG507" s="325"/>
      <c r="SZH507" s="325"/>
      <c r="SZI507" s="325"/>
      <c r="SZJ507" s="325"/>
      <c r="SZK507" s="325"/>
      <c r="SZL507" s="325"/>
      <c r="SZM507" s="325"/>
      <c r="SZN507" s="325"/>
      <c r="SZO507" s="325"/>
      <c r="SZP507" s="325"/>
      <c r="SZQ507" s="325"/>
      <c r="SZR507" s="325"/>
      <c r="SZS507" s="325"/>
      <c r="SZT507" s="325"/>
      <c r="SZU507" s="325"/>
      <c r="SZV507" s="325"/>
      <c r="SZW507" s="325"/>
      <c r="SZX507" s="325"/>
      <c r="SZY507" s="325"/>
      <c r="SZZ507" s="327"/>
      <c r="TAA507" s="28"/>
      <c r="TAB507" s="324"/>
      <c r="TAC507" s="324"/>
      <c r="TAD507" s="324"/>
      <c r="TAE507" s="324"/>
      <c r="TAF507" s="324"/>
      <c r="TAG507" s="324"/>
      <c r="TAH507" s="256"/>
      <c r="TAI507" s="325"/>
      <c r="TAJ507" s="311"/>
      <c r="TAK507" s="325"/>
      <c r="TAL507" s="310"/>
      <c r="TAM507" s="325"/>
      <c r="TAN507" s="325"/>
      <c r="TAO507" s="325"/>
      <c r="TAP507" s="325"/>
      <c r="TAQ507" s="325"/>
      <c r="TAR507" s="325"/>
      <c r="TAS507" s="325"/>
      <c r="TAT507" s="325"/>
      <c r="TAU507" s="325"/>
      <c r="TAV507" s="325"/>
      <c r="TAW507" s="325"/>
      <c r="TAX507" s="325"/>
      <c r="TAY507" s="325"/>
      <c r="TAZ507" s="325"/>
      <c r="TBA507" s="325"/>
      <c r="TBB507" s="325"/>
      <c r="TBC507" s="325"/>
      <c r="TBD507" s="325"/>
      <c r="TBE507" s="325"/>
      <c r="TBF507" s="325"/>
      <c r="TBG507" s="325"/>
      <c r="TBH507" s="325"/>
      <c r="TBI507" s="325"/>
      <c r="TBJ507" s="325"/>
      <c r="TBK507" s="325"/>
      <c r="TBL507" s="325"/>
      <c r="TBM507" s="325"/>
      <c r="TBN507" s="325"/>
      <c r="TBO507" s="325"/>
      <c r="TBP507" s="325"/>
      <c r="TBQ507" s="327"/>
      <c r="TBR507" s="28"/>
      <c r="TBS507" s="324"/>
      <c r="TBT507" s="324"/>
      <c r="TBU507" s="324"/>
      <c r="TBV507" s="324"/>
      <c r="TBW507" s="324"/>
      <c r="TBX507" s="324"/>
      <c r="TBY507" s="256"/>
      <c r="TBZ507" s="325"/>
      <c r="TCA507" s="311"/>
      <c r="TCB507" s="325"/>
      <c r="TCC507" s="310"/>
      <c r="TCD507" s="325"/>
      <c r="TCE507" s="325"/>
      <c r="TCF507" s="325"/>
      <c r="TCG507" s="325"/>
      <c r="TCH507" s="325"/>
      <c r="TCI507" s="325"/>
      <c r="TCJ507" s="325"/>
      <c r="TCK507" s="325"/>
      <c r="TCL507" s="325"/>
      <c r="TCM507" s="325"/>
      <c r="TCN507" s="325"/>
      <c r="TCO507" s="325"/>
      <c r="TCP507" s="325"/>
      <c r="TCQ507" s="325"/>
      <c r="TCR507" s="325"/>
      <c r="TCS507" s="325"/>
      <c r="TCT507" s="325"/>
      <c r="TCU507" s="325"/>
      <c r="TCV507" s="325"/>
      <c r="TCW507" s="325"/>
      <c r="TCX507" s="325"/>
      <c r="TCY507" s="325"/>
      <c r="TCZ507" s="325"/>
      <c r="TDA507" s="325"/>
      <c r="TDB507" s="325"/>
      <c r="TDC507" s="325"/>
      <c r="TDD507" s="325"/>
      <c r="TDE507" s="325"/>
      <c r="TDF507" s="325"/>
      <c r="TDG507" s="325"/>
      <c r="TDH507" s="327"/>
      <c r="TDI507" s="28"/>
      <c r="TDJ507" s="324"/>
      <c r="TDK507" s="324"/>
      <c r="TDL507" s="324"/>
      <c r="TDM507" s="324"/>
      <c r="TDN507" s="324"/>
      <c r="TDO507" s="324"/>
      <c r="TDP507" s="256"/>
      <c r="TDQ507" s="325"/>
      <c r="TDR507" s="311"/>
      <c r="TDS507" s="325"/>
      <c r="TDT507" s="310"/>
      <c r="TDU507" s="325"/>
      <c r="TDV507" s="325"/>
      <c r="TDW507" s="325"/>
      <c r="TDX507" s="325"/>
      <c r="TDY507" s="325"/>
      <c r="TDZ507" s="325"/>
      <c r="TEA507" s="325"/>
      <c r="TEB507" s="325"/>
      <c r="TEC507" s="325"/>
      <c r="TED507" s="325"/>
      <c r="TEE507" s="325"/>
      <c r="TEF507" s="325"/>
      <c r="TEG507" s="325"/>
      <c r="TEH507" s="325"/>
      <c r="TEI507" s="325"/>
      <c r="TEJ507" s="325"/>
      <c r="TEK507" s="325"/>
      <c r="TEL507" s="325"/>
      <c r="TEM507" s="325"/>
      <c r="TEN507" s="325"/>
      <c r="TEO507" s="325"/>
      <c r="TEP507" s="325"/>
      <c r="TEQ507" s="325"/>
      <c r="TER507" s="325"/>
      <c r="TES507" s="325"/>
      <c r="TET507" s="325"/>
      <c r="TEU507" s="325"/>
      <c r="TEV507" s="325"/>
      <c r="TEW507" s="325"/>
      <c r="TEX507" s="325"/>
      <c r="TEY507" s="327"/>
      <c r="TEZ507" s="28"/>
      <c r="TFA507" s="324"/>
      <c r="TFB507" s="324"/>
      <c r="TFC507" s="324"/>
      <c r="TFD507" s="324"/>
      <c r="TFE507" s="324"/>
      <c r="TFF507" s="324"/>
      <c r="TFG507" s="256"/>
      <c r="TFH507" s="325"/>
      <c r="TFI507" s="311"/>
      <c r="TFJ507" s="325"/>
      <c r="TFK507" s="310"/>
      <c r="TFL507" s="325"/>
      <c r="TFM507" s="325"/>
      <c r="TFN507" s="325"/>
      <c r="TFO507" s="325"/>
      <c r="TFP507" s="325"/>
      <c r="TFQ507" s="325"/>
      <c r="TFR507" s="325"/>
      <c r="TFS507" s="325"/>
      <c r="TFT507" s="325"/>
      <c r="TFU507" s="325"/>
      <c r="TFV507" s="325"/>
      <c r="TFW507" s="325"/>
      <c r="TFX507" s="325"/>
      <c r="TFY507" s="325"/>
      <c r="TFZ507" s="325"/>
      <c r="TGA507" s="325"/>
      <c r="TGB507" s="325"/>
      <c r="TGC507" s="325"/>
      <c r="TGD507" s="325"/>
      <c r="TGE507" s="325"/>
      <c r="TGF507" s="325"/>
      <c r="TGG507" s="325"/>
      <c r="TGH507" s="325"/>
      <c r="TGI507" s="325"/>
      <c r="TGJ507" s="325"/>
      <c r="TGK507" s="325"/>
      <c r="TGL507" s="325"/>
      <c r="TGM507" s="325"/>
      <c r="TGN507" s="325"/>
      <c r="TGO507" s="325"/>
      <c r="TGP507" s="327"/>
      <c r="TGQ507" s="28"/>
      <c r="TGR507" s="324"/>
      <c r="TGS507" s="324"/>
      <c r="TGT507" s="324"/>
      <c r="TGU507" s="324"/>
      <c r="TGV507" s="324"/>
      <c r="TGW507" s="324"/>
      <c r="TGX507" s="256"/>
      <c r="TGY507" s="325"/>
      <c r="TGZ507" s="311"/>
      <c r="THA507" s="325"/>
      <c r="THB507" s="310"/>
      <c r="THC507" s="325"/>
      <c r="THD507" s="325"/>
      <c r="THE507" s="325"/>
      <c r="THF507" s="325"/>
      <c r="THG507" s="325"/>
      <c r="THH507" s="325"/>
      <c r="THI507" s="325"/>
      <c r="THJ507" s="325"/>
      <c r="THK507" s="325"/>
      <c r="THL507" s="325"/>
      <c r="THM507" s="325"/>
      <c r="THN507" s="325"/>
      <c r="THO507" s="325"/>
      <c r="THP507" s="325"/>
      <c r="THQ507" s="325"/>
      <c r="THR507" s="325"/>
      <c r="THS507" s="325"/>
      <c r="THT507" s="325"/>
      <c r="THU507" s="325"/>
      <c r="THV507" s="325"/>
      <c r="THW507" s="325"/>
      <c r="THX507" s="325"/>
      <c r="THY507" s="325"/>
      <c r="THZ507" s="325"/>
      <c r="TIA507" s="325"/>
      <c r="TIB507" s="325"/>
      <c r="TIC507" s="325"/>
      <c r="TID507" s="325"/>
      <c r="TIE507" s="325"/>
      <c r="TIF507" s="325"/>
      <c r="TIG507" s="327"/>
      <c r="TIH507" s="28"/>
      <c r="TII507" s="324"/>
      <c r="TIJ507" s="324"/>
      <c r="TIK507" s="324"/>
      <c r="TIL507" s="324"/>
      <c r="TIM507" s="324"/>
      <c r="TIN507" s="324"/>
      <c r="TIO507" s="256"/>
      <c r="TIP507" s="325"/>
      <c r="TIQ507" s="311"/>
      <c r="TIR507" s="325"/>
      <c r="TIS507" s="310"/>
      <c r="TIT507" s="325"/>
      <c r="TIU507" s="325"/>
      <c r="TIV507" s="325"/>
      <c r="TIW507" s="325"/>
      <c r="TIX507" s="325"/>
      <c r="TIY507" s="325"/>
      <c r="TIZ507" s="325"/>
      <c r="TJA507" s="325"/>
      <c r="TJB507" s="325"/>
      <c r="TJC507" s="325"/>
      <c r="TJD507" s="325"/>
      <c r="TJE507" s="325"/>
      <c r="TJF507" s="325"/>
      <c r="TJG507" s="325"/>
      <c r="TJH507" s="325"/>
      <c r="TJI507" s="325"/>
      <c r="TJJ507" s="325"/>
      <c r="TJK507" s="325"/>
      <c r="TJL507" s="325"/>
      <c r="TJM507" s="325"/>
      <c r="TJN507" s="325"/>
      <c r="TJO507" s="325"/>
      <c r="TJP507" s="325"/>
      <c r="TJQ507" s="325"/>
      <c r="TJR507" s="325"/>
      <c r="TJS507" s="325"/>
      <c r="TJT507" s="325"/>
      <c r="TJU507" s="325"/>
      <c r="TJV507" s="325"/>
      <c r="TJW507" s="325"/>
      <c r="TJX507" s="327"/>
      <c r="TJY507" s="28"/>
      <c r="TJZ507" s="324"/>
      <c r="TKA507" s="324"/>
      <c r="TKB507" s="324"/>
      <c r="TKC507" s="324"/>
      <c r="TKD507" s="324"/>
      <c r="TKE507" s="324"/>
      <c r="TKF507" s="256"/>
      <c r="TKG507" s="325"/>
      <c r="TKH507" s="311"/>
      <c r="TKI507" s="325"/>
      <c r="TKJ507" s="310"/>
      <c r="TKK507" s="325"/>
      <c r="TKL507" s="325"/>
      <c r="TKM507" s="325"/>
      <c r="TKN507" s="325"/>
      <c r="TKO507" s="325"/>
      <c r="TKP507" s="325"/>
      <c r="TKQ507" s="325"/>
      <c r="TKR507" s="325"/>
      <c r="TKS507" s="325"/>
      <c r="TKT507" s="325"/>
      <c r="TKU507" s="325"/>
      <c r="TKV507" s="325"/>
      <c r="TKW507" s="325"/>
      <c r="TKX507" s="325"/>
      <c r="TKY507" s="325"/>
      <c r="TKZ507" s="325"/>
      <c r="TLA507" s="325"/>
      <c r="TLB507" s="325"/>
      <c r="TLC507" s="325"/>
      <c r="TLD507" s="325"/>
      <c r="TLE507" s="325"/>
      <c r="TLF507" s="325"/>
      <c r="TLG507" s="325"/>
      <c r="TLH507" s="325"/>
      <c r="TLI507" s="325"/>
      <c r="TLJ507" s="325"/>
      <c r="TLK507" s="325"/>
      <c r="TLL507" s="325"/>
      <c r="TLM507" s="325"/>
      <c r="TLN507" s="325"/>
      <c r="TLO507" s="327"/>
      <c r="TLP507" s="28"/>
      <c r="TLQ507" s="324"/>
      <c r="TLR507" s="324"/>
      <c r="TLS507" s="324"/>
      <c r="TLT507" s="324"/>
      <c r="TLU507" s="324"/>
      <c r="TLV507" s="324"/>
      <c r="TLW507" s="256"/>
      <c r="TLX507" s="325"/>
      <c r="TLY507" s="311"/>
      <c r="TLZ507" s="325"/>
      <c r="TMA507" s="310"/>
      <c r="TMB507" s="325"/>
      <c r="TMC507" s="325"/>
      <c r="TMD507" s="325"/>
      <c r="TME507" s="325"/>
      <c r="TMF507" s="325"/>
      <c r="TMG507" s="325"/>
      <c r="TMH507" s="325"/>
      <c r="TMI507" s="325"/>
      <c r="TMJ507" s="325"/>
      <c r="TMK507" s="325"/>
      <c r="TML507" s="325"/>
      <c r="TMM507" s="325"/>
      <c r="TMN507" s="325"/>
      <c r="TMO507" s="325"/>
      <c r="TMP507" s="325"/>
      <c r="TMQ507" s="325"/>
      <c r="TMR507" s="325"/>
      <c r="TMS507" s="325"/>
      <c r="TMT507" s="325"/>
      <c r="TMU507" s="325"/>
      <c r="TMV507" s="325"/>
      <c r="TMW507" s="325"/>
      <c r="TMX507" s="325"/>
      <c r="TMY507" s="325"/>
      <c r="TMZ507" s="325"/>
      <c r="TNA507" s="325"/>
      <c r="TNB507" s="325"/>
      <c r="TNC507" s="325"/>
      <c r="TND507" s="325"/>
      <c r="TNE507" s="325"/>
      <c r="TNF507" s="327"/>
      <c r="TNG507" s="28"/>
      <c r="TNH507" s="324"/>
      <c r="TNI507" s="324"/>
      <c r="TNJ507" s="324"/>
      <c r="TNK507" s="324"/>
      <c r="TNL507" s="324"/>
      <c r="TNM507" s="324"/>
      <c r="TNN507" s="256"/>
      <c r="TNO507" s="325"/>
      <c r="TNP507" s="311"/>
      <c r="TNQ507" s="325"/>
      <c r="TNR507" s="310"/>
      <c r="TNS507" s="325"/>
      <c r="TNT507" s="325"/>
      <c r="TNU507" s="325"/>
      <c r="TNV507" s="325"/>
      <c r="TNW507" s="325"/>
      <c r="TNX507" s="325"/>
      <c r="TNY507" s="325"/>
      <c r="TNZ507" s="325"/>
      <c r="TOA507" s="325"/>
      <c r="TOB507" s="325"/>
      <c r="TOC507" s="325"/>
      <c r="TOD507" s="325"/>
      <c r="TOE507" s="325"/>
      <c r="TOF507" s="325"/>
      <c r="TOG507" s="325"/>
      <c r="TOH507" s="325"/>
      <c r="TOI507" s="325"/>
      <c r="TOJ507" s="325"/>
      <c r="TOK507" s="325"/>
      <c r="TOL507" s="325"/>
      <c r="TOM507" s="325"/>
      <c r="TON507" s="325"/>
      <c r="TOO507" s="325"/>
      <c r="TOP507" s="325"/>
      <c r="TOQ507" s="325"/>
      <c r="TOR507" s="325"/>
      <c r="TOS507" s="325"/>
      <c r="TOT507" s="325"/>
      <c r="TOU507" s="325"/>
      <c r="TOV507" s="325"/>
      <c r="TOW507" s="327"/>
      <c r="TOX507" s="28"/>
      <c r="TOY507" s="324"/>
      <c r="TOZ507" s="324"/>
      <c r="TPA507" s="324"/>
      <c r="TPB507" s="324"/>
      <c r="TPC507" s="324"/>
      <c r="TPD507" s="324"/>
      <c r="TPE507" s="256"/>
      <c r="TPF507" s="325"/>
      <c r="TPG507" s="311"/>
      <c r="TPH507" s="325"/>
      <c r="TPI507" s="310"/>
      <c r="TPJ507" s="325"/>
      <c r="TPK507" s="325"/>
      <c r="TPL507" s="325"/>
      <c r="TPM507" s="325"/>
      <c r="TPN507" s="325"/>
      <c r="TPO507" s="325"/>
      <c r="TPP507" s="325"/>
      <c r="TPQ507" s="325"/>
      <c r="TPR507" s="325"/>
      <c r="TPS507" s="325"/>
      <c r="TPT507" s="325"/>
      <c r="TPU507" s="325"/>
      <c r="TPV507" s="325"/>
      <c r="TPW507" s="325"/>
      <c r="TPX507" s="325"/>
      <c r="TPY507" s="325"/>
      <c r="TPZ507" s="325"/>
      <c r="TQA507" s="325"/>
      <c r="TQB507" s="325"/>
      <c r="TQC507" s="325"/>
      <c r="TQD507" s="325"/>
      <c r="TQE507" s="325"/>
      <c r="TQF507" s="325"/>
      <c r="TQG507" s="325"/>
      <c r="TQH507" s="325"/>
      <c r="TQI507" s="325"/>
      <c r="TQJ507" s="325"/>
      <c r="TQK507" s="325"/>
      <c r="TQL507" s="325"/>
      <c r="TQM507" s="325"/>
      <c r="TQN507" s="327"/>
      <c r="TQO507" s="28"/>
      <c r="TQP507" s="324"/>
      <c r="TQQ507" s="324"/>
      <c r="TQR507" s="324"/>
      <c r="TQS507" s="324"/>
      <c r="TQT507" s="324"/>
      <c r="TQU507" s="324"/>
      <c r="TQV507" s="256"/>
      <c r="TQW507" s="325"/>
      <c r="TQX507" s="311"/>
      <c r="TQY507" s="325"/>
      <c r="TQZ507" s="310"/>
      <c r="TRA507" s="325"/>
      <c r="TRB507" s="325"/>
      <c r="TRC507" s="325"/>
      <c r="TRD507" s="325"/>
      <c r="TRE507" s="325"/>
      <c r="TRF507" s="325"/>
      <c r="TRG507" s="325"/>
      <c r="TRH507" s="325"/>
      <c r="TRI507" s="325"/>
      <c r="TRJ507" s="325"/>
      <c r="TRK507" s="325"/>
      <c r="TRL507" s="325"/>
      <c r="TRM507" s="325"/>
      <c r="TRN507" s="325"/>
      <c r="TRO507" s="325"/>
      <c r="TRP507" s="325"/>
      <c r="TRQ507" s="325"/>
      <c r="TRR507" s="325"/>
      <c r="TRS507" s="325"/>
      <c r="TRT507" s="325"/>
      <c r="TRU507" s="325"/>
      <c r="TRV507" s="325"/>
      <c r="TRW507" s="325"/>
      <c r="TRX507" s="325"/>
      <c r="TRY507" s="325"/>
      <c r="TRZ507" s="325"/>
      <c r="TSA507" s="325"/>
      <c r="TSB507" s="325"/>
      <c r="TSC507" s="325"/>
      <c r="TSD507" s="325"/>
      <c r="TSE507" s="327"/>
      <c r="TSF507" s="28"/>
      <c r="TSG507" s="324"/>
      <c r="TSH507" s="324"/>
      <c r="TSI507" s="324"/>
      <c r="TSJ507" s="324"/>
      <c r="TSK507" s="324"/>
      <c r="TSL507" s="324"/>
      <c r="TSM507" s="256"/>
      <c r="TSN507" s="325"/>
      <c r="TSO507" s="311"/>
      <c r="TSP507" s="325"/>
      <c r="TSQ507" s="310"/>
      <c r="TSR507" s="325"/>
      <c r="TSS507" s="325"/>
      <c r="TST507" s="325"/>
      <c r="TSU507" s="325"/>
      <c r="TSV507" s="325"/>
      <c r="TSW507" s="325"/>
      <c r="TSX507" s="325"/>
      <c r="TSY507" s="325"/>
      <c r="TSZ507" s="325"/>
      <c r="TTA507" s="325"/>
      <c r="TTB507" s="325"/>
      <c r="TTC507" s="325"/>
      <c r="TTD507" s="325"/>
      <c r="TTE507" s="325"/>
      <c r="TTF507" s="325"/>
      <c r="TTG507" s="325"/>
      <c r="TTH507" s="325"/>
      <c r="TTI507" s="325"/>
      <c r="TTJ507" s="325"/>
      <c r="TTK507" s="325"/>
      <c r="TTL507" s="325"/>
      <c r="TTM507" s="325"/>
      <c r="TTN507" s="325"/>
      <c r="TTO507" s="325"/>
      <c r="TTP507" s="325"/>
      <c r="TTQ507" s="325"/>
      <c r="TTR507" s="325"/>
      <c r="TTS507" s="325"/>
      <c r="TTT507" s="325"/>
      <c r="TTU507" s="325"/>
      <c r="TTV507" s="327"/>
      <c r="TTW507" s="28"/>
      <c r="TTX507" s="324"/>
      <c r="TTY507" s="324"/>
      <c r="TTZ507" s="324"/>
      <c r="TUA507" s="324"/>
      <c r="TUB507" s="324"/>
      <c r="TUC507" s="324"/>
      <c r="TUD507" s="256"/>
      <c r="TUE507" s="325"/>
      <c r="TUF507" s="311"/>
      <c r="TUG507" s="325"/>
      <c r="TUH507" s="310"/>
      <c r="TUI507" s="325"/>
      <c r="TUJ507" s="325"/>
      <c r="TUK507" s="325"/>
      <c r="TUL507" s="325"/>
      <c r="TUM507" s="325"/>
      <c r="TUN507" s="325"/>
      <c r="TUO507" s="325"/>
      <c r="TUP507" s="325"/>
      <c r="TUQ507" s="325"/>
      <c r="TUR507" s="325"/>
      <c r="TUS507" s="325"/>
      <c r="TUT507" s="325"/>
      <c r="TUU507" s="325"/>
      <c r="TUV507" s="325"/>
      <c r="TUW507" s="325"/>
      <c r="TUX507" s="325"/>
      <c r="TUY507" s="325"/>
      <c r="TUZ507" s="325"/>
      <c r="TVA507" s="325"/>
      <c r="TVB507" s="325"/>
      <c r="TVC507" s="325"/>
      <c r="TVD507" s="325"/>
      <c r="TVE507" s="325"/>
      <c r="TVF507" s="325"/>
      <c r="TVG507" s="325"/>
      <c r="TVH507" s="325"/>
      <c r="TVI507" s="325"/>
      <c r="TVJ507" s="325"/>
      <c r="TVK507" s="325"/>
      <c r="TVL507" s="325"/>
      <c r="TVM507" s="327"/>
      <c r="TVN507" s="28"/>
      <c r="TVO507" s="324"/>
      <c r="TVP507" s="324"/>
      <c r="TVQ507" s="324"/>
      <c r="TVR507" s="324"/>
      <c r="TVS507" s="324"/>
      <c r="TVT507" s="324"/>
      <c r="TVU507" s="256"/>
      <c r="TVV507" s="325"/>
      <c r="TVW507" s="311"/>
      <c r="TVX507" s="325"/>
      <c r="TVY507" s="310"/>
      <c r="TVZ507" s="325"/>
      <c r="TWA507" s="325"/>
      <c r="TWB507" s="325"/>
      <c r="TWC507" s="325"/>
      <c r="TWD507" s="325"/>
      <c r="TWE507" s="325"/>
      <c r="TWF507" s="325"/>
      <c r="TWG507" s="325"/>
      <c r="TWH507" s="325"/>
      <c r="TWI507" s="325"/>
      <c r="TWJ507" s="325"/>
      <c r="TWK507" s="325"/>
      <c r="TWL507" s="325"/>
      <c r="TWM507" s="325"/>
      <c r="TWN507" s="325"/>
      <c r="TWO507" s="325"/>
      <c r="TWP507" s="325"/>
      <c r="TWQ507" s="325"/>
      <c r="TWR507" s="325"/>
      <c r="TWS507" s="325"/>
      <c r="TWT507" s="325"/>
      <c r="TWU507" s="325"/>
      <c r="TWV507" s="325"/>
      <c r="TWW507" s="325"/>
      <c r="TWX507" s="325"/>
      <c r="TWY507" s="325"/>
      <c r="TWZ507" s="325"/>
      <c r="TXA507" s="325"/>
      <c r="TXB507" s="325"/>
      <c r="TXC507" s="325"/>
      <c r="TXD507" s="327"/>
      <c r="TXE507" s="28"/>
      <c r="TXF507" s="324"/>
      <c r="TXG507" s="324"/>
      <c r="TXH507" s="324"/>
      <c r="TXI507" s="324"/>
      <c r="TXJ507" s="324"/>
      <c r="TXK507" s="324"/>
      <c r="TXL507" s="256"/>
      <c r="TXM507" s="325"/>
      <c r="TXN507" s="311"/>
      <c r="TXO507" s="325"/>
      <c r="TXP507" s="310"/>
      <c r="TXQ507" s="325"/>
      <c r="TXR507" s="325"/>
      <c r="TXS507" s="325"/>
      <c r="TXT507" s="325"/>
      <c r="TXU507" s="325"/>
      <c r="TXV507" s="325"/>
      <c r="TXW507" s="325"/>
      <c r="TXX507" s="325"/>
      <c r="TXY507" s="325"/>
      <c r="TXZ507" s="325"/>
      <c r="TYA507" s="325"/>
      <c r="TYB507" s="325"/>
      <c r="TYC507" s="325"/>
      <c r="TYD507" s="325"/>
      <c r="TYE507" s="325"/>
      <c r="TYF507" s="325"/>
      <c r="TYG507" s="325"/>
      <c r="TYH507" s="325"/>
      <c r="TYI507" s="325"/>
      <c r="TYJ507" s="325"/>
      <c r="TYK507" s="325"/>
      <c r="TYL507" s="325"/>
      <c r="TYM507" s="325"/>
      <c r="TYN507" s="325"/>
      <c r="TYO507" s="325"/>
      <c r="TYP507" s="325"/>
      <c r="TYQ507" s="325"/>
      <c r="TYR507" s="325"/>
      <c r="TYS507" s="325"/>
      <c r="TYT507" s="325"/>
      <c r="TYU507" s="327"/>
      <c r="TYV507" s="28"/>
      <c r="TYW507" s="324"/>
      <c r="TYX507" s="324"/>
      <c r="TYY507" s="324"/>
      <c r="TYZ507" s="324"/>
      <c r="TZA507" s="324"/>
      <c r="TZB507" s="324"/>
      <c r="TZC507" s="256"/>
      <c r="TZD507" s="325"/>
      <c r="TZE507" s="311"/>
      <c r="TZF507" s="325"/>
      <c r="TZG507" s="310"/>
      <c r="TZH507" s="325"/>
      <c r="TZI507" s="325"/>
      <c r="TZJ507" s="325"/>
      <c r="TZK507" s="325"/>
      <c r="TZL507" s="325"/>
      <c r="TZM507" s="325"/>
      <c r="TZN507" s="325"/>
      <c r="TZO507" s="325"/>
      <c r="TZP507" s="325"/>
      <c r="TZQ507" s="325"/>
      <c r="TZR507" s="325"/>
      <c r="TZS507" s="325"/>
      <c r="TZT507" s="325"/>
      <c r="TZU507" s="325"/>
      <c r="TZV507" s="325"/>
      <c r="TZW507" s="325"/>
      <c r="TZX507" s="325"/>
      <c r="TZY507" s="325"/>
      <c r="TZZ507" s="325"/>
      <c r="UAA507" s="325"/>
      <c r="UAB507" s="325"/>
      <c r="UAC507" s="325"/>
      <c r="UAD507" s="325"/>
      <c r="UAE507" s="325"/>
      <c r="UAF507" s="325"/>
      <c r="UAG507" s="325"/>
      <c r="UAH507" s="325"/>
      <c r="UAI507" s="325"/>
      <c r="UAJ507" s="325"/>
      <c r="UAK507" s="325"/>
      <c r="UAL507" s="327"/>
      <c r="UAM507" s="28"/>
      <c r="UAN507" s="324"/>
      <c r="UAO507" s="324"/>
      <c r="UAP507" s="324"/>
      <c r="UAQ507" s="324"/>
      <c r="UAR507" s="324"/>
      <c r="UAS507" s="324"/>
      <c r="UAT507" s="256"/>
      <c r="UAU507" s="325"/>
      <c r="UAV507" s="311"/>
      <c r="UAW507" s="325"/>
      <c r="UAX507" s="310"/>
      <c r="UAY507" s="325"/>
      <c r="UAZ507" s="325"/>
      <c r="UBA507" s="325"/>
      <c r="UBB507" s="325"/>
      <c r="UBC507" s="325"/>
      <c r="UBD507" s="325"/>
      <c r="UBE507" s="325"/>
      <c r="UBF507" s="325"/>
      <c r="UBG507" s="325"/>
      <c r="UBH507" s="325"/>
      <c r="UBI507" s="325"/>
      <c r="UBJ507" s="325"/>
      <c r="UBK507" s="325"/>
      <c r="UBL507" s="325"/>
      <c r="UBM507" s="325"/>
      <c r="UBN507" s="325"/>
      <c r="UBO507" s="325"/>
      <c r="UBP507" s="325"/>
      <c r="UBQ507" s="325"/>
      <c r="UBR507" s="325"/>
      <c r="UBS507" s="325"/>
      <c r="UBT507" s="325"/>
      <c r="UBU507" s="325"/>
      <c r="UBV507" s="325"/>
      <c r="UBW507" s="325"/>
      <c r="UBX507" s="325"/>
      <c r="UBY507" s="325"/>
      <c r="UBZ507" s="325"/>
      <c r="UCA507" s="325"/>
      <c r="UCB507" s="325"/>
      <c r="UCC507" s="327"/>
      <c r="UCD507" s="28"/>
      <c r="UCE507" s="324"/>
      <c r="UCF507" s="324"/>
      <c r="UCG507" s="324"/>
      <c r="UCH507" s="324"/>
      <c r="UCI507" s="324"/>
      <c r="UCJ507" s="324"/>
      <c r="UCK507" s="256"/>
      <c r="UCL507" s="325"/>
      <c r="UCM507" s="311"/>
      <c r="UCN507" s="325"/>
      <c r="UCO507" s="310"/>
      <c r="UCP507" s="325"/>
      <c r="UCQ507" s="325"/>
      <c r="UCR507" s="325"/>
      <c r="UCS507" s="325"/>
      <c r="UCT507" s="325"/>
      <c r="UCU507" s="325"/>
      <c r="UCV507" s="325"/>
      <c r="UCW507" s="325"/>
      <c r="UCX507" s="325"/>
      <c r="UCY507" s="325"/>
      <c r="UCZ507" s="325"/>
      <c r="UDA507" s="325"/>
      <c r="UDB507" s="325"/>
      <c r="UDC507" s="325"/>
      <c r="UDD507" s="325"/>
      <c r="UDE507" s="325"/>
      <c r="UDF507" s="325"/>
      <c r="UDG507" s="325"/>
      <c r="UDH507" s="325"/>
      <c r="UDI507" s="325"/>
      <c r="UDJ507" s="325"/>
      <c r="UDK507" s="325"/>
      <c r="UDL507" s="325"/>
      <c r="UDM507" s="325"/>
      <c r="UDN507" s="325"/>
      <c r="UDO507" s="325"/>
      <c r="UDP507" s="325"/>
      <c r="UDQ507" s="325"/>
      <c r="UDR507" s="325"/>
      <c r="UDS507" s="325"/>
      <c r="UDT507" s="327"/>
      <c r="UDU507" s="28"/>
      <c r="UDV507" s="324"/>
      <c r="UDW507" s="324"/>
      <c r="UDX507" s="324"/>
      <c r="UDY507" s="324"/>
      <c r="UDZ507" s="324"/>
      <c r="UEA507" s="324"/>
      <c r="UEB507" s="256"/>
      <c r="UEC507" s="325"/>
      <c r="UED507" s="311"/>
      <c r="UEE507" s="325"/>
      <c r="UEF507" s="310"/>
      <c r="UEG507" s="325"/>
      <c r="UEH507" s="325"/>
      <c r="UEI507" s="325"/>
      <c r="UEJ507" s="325"/>
      <c r="UEK507" s="325"/>
      <c r="UEL507" s="325"/>
      <c r="UEM507" s="325"/>
      <c r="UEN507" s="325"/>
      <c r="UEO507" s="325"/>
      <c r="UEP507" s="325"/>
      <c r="UEQ507" s="325"/>
      <c r="UER507" s="325"/>
      <c r="UES507" s="325"/>
      <c r="UET507" s="325"/>
      <c r="UEU507" s="325"/>
      <c r="UEV507" s="325"/>
      <c r="UEW507" s="325"/>
      <c r="UEX507" s="325"/>
      <c r="UEY507" s="325"/>
      <c r="UEZ507" s="325"/>
      <c r="UFA507" s="325"/>
      <c r="UFB507" s="325"/>
      <c r="UFC507" s="325"/>
      <c r="UFD507" s="325"/>
      <c r="UFE507" s="325"/>
      <c r="UFF507" s="325"/>
      <c r="UFG507" s="325"/>
      <c r="UFH507" s="325"/>
      <c r="UFI507" s="325"/>
      <c r="UFJ507" s="325"/>
      <c r="UFK507" s="327"/>
      <c r="UFL507" s="28"/>
      <c r="UFM507" s="324"/>
      <c r="UFN507" s="324"/>
      <c r="UFO507" s="324"/>
      <c r="UFP507" s="324"/>
      <c r="UFQ507" s="324"/>
      <c r="UFR507" s="324"/>
      <c r="UFS507" s="256"/>
      <c r="UFT507" s="325"/>
      <c r="UFU507" s="311"/>
      <c r="UFV507" s="325"/>
      <c r="UFW507" s="310"/>
      <c r="UFX507" s="325"/>
      <c r="UFY507" s="325"/>
      <c r="UFZ507" s="325"/>
      <c r="UGA507" s="325"/>
      <c r="UGB507" s="325"/>
      <c r="UGC507" s="325"/>
      <c r="UGD507" s="325"/>
      <c r="UGE507" s="325"/>
      <c r="UGF507" s="325"/>
      <c r="UGG507" s="325"/>
      <c r="UGH507" s="325"/>
      <c r="UGI507" s="325"/>
      <c r="UGJ507" s="325"/>
      <c r="UGK507" s="325"/>
      <c r="UGL507" s="325"/>
      <c r="UGM507" s="325"/>
      <c r="UGN507" s="325"/>
      <c r="UGO507" s="325"/>
      <c r="UGP507" s="325"/>
      <c r="UGQ507" s="325"/>
      <c r="UGR507" s="325"/>
      <c r="UGS507" s="325"/>
      <c r="UGT507" s="325"/>
      <c r="UGU507" s="325"/>
      <c r="UGV507" s="325"/>
      <c r="UGW507" s="325"/>
      <c r="UGX507" s="325"/>
      <c r="UGY507" s="325"/>
      <c r="UGZ507" s="325"/>
      <c r="UHA507" s="325"/>
      <c r="UHB507" s="327"/>
      <c r="UHC507" s="28"/>
      <c r="UHD507" s="324"/>
      <c r="UHE507" s="324"/>
      <c r="UHF507" s="324"/>
      <c r="UHG507" s="324"/>
      <c r="UHH507" s="324"/>
      <c r="UHI507" s="324"/>
      <c r="UHJ507" s="256"/>
      <c r="UHK507" s="325"/>
      <c r="UHL507" s="311"/>
      <c r="UHM507" s="325"/>
      <c r="UHN507" s="310"/>
      <c r="UHO507" s="325"/>
      <c r="UHP507" s="325"/>
      <c r="UHQ507" s="325"/>
      <c r="UHR507" s="325"/>
      <c r="UHS507" s="325"/>
      <c r="UHT507" s="325"/>
      <c r="UHU507" s="325"/>
      <c r="UHV507" s="325"/>
      <c r="UHW507" s="325"/>
      <c r="UHX507" s="325"/>
      <c r="UHY507" s="325"/>
      <c r="UHZ507" s="325"/>
      <c r="UIA507" s="325"/>
      <c r="UIB507" s="325"/>
      <c r="UIC507" s="325"/>
      <c r="UID507" s="325"/>
      <c r="UIE507" s="325"/>
      <c r="UIF507" s="325"/>
      <c r="UIG507" s="325"/>
      <c r="UIH507" s="325"/>
      <c r="UII507" s="325"/>
      <c r="UIJ507" s="325"/>
      <c r="UIK507" s="325"/>
      <c r="UIL507" s="325"/>
      <c r="UIM507" s="325"/>
      <c r="UIN507" s="325"/>
      <c r="UIO507" s="325"/>
      <c r="UIP507" s="325"/>
      <c r="UIQ507" s="325"/>
      <c r="UIR507" s="325"/>
      <c r="UIS507" s="327"/>
      <c r="UIT507" s="28"/>
      <c r="UIU507" s="324"/>
      <c r="UIV507" s="324"/>
      <c r="UIW507" s="324"/>
      <c r="UIX507" s="324"/>
      <c r="UIY507" s="324"/>
      <c r="UIZ507" s="324"/>
      <c r="UJA507" s="256"/>
      <c r="UJB507" s="325"/>
      <c r="UJC507" s="311"/>
      <c r="UJD507" s="325"/>
      <c r="UJE507" s="310"/>
      <c r="UJF507" s="325"/>
      <c r="UJG507" s="325"/>
      <c r="UJH507" s="325"/>
      <c r="UJI507" s="325"/>
      <c r="UJJ507" s="325"/>
      <c r="UJK507" s="325"/>
      <c r="UJL507" s="325"/>
      <c r="UJM507" s="325"/>
      <c r="UJN507" s="325"/>
      <c r="UJO507" s="325"/>
      <c r="UJP507" s="325"/>
      <c r="UJQ507" s="325"/>
      <c r="UJR507" s="325"/>
      <c r="UJS507" s="325"/>
      <c r="UJT507" s="325"/>
      <c r="UJU507" s="325"/>
      <c r="UJV507" s="325"/>
      <c r="UJW507" s="325"/>
      <c r="UJX507" s="325"/>
      <c r="UJY507" s="325"/>
      <c r="UJZ507" s="325"/>
      <c r="UKA507" s="325"/>
      <c r="UKB507" s="325"/>
      <c r="UKC507" s="325"/>
      <c r="UKD507" s="325"/>
      <c r="UKE507" s="325"/>
      <c r="UKF507" s="325"/>
      <c r="UKG507" s="325"/>
      <c r="UKH507" s="325"/>
      <c r="UKI507" s="325"/>
      <c r="UKJ507" s="327"/>
      <c r="UKK507" s="28"/>
      <c r="UKL507" s="324"/>
      <c r="UKM507" s="324"/>
      <c r="UKN507" s="324"/>
      <c r="UKO507" s="324"/>
      <c r="UKP507" s="324"/>
      <c r="UKQ507" s="324"/>
      <c r="UKR507" s="256"/>
      <c r="UKS507" s="325"/>
      <c r="UKT507" s="311"/>
      <c r="UKU507" s="325"/>
      <c r="UKV507" s="310"/>
      <c r="UKW507" s="325"/>
      <c r="UKX507" s="325"/>
      <c r="UKY507" s="325"/>
      <c r="UKZ507" s="325"/>
      <c r="ULA507" s="325"/>
      <c r="ULB507" s="325"/>
      <c r="ULC507" s="325"/>
      <c r="ULD507" s="325"/>
      <c r="ULE507" s="325"/>
      <c r="ULF507" s="325"/>
      <c r="ULG507" s="325"/>
      <c r="ULH507" s="325"/>
      <c r="ULI507" s="325"/>
      <c r="ULJ507" s="325"/>
      <c r="ULK507" s="325"/>
      <c r="ULL507" s="325"/>
      <c r="ULM507" s="325"/>
      <c r="ULN507" s="325"/>
      <c r="ULO507" s="325"/>
      <c r="ULP507" s="325"/>
      <c r="ULQ507" s="325"/>
      <c r="ULR507" s="325"/>
      <c r="ULS507" s="325"/>
      <c r="ULT507" s="325"/>
      <c r="ULU507" s="325"/>
      <c r="ULV507" s="325"/>
      <c r="ULW507" s="325"/>
      <c r="ULX507" s="325"/>
      <c r="ULY507" s="325"/>
      <c r="ULZ507" s="325"/>
      <c r="UMA507" s="327"/>
      <c r="UMB507" s="28"/>
      <c r="UMC507" s="324"/>
      <c r="UMD507" s="324"/>
      <c r="UME507" s="324"/>
      <c r="UMF507" s="324"/>
      <c r="UMG507" s="324"/>
      <c r="UMH507" s="324"/>
      <c r="UMI507" s="256"/>
      <c r="UMJ507" s="325"/>
      <c r="UMK507" s="311"/>
      <c r="UML507" s="325"/>
      <c r="UMM507" s="310"/>
      <c r="UMN507" s="325"/>
      <c r="UMO507" s="325"/>
      <c r="UMP507" s="325"/>
      <c r="UMQ507" s="325"/>
      <c r="UMR507" s="325"/>
      <c r="UMS507" s="325"/>
      <c r="UMT507" s="325"/>
      <c r="UMU507" s="325"/>
      <c r="UMV507" s="325"/>
      <c r="UMW507" s="325"/>
      <c r="UMX507" s="325"/>
      <c r="UMY507" s="325"/>
      <c r="UMZ507" s="325"/>
      <c r="UNA507" s="325"/>
      <c r="UNB507" s="325"/>
      <c r="UNC507" s="325"/>
      <c r="UND507" s="325"/>
      <c r="UNE507" s="325"/>
      <c r="UNF507" s="325"/>
      <c r="UNG507" s="325"/>
      <c r="UNH507" s="325"/>
      <c r="UNI507" s="325"/>
      <c r="UNJ507" s="325"/>
      <c r="UNK507" s="325"/>
      <c r="UNL507" s="325"/>
      <c r="UNM507" s="325"/>
      <c r="UNN507" s="325"/>
      <c r="UNO507" s="325"/>
      <c r="UNP507" s="325"/>
      <c r="UNQ507" s="325"/>
      <c r="UNR507" s="327"/>
      <c r="UNS507" s="28"/>
      <c r="UNT507" s="324"/>
      <c r="UNU507" s="324"/>
      <c r="UNV507" s="324"/>
      <c r="UNW507" s="324"/>
      <c r="UNX507" s="324"/>
      <c r="UNY507" s="324"/>
      <c r="UNZ507" s="256"/>
      <c r="UOA507" s="325"/>
      <c r="UOB507" s="311"/>
      <c r="UOC507" s="325"/>
      <c r="UOD507" s="310"/>
      <c r="UOE507" s="325"/>
      <c r="UOF507" s="325"/>
      <c r="UOG507" s="325"/>
      <c r="UOH507" s="325"/>
      <c r="UOI507" s="325"/>
      <c r="UOJ507" s="325"/>
      <c r="UOK507" s="325"/>
      <c r="UOL507" s="325"/>
      <c r="UOM507" s="325"/>
      <c r="UON507" s="325"/>
      <c r="UOO507" s="325"/>
      <c r="UOP507" s="325"/>
      <c r="UOQ507" s="325"/>
      <c r="UOR507" s="325"/>
      <c r="UOS507" s="325"/>
      <c r="UOT507" s="325"/>
      <c r="UOU507" s="325"/>
      <c r="UOV507" s="325"/>
      <c r="UOW507" s="325"/>
      <c r="UOX507" s="325"/>
      <c r="UOY507" s="325"/>
      <c r="UOZ507" s="325"/>
      <c r="UPA507" s="325"/>
      <c r="UPB507" s="325"/>
      <c r="UPC507" s="325"/>
      <c r="UPD507" s="325"/>
      <c r="UPE507" s="325"/>
      <c r="UPF507" s="325"/>
      <c r="UPG507" s="325"/>
      <c r="UPH507" s="325"/>
      <c r="UPI507" s="327"/>
      <c r="UPJ507" s="28"/>
      <c r="UPK507" s="324"/>
      <c r="UPL507" s="324"/>
      <c r="UPM507" s="324"/>
      <c r="UPN507" s="324"/>
      <c r="UPO507" s="324"/>
      <c r="UPP507" s="324"/>
      <c r="UPQ507" s="256"/>
      <c r="UPR507" s="325"/>
      <c r="UPS507" s="311"/>
      <c r="UPT507" s="325"/>
      <c r="UPU507" s="310"/>
      <c r="UPV507" s="325"/>
      <c r="UPW507" s="325"/>
      <c r="UPX507" s="325"/>
      <c r="UPY507" s="325"/>
      <c r="UPZ507" s="325"/>
      <c r="UQA507" s="325"/>
      <c r="UQB507" s="325"/>
      <c r="UQC507" s="325"/>
      <c r="UQD507" s="325"/>
      <c r="UQE507" s="325"/>
      <c r="UQF507" s="325"/>
      <c r="UQG507" s="325"/>
      <c r="UQH507" s="325"/>
      <c r="UQI507" s="325"/>
      <c r="UQJ507" s="325"/>
      <c r="UQK507" s="325"/>
      <c r="UQL507" s="325"/>
      <c r="UQM507" s="325"/>
      <c r="UQN507" s="325"/>
      <c r="UQO507" s="325"/>
      <c r="UQP507" s="325"/>
      <c r="UQQ507" s="325"/>
      <c r="UQR507" s="325"/>
      <c r="UQS507" s="325"/>
      <c r="UQT507" s="325"/>
      <c r="UQU507" s="325"/>
      <c r="UQV507" s="325"/>
      <c r="UQW507" s="325"/>
      <c r="UQX507" s="325"/>
      <c r="UQY507" s="325"/>
      <c r="UQZ507" s="327"/>
      <c r="URA507" s="28"/>
      <c r="URB507" s="324"/>
      <c r="URC507" s="324"/>
      <c r="URD507" s="324"/>
      <c r="URE507" s="324"/>
      <c r="URF507" s="324"/>
      <c r="URG507" s="324"/>
      <c r="URH507" s="256"/>
      <c r="URI507" s="325"/>
      <c r="URJ507" s="311"/>
      <c r="URK507" s="325"/>
      <c r="URL507" s="310"/>
      <c r="URM507" s="325"/>
      <c r="URN507" s="325"/>
      <c r="URO507" s="325"/>
      <c r="URP507" s="325"/>
      <c r="URQ507" s="325"/>
      <c r="URR507" s="325"/>
      <c r="URS507" s="325"/>
      <c r="URT507" s="325"/>
      <c r="URU507" s="325"/>
      <c r="URV507" s="325"/>
      <c r="URW507" s="325"/>
      <c r="URX507" s="325"/>
      <c r="URY507" s="325"/>
      <c r="URZ507" s="325"/>
      <c r="USA507" s="325"/>
      <c r="USB507" s="325"/>
      <c r="USC507" s="325"/>
      <c r="USD507" s="325"/>
      <c r="USE507" s="325"/>
      <c r="USF507" s="325"/>
      <c r="USG507" s="325"/>
      <c r="USH507" s="325"/>
      <c r="USI507" s="325"/>
      <c r="USJ507" s="325"/>
      <c r="USK507" s="325"/>
      <c r="USL507" s="325"/>
      <c r="USM507" s="325"/>
      <c r="USN507" s="325"/>
      <c r="USO507" s="325"/>
      <c r="USP507" s="325"/>
      <c r="USQ507" s="327"/>
      <c r="USR507" s="28"/>
      <c r="USS507" s="324"/>
      <c r="UST507" s="324"/>
      <c r="USU507" s="324"/>
      <c r="USV507" s="324"/>
      <c r="USW507" s="324"/>
      <c r="USX507" s="324"/>
      <c r="USY507" s="256"/>
      <c r="USZ507" s="325"/>
      <c r="UTA507" s="311"/>
      <c r="UTB507" s="325"/>
      <c r="UTC507" s="310"/>
      <c r="UTD507" s="325"/>
      <c r="UTE507" s="325"/>
      <c r="UTF507" s="325"/>
      <c r="UTG507" s="325"/>
      <c r="UTH507" s="325"/>
      <c r="UTI507" s="325"/>
      <c r="UTJ507" s="325"/>
      <c r="UTK507" s="325"/>
      <c r="UTL507" s="325"/>
      <c r="UTM507" s="325"/>
      <c r="UTN507" s="325"/>
      <c r="UTO507" s="325"/>
      <c r="UTP507" s="325"/>
      <c r="UTQ507" s="325"/>
      <c r="UTR507" s="325"/>
      <c r="UTS507" s="325"/>
      <c r="UTT507" s="325"/>
      <c r="UTU507" s="325"/>
      <c r="UTV507" s="325"/>
      <c r="UTW507" s="325"/>
      <c r="UTX507" s="325"/>
      <c r="UTY507" s="325"/>
      <c r="UTZ507" s="325"/>
      <c r="UUA507" s="325"/>
      <c r="UUB507" s="325"/>
      <c r="UUC507" s="325"/>
      <c r="UUD507" s="325"/>
      <c r="UUE507" s="325"/>
      <c r="UUF507" s="325"/>
      <c r="UUG507" s="325"/>
      <c r="UUH507" s="327"/>
      <c r="UUI507" s="28"/>
      <c r="UUJ507" s="324"/>
      <c r="UUK507" s="324"/>
      <c r="UUL507" s="324"/>
      <c r="UUM507" s="324"/>
      <c r="UUN507" s="324"/>
      <c r="UUO507" s="324"/>
      <c r="UUP507" s="256"/>
      <c r="UUQ507" s="325"/>
      <c r="UUR507" s="311"/>
      <c r="UUS507" s="325"/>
      <c r="UUT507" s="310"/>
      <c r="UUU507" s="325"/>
      <c r="UUV507" s="325"/>
      <c r="UUW507" s="325"/>
      <c r="UUX507" s="325"/>
      <c r="UUY507" s="325"/>
      <c r="UUZ507" s="325"/>
      <c r="UVA507" s="325"/>
      <c r="UVB507" s="325"/>
      <c r="UVC507" s="325"/>
      <c r="UVD507" s="325"/>
      <c r="UVE507" s="325"/>
      <c r="UVF507" s="325"/>
      <c r="UVG507" s="325"/>
      <c r="UVH507" s="325"/>
      <c r="UVI507" s="325"/>
      <c r="UVJ507" s="325"/>
      <c r="UVK507" s="325"/>
      <c r="UVL507" s="325"/>
      <c r="UVM507" s="325"/>
      <c r="UVN507" s="325"/>
      <c r="UVO507" s="325"/>
      <c r="UVP507" s="325"/>
      <c r="UVQ507" s="325"/>
      <c r="UVR507" s="325"/>
      <c r="UVS507" s="325"/>
      <c r="UVT507" s="325"/>
      <c r="UVU507" s="325"/>
      <c r="UVV507" s="325"/>
      <c r="UVW507" s="325"/>
      <c r="UVX507" s="325"/>
      <c r="UVY507" s="327"/>
      <c r="UVZ507" s="28"/>
      <c r="UWA507" s="324"/>
      <c r="UWB507" s="324"/>
      <c r="UWC507" s="324"/>
      <c r="UWD507" s="324"/>
      <c r="UWE507" s="324"/>
      <c r="UWF507" s="324"/>
      <c r="UWG507" s="256"/>
      <c r="UWH507" s="325"/>
      <c r="UWI507" s="311"/>
      <c r="UWJ507" s="325"/>
      <c r="UWK507" s="310"/>
      <c r="UWL507" s="325"/>
      <c r="UWM507" s="325"/>
      <c r="UWN507" s="325"/>
      <c r="UWO507" s="325"/>
      <c r="UWP507" s="325"/>
      <c r="UWQ507" s="325"/>
      <c r="UWR507" s="325"/>
      <c r="UWS507" s="325"/>
      <c r="UWT507" s="325"/>
      <c r="UWU507" s="325"/>
      <c r="UWV507" s="325"/>
      <c r="UWW507" s="325"/>
      <c r="UWX507" s="325"/>
      <c r="UWY507" s="325"/>
      <c r="UWZ507" s="325"/>
      <c r="UXA507" s="325"/>
      <c r="UXB507" s="325"/>
      <c r="UXC507" s="325"/>
      <c r="UXD507" s="325"/>
      <c r="UXE507" s="325"/>
      <c r="UXF507" s="325"/>
      <c r="UXG507" s="325"/>
      <c r="UXH507" s="325"/>
      <c r="UXI507" s="325"/>
      <c r="UXJ507" s="325"/>
      <c r="UXK507" s="325"/>
      <c r="UXL507" s="325"/>
      <c r="UXM507" s="325"/>
      <c r="UXN507" s="325"/>
      <c r="UXO507" s="325"/>
      <c r="UXP507" s="327"/>
      <c r="UXQ507" s="28"/>
      <c r="UXR507" s="324"/>
      <c r="UXS507" s="324"/>
      <c r="UXT507" s="324"/>
      <c r="UXU507" s="324"/>
      <c r="UXV507" s="324"/>
      <c r="UXW507" s="324"/>
      <c r="UXX507" s="256"/>
      <c r="UXY507" s="325"/>
      <c r="UXZ507" s="311"/>
      <c r="UYA507" s="325"/>
      <c r="UYB507" s="310"/>
      <c r="UYC507" s="325"/>
      <c r="UYD507" s="325"/>
      <c r="UYE507" s="325"/>
      <c r="UYF507" s="325"/>
      <c r="UYG507" s="325"/>
      <c r="UYH507" s="325"/>
      <c r="UYI507" s="325"/>
      <c r="UYJ507" s="325"/>
      <c r="UYK507" s="325"/>
      <c r="UYL507" s="325"/>
      <c r="UYM507" s="325"/>
      <c r="UYN507" s="325"/>
      <c r="UYO507" s="325"/>
      <c r="UYP507" s="325"/>
      <c r="UYQ507" s="325"/>
      <c r="UYR507" s="325"/>
      <c r="UYS507" s="325"/>
      <c r="UYT507" s="325"/>
      <c r="UYU507" s="325"/>
      <c r="UYV507" s="325"/>
      <c r="UYW507" s="325"/>
      <c r="UYX507" s="325"/>
      <c r="UYY507" s="325"/>
      <c r="UYZ507" s="325"/>
      <c r="UZA507" s="325"/>
      <c r="UZB507" s="325"/>
      <c r="UZC507" s="325"/>
      <c r="UZD507" s="325"/>
      <c r="UZE507" s="325"/>
      <c r="UZF507" s="325"/>
      <c r="UZG507" s="327"/>
      <c r="UZH507" s="28"/>
      <c r="UZI507" s="324"/>
      <c r="UZJ507" s="324"/>
      <c r="UZK507" s="324"/>
      <c r="UZL507" s="324"/>
      <c r="UZM507" s="324"/>
      <c r="UZN507" s="324"/>
      <c r="UZO507" s="256"/>
      <c r="UZP507" s="325"/>
      <c r="UZQ507" s="311"/>
      <c r="UZR507" s="325"/>
      <c r="UZS507" s="310"/>
      <c r="UZT507" s="325"/>
      <c r="UZU507" s="325"/>
      <c r="UZV507" s="325"/>
      <c r="UZW507" s="325"/>
      <c r="UZX507" s="325"/>
      <c r="UZY507" s="325"/>
      <c r="UZZ507" s="325"/>
      <c r="VAA507" s="325"/>
      <c r="VAB507" s="325"/>
      <c r="VAC507" s="325"/>
      <c r="VAD507" s="325"/>
      <c r="VAE507" s="325"/>
      <c r="VAF507" s="325"/>
      <c r="VAG507" s="325"/>
      <c r="VAH507" s="325"/>
      <c r="VAI507" s="325"/>
      <c r="VAJ507" s="325"/>
      <c r="VAK507" s="325"/>
      <c r="VAL507" s="325"/>
      <c r="VAM507" s="325"/>
      <c r="VAN507" s="325"/>
      <c r="VAO507" s="325"/>
      <c r="VAP507" s="325"/>
      <c r="VAQ507" s="325"/>
      <c r="VAR507" s="325"/>
      <c r="VAS507" s="325"/>
      <c r="VAT507" s="325"/>
      <c r="VAU507" s="325"/>
      <c r="VAV507" s="325"/>
      <c r="VAW507" s="325"/>
      <c r="VAX507" s="327"/>
      <c r="VAY507" s="28"/>
      <c r="VAZ507" s="324"/>
      <c r="VBA507" s="324"/>
      <c r="VBB507" s="324"/>
      <c r="VBC507" s="324"/>
      <c r="VBD507" s="324"/>
      <c r="VBE507" s="324"/>
      <c r="VBF507" s="256"/>
      <c r="VBG507" s="325"/>
      <c r="VBH507" s="311"/>
      <c r="VBI507" s="325"/>
      <c r="VBJ507" s="310"/>
      <c r="VBK507" s="325"/>
      <c r="VBL507" s="325"/>
      <c r="VBM507" s="325"/>
      <c r="VBN507" s="325"/>
      <c r="VBO507" s="325"/>
      <c r="VBP507" s="325"/>
      <c r="VBQ507" s="325"/>
      <c r="VBR507" s="325"/>
      <c r="VBS507" s="325"/>
      <c r="VBT507" s="325"/>
      <c r="VBU507" s="325"/>
      <c r="VBV507" s="325"/>
      <c r="VBW507" s="325"/>
      <c r="VBX507" s="325"/>
      <c r="VBY507" s="325"/>
      <c r="VBZ507" s="325"/>
      <c r="VCA507" s="325"/>
      <c r="VCB507" s="325"/>
      <c r="VCC507" s="325"/>
      <c r="VCD507" s="325"/>
      <c r="VCE507" s="325"/>
      <c r="VCF507" s="325"/>
      <c r="VCG507" s="325"/>
      <c r="VCH507" s="325"/>
      <c r="VCI507" s="325"/>
      <c r="VCJ507" s="325"/>
      <c r="VCK507" s="325"/>
      <c r="VCL507" s="325"/>
      <c r="VCM507" s="325"/>
      <c r="VCN507" s="325"/>
      <c r="VCO507" s="327"/>
      <c r="VCP507" s="28"/>
      <c r="VCQ507" s="324"/>
      <c r="VCR507" s="324"/>
      <c r="VCS507" s="324"/>
      <c r="VCT507" s="324"/>
      <c r="VCU507" s="324"/>
      <c r="VCV507" s="324"/>
      <c r="VCW507" s="256"/>
      <c r="VCX507" s="325"/>
      <c r="VCY507" s="311"/>
      <c r="VCZ507" s="325"/>
      <c r="VDA507" s="310"/>
      <c r="VDB507" s="325"/>
      <c r="VDC507" s="325"/>
      <c r="VDD507" s="325"/>
      <c r="VDE507" s="325"/>
      <c r="VDF507" s="325"/>
      <c r="VDG507" s="325"/>
      <c r="VDH507" s="325"/>
      <c r="VDI507" s="325"/>
      <c r="VDJ507" s="325"/>
      <c r="VDK507" s="325"/>
      <c r="VDL507" s="325"/>
      <c r="VDM507" s="325"/>
      <c r="VDN507" s="325"/>
      <c r="VDO507" s="325"/>
      <c r="VDP507" s="325"/>
      <c r="VDQ507" s="325"/>
      <c r="VDR507" s="325"/>
      <c r="VDS507" s="325"/>
      <c r="VDT507" s="325"/>
      <c r="VDU507" s="325"/>
      <c r="VDV507" s="325"/>
      <c r="VDW507" s="325"/>
      <c r="VDX507" s="325"/>
      <c r="VDY507" s="325"/>
      <c r="VDZ507" s="325"/>
      <c r="VEA507" s="325"/>
      <c r="VEB507" s="325"/>
      <c r="VEC507" s="325"/>
      <c r="VED507" s="325"/>
      <c r="VEE507" s="325"/>
      <c r="VEF507" s="327"/>
      <c r="VEG507" s="28"/>
      <c r="VEH507" s="324"/>
      <c r="VEI507" s="324"/>
      <c r="VEJ507" s="324"/>
      <c r="VEK507" s="324"/>
      <c r="VEL507" s="324"/>
      <c r="VEM507" s="324"/>
      <c r="VEN507" s="256"/>
      <c r="VEO507" s="325"/>
      <c r="VEP507" s="311"/>
      <c r="VEQ507" s="325"/>
      <c r="VER507" s="310"/>
      <c r="VES507" s="325"/>
      <c r="VET507" s="325"/>
      <c r="VEU507" s="325"/>
      <c r="VEV507" s="325"/>
      <c r="VEW507" s="325"/>
      <c r="VEX507" s="325"/>
      <c r="VEY507" s="325"/>
      <c r="VEZ507" s="325"/>
      <c r="VFA507" s="325"/>
      <c r="VFB507" s="325"/>
      <c r="VFC507" s="325"/>
      <c r="VFD507" s="325"/>
      <c r="VFE507" s="325"/>
      <c r="VFF507" s="325"/>
      <c r="VFG507" s="325"/>
      <c r="VFH507" s="325"/>
      <c r="VFI507" s="325"/>
      <c r="VFJ507" s="325"/>
      <c r="VFK507" s="325"/>
      <c r="VFL507" s="325"/>
      <c r="VFM507" s="325"/>
      <c r="VFN507" s="325"/>
      <c r="VFO507" s="325"/>
      <c r="VFP507" s="325"/>
      <c r="VFQ507" s="325"/>
      <c r="VFR507" s="325"/>
      <c r="VFS507" s="325"/>
      <c r="VFT507" s="325"/>
      <c r="VFU507" s="325"/>
      <c r="VFV507" s="325"/>
      <c r="VFW507" s="327"/>
      <c r="VFX507" s="28"/>
      <c r="VFY507" s="324"/>
      <c r="VFZ507" s="324"/>
      <c r="VGA507" s="324"/>
      <c r="VGB507" s="324"/>
      <c r="VGC507" s="324"/>
      <c r="VGD507" s="324"/>
      <c r="VGE507" s="256"/>
      <c r="VGF507" s="325"/>
      <c r="VGG507" s="311"/>
      <c r="VGH507" s="325"/>
      <c r="VGI507" s="310"/>
      <c r="VGJ507" s="325"/>
      <c r="VGK507" s="325"/>
      <c r="VGL507" s="325"/>
      <c r="VGM507" s="325"/>
      <c r="VGN507" s="325"/>
      <c r="VGO507" s="325"/>
      <c r="VGP507" s="325"/>
      <c r="VGQ507" s="325"/>
      <c r="VGR507" s="325"/>
      <c r="VGS507" s="325"/>
      <c r="VGT507" s="325"/>
      <c r="VGU507" s="325"/>
      <c r="VGV507" s="325"/>
      <c r="VGW507" s="325"/>
      <c r="VGX507" s="325"/>
      <c r="VGY507" s="325"/>
      <c r="VGZ507" s="325"/>
      <c r="VHA507" s="325"/>
      <c r="VHB507" s="325"/>
      <c r="VHC507" s="325"/>
      <c r="VHD507" s="325"/>
      <c r="VHE507" s="325"/>
      <c r="VHF507" s="325"/>
      <c r="VHG507" s="325"/>
      <c r="VHH507" s="325"/>
      <c r="VHI507" s="325"/>
      <c r="VHJ507" s="325"/>
      <c r="VHK507" s="325"/>
      <c r="VHL507" s="325"/>
      <c r="VHM507" s="325"/>
      <c r="VHN507" s="327"/>
      <c r="VHO507" s="28"/>
      <c r="VHP507" s="324"/>
      <c r="VHQ507" s="324"/>
      <c r="VHR507" s="324"/>
      <c r="VHS507" s="324"/>
      <c r="VHT507" s="324"/>
      <c r="VHU507" s="324"/>
      <c r="VHV507" s="256"/>
      <c r="VHW507" s="325"/>
      <c r="VHX507" s="311"/>
      <c r="VHY507" s="325"/>
      <c r="VHZ507" s="310"/>
      <c r="VIA507" s="325"/>
      <c r="VIB507" s="325"/>
      <c r="VIC507" s="325"/>
      <c r="VID507" s="325"/>
      <c r="VIE507" s="325"/>
      <c r="VIF507" s="325"/>
      <c r="VIG507" s="325"/>
      <c r="VIH507" s="325"/>
      <c r="VII507" s="325"/>
      <c r="VIJ507" s="325"/>
      <c r="VIK507" s="325"/>
      <c r="VIL507" s="325"/>
      <c r="VIM507" s="325"/>
      <c r="VIN507" s="325"/>
      <c r="VIO507" s="325"/>
      <c r="VIP507" s="325"/>
      <c r="VIQ507" s="325"/>
      <c r="VIR507" s="325"/>
      <c r="VIS507" s="325"/>
      <c r="VIT507" s="325"/>
      <c r="VIU507" s="325"/>
      <c r="VIV507" s="325"/>
      <c r="VIW507" s="325"/>
      <c r="VIX507" s="325"/>
      <c r="VIY507" s="325"/>
      <c r="VIZ507" s="325"/>
      <c r="VJA507" s="325"/>
      <c r="VJB507" s="325"/>
      <c r="VJC507" s="325"/>
      <c r="VJD507" s="325"/>
      <c r="VJE507" s="327"/>
      <c r="VJF507" s="28"/>
      <c r="VJG507" s="324"/>
      <c r="VJH507" s="324"/>
      <c r="VJI507" s="324"/>
      <c r="VJJ507" s="324"/>
      <c r="VJK507" s="324"/>
      <c r="VJL507" s="324"/>
      <c r="VJM507" s="256"/>
      <c r="VJN507" s="325"/>
      <c r="VJO507" s="311"/>
      <c r="VJP507" s="325"/>
      <c r="VJQ507" s="310"/>
      <c r="VJR507" s="325"/>
      <c r="VJS507" s="325"/>
      <c r="VJT507" s="325"/>
      <c r="VJU507" s="325"/>
      <c r="VJV507" s="325"/>
      <c r="VJW507" s="325"/>
      <c r="VJX507" s="325"/>
      <c r="VJY507" s="325"/>
      <c r="VJZ507" s="325"/>
      <c r="VKA507" s="325"/>
      <c r="VKB507" s="325"/>
      <c r="VKC507" s="325"/>
      <c r="VKD507" s="325"/>
      <c r="VKE507" s="325"/>
      <c r="VKF507" s="325"/>
      <c r="VKG507" s="325"/>
      <c r="VKH507" s="325"/>
      <c r="VKI507" s="325"/>
      <c r="VKJ507" s="325"/>
      <c r="VKK507" s="325"/>
      <c r="VKL507" s="325"/>
      <c r="VKM507" s="325"/>
      <c r="VKN507" s="325"/>
      <c r="VKO507" s="325"/>
      <c r="VKP507" s="325"/>
      <c r="VKQ507" s="325"/>
      <c r="VKR507" s="325"/>
      <c r="VKS507" s="325"/>
      <c r="VKT507" s="325"/>
      <c r="VKU507" s="325"/>
      <c r="VKV507" s="327"/>
      <c r="VKW507" s="28"/>
      <c r="VKX507" s="324"/>
      <c r="VKY507" s="324"/>
      <c r="VKZ507" s="324"/>
      <c r="VLA507" s="324"/>
      <c r="VLB507" s="324"/>
      <c r="VLC507" s="324"/>
      <c r="VLD507" s="256"/>
      <c r="VLE507" s="325"/>
      <c r="VLF507" s="311"/>
      <c r="VLG507" s="325"/>
      <c r="VLH507" s="310"/>
      <c r="VLI507" s="325"/>
      <c r="VLJ507" s="325"/>
      <c r="VLK507" s="325"/>
      <c r="VLL507" s="325"/>
      <c r="VLM507" s="325"/>
      <c r="VLN507" s="325"/>
      <c r="VLO507" s="325"/>
      <c r="VLP507" s="325"/>
      <c r="VLQ507" s="325"/>
      <c r="VLR507" s="325"/>
      <c r="VLS507" s="325"/>
      <c r="VLT507" s="325"/>
      <c r="VLU507" s="325"/>
      <c r="VLV507" s="325"/>
      <c r="VLW507" s="325"/>
      <c r="VLX507" s="325"/>
      <c r="VLY507" s="325"/>
      <c r="VLZ507" s="325"/>
      <c r="VMA507" s="325"/>
      <c r="VMB507" s="325"/>
      <c r="VMC507" s="325"/>
      <c r="VMD507" s="325"/>
      <c r="VME507" s="325"/>
      <c r="VMF507" s="325"/>
      <c r="VMG507" s="325"/>
      <c r="VMH507" s="325"/>
      <c r="VMI507" s="325"/>
      <c r="VMJ507" s="325"/>
      <c r="VMK507" s="325"/>
      <c r="VML507" s="325"/>
      <c r="VMM507" s="327"/>
      <c r="VMN507" s="28"/>
      <c r="VMO507" s="324"/>
      <c r="VMP507" s="324"/>
      <c r="VMQ507" s="324"/>
      <c r="VMR507" s="324"/>
      <c r="VMS507" s="324"/>
      <c r="VMT507" s="324"/>
      <c r="VMU507" s="256"/>
      <c r="VMV507" s="325"/>
      <c r="VMW507" s="311"/>
      <c r="VMX507" s="325"/>
      <c r="VMY507" s="310"/>
      <c r="VMZ507" s="325"/>
      <c r="VNA507" s="325"/>
      <c r="VNB507" s="325"/>
      <c r="VNC507" s="325"/>
      <c r="VND507" s="325"/>
      <c r="VNE507" s="325"/>
      <c r="VNF507" s="325"/>
      <c r="VNG507" s="325"/>
      <c r="VNH507" s="325"/>
      <c r="VNI507" s="325"/>
      <c r="VNJ507" s="325"/>
      <c r="VNK507" s="325"/>
      <c r="VNL507" s="325"/>
      <c r="VNM507" s="325"/>
      <c r="VNN507" s="325"/>
      <c r="VNO507" s="325"/>
      <c r="VNP507" s="325"/>
      <c r="VNQ507" s="325"/>
      <c r="VNR507" s="325"/>
      <c r="VNS507" s="325"/>
      <c r="VNT507" s="325"/>
      <c r="VNU507" s="325"/>
      <c r="VNV507" s="325"/>
      <c r="VNW507" s="325"/>
      <c r="VNX507" s="325"/>
      <c r="VNY507" s="325"/>
      <c r="VNZ507" s="325"/>
      <c r="VOA507" s="325"/>
      <c r="VOB507" s="325"/>
      <c r="VOC507" s="325"/>
      <c r="VOD507" s="327"/>
      <c r="VOE507" s="28"/>
      <c r="VOF507" s="324"/>
      <c r="VOG507" s="324"/>
      <c r="VOH507" s="324"/>
      <c r="VOI507" s="324"/>
      <c r="VOJ507" s="324"/>
      <c r="VOK507" s="324"/>
      <c r="VOL507" s="256"/>
      <c r="VOM507" s="325"/>
      <c r="VON507" s="311"/>
      <c r="VOO507" s="325"/>
      <c r="VOP507" s="310"/>
      <c r="VOQ507" s="325"/>
      <c r="VOR507" s="325"/>
      <c r="VOS507" s="325"/>
      <c r="VOT507" s="325"/>
      <c r="VOU507" s="325"/>
      <c r="VOV507" s="325"/>
      <c r="VOW507" s="325"/>
      <c r="VOX507" s="325"/>
      <c r="VOY507" s="325"/>
      <c r="VOZ507" s="325"/>
      <c r="VPA507" s="325"/>
      <c r="VPB507" s="325"/>
      <c r="VPC507" s="325"/>
      <c r="VPD507" s="325"/>
      <c r="VPE507" s="325"/>
      <c r="VPF507" s="325"/>
      <c r="VPG507" s="325"/>
      <c r="VPH507" s="325"/>
      <c r="VPI507" s="325"/>
      <c r="VPJ507" s="325"/>
      <c r="VPK507" s="325"/>
      <c r="VPL507" s="325"/>
      <c r="VPM507" s="325"/>
      <c r="VPN507" s="325"/>
      <c r="VPO507" s="325"/>
      <c r="VPP507" s="325"/>
      <c r="VPQ507" s="325"/>
      <c r="VPR507" s="325"/>
      <c r="VPS507" s="325"/>
      <c r="VPT507" s="325"/>
      <c r="VPU507" s="327"/>
      <c r="VPV507" s="28"/>
      <c r="VPW507" s="324"/>
      <c r="VPX507" s="324"/>
      <c r="VPY507" s="324"/>
      <c r="VPZ507" s="324"/>
      <c r="VQA507" s="324"/>
      <c r="VQB507" s="324"/>
      <c r="VQC507" s="256"/>
      <c r="VQD507" s="325"/>
      <c r="VQE507" s="311"/>
      <c r="VQF507" s="325"/>
      <c r="VQG507" s="310"/>
      <c r="VQH507" s="325"/>
      <c r="VQI507" s="325"/>
      <c r="VQJ507" s="325"/>
      <c r="VQK507" s="325"/>
      <c r="VQL507" s="325"/>
      <c r="VQM507" s="325"/>
      <c r="VQN507" s="325"/>
      <c r="VQO507" s="325"/>
      <c r="VQP507" s="325"/>
      <c r="VQQ507" s="325"/>
      <c r="VQR507" s="325"/>
      <c r="VQS507" s="325"/>
      <c r="VQT507" s="325"/>
      <c r="VQU507" s="325"/>
      <c r="VQV507" s="325"/>
      <c r="VQW507" s="325"/>
      <c r="VQX507" s="325"/>
      <c r="VQY507" s="325"/>
      <c r="VQZ507" s="325"/>
      <c r="VRA507" s="325"/>
      <c r="VRB507" s="325"/>
      <c r="VRC507" s="325"/>
      <c r="VRD507" s="325"/>
      <c r="VRE507" s="325"/>
      <c r="VRF507" s="325"/>
      <c r="VRG507" s="325"/>
      <c r="VRH507" s="325"/>
      <c r="VRI507" s="325"/>
      <c r="VRJ507" s="325"/>
      <c r="VRK507" s="325"/>
      <c r="VRL507" s="327"/>
      <c r="VRM507" s="28"/>
      <c r="VRN507" s="324"/>
      <c r="VRO507" s="324"/>
      <c r="VRP507" s="324"/>
      <c r="VRQ507" s="324"/>
      <c r="VRR507" s="324"/>
      <c r="VRS507" s="324"/>
      <c r="VRT507" s="256"/>
      <c r="VRU507" s="325"/>
      <c r="VRV507" s="311"/>
      <c r="VRW507" s="325"/>
      <c r="VRX507" s="310"/>
      <c r="VRY507" s="325"/>
      <c r="VRZ507" s="325"/>
      <c r="VSA507" s="325"/>
      <c r="VSB507" s="325"/>
      <c r="VSC507" s="325"/>
      <c r="VSD507" s="325"/>
      <c r="VSE507" s="325"/>
      <c r="VSF507" s="325"/>
      <c r="VSG507" s="325"/>
      <c r="VSH507" s="325"/>
      <c r="VSI507" s="325"/>
      <c r="VSJ507" s="325"/>
      <c r="VSK507" s="325"/>
      <c r="VSL507" s="325"/>
      <c r="VSM507" s="325"/>
      <c r="VSN507" s="325"/>
      <c r="VSO507" s="325"/>
      <c r="VSP507" s="325"/>
      <c r="VSQ507" s="325"/>
      <c r="VSR507" s="325"/>
      <c r="VSS507" s="325"/>
      <c r="VST507" s="325"/>
      <c r="VSU507" s="325"/>
      <c r="VSV507" s="325"/>
      <c r="VSW507" s="325"/>
      <c r="VSX507" s="325"/>
      <c r="VSY507" s="325"/>
      <c r="VSZ507" s="325"/>
      <c r="VTA507" s="325"/>
      <c r="VTB507" s="325"/>
      <c r="VTC507" s="327"/>
      <c r="VTD507" s="28"/>
      <c r="VTE507" s="324"/>
      <c r="VTF507" s="324"/>
      <c r="VTG507" s="324"/>
      <c r="VTH507" s="324"/>
      <c r="VTI507" s="324"/>
      <c r="VTJ507" s="324"/>
      <c r="VTK507" s="256"/>
      <c r="VTL507" s="325"/>
      <c r="VTM507" s="311"/>
      <c r="VTN507" s="325"/>
      <c r="VTO507" s="310"/>
      <c r="VTP507" s="325"/>
      <c r="VTQ507" s="325"/>
      <c r="VTR507" s="325"/>
      <c r="VTS507" s="325"/>
      <c r="VTT507" s="325"/>
      <c r="VTU507" s="325"/>
      <c r="VTV507" s="325"/>
      <c r="VTW507" s="325"/>
      <c r="VTX507" s="325"/>
      <c r="VTY507" s="325"/>
      <c r="VTZ507" s="325"/>
      <c r="VUA507" s="325"/>
      <c r="VUB507" s="325"/>
      <c r="VUC507" s="325"/>
      <c r="VUD507" s="325"/>
      <c r="VUE507" s="325"/>
      <c r="VUF507" s="325"/>
      <c r="VUG507" s="325"/>
      <c r="VUH507" s="325"/>
      <c r="VUI507" s="325"/>
      <c r="VUJ507" s="325"/>
      <c r="VUK507" s="325"/>
      <c r="VUL507" s="325"/>
      <c r="VUM507" s="325"/>
      <c r="VUN507" s="325"/>
      <c r="VUO507" s="325"/>
      <c r="VUP507" s="325"/>
      <c r="VUQ507" s="325"/>
      <c r="VUR507" s="325"/>
      <c r="VUS507" s="325"/>
      <c r="VUT507" s="327"/>
      <c r="VUU507" s="28"/>
      <c r="VUV507" s="324"/>
      <c r="VUW507" s="324"/>
      <c r="VUX507" s="324"/>
      <c r="VUY507" s="324"/>
      <c r="VUZ507" s="324"/>
      <c r="VVA507" s="324"/>
      <c r="VVB507" s="256"/>
      <c r="VVC507" s="325"/>
      <c r="VVD507" s="311"/>
      <c r="VVE507" s="325"/>
      <c r="VVF507" s="310"/>
      <c r="VVG507" s="325"/>
      <c r="VVH507" s="325"/>
      <c r="VVI507" s="325"/>
      <c r="VVJ507" s="325"/>
      <c r="VVK507" s="325"/>
      <c r="VVL507" s="325"/>
      <c r="VVM507" s="325"/>
      <c r="VVN507" s="325"/>
      <c r="VVO507" s="325"/>
      <c r="VVP507" s="325"/>
      <c r="VVQ507" s="325"/>
      <c r="VVR507" s="325"/>
      <c r="VVS507" s="325"/>
      <c r="VVT507" s="325"/>
      <c r="VVU507" s="325"/>
      <c r="VVV507" s="325"/>
      <c r="VVW507" s="325"/>
      <c r="VVX507" s="325"/>
      <c r="VVY507" s="325"/>
      <c r="VVZ507" s="325"/>
      <c r="VWA507" s="325"/>
      <c r="VWB507" s="325"/>
      <c r="VWC507" s="325"/>
      <c r="VWD507" s="325"/>
      <c r="VWE507" s="325"/>
      <c r="VWF507" s="325"/>
      <c r="VWG507" s="325"/>
      <c r="VWH507" s="325"/>
      <c r="VWI507" s="325"/>
      <c r="VWJ507" s="325"/>
      <c r="VWK507" s="327"/>
      <c r="VWL507" s="28"/>
      <c r="VWM507" s="324"/>
      <c r="VWN507" s="324"/>
      <c r="VWO507" s="324"/>
      <c r="VWP507" s="324"/>
      <c r="VWQ507" s="324"/>
      <c r="VWR507" s="324"/>
      <c r="VWS507" s="256"/>
      <c r="VWT507" s="325"/>
      <c r="VWU507" s="311"/>
      <c r="VWV507" s="325"/>
      <c r="VWW507" s="310"/>
      <c r="VWX507" s="325"/>
      <c r="VWY507" s="325"/>
      <c r="VWZ507" s="325"/>
      <c r="VXA507" s="325"/>
      <c r="VXB507" s="325"/>
      <c r="VXC507" s="325"/>
      <c r="VXD507" s="325"/>
      <c r="VXE507" s="325"/>
      <c r="VXF507" s="325"/>
      <c r="VXG507" s="325"/>
      <c r="VXH507" s="325"/>
      <c r="VXI507" s="325"/>
      <c r="VXJ507" s="325"/>
      <c r="VXK507" s="325"/>
      <c r="VXL507" s="325"/>
      <c r="VXM507" s="325"/>
      <c r="VXN507" s="325"/>
      <c r="VXO507" s="325"/>
      <c r="VXP507" s="325"/>
      <c r="VXQ507" s="325"/>
      <c r="VXR507" s="325"/>
      <c r="VXS507" s="325"/>
      <c r="VXT507" s="325"/>
      <c r="VXU507" s="325"/>
      <c r="VXV507" s="325"/>
      <c r="VXW507" s="325"/>
      <c r="VXX507" s="325"/>
      <c r="VXY507" s="325"/>
      <c r="VXZ507" s="325"/>
      <c r="VYA507" s="325"/>
      <c r="VYB507" s="327"/>
      <c r="VYC507" s="28"/>
      <c r="VYD507" s="324"/>
      <c r="VYE507" s="324"/>
      <c r="VYF507" s="324"/>
      <c r="VYG507" s="324"/>
      <c r="VYH507" s="324"/>
      <c r="VYI507" s="324"/>
      <c r="VYJ507" s="256"/>
      <c r="VYK507" s="325"/>
      <c r="VYL507" s="311"/>
      <c r="VYM507" s="325"/>
      <c r="VYN507" s="310"/>
      <c r="VYO507" s="325"/>
      <c r="VYP507" s="325"/>
      <c r="VYQ507" s="325"/>
      <c r="VYR507" s="325"/>
      <c r="VYS507" s="325"/>
      <c r="VYT507" s="325"/>
      <c r="VYU507" s="325"/>
      <c r="VYV507" s="325"/>
      <c r="VYW507" s="325"/>
      <c r="VYX507" s="325"/>
      <c r="VYY507" s="325"/>
      <c r="VYZ507" s="325"/>
      <c r="VZA507" s="325"/>
      <c r="VZB507" s="325"/>
      <c r="VZC507" s="325"/>
      <c r="VZD507" s="325"/>
      <c r="VZE507" s="325"/>
      <c r="VZF507" s="325"/>
      <c r="VZG507" s="325"/>
      <c r="VZH507" s="325"/>
      <c r="VZI507" s="325"/>
      <c r="VZJ507" s="325"/>
      <c r="VZK507" s="325"/>
      <c r="VZL507" s="325"/>
      <c r="VZM507" s="325"/>
      <c r="VZN507" s="325"/>
      <c r="VZO507" s="325"/>
      <c r="VZP507" s="325"/>
      <c r="VZQ507" s="325"/>
      <c r="VZR507" s="325"/>
      <c r="VZS507" s="327"/>
      <c r="VZT507" s="28"/>
      <c r="VZU507" s="324"/>
      <c r="VZV507" s="324"/>
      <c r="VZW507" s="324"/>
      <c r="VZX507" s="324"/>
      <c r="VZY507" s="324"/>
      <c r="VZZ507" s="324"/>
      <c r="WAA507" s="256"/>
      <c r="WAB507" s="325"/>
      <c r="WAC507" s="311"/>
      <c r="WAD507" s="325"/>
      <c r="WAE507" s="310"/>
      <c r="WAF507" s="325"/>
      <c r="WAG507" s="325"/>
      <c r="WAH507" s="325"/>
      <c r="WAI507" s="325"/>
      <c r="WAJ507" s="325"/>
      <c r="WAK507" s="325"/>
      <c r="WAL507" s="325"/>
      <c r="WAM507" s="325"/>
      <c r="WAN507" s="325"/>
      <c r="WAO507" s="325"/>
      <c r="WAP507" s="325"/>
      <c r="WAQ507" s="325"/>
      <c r="WAR507" s="325"/>
      <c r="WAS507" s="325"/>
      <c r="WAT507" s="325"/>
      <c r="WAU507" s="325"/>
      <c r="WAV507" s="325"/>
      <c r="WAW507" s="325"/>
      <c r="WAX507" s="325"/>
      <c r="WAY507" s="325"/>
      <c r="WAZ507" s="325"/>
      <c r="WBA507" s="325"/>
      <c r="WBB507" s="325"/>
      <c r="WBC507" s="325"/>
      <c r="WBD507" s="325"/>
      <c r="WBE507" s="325"/>
      <c r="WBF507" s="325"/>
      <c r="WBG507" s="325"/>
      <c r="WBH507" s="325"/>
      <c r="WBI507" s="325"/>
      <c r="WBJ507" s="327"/>
      <c r="WBK507" s="28"/>
      <c r="WBL507" s="324"/>
      <c r="WBM507" s="324"/>
      <c r="WBN507" s="324"/>
      <c r="WBO507" s="324"/>
      <c r="WBP507" s="324"/>
      <c r="WBQ507" s="324"/>
      <c r="WBR507" s="256"/>
      <c r="WBS507" s="325"/>
      <c r="WBT507" s="311"/>
      <c r="WBU507" s="325"/>
      <c r="WBV507" s="310"/>
      <c r="WBW507" s="325"/>
      <c r="WBX507" s="325"/>
      <c r="WBY507" s="325"/>
      <c r="WBZ507" s="325"/>
      <c r="WCA507" s="325"/>
      <c r="WCB507" s="325"/>
      <c r="WCC507" s="325"/>
      <c r="WCD507" s="325"/>
      <c r="WCE507" s="325"/>
      <c r="WCF507" s="325"/>
      <c r="WCG507" s="325"/>
      <c r="WCH507" s="325"/>
      <c r="WCI507" s="325"/>
      <c r="WCJ507" s="325"/>
      <c r="WCK507" s="325"/>
      <c r="WCL507" s="325"/>
      <c r="WCM507" s="325"/>
      <c r="WCN507" s="325"/>
      <c r="WCO507" s="325"/>
      <c r="WCP507" s="325"/>
      <c r="WCQ507" s="325"/>
      <c r="WCR507" s="325"/>
      <c r="WCS507" s="325"/>
      <c r="WCT507" s="325"/>
      <c r="WCU507" s="325"/>
      <c r="WCV507" s="325"/>
      <c r="WCW507" s="325"/>
      <c r="WCX507" s="325"/>
      <c r="WCY507" s="325"/>
      <c r="WCZ507" s="325"/>
      <c r="WDA507" s="327"/>
      <c r="WDB507" s="28"/>
      <c r="WDC507" s="324"/>
      <c r="WDD507" s="324"/>
      <c r="WDE507" s="324"/>
      <c r="WDF507" s="324"/>
      <c r="WDG507" s="324"/>
      <c r="WDH507" s="324"/>
      <c r="WDI507" s="256"/>
      <c r="WDJ507" s="325"/>
      <c r="WDK507" s="311"/>
      <c r="WDL507" s="325"/>
      <c r="WDM507" s="310"/>
      <c r="WDN507" s="325"/>
      <c r="WDO507" s="325"/>
      <c r="WDP507" s="325"/>
      <c r="WDQ507" s="325"/>
      <c r="WDR507" s="325"/>
      <c r="WDS507" s="325"/>
      <c r="WDT507" s="325"/>
      <c r="WDU507" s="325"/>
      <c r="WDV507" s="325"/>
      <c r="WDW507" s="325"/>
      <c r="WDX507" s="325"/>
      <c r="WDY507" s="325"/>
      <c r="WDZ507" s="325"/>
      <c r="WEA507" s="325"/>
      <c r="WEB507" s="325"/>
      <c r="WEC507" s="325"/>
      <c r="WED507" s="325"/>
      <c r="WEE507" s="325"/>
      <c r="WEF507" s="325"/>
      <c r="WEG507" s="325"/>
      <c r="WEH507" s="325"/>
      <c r="WEI507" s="325"/>
      <c r="WEJ507" s="325"/>
      <c r="WEK507" s="325"/>
      <c r="WEL507" s="325"/>
      <c r="WEM507" s="325"/>
      <c r="WEN507" s="325"/>
      <c r="WEO507" s="325"/>
      <c r="WEP507" s="325"/>
      <c r="WEQ507" s="325"/>
      <c r="WER507" s="327"/>
      <c r="WES507" s="28"/>
      <c r="WET507" s="324"/>
      <c r="WEU507" s="324"/>
      <c r="WEV507" s="324"/>
      <c r="WEW507" s="324"/>
      <c r="WEX507" s="324"/>
      <c r="WEY507" s="324"/>
      <c r="WEZ507" s="256"/>
      <c r="WFA507" s="325"/>
      <c r="WFB507" s="311"/>
      <c r="WFC507" s="325"/>
      <c r="WFD507" s="310"/>
      <c r="WFE507" s="325"/>
      <c r="WFF507" s="325"/>
      <c r="WFG507" s="325"/>
      <c r="WFH507" s="325"/>
      <c r="WFI507" s="325"/>
      <c r="WFJ507" s="325"/>
      <c r="WFK507" s="325"/>
      <c r="WFL507" s="325"/>
      <c r="WFM507" s="325"/>
      <c r="WFN507" s="325"/>
      <c r="WFO507" s="325"/>
      <c r="WFP507" s="325"/>
      <c r="WFQ507" s="325"/>
      <c r="WFR507" s="325"/>
      <c r="WFS507" s="325"/>
      <c r="WFT507" s="325"/>
      <c r="WFU507" s="325"/>
      <c r="WFV507" s="325"/>
      <c r="WFW507" s="325"/>
      <c r="WFX507" s="325"/>
      <c r="WFY507" s="325"/>
      <c r="WFZ507" s="325"/>
      <c r="WGA507" s="325"/>
      <c r="WGB507" s="325"/>
      <c r="WGC507" s="325"/>
      <c r="WGD507" s="325"/>
      <c r="WGE507" s="325"/>
      <c r="WGF507" s="325"/>
      <c r="WGG507" s="325"/>
      <c r="WGH507" s="325"/>
      <c r="WGI507" s="327"/>
      <c r="WGJ507" s="28"/>
      <c r="WGK507" s="324"/>
      <c r="WGL507" s="324"/>
      <c r="WGM507" s="324"/>
      <c r="WGN507" s="324"/>
      <c r="WGO507" s="324"/>
      <c r="WGP507" s="324"/>
      <c r="WGQ507" s="256"/>
      <c r="WGR507" s="325"/>
      <c r="WGS507" s="311"/>
      <c r="WGT507" s="325"/>
      <c r="WGU507" s="310"/>
      <c r="WGV507" s="325"/>
      <c r="WGW507" s="325"/>
      <c r="WGX507" s="325"/>
      <c r="WGY507" s="325"/>
      <c r="WGZ507" s="325"/>
      <c r="WHA507" s="325"/>
      <c r="WHB507" s="325"/>
      <c r="WHC507" s="325"/>
      <c r="WHD507" s="325"/>
      <c r="WHE507" s="325"/>
      <c r="WHF507" s="325"/>
      <c r="WHG507" s="325"/>
      <c r="WHH507" s="325"/>
      <c r="WHI507" s="325"/>
      <c r="WHJ507" s="325"/>
      <c r="WHK507" s="325"/>
      <c r="WHL507" s="325"/>
      <c r="WHM507" s="325"/>
      <c r="WHN507" s="325"/>
      <c r="WHO507" s="325"/>
      <c r="WHP507" s="325"/>
      <c r="WHQ507" s="325"/>
      <c r="WHR507" s="325"/>
      <c r="WHS507" s="325"/>
      <c r="WHT507" s="325"/>
      <c r="WHU507" s="325"/>
      <c r="WHV507" s="325"/>
      <c r="WHW507" s="325"/>
      <c r="WHX507" s="325"/>
      <c r="WHY507" s="325"/>
      <c r="WHZ507" s="327"/>
      <c r="WIA507" s="28"/>
      <c r="WIB507" s="324"/>
      <c r="WIC507" s="324"/>
      <c r="WID507" s="324"/>
      <c r="WIE507" s="324"/>
      <c r="WIF507" s="324"/>
      <c r="WIG507" s="324"/>
      <c r="WIH507" s="256"/>
      <c r="WII507" s="325"/>
      <c r="WIJ507" s="311"/>
      <c r="WIK507" s="325"/>
      <c r="WIL507" s="310"/>
      <c r="WIM507" s="325"/>
      <c r="WIN507" s="325"/>
      <c r="WIO507" s="325"/>
      <c r="WIP507" s="325"/>
      <c r="WIQ507" s="325"/>
      <c r="WIR507" s="325"/>
      <c r="WIS507" s="325"/>
      <c r="WIT507" s="325"/>
      <c r="WIU507" s="325"/>
      <c r="WIV507" s="325"/>
      <c r="WIW507" s="325"/>
      <c r="WIX507" s="325"/>
      <c r="WIY507" s="325"/>
      <c r="WIZ507" s="325"/>
      <c r="WJA507" s="325"/>
      <c r="WJB507" s="325"/>
      <c r="WJC507" s="325"/>
      <c r="WJD507" s="325"/>
      <c r="WJE507" s="325"/>
      <c r="WJF507" s="325"/>
      <c r="WJG507" s="325"/>
      <c r="WJH507" s="325"/>
      <c r="WJI507" s="325"/>
      <c r="WJJ507" s="325"/>
      <c r="WJK507" s="325"/>
      <c r="WJL507" s="325"/>
      <c r="WJM507" s="325"/>
      <c r="WJN507" s="325"/>
      <c r="WJO507" s="325"/>
      <c r="WJP507" s="325"/>
      <c r="WJQ507" s="327"/>
      <c r="WJR507" s="28"/>
      <c r="WJS507" s="324"/>
      <c r="WJT507" s="324"/>
      <c r="WJU507" s="324"/>
      <c r="WJV507" s="324"/>
      <c r="WJW507" s="324"/>
      <c r="WJX507" s="324"/>
      <c r="WJY507" s="256"/>
      <c r="WJZ507" s="325"/>
      <c r="WKA507" s="311"/>
      <c r="WKB507" s="325"/>
      <c r="WKC507" s="310"/>
      <c r="WKD507" s="325"/>
      <c r="WKE507" s="325"/>
      <c r="WKF507" s="325"/>
      <c r="WKG507" s="325"/>
      <c r="WKH507" s="325"/>
      <c r="WKI507" s="325"/>
      <c r="WKJ507" s="325"/>
      <c r="WKK507" s="325"/>
      <c r="WKL507" s="325"/>
      <c r="WKM507" s="325"/>
      <c r="WKN507" s="325"/>
      <c r="WKO507" s="325"/>
      <c r="WKP507" s="325"/>
      <c r="WKQ507" s="325"/>
      <c r="WKR507" s="325"/>
      <c r="WKS507" s="325"/>
      <c r="WKT507" s="325"/>
      <c r="WKU507" s="325"/>
      <c r="WKV507" s="325"/>
      <c r="WKW507" s="325"/>
      <c r="WKX507" s="325"/>
      <c r="WKY507" s="325"/>
      <c r="WKZ507" s="325"/>
      <c r="WLA507" s="325"/>
      <c r="WLB507" s="325"/>
      <c r="WLC507" s="325"/>
      <c r="WLD507" s="325"/>
      <c r="WLE507" s="325"/>
      <c r="WLF507" s="325"/>
      <c r="WLG507" s="325"/>
      <c r="WLH507" s="327"/>
      <c r="WLI507" s="28"/>
      <c r="WLJ507" s="324"/>
      <c r="WLK507" s="324"/>
      <c r="WLL507" s="324"/>
      <c r="WLM507" s="324"/>
      <c r="WLN507" s="324"/>
      <c r="WLO507" s="324"/>
      <c r="WLP507" s="256"/>
      <c r="WLQ507" s="325"/>
      <c r="WLR507" s="311"/>
      <c r="WLS507" s="325"/>
      <c r="WLT507" s="310"/>
      <c r="WLU507" s="325"/>
      <c r="WLV507" s="325"/>
      <c r="WLW507" s="325"/>
      <c r="WLX507" s="325"/>
      <c r="WLY507" s="325"/>
      <c r="WLZ507" s="325"/>
      <c r="WMA507" s="325"/>
      <c r="WMB507" s="325"/>
      <c r="WMC507" s="325"/>
      <c r="WMD507" s="325"/>
      <c r="WME507" s="325"/>
      <c r="WMF507" s="325"/>
      <c r="WMG507" s="325"/>
      <c r="WMH507" s="325"/>
      <c r="WMI507" s="325"/>
      <c r="WMJ507" s="325"/>
      <c r="WMK507" s="325"/>
      <c r="WML507" s="325"/>
      <c r="WMM507" s="325"/>
      <c r="WMN507" s="325"/>
      <c r="WMO507" s="325"/>
      <c r="WMP507" s="325"/>
      <c r="WMQ507" s="325"/>
      <c r="WMR507" s="325"/>
      <c r="WMS507" s="325"/>
      <c r="WMT507" s="325"/>
      <c r="WMU507" s="325"/>
      <c r="WMV507" s="325"/>
      <c r="WMW507" s="325"/>
      <c r="WMX507" s="325"/>
      <c r="WMY507" s="327"/>
      <c r="WMZ507" s="28"/>
      <c r="WNA507" s="324"/>
      <c r="WNB507" s="324"/>
      <c r="WNC507" s="324"/>
      <c r="WND507" s="324"/>
      <c r="WNE507" s="324"/>
      <c r="WNF507" s="324"/>
      <c r="WNG507" s="256"/>
      <c r="WNH507" s="325"/>
      <c r="WNI507" s="311"/>
      <c r="WNJ507" s="325"/>
      <c r="WNK507" s="310"/>
      <c r="WNL507" s="325"/>
      <c r="WNM507" s="325"/>
      <c r="WNN507" s="325"/>
      <c r="WNO507" s="325"/>
      <c r="WNP507" s="325"/>
      <c r="WNQ507" s="325"/>
      <c r="WNR507" s="325"/>
      <c r="WNS507" s="325"/>
      <c r="WNT507" s="325"/>
      <c r="WNU507" s="325"/>
      <c r="WNV507" s="325"/>
      <c r="WNW507" s="325"/>
      <c r="WNX507" s="325"/>
      <c r="WNY507" s="325"/>
      <c r="WNZ507" s="325"/>
      <c r="WOA507" s="325"/>
      <c r="WOB507" s="325"/>
      <c r="WOC507" s="325"/>
      <c r="WOD507" s="325"/>
      <c r="WOE507" s="325"/>
      <c r="WOF507" s="325"/>
      <c r="WOG507" s="325"/>
      <c r="WOH507" s="325"/>
      <c r="WOI507" s="325"/>
      <c r="WOJ507" s="325"/>
      <c r="WOK507" s="325"/>
      <c r="WOL507" s="325"/>
      <c r="WOM507" s="325"/>
      <c r="WON507" s="325"/>
      <c r="WOO507" s="325"/>
      <c r="WOP507" s="327"/>
      <c r="WOQ507" s="28"/>
      <c r="WOR507" s="324"/>
      <c r="WOS507" s="324"/>
      <c r="WOT507" s="324"/>
      <c r="WOU507" s="324"/>
      <c r="WOV507" s="324"/>
      <c r="WOW507" s="324"/>
      <c r="WOX507" s="256"/>
      <c r="WOY507" s="325"/>
      <c r="WOZ507" s="311"/>
      <c r="WPA507" s="325"/>
      <c r="WPB507" s="310"/>
      <c r="WPC507" s="325"/>
      <c r="WPD507" s="325"/>
      <c r="WPE507" s="325"/>
      <c r="WPF507" s="325"/>
      <c r="WPG507" s="325"/>
      <c r="WPH507" s="325"/>
      <c r="WPI507" s="325"/>
      <c r="WPJ507" s="325"/>
      <c r="WPK507" s="325"/>
      <c r="WPL507" s="325"/>
      <c r="WPM507" s="325"/>
      <c r="WPN507" s="325"/>
      <c r="WPO507" s="325"/>
      <c r="WPP507" s="325"/>
      <c r="WPQ507" s="325"/>
      <c r="WPR507" s="325"/>
      <c r="WPS507" s="325"/>
      <c r="WPT507" s="325"/>
      <c r="WPU507" s="325"/>
      <c r="WPV507" s="325"/>
      <c r="WPW507" s="325"/>
      <c r="WPX507" s="325"/>
      <c r="WPY507" s="325"/>
      <c r="WPZ507" s="325"/>
      <c r="WQA507" s="325"/>
      <c r="WQB507" s="325"/>
      <c r="WQC507" s="325"/>
      <c r="WQD507" s="325"/>
      <c r="WQE507" s="325"/>
      <c r="WQF507" s="325"/>
      <c r="WQG507" s="327"/>
      <c r="WQH507" s="28"/>
      <c r="WQI507" s="324"/>
      <c r="WQJ507" s="324"/>
      <c r="WQK507" s="324"/>
      <c r="WQL507" s="324"/>
      <c r="WQM507" s="324"/>
      <c r="WQN507" s="324"/>
      <c r="WQO507" s="256"/>
      <c r="WQP507" s="325"/>
      <c r="WQQ507" s="311"/>
      <c r="WQR507" s="325"/>
      <c r="WQS507" s="310"/>
      <c r="WQT507" s="325"/>
      <c r="WQU507" s="325"/>
      <c r="WQV507" s="325"/>
      <c r="WQW507" s="325"/>
      <c r="WQX507" s="325"/>
      <c r="WQY507" s="325"/>
      <c r="WQZ507" s="325"/>
      <c r="WRA507" s="325"/>
      <c r="WRB507" s="325"/>
      <c r="WRC507" s="325"/>
      <c r="WRD507" s="325"/>
      <c r="WRE507" s="325"/>
      <c r="WRF507" s="325"/>
      <c r="WRG507" s="325"/>
      <c r="WRH507" s="325"/>
      <c r="WRI507" s="325"/>
      <c r="WRJ507" s="325"/>
      <c r="WRK507" s="325"/>
      <c r="WRL507" s="325"/>
      <c r="WRM507" s="325"/>
      <c r="WRN507" s="325"/>
      <c r="WRO507" s="325"/>
      <c r="WRP507" s="325"/>
      <c r="WRQ507" s="325"/>
      <c r="WRR507" s="325"/>
      <c r="WRS507" s="325"/>
      <c r="WRT507" s="325"/>
      <c r="WRU507" s="325"/>
      <c r="WRV507" s="325"/>
      <c r="WRW507" s="325"/>
      <c r="WRX507" s="327"/>
      <c r="WRY507" s="28"/>
      <c r="WRZ507" s="324"/>
      <c r="WSA507" s="324"/>
      <c r="WSB507" s="324"/>
      <c r="WSC507" s="324"/>
      <c r="WSD507" s="324"/>
      <c r="WSE507" s="324"/>
      <c r="WSF507" s="256"/>
      <c r="WSG507" s="325"/>
      <c r="WSH507" s="311"/>
      <c r="WSI507" s="325"/>
      <c r="WSJ507" s="310"/>
      <c r="WSK507" s="325"/>
      <c r="WSL507" s="325"/>
      <c r="WSM507" s="325"/>
      <c r="WSN507" s="325"/>
      <c r="WSO507" s="325"/>
      <c r="WSP507" s="325"/>
      <c r="WSQ507" s="325"/>
      <c r="WSR507" s="325"/>
      <c r="WSS507" s="325"/>
      <c r="WST507" s="325"/>
      <c r="WSU507" s="325"/>
      <c r="WSV507" s="325"/>
      <c r="WSW507" s="325"/>
      <c r="WSX507" s="325"/>
      <c r="WSY507" s="325"/>
      <c r="WSZ507" s="325"/>
      <c r="WTA507" s="325"/>
      <c r="WTB507" s="325"/>
      <c r="WTC507" s="325"/>
      <c r="WTD507" s="325"/>
      <c r="WTE507" s="325"/>
      <c r="WTF507" s="325"/>
      <c r="WTG507" s="325"/>
      <c r="WTH507" s="325"/>
      <c r="WTI507" s="325"/>
      <c r="WTJ507" s="325"/>
      <c r="WTK507" s="325"/>
      <c r="WTL507" s="325"/>
      <c r="WTM507" s="325"/>
      <c r="WTN507" s="325"/>
      <c r="WTO507" s="327"/>
      <c r="WTP507" s="28"/>
      <c r="WTQ507" s="324"/>
      <c r="WTR507" s="324"/>
      <c r="WTS507" s="324"/>
      <c r="WTT507" s="324"/>
      <c r="WTU507" s="324"/>
      <c r="WTV507" s="324"/>
      <c r="WTW507" s="256"/>
      <c r="WTX507" s="325"/>
      <c r="WTY507" s="311"/>
      <c r="WTZ507" s="325"/>
      <c r="WUA507" s="310"/>
      <c r="WUB507" s="325"/>
      <c r="WUC507" s="325"/>
      <c r="WUD507" s="325"/>
      <c r="WUE507" s="325"/>
      <c r="WUF507" s="325"/>
      <c r="WUG507" s="325"/>
      <c r="WUH507" s="325"/>
      <c r="WUI507" s="325"/>
      <c r="WUJ507" s="325"/>
      <c r="WUK507" s="325"/>
      <c r="WUL507" s="325"/>
      <c r="WUM507" s="325"/>
      <c r="WUN507" s="325"/>
      <c r="WUO507" s="325"/>
      <c r="WUP507" s="325"/>
      <c r="WUQ507" s="325"/>
      <c r="WUR507" s="325"/>
      <c r="WUS507" s="325"/>
      <c r="WUT507" s="325"/>
      <c r="WUU507" s="325"/>
      <c r="WUV507" s="325"/>
      <c r="WUW507" s="325"/>
      <c r="WUX507" s="325"/>
      <c r="WUY507" s="325"/>
      <c r="WUZ507" s="325"/>
      <c r="WVA507" s="325"/>
      <c r="WVB507" s="325"/>
      <c r="WVC507" s="325"/>
      <c r="WVD507" s="325"/>
      <c r="WVE507" s="325"/>
      <c r="WVF507" s="327"/>
      <c r="WVG507" s="28"/>
      <c r="WVH507" s="324"/>
      <c r="WVI507" s="324"/>
      <c r="WVJ507" s="324"/>
      <c r="WVK507" s="324"/>
      <c r="WVL507" s="324"/>
      <c r="WVM507" s="324"/>
      <c r="WVN507" s="256"/>
      <c r="WVO507" s="325"/>
      <c r="WVP507" s="311"/>
      <c r="WVQ507" s="325"/>
      <c r="WVR507" s="310"/>
      <c r="WVS507" s="325"/>
      <c r="WVT507" s="325"/>
      <c r="WVU507" s="325"/>
      <c r="WVV507" s="325"/>
      <c r="WVW507" s="325"/>
      <c r="WVX507" s="325"/>
      <c r="WVY507" s="325"/>
      <c r="WVZ507" s="325"/>
      <c r="WWA507" s="325"/>
      <c r="WWB507" s="325"/>
      <c r="WWC507" s="325"/>
      <c r="WWD507" s="325"/>
      <c r="WWE507" s="325"/>
      <c r="WWF507" s="325"/>
      <c r="WWG507" s="325"/>
      <c r="WWH507" s="325"/>
      <c r="WWI507" s="325"/>
      <c r="WWJ507" s="325"/>
      <c r="WWK507" s="325"/>
      <c r="WWL507" s="325"/>
      <c r="WWM507" s="325"/>
      <c r="WWN507" s="325"/>
      <c r="WWO507" s="325"/>
      <c r="WWP507" s="325"/>
      <c r="WWQ507" s="325"/>
      <c r="WWR507" s="325"/>
      <c r="WWS507" s="325"/>
      <c r="WWT507" s="325"/>
      <c r="WWU507" s="325"/>
      <c r="WWV507" s="325"/>
      <c r="WWW507" s="327"/>
      <c r="WWX507" s="28"/>
      <c r="WWY507" s="324"/>
      <c r="WWZ507" s="324"/>
      <c r="WXA507" s="324"/>
      <c r="WXB507" s="324"/>
      <c r="WXC507" s="324"/>
      <c r="WXD507" s="324"/>
      <c r="WXE507" s="256"/>
      <c r="WXF507" s="325"/>
      <c r="WXG507" s="311"/>
      <c r="WXH507" s="325"/>
      <c r="WXI507" s="310"/>
      <c r="WXJ507" s="325"/>
      <c r="WXK507" s="325"/>
      <c r="WXL507" s="325"/>
      <c r="WXM507" s="325"/>
      <c r="WXN507" s="325"/>
      <c r="WXO507" s="325"/>
      <c r="WXP507" s="325"/>
      <c r="WXQ507" s="325"/>
      <c r="WXR507" s="325"/>
      <c r="WXS507" s="325"/>
      <c r="WXT507" s="325"/>
      <c r="WXU507" s="325"/>
      <c r="WXV507" s="325"/>
      <c r="WXW507" s="325"/>
      <c r="WXX507" s="325"/>
      <c r="WXY507" s="325"/>
      <c r="WXZ507" s="325"/>
      <c r="WYA507" s="325"/>
      <c r="WYB507" s="325"/>
      <c r="WYC507" s="325"/>
      <c r="WYD507" s="325"/>
      <c r="WYE507" s="325"/>
      <c r="WYF507" s="325"/>
      <c r="WYG507" s="325"/>
      <c r="WYH507" s="325"/>
      <c r="WYI507" s="325"/>
      <c r="WYJ507" s="325"/>
      <c r="WYK507" s="325"/>
      <c r="WYL507" s="325"/>
      <c r="WYM507" s="325"/>
      <c r="WYN507" s="327"/>
      <c r="WYO507" s="28"/>
      <c r="WYP507" s="324"/>
      <c r="WYQ507" s="324"/>
      <c r="WYR507" s="324"/>
      <c r="WYS507" s="324"/>
      <c r="WYT507" s="324"/>
      <c r="WYU507" s="324"/>
      <c r="WYV507" s="256"/>
      <c r="WYW507" s="325"/>
      <c r="WYX507" s="311"/>
      <c r="WYY507" s="325"/>
      <c r="WYZ507" s="310"/>
      <c r="WZA507" s="325"/>
      <c r="WZB507" s="325"/>
      <c r="WZC507" s="325"/>
      <c r="WZD507" s="325"/>
      <c r="WZE507" s="325"/>
      <c r="WZF507" s="325"/>
      <c r="WZG507" s="325"/>
      <c r="WZH507" s="325"/>
      <c r="WZI507" s="325"/>
      <c r="WZJ507" s="325"/>
      <c r="WZK507" s="325"/>
      <c r="WZL507" s="325"/>
      <c r="WZM507" s="325"/>
      <c r="WZN507" s="325"/>
      <c r="WZO507" s="325"/>
      <c r="WZP507" s="325"/>
      <c r="WZQ507" s="325"/>
      <c r="WZR507" s="325"/>
      <c r="WZS507" s="325"/>
      <c r="WZT507" s="325"/>
      <c r="WZU507" s="325"/>
      <c r="WZV507" s="325"/>
      <c r="WZW507" s="325"/>
      <c r="WZX507" s="325"/>
      <c r="WZY507" s="325"/>
      <c r="WZZ507" s="325"/>
      <c r="XAA507" s="325"/>
      <c r="XAB507" s="325"/>
      <c r="XAC507" s="325"/>
      <c r="XAD507" s="325"/>
      <c r="XAE507" s="327"/>
      <c r="XAF507" s="28"/>
      <c r="XAG507" s="324"/>
      <c r="XAH507" s="324"/>
      <c r="XAI507" s="324"/>
      <c r="XAJ507" s="324"/>
      <c r="XAK507" s="324"/>
      <c r="XAL507" s="324"/>
      <c r="XAM507" s="256"/>
      <c r="XAN507" s="325"/>
      <c r="XAO507" s="311"/>
      <c r="XAP507" s="325"/>
      <c r="XAQ507" s="310"/>
      <c r="XAR507" s="325"/>
      <c r="XAS507" s="325"/>
      <c r="XAT507" s="325"/>
      <c r="XAU507" s="325"/>
      <c r="XAV507" s="325"/>
      <c r="XAW507" s="325"/>
      <c r="XAX507" s="325"/>
      <c r="XAY507" s="325"/>
      <c r="XAZ507" s="325"/>
      <c r="XBA507" s="325"/>
      <c r="XBB507" s="325"/>
      <c r="XBC507" s="325"/>
      <c r="XBD507" s="325"/>
      <c r="XBE507" s="325"/>
      <c r="XBF507" s="325"/>
      <c r="XBG507" s="325"/>
      <c r="XBH507" s="325"/>
      <c r="XBI507" s="325"/>
      <c r="XBJ507" s="325"/>
      <c r="XBK507" s="325"/>
      <c r="XBL507" s="325"/>
      <c r="XBM507" s="325"/>
      <c r="XBN507" s="325"/>
      <c r="XBO507" s="325"/>
      <c r="XBP507" s="325"/>
      <c r="XBQ507" s="325"/>
      <c r="XBR507" s="325"/>
      <c r="XBS507" s="325"/>
      <c r="XBT507" s="325"/>
      <c r="XBU507" s="325"/>
      <c r="XBV507" s="327"/>
      <c r="XBW507" s="28"/>
      <c r="XBX507" s="324"/>
      <c r="XBY507" s="324"/>
      <c r="XBZ507" s="324"/>
      <c r="XCA507" s="324"/>
      <c r="XCB507" s="324"/>
      <c r="XCC507" s="324"/>
      <c r="XCD507" s="256"/>
      <c r="XCE507" s="325"/>
      <c r="XCF507" s="311"/>
      <c r="XCG507" s="325"/>
      <c r="XCH507" s="310"/>
      <c r="XCI507" s="325"/>
      <c r="XCJ507" s="325"/>
      <c r="XCK507" s="325"/>
      <c r="XCL507" s="325"/>
      <c r="XCM507" s="325"/>
      <c r="XCN507" s="325"/>
      <c r="XCO507" s="325"/>
      <c r="XCP507" s="325"/>
      <c r="XCQ507" s="325"/>
      <c r="XCR507" s="325"/>
      <c r="XCS507" s="325"/>
      <c r="XCT507" s="325"/>
      <c r="XCU507" s="325"/>
      <c r="XCV507" s="325"/>
      <c r="XCW507" s="325"/>
      <c r="XCX507" s="325"/>
      <c r="XCY507" s="325"/>
      <c r="XCZ507" s="325"/>
      <c r="XDA507" s="325"/>
      <c r="XDB507" s="325"/>
      <c r="XDC507" s="325"/>
      <c r="XDD507" s="325"/>
      <c r="XDE507" s="325"/>
      <c r="XDF507" s="325"/>
      <c r="XDG507" s="325"/>
      <c r="XDH507" s="325"/>
      <c r="XDI507" s="325"/>
      <c r="XDJ507" s="325"/>
      <c r="XDK507" s="325"/>
      <c r="XDL507" s="325"/>
      <c r="XDM507" s="327"/>
      <c r="XDN507" s="28"/>
      <c r="XDO507" s="324"/>
      <c r="XDP507" s="324"/>
      <c r="XDQ507" s="324"/>
      <c r="XDR507" s="324"/>
      <c r="XDS507" s="324"/>
      <c r="XDT507" s="324"/>
      <c r="XDU507" s="256"/>
      <c r="XDV507" s="325"/>
      <c r="XDW507" s="311"/>
      <c r="XDX507" s="325"/>
      <c r="XDY507" s="310"/>
      <c r="XDZ507" s="325"/>
      <c r="XEA507" s="325"/>
      <c r="XEB507" s="325"/>
      <c r="XEC507" s="325"/>
      <c r="XED507" s="325"/>
      <c r="XEE507" s="325"/>
      <c r="XEF507" s="325"/>
      <c r="XEG507" s="325"/>
      <c r="XEH507" s="325"/>
      <c r="XEI507" s="325"/>
      <c r="XEJ507" s="325"/>
      <c r="XEK507" s="325"/>
      <c r="XEL507" s="325"/>
      <c r="XEM507" s="325"/>
      <c r="XEN507" s="325"/>
      <c r="XEO507" s="325"/>
      <c r="XEP507" s="325"/>
      <c r="XEQ507" s="325"/>
      <c r="XER507" s="325"/>
      <c r="XES507" s="325"/>
      <c r="XET507" s="325"/>
      <c r="XEU507" s="325"/>
      <c r="XEV507" s="325"/>
      <c r="XEW507" s="325"/>
      <c r="XEX507" s="325"/>
      <c r="XEY507" s="325"/>
      <c r="XEZ507" s="325"/>
      <c r="XFA507" s="325"/>
      <c r="XFB507" s="325"/>
      <c r="XFC507" s="325"/>
      <c r="XFD507" s="327"/>
    </row>
    <row r="508" spans="1:16384">
      <c r="E508" s="325"/>
      <c r="G508" s="39"/>
      <c r="H508" s="39"/>
      <c r="I508" s="39"/>
      <c r="J508" s="39"/>
      <c r="K508" s="39"/>
      <c r="R508" s="38">
        <f t="shared" ref="R508:AU508" si="356">ROUNDDOWN((R507-InServiceYr+1)/5,0)</f>
        <v>0</v>
      </c>
      <c r="S508" s="38">
        <f t="shared" si="356"/>
        <v>0</v>
      </c>
      <c r="T508" s="38">
        <f t="shared" si="356"/>
        <v>0</v>
      </c>
      <c r="U508" s="38">
        <f t="shared" si="356"/>
        <v>0</v>
      </c>
      <c r="V508" s="38">
        <f t="shared" si="356"/>
        <v>1</v>
      </c>
      <c r="W508" s="38">
        <f t="shared" si="356"/>
        <v>1</v>
      </c>
      <c r="X508" s="38">
        <f t="shared" si="356"/>
        <v>1</v>
      </c>
      <c r="Y508" s="38">
        <f t="shared" si="356"/>
        <v>1</v>
      </c>
      <c r="Z508" s="38">
        <f t="shared" si="356"/>
        <v>1</v>
      </c>
      <c r="AA508" s="38">
        <f t="shared" si="356"/>
        <v>2</v>
      </c>
      <c r="AB508" s="38">
        <f t="shared" si="356"/>
        <v>2</v>
      </c>
      <c r="AC508" s="38">
        <f t="shared" si="356"/>
        <v>2</v>
      </c>
      <c r="AD508" s="38">
        <f t="shared" si="356"/>
        <v>2</v>
      </c>
      <c r="AE508" s="38">
        <f t="shared" si="356"/>
        <v>2</v>
      </c>
      <c r="AF508" s="38">
        <f t="shared" si="356"/>
        <v>3</v>
      </c>
      <c r="AG508" s="38">
        <f t="shared" si="356"/>
        <v>3</v>
      </c>
      <c r="AH508" s="38">
        <f t="shared" si="356"/>
        <v>3</v>
      </c>
      <c r="AI508" s="38">
        <f t="shared" si="356"/>
        <v>3</v>
      </c>
      <c r="AJ508" s="38">
        <f t="shared" si="356"/>
        <v>3</v>
      </c>
      <c r="AK508" s="38">
        <f t="shared" si="356"/>
        <v>4</v>
      </c>
      <c r="AL508" s="38">
        <f t="shared" si="356"/>
        <v>4</v>
      </c>
      <c r="AM508" s="38">
        <f t="shared" si="356"/>
        <v>4</v>
      </c>
      <c r="AN508" s="38">
        <f t="shared" si="356"/>
        <v>4</v>
      </c>
      <c r="AO508" s="38">
        <f t="shared" si="356"/>
        <v>4</v>
      </c>
      <c r="AP508" s="38">
        <f t="shared" si="356"/>
        <v>5</v>
      </c>
      <c r="AQ508" s="38">
        <f t="shared" si="356"/>
        <v>5</v>
      </c>
      <c r="AR508" s="38">
        <f t="shared" si="356"/>
        <v>5</v>
      </c>
      <c r="AS508" s="38">
        <f t="shared" si="356"/>
        <v>5</v>
      </c>
      <c r="AT508" s="38">
        <f t="shared" si="356"/>
        <v>5</v>
      </c>
      <c r="AU508" s="38">
        <f t="shared" si="356"/>
        <v>6</v>
      </c>
    </row>
    <row r="509" spans="1:16384">
      <c r="E509" s="325"/>
      <c r="G509" s="38" t="s">
        <v>310</v>
      </c>
      <c r="N509" s="320"/>
      <c r="P509" s="320"/>
      <c r="R509" s="38">
        <f>R508-Q508</f>
        <v>0</v>
      </c>
      <c r="S509" s="38">
        <f t="shared" ref="S509:AU509" si="357">S508-R508</f>
        <v>0</v>
      </c>
      <c r="T509" s="38">
        <f t="shared" si="357"/>
        <v>0</v>
      </c>
      <c r="U509" s="38">
        <f t="shared" si="357"/>
        <v>0</v>
      </c>
      <c r="V509" s="38">
        <f t="shared" si="357"/>
        <v>1</v>
      </c>
      <c r="W509" s="38">
        <f t="shared" si="357"/>
        <v>0</v>
      </c>
      <c r="X509" s="38">
        <f t="shared" si="357"/>
        <v>0</v>
      </c>
      <c r="Y509" s="38">
        <f t="shared" si="357"/>
        <v>0</v>
      </c>
      <c r="Z509" s="38">
        <f t="shared" si="357"/>
        <v>0</v>
      </c>
      <c r="AA509" s="38">
        <f t="shared" si="357"/>
        <v>1</v>
      </c>
      <c r="AB509" s="38">
        <f t="shared" si="357"/>
        <v>0</v>
      </c>
      <c r="AC509" s="38">
        <f t="shared" si="357"/>
        <v>0</v>
      </c>
      <c r="AD509" s="38">
        <f t="shared" si="357"/>
        <v>0</v>
      </c>
      <c r="AE509" s="38">
        <f t="shared" si="357"/>
        <v>0</v>
      </c>
      <c r="AF509" s="38">
        <f t="shared" si="357"/>
        <v>1</v>
      </c>
      <c r="AG509" s="38">
        <f t="shared" si="357"/>
        <v>0</v>
      </c>
      <c r="AH509" s="38">
        <f t="shared" si="357"/>
        <v>0</v>
      </c>
      <c r="AI509" s="38">
        <f t="shared" si="357"/>
        <v>0</v>
      </c>
      <c r="AJ509" s="38">
        <f t="shared" si="357"/>
        <v>0</v>
      </c>
      <c r="AK509" s="38">
        <f t="shared" si="357"/>
        <v>1</v>
      </c>
      <c r="AL509" s="38">
        <f t="shared" si="357"/>
        <v>0</v>
      </c>
      <c r="AM509" s="38">
        <f t="shared" si="357"/>
        <v>0</v>
      </c>
      <c r="AN509" s="38">
        <f t="shared" si="357"/>
        <v>0</v>
      </c>
      <c r="AO509" s="38">
        <f t="shared" si="357"/>
        <v>0</v>
      </c>
      <c r="AP509" s="38">
        <f t="shared" si="357"/>
        <v>1</v>
      </c>
      <c r="AQ509" s="38">
        <f t="shared" si="357"/>
        <v>0</v>
      </c>
      <c r="AR509" s="38">
        <f t="shared" si="357"/>
        <v>0</v>
      </c>
      <c r="AS509" s="38">
        <f t="shared" si="357"/>
        <v>0</v>
      </c>
      <c r="AT509" s="38">
        <f t="shared" si="357"/>
        <v>0</v>
      </c>
      <c r="AU509" s="38">
        <f t="shared" si="357"/>
        <v>1</v>
      </c>
    </row>
    <row r="511" spans="1:16384">
      <c r="E511" s="327"/>
      <c r="F511" s="28"/>
      <c r="G511" s="324" t="s">
        <v>865</v>
      </c>
      <c r="H511" s="324"/>
      <c r="I511" s="324"/>
      <c r="J511" s="324"/>
      <c r="K511" s="324"/>
      <c r="L511" s="405"/>
      <c r="M511" s="256"/>
      <c r="N511" s="325"/>
      <c r="O511" s="311"/>
      <c r="P511" s="325"/>
      <c r="Q511" s="310"/>
      <c r="R511" s="325"/>
      <c r="S511" s="325"/>
      <c r="T511" s="325"/>
      <c r="U511" s="325"/>
      <c r="V511" s="325"/>
      <c r="W511" s="325"/>
      <c r="X511" s="325"/>
      <c r="Y511" s="325"/>
      <c r="Z511" s="325"/>
      <c r="AA511" s="325"/>
      <c r="AB511" s="325"/>
      <c r="AC511" s="325"/>
      <c r="AD511" s="325"/>
      <c r="AE511" s="325"/>
      <c r="AF511" s="325"/>
      <c r="AG511" s="325"/>
      <c r="AH511" s="325"/>
      <c r="AI511" s="325"/>
      <c r="AJ511" s="325"/>
      <c r="AK511" s="325"/>
      <c r="AL511" s="325"/>
      <c r="AM511" s="325"/>
      <c r="AN511" s="325"/>
      <c r="AO511" s="325"/>
      <c r="AP511" s="325"/>
      <c r="AQ511" s="325"/>
      <c r="AR511" s="325"/>
      <c r="AS511" s="325"/>
      <c r="AT511" s="325"/>
      <c r="AU511" s="325"/>
    </row>
    <row r="512" spans="1:16384">
      <c r="E512" s="325"/>
      <c r="G512" s="39"/>
      <c r="H512" s="39"/>
      <c r="I512" s="39"/>
      <c r="J512" s="39"/>
      <c r="K512" s="39"/>
    </row>
    <row r="513" spans="5:47">
      <c r="E513" s="325"/>
      <c r="G513" s="36" t="s">
        <v>865</v>
      </c>
      <c r="H513" s="39"/>
      <c r="I513" s="39"/>
      <c r="J513" s="70"/>
      <c r="K513" s="39"/>
      <c r="L513" s="43"/>
      <c r="N513" s="320"/>
      <c r="P513" s="320"/>
      <c r="Q513" s="52"/>
      <c r="R513" s="52">
        <f>Assumptions!M56</f>
        <v>0</v>
      </c>
      <c r="S513" s="52">
        <f>Assumptions!N56</f>
        <v>0</v>
      </c>
      <c r="T513" s="52">
        <f>Assumptions!O56</f>
        <v>0</v>
      </c>
      <c r="U513" s="52">
        <f>Assumptions!P56</f>
        <v>0</v>
      </c>
      <c r="V513" s="52">
        <f>Assumptions!Q56</f>
        <v>0</v>
      </c>
      <c r="W513" s="52">
        <f>Assumptions!R56</f>
        <v>0</v>
      </c>
      <c r="X513" s="52">
        <f>Assumptions!S56</f>
        <v>0</v>
      </c>
      <c r="Y513" s="52">
        <f>Assumptions!T56</f>
        <v>0</v>
      </c>
      <c r="Z513" s="52">
        <f>Assumptions!U56</f>
        <v>0</v>
      </c>
      <c r="AA513" s="52">
        <f>Assumptions!V56</f>
        <v>0</v>
      </c>
      <c r="AB513" s="52">
        <f>Assumptions!W56</f>
        <v>0</v>
      </c>
      <c r="AC513" s="52">
        <f>Assumptions!X56</f>
        <v>0</v>
      </c>
      <c r="AD513" s="52">
        <f>Assumptions!Y56</f>
        <v>0</v>
      </c>
      <c r="AE513" s="52">
        <f>Assumptions!Z56</f>
        <v>0</v>
      </c>
      <c r="AF513" s="52">
        <f>Assumptions!AA56</f>
        <v>0</v>
      </c>
      <c r="AG513" s="52">
        <f>Assumptions!AB56</f>
        <v>0</v>
      </c>
      <c r="AH513" s="52">
        <f>Assumptions!AC56</f>
        <v>0</v>
      </c>
      <c r="AI513" s="52">
        <f>Assumptions!AD56</f>
        <v>0</v>
      </c>
      <c r="AJ513" s="52">
        <f>Assumptions!AE56</f>
        <v>0</v>
      </c>
      <c r="AK513" s="52">
        <f>Assumptions!AF56</f>
        <v>0</v>
      </c>
      <c r="AL513" s="52">
        <f>Assumptions!AG56</f>
        <v>0</v>
      </c>
      <c r="AM513" s="52">
        <f>Assumptions!AH56</f>
        <v>0</v>
      </c>
      <c r="AN513" s="52">
        <f>Assumptions!AI56</f>
        <v>0</v>
      </c>
      <c r="AO513" s="52">
        <f>Assumptions!AJ56</f>
        <v>0</v>
      </c>
      <c r="AP513" s="52">
        <f>Assumptions!AK56</f>
        <v>0</v>
      </c>
      <c r="AQ513" s="52">
        <f>Assumptions!AL56</f>
        <v>0</v>
      </c>
      <c r="AR513" s="52">
        <f>Assumptions!AM56</f>
        <v>0</v>
      </c>
      <c r="AS513" s="52">
        <f>Assumptions!AN56</f>
        <v>0</v>
      </c>
      <c r="AT513" s="52">
        <f>Assumptions!AO56</f>
        <v>0</v>
      </c>
      <c r="AU513" s="52">
        <f>Assumptions!AP56</f>
        <v>0</v>
      </c>
    </row>
    <row r="525" spans="5:47">
      <c r="N525" s="200"/>
      <c r="O525" s="316"/>
      <c r="P525" s="200"/>
      <c r="Q525" s="316"/>
      <c r="R525" s="198"/>
      <c r="S525" s="199"/>
    </row>
    <row r="526" spans="5:47">
      <c r="N526" s="200"/>
      <c r="O526" s="316"/>
      <c r="P526" s="200"/>
      <c r="Q526" s="316"/>
      <c r="R526" s="198"/>
      <c r="S526" s="199"/>
    </row>
    <row r="527" spans="5:47">
      <c r="N527" s="200"/>
      <c r="O527" s="316"/>
      <c r="P527" s="200"/>
      <c r="Q527" s="316"/>
      <c r="R527" s="198"/>
      <c r="S527" s="199"/>
    </row>
    <row r="528" spans="5:47">
      <c r="N528" s="200"/>
      <c r="O528" s="316"/>
      <c r="P528" s="200"/>
      <c r="Q528" s="316"/>
      <c r="R528" s="198"/>
      <c r="S528" s="199"/>
    </row>
    <row r="529" spans="14:19">
      <c r="N529" s="200"/>
      <c r="O529" s="316"/>
      <c r="P529" s="200"/>
      <c r="Q529" s="316"/>
      <c r="R529" s="198"/>
      <c r="S529" s="199"/>
    </row>
    <row r="530" spans="14:19">
      <c r="N530" s="200"/>
      <c r="O530" s="316"/>
      <c r="P530" s="200"/>
      <c r="Q530" s="316"/>
      <c r="R530" s="198"/>
      <c r="S530" s="199"/>
    </row>
    <row r="531" spans="14:19">
      <c r="N531" s="200"/>
      <c r="O531" s="316"/>
      <c r="P531" s="200"/>
      <c r="Q531" s="316"/>
      <c r="R531" s="198"/>
      <c r="S531" s="199"/>
    </row>
    <row r="532" spans="14:19">
      <c r="N532" s="200"/>
      <c r="O532" s="316"/>
      <c r="P532" s="200"/>
      <c r="Q532" s="316"/>
      <c r="R532" s="198"/>
      <c r="S532" s="199"/>
    </row>
    <row r="533" spans="14:19">
      <c r="N533" s="200"/>
      <c r="O533" s="316"/>
      <c r="P533" s="200"/>
      <c r="Q533" s="316"/>
      <c r="R533" s="198"/>
      <c r="S533" s="199"/>
    </row>
    <row r="534" spans="14:19">
      <c r="N534" s="200"/>
      <c r="O534" s="316"/>
      <c r="P534" s="200"/>
      <c r="Q534" s="316"/>
      <c r="R534" s="198"/>
      <c r="S534" s="199"/>
    </row>
  </sheetData>
  <dataConsolidate/>
  <dataValidations disablePrompts="1" count="1">
    <dataValidation type="list" allowBlank="1" showInputMessage="1" showErrorMessage="1" sqref="J4">
      <formula1>ConfigDropdown</formula1>
    </dataValidation>
  </dataValidations>
  <pageMargins left="0.75" right="0.75" top="1" bottom="1" header="0.5" footer="0.5"/>
  <pageSetup scale="60" pageOrder="overThenDown" orientation="landscape" r:id="rId1"/>
  <headerFooter alignWithMargins="0"/>
  <rowBreaks count="2" manualBreakCount="2">
    <brk id="39" min="17" max="46" man="1"/>
    <brk id="66" min="17" max="46" man="1"/>
  </rowBreaks>
</worksheet>
</file>

<file path=xl/worksheets/sheet23.xml><?xml version="1.0" encoding="utf-8"?>
<worksheet xmlns="http://schemas.openxmlformats.org/spreadsheetml/2006/main" xmlns:r="http://schemas.openxmlformats.org/officeDocument/2006/relationships">
  <sheetPr>
    <tabColor rgb="FFC00000"/>
  </sheetPr>
  <dimension ref="A1:XFD534"/>
  <sheetViews>
    <sheetView showGridLines="0" topLeftCell="E47" zoomScale="55" zoomScaleNormal="55" zoomScalePageLayoutView="85" workbookViewId="0">
      <selection activeCell="G69" sqref="G69:H87"/>
    </sheetView>
  </sheetViews>
  <sheetFormatPr defaultColWidth="8.85546875" defaultRowHeight="15" outlineLevelCol="1"/>
  <cols>
    <col min="1" max="2" width="8.85546875" style="38" hidden="1" customWidth="1" outlineLevel="1"/>
    <col min="3" max="3" width="42.28515625" style="38" hidden="1" customWidth="1" outlineLevel="1"/>
    <col min="4" max="4" width="13" style="38" hidden="1" customWidth="1" outlineLevel="1"/>
    <col min="5" max="5" width="3.7109375" style="38" customWidth="1" collapsed="1"/>
    <col min="6" max="6" width="3.28515625" style="38" customWidth="1"/>
    <col min="7" max="7" width="7.140625" style="38" customWidth="1"/>
    <col min="8" max="8" width="28.42578125" style="38" customWidth="1"/>
    <col min="9" max="9" width="1.85546875" style="38" customWidth="1"/>
    <col min="10" max="10" width="10.140625" style="38" customWidth="1"/>
    <col min="11" max="11" width="1.42578125" style="38" customWidth="1"/>
    <col min="12" max="12" width="25.7109375" style="408" customWidth="1"/>
    <col min="13" max="13" width="0.85546875" style="38" customWidth="1"/>
    <col min="14" max="14" width="18.28515625" style="38" customWidth="1"/>
    <col min="15" max="15" width="1" style="42" customWidth="1"/>
    <col min="16" max="16" width="18.28515625" style="38" customWidth="1"/>
    <col min="17" max="17" width="1" style="42" customWidth="1"/>
    <col min="18" max="47" width="14.28515625" style="38" customWidth="1"/>
    <col min="48" max="68" width="9.42578125" style="38" customWidth="1"/>
    <col min="69" max="16384" width="8.85546875" style="38"/>
  </cols>
  <sheetData>
    <row r="1" spans="1:47" s="28" customFormat="1">
      <c r="L1" s="406"/>
      <c r="O1" s="197"/>
      <c r="Q1" s="197"/>
    </row>
    <row r="2" spans="1:47" s="28" customFormat="1" ht="18.75">
      <c r="H2" s="29" t="s">
        <v>17</v>
      </c>
      <c r="I2" s="29"/>
      <c r="J2" s="29" t="s">
        <v>294</v>
      </c>
      <c r="K2" s="29"/>
      <c r="L2" s="406"/>
      <c r="O2" s="197"/>
      <c r="Q2" s="197"/>
    </row>
    <row r="3" spans="1:47" s="28" customFormat="1" ht="18.75">
      <c r="H3" s="29" t="s">
        <v>18</v>
      </c>
      <c r="I3" s="29"/>
      <c r="J3" s="29" t="s">
        <v>295</v>
      </c>
      <c r="K3" s="29"/>
      <c r="L3" s="406"/>
      <c r="O3" s="197"/>
      <c r="Q3" s="197"/>
      <c r="R3" s="193"/>
    </row>
    <row r="4" spans="1:47" s="28" customFormat="1" ht="18.75">
      <c r="G4" s="968"/>
      <c r="H4" s="29" t="s">
        <v>297</v>
      </c>
      <c r="J4" s="29" t="s">
        <v>528</v>
      </c>
      <c r="L4" s="406"/>
      <c r="O4" s="197"/>
      <c r="Q4" s="197"/>
    </row>
    <row r="5" spans="1:47" s="28" customFormat="1">
      <c r="H5" s="31"/>
      <c r="I5" s="31"/>
      <c r="J5" s="31"/>
      <c r="K5" s="31"/>
      <c r="L5" s="406"/>
      <c r="O5" s="197"/>
      <c r="Q5" s="197"/>
    </row>
    <row r="6" spans="1:47" s="42" customFormat="1">
      <c r="A6" s="317"/>
      <c r="B6" s="317"/>
      <c r="C6" s="317"/>
      <c r="D6" s="317"/>
      <c r="E6" s="317"/>
      <c r="F6" s="317"/>
      <c r="G6" s="318" t="s">
        <v>505</v>
      </c>
      <c r="H6" s="317"/>
      <c r="I6" s="317"/>
      <c r="J6" s="317"/>
      <c r="K6" s="317"/>
      <c r="L6" s="40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row>
    <row r="7" spans="1:47" s="28" customFormat="1">
      <c r="L7" s="406"/>
      <c r="O7" s="197"/>
      <c r="Q7" s="197"/>
    </row>
    <row r="8" spans="1:47" s="28" customFormat="1">
      <c r="A8" s="40" t="s">
        <v>254</v>
      </c>
      <c r="B8" s="40" t="s">
        <v>44</v>
      </c>
      <c r="C8" s="40" t="s">
        <v>302</v>
      </c>
      <c r="D8" s="40" t="s">
        <v>298</v>
      </c>
      <c r="G8" s="324" t="s">
        <v>489</v>
      </c>
      <c r="H8" s="324"/>
      <c r="I8" s="324"/>
      <c r="J8" s="324"/>
      <c r="K8" s="324"/>
      <c r="L8" s="405"/>
      <c r="M8" s="256"/>
      <c r="N8" s="325" t="str">
        <f>"NPV "&amp;FirstYr-1&amp;" $"</f>
        <v>NPV 2013 $</v>
      </c>
      <c r="O8" s="311"/>
      <c r="P8" s="325" t="s">
        <v>491</v>
      </c>
      <c r="Q8" s="310"/>
      <c r="R8" s="325">
        <f>FirstYr</f>
        <v>2014</v>
      </c>
      <c r="S8" s="325">
        <f>R8+1</f>
        <v>2015</v>
      </c>
      <c r="T8" s="325">
        <f t="shared" ref="T8:AU8" si="0">S8+1</f>
        <v>2016</v>
      </c>
      <c r="U8" s="325">
        <f t="shared" si="0"/>
        <v>2017</v>
      </c>
      <c r="V8" s="325">
        <f t="shared" si="0"/>
        <v>2018</v>
      </c>
      <c r="W8" s="325">
        <f t="shared" si="0"/>
        <v>2019</v>
      </c>
      <c r="X8" s="325">
        <f t="shared" si="0"/>
        <v>2020</v>
      </c>
      <c r="Y8" s="325">
        <f t="shared" si="0"/>
        <v>2021</v>
      </c>
      <c r="Z8" s="325">
        <f t="shared" si="0"/>
        <v>2022</v>
      </c>
      <c r="AA8" s="325">
        <f t="shared" si="0"/>
        <v>2023</v>
      </c>
      <c r="AB8" s="325">
        <f t="shared" si="0"/>
        <v>2024</v>
      </c>
      <c r="AC8" s="325">
        <f t="shared" si="0"/>
        <v>2025</v>
      </c>
      <c r="AD8" s="325">
        <f t="shared" si="0"/>
        <v>2026</v>
      </c>
      <c r="AE8" s="325">
        <f t="shared" si="0"/>
        <v>2027</v>
      </c>
      <c r="AF8" s="325">
        <f t="shared" si="0"/>
        <v>2028</v>
      </c>
      <c r="AG8" s="325">
        <f t="shared" si="0"/>
        <v>2029</v>
      </c>
      <c r="AH8" s="325">
        <f t="shared" si="0"/>
        <v>2030</v>
      </c>
      <c r="AI8" s="325">
        <f t="shared" si="0"/>
        <v>2031</v>
      </c>
      <c r="AJ8" s="325">
        <f t="shared" si="0"/>
        <v>2032</v>
      </c>
      <c r="AK8" s="325">
        <f t="shared" si="0"/>
        <v>2033</v>
      </c>
      <c r="AL8" s="325">
        <f t="shared" si="0"/>
        <v>2034</v>
      </c>
      <c r="AM8" s="325">
        <f t="shared" si="0"/>
        <v>2035</v>
      </c>
      <c r="AN8" s="325">
        <f t="shared" si="0"/>
        <v>2036</v>
      </c>
      <c r="AO8" s="325">
        <f t="shared" si="0"/>
        <v>2037</v>
      </c>
      <c r="AP8" s="325">
        <f t="shared" si="0"/>
        <v>2038</v>
      </c>
      <c r="AQ8" s="325">
        <f t="shared" si="0"/>
        <v>2039</v>
      </c>
      <c r="AR8" s="325">
        <f t="shared" si="0"/>
        <v>2040</v>
      </c>
      <c r="AS8" s="325">
        <f t="shared" si="0"/>
        <v>2041</v>
      </c>
      <c r="AT8" s="325">
        <f t="shared" si="0"/>
        <v>2042</v>
      </c>
      <c r="AU8" s="325">
        <f t="shared" si="0"/>
        <v>2043</v>
      </c>
    </row>
    <row r="9" spans="1:47" s="28" customFormat="1">
      <c r="L9" s="406"/>
      <c r="O9" s="197"/>
      <c r="Q9" s="197"/>
    </row>
    <row r="10" spans="1:47" s="28" customFormat="1">
      <c r="B10" s="38" t="s">
        <v>306</v>
      </c>
      <c r="E10" s="254"/>
      <c r="G10" s="36" t="s">
        <v>8</v>
      </c>
      <c r="L10" s="43" t="str">
        <f>"["&amp;FirstYr-1&amp;" $]"</f>
        <v>[2013 $]</v>
      </c>
      <c r="N10" s="191">
        <f t="shared" ref="N10:N13" ca="1" si="1">NPV(DiscountRt,R10:AU10)</f>
        <v>0</v>
      </c>
      <c r="O10" s="189"/>
      <c r="P10" s="319"/>
      <c r="Q10" s="189"/>
      <c r="R10" s="190">
        <f ca="1">R65</f>
        <v>0</v>
      </c>
      <c r="S10" s="190">
        <f t="shared" ref="S10:AU10" ca="1" si="2">S65</f>
        <v>0</v>
      </c>
      <c r="T10" s="190">
        <f t="shared" ca="1" si="2"/>
        <v>0</v>
      </c>
      <c r="U10" s="190">
        <f t="shared" ca="1" si="2"/>
        <v>0</v>
      </c>
      <c r="V10" s="190">
        <f t="shared" ca="1" si="2"/>
        <v>0</v>
      </c>
      <c r="W10" s="190">
        <f t="shared" ca="1" si="2"/>
        <v>0</v>
      </c>
      <c r="X10" s="190">
        <f t="shared" ca="1" si="2"/>
        <v>0</v>
      </c>
      <c r="Y10" s="190">
        <f t="shared" ca="1" si="2"/>
        <v>0</v>
      </c>
      <c r="Z10" s="190">
        <f t="shared" ca="1" si="2"/>
        <v>0</v>
      </c>
      <c r="AA10" s="190">
        <f t="shared" ca="1" si="2"/>
        <v>0</v>
      </c>
      <c r="AB10" s="190">
        <f t="shared" ca="1" si="2"/>
        <v>0</v>
      </c>
      <c r="AC10" s="190">
        <f t="shared" ca="1" si="2"/>
        <v>0</v>
      </c>
      <c r="AD10" s="190">
        <f t="shared" ca="1" si="2"/>
        <v>0</v>
      </c>
      <c r="AE10" s="190">
        <f t="shared" ca="1" si="2"/>
        <v>0</v>
      </c>
      <c r="AF10" s="190">
        <f t="shared" ca="1" si="2"/>
        <v>0</v>
      </c>
      <c r="AG10" s="190">
        <f t="shared" ca="1" si="2"/>
        <v>0</v>
      </c>
      <c r="AH10" s="190">
        <f t="shared" ca="1" si="2"/>
        <v>0</v>
      </c>
      <c r="AI10" s="190">
        <f t="shared" ca="1" si="2"/>
        <v>0</v>
      </c>
      <c r="AJ10" s="190">
        <f t="shared" ca="1" si="2"/>
        <v>0</v>
      </c>
      <c r="AK10" s="190">
        <f t="shared" ca="1" si="2"/>
        <v>0</v>
      </c>
      <c r="AL10" s="190">
        <f t="shared" ca="1" si="2"/>
        <v>0</v>
      </c>
      <c r="AM10" s="190">
        <f t="shared" ca="1" si="2"/>
        <v>0</v>
      </c>
      <c r="AN10" s="190">
        <f t="shared" ca="1" si="2"/>
        <v>0</v>
      </c>
      <c r="AO10" s="190">
        <f t="shared" ca="1" si="2"/>
        <v>0</v>
      </c>
      <c r="AP10" s="190">
        <f t="shared" ca="1" si="2"/>
        <v>0</v>
      </c>
      <c r="AQ10" s="190">
        <f t="shared" ca="1" si="2"/>
        <v>0</v>
      </c>
      <c r="AR10" s="190">
        <f t="shared" ca="1" si="2"/>
        <v>0</v>
      </c>
      <c r="AS10" s="190">
        <f t="shared" ca="1" si="2"/>
        <v>0</v>
      </c>
      <c r="AT10" s="190">
        <f t="shared" ca="1" si="2"/>
        <v>0</v>
      </c>
      <c r="AU10" s="190">
        <f t="shared" ca="1" si="2"/>
        <v>0</v>
      </c>
    </row>
    <row r="11" spans="1:47" s="28" customFormat="1">
      <c r="B11" s="38"/>
      <c r="E11" s="254"/>
      <c r="G11" s="36" t="s">
        <v>494</v>
      </c>
      <c r="L11" s="43" t="str">
        <f>"["&amp;FirstYr-1&amp;" $]"</f>
        <v>[2013 $]</v>
      </c>
      <c r="N11" s="191">
        <f t="shared" si="1"/>
        <v>0</v>
      </c>
      <c r="O11" s="189"/>
      <c r="P11" s="319"/>
      <c r="Q11" s="189"/>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row>
    <row r="12" spans="1:47" s="28" customFormat="1">
      <c r="B12" s="38"/>
      <c r="E12" s="254"/>
      <c r="G12" s="36" t="s">
        <v>495</v>
      </c>
      <c r="L12" s="43" t="str">
        <f>"["&amp;FirstYr-1&amp;" $]"</f>
        <v>[2013 $]</v>
      </c>
      <c r="N12" s="191">
        <f t="shared" si="1"/>
        <v>0</v>
      </c>
      <c r="O12" s="189"/>
      <c r="P12" s="319"/>
      <c r="Q12" s="189"/>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row>
    <row r="13" spans="1:47" s="28" customFormat="1">
      <c r="B13" s="38"/>
      <c r="E13" s="254"/>
      <c r="G13" s="36" t="s">
        <v>496</v>
      </c>
      <c r="L13" s="43" t="str">
        <f>"["&amp;FirstYr-1&amp;" $]"</f>
        <v>[2013 $]</v>
      </c>
      <c r="N13" s="191">
        <f t="shared" si="1"/>
        <v>0</v>
      </c>
      <c r="O13" s="189"/>
      <c r="P13" s="319"/>
      <c r="Q13" s="189"/>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row>
    <row r="14" spans="1:47">
      <c r="E14" s="49"/>
      <c r="G14" s="39" t="s">
        <v>114</v>
      </c>
      <c r="H14" s="42"/>
      <c r="I14" s="42"/>
      <c r="J14" s="42"/>
      <c r="K14" s="42"/>
      <c r="L14" s="43"/>
      <c r="M14" s="43"/>
      <c r="N14" s="189">
        <f ca="1">SUBTOTAL(9,N10:N13)</f>
        <v>0</v>
      </c>
      <c r="O14" s="189"/>
      <c r="P14" s="189"/>
      <c r="Q14" s="189"/>
      <c r="R14" s="189">
        <f t="shared" ref="R14:AU14" ca="1" si="3">SUBTOTAL(9,R10:R13)</f>
        <v>0</v>
      </c>
      <c r="S14" s="189">
        <f t="shared" ca="1" si="3"/>
        <v>0</v>
      </c>
      <c r="T14" s="189">
        <f t="shared" ca="1" si="3"/>
        <v>0</v>
      </c>
      <c r="U14" s="189">
        <f t="shared" ca="1" si="3"/>
        <v>0</v>
      </c>
      <c r="V14" s="189">
        <f t="shared" ca="1" si="3"/>
        <v>0</v>
      </c>
      <c r="W14" s="189">
        <f t="shared" ca="1" si="3"/>
        <v>0</v>
      </c>
      <c r="X14" s="189">
        <f t="shared" ca="1" si="3"/>
        <v>0</v>
      </c>
      <c r="Y14" s="189">
        <f t="shared" ca="1" si="3"/>
        <v>0</v>
      </c>
      <c r="Z14" s="189">
        <f t="shared" ca="1" si="3"/>
        <v>0</v>
      </c>
      <c r="AA14" s="189">
        <f t="shared" ca="1" si="3"/>
        <v>0</v>
      </c>
      <c r="AB14" s="189">
        <f t="shared" ca="1" si="3"/>
        <v>0</v>
      </c>
      <c r="AC14" s="189">
        <f t="shared" ca="1" si="3"/>
        <v>0</v>
      </c>
      <c r="AD14" s="189">
        <f t="shared" ca="1" si="3"/>
        <v>0</v>
      </c>
      <c r="AE14" s="189">
        <f t="shared" ca="1" si="3"/>
        <v>0</v>
      </c>
      <c r="AF14" s="189">
        <f t="shared" ca="1" si="3"/>
        <v>0</v>
      </c>
      <c r="AG14" s="189">
        <f t="shared" ca="1" si="3"/>
        <v>0</v>
      </c>
      <c r="AH14" s="189">
        <f t="shared" ca="1" si="3"/>
        <v>0</v>
      </c>
      <c r="AI14" s="189">
        <f t="shared" ca="1" si="3"/>
        <v>0</v>
      </c>
      <c r="AJ14" s="189">
        <f t="shared" ca="1" si="3"/>
        <v>0</v>
      </c>
      <c r="AK14" s="189">
        <f t="shared" ca="1" si="3"/>
        <v>0</v>
      </c>
      <c r="AL14" s="189">
        <f t="shared" ca="1" si="3"/>
        <v>0</v>
      </c>
      <c r="AM14" s="189">
        <f t="shared" ca="1" si="3"/>
        <v>0</v>
      </c>
      <c r="AN14" s="189">
        <f t="shared" ca="1" si="3"/>
        <v>0</v>
      </c>
      <c r="AO14" s="189">
        <f t="shared" ca="1" si="3"/>
        <v>0</v>
      </c>
      <c r="AP14" s="189">
        <f t="shared" ca="1" si="3"/>
        <v>0</v>
      </c>
      <c r="AQ14" s="189">
        <f t="shared" ca="1" si="3"/>
        <v>0</v>
      </c>
      <c r="AR14" s="189">
        <f t="shared" ca="1" si="3"/>
        <v>0</v>
      </c>
      <c r="AS14" s="189">
        <f t="shared" ca="1" si="3"/>
        <v>0</v>
      </c>
      <c r="AT14" s="189">
        <f t="shared" ca="1" si="3"/>
        <v>0</v>
      </c>
      <c r="AU14" s="189">
        <f t="shared" ca="1" si="3"/>
        <v>0</v>
      </c>
    </row>
    <row r="15" spans="1:47" s="28" customFormat="1">
      <c r="L15" s="406"/>
      <c r="O15" s="197"/>
      <c r="Q15" s="197"/>
    </row>
    <row r="16" spans="1:47" s="28" customFormat="1">
      <c r="A16" s="40"/>
      <c r="B16" s="40"/>
      <c r="C16" s="40"/>
      <c r="D16" s="40"/>
      <c r="G16" s="324" t="s">
        <v>400</v>
      </c>
      <c r="H16" s="324"/>
      <c r="I16" s="324"/>
      <c r="J16" s="324"/>
      <c r="K16" s="324"/>
      <c r="L16" s="405" t="s">
        <v>401</v>
      </c>
      <c r="M16" s="256"/>
      <c r="N16" s="325" t="str">
        <f>"NPV "&amp;FirstYr-1&amp;" $"</f>
        <v>NPV 2013 $</v>
      </c>
      <c r="O16" s="311"/>
      <c r="P16" s="325" t="s">
        <v>491</v>
      </c>
      <c r="Q16" s="310"/>
      <c r="R16" s="325">
        <f>R$8</f>
        <v>2014</v>
      </c>
      <c r="S16" s="325">
        <f t="shared" ref="S16:AU16" si="4">S$8</f>
        <v>2015</v>
      </c>
      <c r="T16" s="325">
        <f t="shared" si="4"/>
        <v>2016</v>
      </c>
      <c r="U16" s="325">
        <f t="shared" si="4"/>
        <v>2017</v>
      </c>
      <c r="V16" s="325">
        <f t="shared" si="4"/>
        <v>2018</v>
      </c>
      <c r="W16" s="325">
        <f t="shared" si="4"/>
        <v>2019</v>
      </c>
      <c r="X16" s="325">
        <f t="shared" si="4"/>
        <v>2020</v>
      </c>
      <c r="Y16" s="325">
        <f t="shared" si="4"/>
        <v>2021</v>
      </c>
      <c r="Z16" s="325">
        <f t="shared" si="4"/>
        <v>2022</v>
      </c>
      <c r="AA16" s="325">
        <f t="shared" si="4"/>
        <v>2023</v>
      </c>
      <c r="AB16" s="325">
        <f t="shared" si="4"/>
        <v>2024</v>
      </c>
      <c r="AC16" s="325">
        <f t="shared" si="4"/>
        <v>2025</v>
      </c>
      <c r="AD16" s="325">
        <f t="shared" si="4"/>
        <v>2026</v>
      </c>
      <c r="AE16" s="325">
        <f t="shared" si="4"/>
        <v>2027</v>
      </c>
      <c r="AF16" s="325">
        <f t="shared" si="4"/>
        <v>2028</v>
      </c>
      <c r="AG16" s="325">
        <f t="shared" si="4"/>
        <v>2029</v>
      </c>
      <c r="AH16" s="325">
        <f t="shared" si="4"/>
        <v>2030</v>
      </c>
      <c r="AI16" s="325">
        <f t="shared" si="4"/>
        <v>2031</v>
      </c>
      <c r="AJ16" s="325">
        <f t="shared" si="4"/>
        <v>2032</v>
      </c>
      <c r="AK16" s="325">
        <f t="shared" si="4"/>
        <v>2033</v>
      </c>
      <c r="AL16" s="325">
        <f t="shared" si="4"/>
        <v>2034</v>
      </c>
      <c r="AM16" s="325">
        <f t="shared" si="4"/>
        <v>2035</v>
      </c>
      <c r="AN16" s="325">
        <f t="shared" si="4"/>
        <v>2036</v>
      </c>
      <c r="AO16" s="325">
        <f t="shared" si="4"/>
        <v>2037</v>
      </c>
      <c r="AP16" s="325">
        <f t="shared" si="4"/>
        <v>2038</v>
      </c>
      <c r="AQ16" s="325">
        <f t="shared" si="4"/>
        <v>2039</v>
      </c>
      <c r="AR16" s="325">
        <f t="shared" si="4"/>
        <v>2040</v>
      </c>
      <c r="AS16" s="325">
        <f t="shared" si="4"/>
        <v>2041</v>
      </c>
      <c r="AT16" s="325">
        <f t="shared" si="4"/>
        <v>2042</v>
      </c>
      <c r="AU16" s="325">
        <f t="shared" si="4"/>
        <v>2043</v>
      </c>
    </row>
    <row r="17" spans="2:47">
      <c r="E17" s="49"/>
      <c r="G17" s="39"/>
      <c r="H17" s="28"/>
      <c r="I17" s="28"/>
      <c r="J17" s="28"/>
      <c r="K17" s="28"/>
      <c r="L17" s="406"/>
      <c r="M17" s="28"/>
      <c r="N17" s="28"/>
      <c r="O17" s="197"/>
      <c r="Q17" s="197"/>
    </row>
    <row r="18" spans="2:47">
      <c r="E18" s="49"/>
      <c r="G18" s="39" t="s">
        <v>23</v>
      </c>
      <c r="H18" s="28"/>
      <c r="I18" s="28"/>
      <c r="J18" s="28"/>
      <c r="K18" s="28"/>
      <c r="L18" s="406"/>
      <c r="M18" s="28"/>
      <c r="N18" s="28"/>
      <c r="O18" s="197"/>
      <c r="Q18" s="197"/>
    </row>
    <row r="19" spans="2:47">
      <c r="B19" s="38" t="s">
        <v>262</v>
      </c>
      <c r="E19" s="49"/>
      <c r="G19" s="36" t="s">
        <v>125</v>
      </c>
      <c r="H19" s="28"/>
      <c r="I19" s="28"/>
      <c r="J19" s="527"/>
      <c r="K19" s="28"/>
      <c r="L19" s="43" t="str">
        <f t="shared" ref="L19:L29" si="5">"["&amp;FirstYr-1&amp;" $]"</f>
        <v>[2013 $]</v>
      </c>
      <c r="M19" s="28"/>
      <c r="N19" s="191">
        <f t="shared" ref="N19:N29" ca="1" si="6">NPV(DiscountRt,R19:AU19)</f>
        <v>0</v>
      </c>
      <c r="O19" s="189"/>
      <c r="P19" s="319"/>
      <c r="Q19" s="189"/>
      <c r="R19" s="190">
        <f t="shared" ref="R19:AU19" ca="1" si="7">IF($P19=0,SUMIF($B$96:$B$496,$B19,R$96:R$496),IF(OR(S$99&lt;InServiceYr,S$99&gt;(InServiceYr+analysis_period)),0,$P19*(1+LaborEsc)^(R$16-FirstYr)))</f>
        <v>0</v>
      </c>
      <c r="S19" s="190">
        <f t="shared" ca="1" si="7"/>
        <v>0</v>
      </c>
      <c r="T19" s="190">
        <f t="shared" ca="1" si="7"/>
        <v>0</v>
      </c>
      <c r="U19" s="190">
        <f t="shared" ca="1" si="7"/>
        <v>0</v>
      </c>
      <c r="V19" s="190">
        <f t="shared" ca="1" si="7"/>
        <v>0</v>
      </c>
      <c r="W19" s="190">
        <f t="shared" ca="1" si="7"/>
        <v>0</v>
      </c>
      <c r="X19" s="190">
        <f t="shared" ca="1" si="7"/>
        <v>0</v>
      </c>
      <c r="Y19" s="190">
        <f t="shared" ca="1" si="7"/>
        <v>0</v>
      </c>
      <c r="Z19" s="190">
        <f t="shared" ca="1" si="7"/>
        <v>0</v>
      </c>
      <c r="AA19" s="190">
        <f t="shared" ca="1" si="7"/>
        <v>0</v>
      </c>
      <c r="AB19" s="190">
        <f t="shared" ca="1" si="7"/>
        <v>0</v>
      </c>
      <c r="AC19" s="190">
        <f t="shared" ca="1" si="7"/>
        <v>0</v>
      </c>
      <c r="AD19" s="190">
        <f t="shared" ca="1" si="7"/>
        <v>0</v>
      </c>
      <c r="AE19" s="190">
        <f t="shared" ca="1" si="7"/>
        <v>0</v>
      </c>
      <c r="AF19" s="190">
        <f t="shared" ca="1" si="7"/>
        <v>0</v>
      </c>
      <c r="AG19" s="190">
        <f t="shared" ca="1" si="7"/>
        <v>0</v>
      </c>
      <c r="AH19" s="190">
        <f t="shared" ca="1" si="7"/>
        <v>0</v>
      </c>
      <c r="AI19" s="190">
        <f t="shared" ca="1" si="7"/>
        <v>0</v>
      </c>
      <c r="AJ19" s="190">
        <f t="shared" ca="1" si="7"/>
        <v>0</v>
      </c>
      <c r="AK19" s="190">
        <f t="shared" ca="1" si="7"/>
        <v>0</v>
      </c>
      <c r="AL19" s="190">
        <f t="shared" si="7"/>
        <v>0</v>
      </c>
      <c r="AM19" s="190">
        <f t="shared" si="7"/>
        <v>0</v>
      </c>
      <c r="AN19" s="190">
        <f t="shared" si="7"/>
        <v>0</v>
      </c>
      <c r="AO19" s="190">
        <f t="shared" si="7"/>
        <v>0</v>
      </c>
      <c r="AP19" s="190">
        <f t="shared" si="7"/>
        <v>0</v>
      </c>
      <c r="AQ19" s="190">
        <f t="shared" si="7"/>
        <v>0</v>
      </c>
      <c r="AR19" s="190">
        <f t="shared" si="7"/>
        <v>0</v>
      </c>
      <c r="AS19" s="190">
        <f t="shared" si="7"/>
        <v>0</v>
      </c>
      <c r="AT19" s="190">
        <f t="shared" si="7"/>
        <v>0</v>
      </c>
      <c r="AU19" s="190">
        <f t="shared" si="7"/>
        <v>0</v>
      </c>
    </row>
    <row r="20" spans="2:47">
      <c r="B20" s="38" t="s">
        <v>270</v>
      </c>
      <c r="E20" s="49"/>
      <c r="G20" s="36" t="s">
        <v>126</v>
      </c>
      <c r="H20" s="28"/>
      <c r="I20" s="28"/>
      <c r="J20" s="527"/>
      <c r="K20" s="28"/>
      <c r="L20" s="43" t="str">
        <f t="shared" si="5"/>
        <v>[2013 $]</v>
      </c>
      <c r="M20" s="28"/>
      <c r="N20" s="191">
        <f t="shared" ca="1" si="6"/>
        <v>0</v>
      </c>
      <c r="O20" s="189"/>
      <c r="P20" s="319"/>
      <c r="Q20" s="189"/>
      <c r="R20" s="190">
        <f t="shared" ref="R20:AU20" ca="1" si="8">IF($P20=0,SUMIF($B$96:$B$496,$B20,R$96:R$496),IF(OR(S$99&lt;InServiceYr,S$99&gt;(InServiceYr+analysis_period)),0,$P20*(1+LaborEsc)^(R$16-FirstYr)))</f>
        <v>0</v>
      </c>
      <c r="S20" s="190">
        <f t="shared" ca="1" si="8"/>
        <v>0</v>
      </c>
      <c r="T20" s="190">
        <f t="shared" ca="1" si="8"/>
        <v>0</v>
      </c>
      <c r="U20" s="190">
        <f t="shared" ca="1" si="8"/>
        <v>0</v>
      </c>
      <c r="V20" s="190">
        <f t="shared" ca="1" si="8"/>
        <v>0</v>
      </c>
      <c r="W20" s="190">
        <f t="shared" ca="1" si="8"/>
        <v>0</v>
      </c>
      <c r="X20" s="190">
        <f t="shared" ca="1" si="8"/>
        <v>0</v>
      </c>
      <c r="Y20" s="190">
        <f t="shared" ca="1" si="8"/>
        <v>0</v>
      </c>
      <c r="Z20" s="190">
        <f t="shared" ca="1" si="8"/>
        <v>0</v>
      </c>
      <c r="AA20" s="190">
        <f t="shared" ca="1" si="8"/>
        <v>0</v>
      </c>
      <c r="AB20" s="190">
        <f t="shared" ca="1" si="8"/>
        <v>0</v>
      </c>
      <c r="AC20" s="190">
        <f t="shared" ca="1" si="8"/>
        <v>0</v>
      </c>
      <c r="AD20" s="190">
        <f t="shared" ca="1" si="8"/>
        <v>0</v>
      </c>
      <c r="AE20" s="190">
        <f t="shared" ca="1" si="8"/>
        <v>0</v>
      </c>
      <c r="AF20" s="190">
        <f t="shared" ca="1" si="8"/>
        <v>0</v>
      </c>
      <c r="AG20" s="190">
        <f t="shared" ca="1" si="8"/>
        <v>0</v>
      </c>
      <c r="AH20" s="190">
        <f t="shared" ca="1" si="8"/>
        <v>0</v>
      </c>
      <c r="AI20" s="190">
        <f t="shared" ca="1" si="8"/>
        <v>0</v>
      </c>
      <c r="AJ20" s="190">
        <f t="shared" ca="1" si="8"/>
        <v>0</v>
      </c>
      <c r="AK20" s="190">
        <f t="shared" ca="1" si="8"/>
        <v>0</v>
      </c>
      <c r="AL20" s="190">
        <f t="shared" si="8"/>
        <v>0</v>
      </c>
      <c r="AM20" s="190">
        <f t="shared" si="8"/>
        <v>0</v>
      </c>
      <c r="AN20" s="190">
        <f t="shared" si="8"/>
        <v>0</v>
      </c>
      <c r="AO20" s="190">
        <f t="shared" si="8"/>
        <v>0</v>
      </c>
      <c r="AP20" s="190">
        <f t="shared" si="8"/>
        <v>0</v>
      </c>
      <c r="AQ20" s="190">
        <f t="shared" si="8"/>
        <v>0</v>
      </c>
      <c r="AR20" s="190">
        <f t="shared" si="8"/>
        <v>0</v>
      </c>
      <c r="AS20" s="190">
        <f t="shared" si="8"/>
        <v>0</v>
      </c>
      <c r="AT20" s="190">
        <f t="shared" si="8"/>
        <v>0</v>
      </c>
      <c r="AU20" s="190">
        <f t="shared" si="8"/>
        <v>0</v>
      </c>
    </row>
    <row r="21" spans="2:47">
      <c r="B21" s="38" t="s">
        <v>263</v>
      </c>
      <c r="E21" s="49"/>
      <c r="G21" s="36" t="s">
        <v>127</v>
      </c>
      <c r="H21" s="28"/>
      <c r="I21" s="28"/>
      <c r="J21" s="527"/>
      <c r="K21" s="28"/>
      <c r="L21" s="43" t="str">
        <f t="shared" si="5"/>
        <v>[2013 $]</v>
      </c>
      <c r="M21" s="28"/>
      <c r="N21" s="191">
        <f t="shared" ca="1" si="6"/>
        <v>0</v>
      </c>
      <c r="O21" s="189"/>
      <c r="P21" s="319"/>
      <c r="Q21" s="189"/>
      <c r="R21" s="190">
        <f t="shared" ref="R21:AU21" ca="1" si="9">IF($P21=0,SUMIF($B$96:$B$496,$B21,R$96:R$496),IF(OR(S$99&lt;InServiceYr,S$99&gt;(InServiceYr+analysis_period)),0,$P21*(1+LaborEsc)^(R$16-FirstYr)))</f>
        <v>0</v>
      </c>
      <c r="S21" s="190">
        <f t="shared" ca="1" si="9"/>
        <v>0</v>
      </c>
      <c r="T21" s="190">
        <f t="shared" ca="1" si="9"/>
        <v>0</v>
      </c>
      <c r="U21" s="190">
        <f t="shared" ca="1" si="9"/>
        <v>0</v>
      </c>
      <c r="V21" s="190">
        <f t="shared" ca="1" si="9"/>
        <v>0</v>
      </c>
      <c r="W21" s="190">
        <f t="shared" ca="1" si="9"/>
        <v>0</v>
      </c>
      <c r="X21" s="190">
        <f t="shared" ca="1" si="9"/>
        <v>0</v>
      </c>
      <c r="Y21" s="190">
        <f t="shared" ca="1" si="9"/>
        <v>0</v>
      </c>
      <c r="Z21" s="190">
        <f t="shared" ca="1" si="9"/>
        <v>0</v>
      </c>
      <c r="AA21" s="190">
        <f t="shared" ca="1" si="9"/>
        <v>0</v>
      </c>
      <c r="AB21" s="190">
        <f t="shared" ca="1" si="9"/>
        <v>0</v>
      </c>
      <c r="AC21" s="190">
        <f t="shared" ca="1" si="9"/>
        <v>0</v>
      </c>
      <c r="AD21" s="190">
        <f t="shared" ca="1" si="9"/>
        <v>0</v>
      </c>
      <c r="AE21" s="190">
        <f t="shared" ca="1" si="9"/>
        <v>0</v>
      </c>
      <c r="AF21" s="190">
        <f t="shared" ca="1" si="9"/>
        <v>0</v>
      </c>
      <c r="AG21" s="190">
        <f t="shared" ca="1" si="9"/>
        <v>0</v>
      </c>
      <c r="AH21" s="190">
        <f t="shared" ca="1" si="9"/>
        <v>0</v>
      </c>
      <c r="AI21" s="190">
        <f t="shared" ca="1" si="9"/>
        <v>0</v>
      </c>
      <c r="AJ21" s="190">
        <f t="shared" ca="1" si="9"/>
        <v>0</v>
      </c>
      <c r="AK21" s="190">
        <f t="shared" ca="1" si="9"/>
        <v>0</v>
      </c>
      <c r="AL21" s="190">
        <f t="shared" si="9"/>
        <v>0</v>
      </c>
      <c r="AM21" s="190">
        <f t="shared" si="9"/>
        <v>0</v>
      </c>
      <c r="AN21" s="190">
        <f t="shared" si="9"/>
        <v>0</v>
      </c>
      <c r="AO21" s="190">
        <f t="shared" si="9"/>
        <v>0</v>
      </c>
      <c r="AP21" s="190">
        <f t="shared" si="9"/>
        <v>0</v>
      </c>
      <c r="AQ21" s="190">
        <f t="shared" si="9"/>
        <v>0</v>
      </c>
      <c r="AR21" s="190">
        <f t="shared" si="9"/>
        <v>0</v>
      </c>
      <c r="AS21" s="190">
        <f t="shared" si="9"/>
        <v>0</v>
      </c>
      <c r="AT21" s="190">
        <f t="shared" si="9"/>
        <v>0</v>
      </c>
      <c r="AU21" s="190">
        <f t="shared" si="9"/>
        <v>0</v>
      </c>
    </row>
    <row r="22" spans="2:47">
      <c r="B22" s="38" t="s">
        <v>277</v>
      </c>
      <c r="E22" s="49"/>
      <c r="G22" s="36" t="s">
        <v>276</v>
      </c>
      <c r="H22" s="28"/>
      <c r="I22" s="28"/>
      <c r="J22" s="527"/>
      <c r="K22" s="28"/>
      <c r="L22" s="43" t="str">
        <f t="shared" si="5"/>
        <v>[2013 $]</v>
      </c>
      <c r="M22" s="28"/>
      <c r="N22" s="191">
        <f t="shared" ca="1" si="6"/>
        <v>0</v>
      </c>
      <c r="O22" s="189"/>
      <c r="P22" s="319"/>
      <c r="Q22" s="189"/>
      <c r="R22" s="190">
        <f t="shared" ref="R22:AU22" ca="1" si="10">IF($P22=0,SUMIF($B$96:$B$496,$B22,R$96:R$496),IF(OR(S$99&lt;InServiceYr,S$99&gt;(InServiceYr+analysis_period)),0,$P22*(1+LaborEsc)^(R$16-FirstYr)))</f>
        <v>0</v>
      </c>
      <c r="S22" s="190">
        <f t="shared" ca="1" si="10"/>
        <v>0</v>
      </c>
      <c r="T22" s="190">
        <f t="shared" ca="1" si="10"/>
        <v>0</v>
      </c>
      <c r="U22" s="190">
        <f t="shared" ca="1" si="10"/>
        <v>0</v>
      </c>
      <c r="V22" s="190">
        <f t="shared" ca="1" si="10"/>
        <v>0</v>
      </c>
      <c r="W22" s="190">
        <f t="shared" ca="1" si="10"/>
        <v>0</v>
      </c>
      <c r="X22" s="190">
        <f t="shared" ca="1" si="10"/>
        <v>0</v>
      </c>
      <c r="Y22" s="190">
        <f t="shared" ca="1" si="10"/>
        <v>0</v>
      </c>
      <c r="Z22" s="190">
        <f t="shared" ca="1" si="10"/>
        <v>0</v>
      </c>
      <c r="AA22" s="190">
        <f t="shared" ca="1" si="10"/>
        <v>0</v>
      </c>
      <c r="AB22" s="190">
        <f t="shared" ca="1" si="10"/>
        <v>0</v>
      </c>
      <c r="AC22" s="190">
        <f t="shared" ca="1" si="10"/>
        <v>0</v>
      </c>
      <c r="AD22" s="190">
        <f t="shared" ca="1" si="10"/>
        <v>0</v>
      </c>
      <c r="AE22" s="190">
        <f t="shared" ca="1" si="10"/>
        <v>0</v>
      </c>
      <c r="AF22" s="190">
        <f t="shared" ca="1" si="10"/>
        <v>0</v>
      </c>
      <c r="AG22" s="190">
        <f t="shared" ca="1" si="10"/>
        <v>0</v>
      </c>
      <c r="AH22" s="190">
        <f t="shared" ca="1" si="10"/>
        <v>0</v>
      </c>
      <c r="AI22" s="190">
        <f t="shared" ca="1" si="10"/>
        <v>0</v>
      </c>
      <c r="AJ22" s="190">
        <f t="shared" ca="1" si="10"/>
        <v>0</v>
      </c>
      <c r="AK22" s="190">
        <f t="shared" ca="1" si="10"/>
        <v>0</v>
      </c>
      <c r="AL22" s="190">
        <f t="shared" si="10"/>
        <v>0</v>
      </c>
      <c r="AM22" s="190">
        <f t="shared" si="10"/>
        <v>0</v>
      </c>
      <c r="AN22" s="190">
        <f t="shared" si="10"/>
        <v>0</v>
      </c>
      <c r="AO22" s="190">
        <f t="shared" si="10"/>
        <v>0</v>
      </c>
      <c r="AP22" s="190">
        <f t="shared" si="10"/>
        <v>0</v>
      </c>
      <c r="AQ22" s="190">
        <f t="shared" si="10"/>
        <v>0</v>
      </c>
      <c r="AR22" s="190">
        <f t="shared" si="10"/>
        <v>0</v>
      </c>
      <c r="AS22" s="190">
        <f t="shared" si="10"/>
        <v>0</v>
      </c>
      <c r="AT22" s="190">
        <f t="shared" si="10"/>
        <v>0</v>
      </c>
      <c r="AU22" s="190">
        <f t="shared" si="10"/>
        <v>0</v>
      </c>
    </row>
    <row r="23" spans="2:47">
      <c r="B23" s="38" t="s">
        <v>274</v>
      </c>
      <c r="E23" s="49"/>
      <c r="G23" s="36" t="s">
        <v>16</v>
      </c>
      <c r="H23" s="28"/>
      <c r="I23" s="28"/>
      <c r="J23" s="527"/>
      <c r="K23" s="28"/>
      <c r="L23" s="43" t="str">
        <f t="shared" si="5"/>
        <v>[2013 $]</v>
      </c>
      <c r="M23" s="28"/>
      <c r="N23" s="191">
        <f t="shared" ca="1" si="6"/>
        <v>0</v>
      </c>
      <c r="O23" s="189"/>
      <c r="P23" s="319"/>
      <c r="Q23" s="189"/>
      <c r="R23" s="190">
        <f t="shared" ref="R23:AU23" ca="1" si="11">IF($P23=0,SUMIF($B$96:$B$496,$B23,R$96:R$496),IF(OR(S$99&lt;InServiceYr,S$99&gt;(InServiceYr+analysis_period)),0,$P23*(1+LaborEsc)^(R$16-FirstYr)))</f>
        <v>0</v>
      </c>
      <c r="S23" s="190">
        <f t="shared" ca="1" si="11"/>
        <v>0</v>
      </c>
      <c r="T23" s="190">
        <f t="shared" ca="1" si="11"/>
        <v>0</v>
      </c>
      <c r="U23" s="190">
        <f t="shared" ca="1" si="11"/>
        <v>0</v>
      </c>
      <c r="V23" s="190">
        <f t="shared" ca="1" si="11"/>
        <v>0</v>
      </c>
      <c r="W23" s="190">
        <f t="shared" ca="1" si="11"/>
        <v>0</v>
      </c>
      <c r="X23" s="190">
        <f t="shared" ca="1" si="11"/>
        <v>0</v>
      </c>
      <c r="Y23" s="190">
        <f t="shared" ca="1" si="11"/>
        <v>0</v>
      </c>
      <c r="Z23" s="190">
        <f t="shared" ca="1" si="11"/>
        <v>0</v>
      </c>
      <c r="AA23" s="190">
        <f t="shared" ca="1" si="11"/>
        <v>0</v>
      </c>
      <c r="AB23" s="190">
        <f t="shared" ca="1" si="11"/>
        <v>0</v>
      </c>
      <c r="AC23" s="190">
        <f t="shared" ca="1" si="11"/>
        <v>0</v>
      </c>
      <c r="AD23" s="190">
        <f t="shared" ca="1" si="11"/>
        <v>0</v>
      </c>
      <c r="AE23" s="190">
        <f t="shared" ca="1" si="11"/>
        <v>0</v>
      </c>
      <c r="AF23" s="190">
        <f t="shared" ca="1" si="11"/>
        <v>0</v>
      </c>
      <c r="AG23" s="190">
        <f t="shared" ca="1" si="11"/>
        <v>0</v>
      </c>
      <c r="AH23" s="190">
        <f t="shared" ca="1" si="11"/>
        <v>0</v>
      </c>
      <c r="AI23" s="190">
        <f t="shared" ca="1" si="11"/>
        <v>0</v>
      </c>
      <c r="AJ23" s="190">
        <f t="shared" ca="1" si="11"/>
        <v>0</v>
      </c>
      <c r="AK23" s="190">
        <f t="shared" ca="1" si="11"/>
        <v>0</v>
      </c>
      <c r="AL23" s="190">
        <f t="shared" si="11"/>
        <v>0</v>
      </c>
      <c r="AM23" s="190">
        <f t="shared" si="11"/>
        <v>0</v>
      </c>
      <c r="AN23" s="190">
        <f t="shared" si="11"/>
        <v>0</v>
      </c>
      <c r="AO23" s="190">
        <f t="shared" si="11"/>
        <v>0</v>
      </c>
      <c r="AP23" s="190">
        <f t="shared" si="11"/>
        <v>0</v>
      </c>
      <c r="AQ23" s="190">
        <f t="shared" si="11"/>
        <v>0</v>
      </c>
      <c r="AR23" s="190">
        <f t="shared" si="11"/>
        <v>0</v>
      </c>
      <c r="AS23" s="190">
        <f t="shared" si="11"/>
        <v>0</v>
      </c>
      <c r="AT23" s="190">
        <f t="shared" si="11"/>
        <v>0</v>
      </c>
      <c r="AU23" s="190">
        <f t="shared" si="11"/>
        <v>0</v>
      </c>
    </row>
    <row r="24" spans="2:47">
      <c r="B24" s="38" t="s">
        <v>257</v>
      </c>
      <c r="E24" s="49"/>
      <c r="G24" s="36" t="s">
        <v>284</v>
      </c>
      <c r="H24" s="28"/>
      <c r="I24" s="28"/>
      <c r="J24" s="527"/>
      <c r="K24" s="28"/>
      <c r="L24" s="43" t="str">
        <f t="shared" si="5"/>
        <v>[2013 $]</v>
      </c>
      <c r="M24" s="28"/>
      <c r="N24" s="191">
        <f t="shared" ca="1" si="6"/>
        <v>0</v>
      </c>
      <c r="O24" s="189"/>
      <c r="P24" s="319"/>
      <c r="Q24" s="189"/>
      <c r="R24" s="190">
        <f t="shared" ref="R24:AU24" ca="1" si="12">IF($P24=0,SUMIF($B$96:$B$496,$B24,R$96:R$496),IF(OR(S$99&lt;InServiceYr,S$99&gt;(InServiceYr+analysis_period)),0,$P24*(1+LaborEsc)^(R$16-FirstYr)))</f>
        <v>0</v>
      </c>
      <c r="S24" s="190">
        <f t="shared" ca="1" si="12"/>
        <v>0</v>
      </c>
      <c r="T24" s="190">
        <f t="shared" ca="1" si="12"/>
        <v>0</v>
      </c>
      <c r="U24" s="190">
        <f t="shared" ca="1" si="12"/>
        <v>0</v>
      </c>
      <c r="V24" s="190">
        <f t="shared" ca="1" si="12"/>
        <v>0</v>
      </c>
      <c r="W24" s="190">
        <f t="shared" ca="1" si="12"/>
        <v>0</v>
      </c>
      <c r="X24" s="190">
        <f t="shared" ca="1" si="12"/>
        <v>0</v>
      </c>
      <c r="Y24" s="190">
        <f t="shared" ca="1" si="12"/>
        <v>0</v>
      </c>
      <c r="Z24" s="190">
        <f t="shared" ca="1" si="12"/>
        <v>0</v>
      </c>
      <c r="AA24" s="190">
        <f t="shared" ca="1" si="12"/>
        <v>0</v>
      </c>
      <c r="AB24" s="190">
        <f t="shared" ca="1" si="12"/>
        <v>0</v>
      </c>
      <c r="AC24" s="190">
        <f t="shared" ca="1" si="12"/>
        <v>0</v>
      </c>
      <c r="AD24" s="190">
        <f t="shared" ca="1" si="12"/>
        <v>0</v>
      </c>
      <c r="AE24" s="190">
        <f t="shared" ca="1" si="12"/>
        <v>0</v>
      </c>
      <c r="AF24" s="190">
        <f t="shared" ca="1" si="12"/>
        <v>0</v>
      </c>
      <c r="AG24" s="190">
        <f t="shared" ca="1" si="12"/>
        <v>0</v>
      </c>
      <c r="AH24" s="190">
        <f t="shared" ca="1" si="12"/>
        <v>0</v>
      </c>
      <c r="AI24" s="190">
        <f t="shared" ca="1" si="12"/>
        <v>0</v>
      </c>
      <c r="AJ24" s="190">
        <f t="shared" ca="1" si="12"/>
        <v>0</v>
      </c>
      <c r="AK24" s="190">
        <f t="shared" ca="1" si="12"/>
        <v>0</v>
      </c>
      <c r="AL24" s="190">
        <f t="shared" si="12"/>
        <v>0</v>
      </c>
      <c r="AM24" s="190">
        <f t="shared" si="12"/>
        <v>0</v>
      </c>
      <c r="AN24" s="190">
        <f t="shared" si="12"/>
        <v>0</v>
      </c>
      <c r="AO24" s="190">
        <f t="shared" si="12"/>
        <v>0</v>
      </c>
      <c r="AP24" s="190">
        <f t="shared" si="12"/>
        <v>0</v>
      </c>
      <c r="AQ24" s="190">
        <f t="shared" si="12"/>
        <v>0</v>
      </c>
      <c r="AR24" s="190">
        <f t="shared" si="12"/>
        <v>0</v>
      </c>
      <c r="AS24" s="190">
        <f t="shared" si="12"/>
        <v>0</v>
      </c>
      <c r="AT24" s="190">
        <f t="shared" si="12"/>
        <v>0</v>
      </c>
      <c r="AU24" s="190">
        <f t="shared" si="12"/>
        <v>0</v>
      </c>
    </row>
    <row r="25" spans="2:47">
      <c r="B25" s="38" t="s">
        <v>864</v>
      </c>
      <c r="E25" s="49"/>
      <c r="G25" s="36" t="s">
        <v>865</v>
      </c>
      <c r="H25" s="28"/>
      <c r="I25" s="28"/>
      <c r="J25" s="527"/>
      <c r="K25" s="28"/>
      <c r="L25" s="43" t="str">
        <f t="shared" si="5"/>
        <v>[2013 $]</v>
      </c>
      <c r="M25" s="28"/>
      <c r="N25" s="191">
        <f t="shared" ca="1" si="6"/>
        <v>0</v>
      </c>
      <c r="O25" s="189"/>
      <c r="P25" s="319"/>
      <c r="Q25" s="189"/>
      <c r="R25" s="190">
        <f t="shared" ref="R25:AU25" ca="1" si="13">IF($P25=0,SUMIF($B$96:$B$496,$B25,R$96:R$496),IF(OR(S$99&lt;InServiceYr,S$99&gt;(InServiceYr+analysis_period)),0,$P25*(1+LaborEsc)^(R$16-FirstYr)))</f>
        <v>0</v>
      </c>
      <c r="S25" s="190">
        <f t="shared" ca="1" si="13"/>
        <v>0</v>
      </c>
      <c r="T25" s="190">
        <f t="shared" ca="1" si="13"/>
        <v>0</v>
      </c>
      <c r="U25" s="190">
        <f t="shared" ca="1" si="13"/>
        <v>0</v>
      </c>
      <c r="V25" s="190">
        <f t="shared" ca="1" si="13"/>
        <v>0</v>
      </c>
      <c r="W25" s="190">
        <f t="shared" ca="1" si="13"/>
        <v>0</v>
      </c>
      <c r="X25" s="190">
        <f t="shared" ca="1" si="13"/>
        <v>0</v>
      </c>
      <c r="Y25" s="190">
        <f t="shared" ca="1" si="13"/>
        <v>0</v>
      </c>
      <c r="Z25" s="190">
        <f t="shared" ca="1" si="13"/>
        <v>0</v>
      </c>
      <c r="AA25" s="190">
        <f t="shared" ca="1" si="13"/>
        <v>0</v>
      </c>
      <c r="AB25" s="190">
        <f t="shared" ca="1" si="13"/>
        <v>0</v>
      </c>
      <c r="AC25" s="190">
        <f t="shared" ca="1" si="13"/>
        <v>0</v>
      </c>
      <c r="AD25" s="190">
        <f t="shared" ca="1" si="13"/>
        <v>0</v>
      </c>
      <c r="AE25" s="190">
        <f t="shared" ca="1" si="13"/>
        <v>0</v>
      </c>
      <c r="AF25" s="190">
        <f t="shared" ca="1" si="13"/>
        <v>0</v>
      </c>
      <c r="AG25" s="190">
        <f t="shared" ca="1" si="13"/>
        <v>0</v>
      </c>
      <c r="AH25" s="190">
        <f t="shared" ca="1" si="13"/>
        <v>0</v>
      </c>
      <c r="AI25" s="190">
        <f t="shared" ca="1" si="13"/>
        <v>0</v>
      </c>
      <c r="AJ25" s="190">
        <f t="shared" ca="1" si="13"/>
        <v>0</v>
      </c>
      <c r="AK25" s="190">
        <f t="shared" ca="1" si="13"/>
        <v>0</v>
      </c>
      <c r="AL25" s="190">
        <f t="shared" si="13"/>
        <v>0</v>
      </c>
      <c r="AM25" s="190">
        <f t="shared" si="13"/>
        <v>0</v>
      </c>
      <c r="AN25" s="190">
        <f t="shared" si="13"/>
        <v>0</v>
      </c>
      <c r="AO25" s="190">
        <f t="shared" si="13"/>
        <v>0</v>
      </c>
      <c r="AP25" s="190">
        <f t="shared" si="13"/>
        <v>0</v>
      </c>
      <c r="AQ25" s="190">
        <f t="shared" si="13"/>
        <v>0</v>
      </c>
      <c r="AR25" s="190">
        <f t="shared" si="13"/>
        <v>0</v>
      </c>
      <c r="AS25" s="190">
        <f t="shared" si="13"/>
        <v>0</v>
      </c>
      <c r="AT25" s="190">
        <f t="shared" si="13"/>
        <v>0</v>
      </c>
      <c r="AU25" s="190">
        <f t="shared" si="13"/>
        <v>0</v>
      </c>
    </row>
    <row r="26" spans="2:47">
      <c r="B26" s="38" t="s">
        <v>273</v>
      </c>
      <c r="E26" s="49"/>
      <c r="G26" s="36" t="s">
        <v>291</v>
      </c>
      <c r="H26" s="28"/>
      <c r="I26" s="28"/>
      <c r="J26" s="527"/>
      <c r="K26" s="28"/>
      <c r="L26" s="43" t="str">
        <f t="shared" si="5"/>
        <v>[2013 $]</v>
      </c>
      <c r="M26" s="28"/>
      <c r="N26" s="191">
        <f t="shared" ca="1" si="6"/>
        <v>0</v>
      </c>
      <c r="O26" s="189"/>
      <c r="P26" s="319"/>
      <c r="Q26" s="189"/>
      <c r="R26" s="190">
        <f t="shared" ref="R26:AU26" ca="1" si="14">IF($P26=0,SUMIF($B$96:$B$496,$B26,R$96:R$496),IF(OR(S$99&lt;InServiceYr,S$99&gt;(InServiceYr+analysis_period)),0,$P26*(1+LaborEsc)^(R$16-FirstYr)))</f>
        <v>0</v>
      </c>
      <c r="S26" s="190">
        <f t="shared" ca="1" si="14"/>
        <v>0</v>
      </c>
      <c r="T26" s="190">
        <f t="shared" ca="1" si="14"/>
        <v>0</v>
      </c>
      <c r="U26" s="190">
        <f t="shared" ca="1" si="14"/>
        <v>0</v>
      </c>
      <c r="V26" s="190">
        <f t="shared" ca="1" si="14"/>
        <v>0</v>
      </c>
      <c r="W26" s="190">
        <f t="shared" ca="1" si="14"/>
        <v>0</v>
      </c>
      <c r="X26" s="190">
        <f t="shared" ca="1" si="14"/>
        <v>0</v>
      </c>
      <c r="Y26" s="190">
        <f t="shared" ca="1" si="14"/>
        <v>0</v>
      </c>
      <c r="Z26" s="190">
        <f t="shared" ca="1" si="14"/>
        <v>0</v>
      </c>
      <c r="AA26" s="190">
        <f t="shared" ca="1" si="14"/>
        <v>0</v>
      </c>
      <c r="AB26" s="190">
        <f t="shared" ca="1" si="14"/>
        <v>0</v>
      </c>
      <c r="AC26" s="190">
        <f t="shared" ca="1" si="14"/>
        <v>0</v>
      </c>
      <c r="AD26" s="190">
        <f t="shared" ca="1" si="14"/>
        <v>0</v>
      </c>
      <c r="AE26" s="190">
        <f t="shared" ca="1" si="14"/>
        <v>0</v>
      </c>
      <c r="AF26" s="190">
        <f t="shared" ca="1" si="14"/>
        <v>0</v>
      </c>
      <c r="AG26" s="190">
        <f t="shared" ca="1" si="14"/>
        <v>0</v>
      </c>
      <c r="AH26" s="190">
        <f t="shared" ca="1" si="14"/>
        <v>0</v>
      </c>
      <c r="AI26" s="190">
        <f t="shared" ca="1" si="14"/>
        <v>0</v>
      </c>
      <c r="AJ26" s="190">
        <f t="shared" ca="1" si="14"/>
        <v>0</v>
      </c>
      <c r="AK26" s="190">
        <f t="shared" ca="1" si="14"/>
        <v>0</v>
      </c>
      <c r="AL26" s="190">
        <f t="shared" si="14"/>
        <v>0</v>
      </c>
      <c r="AM26" s="190">
        <f t="shared" si="14"/>
        <v>0</v>
      </c>
      <c r="AN26" s="190">
        <f t="shared" si="14"/>
        <v>0</v>
      </c>
      <c r="AO26" s="190">
        <f t="shared" si="14"/>
        <v>0</v>
      </c>
      <c r="AP26" s="190">
        <f t="shared" si="14"/>
        <v>0</v>
      </c>
      <c r="AQ26" s="190">
        <f t="shared" si="14"/>
        <v>0</v>
      </c>
      <c r="AR26" s="190">
        <f t="shared" si="14"/>
        <v>0</v>
      </c>
      <c r="AS26" s="190">
        <f t="shared" si="14"/>
        <v>0</v>
      </c>
      <c r="AT26" s="190">
        <f t="shared" si="14"/>
        <v>0</v>
      </c>
      <c r="AU26" s="190">
        <f t="shared" si="14"/>
        <v>0</v>
      </c>
    </row>
    <row r="27" spans="2:47">
      <c r="E27" s="49"/>
      <c r="G27" s="36" t="s">
        <v>497</v>
      </c>
      <c r="H27" s="28"/>
      <c r="I27" s="28"/>
      <c r="J27" s="527"/>
      <c r="K27" s="28"/>
      <c r="L27" s="43" t="str">
        <f t="shared" si="5"/>
        <v>[2013 $]</v>
      </c>
      <c r="M27" s="28"/>
      <c r="N27" s="191">
        <f t="shared" si="6"/>
        <v>0</v>
      </c>
      <c r="O27" s="189"/>
      <c r="P27" s="319"/>
      <c r="Q27" s="189"/>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row>
    <row r="28" spans="2:47">
      <c r="E28" s="49"/>
      <c r="G28" s="36" t="s">
        <v>498</v>
      </c>
      <c r="H28" s="28"/>
      <c r="I28" s="28"/>
      <c r="J28" s="527"/>
      <c r="K28" s="28"/>
      <c r="L28" s="43" t="str">
        <f t="shared" si="5"/>
        <v>[2013 $]</v>
      </c>
      <c r="M28" s="28"/>
      <c r="N28" s="191">
        <f t="shared" si="6"/>
        <v>0</v>
      </c>
      <c r="O28" s="189"/>
      <c r="P28" s="319"/>
      <c r="Q28" s="189"/>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row>
    <row r="29" spans="2:47">
      <c r="E29" s="49"/>
      <c r="G29" s="36" t="s">
        <v>499</v>
      </c>
      <c r="H29" s="28"/>
      <c r="I29" s="28"/>
      <c r="J29" s="527"/>
      <c r="K29" s="28"/>
      <c r="L29" s="43" t="str">
        <f t="shared" si="5"/>
        <v>[2013 $]</v>
      </c>
      <c r="M29" s="28"/>
      <c r="N29" s="191">
        <f t="shared" si="6"/>
        <v>0</v>
      </c>
      <c r="O29" s="189"/>
      <c r="P29" s="319"/>
      <c r="Q29" s="189"/>
      <c r="R29" s="321"/>
      <c r="S29" s="321"/>
      <c r="T29" s="321"/>
      <c r="U29" s="321"/>
      <c r="V29" s="321"/>
      <c r="W29" s="32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c r="AT29" s="321"/>
      <c r="AU29" s="321"/>
    </row>
    <row r="30" spans="2:47">
      <c r="E30" s="49"/>
      <c r="G30" s="39" t="s">
        <v>304</v>
      </c>
      <c r="H30" s="28"/>
      <c r="I30" s="28"/>
      <c r="J30" s="28"/>
      <c r="K30" s="28"/>
      <c r="L30" s="968"/>
      <c r="M30" s="28"/>
      <c r="N30" s="60"/>
      <c r="O30" s="312"/>
      <c r="Q30" s="312"/>
    </row>
    <row r="31" spans="2:47">
      <c r="B31" s="38" t="s">
        <v>265</v>
      </c>
      <c r="E31" s="49"/>
      <c r="G31" s="36" t="s">
        <v>108</v>
      </c>
      <c r="H31" s="28"/>
      <c r="I31" s="28"/>
      <c r="J31" s="28"/>
      <c r="K31" s="28"/>
      <c r="L31" s="43" t="str">
        <f>"["&amp;FirstYr-1&amp;" $]"</f>
        <v>[2013 $]</v>
      </c>
      <c r="M31" s="28"/>
      <c r="N31" s="191">
        <f t="shared" ref="N31:N36" ca="1" si="15">NPV(DiscountRt,R31:AU31)</f>
        <v>0</v>
      </c>
      <c r="O31" s="189"/>
      <c r="P31" s="319"/>
      <c r="Q31" s="189"/>
      <c r="R31" s="190">
        <f t="shared" ref="R31:AU31" ca="1" si="16">IF($P31=0,SUMIF($B$96:$B$496,$B31,R$96:R$496),IF(OR(S$99&lt;InServiceYr,S$99&gt;(InServiceYr+analysis_period)),0,$P31*(1+LaborEsc)^(R$16-FirstYr)))</f>
        <v>0</v>
      </c>
      <c r="S31" s="190">
        <f t="shared" ca="1" si="16"/>
        <v>0</v>
      </c>
      <c r="T31" s="190">
        <f t="shared" ca="1" si="16"/>
        <v>0</v>
      </c>
      <c r="U31" s="190">
        <f t="shared" ca="1" si="16"/>
        <v>0</v>
      </c>
      <c r="V31" s="190">
        <f t="shared" ca="1" si="16"/>
        <v>0</v>
      </c>
      <c r="W31" s="190">
        <f t="shared" ca="1" si="16"/>
        <v>0</v>
      </c>
      <c r="X31" s="190">
        <f t="shared" ca="1" si="16"/>
        <v>0</v>
      </c>
      <c r="Y31" s="190">
        <f t="shared" ca="1" si="16"/>
        <v>0</v>
      </c>
      <c r="Z31" s="190">
        <f t="shared" ca="1" si="16"/>
        <v>0</v>
      </c>
      <c r="AA31" s="190">
        <f t="shared" ca="1" si="16"/>
        <v>0</v>
      </c>
      <c r="AB31" s="190">
        <f t="shared" ca="1" si="16"/>
        <v>0</v>
      </c>
      <c r="AC31" s="190">
        <f t="shared" ca="1" si="16"/>
        <v>0</v>
      </c>
      <c r="AD31" s="190">
        <f t="shared" ca="1" si="16"/>
        <v>0</v>
      </c>
      <c r="AE31" s="190">
        <f t="shared" ca="1" si="16"/>
        <v>0</v>
      </c>
      <c r="AF31" s="190">
        <f t="shared" ca="1" si="16"/>
        <v>0</v>
      </c>
      <c r="AG31" s="190">
        <f t="shared" ca="1" si="16"/>
        <v>0</v>
      </c>
      <c r="AH31" s="190">
        <f t="shared" ca="1" si="16"/>
        <v>0</v>
      </c>
      <c r="AI31" s="190">
        <f t="shared" ca="1" si="16"/>
        <v>0</v>
      </c>
      <c r="AJ31" s="190">
        <f t="shared" ca="1" si="16"/>
        <v>0</v>
      </c>
      <c r="AK31" s="190">
        <f t="shared" ca="1" si="16"/>
        <v>0</v>
      </c>
      <c r="AL31" s="190">
        <f t="shared" si="16"/>
        <v>0</v>
      </c>
      <c r="AM31" s="190">
        <f t="shared" si="16"/>
        <v>0</v>
      </c>
      <c r="AN31" s="190">
        <f t="shared" si="16"/>
        <v>0</v>
      </c>
      <c r="AO31" s="190">
        <f t="shared" si="16"/>
        <v>0</v>
      </c>
      <c r="AP31" s="190">
        <f t="shared" si="16"/>
        <v>0</v>
      </c>
      <c r="AQ31" s="190">
        <f t="shared" si="16"/>
        <v>0</v>
      </c>
      <c r="AR31" s="190">
        <f t="shared" si="16"/>
        <v>0</v>
      </c>
      <c r="AS31" s="190">
        <f t="shared" si="16"/>
        <v>0</v>
      </c>
      <c r="AT31" s="190">
        <f t="shared" si="16"/>
        <v>0</v>
      </c>
      <c r="AU31" s="190">
        <f t="shared" si="16"/>
        <v>0</v>
      </c>
    </row>
    <row r="32" spans="2:47">
      <c r="B32" s="38" t="s">
        <v>289</v>
      </c>
      <c r="E32" s="49"/>
      <c r="G32" s="36" t="s">
        <v>292</v>
      </c>
      <c r="H32" s="28"/>
      <c r="I32" s="28"/>
      <c r="J32" s="28"/>
      <c r="K32" s="28"/>
      <c r="L32" s="43" t="str">
        <f>"["&amp;FirstYr-1&amp;" $]"</f>
        <v>[2013 $]</v>
      </c>
      <c r="M32" s="28"/>
      <c r="N32" s="191">
        <f t="shared" ca="1" si="15"/>
        <v>0</v>
      </c>
      <c r="O32" s="189"/>
      <c r="P32" s="319"/>
      <c r="Q32" s="189"/>
      <c r="R32" s="190">
        <f t="shared" ref="R32:AU32" ca="1" si="17">IF($P32=0,SUMIF($B$96:$B$496,$B32,R$96:R$496),IF(OR(S$99&lt;InServiceYr,S$99&gt;(InServiceYr+analysis_period)),0,$P32*(1+LaborEsc)^(R$16-FirstYr)))</f>
        <v>0</v>
      </c>
      <c r="S32" s="190">
        <f t="shared" ca="1" si="17"/>
        <v>0</v>
      </c>
      <c r="T32" s="190">
        <f t="shared" ca="1" si="17"/>
        <v>0</v>
      </c>
      <c r="U32" s="190">
        <f t="shared" ca="1" si="17"/>
        <v>0</v>
      </c>
      <c r="V32" s="190">
        <f t="shared" ca="1" si="17"/>
        <v>0</v>
      </c>
      <c r="W32" s="190">
        <f t="shared" ca="1" si="17"/>
        <v>0</v>
      </c>
      <c r="X32" s="190">
        <f t="shared" ca="1" si="17"/>
        <v>0</v>
      </c>
      <c r="Y32" s="190">
        <f t="shared" ca="1" si="17"/>
        <v>0</v>
      </c>
      <c r="Z32" s="190">
        <f t="shared" ca="1" si="17"/>
        <v>0</v>
      </c>
      <c r="AA32" s="190">
        <f t="shared" ca="1" si="17"/>
        <v>0</v>
      </c>
      <c r="AB32" s="190">
        <f t="shared" ca="1" si="17"/>
        <v>0</v>
      </c>
      <c r="AC32" s="190">
        <f t="shared" ca="1" si="17"/>
        <v>0</v>
      </c>
      <c r="AD32" s="190">
        <f t="shared" ca="1" si="17"/>
        <v>0</v>
      </c>
      <c r="AE32" s="190">
        <f t="shared" ca="1" si="17"/>
        <v>0</v>
      </c>
      <c r="AF32" s="190">
        <f t="shared" ca="1" si="17"/>
        <v>0</v>
      </c>
      <c r="AG32" s="190">
        <f t="shared" ca="1" si="17"/>
        <v>0</v>
      </c>
      <c r="AH32" s="190">
        <f t="shared" ca="1" si="17"/>
        <v>0</v>
      </c>
      <c r="AI32" s="190">
        <f t="shared" ca="1" si="17"/>
        <v>0</v>
      </c>
      <c r="AJ32" s="190">
        <f t="shared" ca="1" si="17"/>
        <v>0</v>
      </c>
      <c r="AK32" s="190">
        <f t="shared" ca="1" si="17"/>
        <v>0</v>
      </c>
      <c r="AL32" s="190">
        <f t="shared" si="17"/>
        <v>0</v>
      </c>
      <c r="AM32" s="190">
        <f t="shared" si="17"/>
        <v>0</v>
      </c>
      <c r="AN32" s="190">
        <f t="shared" si="17"/>
        <v>0</v>
      </c>
      <c r="AO32" s="190">
        <f t="shared" si="17"/>
        <v>0</v>
      </c>
      <c r="AP32" s="190">
        <f t="shared" si="17"/>
        <v>0</v>
      </c>
      <c r="AQ32" s="190">
        <f t="shared" si="17"/>
        <v>0</v>
      </c>
      <c r="AR32" s="190">
        <f t="shared" si="17"/>
        <v>0</v>
      </c>
      <c r="AS32" s="190">
        <f t="shared" si="17"/>
        <v>0</v>
      </c>
      <c r="AT32" s="190">
        <f t="shared" si="17"/>
        <v>0</v>
      </c>
      <c r="AU32" s="190">
        <f t="shared" si="17"/>
        <v>0</v>
      </c>
    </row>
    <row r="33" spans="1:47">
      <c r="E33" s="49"/>
      <c r="G33" s="36" t="s">
        <v>500</v>
      </c>
      <c r="H33" s="28"/>
      <c r="I33" s="28"/>
      <c r="J33" s="28"/>
      <c r="K33" s="28"/>
      <c r="L33" s="43" t="str">
        <f>"["&amp;FirstYr-1&amp;" $]"</f>
        <v>[2013 $]</v>
      </c>
      <c r="M33" s="28"/>
      <c r="N33" s="191">
        <f t="shared" si="15"/>
        <v>0</v>
      </c>
      <c r="O33" s="189"/>
      <c r="P33" s="319"/>
      <c r="Q33" s="189"/>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row>
    <row r="34" spans="1:47">
      <c r="E34" s="49"/>
      <c r="G34" s="36" t="s">
        <v>501</v>
      </c>
      <c r="H34" s="28"/>
      <c r="I34" s="28"/>
      <c r="J34" s="28"/>
      <c r="K34" s="28"/>
      <c r="L34" s="43" t="str">
        <f>"["&amp;FirstYr-1&amp;" $]"</f>
        <v>[2013 $]</v>
      </c>
      <c r="M34" s="28"/>
      <c r="N34" s="191">
        <f t="shared" si="15"/>
        <v>0</v>
      </c>
      <c r="O34" s="189"/>
      <c r="P34" s="319"/>
      <c r="Q34" s="189"/>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row>
    <row r="35" spans="1:47">
      <c r="E35" s="49"/>
      <c r="G35" s="36" t="s">
        <v>502</v>
      </c>
      <c r="H35" s="28"/>
      <c r="I35" s="28"/>
      <c r="J35" s="28"/>
      <c r="K35" s="28"/>
      <c r="L35" s="43" t="str">
        <f>"["&amp;FirstYr-1&amp;" $]"</f>
        <v>[2013 $]</v>
      </c>
      <c r="M35" s="28"/>
      <c r="N35" s="191">
        <f t="shared" si="15"/>
        <v>0</v>
      </c>
      <c r="O35" s="189"/>
      <c r="P35" s="319"/>
      <c r="Q35" s="189"/>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row>
    <row r="36" spans="1:47">
      <c r="E36" s="49"/>
      <c r="G36" s="39" t="s">
        <v>305</v>
      </c>
      <c r="H36" s="42"/>
      <c r="I36" s="42"/>
      <c r="J36" s="42"/>
      <c r="K36" s="42"/>
      <c r="L36" s="43"/>
      <c r="M36" s="43"/>
      <c r="N36" s="189">
        <f t="shared" ca="1" si="15"/>
        <v>0</v>
      </c>
      <c r="O36" s="189"/>
      <c r="P36" s="189"/>
      <c r="Q36" s="189"/>
      <c r="R36" s="189">
        <f t="shared" ref="R36:AU36" ca="1" si="18">SUM(R19:R29)-SUM(R31:R35)</f>
        <v>0</v>
      </c>
      <c r="S36" s="189">
        <f t="shared" ca="1" si="18"/>
        <v>0</v>
      </c>
      <c r="T36" s="189">
        <f t="shared" ca="1" si="18"/>
        <v>0</v>
      </c>
      <c r="U36" s="189">
        <f t="shared" ca="1" si="18"/>
        <v>0</v>
      </c>
      <c r="V36" s="189">
        <f t="shared" ca="1" si="18"/>
        <v>0</v>
      </c>
      <c r="W36" s="189">
        <f t="shared" ca="1" si="18"/>
        <v>0</v>
      </c>
      <c r="X36" s="189">
        <f t="shared" ca="1" si="18"/>
        <v>0</v>
      </c>
      <c r="Y36" s="189">
        <f t="shared" ca="1" si="18"/>
        <v>0</v>
      </c>
      <c r="Z36" s="189">
        <f t="shared" ca="1" si="18"/>
        <v>0</v>
      </c>
      <c r="AA36" s="189">
        <f t="shared" ca="1" si="18"/>
        <v>0</v>
      </c>
      <c r="AB36" s="189">
        <f t="shared" ca="1" si="18"/>
        <v>0</v>
      </c>
      <c r="AC36" s="189">
        <f t="shared" ca="1" si="18"/>
        <v>0</v>
      </c>
      <c r="AD36" s="189">
        <f t="shared" ca="1" si="18"/>
        <v>0</v>
      </c>
      <c r="AE36" s="189">
        <f t="shared" ca="1" si="18"/>
        <v>0</v>
      </c>
      <c r="AF36" s="189">
        <f t="shared" ca="1" si="18"/>
        <v>0</v>
      </c>
      <c r="AG36" s="189">
        <f t="shared" ca="1" si="18"/>
        <v>0</v>
      </c>
      <c r="AH36" s="189">
        <f t="shared" ca="1" si="18"/>
        <v>0</v>
      </c>
      <c r="AI36" s="189">
        <f t="shared" ca="1" si="18"/>
        <v>0</v>
      </c>
      <c r="AJ36" s="189">
        <f t="shared" ca="1" si="18"/>
        <v>0</v>
      </c>
      <c r="AK36" s="189">
        <f t="shared" ca="1" si="18"/>
        <v>0</v>
      </c>
      <c r="AL36" s="189">
        <f t="shared" si="18"/>
        <v>0</v>
      </c>
      <c r="AM36" s="189">
        <f t="shared" si="18"/>
        <v>0</v>
      </c>
      <c r="AN36" s="189">
        <f t="shared" si="18"/>
        <v>0</v>
      </c>
      <c r="AO36" s="189">
        <f t="shared" si="18"/>
        <v>0</v>
      </c>
      <c r="AP36" s="189">
        <f t="shared" si="18"/>
        <v>0</v>
      </c>
      <c r="AQ36" s="189">
        <f t="shared" si="18"/>
        <v>0</v>
      </c>
      <c r="AR36" s="189">
        <f t="shared" si="18"/>
        <v>0</v>
      </c>
      <c r="AS36" s="189">
        <f t="shared" si="18"/>
        <v>0</v>
      </c>
      <c r="AT36" s="189">
        <f t="shared" si="18"/>
        <v>0</v>
      </c>
      <c r="AU36" s="189">
        <f t="shared" si="18"/>
        <v>0</v>
      </c>
    </row>
    <row r="37" spans="1:47" s="28" customFormat="1">
      <c r="E37" s="254"/>
      <c r="L37" s="406"/>
      <c r="O37" s="197"/>
      <c r="Q37" s="197"/>
    </row>
    <row r="38" spans="1:47" s="39" customFormat="1">
      <c r="E38" s="254"/>
      <c r="G38" s="194" t="s">
        <v>488</v>
      </c>
      <c r="L38" s="174"/>
      <c r="N38" s="192">
        <f ca="1">SUM(N36,N14)</f>
        <v>0</v>
      </c>
      <c r="O38" s="189"/>
      <c r="P38" s="320"/>
      <c r="Q38" s="189"/>
      <c r="R38" s="192">
        <f t="shared" ref="R38:AU38" ca="1" si="19">SUM(R36,R14)</f>
        <v>0</v>
      </c>
      <c r="S38" s="192">
        <f t="shared" ca="1" si="19"/>
        <v>0</v>
      </c>
      <c r="T38" s="192">
        <f t="shared" ca="1" si="19"/>
        <v>0</v>
      </c>
      <c r="U38" s="192">
        <f t="shared" ca="1" si="19"/>
        <v>0</v>
      </c>
      <c r="V38" s="192">
        <f t="shared" ca="1" si="19"/>
        <v>0</v>
      </c>
      <c r="W38" s="192">
        <f t="shared" ca="1" si="19"/>
        <v>0</v>
      </c>
      <c r="X38" s="192">
        <f t="shared" ca="1" si="19"/>
        <v>0</v>
      </c>
      <c r="Y38" s="192">
        <f t="shared" ca="1" si="19"/>
        <v>0</v>
      </c>
      <c r="Z38" s="192">
        <f t="shared" ca="1" si="19"/>
        <v>0</v>
      </c>
      <c r="AA38" s="192">
        <f t="shared" ca="1" si="19"/>
        <v>0</v>
      </c>
      <c r="AB38" s="192">
        <f t="shared" ca="1" si="19"/>
        <v>0</v>
      </c>
      <c r="AC38" s="192">
        <f t="shared" ca="1" si="19"/>
        <v>0</v>
      </c>
      <c r="AD38" s="192">
        <f t="shared" ca="1" si="19"/>
        <v>0</v>
      </c>
      <c r="AE38" s="192">
        <f t="shared" ca="1" si="19"/>
        <v>0</v>
      </c>
      <c r="AF38" s="192">
        <f t="shared" ca="1" si="19"/>
        <v>0</v>
      </c>
      <c r="AG38" s="192">
        <f t="shared" ca="1" si="19"/>
        <v>0</v>
      </c>
      <c r="AH38" s="192">
        <f t="shared" ca="1" si="19"/>
        <v>0</v>
      </c>
      <c r="AI38" s="192">
        <f t="shared" ca="1" si="19"/>
        <v>0</v>
      </c>
      <c r="AJ38" s="192">
        <f t="shared" ca="1" si="19"/>
        <v>0</v>
      </c>
      <c r="AK38" s="192">
        <f t="shared" ca="1" si="19"/>
        <v>0</v>
      </c>
      <c r="AL38" s="192">
        <f t="shared" ca="1" si="19"/>
        <v>0</v>
      </c>
      <c r="AM38" s="192">
        <f t="shared" ca="1" si="19"/>
        <v>0</v>
      </c>
      <c r="AN38" s="192">
        <f t="shared" ca="1" si="19"/>
        <v>0</v>
      </c>
      <c r="AO38" s="192">
        <f t="shared" ca="1" si="19"/>
        <v>0</v>
      </c>
      <c r="AP38" s="192">
        <f t="shared" ca="1" si="19"/>
        <v>0</v>
      </c>
      <c r="AQ38" s="192">
        <f t="shared" ca="1" si="19"/>
        <v>0</v>
      </c>
      <c r="AR38" s="192">
        <f t="shared" ca="1" si="19"/>
        <v>0</v>
      </c>
      <c r="AS38" s="192">
        <f t="shared" ca="1" si="19"/>
        <v>0</v>
      </c>
      <c r="AT38" s="192">
        <f t="shared" ca="1" si="19"/>
        <v>0</v>
      </c>
      <c r="AU38" s="192">
        <f t="shared" ca="1" si="19"/>
        <v>0</v>
      </c>
    </row>
    <row r="39" spans="1:47">
      <c r="G39" s="194" t="s">
        <v>537</v>
      </c>
      <c r="Q39" s="42">
        <v>0</v>
      </c>
      <c r="R39" s="198">
        <f ca="1">IF(OR(R$99&lt;InServiceYr,R$99&gt;(InServiceYr+analysis_period-1)),0,NPV(DiscountRt,$R38:R38))</f>
        <v>0</v>
      </c>
      <c r="S39" s="198">
        <f ca="1">IF(OR(S$99&lt;InServiceYr,S$99&gt;(InServiceYr+analysis_period-1)),0,NPV(DiscountRt,$R38:S38))</f>
        <v>0</v>
      </c>
      <c r="T39" s="198">
        <f ca="1">IF(OR(T$99&lt;InServiceYr,T$99&gt;(InServiceYr+analysis_period-1)),0,NPV(DiscountRt,$R38:T38))</f>
        <v>0</v>
      </c>
      <c r="U39" s="198">
        <f ca="1">IF(OR(U$99&lt;InServiceYr,U$99&gt;(InServiceYr+analysis_period-1)),0,NPV(DiscountRt,$R38:U38))</f>
        <v>0</v>
      </c>
      <c r="V39" s="198">
        <f ca="1">IF(OR(V$99&lt;InServiceYr,V$99&gt;(InServiceYr+analysis_period-1)),0,NPV(DiscountRt,$R38:V38))</f>
        <v>0</v>
      </c>
      <c r="W39" s="198">
        <f ca="1">IF(OR(W$99&lt;InServiceYr,W$99&gt;(InServiceYr+analysis_period-1)),0,NPV(DiscountRt,$R38:W38))</f>
        <v>0</v>
      </c>
      <c r="X39" s="198">
        <f ca="1">IF(OR(X$99&lt;InServiceYr,X$99&gt;(InServiceYr+analysis_period-1)),0,NPV(DiscountRt,$R38:X38))</f>
        <v>0</v>
      </c>
      <c r="Y39" s="198">
        <f ca="1">IF(OR(Y$99&lt;InServiceYr,Y$99&gt;(InServiceYr+analysis_period-1)),0,NPV(DiscountRt,$R38:Y38))</f>
        <v>0</v>
      </c>
      <c r="Z39" s="198">
        <f ca="1">IF(OR(Z$99&lt;InServiceYr,Z$99&gt;(InServiceYr+analysis_period-1)),0,NPV(DiscountRt,$R38:Z38))</f>
        <v>0</v>
      </c>
      <c r="AA39" s="198">
        <f ca="1">IF(OR(AA$99&lt;InServiceYr,AA$99&gt;(InServiceYr+analysis_period-1)),0,NPV(DiscountRt,$R38:AA38))</f>
        <v>0</v>
      </c>
      <c r="AB39" s="198">
        <f ca="1">IF(OR(AB$99&lt;InServiceYr,AB$99&gt;(InServiceYr+analysis_period-1)),0,NPV(DiscountRt,$R38:AB38))</f>
        <v>0</v>
      </c>
      <c r="AC39" s="198">
        <f ca="1">IF(OR(AC$99&lt;InServiceYr,AC$99&gt;(InServiceYr+analysis_period-1)),0,NPV(DiscountRt,$R38:AC38))</f>
        <v>0</v>
      </c>
      <c r="AD39" s="198">
        <f ca="1">IF(OR(AD$99&lt;InServiceYr,AD$99&gt;(InServiceYr+analysis_period-1)),0,NPV(DiscountRt,$R38:AD38))</f>
        <v>0</v>
      </c>
      <c r="AE39" s="198">
        <f ca="1">IF(OR(AE$99&lt;InServiceYr,AE$99&gt;(InServiceYr+analysis_period-1)),0,NPV(DiscountRt,$R38:AE38))</f>
        <v>0</v>
      </c>
      <c r="AF39" s="198">
        <f ca="1">IF(OR(AF$99&lt;InServiceYr,AF$99&gt;(InServiceYr+analysis_period-1)),0,NPV(DiscountRt,$R38:AF38))</f>
        <v>0</v>
      </c>
      <c r="AG39" s="198">
        <f ca="1">IF(OR(AG$99&lt;InServiceYr,AG$99&gt;(InServiceYr+analysis_period-1)),0,NPV(DiscountRt,$R38:AG38))</f>
        <v>0</v>
      </c>
      <c r="AH39" s="198">
        <f ca="1">IF(OR(AH$99&lt;InServiceYr,AH$99&gt;(InServiceYr+analysis_period-1)),0,NPV(DiscountRt,$R38:AH38))</f>
        <v>0</v>
      </c>
      <c r="AI39" s="198">
        <f ca="1">IF(OR(AI$99&lt;InServiceYr,AI$99&gt;(InServiceYr+analysis_period-1)),0,NPV(DiscountRt,$R38:AI38))</f>
        <v>0</v>
      </c>
      <c r="AJ39" s="198">
        <f ca="1">IF(OR(AJ$99&lt;InServiceYr,AJ$99&gt;(InServiceYr+analysis_period-1)),0,NPV(DiscountRt,$R38:AJ38))</f>
        <v>0</v>
      </c>
      <c r="AK39" s="198">
        <f ca="1">IF(OR(AK$99&lt;InServiceYr,AK$99&gt;(InServiceYr+analysis_period-1)),0,NPV(DiscountRt,$R38:AK38))</f>
        <v>0</v>
      </c>
      <c r="AL39" s="198">
        <f>IF(OR(AL$99&lt;InServiceYr,AL$99&gt;(InServiceYr+analysis_period-1)),0,NPV(DiscountRt,$R38:AL38))</f>
        <v>0</v>
      </c>
      <c r="AM39" s="198">
        <f>IF(OR(AM$99&lt;InServiceYr,AM$99&gt;(InServiceYr+analysis_period-1)),0,NPV(DiscountRt,$R38:AM38))</f>
        <v>0</v>
      </c>
      <c r="AN39" s="198">
        <f>IF(OR(AN$99&lt;InServiceYr,AN$99&gt;(InServiceYr+analysis_period-1)),0,NPV(DiscountRt,$R38:AN38))</f>
        <v>0</v>
      </c>
      <c r="AO39" s="198">
        <f>IF(OR(AO$99&lt;InServiceYr,AO$99&gt;(InServiceYr+analysis_period-1)),0,NPV(DiscountRt,$R38:AO38))</f>
        <v>0</v>
      </c>
      <c r="AP39" s="198">
        <f>IF(OR(AP$99&lt;InServiceYr,AP$99&gt;(InServiceYr+analysis_period-1)),0,NPV(DiscountRt,$R38:AP38))</f>
        <v>0</v>
      </c>
      <c r="AQ39" s="198">
        <f>IF(OR(AQ$99&lt;InServiceYr,AQ$99&gt;(InServiceYr+analysis_period-1)),0,NPV(DiscountRt,$R38:AQ38))</f>
        <v>0</v>
      </c>
      <c r="AR39" s="198">
        <f>IF(OR(AR$99&lt;InServiceYr,AR$99&gt;(InServiceYr+analysis_period-1)),0,NPV(DiscountRt,$R38:AR38))</f>
        <v>0</v>
      </c>
      <c r="AS39" s="198">
        <f>IF(OR(AS$99&lt;InServiceYr,AS$99&gt;(InServiceYr+analysis_period-1)),0,NPV(DiscountRt,$R38:AS38))</f>
        <v>0</v>
      </c>
      <c r="AT39" s="198">
        <f>IF(OR(AT$99&lt;InServiceYr,AT$99&gt;(InServiceYr+analysis_period-1)),0,NPV(DiscountRt,$R38:AT38))</f>
        <v>0</v>
      </c>
      <c r="AU39" s="198">
        <f>IF(OR(AU$99&lt;InServiceYr,AU$99&gt;(InServiceYr+analysis_period-1)),0,NPV(DiscountRt,$R38:AU38))</f>
        <v>0</v>
      </c>
    </row>
    <row r="40" spans="1:47" s="42" customFormat="1">
      <c r="A40" s="317"/>
      <c r="B40" s="317"/>
      <c r="C40" s="317"/>
      <c r="D40" s="317"/>
      <c r="E40" s="317"/>
      <c r="F40" s="317"/>
      <c r="G40" s="318" t="s">
        <v>504</v>
      </c>
      <c r="H40" s="317"/>
      <c r="I40" s="317"/>
      <c r="J40" s="317"/>
      <c r="K40" s="317"/>
      <c r="L40" s="407"/>
      <c r="M40" s="317"/>
      <c r="N40" s="317"/>
      <c r="O40" s="317"/>
      <c r="P40" s="317"/>
      <c r="Q40" s="317"/>
      <c r="R40" s="317">
        <f ca="1">R38/(1+DiscountRt)^(R$8-FirstYr)</f>
        <v>0</v>
      </c>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row>
    <row r="42" spans="1:47" s="28" customFormat="1">
      <c r="A42" s="40"/>
      <c r="B42" s="40"/>
      <c r="C42" s="40"/>
      <c r="D42" s="40"/>
      <c r="G42" s="324" t="s">
        <v>492</v>
      </c>
      <c r="H42" s="324"/>
      <c r="I42" s="324"/>
      <c r="J42" s="324"/>
      <c r="K42" s="324"/>
      <c r="L42" s="405" t="s">
        <v>11</v>
      </c>
      <c r="M42" s="256"/>
      <c r="N42" s="325" t="str">
        <f>"NPV "&amp;FirstYr-1&amp;" $"</f>
        <v>NPV 2013 $</v>
      </c>
      <c r="O42" s="311"/>
      <c r="P42" s="325"/>
      <c r="Q42" s="310"/>
      <c r="R42" s="325">
        <f>R$8</f>
        <v>2014</v>
      </c>
      <c r="S42" s="325">
        <f t="shared" ref="S42:AU42" si="20">S$8</f>
        <v>2015</v>
      </c>
      <c r="T42" s="325">
        <f t="shared" si="20"/>
        <v>2016</v>
      </c>
      <c r="U42" s="325">
        <f t="shared" si="20"/>
        <v>2017</v>
      </c>
      <c r="V42" s="325">
        <f t="shared" si="20"/>
        <v>2018</v>
      </c>
      <c r="W42" s="325">
        <f t="shared" si="20"/>
        <v>2019</v>
      </c>
      <c r="X42" s="325">
        <f t="shared" si="20"/>
        <v>2020</v>
      </c>
      <c r="Y42" s="325">
        <f t="shared" si="20"/>
        <v>2021</v>
      </c>
      <c r="Z42" s="325">
        <f t="shared" si="20"/>
        <v>2022</v>
      </c>
      <c r="AA42" s="325">
        <f t="shared" si="20"/>
        <v>2023</v>
      </c>
      <c r="AB42" s="325">
        <f t="shared" si="20"/>
        <v>2024</v>
      </c>
      <c r="AC42" s="325">
        <f t="shared" si="20"/>
        <v>2025</v>
      </c>
      <c r="AD42" s="325">
        <f t="shared" si="20"/>
        <v>2026</v>
      </c>
      <c r="AE42" s="325">
        <f t="shared" si="20"/>
        <v>2027</v>
      </c>
      <c r="AF42" s="325">
        <f t="shared" si="20"/>
        <v>2028</v>
      </c>
      <c r="AG42" s="325">
        <f t="shared" si="20"/>
        <v>2029</v>
      </c>
      <c r="AH42" s="325">
        <f t="shared" si="20"/>
        <v>2030</v>
      </c>
      <c r="AI42" s="325">
        <f t="shared" si="20"/>
        <v>2031</v>
      </c>
      <c r="AJ42" s="325">
        <f t="shared" si="20"/>
        <v>2032</v>
      </c>
      <c r="AK42" s="325">
        <f t="shared" si="20"/>
        <v>2033</v>
      </c>
      <c r="AL42" s="325">
        <f t="shared" si="20"/>
        <v>2034</v>
      </c>
      <c r="AM42" s="325">
        <f t="shared" si="20"/>
        <v>2035</v>
      </c>
      <c r="AN42" s="325">
        <f t="shared" si="20"/>
        <v>2036</v>
      </c>
      <c r="AO42" s="325">
        <f t="shared" si="20"/>
        <v>2037</v>
      </c>
      <c r="AP42" s="325">
        <f t="shared" si="20"/>
        <v>2038</v>
      </c>
      <c r="AQ42" s="325">
        <f t="shared" si="20"/>
        <v>2039</v>
      </c>
      <c r="AR42" s="325">
        <f t="shared" si="20"/>
        <v>2040</v>
      </c>
      <c r="AS42" s="325">
        <f t="shared" si="20"/>
        <v>2041</v>
      </c>
      <c r="AT42" s="325">
        <f t="shared" si="20"/>
        <v>2042</v>
      </c>
      <c r="AU42" s="325">
        <f t="shared" si="20"/>
        <v>2043</v>
      </c>
    </row>
    <row r="43" spans="1:47" s="28" customFormat="1">
      <c r="E43" s="254"/>
      <c r="L43" s="406"/>
      <c r="O43" s="197"/>
      <c r="Q43" s="197"/>
    </row>
    <row r="44" spans="1:47" s="28" customFormat="1">
      <c r="E44" s="254"/>
      <c r="G44" s="39" t="s">
        <v>19</v>
      </c>
      <c r="L44" s="406"/>
      <c r="O44" s="197"/>
      <c r="Q44" s="197"/>
    </row>
    <row r="45" spans="1:47" s="28" customFormat="1">
      <c r="E45" s="254"/>
      <c r="G45" s="36" t="s">
        <v>315</v>
      </c>
      <c r="J45" s="328" t="s">
        <v>507</v>
      </c>
      <c r="L45" s="43" t="s">
        <v>12</v>
      </c>
      <c r="N45" s="189">
        <f t="shared" ref="N45:N64" ca="1" si="21">NPV(DiscountRt,R45:AU45)</f>
        <v>0</v>
      </c>
      <c r="O45" s="189"/>
      <c r="P45" s="319"/>
      <c r="Q45" s="189"/>
      <c r="R45" s="190">
        <f t="shared" ref="R45:AU45" ca="1" si="22">R96</f>
        <v>0</v>
      </c>
      <c r="S45" s="190">
        <f t="shared" ca="1" si="22"/>
        <v>0</v>
      </c>
      <c r="T45" s="190">
        <f t="shared" ca="1" si="22"/>
        <v>0</v>
      </c>
      <c r="U45" s="190">
        <f t="shared" ca="1" si="22"/>
        <v>0</v>
      </c>
      <c r="V45" s="190">
        <f t="shared" ca="1" si="22"/>
        <v>0</v>
      </c>
      <c r="W45" s="190">
        <f t="shared" ca="1" si="22"/>
        <v>0</v>
      </c>
      <c r="X45" s="190">
        <f t="shared" ca="1" si="22"/>
        <v>0</v>
      </c>
      <c r="Y45" s="190">
        <f t="shared" ca="1" si="22"/>
        <v>0</v>
      </c>
      <c r="Z45" s="190">
        <f t="shared" ca="1" si="22"/>
        <v>0</v>
      </c>
      <c r="AA45" s="190">
        <f t="shared" ca="1" si="22"/>
        <v>0</v>
      </c>
      <c r="AB45" s="190">
        <f t="shared" ca="1" si="22"/>
        <v>0</v>
      </c>
      <c r="AC45" s="190">
        <f t="shared" ca="1" si="22"/>
        <v>0</v>
      </c>
      <c r="AD45" s="190">
        <f t="shared" ca="1" si="22"/>
        <v>0</v>
      </c>
      <c r="AE45" s="190">
        <f t="shared" ca="1" si="22"/>
        <v>0</v>
      </c>
      <c r="AF45" s="190">
        <f t="shared" ca="1" si="22"/>
        <v>0</v>
      </c>
      <c r="AG45" s="190">
        <f t="shared" ca="1" si="22"/>
        <v>0</v>
      </c>
      <c r="AH45" s="190">
        <f t="shared" ca="1" si="22"/>
        <v>0</v>
      </c>
      <c r="AI45" s="190">
        <f t="shared" ca="1" si="22"/>
        <v>0</v>
      </c>
      <c r="AJ45" s="190">
        <f t="shared" ca="1" si="22"/>
        <v>0</v>
      </c>
      <c r="AK45" s="190">
        <f t="shared" ca="1" si="22"/>
        <v>0</v>
      </c>
      <c r="AL45" s="190">
        <f t="shared" ca="1" si="22"/>
        <v>0</v>
      </c>
      <c r="AM45" s="190">
        <f t="shared" ca="1" si="22"/>
        <v>0</v>
      </c>
      <c r="AN45" s="190">
        <f t="shared" ca="1" si="22"/>
        <v>0</v>
      </c>
      <c r="AO45" s="190">
        <f t="shared" ca="1" si="22"/>
        <v>0</v>
      </c>
      <c r="AP45" s="190">
        <f t="shared" ca="1" si="22"/>
        <v>0</v>
      </c>
      <c r="AQ45" s="190">
        <f t="shared" ca="1" si="22"/>
        <v>0</v>
      </c>
      <c r="AR45" s="190">
        <f t="shared" ca="1" si="22"/>
        <v>0</v>
      </c>
      <c r="AS45" s="190">
        <f t="shared" ca="1" si="22"/>
        <v>0</v>
      </c>
      <c r="AT45" s="190">
        <f t="shared" ca="1" si="22"/>
        <v>0</v>
      </c>
      <c r="AU45" s="190">
        <f t="shared" ca="1" si="22"/>
        <v>0</v>
      </c>
    </row>
    <row r="46" spans="1:47" s="28" customFormat="1">
      <c r="E46" s="254"/>
      <c r="G46" s="36" t="s">
        <v>153</v>
      </c>
      <c r="J46" s="328" t="s">
        <v>507</v>
      </c>
      <c r="L46" s="43" t="s">
        <v>12</v>
      </c>
      <c r="N46" s="189">
        <f t="shared" ca="1" si="21"/>
        <v>0</v>
      </c>
      <c r="O46" s="189"/>
      <c r="P46" s="319"/>
      <c r="Q46" s="189"/>
      <c r="R46" s="190">
        <f t="shared" ref="R46:AU46" ca="1" si="23">R117</f>
        <v>0</v>
      </c>
      <c r="S46" s="190">
        <f t="shared" ca="1" si="23"/>
        <v>0</v>
      </c>
      <c r="T46" s="190">
        <f t="shared" ca="1" si="23"/>
        <v>0</v>
      </c>
      <c r="U46" s="190">
        <f t="shared" ca="1" si="23"/>
        <v>0</v>
      </c>
      <c r="V46" s="190">
        <f t="shared" ca="1" si="23"/>
        <v>0</v>
      </c>
      <c r="W46" s="190">
        <f t="shared" ca="1" si="23"/>
        <v>0</v>
      </c>
      <c r="X46" s="190">
        <f t="shared" ca="1" si="23"/>
        <v>0</v>
      </c>
      <c r="Y46" s="190">
        <f t="shared" ca="1" si="23"/>
        <v>0</v>
      </c>
      <c r="Z46" s="190">
        <f t="shared" ca="1" si="23"/>
        <v>0</v>
      </c>
      <c r="AA46" s="190">
        <f t="shared" ca="1" si="23"/>
        <v>0</v>
      </c>
      <c r="AB46" s="190">
        <f t="shared" ca="1" si="23"/>
        <v>0</v>
      </c>
      <c r="AC46" s="190">
        <f t="shared" ca="1" si="23"/>
        <v>0</v>
      </c>
      <c r="AD46" s="190">
        <f t="shared" ca="1" si="23"/>
        <v>0</v>
      </c>
      <c r="AE46" s="190">
        <f t="shared" ca="1" si="23"/>
        <v>0</v>
      </c>
      <c r="AF46" s="190">
        <f t="shared" ca="1" si="23"/>
        <v>0</v>
      </c>
      <c r="AG46" s="190">
        <f t="shared" ca="1" si="23"/>
        <v>0</v>
      </c>
      <c r="AH46" s="190">
        <f t="shared" ca="1" si="23"/>
        <v>0</v>
      </c>
      <c r="AI46" s="190">
        <f t="shared" ca="1" si="23"/>
        <v>0</v>
      </c>
      <c r="AJ46" s="190">
        <f t="shared" ca="1" si="23"/>
        <v>0</v>
      </c>
      <c r="AK46" s="190">
        <f t="shared" ca="1" si="23"/>
        <v>0</v>
      </c>
      <c r="AL46" s="190">
        <f t="shared" ca="1" si="23"/>
        <v>0</v>
      </c>
      <c r="AM46" s="190">
        <f t="shared" ca="1" si="23"/>
        <v>0</v>
      </c>
      <c r="AN46" s="190">
        <f t="shared" ca="1" si="23"/>
        <v>0</v>
      </c>
      <c r="AO46" s="190">
        <f t="shared" ca="1" si="23"/>
        <v>0</v>
      </c>
      <c r="AP46" s="190">
        <f t="shared" ca="1" si="23"/>
        <v>0</v>
      </c>
      <c r="AQ46" s="190">
        <f t="shared" ca="1" si="23"/>
        <v>0</v>
      </c>
      <c r="AR46" s="190">
        <f t="shared" ca="1" si="23"/>
        <v>0</v>
      </c>
      <c r="AS46" s="190">
        <f t="shared" ca="1" si="23"/>
        <v>0</v>
      </c>
      <c r="AT46" s="190">
        <f t="shared" ca="1" si="23"/>
        <v>0</v>
      </c>
      <c r="AU46" s="190">
        <f t="shared" ca="1" si="23"/>
        <v>0</v>
      </c>
    </row>
    <row r="47" spans="1:47" s="28" customFormat="1">
      <c r="E47" s="254"/>
      <c r="G47" s="36" t="s">
        <v>143</v>
      </c>
      <c r="J47" s="328" t="s">
        <v>507</v>
      </c>
      <c r="L47" s="43" t="s">
        <v>12</v>
      </c>
      <c r="N47" s="189">
        <f t="shared" ca="1" si="21"/>
        <v>0</v>
      </c>
      <c r="O47" s="189"/>
      <c r="P47" s="319"/>
      <c r="Q47" s="189"/>
      <c r="R47" s="190">
        <f t="shared" ref="R47:AU47" ca="1" si="24">R138</f>
        <v>0</v>
      </c>
      <c r="S47" s="190">
        <f t="shared" ca="1" si="24"/>
        <v>0</v>
      </c>
      <c r="T47" s="190">
        <f t="shared" ca="1" si="24"/>
        <v>0</v>
      </c>
      <c r="U47" s="190">
        <f t="shared" ca="1" si="24"/>
        <v>0</v>
      </c>
      <c r="V47" s="190">
        <f t="shared" ca="1" si="24"/>
        <v>0</v>
      </c>
      <c r="W47" s="190">
        <f t="shared" ca="1" si="24"/>
        <v>0</v>
      </c>
      <c r="X47" s="190">
        <f t="shared" ca="1" si="24"/>
        <v>0</v>
      </c>
      <c r="Y47" s="190">
        <f t="shared" ca="1" si="24"/>
        <v>0</v>
      </c>
      <c r="Z47" s="190">
        <f t="shared" ca="1" si="24"/>
        <v>0</v>
      </c>
      <c r="AA47" s="190">
        <f t="shared" ca="1" si="24"/>
        <v>0</v>
      </c>
      <c r="AB47" s="190">
        <f t="shared" ca="1" si="24"/>
        <v>0</v>
      </c>
      <c r="AC47" s="190">
        <f t="shared" ca="1" si="24"/>
        <v>0</v>
      </c>
      <c r="AD47" s="190">
        <f t="shared" ca="1" si="24"/>
        <v>0</v>
      </c>
      <c r="AE47" s="190">
        <f t="shared" ca="1" si="24"/>
        <v>0</v>
      </c>
      <c r="AF47" s="190">
        <f t="shared" ca="1" si="24"/>
        <v>0</v>
      </c>
      <c r="AG47" s="190">
        <f t="shared" ca="1" si="24"/>
        <v>0</v>
      </c>
      <c r="AH47" s="190">
        <f t="shared" ca="1" si="24"/>
        <v>0</v>
      </c>
      <c r="AI47" s="190">
        <f t="shared" ca="1" si="24"/>
        <v>0</v>
      </c>
      <c r="AJ47" s="190">
        <f t="shared" ca="1" si="24"/>
        <v>0</v>
      </c>
      <c r="AK47" s="190">
        <f t="shared" ca="1" si="24"/>
        <v>0</v>
      </c>
      <c r="AL47" s="190">
        <f t="shared" ca="1" si="24"/>
        <v>0</v>
      </c>
      <c r="AM47" s="190">
        <f t="shared" ca="1" si="24"/>
        <v>0</v>
      </c>
      <c r="AN47" s="190">
        <f t="shared" ca="1" si="24"/>
        <v>0</v>
      </c>
      <c r="AO47" s="190">
        <f t="shared" ca="1" si="24"/>
        <v>0</v>
      </c>
      <c r="AP47" s="190">
        <f t="shared" ca="1" si="24"/>
        <v>0</v>
      </c>
      <c r="AQ47" s="190">
        <f t="shared" ca="1" si="24"/>
        <v>0</v>
      </c>
      <c r="AR47" s="190">
        <f t="shared" ca="1" si="24"/>
        <v>0</v>
      </c>
      <c r="AS47" s="190">
        <f t="shared" ca="1" si="24"/>
        <v>0</v>
      </c>
      <c r="AT47" s="190">
        <f t="shared" ca="1" si="24"/>
        <v>0</v>
      </c>
      <c r="AU47" s="190">
        <f t="shared" ca="1" si="24"/>
        <v>0</v>
      </c>
    </row>
    <row r="48" spans="1:47" s="28" customFormat="1">
      <c r="E48" s="254"/>
      <c r="G48" s="36" t="s">
        <v>316</v>
      </c>
      <c r="J48" s="328" t="s">
        <v>507</v>
      </c>
      <c r="L48" s="43" t="s">
        <v>12</v>
      </c>
      <c r="N48" s="189">
        <f t="shared" ca="1" si="21"/>
        <v>0</v>
      </c>
      <c r="O48" s="189"/>
      <c r="P48" s="319"/>
      <c r="Q48" s="189"/>
      <c r="R48" s="190">
        <f t="shared" ref="R48:AU48" ca="1" si="25">R159</f>
        <v>0</v>
      </c>
      <c r="S48" s="190">
        <f t="shared" ca="1" si="25"/>
        <v>0</v>
      </c>
      <c r="T48" s="190">
        <f t="shared" ca="1" si="25"/>
        <v>0</v>
      </c>
      <c r="U48" s="190">
        <f t="shared" ca="1" si="25"/>
        <v>0</v>
      </c>
      <c r="V48" s="190">
        <f t="shared" ca="1" si="25"/>
        <v>0</v>
      </c>
      <c r="W48" s="190">
        <f t="shared" ca="1" si="25"/>
        <v>0</v>
      </c>
      <c r="X48" s="190">
        <f t="shared" ca="1" si="25"/>
        <v>0</v>
      </c>
      <c r="Y48" s="190">
        <f t="shared" ca="1" si="25"/>
        <v>0</v>
      </c>
      <c r="Z48" s="190">
        <f t="shared" ca="1" si="25"/>
        <v>0</v>
      </c>
      <c r="AA48" s="190">
        <f t="shared" ca="1" si="25"/>
        <v>0</v>
      </c>
      <c r="AB48" s="190">
        <f t="shared" ca="1" si="25"/>
        <v>0</v>
      </c>
      <c r="AC48" s="190">
        <f t="shared" ca="1" si="25"/>
        <v>0</v>
      </c>
      <c r="AD48" s="190">
        <f t="shared" ca="1" si="25"/>
        <v>0</v>
      </c>
      <c r="AE48" s="190">
        <f t="shared" ca="1" si="25"/>
        <v>0</v>
      </c>
      <c r="AF48" s="190">
        <f t="shared" ca="1" si="25"/>
        <v>0</v>
      </c>
      <c r="AG48" s="190">
        <f t="shared" ca="1" si="25"/>
        <v>0</v>
      </c>
      <c r="AH48" s="190">
        <f t="shared" ca="1" si="25"/>
        <v>0</v>
      </c>
      <c r="AI48" s="190">
        <f t="shared" ca="1" si="25"/>
        <v>0</v>
      </c>
      <c r="AJ48" s="190">
        <f t="shared" ca="1" si="25"/>
        <v>0</v>
      </c>
      <c r="AK48" s="190">
        <f t="shared" ca="1" si="25"/>
        <v>0</v>
      </c>
      <c r="AL48" s="190">
        <f t="shared" ca="1" si="25"/>
        <v>0</v>
      </c>
      <c r="AM48" s="190">
        <f t="shared" ca="1" si="25"/>
        <v>0</v>
      </c>
      <c r="AN48" s="190">
        <f t="shared" ca="1" si="25"/>
        <v>0</v>
      </c>
      <c r="AO48" s="190">
        <f t="shared" ca="1" si="25"/>
        <v>0</v>
      </c>
      <c r="AP48" s="190">
        <f t="shared" ca="1" si="25"/>
        <v>0</v>
      </c>
      <c r="AQ48" s="190">
        <f t="shared" ca="1" si="25"/>
        <v>0</v>
      </c>
      <c r="AR48" s="190">
        <f t="shared" ca="1" si="25"/>
        <v>0</v>
      </c>
      <c r="AS48" s="190">
        <f t="shared" ca="1" si="25"/>
        <v>0</v>
      </c>
      <c r="AT48" s="190">
        <f t="shared" ca="1" si="25"/>
        <v>0</v>
      </c>
      <c r="AU48" s="190">
        <f t="shared" ca="1" si="25"/>
        <v>0</v>
      </c>
    </row>
    <row r="49" spans="5:47" s="28" customFormat="1">
      <c r="E49" s="254"/>
      <c r="G49" s="36" t="s">
        <v>317</v>
      </c>
      <c r="J49" s="328" t="s">
        <v>507</v>
      </c>
      <c r="L49" s="43" t="s">
        <v>12</v>
      </c>
      <c r="N49" s="189">
        <f t="shared" ca="1" si="21"/>
        <v>0</v>
      </c>
      <c r="O49" s="189"/>
      <c r="P49" s="319"/>
      <c r="Q49" s="189"/>
      <c r="R49" s="190">
        <f t="shared" ref="R49:AU49" ca="1" si="26">R180</f>
        <v>0</v>
      </c>
      <c r="S49" s="190">
        <f t="shared" ca="1" si="26"/>
        <v>0</v>
      </c>
      <c r="T49" s="190">
        <f t="shared" ca="1" si="26"/>
        <v>0</v>
      </c>
      <c r="U49" s="190">
        <f t="shared" ca="1" si="26"/>
        <v>0</v>
      </c>
      <c r="V49" s="190">
        <f t="shared" ca="1" si="26"/>
        <v>0</v>
      </c>
      <c r="W49" s="190">
        <f t="shared" ca="1" si="26"/>
        <v>0</v>
      </c>
      <c r="X49" s="190">
        <f t="shared" ca="1" si="26"/>
        <v>0</v>
      </c>
      <c r="Y49" s="190">
        <f t="shared" ca="1" si="26"/>
        <v>0</v>
      </c>
      <c r="Z49" s="190">
        <f t="shared" ca="1" si="26"/>
        <v>0</v>
      </c>
      <c r="AA49" s="190">
        <f t="shared" ca="1" si="26"/>
        <v>0</v>
      </c>
      <c r="AB49" s="190">
        <f t="shared" ca="1" si="26"/>
        <v>0</v>
      </c>
      <c r="AC49" s="190">
        <f t="shared" ca="1" si="26"/>
        <v>0</v>
      </c>
      <c r="AD49" s="190">
        <f t="shared" ca="1" si="26"/>
        <v>0</v>
      </c>
      <c r="AE49" s="190">
        <f t="shared" ca="1" si="26"/>
        <v>0</v>
      </c>
      <c r="AF49" s="190">
        <f t="shared" ca="1" si="26"/>
        <v>0</v>
      </c>
      <c r="AG49" s="190">
        <f t="shared" ca="1" si="26"/>
        <v>0</v>
      </c>
      <c r="AH49" s="190">
        <f t="shared" ca="1" si="26"/>
        <v>0</v>
      </c>
      <c r="AI49" s="190">
        <f t="shared" ca="1" si="26"/>
        <v>0</v>
      </c>
      <c r="AJ49" s="190">
        <f t="shared" ca="1" si="26"/>
        <v>0</v>
      </c>
      <c r="AK49" s="190">
        <f t="shared" ca="1" si="26"/>
        <v>0</v>
      </c>
      <c r="AL49" s="190">
        <f t="shared" ca="1" si="26"/>
        <v>0</v>
      </c>
      <c r="AM49" s="190">
        <f t="shared" ca="1" si="26"/>
        <v>0</v>
      </c>
      <c r="AN49" s="190">
        <f t="shared" ca="1" si="26"/>
        <v>0</v>
      </c>
      <c r="AO49" s="190">
        <f t="shared" ca="1" si="26"/>
        <v>0</v>
      </c>
      <c r="AP49" s="190">
        <f t="shared" ca="1" si="26"/>
        <v>0</v>
      </c>
      <c r="AQ49" s="190">
        <f t="shared" ca="1" si="26"/>
        <v>0</v>
      </c>
      <c r="AR49" s="190">
        <f t="shared" ca="1" si="26"/>
        <v>0</v>
      </c>
      <c r="AS49" s="190">
        <f t="shared" ca="1" si="26"/>
        <v>0</v>
      </c>
      <c r="AT49" s="190">
        <f t="shared" ca="1" si="26"/>
        <v>0</v>
      </c>
      <c r="AU49" s="190">
        <f t="shared" ca="1" si="26"/>
        <v>0</v>
      </c>
    </row>
    <row r="50" spans="5:47" s="28" customFormat="1">
      <c r="E50" s="254"/>
      <c r="G50" s="36" t="s">
        <v>318</v>
      </c>
      <c r="J50" s="328" t="s">
        <v>507</v>
      </c>
      <c r="L50" s="43" t="s">
        <v>12</v>
      </c>
      <c r="N50" s="189">
        <f t="shared" ca="1" si="21"/>
        <v>0</v>
      </c>
      <c r="O50" s="189"/>
      <c r="P50" s="319"/>
      <c r="Q50" s="189"/>
      <c r="R50" s="190">
        <f t="shared" ref="R50:AU50" ca="1" si="27">R201</f>
        <v>0</v>
      </c>
      <c r="S50" s="190">
        <f t="shared" ca="1" si="27"/>
        <v>0</v>
      </c>
      <c r="T50" s="190">
        <f t="shared" ca="1" si="27"/>
        <v>0</v>
      </c>
      <c r="U50" s="190">
        <f t="shared" ca="1" si="27"/>
        <v>0</v>
      </c>
      <c r="V50" s="190">
        <f t="shared" ca="1" si="27"/>
        <v>0</v>
      </c>
      <c r="W50" s="190">
        <f t="shared" ca="1" si="27"/>
        <v>0</v>
      </c>
      <c r="X50" s="190">
        <f t="shared" ca="1" si="27"/>
        <v>0</v>
      </c>
      <c r="Y50" s="190">
        <f t="shared" ca="1" si="27"/>
        <v>0</v>
      </c>
      <c r="Z50" s="190">
        <f t="shared" ca="1" si="27"/>
        <v>0</v>
      </c>
      <c r="AA50" s="190">
        <f t="shared" ca="1" si="27"/>
        <v>0</v>
      </c>
      <c r="AB50" s="190">
        <f t="shared" ca="1" si="27"/>
        <v>0</v>
      </c>
      <c r="AC50" s="190">
        <f t="shared" ca="1" si="27"/>
        <v>0</v>
      </c>
      <c r="AD50" s="190">
        <f t="shared" ca="1" si="27"/>
        <v>0</v>
      </c>
      <c r="AE50" s="190">
        <f t="shared" ca="1" si="27"/>
        <v>0</v>
      </c>
      <c r="AF50" s="190">
        <f t="shared" ca="1" si="27"/>
        <v>0</v>
      </c>
      <c r="AG50" s="190">
        <f t="shared" ca="1" si="27"/>
        <v>0</v>
      </c>
      <c r="AH50" s="190">
        <f t="shared" ca="1" si="27"/>
        <v>0</v>
      </c>
      <c r="AI50" s="190">
        <f t="shared" ca="1" si="27"/>
        <v>0</v>
      </c>
      <c r="AJ50" s="190">
        <f t="shared" ca="1" si="27"/>
        <v>0</v>
      </c>
      <c r="AK50" s="190">
        <f t="shared" ca="1" si="27"/>
        <v>0</v>
      </c>
      <c r="AL50" s="190">
        <f t="shared" ca="1" si="27"/>
        <v>0</v>
      </c>
      <c r="AM50" s="190">
        <f t="shared" ca="1" si="27"/>
        <v>0</v>
      </c>
      <c r="AN50" s="190">
        <f t="shared" ca="1" si="27"/>
        <v>0</v>
      </c>
      <c r="AO50" s="190">
        <f t="shared" ca="1" si="27"/>
        <v>0</v>
      </c>
      <c r="AP50" s="190">
        <f t="shared" ca="1" si="27"/>
        <v>0</v>
      </c>
      <c r="AQ50" s="190">
        <f t="shared" ca="1" si="27"/>
        <v>0</v>
      </c>
      <c r="AR50" s="190">
        <f t="shared" ca="1" si="27"/>
        <v>0</v>
      </c>
      <c r="AS50" s="190">
        <f t="shared" ca="1" si="27"/>
        <v>0</v>
      </c>
      <c r="AT50" s="190">
        <f t="shared" ca="1" si="27"/>
        <v>0</v>
      </c>
      <c r="AU50" s="190">
        <f t="shared" ca="1" si="27"/>
        <v>0</v>
      </c>
    </row>
    <row r="51" spans="5:47" s="28" customFormat="1">
      <c r="E51" s="254"/>
      <c r="G51" s="36" t="s">
        <v>319</v>
      </c>
      <c r="J51" s="328" t="s">
        <v>507</v>
      </c>
      <c r="L51" s="43" t="s">
        <v>12</v>
      </c>
      <c r="N51" s="189">
        <f t="shared" ca="1" si="21"/>
        <v>0</v>
      </c>
      <c r="O51" s="189"/>
      <c r="P51" s="319"/>
      <c r="Q51" s="189"/>
      <c r="R51" s="190">
        <f t="shared" ref="R51:AU51" ca="1" si="28">R222</f>
        <v>0</v>
      </c>
      <c r="S51" s="190">
        <f t="shared" ca="1" si="28"/>
        <v>0</v>
      </c>
      <c r="T51" s="190">
        <f t="shared" ca="1" si="28"/>
        <v>0</v>
      </c>
      <c r="U51" s="190">
        <f t="shared" ca="1" si="28"/>
        <v>0</v>
      </c>
      <c r="V51" s="190">
        <f t="shared" ca="1" si="28"/>
        <v>0</v>
      </c>
      <c r="W51" s="190">
        <f t="shared" ca="1" si="28"/>
        <v>0</v>
      </c>
      <c r="X51" s="190">
        <f t="shared" ca="1" si="28"/>
        <v>0</v>
      </c>
      <c r="Y51" s="190">
        <f t="shared" ca="1" si="28"/>
        <v>0</v>
      </c>
      <c r="Z51" s="190">
        <f t="shared" ca="1" si="28"/>
        <v>0</v>
      </c>
      <c r="AA51" s="190">
        <f t="shared" ca="1" si="28"/>
        <v>0</v>
      </c>
      <c r="AB51" s="190">
        <f t="shared" ca="1" si="28"/>
        <v>0</v>
      </c>
      <c r="AC51" s="190">
        <f t="shared" ca="1" si="28"/>
        <v>0</v>
      </c>
      <c r="AD51" s="190">
        <f t="shared" ca="1" si="28"/>
        <v>0</v>
      </c>
      <c r="AE51" s="190">
        <f t="shared" ca="1" si="28"/>
        <v>0</v>
      </c>
      <c r="AF51" s="190">
        <f t="shared" ca="1" si="28"/>
        <v>0</v>
      </c>
      <c r="AG51" s="190">
        <f t="shared" ca="1" si="28"/>
        <v>0</v>
      </c>
      <c r="AH51" s="190">
        <f t="shared" ca="1" si="28"/>
        <v>0</v>
      </c>
      <c r="AI51" s="190">
        <f t="shared" ca="1" si="28"/>
        <v>0</v>
      </c>
      <c r="AJ51" s="190">
        <f t="shared" ca="1" si="28"/>
        <v>0</v>
      </c>
      <c r="AK51" s="190">
        <f t="shared" ca="1" si="28"/>
        <v>0</v>
      </c>
      <c r="AL51" s="190">
        <f t="shared" ca="1" si="28"/>
        <v>0</v>
      </c>
      <c r="AM51" s="190">
        <f t="shared" ca="1" si="28"/>
        <v>0</v>
      </c>
      <c r="AN51" s="190">
        <f t="shared" ca="1" si="28"/>
        <v>0</v>
      </c>
      <c r="AO51" s="190">
        <f t="shared" ca="1" si="28"/>
        <v>0</v>
      </c>
      <c r="AP51" s="190">
        <f t="shared" ca="1" si="28"/>
        <v>0</v>
      </c>
      <c r="AQ51" s="190">
        <f t="shared" ca="1" si="28"/>
        <v>0</v>
      </c>
      <c r="AR51" s="190">
        <f t="shared" ca="1" si="28"/>
        <v>0</v>
      </c>
      <c r="AS51" s="190">
        <f t="shared" ca="1" si="28"/>
        <v>0</v>
      </c>
      <c r="AT51" s="190">
        <f t="shared" ca="1" si="28"/>
        <v>0</v>
      </c>
      <c r="AU51" s="190">
        <f t="shared" ca="1" si="28"/>
        <v>0</v>
      </c>
    </row>
    <row r="52" spans="5:47" s="28" customFormat="1">
      <c r="E52" s="254"/>
      <c r="G52" s="36" t="s">
        <v>320</v>
      </c>
      <c r="J52" s="328" t="s">
        <v>507</v>
      </c>
      <c r="L52" s="43" t="s">
        <v>12</v>
      </c>
      <c r="N52" s="189">
        <f t="shared" ca="1" si="21"/>
        <v>0</v>
      </c>
      <c r="O52" s="189"/>
      <c r="P52" s="319"/>
      <c r="Q52" s="189"/>
      <c r="R52" s="190">
        <f t="shared" ref="R52:AU52" ca="1" si="29">R243</f>
        <v>0</v>
      </c>
      <c r="S52" s="190">
        <f t="shared" ca="1" si="29"/>
        <v>0</v>
      </c>
      <c r="T52" s="190">
        <f t="shared" ca="1" si="29"/>
        <v>0</v>
      </c>
      <c r="U52" s="190">
        <f t="shared" ca="1" si="29"/>
        <v>0</v>
      </c>
      <c r="V52" s="190">
        <f t="shared" ca="1" si="29"/>
        <v>0</v>
      </c>
      <c r="W52" s="190">
        <f t="shared" ca="1" si="29"/>
        <v>0</v>
      </c>
      <c r="X52" s="190">
        <f t="shared" ca="1" si="29"/>
        <v>0</v>
      </c>
      <c r="Y52" s="190">
        <f t="shared" ca="1" si="29"/>
        <v>0</v>
      </c>
      <c r="Z52" s="190">
        <f t="shared" ca="1" si="29"/>
        <v>0</v>
      </c>
      <c r="AA52" s="190">
        <f t="shared" ca="1" si="29"/>
        <v>0</v>
      </c>
      <c r="AB52" s="190">
        <f t="shared" ca="1" si="29"/>
        <v>0</v>
      </c>
      <c r="AC52" s="190">
        <f t="shared" ca="1" si="29"/>
        <v>0</v>
      </c>
      <c r="AD52" s="190">
        <f t="shared" ca="1" si="29"/>
        <v>0</v>
      </c>
      <c r="AE52" s="190">
        <f t="shared" ca="1" si="29"/>
        <v>0</v>
      </c>
      <c r="AF52" s="190">
        <f t="shared" ca="1" si="29"/>
        <v>0</v>
      </c>
      <c r="AG52" s="190">
        <f t="shared" ca="1" si="29"/>
        <v>0</v>
      </c>
      <c r="AH52" s="190">
        <f t="shared" ca="1" si="29"/>
        <v>0</v>
      </c>
      <c r="AI52" s="190">
        <f t="shared" ca="1" si="29"/>
        <v>0</v>
      </c>
      <c r="AJ52" s="190">
        <f t="shared" ca="1" si="29"/>
        <v>0</v>
      </c>
      <c r="AK52" s="190">
        <f t="shared" ca="1" si="29"/>
        <v>0</v>
      </c>
      <c r="AL52" s="190">
        <f t="shared" ca="1" si="29"/>
        <v>0</v>
      </c>
      <c r="AM52" s="190">
        <f t="shared" ca="1" si="29"/>
        <v>0</v>
      </c>
      <c r="AN52" s="190">
        <f t="shared" ca="1" si="29"/>
        <v>0</v>
      </c>
      <c r="AO52" s="190">
        <f t="shared" ca="1" si="29"/>
        <v>0</v>
      </c>
      <c r="AP52" s="190">
        <f t="shared" ca="1" si="29"/>
        <v>0</v>
      </c>
      <c r="AQ52" s="190">
        <f t="shared" ca="1" si="29"/>
        <v>0</v>
      </c>
      <c r="AR52" s="190">
        <f t="shared" ca="1" si="29"/>
        <v>0</v>
      </c>
      <c r="AS52" s="190">
        <f t="shared" ca="1" si="29"/>
        <v>0</v>
      </c>
      <c r="AT52" s="190">
        <f t="shared" ca="1" si="29"/>
        <v>0</v>
      </c>
      <c r="AU52" s="190">
        <f t="shared" ca="1" si="29"/>
        <v>0</v>
      </c>
    </row>
    <row r="53" spans="5:47" s="28" customFormat="1">
      <c r="E53" s="254"/>
      <c r="G53" s="36" t="s">
        <v>321</v>
      </c>
      <c r="J53" s="328" t="s">
        <v>507</v>
      </c>
      <c r="L53" s="43" t="s">
        <v>12</v>
      </c>
      <c r="N53" s="189">
        <f t="shared" ca="1" si="21"/>
        <v>0</v>
      </c>
      <c r="O53" s="189"/>
      <c r="P53" s="319"/>
      <c r="Q53" s="189"/>
      <c r="R53" s="190">
        <f t="shared" ref="R53:AU53" ca="1" si="30">R264</f>
        <v>0</v>
      </c>
      <c r="S53" s="190">
        <f t="shared" ca="1" si="30"/>
        <v>0</v>
      </c>
      <c r="T53" s="190">
        <f t="shared" ca="1" si="30"/>
        <v>0</v>
      </c>
      <c r="U53" s="190">
        <f t="shared" ca="1" si="30"/>
        <v>0</v>
      </c>
      <c r="V53" s="190">
        <f t="shared" ca="1" si="30"/>
        <v>0</v>
      </c>
      <c r="W53" s="190">
        <f t="shared" ca="1" si="30"/>
        <v>0</v>
      </c>
      <c r="X53" s="190">
        <f t="shared" ca="1" si="30"/>
        <v>0</v>
      </c>
      <c r="Y53" s="190">
        <f t="shared" ca="1" si="30"/>
        <v>0</v>
      </c>
      <c r="Z53" s="190">
        <f t="shared" ca="1" si="30"/>
        <v>0</v>
      </c>
      <c r="AA53" s="190">
        <f t="shared" ca="1" si="30"/>
        <v>0</v>
      </c>
      <c r="AB53" s="190">
        <f t="shared" ca="1" si="30"/>
        <v>0</v>
      </c>
      <c r="AC53" s="190">
        <f t="shared" ca="1" si="30"/>
        <v>0</v>
      </c>
      <c r="AD53" s="190">
        <f t="shared" ca="1" si="30"/>
        <v>0</v>
      </c>
      <c r="AE53" s="190">
        <f t="shared" ca="1" si="30"/>
        <v>0</v>
      </c>
      <c r="AF53" s="190">
        <f t="shared" ca="1" si="30"/>
        <v>0</v>
      </c>
      <c r="AG53" s="190">
        <f t="shared" ca="1" si="30"/>
        <v>0</v>
      </c>
      <c r="AH53" s="190">
        <f t="shared" ca="1" si="30"/>
        <v>0</v>
      </c>
      <c r="AI53" s="190">
        <f t="shared" ca="1" si="30"/>
        <v>0</v>
      </c>
      <c r="AJ53" s="190">
        <f t="shared" ca="1" si="30"/>
        <v>0</v>
      </c>
      <c r="AK53" s="190">
        <f t="shared" ca="1" si="30"/>
        <v>0</v>
      </c>
      <c r="AL53" s="190">
        <f t="shared" ca="1" si="30"/>
        <v>0</v>
      </c>
      <c r="AM53" s="190">
        <f t="shared" ca="1" si="30"/>
        <v>0</v>
      </c>
      <c r="AN53" s="190">
        <f t="shared" ca="1" si="30"/>
        <v>0</v>
      </c>
      <c r="AO53" s="190">
        <f t="shared" ca="1" si="30"/>
        <v>0</v>
      </c>
      <c r="AP53" s="190">
        <f t="shared" ca="1" si="30"/>
        <v>0</v>
      </c>
      <c r="AQ53" s="190">
        <f t="shared" ca="1" si="30"/>
        <v>0</v>
      </c>
      <c r="AR53" s="190">
        <f t="shared" ca="1" si="30"/>
        <v>0</v>
      </c>
      <c r="AS53" s="190">
        <f t="shared" ca="1" si="30"/>
        <v>0</v>
      </c>
      <c r="AT53" s="190">
        <f t="shared" ca="1" si="30"/>
        <v>0</v>
      </c>
      <c r="AU53" s="190">
        <f t="shared" ca="1" si="30"/>
        <v>0</v>
      </c>
    </row>
    <row r="54" spans="5:47" s="28" customFormat="1">
      <c r="E54" s="254"/>
      <c r="G54" s="36" t="s">
        <v>160</v>
      </c>
      <c r="J54" s="328" t="s">
        <v>507</v>
      </c>
      <c r="L54" s="43" t="s">
        <v>12</v>
      </c>
      <c r="N54" s="189">
        <f t="shared" ca="1" si="21"/>
        <v>0</v>
      </c>
      <c r="O54" s="189"/>
      <c r="P54" s="319"/>
      <c r="Q54" s="189"/>
      <c r="R54" s="190">
        <f t="shared" ref="R54:AU54" ca="1" si="31">R285</f>
        <v>0</v>
      </c>
      <c r="S54" s="190">
        <f t="shared" ca="1" si="31"/>
        <v>0</v>
      </c>
      <c r="T54" s="190">
        <f t="shared" ca="1" si="31"/>
        <v>0</v>
      </c>
      <c r="U54" s="190">
        <f t="shared" ca="1" si="31"/>
        <v>0</v>
      </c>
      <c r="V54" s="190">
        <f t="shared" ca="1" si="31"/>
        <v>0</v>
      </c>
      <c r="W54" s="190">
        <f t="shared" ca="1" si="31"/>
        <v>0</v>
      </c>
      <c r="X54" s="190">
        <f t="shared" ca="1" si="31"/>
        <v>0</v>
      </c>
      <c r="Y54" s="190">
        <f t="shared" ca="1" si="31"/>
        <v>0</v>
      </c>
      <c r="Z54" s="190">
        <f t="shared" ca="1" si="31"/>
        <v>0</v>
      </c>
      <c r="AA54" s="190">
        <f t="shared" ca="1" si="31"/>
        <v>0</v>
      </c>
      <c r="AB54" s="190">
        <f t="shared" ca="1" si="31"/>
        <v>0</v>
      </c>
      <c r="AC54" s="190">
        <f t="shared" ca="1" si="31"/>
        <v>0</v>
      </c>
      <c r="AD54" s="190">
        <f t="shared" ca="1" si="31"/>
        <v>0</v>
      </c>
      <c r="AE54" s="190">
        <f t="shared" ca="1" si="31"/>
        <v>0</v>
      </c>
      <c r="AF54" s="190">
        <f t="shared" ca="1" si="31"/>
        <v>0</v>
      </c>
      <c r="AG54" s="190">
        <f t="shared" ca="1" si="31"/>
        <v>0</v>
      </c>
      <c r="AH54" s="190">
        <f t="shared" ca="1" si="31"/>
        <v>0</v>
      </c>
      <c r="AI54" s="190">
        <f t="shared" ca="1" si="31"/>
        <v>0</v>
      </c>
      <c r="AJ54" s="190">
        <f t="shared" ca="1" si="31"/>
        <v>0</v>
      </c>
      <c r="AK54" s="190">
        <f t="shared" ca="1" si="31"/>
        <v>0</v>
      </c>
      <c r="AL54" s="190">
        <f t="shared" ca="1" si="31"/>
        <v>0</v>
      </c>
      <c r="AM54" s="190">
        <f t="shared" ca="1" si="31"/>
        <v>0</v>
      </c>
      <c r="AN54" s="190">
        <f t="shared" ca="1" si="31"/>
        <v>0</v>
      </c>
      <c r="AO54" s="190">
        <f t="shared" ca="1" si="31"/>
        <v>0</v>
      </c>
      <c r="AP54" s="190">
        <f t="shared" ca="1" si="31"/>
        <v>0</v>
      </c>
      <c r="AQ54" s="190">
        <f t="shared" ca="1" si="31"/>
        <v>0</v>
      </c>
      <c r="AR54" s="190">
        <f t="shared" ca="1" si="31"/>
        <v>0</v>
      </c>
      <c r="AS54" s="190">
        <f t="shared" ca="1" si="31"/>
        <v>0</v>
      </c>
      <c r="AT54" s="190">
        <f t="shared" ca="1" si="31"/>
        <v>0</v>
      </c>
      <c r="AU54" s="190">
        <f t="shared" ca="1" si="31"/>
        <v>0</v>
      </c>
    </row>
    <row r="55" spans="5:47" s="28" customFormat="1">
      <c r="E55" s="254"/>
      <c r="G55" s="36" t="s">
        <v>161</v>
      </c>
      <c r="J55" s="328" t="s">
        <v>507</v>
      </c>
      <c r="L55" s="43" t="s">
        <v>12</v>
      </c>
      <c r="N55" s="189">
        <f t="shared" ca="1" si="21"/>
        <v>0</v>
      </c>
      <c r="O55" s="189"/>
      <c r="P55" s="319"/>
      <c r="Q55" s="189"/>
      <c r="R55" s="190">
        <f t="shared" ref="R55:AU55" ca="1" si="32">R306</f>
        <v>0</v>
      </c>
      <c r="S55" s="190">
        <f t="shared" ca="1" si="32"/>
        <v>0</v>
      </c>
      <c r="T55" s="190">
        <f t="shared" ca="1" si="32"/>
        <v>0</v>
      </c>
      <c r="U55" s="190">
        <f t="shared" ca="1" si="32"/>
        <v>0</v>
      </c>
      <c r="V55" s="190">
        <f t="shared" ca="1" si="32"/>
        <v>0</v>
      </c>
      <c r="W55" s="190">
        <f t="shared" ca="1" si="32"/>
        <v>0</v>
      </c>
      <c r="X55" s="190">
        <f t="shared" ca="1" si="32"/>
        <v>0</v>
      </c>
      <c r="Y55" s="190">
        <f t="shared" ca="1" si="32"/>
        <v>0</v>
      </c>
      <c r="Z55" s="190">
        <f t="shared" ca="1" si="32"/>
        <v>0</v>
      </c>
      <c r="AA55" s="190">
        <f t="shared" ca="1" si="32"/>
        <v>0</v>
      </c>
      <c r="AB55" s="190">
        <f t="shared" ca="1" si="32"/>
        <v>0</v>
      </c>
      <c r="AC55" s="190">
        <f t="shared" ca="1" si="32"/>
        <v>0</v>
      </c>
      <c r="AD55" s="190">
        <f t="shared" ca="1" si="32"/>
        <v>0</v>
      </c>
      <c r="AE55" s="190">
        <f t="shared" ca="1" si="32"/>
        <v>0</v>
      </c>
      <c r="AF55" s="190">
        <f t="shared" ca="1" si="32"/>
        <v>0</v>
      </c>
      <c r="AG55" s="190">
        <f t="shared" ca="1" si="32"/>
        <v>0</v>
      </c>
      <c r="AH55" s="190">
        <f t="shared" ca="1" si="32"/>
        <v>0</v>
      </c>
      <c r="AI55" s="190">
        <f t="shared" ca="1" si="32"/>
        <v>0</v>
      </c>
      <c r="AJ55" s="190">
        <f t="shared" ca="1" si="32"/>
        <v>0</v>
      </c>
      <c r="AK55" s="190">
        <f t="shared" ca="1" si="32"/>
        <v>0</v>
      </c>
      <c r="AL55" s="190">
        <f t="shared" ca="1" si="32"/>
        <v>0</v>
      </c>
      <c r="AM55" s="190">
        <f t="shared" ca="1" si="32"/>
        <v>0</v>
      </c>
      <c r="AN55" s="190">
        <f t="shared" ca="1" si="32"/>
        <v>0</v>
      </c>
      <c r="AO55" s="190">
        <f t="shared" ca="1" si="32"/>
        <v>0</v>
      </c>
      <c r="AP55" s="190">
        <f t="shared" ca="1" si="32"/>
        <v>0</v>
      </c>
      <c r="AQ55" s="190">
        <f t="shared" ca="1" si="32"/>
        <v>0</v>
      </c>
      <c r="AR55" s="190">
        <f t="shared" ca="1" si="32"/>
        <v>0</v>
      </c>
      <c r="AS55" s="190">
        <f t="shared" ca="1" si="32"/>
        <v>0</v>
      </c>
      <c r="AT55" s="190">
        <f t="shared" ca="1" si="32"/>
        <v>0</v>
      </c>
      <c r="AU55" s="190">
        <f t="shared" ca="1" si="32"/>
        <v>0</v>
      </c>
    </row>
    <row r="56" spans="5:47" s="28" customFormat="1">
      <c r="E56" s="254"/>
      <c r="G56" s="36" t="s">
        <v>162</v>
      </c>
      <c r="J56" s="328" t="s">
        <v>507</v>
      </c>
      <c r="L56" s="43" t="s">
        <v>12</v>
      </c>
      <c r="N56" s="189">
        <f t="shared" ca="1" si="21"/>
        <v>0</v>
      </c>
      <c r="O56" s="189"/>
      <c r="P56" s="319"/>
      <c r="Q56" s="189"/>
      <c r="R56" s="190">
        <f t="shared" ref="R56:AU56" ca="1" si="33">R327</f>
        <v>0</v>
      </c>
      <c r="S56" s="190">
        <f t="shared" ca="1" si="33"/>
        <v>0</v>
      </c>
      <c r="T56" s="190">
        <f t="shared" ca="1" si="33"/>
        <v>0</v>
      </c>
      <c r="U56" s="190">
        <f t="shared" ca="1" si="33"/>
        <v>0</v>
      </c>
      <c r="V56" s="190">
        <f t="shared" ca="1" si="33"/>
        <v>0</v>
      </c>
      <c r="W56" s="190">
        <f t="shared" ca="1" si="33"/>
        <v>0</v>
      </c>
      <c r="X56" s="190">
        <f t="shared" ca="1" si="33"/>
        <v>0</v>
      </c>
      <c r="Y56" s="190">
        <f t="shared" ca="1" si="33"/>
        <v>0</v>
      </c>
      <c r="Z56" s="190">
        <f t="shared" ca="1" si="33"/>
        <v>0</v>
      </c>
      <c r="AA56" s="190">
        <f t="shared" ca="1" si="33"/>
        <v>0</v>
      </c>
      <c r="AB56" s="190">
        <f t="shared" ca="1" si="33"/>
        <v>0</v>
      </c>
      <c r="AC56" s="190">
        <f t="shared" ca="1" si="33"/>
        <v>0</v>
      </c>
      <c r="AD56" s="190">
        <f t="shared" ca="1" si="33"/>
        <v>0</v>
      </c>
      <c r="AE56" s="190">
        <f t="shared" ca="1" si="33"/>
        <v>0</v>
      </c>
      <c r="AF56" s="190">
        <f t="shared" ca="1" si="33"/>
        <v>0</v>
      </c>
      <c r="AG56" s="190">
        <f t="shared" ca="1" si="33"/>
        <v>0</v>
      </c>
      <c r="AH56" s="190">
        <f t="shared" ca="1" si="33"/>
        <v>0</v>
      </c>
      <c r="AI56" s="190">
        <f t="shared" ca="1" si="33"/>
        <v>0</v>
      </c>
      <c r="AJ56" s="190">
        <f t="shared" ca="1" si="33"/>
        <v>0</v>
      </c>
      <c r="AK56" s="190">
        <f t="shared" ca="1" si="33"/>
        <v>0</v>
      </c>
      <c r="AL56" s="190">
        <f t="shared" ca="1" si="33"/>
        <v>0</v>
      </c>
      <c r="AM56" s="190">
        <f t="shared" ca="1" si="33"/>
        <v>0</v>
      </c>
      <c r="AN56" s="190">
        <f t="shared" ca="1" si="33"/>
        <v>0</v>
      </c>
      <c r="AO56" s="190">
        <f t="shared" ca="1" si="33"/>
        <v>0</v>
      </c>
      <c r="AP56" s="190">
        <f t="shared" ca="1" si="33"/>
        <v>0</v>
      </c>
      <c r="AQ56" s="190">
        <f t="shared" ca="1" si="33"/>
        <v>0</v>
      </c>
      <c r="AR56" s="190">
        <f t="shared" ca="1" si="33"/>
        <v>0</v>
      </c>
      <c r="AS56" s="190">
        <f t="shared" ca="1" si="33"/>
        <v>0</v>
      </c>
      <c r="AT56" s="190">
        <f t="shared" ca="1" si="33"/>
        <v>0</v>
      </c>
      <c r="AU56" s="190">
        <f t="shared" ca="1" si="33"/>
        <v>0</v>
      </c>
    </row>
    <row r="57" spans="5:47" s="28" customFormat="1">
      <c r="E57" s="254"/>
      <c r="G57" s="36" t="s">
        <v>135</v>
      </c>
      <c r="J57" s="328" t="s">
        <v>507</v>
      </c>
      <c r="L57" s="43" t="s">
        <v>12</v>
      </c>
      <c r="N57" s="189">
        <f t="shared" ca="1" si="21"/>
        <v>0</v>
      </c>
      <c r="O57" s="189"/>
      <c r="P57" s="319"/>
      <c r="Q57" s="189"/>
      <c r="R57" s="190">
        <f t="shared" ref="R57:AU57" ca="1" si="34">R348</f>
        <v>0</v>
      </c>
      <c r="S57" s="190">
        <f t="shared" ca="1" si="34"/>
        <v>0</v>
      </c>
      <c r="T57" s="190">
        <f t="shared" ca="1" si="34"/>
        <v>0</v>
      </c>
      <c r="U57" s="190">
        <f t="shared" ca="1" si="34"/>
        <v>0</v>
      </c>
      <c r="V57" s="190">
        <f t="shared" ca="1" si="34"/>
        <v>0</v>
      </c>
      <c r="W57" s="190">
        <f t="shared" ca="1" si="34"/>
        <v>0</v>
      </c>
      <c r="X57" s="190">
        <f t="shared" ca="1" si="34"/>
        <v>0</v>
      </c>
      <c r="Y57" s="190">
        <f t="shared" ca="1" si="34"/>
        <v>0</v>
      </c>
      <c r="Z57" s="190">
        <f t="shared" ca="1" si="34"/>
        <v>0</v>
      </c>
      <c r="AA57" s="190">
        <f t="shared" ca="1" si="34"/>
        <v>0</v>
      </c>
      <c r="AB57" s="190">
        <f t="shared" ca="1" si="34"/>
        <v>0</v>
      </c>
      <c r="AC57" s="190">
        <f t="shared" ca="1" si="34"/>
        <v>0</v>
      </c>
      <c r="AD57" s="190">
        <f t="shared" ca="1" si="34"/>
        <v>0</v>
      </c>
      <c r="AE57" s="190">
        <f t="shared" ca="1" si="34"/>
        <v>0</v>
      </c>
      <c r="AF57" s="190">
        <f t="shared" ca="1" si="34"/>
        <v>0</v>
      </c>
      <c r="AG57" s="190">
        <f t="shared" ca="1" si="34"/>
        <v>0</v>
      </c>
      <c r="AH57" s="190">
        <f t="shared" ca="1" si="34"/>
        <v>0</v>
      </c>
      <c r="AI57" s="190">
        <f t="shared" ca="1" si="34"/>
        <v>0</v>
      </c>
      <c r="AJ57" s="190">
        <f t="shared" ca="1" si="34"/>
        <v>0</v>
      </c>
      <c r="AK57" s="190">
        <f t="shared" ca="1" si="34"/>
        <v>0</v>
      </c>
      <c r="AL57" s="190">
        <f t="shared" ca="1" si="34"/>
        <v>0</v>
      </c>
      <c r="AM57" s="190">
        <f t="shared" ca="1" si="34"/>
        <v>0</v>
      </c>
      <c r="AN57" s="190">
        <f t="shared" ca="1" si="34"/>
        <v>0</v>
      </c>
      <c r="AO57" s="190">
        <f t="shared" ca="1" si="34"/>
        <v>0</v>
      </c>
      <c r="AP57" s="190">
        <f t="shared" ca="1" si="34"/>
        <v>0</v>
      </c>
      <c r="AQ57" s="190">
        <f t="shared" ca="1" si="34"/>
        <v>0</v>
      </c>
      <c r="AR57" s="190">
        <f t="shared" ca="1" si="34"/>
        <v>0</v>
      </c>
      <c r="AS57" s="190">
        <f t="shared" ca="1" si="34"/>
        <v>0</v>
      </c>
      <c r="AT57" s="190">
        <f t="shared" ca="1" si="34"/>
        <v>0</v>
      </c>
      <c r="AU57" s="190">
        <f t="shared" ca="1" si="34"/>
        <v>0</v>
      </c>
    </row>
    <row r="58" spans="5:47" s="28" customFormat="1">
      <c r="E58" s="254"/>
      <c r="G58" s="36" t="s">
        <v>29</v>
      </c>
      <c r="J58" s="328" t="s">
        <v>507</v>
      </c>
      <c r="L58" s="43" t="s">
        <v>12</v>
      </c>
      <c r="N58" s="189">
        <f t="shared" ca="1" si="21"/>
        <v>0</v>
      </c>
      <c r="O58" s="189"/>
      <c r="P58" s="319"/>
      <c r="Q58" s="189"/>
      <c r="R58" s="190">
        <f t="shared" ref="R58:AU58" ca="1" si="35">R369</f>
        <v>0</v>
      </c>
      <c r="S58" s="190">
        <f t="shared" ca="1" si="35"/>
        <v>0</v>
      </c>
      <c r="T58" s="190">
        <f t="shared" ca="1" si="35"/>
        <v>0</v>
      </c>
      <c r="U58" s="190">
        <f t="shared" ca="1" si="35"/>
        <v>0</v>
      </c>
      <c r="V58" s="190">
        <f t="shared" ca="1" si="35"/>
        <v>0</v>
      </c>
      <c r="W58" s="190">
        <f t="shared" ca="1" si="35"/>
        <v>0</v>
      </c>
      <c r="X58" s="190">
        <f t="shared" ca="1" si="35"/>
        <v>0</v>
      </c>
      <c r="Y58" s="190">
        <f t="shared" ca="1" si="35"/>
        <v>0</v>
      </c>
      <c r="Z58" s="190">
        <f t="shared" ca="1" si="35"/>
        <v>0</v>
      </c>
      <c r="AA58" s="190">
        <f t="shared" ca="1" si="35"/>
        <v>0</v>
      </c>
      <c r="AB58" s="190">
        <f t="shared" ca="1" si="35"/>
        <v>0</v>
      </c>
      <c r="AC58" s="190">
        <f t="shared" ca="1" si="35"/>
        <v>0</v>
      </c>
      <c r="AD58" s="190">
        <f t="shared" ca="1" si="35"/>
        <v>0</v>
      </c>
      <c r="AE58" s="190">
        <f t="shared" ca="1" si="35"/>
        <v>0</v>
      </c>
      <c r="AF58" s="190">
        <f t="shared" ca="1" si="35"/>
        <v>0</v>
      </c>
      <c r="AG58" s="190">
        <f t="shared" ca="1" si="35"/>
        <v>0</v>
      </c>
      <c r="AH58" s="190">
        <f t="shared" ca="1" si="35"/>
        <v>0</v>
      </c>
      <c r="AI58" s="190">
        <f t="shared" ca="1" si="35"/>
        <v>0</v>
      </c>
      <c r="AJ58" s="190">
        <f t="shared" ca="1" si="35"/>
        <v>0</v>
      </c>
      <c r="AK58" s="190">
        <f t="shared" ca="1" si="35"/>
        <v>0</v>
      </c>
      <c r="AL58" s="190">
        <f t="shared" ca="1" si="35"/>
        <v>0</v>
      </c>
      <c r="AM58" s="190">
        <f t="shared" ca="1" si="35"/>
        <v>0</v>
      </c>
      <c r="AN58" s="190">
        <f t="shared" ca="1" si="35"/>
        <v>0</v>
      </c>
      <c r="AO58" s="190">
        <f t="shared" ca="1" si="35"/>
        <v>0</v>
      </c>
      <c r="AP58" s="190">
        <f t="shared" ca="1" si="35"/>
        <v>0</v>
      </c>
      <c r="AQ58" s="190">
        <f t="shared" ca="1" si="35"/>
        <v>0</v>
      </c>
      <c r="AR58" s="190">
        <f t="shared" ca="1" si="35"/>
        <v>0</v>
      </c>
      <c r="AS58" s="190">
        <f t="shared" ca="1" si="35"/>
        <v>0</v>
      </c>
      <c r="AT58" s="190">
        <f t="shared" ca="1" si="35"/>
        <v>0</v>
      </c>
      <c r="AU58" s="190">
        <f t="shared" ca="1" si="35"/>
        <v>0</v>
      </c>
    </row>
    <row r="59" spans="5:47" s="28" customFormat="1">
      <c r="E59" s="254"/>
      <c r="G59" s="36" t="s">
        <v>163</v>
      </c>
      <c r="J59" s="328" t="s">
        <v>507</v>
      </c>
      <c r="L59" s="43" t="s">
        <v>12</v>
      </c>
      <c r="N59" s="189">
        <f t="shared" ca="1" si="21"/>
        <v>0</v>
      </c>
      <c r="O59" s="189"/>
      <c r="P59" s="319"/>
      <c r="Q59" s="189"/>
      <c r="R59" s="190">
        <f t="shared" ref="R59:AU59" ca="1" si="36">R390</f>
        <v>0</v>
      </c>
      <c r="S59" s="190">
        <f t="shared" ca="1" si="36"/>
        <v>0</v>
      </c>
      <c r="T59" s="190">
        <f t="shared" ca="1" si="36"/>
        <v>0</v>
      </c>
      <c r="U59" s="190">
        <f t="shared" ca="1" si="36"/>
        <v>0</v>
      </c>
      <c r="V59" s="190">
        <f t="shared" ca="1" si="36"/>
        <v>0</v>
      </c>
      <c r="W59" s="190">
        <f t="shared" ca="1" si="36"/>
        <v>0</v>
      </c>
      <c r="X59" s="190">
        <f t="shared" ca="1" si="36"/>
        <v>0</v>
      </c>
      <c r="Y59" s="190">
        <f t="shared" ca="1" si="36"/>
        <v>0</v>
      </c>
      <c r="Z59" s="190">
        <f t="shared" ca="1" si="36"/>
        <v>0</v>
      </c>
      <c r="AA59" s="190">
        <f t="shared" ca="1" si="36"/>
        <v>0</v>
      </c>
      <c r="AB59" s="190">
        <f t="shared" ca="1" si="36"/>
        <v>0</v>
      </c>
      <c r="AC59" s="190">
        <f t="shared" ca="1" si="36"/>
        <v>0</v>
      </c>
      <c r="AD59" s="190">
        <f t="shared" ca="1" si="36"/>
        <v>0</v>
      </c>
      <c r="AE59" s="190">
        <f t="shared" ca="1" si="36"/>
        <v>0</v>
      </c>
      <c r="AF59" s="190">
        <f t="shared" ca="1" si="36"/>
        <v>0</v>
      </c>
      <c r="AG59" s="190">
        <f t="shared" ca="1" si="36"/>
        <v>0</v>
      </c>
      <c r="AH59" s="190">
        <f t="shared" ca="1" si="36"/>
        <v>0</v>
      </c>
      <c r="AI59" s="190">
        <f t="shared" ca="1" si="36"/>
        <v>0</v>
      </c>
      <c r="AJ59" s="190">
        <f t="shared" ca="1" si="36"/>
        <v>0</v>
      </c>
      <c r="AK59" s="190">
        <f t="shared" ca="1" si="36"/>
        <v>0</v>
      </c>
      <c r="AL59" s="190">
        <f t="shared" ca="1" si="36"/>
        <v>0</v>
      </c>
      <c r="AM59" s="190">
        <f t="shared" ca="1" si="36"/>
        <v>0</v>
      </c>
      <c r="AN59" s="190">
        <f t="shared" ca="1" si="36"/>
        <v>0</v>
      </c>
      <c r="AO59" s="190">
        <f t="shared" ca="1" si="36"/>
        <v>0</v>
      </c>
      <c r="AP59" s="190">
        <f t="shared" ca="1" si="36"/>
        <v>0</v>
      </c>
      <c r="AQ59" s="190">
        <f t="shared" ca="1" si="36"/>
        <v>0</v>
      </c>
      <c r="AR59" s="190">
        <f t="shared" ca="1" si="36"/>
        <v>0</v>
      </c>
      <c r="AS59" s="190">
        <f t="shared" ca="1" si="36"/>
        <v>0</v>
      </c>
      <c r="AT59" s="190">
        <f t="shared" ca="1" si="36"/>
        <v>0</v>
      </c>
      <c r="AU59" s="190">
        <f t="shared" ca="1" si="36"/>
        <v>0</v>
      </c>
    </row>
    <row r="60" spans="5:47" s="28" customFormat="1">
      <c r="E60" s="254"/>
      <c r="G60" s="36" t="s">
        <v>138</v>
      </c>
      <c r="J60" s="328" t="s">
        <v>507</v>
      </c>
      <c r="L60" s="43" t="s">
        <v>12</v>
      </c>
      <c r="N60" s="189">
        <f t="shared" ca="1" si="21"/>
        <v>0</v>
      </c>
      <c r="O60" s="189"/>
      <c r="P60" s="319"/>
      <c r="Q60" s="189"/>
      <c r="R60" s="190">
        <f t="shared" ref="R60:AU60" ca="1" si="37">R411</f>
        <v>0</v>
      </c>
      <c r="S60" s="190">
        <f t="shared" ca="1" si="37"/>
        <v>0</v>
      </c>
      <c r="T60" s="190">
        <f t="shared" ca="1" si="37"/>
        <v>0</v>
      </c>
      <c r="U60" s="190">
        <f t="shared" ca="1" si="37"/>
        <v>0</v>
      </c>
      <c r="V60" s="190">
        <f t="shared" ca="1" si="37"/>
        <v>0</v>
      </c>
      <c r="W60" s="190">
        <f t="shared" ca="1" si="37"/>
        <v>0</v>
      </c>
      <c r="X60" s="190">
        <f t="shared" ca="1" si="37"/>
        <v>0</v>
      </c>
      <c r="Y60" s="190">
        <f t="shared" ca="1" si="37"/>
        <v>0</v>
      </c>
      <c r="Z60" s="190">
        <f t="shared" ca="1" si="37"/>
        <v>0</v>
      </c>
      <c r="AA60" s="190">
        <f t="shared" ca="1" si="37"/>
        <v>0</v>
      </c>
      <c r="AB60" s="190">
        <f t="shared" ca="1" si="37"/>
        <v>0</v>
      </c>
      <c r="AC60" s="190">
        <f t="shared" ca="1" si="37"/>
        <v>0</v>
      </c>
      <c r="AD60" s="190">
        <f t="shared" ca="1" si="37"/>
        <v>0</v>
      </c>
      <c r="AE60" s="190">
        <f t="shared" ca="1" si="37"/>
        <v>0</v>
      </c>
      <c r="AF60" s="190">
        <f t="shared" ca="1" si="37"/>
        <v>0</v>
      </c>
      <c r="AG60" s="190">
        <f t="shared" ca="1" si="37"/>
        <v>0</v>
      </c>
      <c r="AH60" s="190">
        <f t="shared" ca="1" si="37"/>
        <v>0</v>
      </c>
      <c r="AI60" s="190">
        <f t="shared" ca="1" si="37"/>
        <v>0</v>
      </c>
      <c r="AJ60" s="190">
        <f t="shared" ca="1" si="37"/>
        <v>0</v>
      </c>
      <c r="AK60" s="190">
        <f t="shared" ca="1" si="37"/>
        <v>0</v>
      </c>
      <c r="AL60" s="190">
        <f t="shared" ca="1" si="37"/>
        <v>0</v>
      </c>
      <c r="AM60" s="190">
        <f t="shared" ca="1" si="37"/>
        <v>0</v>
      </c>
      <c r="AN60" s="190">
        <f t="shared" ca="1" si="37"/>
        <v>0</v>
      </c>
      <c r="AO60" s="190">
        <f t="shared" ca="1" si="37"/>
        <v>0</v>
      </c>
      <c r="AP60" s="190">
        <f t="shared" ca="1" si="37"/>
        <v>0</v>
      </c>
      <c r="AQ60" s="190">
        <f t="shared" ca="1" si="37"/>
        <v>0</v>
      </c>
      <c r="AR60" s="190">
        <f t="shared" ca="1" si="37"/>
        <v>0</v>
      </c>
      <c r="AS60" s="190">
        <f t="shared" ca="1" si="37"/>
        <v>0</v>
      </c>
      <c r="AT60" s="190">
        <f t="shared" ca="1" si="37"/>
        <v>0</v>
      </c>
      <c r="AU60" s="190">
        <f t="shared" ca="1" si="37"/>
        <v>0</v>
      </c>
    </row>
    <row r="61" spans="5:47" s="28" customFormat="1">
      <c r="E61" s="254"/>
      <c r="G61" s="36" t="s">
        <v>113</v>
      </c>
      <c r="J61" s="331">
        <v>0.05</v>
      </c>
      <c r="L61" s="43" t="s">
        <v>12</v>
      </c>
      <c r="N61" s="189">
        <f t="shared" ca="1" si="21"/>
        <v>0</v>
      </c>
      <c r="O61" s="189"/>
      <c r="P61" s="319"/>
      <c r="Q61" s="189"/>
      <c r="R61" s="973">
        <f ca="1">SUM(R$45:R$60)*$J61</f>
        <v>0</v>
      </c>
      <c r="S61" s="973">
        <f t="shared" ref="S61:AU62" ca="1" si="38">SUM(S$45:S$60)*$J61</f>
        <v>0</v>
      </c>
      <c r="T61" s="973">
        <f t="shared" ca="1" si="38"/>
        <v>0</v>
      </c>
      <c r="U61" s="973">
        <f t="shared" ca="1" si="38"/>
        <v>0</v>
      </c>
      <c r="V61" s="973">
        <f t="shared" ca="1" si="38"/>
        <v>0</v>
      </c>
      <c r="W61" s="973">
        <f t="shared" ca="1" si="38"/>
        <v>0</v>
      </c>
      <c r="X61" s="973">
        <f t="shared" ca="1" si="38"/>
        <v>0</v>
      </c>
      <c r="Y61" s="973">
        <f t="shared" ca="1" si="38"/>
        <v>0</v>
      </c>
      <c r="Z61" s="973">
        <f t="shared" ca="1" si="38"/>
        <v>0</v>
      </c>
      <c r="AA61" s="973">
        <f t="shared" ca="1" si="38"/>
        <v>0</v>
      </c>
      <c r="AB61" s="973">
        <f t="shared" ca="1" si="38"/>
        <v>0</v>
      </c>
      <c r="AC61" s="973">
        <f t="shared" ca="1" si="38"/>
        <v>0</v>
      </c>
      <c r="AD61" s="973">
        <f t="shared" ca="1" si="38"/>
        <v>0</v>
      </c>
      <c r="AE61" s="973">
        <f t="shared" ca="1" si="38"/>
        <v>0</v>
      </c>
      <c r="AF61" s="973">
        <f t="shared" ca="1" si="38"/>
        <v>0</v>
      </c>
      <c r="AG61" s="973">
        <f t="shared" ca="1" si="38"/>
        <v>0</v>
      </c>
      <c r="AH61" s="973">
        <f t="shared" ca="1" si="38"/>
        <v>0</v>
      </c>
      <c r="AI61" s="973">
        <f t="shared" ca="1" si="38"/>
        <v>0</v>
      </c>
      <c r="AJ61" s="973">
        <f t="shared" ca="1" si="38"/>
        <v>0</v>
      </c>
      <c r="AK61" s="973">
        <f t="shared" ca="1" si="38"/>
        <v>0</v>
      </c>
      <c r="AL61" s="973">
        <f t="shared" ca="1" si="38"/>
        <v>0</v>
      </c>
      <c r="AM61" s="973">
        <f t="shared" ca="1" si="38"/>
        <v>0</v>
      </c>
      <c r="AN61" s="973">
        <f t="shared" ca="1" si="38"/>
        <v>0</v>
      </c>
      <c r="AO61" s="973">
        <f t="shared" ca="1" si="38"/>
        <v>0</v>
      </c>
      <c r="AP61" s="973">
        <f t="shared" ca="1" si="38"/>
        <v>0</v>
      </c>
      <c r="AQ61" s="973">
        <f t="shared" ca="1" si="38"/>
        <v>0</v>
      </c>
      <c r="AR61" s="973">
        <f t="shared" ca="1" si="38"/>
        <v>0</v>
      </c>
      <c r="AS61" s="973">
        <f t="shared" ca="1" si="38"/>
        <v>0</v>
      </c>
      <c r="AT61" s="973">
        <f t="shared" ca="1" si="38"/>
        <v>0</v>
      </c>
      <c r="AU61" s="973">
        <f t="shared" ca="1" si="38"/>
        <v>0</v>
      </c>
    </row>
    <row r="62" spans="5:47" s="28" customFormat="1">
      <c r="E62" s="254"/>
      <c r="G62" s="36" t="s">
        <v>115</v>
      </c>
      <c r="J62" s="331">
        <v>0.1</v>
      </c>
      <c r="L62" s="43" t="s">
        <v>12</v>
      </c>
      <c r="N62" s="189">
        <f t="shared" ca="1" si="21"/>
        <v>0</v>
      </c>
      <c r="O62" s="189"/>
      <c r="P62" s="319"/>
      <c r="Q62" s="189"/>
      <c r="R62" s="190">
        <f ca="1">SUM(R$45:R$60)*$J62</f>
        <v>0</v>
      </c>
      <c r="S62" s="190">
        <f t="shared" ca="1" si="38"/>
        <v>0</v>
      </c>
      <c r="T62" s="190">
        <f t="shared" ca="1" si="38"/>
        <v>0</v>
      </c>
      <c r="U62" s="190">
        <f t="shared" ca="1" si="38"/>
        <v>0</v>
      </c>
      <c r="V62" s="190">
        <f t="shared" ca="1" si="38"/>
        <v>0</v>
      </c>
      <c r="W62" s="190">
        <f t="shared" ca="1" si="38"/>
        <v>0</v>
      </c>
      <c r="X62" s="190">
        <f t="shared" ca="1" si="38"/>
        <v>0</v>
      </c>
      <c r="Y62" s="190">
        <f t="shared" ca="1" si="38"/>
        <v>0</v>
      </c>
      <c r="Z62" s="190">
        <f t="shared" ca="1" si="38"/>
        <v>0</v>
      </c>
      <c r="AA62" s="190">
        <f t="shared" ca="1" si="38"/>
        <v>0</v>
      </c>
      <c r="AB62" s="190">
        <f t="shared" ca="1" si="38"/>
        <v>0</v>
      </c>
      <c r="AC62" s="190">
        <f t="shared" ca="1" si="38"/>
        <v>0</v>
      </c>
      <c r="AD62" s="190">
        <f t="shared" ca="1" si="38"/>
        <v>0</v>
      </c>
      <c r="AE62" s="190">
        <f t="shared" ca="1" si="38"/>
        <v>0</v>
      </c>
      <c r="AF62" s="190">
        <f t="shared" ca="1" si="38"/>
        <v>0</v>
      </c>
      <c r="AG62" s="190">
        <f t="shared" ca="1" si="38"/>
        <v>0</v>
      </c>
      <c r="AH62" s="190">
        <f t="shared" ca="1" si="38"/>
        <v>0</v>
      </c>
      <c r="AI62" s="190">
        <f t="shared" ca="1" si="38"/>
        <v>0</v>
      </c>
      <c r="AJ62" s="190">
        <f t="shared" ca="1" si="38"/>
        <v>0</v>
      </c>
      <c r="AK62" s="190">
        <f t="shared" ca="1" si="38"/>
        <v>0</v>
      </c>
      <c r="AL62" s="190">
        <f t="shared" ca="1" si="38"/>
        <v>0</v>
      </c>
      <c r="AM62" s="190">
        <f t="shared" ca="1" si="38"/>
        <v>0</v>
      </c>
      <c r="AN62" s="190">
        <f t="shared" ca="1" si="38"/>
        <v>0</v>
      </c>
      <c r="AO62" s="190">
        <f t="shared" ca="1" si="38"/>
        <v>0</v>
      </c>
      <c r="AP62" s="190">
        <f t="shared" ca="1" si="38"/>
        <v>0</v>
      </c>
      <c r="AQ62" s="190">
        <f t="shared" ca="1" si="38"/>
        <v>0</v>
      </c>
      <c r="AR62" s="190">
        <f t="shared" ca="1" si="38"/>
        <v>0</v>
      </c>
      <c r="AS62" s="190">
        <f t="shared" ca="1" si="38"/>
        <v>0</v>
      </c>
      <c r="AT62" s="190">
        <f t="shared" ca="1" si="38"/>
        <v>0</v>
      </c>
      <c r="AU62" s="190">
        <f t="shared" ca="1" si="38"/>
        <v>0</v>
      </c>
    </row>
    <row r="63" spans="5:47" s="28" customFormat="1">
      <c r="E63" s="254"/>
      <c r="G63" s="36" t="s">
        <v>146</v>
      </c>
      <c r="J63" s="331">
        <v>0.3</v>
      </c>
      <c r="L63" s="43" t="s">
        <v>12</v>
      </c>
      <c r="N63" s="189">
        <f t="shared" ca="1" si="21"/>
        <v>0</v>
      </c>
      <c r="O63" s="189"/>
      <c r="P63" s="319"/>
      <c r="Q63" s="189"/>
      <c r="R63" s="190">
        <f ca="1">SUM(R$45:R$62)*$J63</f>
        <v>0</v>
      </c>
      <c r="S63" s="190">
        <f t="shared" ref="S63:AU64" ca="1" si="39">SUM(S$45:S$62)*$J63</f>
        <v>0</v>
      </c>
      <c r="T63" s="190">
        <f t="shared" ca="1" si="39"/>
        <v>0</v>
      </c>
      <c r="U63" s="190">
        <f t="shared" ca="1" si="39"/>
        <v>0</v>
      </c>
      <c r="V63" s="190">
        <f t="shared" ca="1" si="39"/>
        <v>0</v>
      </c>
      <c r="W63" s="190">
        <f t="shared" ca="1" si="39"/>
        <v>0</v>
      </c>
      <c r="X63" s="190">
        <f t="shared" ca="1" si="39"/>
        <v>0</v>
      </c>
      <c r="Y63" s="190">
        <f t="shared" ca="1" si="39"/>
        <v>0</v>
      </c>
      <c r="Z63" s="190">
        <f t="shared" ca="1" si="39"/>
        <v>0</v>
      </c>
      <c r="AA63" s="190">
        <f t="shared" ca="1" si="39"/>
        <v>0</v>
      </c>
      <c r="AB63" s="190">
        <f t="shared" ca="1" si="39"/>
        <v>0</v>
      </c>
      <c r="AC63" s="190">
        <f t="shared" ca="1" si="39"/>
        <v>0</v>
      </c>
      <c r="AD63" s="190">
        <f t="shared" ca="1" si="39"/>
        <v>0</v>
      </c>
      <c r="AE63" s="190">
        <f t="shared" ca="1" si="39"/>
        <v>0</v>
      </c>
      <c r="AF63" s="190">
        <f t="shared" ca="1" si="39"/>
        <v>0</v>
      </c>
      <c r="AG63" s="190">
        <f t="shared" ca="1" si="39"/>
        <v>0</v>
      </c>
      <c r="AH63" s="190">
        <f t="shared" ca="1" si="39"/>
        <v>0</v>
      </c>
      <c r="AI63" s="190">
        <f t="shared" ca="1" si="39"/>
        <v>0</v>
      </c>
      <c r="AJ63" s="190">
        <f t="shared" ca="1" si="39"/>
        <v>0</v>
      </c>
      <c r="AK63" s="190">
        <f t="shared" ca="1" si="39"/>
        <v>0</v>
      </c>
      <c r="AL63" s="190">
        <f t="shared" ca="1" si="39"/>
        <v>0</v>
      </c>
      <c r="AM63" s="190">
        <f t="shared" ca="1" si="39"/>
        <v>0</v>
      </c>
      <c r="AN63" s="190">
        <f t="shared" ca="1" si="39"/>
        <v>0</v>
      </c>
      <c r="AO63" s="190">
        <f t="shared" ca="1" si="39"/>
        <v>0</v>
      </c>
      <c r="AP63" s="190">
        <f t="shared" ca="1" si="39"/>
        <v>0</v>
      </c>
      <c r="AQ63" s="190">
        <f t="shared" ca="1" si="39"/>
        <v>0</v>
      </c>
      <c r="AR63" s="190">
        <f t="shared" ca="1" si="39"/>
        <v>0</v>
      </c>
      <c r="AS63" s="190">
        <f t="shared" ca="1" si="39"/>
        <v>0</v>
      </c>
      <c r="AT63" s="190">
        <f t="shared" ca="1" si="39"/>
        <v>0</v>
      </c>
      <c r="AU63" s="190">
        <f t="shared" ca="1" si="39"/>
        <v>0</v>
      </c>
    </row>
    <row r="64" spans="5:47" s="28" customFormat="1">
      <c r="E64" s="254"/>
      <c r="G64" s="36" t="s">
        <v>147</v>
      </c>
      <c r="J64" s="331">
        <v>0.15</v>
      </c>
      <c r="L64" s="43" t="s">
        <v>12</v>
      </c>
      <c r="N64" s="189">
        <f t="shared" ca="1" si="21"/>
        <v>0</v>
      </c>
      <c r="O64" s="189"/>
      <c r="P64" s="319"/>
      <c r="Q64" s="189"/>
      <c r="R64" s="190">
        <f ca="1">SUM(R$45:R$62)*$J64</f>
        <v>0</v>
      </c>
      <c r="S64" s="190">
        <f t="shared" ca="1" si="39"/>
        <v>0</v>
      </c>
      <c r="T64" s="190">
        <f t="shared" ca="1" si="39"/>
        <v>0</v>
      </c>
      <c r="U64" s="190">
        <f t="shared" ca="1" si="39"/>
        <v>0</v>
      </c>
      <c r="V64" s="190">
        <f t="shared" ca="1" si="39"/>
        <v>0</v>
      </c>
      <c r="W64" s="190">
        <f t="shared" ca="1" si="39"/>
        <v>0</v>
      </c>
      <c r="X64" s="190">
        <f t="shared" ca="1" si="39"/>
        <v>0</v>
      </c>
      <c r="Y64" s="190">
        <f t="shared" ca="1" si="39"/>
        <v>0</v>
      </c>
      <c r="Z64" s="190">
        <f t="shared" ca="1" si="39"/>
        <v>0</v>
      </c>
      <c r="AA64" s="190">
        <f t="shared" ca="1" si="39"/>
        <v>0</v>
      </c>
      <c r="AB64" s="190">
        <f t="shared" ca="1" si="39"/>
        <v>0</v>
      </c>
      <c r="AC64" s="190">
        <f t="shared" ca="1" si="39"/>
        <v>0</v>
      </c>
      <c r="AD64" s="190">
        <f t="shared" ca="1" si="39"/>
        <v>0</v>
      </c>
      <c r="AE64" s="190">
        <f t="shared" ca="1" si="39"/>
        <v>0</v>
      </c>
      <c r="AF64" s="190">
        <f t="shared" ca="1" si="39"/>
        <v>0</v>
      </c>
      <c r="AG64" s="190">
        <f t="shared" ca="1" si="39"/>
        <v>0</v>
      </c>
      <c r="AH64" s="190">
        <f t="shared" ca="1" si="39"/>
        <v>0</v>
      </c>
      <c r="AI64" s="190">
        <f t="shared" ca="1" si="39"/>
        <v>0</v>
      </c>
      <c r="AJ64" s="190">
        <f t="shared" ca="1" si="39"/>
        <v>0</v>
      </c>
      <c r="AK64" s="190">
        <f t="shared" ca="1" si="39"/>
        <v>0</v>
      </c>
      <c r="AL64" s="190">
        <f t="shared" ca="1" si="39"/>
        <v>0</v>
      </c>
      <c r="AM64" s="190">
        <f t="shared" ca="1" si="39"/>
        <v>0</v>
      </c>
      <c r="AN64" s="190">
        <f t="shared" ca="1" si="39"/>
        <v>0</v>
      </c>
      <c r="AO64" s="190">
        <f t="shared" ca="1" si="39"/>
        <v>0</v>
      </c>
      <c r="AP64" s="190">
        <f t="shared" ca="1" si="39"/>
        <v>0</v>
      </c>
      <c r="AQ64" s="190">
        <f t="shared" ca="1" si="39"/>
        <v>0</v>
      </c>
      <c r="AR64" s="190">
        <f t="shared" ca="1" si="39"/>
        <v>0</v>
      </c>
      <c r="AS64" s="190">
        <f t="shared" ca="1" si="39"/>
        <v>0</v>
      </c>
      <c r="AT64" s="190">
        <f t="shared" ca="1" si="39"/>
        <v>0</v>
      </c>
      <c r="AU64" s="190">
        <f t="shared" ca="1" si="39"/>
        <v>0</v>
      </c>
    </row>
    <row r="65" spans="1:47" s="39" customFormat="1">
      <c r="E65" s="254"/>
      <c r="G65" s="173" t="s">
        <v>114</v>
      </c>
      <c r="L65" s="174" t="s">
        <v>12</v>
      </c>
      <c r="N65" s="189">
        <f ca="1">SUBTOTAL(9,N45:N64)</f>
        <v>0</v>
      </c>
      <c r="O65" s="189"/>
      <c r="P65" s="320"/>
      <c r="Q65" s="189"/>
      <c r="R65" s="189">
        <f t="shared" ref="R65:AU65" ca="1" si="40">SUBTOTAL(9,R45:R64)</f>
        <v>0</v>
      </c>
      <c r="S65" s="189">
        <f t="shared" ca="1" si="40"/>
        <v>0</v>
      </c>
      <c r="T65" s="189">
        <f t="shared" ca="1" si="40"/>
        <v>0</v>
      </c>
      <c r="U65" s="189">
        <f t="shared" ca="1" si="40"/>
        <v>0</v>
      </c>
      <c r="V65" s="189">
        <f t="shared" ca="1" si="40"/>
        <v>0</v>
      </c>
      <c r="W65" s="189">
        <f t="shared" ca="1" si="40"/>
        <v>0</v>
      </c>
      <c r="X65" s="189">
        <f t="shared" ca="1" si="40"/>
        <v>0</v>
      </c>
      <c r="Y65" s="189">
        <f t="shared" ca="1" si="40"/>
        <v>0</v>
      </c>
      <c r="Z65" s="189">
        <f t="shared" ca="1" si="40"/>
        <v>0</v>
      </c>
      <c r="AA65" s="189">
        <f t="shared" ca="1" si="40"/>
        <v>0</v>
      </c>
      <c r="AB65" s="189">
        <f t="shared" ca="1" si="40"/>
        <v>0</v>
      </c>
      <c r="AC65" s="189">
        <f t="shared" ca="1" si="40"/>
        <v>0</v>
      </c>
      <c r="AD65" s="189">
        <f t="shared" ca="1" si="40"/>
        <v>0</v>
      </c>
      <c r="AE65" s="189">
        <f t="shared" ca="1" si="40"/>
        <v>0</v>
      </c>
      <c r="AF65" s="189">
        <f t="shared" ca="1" si="40"/>
        <v>0</v>
      </c>
      <c r="AG65" s="189">
        <f t="shared" ca="1" si="40"/>
        <v>0</v>
      </c>
      <c r="AH65" s="189">
        <f t="shared" ca="1" si="40"/>
        <v>0</v>
      </c>
      <c r="AI65" s="189">
        <f t="shared" ca="1" si="40"/>
        <v>0</v>
      </c>
      <c r="AJ65" s="189">
        <f t="shared" ca="1" si="40"/>
        <v>0</v>
      </c>
      <c r="AK65" s="189">
        <f t="shared" ca="1" si="40"/>
        <v>0</v>
      </c>
      <c r="AL65" s="189">
        <f t="shared" ca="1" si="40"/>
        <v>0</v>
      </c>
      <c r="AM65" s="189">
        <f t="shared" ca="1" si="40"/>
        <v>0</v>
      </c>
      <c r="AN65" s="189">
        <f t="shared" ca="1" si="40"/>
        <v>0</v>
      </c>
      <c r="AO65" s="189">
        <f t="shared" ca="1" si="40"/>
        <v>0</v>
      </c>
      <c r="AP65" s="189">
        <f t="shared" ca="1" si="40"/>
        <v>0</v>
      </c>
      <c r="AQ65" s="189">
        <f t="shared" ca="1" si="40"/>
        <v>0</v>
      </c>
      <c r="AR65" s="189">
        <f t="shared" ca="1" si="40"/>
        <v>0</v>
      </c>
      <c r="AS65" s="189">
        <f t="shared" ca="1" si="40"/>
        <v>0</v>
      </c>
      <c r="AT65" s="189">
        <f t="shared" ca="1" si="40"/>
        <v>0</v>
      </c>
      <c r="AU65" s="189">
        <f t="shared" ca="1" si="40"/>
        <v>0</v>
      </c>
    </row>
    <row r="66" spans="1:47" s="28" customFormat="1">
      <c r="E66" s="53"/>
      <c r="G66" s="36"/>
      <c r="L66" s="43"/>
      <c r="N66" s="189"/>
      <c r="O66" s="189"/>
      <c r="P66" s="190"/>
      <c r="Q66" s="189"/>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row>
    <row r="67" spans="1:47" s="28" customFormat="1">
      <c r="A67" s="40"/>
      <c r="B67" s="40"/>
      <c r="C67" s="40"/>
      <c r="D67" s="40"/>
      <c r="G67" s="324" t="s">
        <v>493</v>
      </c>
      <c r="H67" s="324"/>
      <c r="I67" s="324"/>
      <c r="J67" s="324"/>
      <c r="K67" s="324"/>
      <c r="L67" s="405"/>
      <c r="M67" s="256"/>
      <c r="N67" s="325"/>
      <c r="O67" s="311"/>
      <c r="P67" s="325"/>
      <c r="Q67" s="310"/>
      <c r="R67" s="325">
        <f>R42</f>
        <v>2014</v>
      </c>
      <c r="S67" s="325">
        <f t="shared" ref="S67:AU67" si="41">S42</f>
        <v>2015</v>
      </c>
      <c r="T67" s="325">
        <f t="shared" si="41"/>
        <v>2016</v>
      </c>
      <c r="U67" s="325">
        <f t="shared" si="41"/>
        <v>2017</v>
      </c>
      <c r="V67" s="325">
        <f t="shared" si="41"/>
        <v>2018</v>
      </c>
      <c r="W67" s="325">
        <f t="shared" si="41"/>
        <v>2019</v>
      </c>
      <c r="X67" s="325">
        <f t="shared" si="41"/>
        <v>2020</v>
      </c>
      <c r="Y67" s="325">
        <f t="shared" si="41"/>
        <v>2021</v>
      </c>
      <c r="Z67" s="325">
        <f t="shared" si="41"/>
        <v>2022</v>
      </c>
      <c r="AA67" s="325">
        <f t="shared" si="41"/>
        <v>2023</v>
      </c>
      <c r="AB67" s="325">
        <f t="shared" si="41"/>
        <v>2024</v>
      </c>
      <c r="AC67" s="325">
        <f t="shared" si="41"/>
        <v>2025</v>
      </c>
      <c r="AD67" s="325">
        <f t="shared" si="41"/>
        <v>2026</v>
      </c>
      <c r="AE67" s="325">
        <f t="shared" si="41"/>
        <v>2027</v>
      </c>
      <c r="AF67" s="325">
        <f t="shared" si="41"/>
        <v>2028</v>
      </c>
      <c r="AG67" s="325">
        <f t="shared" si="41"/>
        <v>2029</v>
      </c>
      <c r="AH67" s="325">
        <f t="shared" si="41"/>
        <v>2030</v>
      </c>
      <c r="AI67" s="325">
        <f t="shared" si="41"/>
        <v>2031</v>
      </c>
      <c r="AJ67" s="325">
        <f t="shared" si="41"/>
        <v>2032</v>
      </c>
      <c r="AK67" s="325">
        <f t="shared" si="41"/>
        <v>2033</v>
      </c>
      <c r="AL67" s="325">
        <f t="shared" si="41"/>
        <v>2034</v>
      </c>
      <c r="AM67" s="325">
        <f t="shared" si="41"/>
        <v>2035</v>
      </c>
      <c r="AN67" s="325">
        <f t="shared" si="41"/>
        <v>2036</v>
      </c>
      <c r="AO67" s="325">
        <f t="shared" si="41"/>
        <v>2037</v>
      </c>
      <c r="AP67" s="325">
        <f t="shared" si="41"/>
        <v>2038</v>
      </c>
      <c r="AQ67" s="325">
        <f t="shared" si="41"/>
        <v>2039</v>
      </c>
      <c r="AR67" s="325">
        <f t="shared" si="41"/>
        <v>2040</v>
      </c>
      <c r="AS67" s="325">
        <f t="shared" si="41"/>
        <v>2041</v>
      </c>
      <c r="AT67" s="325">
        <f t="shared" si="41"/>
        <v>2042</v>
      </c>
      <c r="AU67" s="325">
        <f t="shared" si="41"/>
        <v>2043</v>
      </c>
    </row>
    <row r="68" spans="1:47" s="28" customFormat="1">
      <c r="E68" s="254"/>
      <c r="G68" s="36"/>
      <c r="L68" s="43"/>
      <c r="N68" s="189"/>
      <c r="O68" s="189"/>
      <c r="P68" s="190"/>
      <c r="Q68" s="189"/>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row>
    <row r="69" spans="1:47" s="28" customFormat="1">
      <c r="E69" s="254"/>
      <c r="G69" s="36" t="s">
        <v>315</v>
      </c>
      <c r="J69" s="406" t="str">
        <f>J45</f>
        <v>Off</v>
      </c>
      <c r="L69" s="43" t="s">
        <v>12</v>
      </c>
      <c r="N69" s="189">
        <f t="shared" ref="N69:N87" ca="1" si="42">NPV(DiscountRt,R69:AU69)</f>
        <v>0</v>
      </c>
      <c r="O69" s="189"/>
      <c r="P69" s="320"/>
      <c r="Q69" s="189"/>
      <c r="R69" s="190">
        <f t="shared" ref="R69:AU69" ca="1" si="43">R113</f>
        <v>0</v>
      </c>
      <c r="S69" s="190">
        <f t="shared" ca="1" si="43"/>
        <v>0</v>
      </c>
      <c r="T69" s="190">
        <f t="shared" ca="1" si="43"/>
        <v>0</v>
      </c>
      <c r="U69" s="190">
        <f t="shared" ca="1" si="43"/>
        <v>0</v>
      </c>
      <c r="V69" s="190">
        <f t="shared" ca="1" si="43"/>
        <v>0</v>
      </c>
      <c r="W69" s="190">
        <f t="shared" ca="1" si="43"/>
        <v>0</v>
      </c>
      <c r="X69" s="190">
        <f t="shared" ca="1" si="43"/>
        <v>0</v>
      </c>
      <c r="Y69" s="190">
        <f t="shared" ca="1" si="43"/>
        <v>0</v>
      </c>
      <c r="Z69" s="190">
        <f t="shared" ca="1" si="43"/>
        <v>0</v>
      </c>
      <c r="AA69" s="190">
        <f t="shared" ca="1" si="43"/>
        <v>0</v>
      </c>
      <c r="AB69" s="190">
        <f t="shared" ca="1" si="43"/>
        <v>0</v>
      </c>
      <c r="AC69" s="190">
        <f t="shared" ca="1" si="43"/>
        <v>0</v>
      </c>
      <c r="AD69" s="190">
        <f t="shared" ca="1" si="43"/>
        <v>0</v>
      </c>
      <c r="AE69" s="190">
        <f t="shared" ca="1" si="43"/>
        <v>0</v>
      </c>
      <c r="AF69" s="190">
        <f t="shared" ca="1" si="43"/>
        <v>0</v>
      </c>
      <c r="AG69" s="190">
        <f t="shared" ca="1" si="43"/>
        <v>0</v>
      </c>
      <c r="AH69" s="190">
        <f t="shared" ca="1" si="43"/>
        <v>0</v>
      </c>
      <c r="AI69" s="190">
        <f t="shared" ca="1" si="43"/>
        <v>0</v>
      </c>
      <c r="AJ69" s="190">
        <f t="shared" ca="1" si="43"/>
        <v>0</v>
      </c>
      <c r="AK69" s="190">
        <f t="shared" ca="1" si="43"/>
        <v>0</v>
      </c>
      <c r="AL69" s="190">
        <f t="shared" si="43"/>
        <v>0</v>
      </c>
      <c r="AM69" s="190">
        <f t="shared" si="43"/>
        <v>0</v>
      </c>
      <c r="AN69" s="190">
        <f t="shared" si="43"/>
        <v>0</v>
      </c>
      <c r="AO69" s="190">
        <f t="shared" si="43"/>
        <v>0</v>
      </c>
      <c r="AP69" s="190">
        <f t="shared" si="43"/>
        <v>0</v>
      </c>
      <c r="AQ69" s="190">
        <f t="shared" si="43"/>
        <v>0</v>
      </c>
      <c r="AR69" s="190">
        <f t="shared" si="43"/>
        <v>0</v>
      </c>
      <c r="AS69" s="190">
        <f t="shared" si="43"/>
        <v>0</v>
      </c>
      <c r="AT69" s="190">
        <f t="shared" si="43"/>
        <v>0</v>
      </c>
      <c r="AU69" s="190">
        <f t="shared" si="43"/>
        <v>0</v>
      </c>
    </row>
    <row r="70" spans="1:47" s="28" customFormat="1">
      <c r="E70" s="254"/>
      <c r="G70" s="36" t="s">
        <v>153</v>
      </c>
      <c r="J70" s="406" t="str">
        <f t="shared" ref="J70:J84" si="44">J46</f>
        <v>Off</v>
      </c>
      <c r="L70" s="43" t="s">
        <v>12</v>
      </c>
      <c r="N70" s="189">
        <f t="shared" ca="1" si="42"/>
        <v>0</v>
      </c>
      <c r="O70" s="189"/>
      <c r="P70" s="320"/>
      <c r="Q70" s="189"/>
      <c r="R70" s="190">
        <f t="shared" ref="R70:AU70" ca="1" si="45">R134</f>
        <v>0</v>
      </c>
      <c r="S70" s="190">
        <f t="shared" ca="1" si="45"/>
        <v>0</v>
      </c>
      <c r="T70" s="190">
        <f t="shared" ca="1" si="45"/>
        <v>0</v>
      </c>
      <c r="U70" s="190">
        <f t="shared" ca="1" si="45"/>
        <v>0</v>
      </c>
      <c r="V70" s="190">
        <f t="shared" ca="1" si="45"/>
        <v>0</v>
      </c>
      <c r="W70" s="190">
        <f t="shared" ca="1" si="45"/>
        <v>0</v>
      </c>
      <c r="X70" s="190">
        <f t="shared" ca="1" si="45"/>
        <v>0</v>
      </c>
      <c r="Y70" s="190">
        <f t="shared" ca="1" si="45"/>
        <v>0</v>
      </c>
      <c r="Z70" s="190">
        <f t="shared" ca="1" si="45"/>
        <v>0</v>
      </c>
      <c r="AA70" s="190">
        <f t="shared" ca="1" si="45"/>
        <v>0</v>
      </c>
      <c r="AB70" s="190">
        <f t="shared" ca="1" si="45"/>
        <v>0</v>
      </c>
      <c r="AC70" s="190">
        <f t="shared" ca="1" si="45"/>
        <v>0</v>
      </c>
      <c r="AD70" s="190">
        <f t="shared" ca="1" si="45"/>
        <v>0</v>
      </c>
      <c r="AE70" s="190">
        <f t="shared" ca="1" si="45"/>
        <v>0</v>
      </c>
      <c r="AF70" s="190">
        <f t="shared" ca="1" si="45"/>
        <v>0</v>
      </c>
      <c r="AG70" s="190">
        <f t="shared" ca="1" si="45"/>
        <v>0</v>
      </c>
      <c r="AH70" s="190">
        <f t="shared" ca="1" si="45"/>
        <v>0</v>
      </c>
      <c r="AI70" s="190">
        <f t="shared" ca="1" si="45"/>
        <v>0</v>
      </c>
      <c r="AJ70" s="190">
        <f t="shared" ca="1" si="45"/>
        <v>0</v>
      </c>
      <c r="AK70" s="190">
        <f t="shared" ca="1" si="45"/>
        <v>0</v>
      </c>
      <c r="AL70" s="190">
        <f t="shared" si="45"/>
        <v>0</v>
      </c>
      <c r="AM70" s="190">
        <f t="shared" si="45"/>
        <v>0</v>
      </c>
      <c r="AN70" s="190">
        <f t="shared" si="45"/>
        <v>0</v>
      </c>
      <c r="AO70" s="190">
        <f t="shared" si="45"/>
        <v>0</v>
      </c>
      <c r="AP70" s="190">
        <f t="shared" si="45"/>
        <v>0</v>
      </c>
      <c r="AQ70" s="190">
        <f t="shared" si="45"/>
        <v>0</v>
      </c>
      <c r="AR70" s="190">
        <f t="shared" si="45"/>
        <v>0</v>
      </c>
      <c r="AS70" s="190">
        <f t="shared" si="45"/>
        <v>0</v>
      </c>
      <c r="AT70" s="190">
        <f t="shared" si="45"/>
        <v>0</v>
      </c>
      <c r="AU70" s="190">
        <f t="shared" si="45"/>
        <v>0</v>
      </c>
    </row>
    <row r="71" spans="1:47" s="28" customFormat="1">
      <c r="E71" s="254"/>
      <c r="G71" s="36" t="s">
        <v>143</v>
      </c>
      <c r="J71" s="406" t="str">
        <f t="shared" si="44"/>
        <v>Off</v>
      </c>
      <c r="L71" s="43" t="s">
        <v>12</v>
      </c>
      <c r="N71" s="189">
        <f t="shared" ca="1" si="42"/>
        <v>0</v>
      </c>
      <c r="O71" s="189"/>
      <c r="P71" s="320"/>
      <c r="Q71" s="189"/>
      <c r="R71" s="190">
        <f t="shared" ref="R71:AU71" ca="1" si="46">R155</f>
        <v>0</v>
      </c>
      <c r="S71" s="190">
        <f t="shared" ca="1" si="46"/>
        <v>0</v>
      </c>
      <c r="T71" s="190">
        <f t="shared" ca="1" si="46"/>
        <v>0</v>
      </c>
      <c r="U71" s="190">
        <f t="shared" ca="1" si="46"/>
        <v>0</v>
      </c>
      <c r="V71" s="190">
        <f t="shared" ca="1" si="46"/>
        <v>0</v>
      </c>
      <c r="W71" s="190">
        <f t="shared" ca="1" si="46"/>
        <v>0</v>
      </c>
      <c r="X71" s="190">
        <f t="shared" ca="1" si="46"/>
        <v>0</v>
      </c>
      <c r="Y71" s="190">
        <f t="shared" ca="1" si="46"/>
        <v>0</v>
      </c>
      <c r="Z71" s="190">
        <f t="shared" ca="1" si="46"/>
        <v>0</v>
      </c>
      <c r="AA71" s="190">
        <f t="shared" ca="1" si="46"/>
        <v>0</v>
      </c>
      <c r="AB71" s="190">
        <f t="shared" ca="1" si="46"/>
        <v>0</v>
      </c>
      <c r="AC71" s="190">
        <f t="shared" ca="1" si="46"/>
        <v>0</v>
      </c>
      <c r="AD71" s="190">
        <f t="shared" ca="1" si="46"/>
        <v>0</v>
      </c>
      <c r="AE71" s="190">
        <f t="shared" ca="1" si="46"/>
        <v>0</v>
      </c>
      <c r="AF71" s="190">
        <f t="shared" ca="1" si="46"/>
        <v>0</v>
      </c>
      <c r="AG71" s="190">
        <f t="shared" ca="1" si="46"/>
        <v>0</v>
      </c>
      <c r="AH71" s="190">
        <f t="shared" ca="1" si="46"/>
        <v>0</v>
      </c>
      <c r="AI71" s="190">
        <f t="shared" ca="1" si="46"/>
        <v>0</v>
      </c>
      <c r="AJ71" s="190">
        <f t="shared" ca="1" si="46"/>
        <v>0</v>
      </c>
      <c r="AK71" s="190">
        <f t="shared" ca="1" si="46"/>
        <v>0</v>
      </c>
      <c r="AL71" s="190">
        <f t="shared" si="46"/>
        <v>0</v>
      </c>
      <c r="AM71" s="190">
        <f t="shared" si="46"/>
        <v>0</v>
      </c>
      <c r="AN71" s="190">
        <f t="shared" si="46"/>
        <v>0</v>
      </c>
      <c r="AO71" s="190">
        <f t="shared" si="46"/>
        <v>0</v>
      </c>
      <c r="AP71" s="190">
        <f t="shared" si="46"/>
        <v>0</v>
      </c>
      <c r="AQ71" s="190">
        <f t="shared" si="46"/>
        <v>0</v>
      </c>
      <c r="AR71" s="190">
        <f t="shared" si="46"/>
        <v>0</v>
      </c>
      <c r="AS71" s="190">
        <f t="shared" si="46"/>
        <v>0</v>
      </c>
      <c r="AT71" s="190">
        <f t="shared" si="46"/>
        <v>0</v>
      </c>
      <c r="AU71" s="190">
        <f t="shared" si="46"/>
        <v>0</v>
      </c>
    </row>
    <row r="72" spans="1:47" s="28" customFormat="1">
      <c r="E72" s="254"/>
      <c r="G72" s="36" t="s">
        <v>316</v>
      </c>
      <c r="J72" s="406" t="str">
        <f t="shared" si="44"/>
        <v>Off</v>
      </c>
      <c r="L72" s="43" t="s">
        <v>12</v>
      </c>
      <c r="N72" s="189">
        <f t="shared" ca="1" si="42"/>
        <v>0</v>
      </c>
      <c r="O72" s="189"/>
      <c r="P72" s="320"/>
      <c r="Q72" s="189"/>
      <c r="R72" s="190">
        <f t="shared" ref="R72:AU72" ca="1" si="47">R176</f>
        <v>0</v>
      </c>
      <c r="S72" s="190">
        <f t="shared" ca="1" si="47"/>
        <v>0</v>
      </c>
      <c r="T72" s="190">
        <f t="shared" ca="1" si="47"/>
        <v>0</v>
      </c>
      <c r="U72" s="190">
        <f t="shared" ca="1" si="47"/>
        <v>0</v>
      </c>
      <c r="V72" s="190">
        <f t="shared" ca="1" si="47"/>
        <v>0</v>
      </c>
      <c r="W72" s="190">
        <f t="shared" ca="1" si="47"/>
        <v>0</v>
      </c>
      <c r="X72" s="190">
        <f t="shared" ca="1" si="47"/>
        <v>0</v>
      </c>
      <c r="Y72" s="190">
        <f t="shared" ca="1" si="47"/>
        <v>0</v>
      </c>
      <c r="Z72" s="190">
        <f t="shared" ca="1" si="47"/>
        <v>0</v>
      </c>
      <c r="AA72" s="190">
        <f t="shared" ca="1" si="47"/>
        <v>0</v>
      </c>
      <c r="AB72" s="190">
        <f t="shared" ca="1" si="47"/>
        <v>0</v>
      </c>
      <c r="AC72" s="190">
        <f t="shared" ca="1" si="47"/>
        <v>0</v>
      </c>
      <c r="AD72" s="190">
        <f t="shared" ca="1" si="47"/>
        <v>0</v>
      </c>
      <c r="AE72" s="190">
        <f t="shared" ca="1" si="47"/>
        <v>0</v>
      </c>
      <c r="AF72" s="190">
        <f t="shared" ca="1" si="47"/>
        <v>0</v>
      </c>
      <c r="AG72" s="190">
        <f t="shared" ca="1" si="47"/>
        <v>0</v>
      </c>
      <c r="AH72" s="190">
        <f t="shared" ca="1" si="47"/>
        <v>0</v>
      </c>
      <c r="AI72" s="190">
        <f t="shared" ca="1" si="47"/>
        <v>0</v>
      </c>
      <c r="AJ72" s="190">
        <f t="shared" ca="1" si="47"/>
        <v>0</v>
      </c>
      <c r="AK72" s="190">
        <f t="shared" ca="1" si="47"/>
        <v>0</v>
      </c>
      <c r="AL72" s="190">
        <f t="shared" si="47"/>
        <v>0</v>
      </c>
      <c r="AM72" s="190">
        <f t="shared" si="47"/>
        <v>0</v>
      </c>
      <c r="AN72" s="190">
        <f t="shared" si="47"/>
        <v>0</v>
      </c>
      <c r="AO72" s="190">
        <f t="shared" si="47"/>
        <v>0</v>
      </c>
      <c r="AP72" s="190">
        <f t="shared" si="47"/>
        <v>0</v>
      </c>
      <c r="AQ72" s="190">
        <f t="shared" si="47"/>
        <v>0</v>
      </c>
      <c r="AR72" s="190">
        <f t="shared" si="47"/>
        <v>0</v>
      </c>
      <c r="AS72" s="190">
        <f t="shared" si="47"/>
        <v>0</v>
      </c>
      <c r="AT72" s="190">
        <f t="shared" si="47"/>
        <v>0</v>
      </c>
      <c r="AU72" s="190">
        <f t="shared" si="47"/>
        <v>0</v>
      </c>
    </row>
    <row r="73" spans="1:47" s="28" customFormat="1">
      <c r="E73" s="254"/>
      <c r="G73" s="36" t="s">
        <v>317</v>
      </c>
      <c r="J73" s="406" t="str">
        <f t="shared" si="44"/>
        <v>Off</v>
      </c>
      <c r="L73" s="43" t="s">
        <v>12</v>
      </c>
      <c r="N73" s="189">
        <f t="shared" ca="1" si="42"/>
        <v>0</v>
      </c>
      <c r="O73" s="189"/>
      <c r="P73" s="320"/>
      <c r="Q73" s="189"/>
      <c r="R73" s="190">
        <f t="shared" ref="R73:AU73" ca="1" si="48">R197</f>
        <v>0</v>
      </c>
      <c r="S73" s="190">
        <f t="shared" ca="1" si="48"/>
        <v>0</v>
      </c>
      <c r="T73" s="190">
        <f t="shared" ca="1" si="48"/>
        <v>0</v>
      </c>
      <c r="U73" s="190">
        <f t="shared" ca="1" si="48"/>
        <v>0</v>
      </c>
      <c r="V73" s="190">
        <f t="shared" ca="1" si="48"/>
        <v>0</v>
      </c>
      <c r="W73" s="190">
        <f t="shared" ca="1" si="48"/>
        <v>0</v>
      </c>
      <c r="X73" s="190">
        <f t="shared" ca="1" si="48"/>
        <v>0</v>
      </c>
      <c r="Y73" s="190">
        <f t="shared" ca="1" si="48"/>
        <v>0</v>
      </c>
      <c r="Z73" s="190">
        <f t="shared" ca="1" si="48"/>
        <v>0</v>
      </c>
      <c r="AA73" s="190">
        <f t="shared" ca="1" si="48"/>
        <v>0</v>
      </c>
      <c r="AB73" s="190">
        <f t="shared" ca="1" si="48"/>
        <v>0</v>
      </c>
      <c r="AC73" s="190">
        <f t="shared" ca="1" si="48"/>
        <v>0</v>
      </c>
      <c r="AD73" s="190">
        <f t="shared" ca="1" si="48"/>
        <v>0</v>
      </c>
      <c r="AE73" s="190">
        <f t="shared" ca="1" si="48"/>
        <v>0</v>
      </c>
      <c r="AF73" s="190">
        <f t="shared" ca="1" si="48"/>
        <v>0</v>
      </c>
      <c r="AG73" s="190">
        <f t="shared" ca="1" si="48"/>
        <v>0</v>
      </c>
      <c r="AH73" s="190">
        <f t="shared" ca="1" si="48"/>
        <v>0</v>
      </c>
      <c r="AI73" s="190">
        <f t="shared" ca="1" si="48"/>
        <v>0</v>
      </c>
      <c r="AJ73" s="190">
        <f t="shared" ca="1" si="48"/>
        <v>0</v>
      </c>
      <c r="AK73" s="190">
        <f t="shared" ca="1" si="48"/>
        <v>0</v>
      </c>
      <c r="AL73" s="190">
        <f t="shared" si="48"/>
        <v>0</v>
      </c>
      <c r="AM73" s="190">
        <f t="shared" si="48"/>
        <v>0</v>
      </c>
      <c r="AN73" s="190">
        <f t="shared" si="48"/>
        <v>0</v>
      </c>
      <c r="AO73" s="190">
        <f t="shared" si="48"/>
        <v>0</v>
      </c>
      <c r="AP73" s="190">
        <f t="shared" si="48"/>
        <v>0</v>
      </c>
      <c r="AQ73" s="190">
        <f t="shared" si="48"/>
        <v>0</v>
      </c>
      <c r="AR73" s="190">
        <f t="shared" si="48"/>
        <v>0</v>
      </c>
      <c r="AS73" s="190">
        <f t="shared" si="48"/>
        <v>0</v>
      </c>
      <c r="AT73" s="190">
        <f t="shared" si="48"/>
        <v>0</v>
      </c>
      <c r="AU73" s="190">
        <f t="shared" si="48"/>
        <v>0</v>
      </c>
    </row>
    <row r="74" spans="1:47" s="28" customFormat="1">
      <c r="E74" s="254"/>
      <c r="G74" s="36" t="s">
        <v>318</v>
      </c>
      <c r="J74" s="406" t="str">
        <f t="shared" si="44"/>
        <v>Off</v>
      </c>
      <c r="L74" s="43" t="s">
        <v>12</v>
      </c>
      <c r="N74" s="189">
        <f t="shared" ca="1" si="42"/>
        <v>0</v>
      </c>
      <c r="O74" s="189"/>
      <c r="P74" s="320"/>
      <c r="Q74" s="189"/>
      <c r="R74" s="190">
        <f t="shared" ref="R74:AU74" ca="1" si="49">R218</f>
        <v>0</v>
      </c>
      <c r="S74" s="190">
        <f t="shared" ca="1" si="49"/>
        <v>0</v>
      </c>
      <c r="T74" s="190">
        <f t="shared" ca="1" si="49"/>
        <v>0</v>
      </c>
      <c r="U74" s="190">
        <f t="shared" ca="1" si="49"/>
        <v>0</v>
      </c>
      <c r="V74" s="190">
        <f t="shared" ca="1" si="49"/>
        <v>0</v>
      </c>
      <c r="W74" s="190">
        <f t="shared" ca="1" si="49"/>
        <v>0</v>
      </c>
      <c r="X74" s="190">
        <f t="shared" ca="1" si="49"/>
        <v>0</v>
      </c>
      <c r="Y74" s="190">
        <f t="shared" ca="1" si="49"/>
        <v>0</v>
      </c>
      <c r="Z74" s="190">
        <f t="shared" ca="1" si="49"/>
        <v>0</v>
      </c>
      <c r="AA74" s="190">
        <f t="shared" ca="1" si="49"/>
        <v>0</v>
      </c>
      <c r="AB74" s="190">
        <f t="shared" ca="1" si="49"/>
        <v>0</v>
      </c>
      <c r="AC74" s="190">
        <f t="shared" ca="1" si="49"/>
        <v>0</v>
      </c>
      <c r="AD74" s="190">
        <f t="shared" ca="1" si="49"/>
        <v>0</v>
      </c>
      <c r="AE74" s="190">
        <f t="shared" ca="1" si="49"/>
        <v>0</v>
      </c>
      <c r="AF74" s="190">
        <f t="shared" ca="1" si="49"/>
        <v>0</v>
      </c>
      <c r="AG74" s="190">
        <f t="shared" ca="1" si="49"/>
        <v>0</v>
      </c>
      <c r="AH74" s="190">
        <f t="shared" ca="1" si="49"/>
        <v>0</v>
      </c>
      <c r="AI74" s="190">
        <f t="shared" ca="1" si="49"/>
        <v>0</v>
      </c>
      <c r="AJ74" s="190">
        <f t="shared" ca="1" si="49"/>
        <v>0</v>
      </c>
      <c r="AK74" s="190">
        <f t="shared" ca="1" si="49"/>
        <v>0</v>
      </c>
      <c r="AL74" s="190">
        <f t="shared" si="49"/>
        <v>0</v>
      </c>
      <c r="AM74" s="190">
        <f t="shared" si="49"/>
        <v>0</v>
      </c>
      <c r="AN74" s="190">
        <f t="shared" si="49"/>
        <v>0</v>
      </c>
      <c r="AO74" s="190">
        <f t="shared" si="49"/>
        <v>0</v>
      </c>
      <c r="AP74" s="190">
        <f t="shared" si="49"/>
        <v>0</v>
      </c>
      <c r="AQ74" s="190">
        <f t="shared" si="49"/>
        <v>0</v>
      </c>
      <c r="AR74" s="190">
        <f t="shared" si="49"/>
        <v>0</v>
      </c>
      <c r="AS74" s="190">
        <f t="shared" si="49"/>
        <v>0</v>
      </c>
      <c r="AT74" s="190">
        <f t="shared" si="49"/>
        <v>0</v>
      </c>
      <c r="AU74" s="190">
        <f t="shared" si="49"/>
        <v>0</v>
      </c>
    </row>
    <row r="75" spans="1:47" s="28" customFormat="1">
      <c r="E75" s="254"/>
      <c r="G75" s="36" t="s">
        <v>319</v>
      </c>
      <c r="J75" s="406" t="str">
        <f t="shared" si="44"/>
        <v>Off</v>
      </c>
      <c r="L75" s="43" t="s">
        <v>12</v>
      </c>
      <c r="N75" s="189">
        <f t="shared" ca="1" si="42"/>
        <v>0</v>
      </c>
      <c r="O75" s="189"/>
      <c r="P75" s="320"/>
      <c r="Q75" s="189"/>
      <c r="R75" s="190">
        <f t="shared" ref="R75:AU75" ca="1" si="50">R239</f>
        <v>0</v>
      </c>
      <c r="S75" s="190">
        <f t="shared" ca="1" si="50"/>
        <v>0</v>
      </c>
      <c r="T75" s="190">
        <f t="shared" ca="1" si="50"/>
        <v>0</v>
      </c>
      <c r="U75" s="190">
        <f t="shared" ca="1" si="50"/>
        <v>0</v>
      </c>
      <c r="V75" s="190">
        <f t="shared" ca="1" si="50"/>
        <v>0</v>
      </c>
      <c r="W75" s="190">
        <f t="shared" ca="1" si="50"/>
        <v>0</v>
      </c>
      <c r="X75" s="190">
        <f t="shared" ca="1" si="50"/>
        <v>0</v>
      </c>
      <c r="Y75" s="190">
        <f t="shared" ca="1" si="50"/>
        <v>0</v>
      </c>
      <c r="Z75" s="190">
        <f t="shared" ca="1" si="50"/>
        <v>0</v>
      </c>
      <c r="AA75" s="190">
        <f t="shared" ca="1" si="50"/>
        <v>0</v>
      </c>
      <c r="AB75" s="190">
        <f t="shared" ca="1" si="50"/>
        <v>0</v>
      </c>
      <c r="AC75" s="190">
        <f t="shared" ca="1" si="50"/>
        <v>0</v>
      </c>
      <c r="AD75" s="190">
        <f t="shared" ca="1" si="50"/>
        <v>0</v>
      </c>
      <c r="AE75" s="190">
        <f t="shared" ca="1" si="50"/>
        <v>0</v>
      </c>
      <c r="AF75" s="190">
        <f t="shared" ca="1" si="50"/>
        <v>0</v>
      </c>
      <c r="AG75" s="190">
        <f t="shared" ca="1" si="50"/>
        <v>0</v>
      </c>
      <c r="AH75" s="190">
        <f t="shared" ca="1" si="50"/>
        <v>0</v>
      </c>
      <c r="AI75" s="190">
        <f t="shared" ca="1" si="50"/>
        <v>0</v>
      </c>
      <c r="AJ75" s="190">
        <f t="shared" ca="1" si="50"/>
        <v>0</v>
      </c>
      <c r="AK75" s="190">
        <f t="shared" ca="1" si="50"/>
        <v>0</v>
      </c>
      <c r="AL75" s="190">
        <f t="shared" si="50"/>
        <v>0</v>
      </c>
      <c r="AM75" s="190">
        <f t="shared" si="50"/>
        <v>0</v>
      </c>
      <c r="AN75" s="190">
        <f t="shared" si="50"/>
        <v>0</v>
      </c>
      <c r="AO75" s="190">
        <f t="shared" si="50"/>
        <v>0</v>
      </c>
      <c r="AP75" s="190">
        <f t="shared" si="50"/>
        <v>0</v>
      </c>
      <c r="AQ75" s="190">
        <f t="shared" si="50"/>
        <v>0</v>
      </c>
      <c r="AR75" s="190">
        <f t="shared" si="50"/>
        <v>0</v>
      </c>
      <c r="AS75" s="190">
        <f t="shared" si="50"/>
        <v>0</v>
      </c>
      <c r="AT75" s="190">
        <f t="shared" si="50"/>
        <v>0</v>
      </c>
      <c r="AU75" s="190">
        <f t="shared" si="50"/>
        <v>0</v>
      </c>
    </row>
    <row r="76" spans="1:47" s="28" customFormat="1">
      <c r="E76" s="254"/>
      <c r="G76" s="36" t="s">
        <v>320</v>
      </c>
      <c r="J76" s="406" t="str">
        <f t="shared" si="44"/>
        <v>Off</v>
      </c>
      <c r="L76" s="43" t="s">
        <v>12</v>
      </c>
      <c r="N76" s="189">
        <f t="shared" ca="1" si="42"/>
        <v>0</v>
      </c>
      <c r="O76" s="189"/>
      <c r="P76" s="320"/>
      <c r="Q76" s="189"/>
      <c r="R76" s="190">
        <f t="shared" ref="R76:AU76" ca="1" si="51">R260</f>
        <v>0</v>
      </c>
      <c r="S76" s="190">
        <f t="shared" ca="1" si="51"/>
        <v>0</v>
      </c>
      <c r="T76" s="190">
        <f t="shared" ca="1" si="51"/>
        <v>0</v>
      </c>
      <c r="U76" s="190">
        <f t="shared" ca="1" si="51"/>
        <v>0</v>
      </c>
      <c r="V76" s="190">
        <f t="shared" ca="1" si="51"/>
        <v>0</v>
      </c>
      <c r="W76" s="190">
        <f t="shared" ca="1" si="51"/>
        <v>0</v>
      </c>
      <c r="X76" s="190">
        <f t="shared" ca="1" si="51"/>
        <v>0</v>
      </c>
      <c r="Y76" s="190">
        <f t="shared" ca="1" si="51"/>
        <v>0</v>
      </c>
      <c r="Z76" s="190">
        <f t="shared" ca="1" si="51"/>
        <v>0</v>
      </c>
      <c r="AA76" s="190">
        <f t="shared" ca="1" si="51"/>
        <v>0</v>
      </c>
      <c r="AB76" s="190">
        <f t="shared" ca="1" si="51"/>
        <v>0</v>
      </c>
      <c r="AC76" s="190">
        <f t="shared" ca="1" si="51"/>
        <v>0</v>
      </c>
      <c r="AD76" s="190">
        <f t="shared" ca="1" si="51"/>
        <v>0</v>
      </c>
      <c r="AE76" s="190">
        <f t="shared" ca="1" si="51"/>
        <v>0</v>
      </c>
      <c r="AF76" s="190">
        <f t="shared" ca="1" si="51"/>
        <v>0</v>
      </c>
      <c r="AG76" s="190">
        <f t="shared" ca="1" si="51"/>
        <v>0</v>
      </c>
      <c r="AH76" s="190">
        <f t="shared" ca="1" si="51"/>
        <v>0</v>
      </c>
      <c r="AI76" s="190">
        <f t="shared" ca="1" si="51"/>
        <v>0</v>
      </c>
      <c r="AJ76" s="190">
        <f t="shared" ca="1" si="51"/>
        <v>0</v>
      </c>
      <c r="AK76" s="190">
        <f t="shared" ca="1" si="51"/>
        <v>0</v>
      </c>
      <c r="AL76" s="190">
        <f t="shared" si="51"/>
        <v>0</v>
      </c>
      <c r="AM76" s="190">
        <f t="shared" si="51"/>
        <v>0</v>
      </c>
      <c r="AN76" s="190">
        <f t="shared" si="51"/>
        <v>0</v>
      </c>
      <c r="AO76" s="190">
        <f t="shared" si="51"/>
        <v>0</v>
      </c>
      <c r="AP76" s="190">
        <f t="shared" si="51"/>
        <v>0</v>
      </c>
      <c r="AQ76" s="190">
        <f t="shared" si="51"/>
        <v>0</v>
      </c>
      <c r="AR76" s="190">
        <f t="shared" si="51"/>
        <v>0</v>
      </c>
      <c r="AS76" s="190">
        <f t="shared" si="51"/>
        <v>0</v>
      </c>
      <c r="AT76" s="190">
        <f t="shared" si="51"/>
        <v>0</v>
      </c>
      <c r="AU76" s="190">
        <f t="shared" si="51"/>
        <v>0</v>
      </c>
    </row>
    <row r="77" spans="1:47" s="28" customFormat="1">
      <c r="E77" s="254"/>
      <c r="G77" s="36" t="s">
        <v>321</v>
      </c>
      <c r="J77" s="406" t="str">
        <f t="shared" si="44"/>
        <v>Off</v>
      </c>
      <c r="L77" s="43" t="s">
        <v>12</v>
      </c>
      <c r="N77" s="189">
        <f t="shared" ca="1" si="42"/>
        <v>0</v>
      </c>
      <c r="O77" s="189"/>
      <c r="P77" s="320"/>
      <c r="Q77" s="189"/>
      <c r="R77" s="190">
        <f t="shared" ref="R77:AU77" ca="1" si="52">R281</f>
        <v>0</v>
      </c>
      <c r="S77" s="190">
        <f t="shared" ca="1" si="52"/>
        <v>0</v>
      </c>
      <c r="T77" s="190">
        <f t="shared" ca="1" si="52"/>
        <v>0</v>
      </c>
      <c r="U77" s="190">
        <f t="shared" ca="1" si="52"/>
        <v>0</v>
      </c>
      <c r="V77" s="190">
        <f t="shared" ca="1" si="52"/>
        <v>0</v>
      </c>
      <c r="W77" s="190">
        <f t="shared" ca="1" si="52"/>
        <v>0</v>
      </c>
      <c r="X77" s="190">
        <f t="shared" ca="1" si="52"/>
        <v>0</v>
      </c>
      <c r="Y77" s="190">
        <f t="shared" ca="1" si="52"/>
        <v>0</v>
      </c>
      <c r="Z77" s="190">
        <f t="shared" ca="1" si="52"/>
        <v>0</v>
      </c>
      <c r="AA77" s="190">
        <f t="shared" ca="1" si="52"/>
        <v>0</v>
      </c>
      <c r="AB77" s="190">
        <f t="shared" ca="1" si="52"/>
        <v>0</v>
      </c>
      <c r="AC77" s="190">
        <f t="shared" ca="1" si="52"/>
        <v>0</v>
      </c>
      <c r="AD77" s="190">
        <f t="shared" ca="1" si="52"/>
        <v>0</v>
      </c>
      <c r="AE77" s="190">
        <f t="shared" ca="1" si="52"/>
        <v>0</v>
      </c>
      <c r="AF77" s="190">
        <f t="shared" ca="1" si="52"/>
        <v>0</v>
      </c>
      <c r="AG77" s="190">
        <f t="shared" ca="1" si="52"/>
        <v>0</v>
      </c>
      <c r="AH77" s="190">
        <f t="shared" ca="1" si="52"/>
        <v>0</v>
      </c>
      <c r="AI77" s="190">
        <f t="shared" ca="1" si="52"/>
        <v>0</v>
      </c>
      <c r="AJ77" s="190">
        <f t="shared" ca="1" si="52"/>
        <v>0</v>
      </c>
      <c r="AK77" s="190">
        <f t="shared" ca="1" si="52"/>
        <v>0</v>
      </c>
      <c r="AL77" s="190">
        <f t="shared" si="52"/>
        <v>0</v>
      </c>
      <c r="AM77" s="190">
        <f t="shared" si="52"/>
        <v>0</v>
      </c>
      <c r="AN77" s="190">
        <f t="shared" si="52"/>
        <v>0</v>
      </c>
      <c r="AO77" s="190">
        <f t="shared" si="52"/>
        <v>0</v>
      </c>
      <c r="AP77" s="190">
        <f t="shared" si="52"/>
        <v>0</v>
      </c>
      <c r="AQ77" s="190">
        <f t="shared" si="52"/>
        <v>0</v>
      </c>
      <c r="AR77" s="190">
        <f t="shared" si="52"/>
        <v>0</v>
      </c>
      <c r="AS77" s="190">
        <f t="shared" si="52"/>
        <v>0</v>
      </c>
      <c r="AT77" s="190">
        <f t="shared" si="52"/>
        <v>0</v>
      </c>
      <c r="AU77" s="190">
        <f t="shared" si="52"/>
        <v>0</v>
      </c>
    </row>
    <row r="78" spans="1:47" s="28" customFormat="1">
      <c r="E78" s="254"/>
      <c r="G78" s="36" t="s">
        <v>160</v>
      </c>
      <c r="J78" s="406" t="str">
        <f t="shared" si="44"/>
        <v>Off</v>
      </c>
      <c r="L78" s="43" t="s">
        <v>12</v>
      </c>
      <c r="N78" s="189">
        <f t="shared" ca="1" si="42"/>
        <v>0</v>
      </c>
      <c r="O78" s="189"/>
      <c r="P78" s="320"/>
      <c r="Q78" s="189"/>
      <c r="R78" s="190">
        <f t="shared" ref="R78:AU78" ca="1" si="53">R302</f>
        <v>0</v>
      </c>
      <c r="S78" s="190">
        <f t="shared" ca="1" si="53"/>
        <v>0</v>
      </c>
      <c r="T78" s="190">
        <f t="shared" ca="1" si="53"/>
        <v>0</v>
      </c>
      <c r="U78" s="190">
        <f t="shared" ca="1" si="53"/>
        <v>0</v>
      </c>
      <c r="V78" s="190">
        <f t="shared" ca="1" si="53"/>
        <v>0</v>
      </c>
      <c r="W78" s="190">
        <f t="shared" ca="1" si="53"/>
        <v>0</v>
      </c>
      <c r="X78" s="190">
        <f t="shared" ca="1" si="53"/>
        <v>0</v>
      </c>
      <c r="Y78" s="190">
        <f t="shared" ca="1" si="53"/>
        <v>0</v>
      </c>
      <c r="Z78" s="190">
        <f t="shared" ca="1" si="53"/>
        <v>0</v>
      </c>
      <c r="AA78" s="190">
        <f t="shared" ca="1" si="53"/>
        <v>0</v>
      </c>
      <c r="AB78" s="190">
        <f t="shared" ca="1" si="53"/>
        <v>0</v>
      </c>
      <c r="AC78" s="190">
        <f t="shared" ca="1" si="53"/>
        <v>0</v>
      </c>
      <c r="AD78" s="190">
        <f t="shared" ca="1" si="53"/>
        <v>0</v>
      </c>
      <c r="AE78" s="190">
        <f t="shared" ca="1" si="53"/>
        <v>0</v>
      </c>
      <c r="AF78" s="190">
        <f t="shared" ca="1" si="53"/>
        <v>0</v>
      </c>
      <c r="AG78" s="190">
        <f t="shared" ca="1" si="53"/>
        <v>0</v>
      </c>
      <c r="AH78" s="190">
        <f t="shared" ca="1" si="53"/>
        <v>0</v>
      </c>
      <c r="AI78" s="190">
        <f t="shared" ca="1" si="53"/>
        <v>0</v>
      </c>
      <c r="AJ78" s="190">
        <f t="shared" ca="1" si="53"/>
        <v>0</v>
      </c>
      <c r="AK78" s="190">
        <f t="shared" ca="1" si="53"/>
        <v>0</v>
      </c>
      <c r="AL78" s="190">
        <f t="shared" si="53"/>
        <v>0</v>
      </c>
      <c r="AM78" s="190">
        <f t="shared" si="53"/>
        <v>0</v>
      </c>
      <c r="AN78" s="190">
        <f t="shared" si="53"/>
        <v>0</v>
      </c>
      <c r="AO78" s="190">
        <f t="shared" si="53"/>
        <v>0</v>
      </c>
      <c r="AP78" s="190">
        <f t="shared" si="53"/>
        <v>0</v>
      </c>
      <c r="AQ78" s="190">
        <f t="shared" si="53"/>
        <v>0</v>
      </c>
      <c r="AR78" s="190">
        <f t="shared" si="53"/>
        <v>0</v>
      </c>
      <c r="AS78" s="190">
        <f t="shared" si="53"/>
        <v>0</v>
      </c>
      <c r="AT78" s="190">
        <f t="shared" si="53"/>
        <v>0</v>
      </c>
      <c r="AU78" s="190">
        <f t="shared" si="53"/>
        <v>0</v>
      </c>
    </row>
    <row r="79" spans="1:47" s="28" customFormat="1">
      <c r="E79" s="254"/>
      <c r="G79" s="36" t="s">
        <v>161</v>
      </c>
      <c r="J79" s="406" t="str">
        <f t="shared" si="44"/>
        <v>Off</v>
      </c>
      <c r="L79" s="43" t="s">
        <v>12</v>
      </c>
      <c r="N79" s="189">
        <f t="shared" ca="1" si="42"/>
        <v>0</v>
      </c>
      <c r="O79" s="189"/>
      <c r="P79" s="320"/>
      <c r="Q79" s="189"/>
      <c r="R79" s="190">
        <f t="shared" ref="R79:AU79" ca="1" si="54">R323</f>
        <v>0</v>
      </c>
      <c r="S79" s="190">
        <f t="shared" ca="1" si="54"/>
        <v>0</v>
      </c>
      <c r="T79" s="190">
        <f t="shared" ca="1" si="54"/>
        <v>0</v>
      </c>
      <c r="U79" s="190">
        <f t="shared" ca="1" si="54"/>
        <v>0</v>
      </c>
      <c r="V79" s="190">
        <f t="shared" ca="1" si="54"/>
        <v>0</v>
      </c>
      <c r="W79" s="190">
        <f t="shared" ca="1" si="54"/>
        <v>0</v>
      </c>
      <c r="X79" s="190">
        <f t="shared" ca="1" si="54"/>
        <v>0</v>
      </c>
      <c r="Y79" s="190">
        <f t="shared" ca="1" si="54"/>
        <v>0</v>
      </c>
      <c r="Z79" s="190">
        <f t="shared" ca="1" si="54"/>
        <v>0</v>
      </c>
      <c r="AA79" s="190">
        <f t="shared" ca="1" si="54"/>
        <v>0</v>
      </c>
      <c r="AB79" s="190">
        <f t="shared" ca="1" si="54"/>
        <v>0</v>
      </c>
      <c r="AC79" s="190">
        <f t="shared" ca="1" si="54"/>
        <v>0</v>
      </c>
      <c r="AD79" s="190">
        <f t="shared" ca="1" si="54"/>
        <v>0</v>
      </c>
      <c r="AE79" s="190">
        <f t="shared" ca="1" si="54"/>
        <v>0</v>
      </c>
      <c r="AF79" s="190">
        <f t="shared" ca="1" si="54"/>
        <v>0</v>
      </c>
      <c r="AG79" s="190">
        <f t="shared" ca="1" si="54"/>
        <v>0</v>
      </c>
      <c r="AH79" s="190">
        <f t="shared" ca="1" si="54"/>
        <v>0</v>
      </c>
      <c r="AI79" s="190">
        <f t="shared" ca="1" si="54"/>
        <v>0</v>
      </c>
      <c r="AJ79" s="190">
        <f t="shared" ca="1" si="54"/>
        <v>0</v>
      </c>
      <c r="AK79" s="190">
        <f t="shared" ca="1" si="54"/>
        <v>0</v>
      </c>
      <c r="AL79" s="190">
        <f t="shared" si="54"/>
        <v>0</v>
      </c>
      <c r="AM79" s="190">
        <f t="shared" si="54"/>
        <v>0</v>
      </c>
      <c r="AN79" s="190">
        <f t="shared" si="54"/>
        <v>0</v>
      </c>
      <c r="AO79" s="190">
        <f t="shared" si="54"/>
        <v>0</v>
      </c>
      <c r="AP79" s="190">
        <f t="shared" si="54"/>
        <v>0</v>
      </c>
      <c r="AQ79" s="190">
        <f t="shared" si="54"/>
        <v>0</v>
      </c>
      <c r="AR79" s="190">
        <f t="shared" si="54"/>
        <v>0</v>
      </c>
      <c r="AS79" s="190">
        <f t="shared" si="54"/>
        <v>0</v>
      </c>
      <c r="AT79" s="190">
        <f t="shared" si="54"/>
        <v>0</v>
      </c>
      <c r="AU79" s="190">
        <f t="shared" si="54"/>
        <v>0</v>
      </c>
    </row>
    <row r="80" spans="1:47" s="28" customFormat="1">
      <c r="E80" s="254"/>
      <c r="G80" s="36" t="s">
        <v>162</v>
      </c>
      <c r="J80" s="406" t="str">
        <f t="shared" si="44"/>
        <v>Off</v>
      </c>
      <c r="L80" s="43" t="s">
        <v>12</v>
      </c>
      <c r="N80" s="189">
        <f t="shared" ca="1" si="42"/>
        <v>0</v>
      </c>
      <c r="O80" s="189"/>
      <c r="P80" s="320"/>
      <c r="Q80" s="189"/>
      <c r="R80" s="190">
        <f t="shared" ref="R80:AU80" ca="1" si="55">R344</f>
        <v>0</v>
      </c>
      <c r="S80" s="190">
        <f t="shared" ca="1" si="55"/>
        <v>0</v>
      </c>
      <c r="T80" s="190">
        <f t="shared" ca="1" si="55"/>
        <v>0</v>
      </c>
      <c r="U80" s="190">
        <f t="shared" ca="1" si="55"/>
        <v>0</v>
      </c>
      <c r="V80" s="190">
        <f t="shared" ca="1" si="55"/>
        <v>0</v>
      </c>
      <c r="W80" s="190">
        <f t="shared" ca="1" si="55"/>
        <v>0</v>
      </c>
      <c r="X80" s="190">
        <f t="shared" ca="1" si="55"/>
        <v>0</v>
      </c>
      <c r="Y80" s="190">
        <f t="shared" ca="1" si="55"/>
        <v>0</v>
      </c>
      <c r="Z80" s="190">
        <f t="shared" ca="1" si="55"/>
        <v>0</v>
      </c>
      <c r="AA80" s="190">
        <f t="shared" ca="1" si="55"/>
        <v>0</v>
      </c>
      <c r="AB80" s="190">
        <f t="shared" ca="1" si="55"/>
        <v>0</v>
      </c>
      <c r="AC80" s="190">
        <f t="shared" ca="1" si="55"/>
        <v>0</v>
      </c>
      <c r="AD80" s="190">
        <f t="shared" ca="1" si="55"/>
        <v>0</v>
      </c>
      <c r="AE80" s="190">
        <f t="shared" ca="1" si="55"/>
        <v>0</v>
      </c>
      <c r="AF80" s="190">
        <f t="shared" ca="1" si="55"/>
        <v>0</v>
      </c>
      <c r="AG80" s="190">
        <f t="shared" ca="1" si="55"/>
        <v>0</v>
      </c>
      <c r="AH80" s="190">
        <f t="shared" ca="1" si="55"/>
        <v>0</v>
      </c>
      <c r="AI80" s="190">
        <f t="shared" ca="1" si="55"/>
        <v>0</v>
      </c>
      <c r="AJ80" s="190">
        <f t="shared" ca="1" si="55"/>
        <v>0</v>
      </c>
      <c r="AK80" s="190">
        <f t="shared" ca="1" si="55"/>
        <v>0</v>
      </c>
      <c r="AL80" s="190">
        <f t="shared" si="55"/>
        <v>0</v>
      </c>
      <c r="AM80" s="190">
        <f t="shared" si="55"/>
        <v>0</v>
      </c>
      <c r="AN80" s="190">
        <f t="shared" si="55"/>
        <v>0</v>
      </c>
      <c r="AO80" s="190">
        <f t="shared" si="55"/>
        <v>0</v>
      </c>
      <c r="AP80" s="190">
        <f t="shared" si="55"/>
        <v>0</v>
      </c>
      <c r="AQ80" s="190">
        <f t="shared" si="55"/>
        <v>0</v>
      </c>
      <c r="AR80" s="190">
        <f t="shared" si="55"/>
        <v>0</v>
      </c>
      <c r="AS80" s="190">
        <f t="shared" si="55"/>
        <v>0</v>
      </c>
      <c r="AT80" s="190">
        <f t="shared" si="55"/>
        <v>0</v>
      </c>
      <c r="AU80" s="190">
        <f t="shared" si="55"/>
        <v>0</v>
      </c>
    </row>
    <row r="81" spans="1:47" s="28" customFormat="1">
      <c r="E81" s="254"/>
      <c r="G81" s="36" t="s">
        <v>135</v>
      </c>
      <c r="J81" s="406" t="str">
        <f t="shared" si="44"/>
        <v>Off</v>
      </c>
      <c r="L81" s="43" t="s">
        <v>12</v>
      </c>
      <c r="N81" s="189">
        <f t="shared" ca="1" si="42"/>
        <v>0</v>
      </c>
      <c r="O81" s="189"/>
      <c r="P81" s="320"/>
      <c r="Q81" s="189"/>
      <c r="R81" s="190">
        <f t="shared" ref="R81:AU81" ca="1" si="56">R365</f>
        <v>0</v>
      </c>
      <c r="S81" s="190">
        <f t="shared" ca="1" si="56"/>
        <v>0</v>
      </c>
      <c r="T81" s="190">
        <f t="shared" ca="1" si="56"/>
        <v>0</v>
      </c>
      <c r="U81" s="190">
        <f t="shared" ca="1" si="56"/>
        <v>0</v>
      </c>
      <c r="V81" s="190">
        <f t="shared" ca="1" si="56"/>
        <v>0</v>
      </c>
      <c r="W81" s="190">
        <f t="shared" ca="1" si="56"/>
        <v>0</v>
      </c>
      <c r="X81" s="190">
        <f t="shared" ca="1" si="56"/>
        <v>0</v>
      </c>
      <c r="Y81" s="190">
        <f t="shared" ca="1" si="56"/>
        <v>0</v>
      </c>
      <c r="Z81" s="190">
        <f t="shared" ca="1" si="56"/>
        <v>0</v>
      </c>
      <c r="AA81" s="190">
        <f t="shared" ca="1" si="56"/>
        <v>0</v>
      </c>
      <c r="AB81" s="190">
        <f t="shared" ca="1" si="56"/>
        <v>0</v>
      </c>
      <c r="AC81" s="190">
        <f t="shared" ca="1" si="56"/>
        <v>0</v>
      </c>
      <c r="AD81" s="190">
        <f t="shared" ca="1" si="56"/>
        <v>0</v>
      </c>
      <c r="AE81" s="190">
        <f t="shared" ca="1" si="56"/>
        <v>0</v>
      </c>
      <c r="AF81" s="190">
        <f t="shared" ca="1" si="56"/>
        <v>0</v>
      </c>
      <c r="AG81" s="190">
        <f t="shared" ca="1" si="56"/>
        <v>0</v>
      </c>
      <c r="AH81" s="190">
        <f t="shared" ca="1" si="56"/>
        <v>0</v>
      </c>
      <c r="AI81" s="190">
        <f t="shared" ca="1" si="56"/>
        <v>0</v>
      </c>
      <c r="AJ81" s="190">
        <f t="shared" ca="1" si="56"/>
        <v>0</v>
      </c>
      <c r="AK81" s="190">
        <f t="shared" ca="1" si="56"/>
        <v>0</v>
      </c>
      <c r="AL81" s="190">
        <f t="shared" si="56"/>
        <v>0</v>
      </c>
      <c r="AM81" s="190">
        <f t="shared" si="56"/>
        <v>0</v>
      </c>
      <c r="AN81" s="190">
        <f t="shared" si="56"/>
        <v>0</v>
      </c>
      <c r="AO81" s="190">
        <f t="shared" si="56"/>
        <v>0</v>
      </c>
      <c r="AP81" s="190">
        <f t="shared" si="56"/>
        <v>0</v>
      </c>
      <c r="AQ81" s="190">
        <f t="shared" si="56"/>
        <v>0</v>
      </c>
      <c r="AR81" s="190">
        <f t="shared" si="56"/>
        <v>0</v>
      </c>
      <c r="AS81" s="190">
        <f t="shared" si="56"/>
        <v>0</v>
      </c>
      <c r="AT81" s="190">
        <f t="shared" si="56"/>
        <v>0</v>
      </c>
      <c r="AU81" s="190">
        <f t="shared" si="56"/>
        <v>0</v>
      </c>
    </row>
    <row r="82" spans="1:47" s="28" customFormat="1">
      <c r="E82" s="254"/>
      <c r="G82" s="36" t="s">
        <v>29</v>
      </c>
      <c r="J82" s="406" t="str">
        <f t="shared" si="44"/>
        <v>Off</v>
      </c>
      <c r="L82" s="43" t="s">
        <v>12</v>
      </c>
      <c r="N82" s="189">
        <f t="shared" ca="1" si="42"/>
        <v>0</v>
      </c>
      <c r="O82" s="189"/>
      <c r="P82" s="320"/>
      <c r="Q82" s="189"/>
      <c r="R82" s="190">
        <f t="shared" ref="R82:AU82" ca="1" si="57">R386</f>
        <v>0</v>
      </c>
      <c r="S82" s="190">
        <f t="shared" ca="1" si="57"/>
        <v>0</v>
      </c>
      <c r="T82" s="190">
        <f t="shared" ca="1" si="57"/>
        <v>0</v>
      </c>
      <c r="U82" s="190">
        <f t="shared" ca="1" si="57"/>
        <v>0</v>
      </c>
      <c r="V82" s="190">
        <f t="shared" ca="1" si="57"/>
        <v>0</v>
      </c>
      <c r="W82" s="190">
        <f t="shared" ca="1" si="57"/>
        <v>0</v>
      </c>
      <c r="X82" s="190">
        <f t="shared" ca="1" si="57"/>
        <v>0</v>
      </c>
      <c r="Y82" s="190">
        <f t="shared" ca="1" si="57"/>
        <v>0</v>
      </c>
      <c r="Z82" s="190">
        <f t="shared" ca="1" si="57"/>
        <v>0</v>
      </c>
      <c r="AA82" s="190">
        <f t="shared" ca="1" si="57"/>
        <v>0</v>
      </c>
      <c r="AB82" s="190">
        <f t="shared" ca="1" si="57"/>
        <v>0</v>
      </c>
      <c r="AC82" s="190">
        <f t="shared" ca="1" si="57"/>
        <v>0</v>
      </c>
      <c r="AD82" s="190">
        <f t="shared" ca="1" si="57"/>
        <v>0</v>
      </c>
      <c r="AE82" s="190">
        <f t="shared" ca="1" si="57"/>
        <v>0</v>
      </c>
      <c r="AF82" s="190">
        <f t="shared" ca="1" si="57"/>
        <v>0</v>
      </c>
      <c r="AG82" s="190">
        <f t="shared" ca="1" si="57"/>
        <v>0</v>
      </c>
      <c r="AH82" s="190">
        <f t="shared" ca="1" si="57"/>
        <v>0</v>
      </c>
      <c r="AI82" s="190">
        <f t="shared" ca="1" si="57"/>
        <v>0</v>
      </c>
      <c r="AJ82" s="190">
        <f t="shared" ca="1" si="57"/>
        <v>0</v>
      </c>
      <c r="AK82" s="190">
        <f t="shared" ca="1" si="57"/>
        <v>0</v>
      </c>
      <c r="AL82" s="190">
        <f t="shared" si="57"/>
        <v>0</v>
      </c>
      <c r="AM82" s="190">
        <f t="shared" si="57"/>
        <v>0</v>
      </c>
      <c r="AN82" s="190">
        <f t="shared" si="57"/>
        <v>0</v>
      </c>
      <c r="AO82" s="190">
        <f t="shared" si="57"/>
        <v>0</v>
      </c>
      <c r="AP82" s="190">
        <f t="shared" si="57"/>
        <v>0</v>
      </c>
      <c r="AQ82" s="190">
        <f t="shared" si="57"/>
        <v>0</v>
      </c>
      <c r="AR82" s="190">
        <f t="shared" si="57"/>
        <v>0</v>
      </c>
      <c r="AS82" s="190">
        <f t="shared" si="57"/>
        <v>0</v>
      </c>
      <c r="AT82" s="190">
        <f t="shared" si="57"/>
        <v>0</v>
      </c>
      <c r="AU82" s="190">
        <f t="shared" si="57"/>
        <v>0</v>
      </c>
    </row>
    <row r="83" spans="1:47" s="28" customFormat="1">
      <c r="E83" s="254"/>
      <c r="G83" s="36" t="s">
        <v>163</v>
      </c>
      <c r="J83" s="406" t="str">
        <f t="shared" si="44"/>
        <v>Off</v>
      </c>
      <c r="L83" s="43" t="s">
        <v>12</v>
      </c>
      <c r="N83" s="189">
        <f t="shared" ca="1" si="42"/>
        <v>0</v>
      </c>
      <c r="O83" s="189"/>
      <c r="P83" s="320"/>
      <c r="Q83" s="189"/>
      <c r="R83" s="190">
        <f t="shared" ref="R83:AU83" ca="1" si="58">R407</f>
        <v>0</v>
      </c>
      <c r="S83" s="190">
        <f t="shared" ca="1" si="58"/>
        <v>0</v>
      </c>
      <c r="T83" s="190">
        <f t="shared" ca="1" si="58"/>
        <v>0</v>
      </c>
      <c r="U83" s="190">
        <f t="shared" ca="1" si="58"/>
        <v>0</v>
      </c>
      <c r="V83" s="190">
        <f t="shared" ca="1" si="58"/>
        <v>0</v>
      </c>
      <c r="W83" s="190">
        <f t="shared" ca="1" si="58"/>
        <v>0</v>
      </c>
      <c r="X83" s="190">
        <f t="shared" ca="1" si="58"/>
        <v>0</v>
      </c>
      <c r="Y83" s="190">
        <f t="shared" ca="1" si="58"/>
        <v>0</v>
      </c>
      <c r="Z83" s="190">
        <f t="shared" ca="1" si="58"/>
        <v>0</v>
      </c>
      <c r="AA83" s="190">
        <f t="shared" ca="1" si="58"/>
        <v>0</v>
      </c>
      <c r="AB83" s="190">
        <f t="shared" ca="1" si="58"/>
        <v>0</v>
      </c>
      <c r="AC83" s="190">
        <f t="shared" ca="1" si="58"/>
        <v>0</v>
      </c>
      <c r="AD83" s="190">
        <f t="shared" ca="1" si="58"/>
        <v>0</v>
      </c>
      <c r="AE83" s="190">
        <f t="shared" ca="1" si="58"/>
        <v>0</v>
      </c>
      <c r="AF83" s="190">
        <f t="shared" ca="1" si="58"/>
        <v>0</v>
      </c>
      <c r="AG83" s="190">
        <f t="shared" ca="1" si="58"/>
        <v>0</v>
      </c>
      <c r="AH83" s="190">
        <f t="shared" ca="1" si="58"/>
        <v>0</v>
      </c>
      <c r="AI83" s="190">
        <f t="shared" ca="1" si="58"/>
        <v>0</v>
      </c>
      <c r="AJ83" s="190">
        <f t="shared" ca="1" si="58"/>
        <v>0</v>
      </c>
      <c r="AK83" s="190">
        <f t="shared" ca="1" si="58"/>
        <v>0</v>
      </c>
      <c r="AL83" s="190">
        <f t="shared" si="58"/>
        <v>0</v>
      </c>
      <c r="AM83" s="190">
        <f t="shared" si="58"/>
        <v>0</v>
      </c>
      <c r="AN83" s="190">
        <f t="shared" si="58"/>
        <v>0</v>
      </c>
      <c r="AO83" s="190">
        <f t="shared" si="58"/>
        <v>0</v>
      </c>
      <c r="AP83" s="190">
        <f t="shared" si="58"/>
        <v>0</v>
      </c>
      <c r="AQ83" s="190">
        <f t="shared" si="58"/>
        <v>0</v>
      </c>
      <c r="AR83" s="190">
        <f t="shared" si="58"/>
        <v>0</v>
      </c>
      <c r="AS83" s="190">
        <f t="shared" si="58"/>
        <v>0</v>
      </c>
      <c r="AT83" s="190">
        <f t="shared" si="58"/>
        <v>0</v>
      </c>
      <c r="AU83" s="190">
        <f t="shared" si="58"/>
        <v>0</v>
      </c>
    </row>
    <row r="84" spans="1:47" s="28" customFormat="1">
      <c r="E84" s="254"/>
      <c r="G84" s="36" t="s">
        <v>138</v>
      </c>
      <c r="J84" s="406" t="str">
        <f t="shared" si="44"/>
        <v>Off</v>
      </c>
      <c r="L84" s="43" t="s">
        <v>12</v>
      </c>
      <c r="N84" s="189">
        <f t="shared" ca="1" si="42"/>
        <v>0</v>
      </c>
      <c r="O84" s="189"/>
      <c r="P84" s="320"/>
      <c r="Q84" s="189"/>
      <c r="R84" s="190">
        <f t="shared" ref="R84:AU84" ca="1" si="59">R428</f>
        <v>0</v>
      </c>
      <c r="S84" s="190">
        <f t="shared" ca="1" si="59"/>
        <v>0</v>
      </c>
      <c r="T84" s="190">
        <f t="shared" ca="1" si="59"/>
        <v>0</v>
      </c>
      <c r="U84" s="190">
        <f t="shared" ca="1" si="59"/>
        <v>0</v>
      </c>
      <c r="V84" s="190">
        <f t="shared" ca="1" si="59"/>
        <v>0</v>
      </c>
      <c r="W84" s="190">
        <f t="shared" ca="1" si="59"/>
        <v>0</v>
      </c>
      <c r="X84" s="190">
        <f t="shared" ca="1" si="59"/>
        <v>0</v>
      </c>
      <c r="Y84" s="190">
        <f t="shared" ca="1" si="59"/>
        <v>0</v>
      </c>
      <c r="Z84" s="190">
        <f t="shared" ca="1" si="59"/>
        <v>0</v>
      </c>
      <c r="AA84" s="190">
        <f t="shared" ca="1" si="59"/>
        <v>0</v>
      </c>
      <c r="AB84" s="190">
        <f t="shared" ca="1" si="59"/>
        <v>0</v>
      </c>
      <c r="AC84" s="190">
        <f t="shared" ca="1" si="59"/>
        <v>0</v>
      </c>
      <c r="AD84" s="190">
        <f t="shared" ca="1" si="59"/>
        <v>0</v>
      </c>
      <c r="AE84" s="190">
        <f t="shared" ca="1" si="59"/>
        <v>0</v>
      </c>
      <c r="AF84" s="190">
        <f t="shared" ca="1" si="59"/>
        <v>0</v>
      </c>
      <c r="AG84" s="190">
        <f t="shared" ca="1" si="59"/>
        <v>0</v>
      </c>
      <c r="AH84" s="190">
        <f t="shared" ca="1" si="59"/>
        <v>0</v>
      </c>
      <c r="AI84" s="190">
        <f t="shared" ca="1" si="59"/>
        <v>0</v>
      </c>
      <c r="AJ84" s="190">
        <f t="shared" ca="1" si="59"/>
        <v>0</v>
      </c>
      <c r="AK84" s="190">
        <f t="shared" ca="1" si="59"/>
        <v>0</v>
      </c>
      <c r="AL84" s="190">
        <f t="shared" si="59"/>
        <v>0</v>
      </c>
      <c r="AM84" s="190">
        <f t="shared" si="59"/>
        <v>0</v>
      </c>
      <c r="AN84" s="190">
        <f t="shared" si="59"/>
        <v>0</v>
      </c>
      <c r="AO84" s="190">
        <f t="shared" si="59"/>
        <v>0</v>
      </c>
      <c r="AP84" s="190">
        <f t="shared" si="59"/>
        <v>0</v>
      </c>
      <c r="AQ84" s="190">
        <f t="shared" si="59"/>
        <v>0</v>
      </c>
      <c r="AR84" s="190">
        <f t="shared" si="59"/>
        <v>0</v>
      </c>
      <c r="AS84" s="190">
        <f t="shared" si="59"/>
        <v>0</v>
      </c>
      <c r="AT84" s="190">
        <f t="shared" si="59"/>
        <v>0</v>
      </c>
      <c r="AU84" s="190">
        <f t="shared" si="59"/>
        <v>0</v>
      </c>
    </row>
    <row r="85" spans="1:47" s="28" customFormat="1">
      <c r="E85" s="254"/>
      <c r="G85" s="36" t="s">
        <v>309</v>
      </c>
      <c r="J85" s="328" t="s">
        <v>507</v>
      </c>
      <c r="L85" s="43" t="s">
        <v>12</v>
      </c>
      <c r="N85" s="189">
        <f t="shared" ca="1" si="42"/>
        <v>0</v>
      </c>
      <c r="O85" s="189"/>
      <c r="P85" s="320"/>
      <c r="Q85" s="189"/>
      <c r="R85" s="190">
        <f t="shared" ref="R85:AU85" ca="1" si="60">R464</f>
        <v>0</v>
      </c>
      <c r="S85" s="190">
        <f t="shared" ca="1" si="60"/>
        <v>0</v>
      </c>
      <c r="T85" s="190">
        <f t="shared" ca="1" si="60"/>
        <v>0</v>
      </c>
      <c r="U85" s="190">
        <f t="shared" ca="1" si="60"/>
        <v>0</v>
      </c>
      <c r="V85" s="190">
        <f t="shared" ca="1" si="60"/>
        <v>0</v>
      </c>
      <c r="W85" s="190">
        <f t="shared" ca="1" si="60"/>
        <v>0</v>
      </c>
      <c r="X85" s="190">
        <f t="shared" ca="1" si="60"/>
        <v>0</v>
      </c>
      <c r="Y85" s="190">
        <f t="shared" ca="1" si="60"/>
        <v>0</v>
      </c>
      <c r="Z85" s="190">
        <f t="shared" ca="1" si="60"/>
        <v>0</v>
      </c>
      <c r="AA85" s="190">
        <f t="shared" ca="1" si="60"/>
        <v>0</v>
      </c>
      <c r="AB85" s="190">
        <f t="shared" ca="1" si="60"/>
        <v>0</v>
      </c>
      <c r="AC85" s="190">
        <f t="shared" ca="1" si="60"/>
        <v>0</v>
      </c>
      <c r="AD85" s="190">
        <f t="shared" ca="1" si="60"/>
        <v>0</v>
      </c>
      <c r="AE85" s="190">
        <f t="shared" ca="1" si="60"/>
        <v>0</v>
      </c>
      <c r="AF85" s="190">
        <f t="shared" ca="1" si="60"/>
        <v>0</v>
      </c>
      <c r="AG85" s="190">
        <f t="shared" ca="1" si="60"/>
        <v>0</v>
      </c>
      <c r="AH85" s="190">
        <f t="shared" ca="1" si="60"/>
        <v>0</v>
      </c>
      <c r="AI85" s="190">
        <f t="shared" ca="1" si="60"/>
        <v>0</v>
      </c>
      <c r="AJ85" s="190">
        <f t="shared" ca="1" si="60"/>
        <v>0</v>
      </c>
      <c r="AK85" s="190">
        <f t="shared" ca="1" si="60"/>
        <v>0</v>
      </c>
      <c r="AL85" s="190">
        <f t="shared" si="60"/>
        <v>0</v>
      </c>
      <c r="AM85" s="190">
        <f t="shared" si="60"/>
        <v>0</v>
      </c>
      <c r="AN85" s="190">
        <f t="shared" si="60"/>
        <v>0</v>
      </c>
      <c r="AO85" s="190">
        <f t="shared" si="60"/>
        <v>0</v>
      </c>
      <c r="AP85" s="190">
        <f t="shared" si="60"/>
        <v>0</v>
      </c>
      <c r="AQ85" s="190">
        <f t="shared" si="60"/>
        <v>0</v>
      </c>
      <c r="AR85" s="190">
        <f t="shared" si="60"/>
        <v>0</v>
      </c>
      <c r="AS85" s="190">
        <f t="shared" si="60"/>
        <v>0</v>
      </c>
      <c r="AT85" s="190">
        <f t="shared" si="60"/>
        <v>0</v>
      </c>
      <c r="AU85" s="190">
        <f t="shared" si="60"/>
        <v>0</v>
      </c>
    </row>
    <row r="86" spans="1:47" s="28" customFormat="1">
      <c r="E86" s="254"/>
      <c r="G86" s="36" t="s">
        <v>311</v>
      </c>
      <c r="J86" s="328" t="s">
        <v>507</v>
      </c>
      <c r="L86" s="43" t="s">
        <v>12</v>
      </c>
      <c r="N86" s="189">
        <f t="shared" ca="1" si="42"/>
        <v>0</v>
      </c>
      <c r="O86" s="189"/>
      <c r="P86" s="320"/>
      <c r="Q86" s="189"/>
      <c r="R86" s="190">
        <f t="shared" ref="R86:AU86" ca="1" si="61">R480</f>
        <v>0</v>
      </c>
      <c r="S86" s="190">
        <f t="shared" ca="1" si="61"/>
        <v>0</v>
      </c>
      <c r="T86" s="190">
        <f t="shared" ca="1" si="61"/>
        <v>0</v>
      </c>
      <c r="U86" s="190">
        <f t="shared" ca="1" si="61"/>
        <v>0</v>
      </c>
      <c r="V86" s="190">
        <f t="shared" ca="1" si="61"/>
        <v>0</v>
      </c>
      <c r="W86" s="190">
        <f t="shared" ca="1" si="61"/>
        <v>0</v>
      </c>
      <c r="X86" s="190">
        <f t="shared" ca="1" si="61"/>
        <v>0</v>
      </c>
      <c r="Y86" s="190">
        <f t="shared" ca="1" si="61"/>
        <v>0</v>
      </c>
      <c r="Z86" s="190">
        <f t="shared" ca="1" si="61"/>
        <v>0</v>
      </c>
      <c r="AA86" s="190">
        <f t="shared" ca="1" si="61"/>
        <v>0</v>
      </c>
      <c r="AB86" s="190">
        <f t="shared" ca="1" si="61"/>
        <v>0</v>
      </c>
      <c r="AC86" s="190">
        <f t="shared" ca="1" si="61"/>
        <v>0</v>
      </c>
      <c r="AD86" s="190">
        <f t="shared" ca="1" si="61"/>
        <v>0</v>
      </c>
      <c r="AE86" s="190">
        <f t="shared" ca="1" si="61"/>
        <v>0</v>
      </c>
      <c r="AF86" s="190">
        <f t="shared" ca="1" si="61"/>
        <v>0</v>
      </c>
      <c r="AG86" s="190">
        <f t="shared" ca="1" si="61"/>
        <v>0</v>
      </c>
      <c r="AH86" s="190">
        <f t="shared" ca="1" si="61"/>
        <v>0</v>
      </c>
      <c r="AI86" s="190">
        <f t="shared" ca="1" si="61"/>
        <v>0</v>
      </c>
      <c r="AJ86" s="190">
        <f t="shared" ca="1" si="61"/>
        <v>0</v>
      </c>
      <c r="AK86" s="190">
        <f t="shared" ca="1" si="61"/>
        <v>0</v>
      </c>
      <c r="AL86" s="190">
        <f t="shared" si="61"/>
        <v>0</v>
      </c>
      <c r="AM86" s="190">
        <f t="shared" si="61"/>
        <v>0</v>
      </c>
      <c r="AN86" s="190">
        <f t="shared" si="61"/>
        <v>0</v>
      </c>
      <c r="AO86" s="190">
        <f t="shared" si="61"/>
        <v>0</v>
      </c>
      <c r="AP86" s="190">
        <f t="shared" si="61"/>
        <v>0</v>
      </c>
      <c r="AQ86" s="190">
        <f t="shared" si="61"/>
        <v>0</v>
      </c>
      <c r="AR86" s="190">
        <f t="shared" si="61"/>
        <v>0</v>
      </c>
      <c r="AS86" s="190">
        <f t="shared" si="61"/>
        <v>0</v>
      </c>
      <c r="AT86" s="190">
        <f t="shared" si="61"/>
        <v>0</v>
      </c>
      <c r="AU86" s="190">
        <f t="shared" si="61"/>
        <v>0</v>
      </c>
    </row>
    <row r="87" spans="1:47" s="28" customFormat="1">
      <c r="E87" s="254"/>
      <c r="G87" s="36" t="s">
        <v>308</v>
      </c>
      <c r="J87" s="328" t="s">
        <v>507</v>
      </c>
      <c r="L87" s="43" t="s">
        <v>12</v>
      </c>
      <c r="N87" s="189">
        <f t="shared" ca="1" si="42"/>
        <v>0</v>
      </c>
      <c r="O87" s="189"/>
      <c r="P87" s="320"/>
      <c r="Q87" s="189"/>
      <c r="R87" s="190">
        <f t="shared" ref="R87:AU87" ca="1" si="62">R496</f>
        <v>0</v>
      </c>
      <c r="S87" s="190">
        <f t="shared" ca="1" si="62"/>
        <v>0</v>
      </c>
      <c r="T87" s="190">
        <f t="shared" ca="1" si="62"/>
        <v>0</v>
      </c>
      <c r="U87" s="190">
        <f t="shared" ca="1" si="62"/>
        <v>0</v>
      </c>
      <c r="V87" s="190">
        <f t="shared" ca="1" si="62"/>
        <v>0</v>
      </c>
      <c r="W87" s="190">
        <f t="shared" ca="1" si="62"/>
        <v>0</v>
      </c>
      <c r="X87" s="190">
        <f t="shared" ca="1" si="62"/>
        <v>0</v>
      </c>
      <c r="Y87" s="190">
        <f t="shared" ca="1" si="62"/>
        <v>0</v>
      </c>
      <c r="Z87" s="190">
        <f t="shared" ca="1" si="62"/>
        <v>0</v>
      </c>
      <c r="AA87" s="190">
        <f t="shared" ca="1" si="62"/>
        <v>0</v>
      </c>
      <c r="AB87" s="190">
        <f t="shared" ca="1" si="62"/>
        <v>0</v>
      </c>
      <c r="AC87" s="190">
        <f t="shared" ca="1" si="62"/>
        <v>0</v>
      </c>
      <c r="AD87" s="190">
        <f t="shared" ca="1" si="62"/>
        <v>0</v>
      </c>
      <c r="AE87" s="190">
        <f t="shared" ca="1" si="62"/>
        <v>0</v>
      </c>
      <c r="AF87" s="190">
        <f t="shared" ca="1" si="62"/>
        <v>0</v>
      </c>
      <c r="AG87" s="190">
        <f t="shared" ca="1" si="62"/>
        <v>0</v>
      </c>
      <c r="AH87" s="190">
        <f t="shared" ca="1" si="62"/>
        <v>0</v>
      </c>
      <c r="AI87" s="190">
        <f t="shared" ca="1" si="62"/>
        <v>0</v>
      </c>
      <c r="AJ87" s="190">
        <f t="shared" ca="1" si="62"/>
        <v>0</v>
      </c>
      <c r="AK87" s="190">
        <f t="shared" ca="1" si="62"/>
        <v>0</v>
      </c>
      <c r="AL87" s="190">
        <f t="shared" si="62"/>
        <v>0</v>
      </c>
      <c r="AM87" s="190">
        <f t="shared" si="62"/>
        <v>0</v>
      </c>
      <c r="AN87" s="190">
        <f t="shared" si="62"/>
        <v>0</v>
      </c>
      <c r="AO87" s="190">
        <f t="shared" si="62"/>
        <v>0</v>
      </c>
      <c r="AP87" s="190">
        <f t="shared" si="62"/>
        <v>0</v>
      </c>
      <c r="AQ87" s="190">
        <f t="shared" si="62"/>
        <v>0</v>
      </c>
      <c r="AR87" s="190">
        <f t="shared" si="62"/>
        <v>0</v>
      </c>
      <c r="AS87" s="190">
        <f t="shared" si="62"/>
        <v>0</v>
      </c>
      <c r="AT87" s="190">
        <f t="shared" si="62"/>
        <v>0</v>
      </c>
      <c r="AU87" s="190">
        <f t="shared" si="62"/>
        <v>0</v>
      </c>
    </row>
    <row r="88" spans="1:47" s="39" customFormat="1">
      <c r="E88" s="254"/>
      <c r="G88" s="173" t="s">
        <v>252</v>
      </c>
      <c r="L88" s="174" t="s">
        <v>12</v>
      </c>
      <c r="N88" s="189">
        <f ca="1">SUBTOTAL(9,N69:N87)</f>
        <v>0</v>
      </c>
      <c r="O88" s="189"/>
      <c r="P88" s="320"/>
      <c r="Q88" s="189"/>
      <c r="R88" s="189">
        <f ca="1">SUBTOTAL(9,R69:R87)</f>
        <v>0</v>
      </c>
      <c r="S88" s="189">
        <f t="shared" ref="S88:AU88" ca="1" si="63">SUBTOTAL(9,S69:S87)</f>
        <v>0</v>
      </c>
      <c r="T88" s="189">
        <f t="shared" ca="1" si="63"/>
        <v>0</v>
      </c>
      <c r="U88" s="189">
        <f t="shared" ca="1" si="63"/>
        <v>0</v>
      </c>
      <c r="V88" s="189">
        <f t="shared" ca="1" si="63"/>
        <v>0</v>
      </c>
      <c r="W88" s="189">
        <f t="shared" ca="1" si="63"/>
        <v>0</v>
      </c>
      <c r="X88" s="189">
        <f t="shared" ca="1" si="63"/>
        <v>0</v>
      </c>
      <c r="Y88" s="189">
        <f t="shared" ca="1" si="63"/>
        <v>0</v>
      </c>
      <c r="Z88" s="189">
        <f t="shared" ca="1" si="63"/>
        <v>0</v>
      </c>
      <c r="AA88" s="189">
        <f t="shared" ca="1" si="63"/>
        <v>0</v>
      </c>
      <c r="AB88" s="189">
        <f t="shared" ca="1" si="63"/>
        <v>0</v>
      </c>
      <c r="AC88" s="189">
        <f t="shared" ca="1" si="63"/>
        <v>0</v>
      </c>
      <c r="AD88" s="189">
        <f t="shared" ca="1" si="63"/>
        <v>0</v>
      </c>
      <c r="AE88" s="189">
        <f t="shared" ca="1" si="63"/>
        <v>0</v>
      </c>
      <c r="AF88" s="189">
        <f t="shared" ca="1" si="63"/>
        <v>0</v>
      </c>
      <c r="AG88" s="189">
        <f t="shared" ca="1" si="63"/>
        <v>0</v>
      </c>
      <c r="AH88" s="189">
        <f t="shared" ca="1" si="63"/>
        <v>0</v>
      </c>
      <c r="AI88" s="189">
        <f t="shared" ca="1" si="63"/>
        <v>0</v>
      </c>
      <c r="AJ88" s="189">
        <f t="shared" ca="1" si="63"/>
        <v>0</v>
      </c>
      <c r="AK88" s="189">
        <f t="shared" ca="1" si="63"/>
        <v>0</v>
      </c>
      <c r="AL88" s="189">
        <f t="shared" si="63"/>
        <v>0</v>
      </c>
      <c r="AM88" s="189">
        <f t="shared" si="63"/>
        <v>0</v>
      </c>
      <c r="AN88" s="189">
        <f t="shared" si="63"/>
        <v>0</v>
      </c>
      <c r="AO88" s="189">
        <f t="shared" si="63"/>
        <v>0</v>
      </c>
      <c r="AP88" s="189">
        <f t="shared" si="63"/>
        <v>0</v>
      </c>
      <c r="AQ88" s="189">
        <f t="shared" si="63"/>
        <v>0</v>
      </c>
      <c r="AR88" s="189">
        <f t="shared" si="63"/>
        <v>0</v>
      </c>
      <c r="AS88" s="189">
        <f t="shared" si="63"/>
        <v>0</v>
      </c>
      <c r="AT88" s="189">
        <f t="shared" si="63"/>
        <v>0</v>
      </c>
      <c r="AU88" s="189">
        <f t="shared" si="63"/>
        <v>0</v>
      </c>
    </row>
    <row r="89" spans="1:47" s="28" customFormat="1">
      <c r="E89" s="254"/>
      <c r="G89" s="36"/>
      <c r="L89" s="43"/>
      <c r="N89" s="189"/>
      <c r="O89" s="189"/>
      <c r="P89" s="190"/>
      <c r="Q89" s="189"/>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row>
    <row r="90" spans="1:47" s="39" customFormat="1">
      <c r="E90" s="254"/>
      <c r="G90" s="194" t="s">
        <v>13</v>
      </c>
      <c r="L90" s="174" t="s">
        <v>12</v>
      </c>
      <c r="N90" s="192">
        <f ca="1">NPV(DiscountRt,R90:AU90)</f>
        <v>27864.728726169185</v>
      </c>
      <c r="O90" s="189"/>
      <c r="P90" s="320"/>
      <c r="Q90" s="189"/>
      <c r="R90" s="195">
        <f t="shared" ref="R90:AU90" ca="1" si="64">SUBTOTAL(9,R45:R89)</f>
        <v>2014</v>
      </c>
      <c r="S90" s="195">
        <f t="shared" ca="1" si="64"/>
        <v>2015</v>
      </c>
      <c r="T90" s="195">
        <f t="shared" ca="1" si="64"/>
        <v>2016</v>
      </c>
      <c r="U90" s="195">
        <f t="shared" ca="1" si="64"/>
        <v>2017</v>
      </c>
      <c r="V90" s="195">
        <f t="shared" ca="1" si="64"/>
        <v>2018</v>
      </c>
      <c r="W90" s="195">
        <f t="shared" ca="1" si="64"/>
        <v>2019</v>
      </c>
      <c r="X90" s="195">
        <f t="shared" ca="1" si="64"/>
        <v>2020</v>
      </c>
      <c r="Y90" s="195">
        <f t="shared" ca="1" si="64"/>
        <v>2021</v>
      </c>
      <c r="Z90" s="195">
        <f t="shared" ca="1" si="64"/>
        <v>2022</v>
      </c>
      <c r="AA90" s="195">
        <f t="shared" ca="1" si="64"/>
        <v>2023</v>
      </c>
      <c r="AB90" s="195">
        <f t="shared" ca="1" si="64"/>
        <v>2024</v>
      </c>
      <c r="AC90" s="195">
        <f t="shared" ca="1" si="64"/>
        <v>2025</v>
      </c>
      <c r="AD90" s="195">
        <f t="shared" ca="1" si="64"/>
        <v>2026</v>
      </c>
      <c r="AE90" s="195">
        <f t="shared" ca="1" si="64"/>
        <v>2027</v>
      </c>
      <c r="AF90" s="195">
        <f t="shared" ca="1" si="64"/>
        <v>2028</v>
      </c>
      <c r="AG90" s="195">
        <f t="shared" ca="1" si="64"/>
        <v>2029</v>
      </c>
      <c r="AH90" s="195">
        <f t="shared" ca="1" si="64"/>
        <v>2030</v>
      </c>
      <c r="AI90" s="195">
        <f t="shared" ca="1" si="64"/>
        <v>2031</v>
      </c>
      <c r="AJ90" s="195">
        <f t="shared" ca="1" si="64"/>
        <v>2032</v>
      </c>
      <c r="AK90" s="195">
        <f t="shared" ca="1" si="64"/>
        <v>2033</v>
      </c>
      <c r="AL90" s="195">
        <f t="shared" ca="1" si="64"/>
        <v>2034</v>
      </c>
      <c r="AM90" s="195">
        <f t="shared" ca="1" si="64"/>
        <v>2035</v>
      </c>
      <c r="AN90" s="195">
        <f t="shared" ca="1" si="64"/>
        <v>2036</v>
      </c>
      <c r="AO90" s="195">
        <f t="shared" ca="1" si="64"/>
        <v>2037</v>
      </c>
      <c r="AP90" s="195">
        <f t="shared" ca="1" si="64"/>
        <v>2038</v>
      </c>
      <c r="AQ90" s="195">
        <f t="shared" ca="1" si="64"/>
        <v>2039</v>
      </c>
      <c r="AR90" s="195">
        <f t="shared" ca="1" si="64"/>
        <v>2040</v>
      </c>
      <c r="AS90" s="195">
        <f t="shared" ca="1" si="64"/>
        <v>2041</v>
      </c>
      <c r="AT90" s="195">
        <f t="shared" ca="1" si="64"/>
        <v>2042</v>
      </c>
      <c r="AU90" s="195">
        <f t="shared" ca="1" si="64"/>
        <v>2043</v>
      </c>
    </row>
    <row r="91" spans="1:47">
      <c r="G91" s="194"/>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row>
    <row r="92" spans="1:47" s="317" customFormat="1">
      <c r="G92" s="318" t="s">
        <v>503</v>
      </c>
      <c r="L92" s="407"/>
    </row>
    <row r="94" spans="1:47" s="28" customFormat="1">
      <c r="A94" s="40"/>
      <c r="B94" s="40"/>
      <c r="C94" s="40"/>
      <c r="D94" s="40"/>
      <c r="E94" s="327"/>
      <c r="G94" s="324" t="str">
        <f>C96&amp;" Capital Costs"</f>
        <v>Anaerobic Digestion Capital Costs</v>
      </c>
      <c r="H94" s="324"/>
      <c r="I94" s="324"/>
      <c r="J94" s="324"/>
      <c r="K94" s="324"/>
      <c r="L94" s="405" t="s">
        <v>79</v>
      </c>
      <c r="M94" s="256"/>
      <c r="N94" s="325" t="s">
        <v>490</v>
      </c>
      <c r="O94" s="311"/>
      <c r="P94" s="325" t="s">
        <v>491</v>
      </c>
      <c r="Q94" s="310"/>
      <c r="R94" s="325">
        <f>R$8</f>
        <v>2014</v>
      </c>
      <c r="S94" s="325">
        <f t="shared" ref="S94:AU94" si="65">S$8</f>
        <v>2015</v>
      </c>
      <c r="T94" s="325">
        <f t="shared" si="65"/>
        <v>2016</v>
      </c>
      <c r="U94" s="325">
        <f t="shared" si="65"/>
        <v>2017</v>
      </c>
      <c r="V94" s="325">
        <f t="shared" si="65"/>
        <v>2018</v>
      </c>
      <c r="W94" s="325">
        <f t="shared" si="65"/>
        <v>2019</v>
      </c>
      <c r="X94" s="325">
        <f t="shared" si="65"/>
        <v>2020</v>
      </c>
      <c r="Y94" s="325">
        <f t="shared" si="65"/>
        <v>2021</v>
      </c>
      <c r="Z94" s="325">
        <f t="shared" si="65"/>
        <v>2022</v>
      </c>
      <c r="AA94" s="325">
        <f t="shared" si="65"/>
        <v>2023</v>
      </c>
      <c r="AB94" s="325">
        <f t="shared" si="65"/>
        <v>2024</v>
      </c>
      <c r="AC94" s="325">
        <f t="shared" si="65"/>
        <v>2025</v>
      </c>
      <c r="AD94" s="325">
        <f t="shared" si="65"/>
        <v>2026</v>
      </c>
      <c r="AE94" s="325">
        <f t="shared" si="65"/>
        <v>2027</v>
      </c>
      <c r="AF94" s="325">
        <f t="shared" si="65"/>
        <v>2028</v>
      </c>
      <c r="AG94" s="325">
        <f t="shared" si="65"/>
        <v>2029</v>
      </c>
      <c r="AH94" s="325">
        <f t="shared" si="65"/>
        <v>2030</v>
      </c>
      <c r="AI94" s="325">
        <f t="shared" si="65"/>
        <v>2031</v>
      </c>
      <c r="AJ94" s="325">
        <f t="shared" si="65"/>
        <v>2032</v>
      </c>
      <c r="AK94" s="325">
        <f t="shared" si="65"/>
        <v>2033</v>
      </c>
      <c r="AL94" s="325">
        <f t="shared" si="65"/>
        <v>2034</v>
      </c>
      <c r="AM94" s="325">
        <f t="shared" si="65"/>
        <v>2035</v>
      </c>
      <c r="AN94" s="325">
        <f t="shared" si="65"/>
        <v>2036</v>
      </c>
      <c r="AO94" s="325">
        <f t="shared" si="65"/>
        <v>2037</v>
      </c>
      <c r="AP94" s="325">
        <f t="shared" si="65"/>
        <v>2038</v>
      </c>
      <c r="AQ94" s="325">
        <f t="shared" si="65"/>
        <v>2039</v>
      </c>
      <c r="AR94" s="325">
        <f t="shared" si="65"/>
        <v>2040</v>
      </c>
      <c r="AS94" s="325">
        <f t="shared" si="65"/>
        <v>2041</v>
      </c>
      <c r="AT94" s="325">
        <f t="shared" si="65"/>
        <v>2042</v>
      </c>
      <c r="AU94" s="325">
        <f t="shared" si="65"/>
        <v>2043</v>
      </c>
    </row>
    <row r="95" spans="1:47">
      <c r="E95" s="325"/>
      <c r="G95" s="39"/>
      <c r="H95" s="39"/>
      <c r="I95" s="39"/>
      <c r="J95" s="39"/>
      <c r="K95" s="39"/>
    </row>
    <row r="96" spans="1:47">
      <c r="A96" s="38" t="str">
        <f>$J$4&amp;"-"</f>
        <v>Custom-</v>
      </c>
      <c r="B96" s="38" t="s">
        <v>306</v>
      </c>
      <c r="C96" s="38" t="s">
        <v>315</v>
      </c>
      <c r="D96" s="186">
        <f>CapExEsc</f>
        <v>0.03</v>
      </c>
      <c r="E96" s="325"/>
      <c r="G96" s="36" t="s">
        <v>8</v>
      </c>
      <c r="H96" s="39"/>
      <c r="I96" s="39"/>
      <c r="J96" s="70"/>
      <c r="K96" s="39"/>
      <c r="L96" s="43" t="str">
        <f>"["&amp;CostBaseYr&amp;" $]"</f>
        <v>[2013 $]</v>
      </c>
      <c r="N96" s="52">
        <f ca="1">IF(VLOOKUP($C96,$G$69:$J$87,4,FALSE)="Off", 0,SUMIFS(OFFSET(Assumptions!$I$65,0,MATCH($A96,Configurations,0)-1,COUNT(Assumptions!$A$65:$A$84),1),Assumptions!$E$65:$E$84,$C96))</f>
        <v>0</v>
      </c>
      <c r="O96" s="52"/>
      <c r="P96" s="322"/>
      <c r="Q96" s="52"/>
      <c r="R96" s="52">
        <f t="shared" ref="R96:AU96" ca="1" si="66">R97*IF($P96=0,$N96,$P96)*(1+$D96)^(R$8-CostBaseYr)</f>
        <v>0</v>
      </c>
      <c r="S96" s="52">
        <f t="shared" ca="1" si="66"/>
        <v>0</v>
      </c>
      <c r="T96" s="52">
        <f t="shared" ca="1" si="66"/>
        <v>0</v>
      </c>
      <c r="U96" s="52">
        <f t="shared" ca="1" si="66"/>
        <v>0</v>
      </c>
      <c r="V96" s="52">
        <f t="shared" ca="1" si="66"/>
        <v>0</v>
      </c>
      <c r="W96" s="52">
        <f t="shared" ca="1" si="66"/>
        <v>0</v>
      </c>
      <c r="X96" s="52">
        <f t="shared" ca="1" si="66"/>
        <v>0</v>
      </c>
      <c r="Y96" s="52">
        <f t="shared" ca="1" si="66"/>
        <v>0</v>
      </c>
      <c r="Z96" s="52">
        <f t="shared" ca="1" si="66"/>
        <v>0</v>
      </c>
      <c r="AA96" s="52">
        <f t="shared" ca="1" si="66"/>
        <v>0</v>
      </c>
      <c r="AB96" s="52">
        <f t="shared" ca="1" si="66"/>
        <v>0</v>
      </c>
      <c r="AC96" s="52">
        <f t="shared" ca="1" si="66"/>
        <v>0</v>
      </c>
      <c r="AD96" s="52">
        <f t="shared" ca="1" si="66"/>
        <v>0</v>
      </c>
      <c r="AE96" s="52">
        <f t="shared" ca="1" si="66"/>
        <v>0</v>
      </c>
      <c r="AF96" s="52">
        <f t="shared" ca="1" si="66"/>
        <v>0</v>
      </c>
      <c r="AG96" s="52">
        <f t="shared" ca="1" si="66"/>
        <v>0</v>
      </c>
      <c r="AH96" s="52">
        <f t="shared" ca="1" si="66"/>
        <v>0</v>
      </c>
      <c r="AI96" s="52">
        <f t="shared" ca="1" si="66"/>
        <v>0</v>
      </c>
      <c r="AJ96" s="52">
        <f t="shared" ca="1" si="66"/>
        <v>0</v>
      </c>
      <c r="AK96" s="52">
        <f t="shared" ca="1" si="66"/>
        <v>0</v>
      </c>
      <c r="AL96" s="52">
        <f t="shared" ca="1" si="66"/>
        <v>0</v>
      </c>
      <c r="AM96" s="52">
        <f t="shared" ca="1" si="66"/>
        <v>0</v>
      </c>
      <c r="AN96" s="52">
        <f t="shared" ca="1" si="66"/>
        <v>0</v>
      </c>
      <c r="AO96" s="52">
        <f t="shared" ca="1" si="66"/>
        <v>0</v>
      </c>
      <c r="AP96" s="52">
        <f t="shared" ca="1" si="66"/>
        <v>0</v>
      </c>
      <c r="AQ96" s="52">
        <f t="shared" ca="1" si="66"/>
        <v>0</v>
      </c>
      <c r="AR96" s="52">
        <f t="shared" ca="1" si="66"/>
        <v>0</v>
      </c>
      <c r="AS96" s="52">
        <f t="shared" ca="1" si="66"/>
        <v>0</v>
      </c>
      <c r="AT96" s="52">
        <f t="shared" ca="1" si="66"/>
        <v>0</v>
      </c>
      <c r="AU96" s="52">
        <f t="shared" ca="1" si="66"/>
        <v>0</v>
      </c>
    </row>
    <row r="97" spans="1:47">
      <c r="E97" s="325"/>
      <c r="G97" s="36" t="s">
        <v>10</v>
      </c>
      <c r="H97" s="39"/>
      <c r="I97" s="39"/>
      <c r="J97" s="39"/>
      <c r="K97" s="39"/>
      <c r="L97" s="43"/>
      <c r="R97" s="54">
        <f>Assumptions!M$60</f>
        <v>1</v>
      </c>
      <c r="S97" s="54">
        <f>Assumptions!N$60</f>
        <v>0</v>
      </c>
      <c r="T97" s="54">
        <f>Assumptions!O$60</f>
        <v>0</v>
      </c>
      <c r="U97" s="54">
        <f>Assumptions!P$60</f>
        <v>0</v>
      </c>
      <c r="V97" s="54">
        <f>Assumptions!Q$60</f>
        <v>0</v>
      </c>
      <c r="W97" s="54">
        <f>Assumptions!R$60</f>
        <v>0</v>
      </c>
      <c r="X97" s="54">
        <f>Assumptions!S$60</f>
        <v>0</v>
      </c>
      <c r="Y97" s="54">
        <f>Assumptions!T$60</f>
        <v>0</v>
      </c>
      <c r="Z97" s="54">
        <f>Assumptions!U$60</f>
        <v>0</v>
      </c>
      <c r="AA97" s="54">
        <f>Assumptions!V$60</f>
        <v>0</v>
      </c>
      <c r="AB97" s="54">
        <f>Assumptions!W$60</f>
        <v>0</v>
      </c>
      <c r="AC97" s="54">
        <f>Assumptions!X$60</f>
        <v>0</v>
      </c>
      <c r="AD97" s="54">
        <f>Assumptions!Y$60</f>
        <v>0</v>
      </c>
      <c r="AE97" s="54">
        <f>Assumptions!Z$60</f>
        <v>0</v>
      </c>
      <c r="AF97" s="54">
        <f>Assumptions!AA$60</f>
        <v>0</v>
      </c>
      <c r="AG97" s="54">
        <f>Assumptions!AB$60</f>
        <v>0</v>
      </c>
      <c r="AH97" s="54">
        <f>Assumptions!AC$60</f>
        <v>0</v>
      </c>
      <c r="AI97" s="54">
        <f>Assumptions!AD$60</f>
        <v>0</v>
      </c>
      <c r="AJ97" s="54">
        <f>Assumptions!AE$60</f>
        <v>0</v>
      </c>
      <c r="AK97" s="54">
        <f>Assumptions!AF$60</f>
        <v>0</v>
      </c>
      <c r="AL97" s="54">
        <f>Assumptions!AG$60</f>
        <v>0</v>
      </c>
      <c r="AM97" s="54">
        <f>Assumptions!AH$60</f>
        <v>0</v>
      </c>
      <c r="AN97" s="54">
        <f>Assumptions!AI$60</f>
        <v>0</v>
      </c>
      <c r="AO97" s="54">
        <f>Assumptions!AJ$60</f>
        <v>0</v>
      </c>
      <c r="AP97" s="54">
        <f>Assumptions!AK$60</f>
        <v>0</v>
      </c>
      <c r="AQ97" s="54">
        <f>Assumptions!AL$60</f>
        <v>0</v>
      </c>
      <c r="AR97" s="54">
        <f>Assumptions!AM$60</f>
        <v>0</v>
      </c>
      <c r="AS97" s="54">
        <f>Assumptions!AN$60</f>
        <v>0</v>
      </c>
      <c r="AT97" s="54">
        <f>Assumptions!AO$60</f>
        <v>0</v>
      </c>
      <c r="AU97" s="54">
        <f>Assumptions!AP$60</f>
        <v>0</v>
      </c>
    </row>
    <row r="98" spans="1:47">
      <c r="E98" s="326"/>
      <c r="G98" s="39"/>
      <c r="H98" s="39"/>
      <c r="I98" s="39"/>
      <c r="J98" s="39"/>
      <c r="K98" s="39"/>
    </row>
    <row r="99" spans="1:47" s="28" customFormat="1">
      <c r="A99" s="40"/>
      <c r="B99" s="40"/>
      <c r="C99" s="40"/>
      <c r="D99" s="40"/>
      <c r="E99" s="327"/>
      <c r="G99" s="324" t="str">
        <f>C96&amp;" O&amp;M"</f>
        <v>Anaerobic Digestion O&amp;M</v>
      </c>
      <c r="H99" s="324"/>
      <c r="I99" s="324"/>
      <c r="J99" s="324"/>
      <c r="K99" s="324"/>
      <c r="L99" s="405" t="s">
        <v>79</v>
      </c>
      <c r="M99" s="256"/>
      <c r="N99" s="325" t="s">
        <v>490</v>
      </c>
      <c r="O99" s="311"/>
      <c r="P99" s="325" t="s">
        <v>491</v>
      </c>
      <c r="Q99" s="310"/>
      <c r="R99" s="325">
        <f>R$8</f>
        <v>2014</v>
      </c>
      <c r="S99" s="325">
        <f t="shared" ref="S99:AU99" si="67">S$8</f>
        <v>2015</v>
      </c>
      <c r="T99" s="325">
        <f t="shared" si="67"/>
        <v>2016</v>
      </c>
      <c r="U99" s="325">
        <f t="shared" si="67"/>
        <v>2017</v>
      </c>
      <c r="V99" s="325">
        <f t="shared" si="67"/>
        <v>2018</v>
      </c>
      <c r="W99" s="325">
        <f t="shared" si="67"/>
        <v>2019</v>
      </c>
      <c r="X99" s="325">
        <f t="shared" si="67"/>
        <v>2020</v>
      </c>
      <c r="Y99" s="325">
        <f t="shared" si="67"/>
        <v>2021</v>
      </c>
      <c r="Z99" s="325">
        <f t="shared" si="67"/>
        <v>2022</v>
      </c>
      <c r="AA99" s="325">
        <f t="shared" si="67"/>
        <v>2023</v>
      </c>
      <c r="AB99" s="325">
        <f t="shared" si="67"/>
        <v>2024</v>
      </c>
      <c r="AC99" s="325">
        <f t="shared" si="67"/>
        <v>2025</v>
      </c>
      <c r="AD99" s="325">
        <f t="shared" si="67"/>
        <v>2026</v>
      </c>
      <c r="AE99" s="325">
        <f t="shared" si="67"/>
        <v>2027</v>
      </c>
      <c r="AF99" s="325">
        <f t="shared" si="67"/>
        <v>2028</v>
      </c>
      <c r="AG99" s="325">
        <f t="shared" si="67"/>
        <v>2029</v>
      </c>
      <c r="AH99" s="325">
        <f t="shared" si="67"/>
        <v>2030</v>
      </c>
      <c r="AI99" s="325">
        <f t="shared" si="67"/>
        <v>2031</v>
      </c>
      <c r="AJ99" s="325">
        <f t="shared" si="67"/>
        <v>2032</v>
      </c>
      <c r="AK99" s="325">
        <f t="shared" si="67"/>
        <v>2033</v>
      </c>
      <c r="AL99" s="325">
        <f t="shared" si="67"/>
        <v>2034</v>
      </c>
      <c r="AM99" s="325">
        <f t="shared" si="67"/>
        <v>2035</v>
      </c>
      <c r="AN99" s="325">
        <f t="shared" si="67"/>
        <v>2036</v>
      </c>
      <c r="AO99" s="325">
        <f t="shared" si="67"/>
        <v>2037</v>
      </c>
      <c r="AP99" s="325">
        <f t="shared" si="67"/>
        <v>2038</v>
      </c>
      <c r="AQ99" s="325">
        <f t="shared" si="67"/>
        <v>2039</v>
      </c>
      <c r="AR99" s="325">
        <f t="shared" si="67"/>
        <v>2040</v>
      </c>
      <c r="AS99" s="325">
        <f t="shared" si="67"/>
        <v>2041</v>
      </c>
      <c r="AT99" s="325">
        <f t="shared" si="67"/>
        <v>2042</v>
      </c>
      <c r="AU99" s="325">
        <f t="shared" si="67"/>
        <v>2043</v>
      </c>
    </row>
    <row r="100" spans="1:47">
      <c r="E100" s="325"/>
      <c r="G100" s="39"/>
      <c r="H100" s="39"/>
      <c r="I100" s="39"/>
      <c r="J100" s="39"/>
      <c r="K100" s="39"/>
    </row>
    <row r="101" spans="1:47">
      <c r="E101" s="325"/>
      <c r="G101" s="39" t="s">
        <v>23</v>
      </c>
      <c r="H101" s="39"/>
      <c r="I101" s="39"/>
      <c r="J101" s="39"/>
      <c r="K101" s="39"/>
    </row>
    <row r="102" spans="1:47">
      <c r="A102" s="38" t="str">
        <f t="shared" ref="A102:A109" si="68">$J$4&amp;"-"</f>
        <v>Custom-</v>
      </c>
      <c r="B102" s="38" t="s">
        <v>262</v>
      </c>
      <c r="C102" s="38" t="str">
        <f>C96</f>
        <v>Anaerobic Digestion</v>
      </c>
      <c r="D102" s="186">
        <f>LaborEsc</f>
        <v>0.02</v>
      </c>
      <c r="E102" s="325"/>
      <c r="G102" s="36" t="s">
        <v>125</v>
      </c>
      <c r="I102" s="39"/>
      <c r="K102" s="39"/>
      <c r="L102" s="43" t="s">
        <v>266</v>
      </c>
      <c r="N102" s="70">
        <f ca="1">IF(VLOOKUP($C102,$G$69:$J$87,4,FALSE)="Off",0,SUMIFS(OFFSET(Assumptions!$I$90,0,MATCH($A102,Configurations,0)-1,COUNT(Assumptions!$A$90:$A$183),1),Assumptions!$D$90:$D$183,$B102&amp;$C102))</f>
        <v>0</v>
      </c>
      <c r="O102" s="313"/>
      <c r="P102" s="323"/>
      <c r="Q102" s="313"/>
      <c r="R102" s="50">
        <f t="shared" ref="R102:AU102" ca="1" si="69">IF(OR(R$99&lt;InServiceYr,R$99&gt;(InServiceYr+analysis_period-1)),0,IF($P102=0,$N102,$P102)*LaborCost*(1+$D102)^(R$99-CostBaseYr))</f>
        <v>0</v>
      </c>
      <c r="S102" s="50">
        <f t="shared" ca="1" si="69"/>
        <v>0</v>
      </c>
      <c r="T102" s="50">
        <f t="shared" ca="1" si="69"/>
        <v>0</v>
      </c>
      <c r="U102" s="50">
        <f t="shared" ca="1" si="69"/>
        <v>0</v>
      </c>
      <c r="V102" s="50">
        <f t="shared" ca="1" si="69"/>
        <v>0</v>
      </c>
      <c r="W102" s="50">
        <f t="shared" ca="1" si="69"/>
        <v>0</v>
      </c>
      <c r="X102" s="50">
        <f t="shared" ca="1" si="69"/>
        <v>0</v>
      </c>
      <c r="Y102" s="50">
        <f t="shared" ca="1" si="69"/>
        <v>0</v>
      </c>
      <c r="Z102" s="50">
        <f t="shared" ca="1" si="69"/>
        <v>0</v>
      </c>
      <c r="AA102" s="50">
        <f t="shared" ca="1" si="69"/>
        <v>0</v>
      </c>
      <c r="AB102" s="50">
        <f t="shared" ca="1" si="69"/>
        <v>0</v>
      </c>
      <c r="AC102" s="50">
        <f t="shared" ca="1" si="69"/>
        <v>0</v>
      </c>
      <c r="AD102" s="50">
        <f t="shared" ca="1" si="69"/>
        <v>0</v>
      </c>
      <c r="AE102" s="50">
        <f t="shared" ca="1" si="69"/>
        <v>0</v>
      </c>
      <c r="AF102" s="50">
        <f t="shared" ca="1" si="69"/>
        <v>0</v>
      </c>
      <c r="AG102" s="50">
        <f t="shared" ca="1" si="69"/>
        <v>0</v>
      </c>
      <c r="AH102" s="50">
        <f t="shared" ca="1" si="69"/>
        <v>0</v>
      </c>
      <c r="AI102" s="50">
        <f t="shared" ca="1" si="69"/>
        <v>0</v>
      </c>
      <c r="AJ102" s="50">
        <f t="shared" ca="1" si="69"/>
        <v>0</v>
      </c>
      <c r="AK102" s="50">
        <f t="shared" ca="1" si="69"/>
        <v>0</v>
      </c>
      <c r="AL102" s="50">
        <f t="shared" si="69"/>
        <v>0</v>
      </c>
      <c r="AM102" s="50">
        <f t="shared" si="69"/>
        <v>0</v>
      </c>
      <c r="AN102" s="50">
        <f t="shared" si="69"/>
        <v>0</v>
      </c>
      <c r="AO102" s="50">
        <f t="shared" si="69"/>
        <v>0</v>
      </c>
      <c r="AP102" s="50">
        <f t="shared" si="69"/>
        <v>0</v>
      </c>
      <c r="AQ102" s="50">
        <f t="shared" si="69"/>
        <v>0</v>
      </c>
      <c r="AR102" s="50">
        <f t="shared" si="69"/>
        <v>0</v>
      </c>
      <c r="AS102" s="50">
        <f t="shared" si="69"/>
        <v>0</v>
      </c>
      <c r="AT102" s="50">
        <f t="shared" si="69"/>
        <v>0</v>
      </c>
      <c r="AU102" s="50">
        <f t="shared" si="69"/>
        <v>0</v>
      </c>
    </row>
    <row r="103" spans="1:47">
      <c r="A103" s="38" t="str">
        <f t="shared" si="68"/>
        <v>Custom-</v>
      </c>
      <c r="B103" s="38" t="s">
        <v>270</v>
      </c>
      <c r="C103" s="38" t="str">
        <f>C102</f>
        <v>Anaerobic Digestion</v>
      </c>
      <c r="D103" s="186">
        <f>OMEsc</f>
        <v>0.02</v>
      </c>
      <c r="E103" s="325"/>
      <c r="G103" s="36" t="s">
        <v>126</v>
      </c>
      <c r="I103" s="39"/>
      <c r="K103" s="39"/>
      <c r="L103" s="43" t="str">
        <f>"["&amp;CostBaseYr&amp;" $]"</f>
        <v>[2013 $]</v>
      </c>
      <c r="N103" s="70">
        <f ca="1">IF(VLOOKUP($C103,$G$69:$J$87,4,FALSE)="Off",0,SUMIFS(OFFSET(Assumptions!$I$90,0,MATCH($A103,Configurations,0)-1,COUNT(Assumptions!$A$90:$A$183),1),Assumptions!$D$90:$D$183,$B103&amp;$C103))</f>
        <v>0</v>
      </c>
      <c r="O103" s="313"/>
      <c r="P103" s="323"/>
      <c r="Q103" s="313"/>
      <c r="R103" s="50">
        <f t="shared" ref="R103:AG105" ca="1" si="70">IF(OR(R$99&lt;InServiceYr,R$99&gt;(InServiceYr+analysis_period-1)),0,IF($P103=0,$N103,$P103)*(1+$D103)^(R$99-CostBaseYr))</f>
        <v>0</v>
      </c>
      <c r="S103" s="50">
        <f t="shared" ca="1" si="70"/>
        <v>0</v>
      </c>
      <c r="T103" s="50">
        <f t="shared" ca="1" si="70"/>
        <v>0</v>
      </c>
      <c r="U103" s="50">
        <f t="shared" ca="1" si="70"/>
        <v>0</v>
      </c>
      <c r="V103" s="50">
        <f t="shared" ca="1" si="70"/>
        <v>0</v>
      </c>
      <c r="W103" s="50">
        <f t="shared" ca="1" si="70"/>
        <v>0</v>
      </c>
      <c r="X103" s="50">
        <f t="shared" ca="1" si="70"/>
        <v>0</v>
      </c>
      <c r="Y103" s="50">
        <f t="shared" ca="1" si="70"/>
        <v>0</v>
      </c>
      <c r="Z103" s="50">
        <f t="shared" ca="1" si="70"/>
        <v>0</v>
      </c>
      <c r="AA103" s="50">
        <f t="shared" ca="1" si="70"/>
        <v>0</v>
      </c>
      <c r="AB103" s="50">
        <f t="shared" ca="1" si="70"/>
        <v>0</v>
      </c>
      <c r="AC103" s="50">
        <f t="shared" ca="1" si="70"/>
        <v>0</v>
      </c>
      <c r="AD103" s="50">
        <f t="shared" ca="1" si="70"/>
        <v>0</v>
      </c>
      <c r="AE103" s="50">
        <f t="shared" ca="1" si="70"/>
        <v>0</v>
      </c>
      <c r="AF103" s="50">
        <f t="shared" ca="1" si="70"/>
        <v>0</v>
      </c>
      <c r="AG103" s="50">
        <f t="shared" ca="1" si="70"/>
        <v>0</v>
      </c>
      <c r="AH103" s="50">
        <f t="shared" ref="S103:AU105" ca="1" si="71">IF(OR(AH$99&lt;InServiceYr,AH$99&gt;(InServiceYr+analysis_period-1)),0,IF($P103=0,$N103,$P103)*(1+$D103)^(AH$99-CostBaseYr))</f>
        <v>0</v>
      </c>
      <c r="AI103" s="50">
        <f t="shared" ca="1" si="71"/>
        <v>0</v>
      </c>
      <c r="AJ103" s="50">
        <f t="shared" ca="1" si="71"/>
        <v>0</v>
      </c>
      <c r="AK103" s="50">
        <f t="shared" ca="1" si="71"/>
        <v>0</v>
      </c>
      <c r="AL103" s="50">
        <f t="shared" si="71"/>
        <v>0</v>
      </c>
      <c r="AM103" s="50">
        <f t="shared" si="71"/>
        <v>0</v>
      </c>
      <c r="AN103" s="50">
        <f t="shared" si="71"/>
        <v>0</v>
      </c>
      <c r="AO103" s="50">
        <f t="shared" si="71"/>
        <v>0</v>
      </c>
      <c r="AP103" s="50">
        <f t="shared" si="71"/>
        <v>0</v>
      </c>
      <c r="AQ103" s="50">
        <f t="shared" si="71"/>
        <v>0</v>
      </c>
      <c r="AR103" s="50">
        <f t="shared" si="71"/>
        <v>0</v>
      </c>
      <c r="AS103" s="50">
        <f t="shared" si="71"/>
        <v>0</v>
      </c>
      <c r="AT103" s="50">
        <f t="shared" si="71"/>
        <v>0</v>
      </c>
      <c r="AU103" s="50">
        <f t="shared" si="71"/>
        <v>0</v>
      </c>
    </row>
    <row r="104" spans="1:47">
      <c r="A104" s="38" t="str">
        <f t="shared" si="68"/>
        <v>Custom-</v>
      </c>
      <c r="B104" s="38" t="s">
        <v>263</v>
      </c>
      <c r="C104" s="38" t="str">
        <f t="shared" ref="C104:C108" si="72">C103</f>
        <v>Anaerobic Digestion</v>
      </c>
      <c r="D104" s="186">
        <f>OMEsc</f>
        <v>0.02</v>
      </c>
      <c r="E104" s="325"/>
      <c r="G104" s="36" t="s">
        <v>127</v>
      </c>
      <c r="I104" s="39"/>
      <c r="K104" s="39"/>
      <c r="L104" s="43" t="str">
        <f>"["&amp;CostBaseYr&amp;" $]"</f>
        <v>[2013 $]</v>
      </c>
      <c r="N104" s="70">
        <f ca="1">IF(VLOOKUP($C104,$G$69:$J$87,4,FALSE)="Off",0,SUMIFS(OFFSET(Assumptions!$I$90,0,MATCH($A104,Configurations,0)-1,COUNT(Assumptions!$A$90:$A$183),1),Assumptions!$D$90:$D$183,$B104&amp;$C104))</f>
        <v>0</v>
      </c>
      <c r="O104" s="313"/>
      <c r="P104" s="323"/>
      <c r="Q104" s="313"/>
      <c r="R104" s="50">
        <f t="shared" ca="1" si="70"/>
        <v>0</v>
      </c>
      <c r="S104" s="50">
        <f t="shared" ca="1" si="71"/>
        <v>0</v>
      </c>
      <c r="T104" s="50">
        <f t="shared" ca="1" si="71"/>
        <v>0</v>
      </c>
      <c r="U104" s="50">
        <f t="shared" ca="1" si="71"/>
        <v>0</v>
      </c>
      <c r="V104" s="50">
        <f t="shared" ca="1" si="71"/>
        <v>0</v>
      </c>
      <c r="W104" s="50">
        <f t="shared" ca="1" si="71"/>
        <v>0</v>
      </c>
      <c r="X104" s="50">
        <f t="shared" ca="1" si="71"/>
        <v>0</v>
      </c>
      <c r="Y104" s="50">
        <f t="shared" ca="1" si="71"/>
        <v>0</v>
      </c>
      <c r="Z104" s="50">
        <f t="shared" ca="1" si="71"/>
        <v>0</v>
      </c>
      <c r="AA104" s="50">
        <f t="shared" ca="1" si="71"/>
        <v>0</v>
      </c>
      <c r="AB104" s="50">
        <f t="shared" ca="1" si="71"/>
        <v>0</v>
      </c>
      <c r="AC104" s="50">
        <f t="shared" ca="1" si="71"/>
        <v>0</v>
      </c>
      <c r="AD104" s="50">
        <f t="shared" ca="1" si="71"/>
        <v>0</v>
      </c>
      <c r="AE104" s="50">
        <f t="shared" ca="1" si="71"/>
        <v>0</v>
      </c>
      <c r="AF104" s="50">
        <f t="shared" ca="1" si="71"/>
        <v>0</v>
      </c>
      <c r="AG104" s="50">
        <f t="shared" ca="1" si="71"/>
        <v>0</v>
      </c>
      <c r="AH104" s="50">
        <f t="shared" ca="1" si="71"/>
        <v>0</v>
      </c>
      <c r="AI104" s="50">
        <f t="shared" ca="1" si="71"/>
        <v>0</v>
      </c>
      <c r="AJ104" s="50">
        <f t="shared" ca="1" si="71"/>
        <v>0</v>
      </c>
      <c r="AK104" s="50">
        <f t="shared" ca="1" si="71"/>
        <v>0</v>
      </c>
      <c r="AL104" s="50">
        <f t="shared" si="71"/>
        <v>0</v>
      </c>
      <c r="AM104" s="50">
        <f t="shared" si="71"/>
        <v>0</v>
      </c>
      <c r="AN104" s="50">
        <f t="shared" si="71"/>
        <v>0</v>
      </c>
      <c r="AO104" s="50">
        <f t="shared" si="71"/>
        <v>0</v>
      </c>
      <c r="AP104" s="50">
        <f t="shared" si="71"/>
        <v>0</v>
      </c>
      <c r="AQ104" s="50">
        <f t="shared" si="71"/>
        <v>0</v>
      </c>
      <c r="AR104" s="50">
        <f t="shared" si="71"/>
        <v>0</v>
      </c>
      <c r="AS104" s="50">
        <f t="shared" si="71"/>
        <v>0</v>
      </c>
      <c r="AT104" s="50">
        <f t="shared" si="71"/>
        <v>0</v>
      </c>
      <c r="AU104" s="50">
        <f t="shared" si="71"/>
        <v>0</v>
      </c>
    </row>
    <row r="105" spans="1:47">
      <c r="A105" s="38" t="str">
        <f t="shared" si="68"/>
        <v>Custom-</v>
      </c>
      <c r="B105" s="38" t="s">
        <v>277</v>
      </c>
      <c r="C105" s="38" t="str">
        <f t="shared" si="72"/>
        <v>Anaerobic Digestion</v>
      </c>
      <c r="D105" s="186">
        <f>OMEsc</f>
        <v>0.02</v>
      </c>
      <c r="E105" s="325"/>
      <c r="G105" s="36" t="s">
        <v>276</v>
      </c>
      <c r="I105" s="39"/>
      <c r="K105" s="39"/>
      <c r="L105" s="43" t="str">
        <f>"["&amp;CostBaseYr&amp;" $]"</f>
        <v>[2013 $]</v>
      </c>
      <c r="N105" s="70">
        <f ca="1">IF(VLOOKUP($C105,$G$69:$J$87,4,FALSE)="Off",0,SUMIFS(OFFSET(Assumptions!$I$90,0,MATCH($A105,Configurations,0)-1,COUNT(Assumptions!$A$90:$A$183),1),Assumptions!$D$90:$D$183,$B105&amp;$C105))</f>
        <v>0</v>
      </c>
      <c r="O105" s="313"/>
      <c r="P105" s="323"/>
      <c r="Q105" s="313"/>
      <c r="R105" s="50">
        <f t="shared" ca="1" si="70"/>
        <v>0</v>
      </c>
      <c r="S105" s="50">
        <f t="shared" ca="1" si="71"/>
        <v>0</v>
      </c>
      <c r="T105" s="50">
        <f t="shared" ca="1" si="71"/>
        <v>0</v>
      </c>
      <c r="U105" s="50">
        <f t="shared" ca="1" si="71"/>
        <v>0</v>
      </c>
      <c r="V105" s="50">
        <f t="shared" ca="1" si="71"/>
        <v>0</v>
      </c>
      <c r="W105" s="50">
        <f t="shared" ca="1" si="71"/>
        <v>0</v>
      </c>
      <c r="X105" s="50">
        <f t="shared" ca="1" si="71"/>
        <v>0</v>
      </c>
      <c r="Y105" s="50">
        <f t="shared" ca="1" si="71"/>
        <v>0</v>
      </c>
      <c r="Z105" s="50">
        <f t="shared" ca="1" si="71"/>
        <v>0</v>
      </c>
      <c r="AA105" s="50">
        <f t="shared" ca="1" si="71"/>
        <v>0</v>
      </c>
      <c r="AB105" s="50">
        <f t="shared" ca="1" si="71"/>
        <v>0</v>
      </c>
      <c r="AC105" s="50">
        <f t="shared" ca="1" si="71"/>
        <v>0</v>
      </c>
      <c r="AD105" s="50">
        <f t="shared" ca="1" si="71"/>
        <v>0</v>
      </c>
      <c r="AE105" s="50">
        <f t="shared" ca="1" si="71"/>
        <v>0</v>
      </c>
      <c r="AF105" s="50">
        <f t="shared" ca="1" si="71"/>
        <v>0</v>
      </c>
      <c r="AG105" s="50">
        <f t="shared" ca="1" si="71"/>
        <v>0</v>
      </c>
      <c r="AH105" s="50">
        <f t="shared" ca="1" si="71"/>
        <v>0</v>
      </c>
      <c r="AI105" s="50">
        <f t="shared" ca="1" si="71"/>
        <v>0</v>
      </c>
      <c r="AJ105" s="50">
        <f t="shared" ca="1" si="71"/>
        <v>0</v>
      </c>
      <c r="AK105" s="50">
        <f t="shared" ca="1" si="71"/>
        <v>0</v>
      </c>
      <c r="AL105" s="50">
        <f t="shared" si="71"/>
        <v>0</v>
      </c>
      <c r="AM105" s="50">
        <f t="shared" si="71"/>
        <v>0</v>
      </c>
      <c r="AN105" s="50">
        <f t="shared" si="71"/>
        <v>0</v>
      </c>
      <c r="AO105" s="50">
        <f t="shared" si="71"/>
        <v>0</v>
      </c>
      <c r="AP105" s="50">
        <f t="shared" si="71"/>
        <v>0</v>
      </c>
      <c r="AQ105" s="50">
        <f t="shared" si="71"/>
        <v>0</v>
      </c>
      <c r="AR105" s="50">
        <f t="shared" si="71"/>
        <v>0</v>
      </c>
      <c r="AS105" s="50">
        <f t="shared" si="71"/>
        <v>0</v>
      </c>
      <c r="AT105" s="50">
        <f t="shared" si="71"/>
        <v>0</v>
      </c>
      <c r="AU105" s="50">
        <f t="shared" si="71"/>
        <v>0</v>
      </c>
    </row>
    <row r="106" spans="1:47">
      <c r="A106" s="38" t="str">
        <f t="shared" si="68"/>
        <v>Custom-</v>
      </c>
      <c r="B106" s="38" t="s">
        <v>274</v>
      </c>
      <c r="C106" s="38" t="str">
        <f t="shared" si="72"/>
        <v>Anaerobic Digestion</v>
      </c>
      <c r="D106" s="186"/>
      <c r="E106" s="325"/>
      <c r="G106" s="36" t="s">
        <v>16</v>
      </c>
      <c r="I106" s="39"/>
      <c r="K106" s="39"/>
      <c r="L106" s="43" t="s">
        <v>275</v>
      </c>
      <c r="N106" s="70">
        <f ca="1">IF(VLOOKUP($C106,$G$69:$J$87,4,FALSE)="Off",0,SUMIFS(OFFSET(Assumptions!$I$90,0,MATCH($A106,Configurations,0)-1,COUNT(Assumptions!$A$90:$A$183),1),Assumptions!$D$90:$D$183,$B106&amp;$C106))</f>
        <v>0</v>
      </c>
      <c r="O106" s="313"/>
      <c r="P106" s="323"/>
      <c r="Q106" s="313"/>
      <c r="R106" s="50">
        <f t="shared" ref="R106:AU106" ca="1" si="73">IF(OR(R$99&lt;InServiceYr,R$99&gt;(InServiceYr+analysis_period-1)),0,IF($P106=0,$N106,$P106)*R$505)</f>
        <v>0</v>
      </c>
      <c r="S106" s="50">
        <f t="shared" ca="1" si="73"/>
        <v>0</v>
      </c>
      <c r="T106" s="50">
        <f t="shared" ca="1" si="73"/>
        <v>0</v>
      </c>
      <c r="U106" s="50">
        <f t="shared" ca="1" si="73"/>
        <v>0</v>
      </c>
      <c r="V106" s="50">
        <f t="shared" ca="1" si="73"/>
        <v>0</v>
      </c>
      <c r="W106" s="50">
        <f t="shared" ca="1" si="73"/>
        <v>0</v>
      </c>
      <c r="X106" s="50">
        <f t="shared" ca="1" si="73"/>
        <v>0</v>
      </c>
      <c r="Y106" s="50">
        <f t="shared" ca="1" si="73"/>
        <v>0</v>
      </c>
      <c r="Z106" s="50">
        <f t="shared" ca="1" si="73"/>
        <v>0</v>
      </c>
      <c r="AA106" s="50">
        <f t="shared" ca="1" si="73"/>
        <v>0</v>
      </c>
      <c r="AB106" s="50">
        <f t="shared" ca="1" si="73"/>
        <v>0</v>
      </c>
      <c r="AC106" s="50">
        <f t="shared" ca="1" si="73"/>
        <v>0</v>
      </c>
      <c r="AD106" s="50">
        <f t="shared" ca="1" si="73"/>
        <v>0</v>
      </c>
      <c r="AE106" s="50">
        <f t="shared" ca="1" si="73"/>
        <v>0</v>
      </c>
      <c r="AF106" s="50">
        <f t="shared" ca="1" si="73"/>
        <v>0</v>
      </c>
      <c r="AG106" s="50">
        <f t="shared" ca="1" si="73"/>
        <v>0</v>
      </c>
      <c r="AH106" s="50">
        <f t="shared" ca="1" si="73"/>
        <v>0</v>
      </c>
      <c r="AI106" s="50">
        <f t="shared" ca="1" si="73"/>
        <v>0</v>
      </c>
      <c r="AJ106" s="50">
        <f t="shared" ca="1" si="73"/>
        <v>0</v>
      </c>
      <c r="AK106" s="50">
        <f t="shared" ca="1" si="73"/>
        <v>0</v>
      </c>
      <c r="AL106" s="50">
        <f t="shared" si="73"/>
        <v>0</v>
      </c>
      <c r="AM106" s="50">
        <f t="shared" si="73"/>
        <v>0</v>
      </c>
      <c r="AN106" s="50">
        <f t="shared" si="73"/>
        <v>0</v>
      </c>
      <c r="AO106" s="50">
        <f t="shared" si="73"/>
        <v>0</v>
      </c>
      <c r="AP106" s="50">
        <f t="shared" si="73"/>
        <v>0</v>
      </c>
      <c r="AQ106" s="50">
        <f t="shared" si="73"/>
        <v>0</v>
      </c>
      <c r="AR106" s="50">
        <f t="shared" si="73"/>
        <v>0</v>
      </c>
      <c r="AS106" s="50">
        <f t="shared" si="73"/>
        <v>0</v>
      </c>
      <c r="AT106" s="50">
        <f t="shared" si="73"/>
        <v>0</v>
      </c>
      <c r="AU106" s="50">
        <f t="shared" si="73"/>
        <v>0</v>
      </c>
    </row>
    <row r="107" spans="1:47">
      <c r="A107" s="38" t="str">
        <f t="shared" si="68"/>
        <v>Custom-</v>
      </c>
      <c r="B107" s="38" t="s">
        <v>257</v>
      </c>
      <c r="C107" s="38" t="str">
        <f t="shared" si="72"/>
        <v>Anaerobic Digestion</v>
      </c>
      <c r="D107" s="186"/>
      <c r="E107" s="325"/>
      <c r="G107" s="36" t="s">
        <v>284</v>
      </c>
      <c r="I107" s="39"/>
      <c r="K107" s="39"/>
      <c r="L107" s="43" t="s">
        <v>293</v>
      </c>
      <c r="N107" s="70">
        <f ca="1">IF(VLOOKUP($C107,$G$69:$J$87,4,FALSE)="Off",0,SUMIFS(OFFSET(Assumptions!$I$90,0,MATCH($A107,Configurations,0)-1,COUNT(Assumptions!$A$90:$A$183),1),Assumptions!$D$90:$D$183,$B107&amp;$C107))</f>
        <v>0</v>
      </c>
      <c r="O107" s="313"/>
      <c r="P107" s="323"/>
      <c r="Q107" s="313"/>
      <c r="R107" s="50">
        <f t="shared" ref="R107:AU107" ca="1" si="74">IF(OR(R$99&lt;InServiceYr,R$99&gt;(InServiceYr+analysis_period-1)),0,IF($P107=0,$N107,$P107)*R$501)</f>
        <v>0</v>
      </c>
      <c r="S107" s="50">
        <f t="shared" ca="1" si="74"/>
        <v>0</v>
      </c>
      <c r="T107" s="50">
        <f t="shared" ca="1" si="74"/>
        <v>0</v>
      </c>
      <c r="U107" s="50">
        <f t="shared" ca="1" si="74"/>
        <v>0</v>
      </c>
      <c r="V107" s="50">
        <f t="shared" ca="1" si="74"/>
        <v>0</v>
      </c>
      <c r="W107" s="50">
        <f t="shared" ca="1" si="74"/>
        <v>0</v>
      </c>
      <c r="X107" s="50">
        <f t="shared" ca="1" si="74"/>
        <v>0</v>
      </c>
      <c r="Y107" s="50">
        <f t="shared" ca="1" si="74"/>
        <v>0</v>
      </c>
      <c r="Z107" s="50">
        <f t="shared" ca="1" si="74"/>
        <v>0</v>
      </c>
      <c r="AA107" s="50">
        <f t="shared" ca="1" si="74"/>
        <v>0</v>
      </c>
      <c r="AB107" s="50">
        <f t="shared" ca="1" si="74"/>
        <v>0</v>
      </c>
      <c r="AC107" s="50">
        <f t="shared" ca="1" si="74"/>
        <v>0</v>
      </c>
      <c r="AD107" s="50">
        <f t="shared" ca="1" si="74"/>
        <v>0</v>
      </c>
      <c r="AE107" s="50">
        <f t="shared" ca="1" si="74"/>
        <v>0</v>
      </c>
      <c r="AF107" s="50">
        <f t="shared" ca="1" si="74"/>
        <v>0</v>
      </c>
      <c r="AG107" s="50">
        <f t="shared" ca="1" si="74"/>
        <v>0</v>
      </c>
      <c r="AH107" s="50">
        <f t="shared" ca="1" si="74"/>
        <v>0</v>
      </c>
      <c r="AI107" s="50">
        <f t="shared" ca="1" si="74"/>
        <v>0</v>
      </c>
      <c r="AJ107" s="50">
        <f t="shared" ca="1" si="74"/>
        <v>0</v>
      </c>
      <c r="AK107" s="50">
        <f t="shared" ca="1" si="74"/>
        <v>0</v>
      </c>
      <c r="AL107" s="50">
        <f t="shared" si="74"/>
        <v>0</v>
      </c>
      <c r="AM107" s="50">
        <f t="shared" si="74"/>
        <v>0</v>
      </c>
      <c r="AN107" s="50">
        <f t="shared" si="74"/>
        <v>0</v>
      </c>
      <c r="AO107" s="50">
        <f t="shared" si="74"/>
        <v>0</v>
      </c>
      <c r="AP107" s="50">
        <f t="shared" si="74"/>
        <v>0</v>
      </c>
      <c r="AQ107" s="50">
        <f t="shared" si="74"/>
        <v>0</v>
      </c>
      <c r="AR107" s="50">
        <f t="shared" si="74"/>
        <v>0</v>
      </c>
      <c r="AS107" s="50">
        <f t="shared" si="74"/>
        <v>0</v>
      </c>
      <c r="AT107" s="50">
        <f t="shared" si="74"/>
        <v>0</v>
      </c>
      <c r="AU107" s="50">
        <f t="shared" si="74"/>
        <v>0</v>
      </c>
    </row>
    <row r="108" spans="1:47">
      <c r="A108" s="38" t="str">
        <f t="shared" si="68"/>
        <v>Custom-</v>
      </c>
      <c r="B108" s="38" t="s">
        <v>864</v>
      </c>
      <c r="C108" s="38" t="str">
        <f t="shared" si="72"/>
        <v>Anaerobic Digestion</v>
      </c>
      <c r="D108" s="186">
        <f>GHGEsc</f>
        <v>0.02</v>
      </c>
      <c r="E108" s="325"/>
      <c r="G108" s="36" t="s">
        <v>865</v>
      </c>
      <c r="I108" s="39"/>
      <c r="K108" s="39"/>
      <c r="L108" s="43" t="s">
        <v>866</v>
      </c>
      <c r="N108" s="70">
        <f ca="1">IF(VLOOKUP($C108,$G$69:$J$87,4,FALSE)="Off",0,SUMIFS(OFFSET(Assumptions!$I$90,0,MATCH($A108,Configurations,0)-1,COUNT(Assumptions!$A$90:$A$183),1),Assumptions!$D$90:$D$183,$B108&amp;$C108))</f>
        <v>0</v>
      </c>
      <c r="O108" s="313"/>
      <c r="P108" s="323"/>
      <c r="Q108" s="313"/>
      <c r="R108" s="50">
        <f t="shared" ref="R108:AU108" ca="1" si="75">IF(OR(R$99&lt;InServiceYr,R$99&gt;(InServiceYr+analysis_period-1)),0,IF($P108=0,$N108,$P108)*R$513)</f>
        <v>0</v>
      </c>
      <c r="S108" s="50">
        <f t="shared" ca="1" si="75"/>
        <v>0</v>
      </c>
      <c r="T108" s="50">
        <f t="shared" ca="1" si="75"/>
        <v>0</v>
      </c>
      <c r="U108" s="50">
        <f t="shared" ca="1" si="75"/>
        <v>0</v>
      </c>
      <c r="V108" s="50">
        <f t="shared" ca="1" si="75"/>
        <v>0</v>
      </c>
      <c r="W108" s="50">
        <f t="shared" ca="1" si="75"/>
        <v>0</v>
      </c>
      <c r="X108" s="50">
        <f t="shared" ca="1" si="75"/>
        <v>0</v>
      </c>
      <c r="Y108" s="50">
        <f t="shared" ca="1" si="75"/>
        <v>0</v>
      </c>
      <c r="Z108" s="50">
        <f t="shared" ca="1" si="75"/>
        <v>0</v>
      </c>
      <c r="AA108" s="50">
        <f t="shared" ca="1" si="75"/>
        <v>0</v>
      </c>
      <c r="AB108" s="50">
        <f t="shared" ca="1" si="75"/>
        <v>0</v>
      </c>
      <c r="AC108" s="50">
        <f t="shared" ca="1" si="75"/>
        <v>0</v>
      </c>
      <c r="AD108" s="50">
        <f t="shared" ca="1" si="75"/>
        <v>0</v>
      </c>
      <c r="AE108" s="50">
        <f t="shared" ca="1" si="75"/>
        <v>0</v>
      </c>
      <c r="AF108" s="50">
        <f t="shared" ca="1" si="75"/>
        <v>0</v>
      </c>
      <c r="AG108" s="50">
        <f t="shared" ca="1" si="75"/>
        <v>0</v>
      </c>
      <c r="AH108" s="50">
        <f t="shared" ca="1" si="75"/>
        <v>0</v>
      </c>
      <c r="AI108" s="50">
        <f t="shared" ca="1" si="75"/>
        <v>0</v>
      </c>
      <c r="AJ108" s="50">
        <f t="shared" ca="1" si="75"/>
        <v>0</v>
      </c>
      <c r="AK108" s="50">
        <f t="shared" ca="1" si="75"/>
        <v>0</v>
      </c>
      <c r="AL108" s="50">
        <f t="shared" si="75"/>
        <v>0</v>
      </c>
      <c r="AM108" s="50">
        <f t="shared" si="75"/>
        <v>0</v>
      </c>
      <c r="AN108" s="50">
        <f t="shared" si="75"/>
        <v>0</v>
      </c>
      <c r="AO108" s="50">
        <f t="shared" si="75"/>
        <v>0</v>
      </c>
      <c r="AP108" s="50">
        <f t="shared" si="75"/>
        <v>0</v>
      </c>
      <c r="AQ108" s="50">
        <f t="shared" si="75"/>
        <v>0</v>
      </c>
      <c r="AR108" s="50">
        <f t="shared" si="75"/>
        <v>0</v>
      </c>
      <c r="AS108" s="50">
        <f t="shared" si="75"/>
        <v>0</v>
      </c>
      <c r="AT108" s="50">
        <f t="shared" si="75"/>
        <v>0</v>
      </c>
      <c r="AU108" s="50">
        <f t="shared" si="75"/>
        <v>0</v>
      </c>
    </row>
    <row r="109" spans="1:47">
      <c r="A109" s="38" t="str">
        <f t="shared" si="68"/>
        <v>Custom-</v>
      </c>
      <c r="B109" s="38" t="s">
        <v>273</v>
      </c>
      <c r="C109" s="38" t="str">
        <f>C107</f>
        <v>Anaerobic Digestion</v>
      </c>
      <c r="D109" s="186">
        <f>LaborEsc</f>
        <v>0.02</v>
      </c>
      <c r="E109" s="325"/>
      <c r="G109" s="36" t="s">
        <v>291</v>
      </c>
      <c r="I109" s="39"/>
      <c r="K109" s="39"/>
      <c r="L109" s="43" t="str">
        <f>"["&amp;CostBaseYr&amp;" $]"</f>
        <v>[2013 $]</v>
      </c>
      <c r="N109" s="70">
        <f ca="1">IF(VLOOKUP($C109,$G$69:$J$87,4,FALSE)="Off",0,SUMIFS(OFFSET(Assumptions!$I$90,0,MATCH($A109,Configurations,0)-1,COUNT(Assumptions!$A$90:$A$183),1),Assumptions!$D$90:$D$183,$B109&amp;$C109))</f>
        <v>0</v>
      </c>
      <c r="O109" s="313"/>
      <c r="P109" s="323"/>
      <c r="Q109" s="313"/>
      <c r="R109" s="50">
        <f t="shared" ref="R109:AU109" ca="1" si="76">IF(OR(R$99&lt;InServiceYr,R$99&gt;(InServiceYr+analysis_period-1)),0,IF($P109=0,$N109,$P109)*(1+$D109)^(R$99-CostBaseYr))*R$509</f>
        <v>0</v>
      </c>
      <c r="S109" s="50">
        <f t="shared" ca="1" si="76"/>
        <v>0</v>
      </c>
      <c r="T109" s="50">
        <f t="shared" ca="1" si="76"/>
        <v>0</v>
      </c>
      <c r="U109" s="50">
        <f t="shared" ca="1" si="76"/>
        <v>0</v>
      </c>
      <c r="V109" s="50">
        <f t="shared" ca="1" si="76"/>
        <v>0</v>
      </c>
      <c r="W109" s="50">
        <f t="shared" ca="1" si="76"/>
        <v>0</v>
      </c>
      <c r="X109" s="50">
        <f t="shared" ca="1" si="76"/>
        <v>0</v>
      </c>
      <c r="Y109" s="50">
        <f t="shared" ca="1" si="76"/>
        <v>0</v>
      </c>
      <c r="Z109" s="50">
        <f t="shared" ca="1" si="76"/>
        <v>0</v>
      </c>
      <c r="AA109" s="50">
        <f t="shared" ca="1" si="76"/>
        <v>0</v>
      </c>
      <c r="AB109" s="50">
        <f t="shared" ca="1" si="76"/>
        <v>0</v>
      </c>
      <c r="AC109" s="50">
        <f t="shared" ca="1" si="76"/>
        <v>0</v>
      </c>
      <c r="AD109" s="50">
        <f t="shared" ca="1" si="76"/>
        <v>0</v>
      </c>
      <c r="AE109" s="50">
        <f t="shared" ca="1" si="76"/>
        <v>0</v>
      </c>
      <c r="AF109" s="50">
        <f t="shared" ca="1" si="76"/>
        <v>0</v>
      </c>
      <c r="AG109" s="50">
        <f t="shared" ca="1" si="76"/>
        <v>0</v>
      </c>
      <c r="AH109" s="50">
        <f t="shared" ca="1" si="76"/>
        <v>0</v>
      </c>
      <c r="AI109" s="50">
        <f t="shared" ca="1" si="76"/>
        <v>0</v>
      </c>
      <c r="AJ109" s="50">
        <f t="shared" ca="1" si="76"/>
        <v>0</v>
      </c>
      <c r="AK109" s="50">
        <f t="shared" ca="1" si="76"/>
        <v>0</v>
      </c>
      <c r="AL109" s="50">
        <f t="shared" si="76"/>
        <v>0</v>
      </c>
      <c r="AM109" s="50">
        <f t="shared" si="76"/>
        <v>0</v>
      </c>
      <c r="AN109" s="50">
        <f t="shared" si="76"/>
        <v>0</v>
      </c>
      <c r="AO109" s="50">
        <f t="shared" si="76"/>
        <v>0</v>
      </c>
      <c r="AP109" s="50">
        <f t="shared" si="76"/>
        <v>0</v>
      </c>
      <c r="AQ109" s="50">
        <f t="shared" si="76"/>
        <v>0</v>
      </c>
      <c r="AR109" s="50">
        <f t="shared" si="76"/>
        <v>0</v>
      </c>
      <c r="AS109" s="50">
        <f t="shared" si="76"/>
        <v>0</v>
      </c>
      <c r="AT109" s="50">
        <f t="shared" si="76"/>
        <v>0</v>
      </c>
      <c r="AU109" s="50">
        <f t="shared" si="76"/>
        <v>0</v>
      </c>
    </row>
    <row r="110" spans="1:47">
      <c r="D110" s="186"/>
      <c r="E110" s="325"/>
      <c r="G110" s="39" t="s">
        <v>304</v>
      </c>
      <c r="I110" s="39"/>
      <c r="K110" s="39"/>
      <c r="L110" s="43"/>
      <c r="N110" s="70"/>
      <c r="O110" s="313"/>
      <c r="P110" s="70"/>
      <c r="Q110" s="313"/>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row>
    <row r="111" spans="1:47">
      <c r="A111" s="38" t="str">
        <f>$J$4&amp;"-"</f>
        <v>Custom-</v>
      </c>
      <c r="B111" s="38" t="s">
        <v>265</v>
      </c>
      <c r="C111" s="38" t="str">
        <f>C102</f>
        <v>Anaerobic Digestion</v>
      </c>
      <c r="D111" s="186"/>
      <c r="E111" s="325"/>
      <c r="G111" s="36" t="s">
        <v>108</v>
      </c>
      <c r="I111" s="39"/>
      <c r="K111" s="39"/>
      <c r="L111" s="43" t="s">
        <v>293</v>
      </c>
      <c r="N111" s="70">
        <f ca="1">IF(VLOOKUP($C111,$G$69:$J$87,4,FALSE)="Off",0,SUMIFS(OFFSET(Assumptions!$I$90,0,MATCH($A111,Configurations,0)-1,COUNT(Assumptions!$A$90:$A$183),1),Assumptions!$D$90:$D$183,$B111&amp;$C111))</f>
        <v>0</v>
      </c>
      <c r="O111" s="313"/>
      <c r="P111" s="323"/>
      <c r="Q111" s="313"/>
      <c r="R111" s="50">
        <f t="shared" ref="R111:AU111" ca="1" si="77">IF(OR(R$99&lt;InServiceYr,R$99&gt;(InServiceYr+analysis_period-1)),0,IF($P111=0,$N111,$P111)*R$501)</f>
        <v>0</v>
      </c>
      <c r="S111" s="50">
        <f t="shared" ca="1" si="77"/>
        <v>0</v>
      </c>
      <c r="T111" s="50">
        <f t="shared" ca="1" si="77"/>
        <v>0</v>
      </c>
      <c r="U111" s="50">
        <f t="shared" ca="1" si="77"/>
        <v>0</v>
      </c>
      <c r="V111" s="50">
        <f t="shared" ca="1" si="77"/>
        <v>0</v>
      </c>
      <c r="W111" s="50">
        <f t="shared" ca="1" si="77"/>
        <v>0</v>
      </c>
      <c r="X111" s="50">
        <f t="shared" ca="1" si="77"/>
        <v>0</v>
      </c>
      <c r="Y111" s="50">
        <f t="shared" ca="1" si="77"/>
        <v>0</v>
      </c>
      <c r="Z111" s="50">
        <f t="shared" ca="1" si="77"/>
        <v>0</v>
      </c>
      <c r="AA111" s="50">
        <f t="shared" ca="1" si="77"/>
        <v>0</v>
      </c>
      <c r="AB111" s="50">
        <f t="shared" ca="1" si="77"/>
        <v>0</v>
      </c>
      <c r="AC111" s="50">
        <f t="shared" ca="1" si="77"/>
        <v>0</v>
      </c>
      <c r="AD111" s="50">
        <f t="shared" ca="1" si="77"/>
        <v>0</v>
      </c>
      <c r="AE111" s="50">
        <f t="shared" ca="1" si="77"/>
        <v>0</v>
      </c>
      <c r="AF111" s="50">
        <f t="shared" ca="1" si="77"/>
        <v>0</v>
      </c>
      <c r="AG111" s="50">
        <f t="shared" ca="1" si="77"/>
        <v>0</v>
      </c>
      <c r="AH111" s="50">
        <f t="shared" ca="1" si="77"/>
        <v>0</v>
      </c>
      <c r="AI111" s="50">
        <f t="shared" ca="1" si="77"/>
        <v>0</v>
      </c>
      <c r="AJ111" s="50">
        <f t="shared" ca="1" si="77"/>
        <v>0</v>
      </c>
      <c r="AK111" s="50">
        <f t="shared" ca="1" si="77"/>
        <v>0</v>
      </c>
      <c r="AL111" s="50">
        <f t="shared" si="77"/>
        <v>0</v>
      </c>
      <c r="AM111" s="50">
        <f t="shared" si="77"/>
        <v>0</v>
      </c>
      <c r="AN111" s="50">
        <f t="shared" si="77"/>
        <v>0</v>
      </c>
      <c r="AO111" s="50">
        <f t="shared" si="77"/>
        <v>0</v>
      </c>
      <c r="AP111" s="50">
        <f t="shared" si="77"/>
        <v>0</v>
      </c>
      <c r="AQ111" s="50">
        <f t="shared" si="77"/>
        <v>0</v>
      </c>
      <c r="AR111" s="50">
        <f t="shared" si="77"/>
        <v>0</v>
      </c>
      <c r="AS111" s="50">
        <f t="shared" si="77"/>
        <v>0</v>
      </c>
      <c r="AT111" s="50">
        <f t="shared" si="77"/>
        <v>0</v>
      </c>
      <c r="AU111" s="50">
        <f t="shared" si="77"/>
        <v>0</v>
      </c>
    </row>
    <row r="112" spans="1:47">
      <c r="A112" s="38" t="str">
        <f>$J$4&amp;"-"</f>
        <v>Custom-</v>
      </c>
      <c r="B112" s="38" t="s">
        <v>289</v>
      </c>
      <c r="C112" s="38" t="str">
        <f>C102</f>
        <v>Anaerobic Digestion</v>
      </c>
      <c r="D112" s="186">
        <f>LaborEsc</f>
        <v>0.02</v>
      </c>
      <c r="E112" s="325"/>
      <c r="G112" s="36" t="s">
        <v>292</v>
      </c>
      <c r="I112" s="39"/>
      <c r="K112" s="39"/>
      <c r="L112" s="43" t="str">
        <f>"["&amp;CostBaseYr&amp;" $]"</f>
        <v>[2013 $]</v>
      </c>
      <c r="N112" s="70">
        <f ca="1">IF(VLOOKUP($C112,$G$69:$J$87,4,FALSE)="Off",0,SUMIFS(OFFSET(Assumptions!$I$90,0,MATCH($A112,Configurations,0)-1,COUNT(Assumptions!$A$90:$A$183),1),Assumptions!$D$90:$D$183,$B112&amp;$C112))</f>
        <v>0</v>
      </c>
      <c r="O112" s="313"/>
      <c r="P112" s="323"/>
      <c r="Q112" s="313"/>
      <c r="R112" s="50">
        <f t="shared" ref="R112:AU112" ca="1" si="78">IF(OR(R$99&lt;InServiceYr,R$99&gt;(InServiceYr+analysis_period-1)),0,IF($P112=0,$N112,$P112)*(1+$D112)^(R$99-CostBaseYr))</f>
        <v>0</v>
      </c>
      <c r="S112" s="50">
        <f t="shared" ca="1" si="78"/>
        <v>0</v>
      </c>
      <c r="T112" s="50">
        <f t="shared" ca="1" si="78"/>
        <v>0</v>
      </c>
      <c r="U112" s="50">
        <f t="shared" ca="1" si="78"/>
        <v>0</v>
      </c>
      <c r="V112" s="50">
        <f t="shared" ca="1" si="78"/>
        <v>0</v>
      </c>
      <c r="W112" s="50">
        <f t="shared" ca="1" si="78"/>
        <v>0</v>
      </c>
      <c r="X112" s="50">
        <f t="shared" ca="1" si="78"/>
        <v>0</v>
      </c>
      <c r="Y112" s="50">
        <f t="shared" ca="1" si="78"/>
        <v>0</v>
      </c>
      <c r="Z112" s="50">
        <f t="shared" ca="1" si="78"/>
        <v>0</v>
      </c>
      <c r="AA112" s="50">
        <f t="shared" ca="1" si="78"/>
        <v>0</v>
      </c>
      <c r="AB112" s="50">
        <f t="shared" ca="1" si="78"/>
        <v>0</v>
      </c>
      <c r="AC112" s="50">
        <f t="shared" ca="1" si="78"/>
        <v>0</v>
      </c>
      <c r="AD112" s="50">
        <f t="shared" ca="1" si="78"/>
        <v>0</v>
      </c>
      <c r="AE112" s="50">
        <f t="shared" ca="1" si="78"/>
        <v>0</v>
      </c>
      <c r="AF112" s="50">
        <f t="shared" ca="1" si="78"/>
        <v>0</v>
      </c>
      <c r="AG112" s="50">
        <f t="shared" ca="1" si="78"/>
        <v>0</v>
      </c>
      <c r="AH112" s="50">
        <f t="shared" ca="1" si="78"/>
        <v>0</v>
      </c>
      <c r="AI112" s="50">
        <f t="shared" ca="1" si="78"/>
        <v>0</v>
      </c>
      <c r="AJ112" s="50">
        <f t="shared" ca="1" si="78"/>
        <v>0</v>
      </c>
      <c r="AK112" s="50">
        <f t="shared" ca="1" si="78"/>
        <v>0</v>
      </c>
      <c r="AL112" s="50">
        <f t="shared" si="78"/>
        <v>0</v>
      </c>
      <c r="AM112" s="50">
        <f t="shared" si="78"/>
        <v>0</v>
      </c>
      <c r="AN112" s="50">
        <f t="shared" si="78"/>
        <v>0</v>
      </c>
      <c r="AO112" s="50">
        <f t="shared" si="78"/>
        <v>0</v>
      </c>
      <c r="AP112" s="50">
        <f t="shared" si="78"/>
        <v>0</v>
      </c>
      <c r="AQ112" s="50">
        <f t="shared" si="78"/>
        <v>0</v>
      </c>
      <c r="AR112" s="50">
        <f t="shared" si="78"/>
        <v>0</v>
      </c>
      <c r="AS112" s="50">
        <f t="shared" si="78"/>
        <v>0</v>
      </c>
      <c r="AT112" s="50">
        <f t="shared" si="78"/>
        <v>0</v>
      </c>
      <c r="AU112" s="50">
        <f t="shared" si="78"/>
        <v>0</v>
      </c>
    </row>
    <row r="113" spans="1:47" s="60" customFormat="1">
      <c r="D113" s="187"/>
      <c r="E113" s="325"/>
      <c r="G113" s="39" t="s">
        <v>305</v>
      </c>
      <c r="I113" s="39"/>
      <c r="K113" s="39"/>
      <c r="L113" s="174"/>
      <c r="N113" s="188"/>
      <c r="O113" s="314"/>
      <c r="P113" s="185"/>
      <c r="Q113" s="314"/>
      <c r="R113" s="185">
        <f ca="1">SUM(R102:R109)-SUM(R111:R112)</f>
        <v>0</v>
      </c>
      <c r="S113" s="185">
        <f t="shared" ref="S113:AU113" ca="1" si="79">SUM(S102:S109)-SUM(S111:S112)</f>
        <v>0</v>
      </c>
      <c r="T113" s="185">
        <f t="shared" ca="1" si="79"/>
        <v>0</v>
      </c>
      <c r="U113" s="185">
        <f t="shared" ca="1" si="79"/>
        <v>0</v>
      </c>
      <c r="V113" s="185">
        <f t="shared" ca="1" si="79"/>
        <v>0</v>
      </c>
      <c r="W113" s="185">
        <f t="shared" ca="1" si="79"/>
        <v>0</v>
      </c>
      <c r="X113" s="185">
        <f t="shared" ca="1" si="79"/>
        <v>0</v>
      </c>
      <c r="Y113" s="185">
        <f t="shared" ca="1" si="79"/>
        <v>0</v>
      </c>
      <c r="Z113" s="185">
        <f t="shared" ca="1" si="79"/>
        <v>0</v>
      </c>
      <c r="AA113" s="185">
        <f t="shared" ca="1" si="79"/>
        <v>0</v>
      </c>
      <c r="AB113" s="185">
        <f t="shared" ca="1" si="79"/>
        <v>0</v>
      </c>
      <c r="AC113" s="185">
        <f t="shared" ca="1" si="79"/>
        <v>0</v>
      </c>
      <c r="AD113" s="185">
        <f t="shared" ca="1" si="79"/>
        <v>0</v>
      </c>
      <c r="AE113" s="185">
        <f t="shared" ca="1" si="79"/>
        <v>0</v>
      </c>
      <c r="AF113" s="185">
        <f t="shared" ca="1" si="79"/>
        <v>0</v>
      </c>
      <c r="AG113" s="185">
        <f t="shared" ca="1" si="79"/>
        <v>0</v>
      </c>
      <c r="AH113" s="185">
        <f t="shared" ca="1" si="79"/>
        <v>0</v>
      </c>
      <c r="AI113" s="185">
        <f t="shared" ca="1" si="79"/>
        <v>0</v>
      </c>
      <c r="AJ113" s="185">
        <f t="shared" ca="1" si="79"/>
        <v>0</v>
      </c>
      <c r="AK113" s="185">
        <f t="shared" ca="1" si="79"/>
        <v>0</v>
      </c>
      <c r="AL113" s="185">
        <f t="shared" si="79"/>
        <v>0</v>
      </c>
      <c r="AM113" s="185">
        <f t="shared" si="79"/>
        <v>0</v>
      </c>
      <c r="AN113" s="185">
        <f t="shared" si="79"/>
        <v>0</v>
      </c>
      <c r="AO113" s="185">
        <f t="shared" si="79"/>
        <v>0</v>
      </c>
      <c r="AP113" s="185">
        <f t="shared" si="79"/>
        <v>0</v>
      </c>
      <c r="AQ113" s="185">
        <f t="shared" si="79"/>
        <v>0</v>
      </c>
      <c r="AR113" s="185">
        <f t="shared" si="79"/>
        <v>0</v>
      </c>
      <c r="AS113" s="185">
        <f t="shared" si="79"/>
        <v>0</v>
      </c>
      <c r="AT113" s="185">
        <f t="shared" si="79"/>
        <v>0</v>
      </c>
      <c r="AU113" s="185">
        <f t="shared" si="79"/>
        <v>0</v>
      </c>
    </row>
    <row r="114" spans="1:47">
      <c r="G114" s="28"/>
      <c r="H114" s="28"/>
      <c r="I114" s="28"/>
      <c r="J114" s="28"/>
      <c r="K114" s="28"/>
      <c r="L114" s="409"/>
      <c r="M114" s="46"/>
      <c r="N114" s="46"/>
      <c r="O114" s="315"/>
      <c r="P114" s="46"/>
      <c r="Q114" s="315"/>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row>
    <row r="115" spans="1:47" s="28" customFormat="1">
      <c r="A115" s="40"/>
      <c r="B115" s="40"/>
      <c r="C115" s="40"/>
      <c r="D115" s="40"/>
      <c r="E115" s="327"/>
      <c r="G115" s="324" t="str">
        <f>C117&amp;" Capital Costs"</f>
        <v>Ash Conveyance &amp; Storage Capital Costs</v>
      </c>
      <c r="H115" s="324"/>
      <c r="I115" s="324"/>
      <c r="J115" s="324"/>
      <c r="K115" s="324"/>
      <c r="L115" s="405" t="s">
        <v>79</v>
      </c>
      <c r="M115" s="256"/>
      <c r="N115" s="325" t="s">
        <v>490</v>
      </c>
      <c r="O115" s="311"/>
      <c r="P115" s="325" t="s">
        <v>491</v>
      </c>
      <c r="Q115" s="310"/>
      <c r="R115" s="325">
        <f>R$8</f>
        <v>2014</v>
      </c>
      <c r="S115" s="325">
        <f t="shared" ref="S115:AU115" si="80">S$8</f>
        <v>2015</v>
      </c>
      <c r="T115" s="325">
        <f t="shared" si="80"/>
        <v>2016</v>
      </c>
      <c r="U115" s="325">
        <f t="shared" si="80"/>
        <v>2017</v>
      </c>
      <c r="V115" s="325">
        <f t="shared" si="80"/>
        <v>2018</v>
      </c>
      <c r="W115" s="325">
        <f t="shared" si="80"/>
        <v>2019</v>
      </c>
      <c r="X115" s="325">
        <f t="shared" si="80"/>
        <v>2020</v>
      </c>
      <c r="Y115" s="325">
        <f t="shared" si="80"/>
        <v>2021</v>
      </c>
      <c r="Z115" s="325">
        <f t="shared" si="80"/>
        <v>2022</v>
      </c>
      <c r="AA115" s="325">
        <f t="shared" si="80"/>
        <v>2023</v>
      </c>
      <c r="AB115" s="325">
        <f t="shared" si="80"/>
        <v>2024</v>
      </c>
      <c r="AC115" s="325">
        <f t="shared" si="80"/>
        <v>2025</v>
      </c>
      <c r="AD115" s="325">
        <f t="shared" si="80"/>
        <v>2026</v>
      </c>
      <c r="AE115" s="325">
        <f t="shared" si="80"/>
        <v>2027</v>
      </c>
      <c r="AF115" s="325">
        <f t="shared" si="80"/>
        <v>2028</v>
      </c>
      <c r="AG115" s="325">
        <f t="shared" si="80"/>
        <v>2029</v>
      </c>
      <c r="AH115" s="325">
        <f t="shared" si="80"/>
        <v>2030</v>
      </c>
      <c r="AI115" s="325">
        <f t="shared" si="80"/>
        <v>2031</v>
      </c>
      <c r="AJ115" s="325">
        <f t="shared" si="80"/>
        <v>2032</v>
      </c>
      <c r="AK115" s="325">
        <f t="shared" si="80"/>
        <v>2033</v>
      </c>
      <c r="AL115" s="325">
        <f t="shared" si="80"/>
        <v>2034</v>
      </c>
      <c r="AM115" s="325">
        <f t="shared" si="80"/>
        <v>2035</v>
      </c>
      <c r="AN115" s="325">
        <f t="shared" si="80"/>
        <v>2036</v>
      </c>
      <c r="AO115" s="325">
        <f t="shared" si="80"/>
        <v>2037</v>
      </c>
      <c r="AP115" s="325">
        <f t="shared" si="80"/>
        <v>2038</v>
      </c>
      <c r="AQ115" s="325">
        <f t="shared" si="80"/>
        <v>2039</v>
      </c>
      <c r="AR115" s="325">
        <f t="shared" si="80"/>
        <v>2040</v>
      </c>
      <c r="AS115" s="325">
        <f t="shared" si="80"/>
        <v>2041</v>
      </c>
      <c r="AT115" s="325">
        <f t="shared" si="80"/>
        <v>2042</v>
      </c>
      <c r="AU115" s="325">
        <f t="shared" si="80"/>
        <v>2043</v>
      </c>
    </row>
    <row r="116" spans="1:47">
      <c r="E116" s="325"/>
      <c r="G116" s="39"/>
      <c r="H116" s="39"/>
      <c r="I116" s="39"/>
      <c r="J116" s="39"/>
      <c r="K116" s="39"/>
    </row>
    <row r="117" spans="1:47">
      <c r="A117" s="38" t="str">
        <f>$J$4&amp;"-"</f>
        <v>Custom-</v>
      </c>
      <c r="B117" s="38" t="s">
        <v>306</v>
      </c>
      <c r="C117" s="38" t="s">
        <v>153</v>
      </c>
      <c r="D117" s="186">
        <f>CapExEsc</f>
        <v>0.03</v>
      </c>
      <c r="E117" s="325"/>
      <c r="G117" s="36" t="s">
        <v>8</v>
      </c>
      <c r="H117" s="39"/>
      <c r="I117" s="39"/>
      <c r="J117" s="70"/>
      <c r="K117" s="39"/>
      <c r="L117" s="43" t="str">
        <f>"["&amp;CostBaseYr&amp;" $]"</f>
        <v>[2013 $]</v>
      </c>
      <c r="N117" s="52">
        <f ca="1">IF(VLOOKUP($C117,$G$69:$J$87,4,FALSE)="Off", 0,SUMIFS(OFFSET(Assumptions!$I$65,0,MATCH($A117,Configurations,0)-1,COUNT(Assumptions!$A$65:$A$84),1),Assumptions!$E$65:$E$84,$C117))</f>
        <v>0</v>
      </c>
      <c r="O117" s="52"/>
      <c r="P117" s="322"/>
      <c r="Q117" s="52"/>
      <c r="R117" s="52">
        <f t="shared" ref="R117:AU117" ca="1" si="81">R118*IF($P117=0,$N117,$P117)*(1+$D117)^(R$8-CostBaseYr)</f>
        <v>0</v>
      </c>
      <c r="S117" s="52">
        <f t="shared" ca="1" si="81"/>
        <v>0</v>
      </c>
      <c r="T117" s="52">
        <f t="shared" ca="1" si="81"/>
        <v>0</v>
      </c>
      <c r="U117" s="52">
        <f t="shared" ca="1" si="81"/>
        <v>0</v>
      </c>
      <c r="V117" s="52">
        <f t="shared" ca="1" si="81"/>
        <v>0</v>
      </c>
      <c r="W117" s="52">
        <f t="shared" ca="1" si="81"/>
        <v>0</v>
      </c>
      <c r="X117" s="52">
        <f t="shared" ca="1" si="81"/>
        <v>0</v>
      </c>
      <c r="Y117" s="52">
        <f t="shared" ca="1" si="81"/>
        <v>0</v>
      </c>
      <c r="Z117" s="52">
        <f t="shared" ca="1" si="81"/>
        <v>0</v>
      </c>
      <c r="AA117" s="52">
        <f t="shared" ca="1" si="81"/>
        <v>0</v>
      </c>
      <c r="AB117" s="52">
        <f t="shared" ca="1" si="81"/>
        <v>0</v>
      </c>
      <c r="AC117" s="52">
        <f t="shared" ca="1" si="81"/>
        <v>0</v>
      </c>
      <c r="AD117" s="52">
        <f t="shared" ca="1" si="81"/>
        <v>0</v>
      </c>
      <c r="AE117" s="52">
        <f t="shared" ca="1" si="81"/>
        <v>0</v>
      </c>
      <c r="AF117" s="52">
        <f t="shared" ca="1" si="81"/>
        <v>0</v>
      </c>
      <c r="AG117" s="52">
        <f t="shared" ca="1" si="81"/>
        <v>0</v>
      </c>
      <c r="AH117" s="52">
        <f t="shared" ca="1" si="81"/>
        <v>0</v>
      </c>
      <c r="AI117" s="52">
        <f t="shared" ca="1" si="81"/>
        <v>0</v>
      </c>
      <c r="AJ117" s="52">
        <f t="shared" ca="1" si="81"/>
        <v>0</v>
      </c>
      <c r="AK117" s="52">
        <f t="shared" ca="1" si="81"/>
        <v>0</v>
      </c>
      <c r="AL117" s="52">
        <f t="shared" ca="1" si="81"/>
        <v>0</v>
      </c>
      <c r="AM117" s="52">
        <f t="shared" ca="1" si="81"/>
        <v>0</v>
      </c>
      <c r="AN117" s="52">
        <f t="shared" ca="1" si="81"/>
        <v>0</v>
      </c>
      <c r="AO117" s="52">
        <f t="shared" ca="1" si="81"/>
        <v>0</v>
      </c>
      <c r="AP117" s="52">
        <f t="shared" ca="1" si="81"/>
        <v>0</v>
      </c>
      <c r="AQ117" s="52">
        <f t="shared" ca="1" si="81"/>
        <v>0</v>
      </c>
      <c r="AR117" s="52">
        <f t="shared" ca="1" si="81"/>
        <v>0</v>
      </c>
      <c r="AS117" s="52">
        <f t="shared" ca="1" si="81"/>
        <v>0</v>
      </c>
      <c r="AT117" s="52">
        <f t="shared" ca="1" si="81"/>
        <v>0</v>
      </c>
      <c r="AU117" s="52">
        <f t="shared" ca="1" si="81"/>
        <v>0</v>
      </c>
    </row>
    <row r="118" spans="1:47">
      <c r="E118" s="325"/>
      <c r="G118" s="36" t="s">
        <v>10</v>
      </c>
      <c r="H118" s="39"/>
      <c r="I118" s="39"/>
      <c r="J118" s="39"/>
      <c r="K118" s="39"/>
      <c r="L118" s="43"/>
      <c r="R118" s="54">
        <f>Assumptions!M$60</f>
        <v>1</v>
      </c>
      <c r="S118" s="54">
        <f>Assumptions!N$60</f>
        <v>0</v>
      </c>
      <c r="T118" s="54">
        <f>Assumptions!O$60</f>
        <v>0</v>
      </c>
      <c r="U118" s="54">
        <f>Assumptions!P$60</f>
        <v>0</v>
      </c>
      <c r="V118" s="54">
        <f>Assumptions!Q$60</f>
        <v>0</v>
      </c>
      <c r="W118" s="54">
        <f>Assumptions!R$60</f>
        <v>0</v>
      </c>
      <c r="X118" s="54">
        <f>Assumptions!S$60</f>
        <v>0</v>
      </c>
      <c r="Y118" s="54">
        <f>Assumptions!T$60</f>
        <v>0</v>
      </c>
      <c r="Z118" s="54">
        <f>Assumptions!U$60</f>
        <v>0</v>
      </c>
      <c r="AA118" s="54">
        <f>Assumptions!V$60</f>
        <v>0</v>
      </c>
      <c r="AB118" s="54">
        <f>Assumptions!W$60</f>
        <v>0</v>
      </c>
      <c r="AC118" s="54">
        <f>Assumptions!X$60</f>
        <v>0</v>
      </c>
      <c r="AD118" s="54">
        <f>Assumptions!Y$60</f>
        <v>0</v>
      </c>
      <c r="AE118" s="54">
        <f>Assumptions!Z$60</f>
        <v>0</v>
      </c>
      <c r="AF118" s="54">
        <f>Assumptions!AA$60</f>
        <v>0</v>
      </c>
      <c r="AG118" s="54">
        <f>Assumptions!AB$60</f>
        <v>0</v>
      </c>
      <c r="AH118" s="54">
        <f>Assumptions!AC$60</f>
        <v>0</v>
      </c>
      <c r="AI118" s="54">
        <f>Assumptions!AD$60</f>
        <v>0</v>
      </c>
      <c r="AJ118" s="54">
        <f>Assumptions!AE$60</f>
        <v>0</v>
      </c>
      <c r="AK118" s="54">
        <f>Assumptions!AF$60</f>
        <v>0</v>
      </c>
      <c r="AL118" s="54">
        <f>Assumptions!AG$60</f>
        <v>0</v>
      </c>
      <c r="AM118" s="54">
        <f>Assumptions!AH$60</f>
        <v>0</v>
      </c>
      <c r="AN118" s="54">
        <f>Assumptions!AI$60</f>
        <v>0</v>
      </c>
      <c r="AO118" s="54">
        <f>Assumptions!AJ$60</f>
        <v>0</v>
      </c>
      <c r="AP118" s="54">
        <f>Assumptions!AK$60</f>
        <v>0</v>
      </c>
      <c r="AQ118" s="54">
        <f>Assumptions!AL$60</f>
        <v>0</v>
      </c>
      <c r="AR118" s="54">
        <f>Assumptions!AM$60</f>
        <v>0</v>
      </c>
      <c r="AS118" s="54">
        <f>Assumptions!AN$60</f>
        <v>0</v>
      </c>
      <c r="AT118" s="54">
        <f>Assumptions!AO$60</f>
        <v>0</v>
      </c>
      <c r="AU118" s="54">
        <f>Assumptions!AP$60</f>
        <v>0</v>
      </c>
    </row>
    <row r="119" spans="1:47">
      <c r="E119" s="326"/>
      <c r="G119" s="39"/>
      <c r="H119" s="39"/>
      <c r="I119" s="39"/>
      <c r="J119" s="39"/>
      <c r="K119" s="39"/>
    </row>
    <row r="120" spans="1:47" s="255" customFormat="1">
      <c r="E120" s="327"/>
      <c r="F120" s="28"/>
      <c r="G120" s="324" t="str">
        <f>C117&amp;" O&amp;M"</f>
        <v>Ash Conveyance &amp; Storage O&amp;M</v>
      </c>
      <c r="H120" s="324"/>
      <c r="I120" s="324"/>
      <c r="J120" s="324"/>
      <c r="K120" s="324"/>
      <c r="L120" s="405" t="s">
        <v>79</v>
      </c>
      <c r="M120" s="256"/>
      <c r="N120" s="325" t="s">
        <v>490</v>
      </c>
      <c r="O120" s="311"/>
      <c r="P120" s="325" t="s">
        <v>491</v>
      </c>
      <c r="Q120" s="310"/>
      <c r="R120" s="325">
        <f>R$8</f>
        <v>2014</v>
      </c>
      <c r="S120" s="325">
        <f t="shared" ref="S120:AU120" si="82">S$8</f>
        <v>2015</v>
      </c>
      <c r="T120" s="325">
        <f t="shared" si="82"/>
        <v>2016</v>
      </c>
      <c r="U120" s="325">
        <f t="shared" si="82"/>
        <v>2017</v>
      </c>
      <c r="V120" s="325">
        <f t="shared" si="82"/>
        <v>2018</v>
      </c>
      <c r="W120" s="325">
        <f t="shared" si="82"/>
        <v>2019</v>
      </c>
      <c r="X120" s="325">
        <f t="shared" si="82"/>
        <v>2020</v>
      </c>
      <c r="Y120" s="325">
        <f t="shared" si="82"/>
        <v>2021</v>
      </c>
      <c r="Z120" s="325">
        <f t="shared" si="82"/>
        <v>2022</v>
      </c>
      <c r="AA120" s="325">
        <f t="shared" si="82"/>
        <v>2023</v>
      </c>
      <c r="AB120" s="325">
        <f t="shared" si="82"/>
        <v>2024</v>
      </c>
      <c r="AC120" s="325">
        <f t="shared" si="82"/>
        <v>2025</v>
      </c>
      <c r="AD120" s="325">
        <f t="shared" si="82"/>
        <v>2026</v>
      </c>
      <c r="AE120" s="325">
        <f t="shared" si="82"/>
        <v>2027</v>
      </c>
      <c r="AF120" s="325">
        <f t="shared" si="82"/>
        <v>2028</v>
      </c>
      <c r="AG120" s="325">
        <f t="shared" si="82"/>
        <v>2029</v>
      </c>
      <c r="AH120" s="325">
        <f t="shared" si="82"/>
        <v>2030</v>
      </c>
      <c r="AI120" s="325">
        <f t="shared" si="82"/>
        <v>2031</v>
      </c>
      <c r="AJ120" s="325">
        <f t="shared" si="82"/>
        <v>2032</v>
      </c>
      <c r="AK120" s="325">
        <f t="shared" si="82"/>
        <v>2033</v>
      </c>
      <c r="AL120" s="325">
        <f t="shared" si="82"/>
        <v>2034</v>
      </c>
      <c r="AM120" s="325">
        <f t="shared" si="82"/>
        <v>2035</v>
      </c>
      <c r="AN120" s="325">
        <f t="shared" si="82"/>
        <v>2036</v>
      </c>
      <c r="AO120" s="325">
        <f t="shared" si="82"/>
        <v>2037</v>
      </c>
      <c r="AP120" s="325">
        <f t="shared" si="82"/>
        <v>2038</v>
      </c>
      <c r="AQ120" s="325">
        <f t="shared" si="82"/>
        <v>2039</v>
      </c>
      <c r="AR120" s="325">
        <f t="shared" si="82"/>
        <v>2040</v>
      </c>
      <c r="AS120" s="325">
        <f t="shared" si="82"/>
        <v>2041</v>
      </c>
      <c r="AT120" s="325">
        <f t="shared" si="82"/>
        <v>2042</v>
      </c>
      <c r="AU120" s="325">
        <f t="shared" si="82"/>
        <v>2043</v>
      </c>
    </row>
    <row r="121" spans="1:47">
      <c r="E121" s="325"/>
      <c r="G121" s="39"/>
      <c r="H121" s="39"/>
      <c r="I121" s="39"/>
      <c r="J121" s="39"/>
      <c r="K121" s="39"/>
    </row>
    <row r="122" spans="1:47">
      <c r="E122" s="325"/>
      <c r="G122" s="39" t="s">
        <v>23</v>
      </c>
      <c r="H122" s="39"/>
      <c r="I122" s="39"/>
      <c r="J122" s="39"/>
      <c r="K122" s="39"/>
    </row>
    <row r="123" spans="1:47">
      <c r="A123" s="38" t="str">
        <f t="shared" ref="A123:A130" si="83">$J$4&amp;"-"</f>
        <v>Custom-</v>
      </c>
      <c r="B123" s="38" t="s">
        <v>262</v>
      </c>
      <c r="C123" s="38" t="str">
        <f>C117</f>
        <v>Ash Conveyance &amp; Storage</v>
      </c>
      <c r="D123" s="186">
        <f>LaborEsc</f>
        <v>0.02</v>
      </c>
      <c r="E123" s="325"/>
      <c r="G123" s="36" t="s">
        <v>125</v>
      </c>
      <c r="I123" s="39"/>
      <c r="K123" s="39"/>
      <c r="L123" s="43" t="s">
        <v>266</v>
      </c>
      <c r="N123" s="70">
        <f ca="1">IF(VLOOKUP($C123,$G$69:$J$87,4,FALSE)="Off",0,SUMIFS(OFFSET(Assumptions!$I$90,0,MATCH($A123,Configurations,0)-1,COUNT(Assumptions!$A$90:$A$183),1),Assumptions!$D$90:$D$183,$B123&amp;$C123))</f>
        <v>0</v>
      </c>
      <c r="O123" s="313"/>
      <c r="P123" s="323"/>
      <c r="Q123" s="313"/>
      <c r="R123" s="50">
        <f t="shared" ref="R123:AU123" ca="1" si="84">IF(OR(R$99&lt;InServiceYr,R$99&gt;(InServiceYr+analysis_period-1)),0,IF($P123=0,$N123,$P123)*LaborCost*(1+$D123)^(R$99-CostBaseYr))</f>
        <v>0</v>
      </c>
      <c r="S123" s="50">
        <f t="shared" ca="1" si="84"/>
        <v>0</v>
      </c>
      <c r="T123" s="50">
        <f t="shared" ca="1" si="84"/>
        <v>0</v>
      </c>
      <c r="U123" s="50">
        <f t="shared" ca="1" si="84"/>
        <v>0</v>
      </c>
      <c r="V123" s="50">
        <f t="shared" ca="1" si="84"/>
        <v>0</v>
      </c>
      <c r="W123" s="50">
        <f t="shared" ca="1" si="84"/>
        <v>0</v>
      </c>
      <c r="X123" s="50">
        <f t="shared" ca="1" si="84"/>
        <v>0</v>
      </c>
      <c r="Y123" s="50">
        <f t="shared" ca="1" si="84"/>
        <v>0</v>
      </c>
      <c r="Z123" s="50">
        <f t="shared" ca="1" si="84"/>
        <v>0</v>
      </c>
      <c r="AA123" s="50">
        <f t="shared" ca="1" si="84"/>
        <v>0</v>
      </c>
      <c r="AB123" s="50">
        <f t="shared" ca="1" si="84"/>
        <v>0</v>
      </c>
      <c r="AC123" s="50">
        <f t="shared" ca="1" si="84"/>
        <v>0</v>
      </c>
      <c r="AD123" s="50">
        <f t="shared" ca="1" si="84"/>
        <v>0</v>
      </c>
      <c r="AE123" s="50">
        <f t="shared" ca="1" si="84"/>
        <v>0</v>
      </c>
      <c r="AF123" s="50">
        <f t="shared" ca="1" si="84"/>
        <v>0</v>
      </c>
      <c r="AG123" s="50">
        <f t="shared" ca="1" si="84"/>
        <v>0</v>
      </c>
      <c r="AH123" s="50">
        <f t="shared" ca="1" si="84"/>
        <v>0</v>
      </c>
      <c r="AI123" s="50">
        <f t="shared" ca="1" si="84"/>
        <v>0</v>
      </c>
      <c r="AJ123" s="50">
        <f t="shared" ca="1" si="84"/>
        <v>0</v>
      </c>
      <c r="AK123" s="50">
        <f t="shared" ca="1" si="84"/>
        <v>0</v>
      </c>
      <c r="AL123" s="50">
        <f t="shared" si="84"/>
        <v>0</v>
      </c>
      <c r="AM123" s="50">
        <f t="shared" si="84"/>
        <v>0</v>
      </c>
      <c r="AN123" s="50">
        <f t="shared" si="84"/>
        <v>0</v>
      </c>
      <c r="AO123" s="50">
        <f t="shared" si="84"/>
        <v>0</v>
      </c>
      <c r="AP123" s="50">
        <f t="shared" si="84"/>
        <v>0</v>
      </c>
      <c r="AQ123" s="50">
        <f t="shared" si="84"/>
        <v>0</v>
      </c>
      <c r="AR123" s="50">
        <f t="shared" si="84"/>
        <v>0</v>
      </c>
      <c r="AS123" s="50">
        <f t="shared" si="84"/>
        <v>0</v>
      </c>
      <c r="AT123" s="50">
        <f t="shared" si="84"/>
        <v>0</v>
      </c>
      <c r="AU123" s="50">
        <f t="shared" si="84"/>
        <v>0</v>
      </c>
    </row>
    <row r="124" spans="1:47">
      <c r="A124" s="38" t="str">
        <f t="shared" si="83"/>
        <v>Custom-</v>
      </c>
      <c r="B124" s="38" t="s">
        <v>270</v>
      </c>
      <c r="C124" s="38" t="str">
        <f>C123</f>
        <v>Ash Conveyance &amp; Storage</v>
      </c>
      <c r="D124" s="186">
        <f>OMEsc</f>
        <v>0.02</v>
      </c>
      <c r="E124" s="325"/>
      <c r="G124" s="36" t="s">
        <v>126</v>
      </c>
      <c r="I124" s="39"/>
      <c r="K124" s="39"/>
      <c r="L124" s="43" t="str">
        <f>"["&amp;CostBaseYr&amp;" $]"</f>
        <v>[2013 $]</v>
      </c>
      <c r="N124" s="70">
        <f ca="1">IF(VLOOKUP($C124,$G$69:$J$87,4,FALSE)="Off",0,SUMIFS(OFFSET(Assumptions!$I$90,0,MATCH($A124,Configurations,0)-1,COUNT(Assumptions!$A$90:$A$183),1),Assumptions!$D$90:$D$183,$B124&amp;$C124))</f>
        <v>0</v>
      </c>
      <c r="O124" s="313"/>
      <c r="P124" s="323"/>
      <c r="Q124" s="313"/>
      <c r="R124" s="50">
        <f t="shared" ref="R124:AG126" ca="1" si="85">IF(OR(R$99&lt;InServiceYr,R$99&gt;(InServiceYr+analysis_period-1)),0,IF($P124=0,$N124,$P124)*(1+$D124)^(R$99-CostBaseYr))</f>
        <v>0</v>
      </c>
      <c r="S124" s="50">
        <f t="shared" ca="1" si="85"/>
        <v>0</v>
      </c>
      <c r="T124" s="50">
        <f t="shared" ca="1" si="85"/>
        <v>0</v>
      </c>
      <c r="U124" s="50">
        <f t="shared" ca="1" si="85"/>
        <v>0</v>
      </c>
      <c r="V124" s="50">
        <f t="shared" ca="1" si="85"/>
        <v>0</v>
      </c>
      <c r="W124" s="50">
        <f t="shared" ca="1" si="85"/>
        <v>0</v>
      </c>
      <c r="X124" s="50">
        <f t="shared" ca="1" si="85"/>
        <v>0</v>
      </c>
      <c r="Y124" s="50">
        <f t="shared" ca="1" si="85"/>
        <v>0</v>
      </c>
      <c r="Z124" s="50">
        <f t="shared" ca="1" si="85"/>
        <v>0</v>
      </c>
      <c r="AA124" s="50">
        <f t="shared" ca="1" si="85"/>
        <v>0</v>
      </c>
      <c r="AB124" s="50">
        <f t="shared" ca="1" si="85"/>
        <v>0</v>
      </c>
      <c r="AC124" s="50">
        <f t="shared" ca="1" si="85"/>
        <v>0</v>
      </c>
      <c r="AD124" s="50">
        <f t="shared" ca="1" si="85"/>
        <v>0</v>
      </c>
      <c r="AE124" s="50">
        <f t="shared" ca="1" si="85"/>
        <v>0</v>
      </c>
      <c r="AF124" s="50">
        <f t="shared" ca="1" si="85"/>
        <v>0</v>
      </c>
      <c r="AG124" s="50">
        <f t="shared" ca="1" si="85"/>
        <v>0</v>
      </c>
      <c r="AH124" s="50">
        <f t="shared" ref="S124:AU126" ca="1" si="86">IF(OR(AH$99&lt;InServiceYr,AH$99&gt;(InServiceYr+analysis_period-1)),0,IF($P124=0,$N124,$P124)*(1+$D124)^(AH$99-CostBaseYr))</f>
        <v>0</v>
      </c>
      <c r="AI124" s="50">
        <f t="shared" ca="1" si="86"/>
        <v>0</v>
      </c>
      <c r="AJ124" s="50">
        <f t="shared" ca="1" si="86"/>
        <v>0</v>
      </c>
      <c r="AK124" s="50">
        <f t="shared" ca="1" si="86"/>
        <v>0</v>
      </c>
      <c r="AL124" s="50">
        <f t="shared" si="86"/>
        <v>0</v>
      </c>
      <c r="AM124" s="50">
        <f t="shared" si="86"/>
        <v>0</v>
      </c>
      <c r="AN124" s="50">
        <f t="shared" si="86"/>
        <v>0</v>
      </c>
      <c r="AO124" s="50">
        <f t="shared" si="86"/>
        <v>0</v>
      </c>
      <c r="AP124" s="50">
        <f t="shared" si="86"/>
        <v>0</v>
      </c>
      <c r="AQ124" s="50">
        <f t="shared" si="86"/>
        <v>0</v>
      </c>
      <c r="AR124" s="50">
        <f t="shared" si="86"/>
        <v>0</v>
      </c>
      <c r="AS124" s="50">
        <f t="shared" si="86"/>
        <v>0</v>
      </c>
      <c r="AT124" s="50">
        <f t="shared" si="86"/>
        <v>0</v>
      </c>
      <c r="AU124" s="50">
        <f t="shared" si="86"/>
        <v>0</v>
      </c>
    </row>
    <row r="125" spans="1:47">
      <c r="A125" s="38" t="str">
        <f t="shared" si="83"/>
        <v>Custom-</v>
      </c>
      <c r="B125" s="38" t="s">
        <v>263</v>
      </c>
      <c r="C125" s="38" t="str">
        <f t="shared" ref="C125:C129" si="87">C124</f>
        <v>Ash Conveyance &amp; Storage</v>
      </c>
      <c r="D125" s="186">
        <f>OMEsc</f>
        <v>0.02</v>
      </c>
      <c r="E125" s="325"/>
      <c r="G125" s="36" t="s">
        <v>127</v>
      </c>
      <c r="I125" s="39"/>
      <c r="K125" s="39"/>
      <c r="L125" s="43" t="str">
        <f>"["&amp;CostBaseYr&amp;" $]"</f>
        <v>[2013 $]</v>
      </c>
      <c r="N125" s="70">
        <f ca="1">IF(VLOOKUP($C125,$G$69:$J$87,4,FALSE)="Off",0,SUMIFS(OFFSET(Assumptions!$I$90,0,MATCH($A125,Configurations,0)-1,COUNT(Assumptions!$A$90:$A$183),1),Assumptions!$D$90:$D$183,$B125&amp;$C125))</f>
        <v>0</v>
      </c>
      <c r="O125" s="313"/>
      <c r="P125" s="323"/>
      <c r="Q125" s="313"/>
      <c r="R125" s="50">
        <f t="shared" ca="1" si="85"/>
        <v>0</v>
      </c>
      <c r="S125" s="50">
        <f t="shared" ca="1" si="86"/>
        <v>0</v>
      </c>
      <c r="T125" s="50">
        <f t="shared" ca="1" si="86"/>
        <v>0</v>
      </c>
      <c r="U125" s="50">
        <f t="shared" ca="1" si="86"/>
        <v>0</v>
      </c>
      <c r="V125" s="50">
        <f t="shared" ca="1" si="86"/>
        <v>0</v>
      </c>
      <c r="W125" s="50">
        <f t="shared" ca="1" si="86"/>
        <v>0</v>
      </c>
      <c r="X125" s="50">
        <f t="shared" ca="1" si="86"/>
        <v>0</v>
      </c>
      <c r="Y125" s="50">
        <f t="shared" ca="1" si="86"/>
        <v>0</v>
      </c>
      <c r="Z125" s="50">
        <f t="shared" ca="1" si="86"/>
        <v>0</v>
      </c>
      <c r="AA125" s="50">
        <f t="shared" ca="1" si="86"/>
        <v>0</v>
      </c>
      <c r="AB125" s="50">
        <f t="shared" ca="1" si="86"/>
        <v>0</v>
      </c>
      <c r="AC125" s="50">
        <f t="shared" ca="1" si="86"/>
        <v>0</v>
      </c>
      <c r="AD125" s="50">
        <f t="shared" ca="1" si="86"/>
        <v>0</v>
      </c>
      <c r="AE125" s="50">
        <f t="shared" ca="1" si="86"/>
        <v>0</v>
      </c>
      <c r="AF125" s="50">
        <f t="shared" ca="1" si="86"/>
        <v>0</v>
      </c>
      <c r="AG125" s="50">
        <f t="shared" ca="1" si="86"/>
        <v>0</v>
      </c>
      <c r="AH125" s="50">
        <f t="shared" ca="1" si="86"/>
        <v>0</v>
      </c>
      <c r="AI125" s="50">
        <f t="shared" ca="1" si="86"/>
        <v>0</v>
      </c>
      <c r="AJ125" s="50">
        <f t="shared" ca="1" si="86"/>
        <v>0</v>
      </c>
      <c r="AK125" s="50">
        <f t="shared" ca="1" si="86"/>
        <v>0</v>
      </c>
      <c r="AL125" s="50">
        <f t="shared" si="86"/>
        <v>0</v>
      </c>
      <c r="AM125" s="50">
        <f t="shared" si="86"/>
        <v>0</v>
      </c>
      <c r="AN125" s="50">
        <f t="shared" si="86"/>
        <v>0</v>
      </c>
      <c r="AO125" s="50">
        <f t="shared" si="86"/>
        <v>0</v>
      </c>
      <c r="AP125" s="50">
        <f t="shared" si="86"/>
        <v>0</v>
      </c>
      <c r="AQ125" s="50">
        <f t="shared" si="86"/>
        <v>0</v>
      </c>
      <c r="AR125" s="50">
        <f t="shared" si="86"/>
        <v>0</v>
      </c>
      <c r="AS125" s="50">
        <f t="shared" si="86"/>
        <v>0</v>
      </c>
      <c r="AT125" s="50">
        <f t="shared" si="86"/>
        <v>0</v>
      </c>
      <c r="AU125" s="50">
        <f t="shared" si="86"/>
        <v>0</v>
      </c>
    </row>
    <row r="126" spans="1:47">
      <c r="A126" s="38" t="str">
        <f t="shared" si="83"/>
        <v>Custom-</v>
      </c>
      <c r="B126" s="38" t="s">
        <v>277</v>
      </c>
      <c r="C126" s="38" t="str">
        <f t="shared" si="87"/>
        <v>Ash Conveyance &amp; Storage</v>
      </c>
      <c r="D126" s="186">
        <f>OMEsc</f>
        <v>0.02</v>
      </c>
      <c r="E126" s="325"/>
      <c r="G126" s="36" t="s">
        <v>276</v>
      </c>
      <c r="I126" s="39"/>
      <c r="K126" s="39"/>
      <c r="L126" s="43" t="str">
        <f>"["&amp;CostBaseYr&amp;" $]"</f>
        <v>[2013 $]</v>
      </c>
      <c r="N126" s="70">
        <f ca="1">IF(VLOOKUP($C126,$G$69:$J$87,4,FALSE)="Off",0,SUMIFS(OFFSET(Assumptions!$I$90,0,MATCH($A126,Configurations,0)-1,COUNT(Assumptions!$A$90:$A$183),1),Assumptions!$D$90:$D$183,$B126&amp;$C126))</f>
        <v>0</v>
      </c>
      <c r="O126" s="313"/>
      <c r="P126" s="323"/>
      <c r="Q126" s="313"/>
      <c r="R126" s="50">
        <f t="shared" ca="1" si="85"/>
        <v>0</v>
      </c>
      <c r="S126" s="50">
        <f t="shared" ca="1" si="86"/>
        <v>0</v>
      </c>
      <c r="T126" s="50">
        <f t="shared" ca="1" si="86"/>
        <v>0</v>
      </c>
      <c r="U126" s="50">
        <f t="shared" ca="1" si="86"/>
        <v>0</v>
      </c>
      <c r="V126" s="50">
        <f t="shared" ca="1" si="86"/>
        <v>0</v>
      </c>
      <c r="W126" s="50">
        <f t="shared" ca="1" si="86"/>
        <v>0</v>
      </c>
      <c r="X126" s="50">
        <f t="shared" ca="1" si="86"/>
        <v>0</v>
      </c>
      <c r="Y126" s="50">
        <f t="shared" ca="1" si="86"/>
        <v>0</v>
      </c>
      <c r="Z126" s="50">
        <f t="shared" ca="1" si="86"/>
        <v>0</v>
      </c>
      <c r="AA126" s="50">
        <f t="shared" ca="1" si="86"/>
        <v>0</v>
      </c>
      <c r="AB126" s="50">
        <f t="shared" ca="1" si="86"/>
        <v>0</v>
      </c>
      <c r="AC126" s="50">
        <f t="shared" ca="1" si="86"/>
        <v>0</v>
      </c>
      <c r="AD126" s="50">
        <f t="shared" ca="1" si="86"/>
        <v>0</v>
      </c>
      <c r="AE126" s="50">
        <f t="shared" ca="1" si="86"/>
        <v>0</v>
      </c>
      <c r="AF126" s="50">
        <f t="shared" ca="1" si="86"/>
        <v>0</v>
      </c>
      <c r="AG126" s="50">
        <f t="shared" ca="1" si="86"/>
        <v>0</v>
      </c>
      <c r="AH126" s="50">
        <f t="shared" ca="1" si="86"/>
        <v>0</v>
      </c>
      <c r="AI126" s="50">
        <f t="shared" ca="1" si="86"/>
        <v>0</v>
      </c>
      <c r="AJ126" s="50">
        <f t="shared" ca="1" si="86"/>
        <v>0</v>
      </c>
      <c r="AK126" s="50">
        <f t="shared" ca="1" si="86"/>
        <v>0</v>
      </c>
      <c r="AL126" s="50">
        <f t="shared" si="86"/>
        <v>0</v>
      </c>
      <c r="AM126" s="50">
        <f t="shared" si="86"/>
        <v>0</v>
      </c>
      <c r="AN126" s="50">
        <f t="shared" si="86"/>
        <v>0</v>
      </c>
      <c r="AO126" s="50">
        <f t="shared" si="86"/>
        <v>0</v>
      </c>
      <c r="AP126" s="50">
        <f t="shared" si="86"/>
        <v>0</v>
      </c>
      <c r="AQ126" s="50">
        <f t="shared" si="86"/>
        <v>0</v>
      </c>
      <c r="AR126" s="50">
        <f t="shared" si="86"/>
        <v>0</v>
      </c>
      <c r="AS126" s="50">
        <f t="shared" si="86"/>
        <v>0</v>
      </c>
      <c r="AT126" s="50">
        <f t="shared" si="86"/>
        <v>0</v>
      </c>
      <c r="AU126" s="50">
        <f t="shared" si="86"/>
        <v>0</v>
      </c>
    </row>
    <row r="127" spans="1:47">
      <c r="A127" s="38" t="str">
        <f t="shared" si="83"/>
        <v>Custom-</v>
      </c>
      <c r="B127" s="38" t="s">
        <v>274</v>
      </c>
      <c r="C127" s="38" t="str">
        <f t="shared" si="87"/>
        <v>Ash Conveyance &amp; Storage</v>
      </c>
      <c r="D127" s="186"/>
      <c r="E127" s="325"/>
      <c r="G127" s="36" t="s">
        <v>16</v>
      </c>
      <c r="I127" s="39"/>
      <c r="K127" s="39"/>
      <c r="L127" s="43" t="s">
        <v>275</v>
      </c>
      <c r="N127" s="70">
        <f ca="1">IF(VLOOKUP($C127,$G$69:$J$87,4,FALSE)="Off",0,SUMIFS(OFFSET(Assumptions!$I$90,0,MATCH($A127,Configurations,0)-1,COUNT(Assumptions!$A$90:$A$183),1),Assumptions!$D$90:$D$183,$B127&amp;$C127))</f>
        <v>0</v>
      </c>
      <c r="O127" s="313"/>
      <c r="P127" s="323"/>
      <c r="Q127" s="313"/>
      <c r="R127" s="50">
        <f t="shared" ref="R127:AU127" ca="1" si="88">IF(OR(R$99&lt;InServiceYr,R$99&gt;(InServiceYr+analysis_period-1)),0,IF($P127=0,$N127,$P127)*R$505)</f>
        <v>0</v>
      </c>
      <c r="S127" s="50">
        <f t="shared" ca="1" si="88"/>
        <v>0</v>
      </c>
      <c r="T127" s="50">
        <f t="shared" ca="1" si="88"/>
        <v>0</v>
      </c>
      <c r="U127" s="50">
        <f t="shared" ca="1" si="88"/>
        <v>0</v>
      </c>
      <c r="V127" s="50">
        <f t="shared" ca="1" si="88"/>
        <v>0</v>
      </c>
      <c r="W127" s="50">
        <f t="shared" ca="1" si="88"/>
        <v>0</v>
      </c>
      <c r="X127" s="50">
        <f t="shared" ca="1" si="88"/>
        <v>0</v>
      </c>
      <c r="Y127" s="50">
        <f t="shared" ca="1" si="88"/>
        <v>0</v>
      </c>
      <c r="Z127" s="50">
        <f t="shared" ca="1" si="88"/>
        <v>0</v>
      </c>
      <c r="AA127" s="50">
        <f t="shared" ca="1" si="88"/>
        <v>0</v>
      </c>
      <c r="AB127" s="50">
        <f t="shared" ca="1" si="88"/>
        <v>0</v>
      </c>
      <c r="AC127" s="50">
        <f t="shared" ca="1" si="88"/>
        <v>0</v>
      </c>
      <c r="AD127" s="50">
        <f t="shared" ca="1" si="88"/>
        <v>0</v>
      </c>
      <c r="AE127" s="50">
        <f t="shared" ca="1" si="88"/>
        <v>0</v>
      </c>
      <c r="AF127" s="50">
        <f t="shared" ca="1" si="88"/>
        <v>0</v>
      </c>
      <c r="AG127" s="50">
        <f t="shared" ca="1" si="88"/>
        <v>0</v>
      </c>
      <c r="AH127" s="50">
        <f t="shared" ca="1" si="88"/>
        <v>0</v>
      </c>
      <c r="AI127" s="50">
        <f t="shared" ca="1" si="88"/>
        <v>0</v>
      </c>
      <c r="AJ127" s="50">
        <f t="shared" ca="1" si="88"/>
        <v>0</v>
      </c>
      <c r="AK127" s="50">
        <f t="shared" ca="1" si="88"/>
        <v>0</v>
      </c>
      <c r="AL127" s="50">
        <f t="shared" si="88"/>
        <v>0</v>
      </c>
      <c r="AM127" s="50">
        <f t="shared" si="88"/>
        <v>0</v>
      </c>
      <c r="AN127" s="50">
        <f t="shared" si="88"/>
        <v>0</v>
      </c>
      <c r="AO127" s="50">
        <f t="shared" si="88"/>
        <v>0</v>
      </c>
      <c r="AP127" s="50">
        <f t="shared" si="88"/>
        <v>0</v>
      </c>
      <c r="AQ127" s="50">
        <f t="shared" si="88"/>
        <v>0</v>
      </c>
      <c r="AR127" s="50">
        <f t="shared" si="88"/>
        <v>0</v>
      </c>
      <c r="AS127" s="50">
        <f t="shared" si="88"/>
        <v>0</v>
      </c>
      <c r="AT127" s="50">
        <f t="shared" si="88"/>
        <v>0</v>
      </c>
      <c r="AU127" s="50">
        <f t="shared" si="88"/>
        <v>0</v>
      </c>
    </row>
    <row r="128" spans="1:47">
      <c r="A128" s="38" t="str">
        <f t="shared" si="83"/>
        <v>Custom-</v>
      </c>
      <c r="B128" s="38" t="s">
        <v>257</v>
      </c>
      <c r="C128" s="38" t="str">
        <f t="shared" si="87"/>
        <v>Ash Conveyance &amp; Storage</v>
      </c>
      <c r="D128" s="186"/>
      <c r="E128" s="325"/>
      <c r="G128" s="36" t="s">
        <v>284</v>
      </c>
      <c r="I128" s="39"/>
      <c r="K128" s="39"/>
      <c r="L128" s="43" t="s">
        <v>293</v>
      </c>
      <c r="N128" s="70">
        <f ca="1">IF(VLOOKUP($C128,$G$69:$J$87,4,FALSE)="Off",0,SUMIFS(OFFSET(Assumptions!$I$90,0,MATCH($A128,Configurations,0)-1,COUNT(Assumptions!$A$90:$A$183),1),Assumptions!$D$90:$D$183,$B128&amp;$C128))</f>
        <v>0</v>
      </c>
      <c r="O128" s="313"/>
      <c r="P128" s="323"/>
      <c r="Q128" s="313"/>
      <c r="R128" s="50">
        <f t="shared" ref="R128:AU128" ca="1" si="89">IF(OR(R$99&lt;InServiceYr,R$99&gt;(InServiceYr+analysis_period-1)),0,IF($P128=0,$N128,$P128)*R$501)</f>
        <v>0</v>
      </c>
      <c r="S128" s="50">
        <f t="shared" ca="1" si="89"/>
        <v>0</v>
      </c>
      <c r="T128" s="50">
        <f t="shared" ca="1" si="89"/>
        <v>0</v>
      </c>
      <c r="U128" s="50">
        <f t="shared" ca="1" si="89"/>
        <v>0</v>
      </c>
      <c r="V128" s="50">
        <f t="shared" ca="1" si="89"/>
        <v>0</v>
      </c>
      <c r="W128" s="50">
        <f t="shared" ca="1" si="89"/>
        <v>0</v>
      </c>
      <c r="X128" s="50">
        <f t="shared" ca="1" si="89"/>
        <v>0</v>
      </c>
      <c r="Y128" s="50">
        <f t="shared" ca="1" si="89"/>
        <v>0</v>
      </c>
      <c r="Z128" s="50">
        <f t="shared" ca="1" si="89"/>
        <v>0</v>
      </c>
      <c r="AA128" s="50">
        <f t="shared" ca="1" si="89"/>
        <v>0</v>
      </c>
      <c r="AB128" s="50">
        <f t="shared" ca="1" si="89"/>
        <v>0</v>
      </c>
      <c r="AC128" s="50">
        <f t="shared" ca="1" si="89"/>
        <v>0</v>
      </c>
      <c r="AD128" s="50">
        <f t="shared" ca="1" si="89"/>
        <v>0</v>
      </c>
      <c r="AE128" s="50">
        <f t="shared" ca="1" si="89"/>
        <v>0</v>
      </c>
      <c r="AF128" s="50">
        <f t="shared" ca="1" si="89"/>
        <v>0</v>
      </c>
      <c r="AG128" s="50">
        <f t="shared" ca="1" si="89"/>
        <v>0</v>
      </c>
      <c r="AH128" s="50">
        <f t="shared" ca="1" si="89"/>
        <v>0</v>
      </c>
      <c r="AI128" s="50">
        <f t="shared" ca="1" si="89"/>
        <v>0</v>
      </c>
      <c r="AJ128" s="50">
        <f t="shared" ca="1" si="89"/>
        <v>0</v>
      </c>
      <c r="AK128" s="50">
        <f t="shared" ca="1" si="89"/>
        <v>0</v>
      </c>
      <c r="AL128" s="50">
        <f t="shared" si="89"/>
        <v>0</v>
      </c>
      <c r="AM128" s="50">
        <f t="shared" si="89"/>
        <v>0</v>
      </c>
      <c r="AN128" s="50">
        <f t="shared" si="89"/>
        <v>0</v>
      </c>
      <c r="AO128" s="50">
        <f t="shared" si="89"/>
        <v>0</v>
      </c>
      <c r="AP128" s="50">
        <f t="shared" si="89"/>
        <v>0</v>
      </c>
      <c r="AQ128" s="50">
        <f t="shared" si="89"/>
        <v>0</v>
      </c>
      <c r="AR128" s="50">
        <f t="shared" si="89"/>
        <v>0</v>
      </c>
      <c r="AS128" s="50">
        <f t="shared" si="89"/>
        <v>0</v>
      </c>
      <c r="AT128" s="50">
        <f t="shared" si="89"/>
        <v>0</v>
      </c>
      <c r="AU128" s="50">
        <f t="shared" si="89"/>
        <v>0</v>
      </c>
    </row>
    <row r="129" spans="1:47">
      <c r="A129" s="38" t="str">
        <f t="shared" si="83"/>
        <v>Custom-</v>
      </c>
      <c r="B129" s="38" t="s">
        <v>864</v>
      </c>
      <c r="C129" s="38" t="str">
        <f t="shared" si="87"/>
        <v>Ash Conveyance &amp; Storage</v>
      </c>
      <c r="D129" s="186">
        <f>GHGEsc</f>
        <v>0.02</v>
      </c>
      <c r="E129" s="325"/>
      <c r="G129" s="36" t="s">
        <v>865</v>
      </c>
      <c r="I129" s="39"/>
      <c r="K129" s="39"/>
      <c r="L129" s="43" t="s">
        <v>866</v>
      </c>
      <c r="N129" s="70">
        <f ca="1">IF(VLOOKUP($C129,$G$69:$J$87,4,FALSE)="Off",0,SUMIFS(OFFSET(Assumptions!$I$90,0,MATCH($A129,Configurations,0)-1,COUNT(Assumptions!$A$90:$A$183),1),Assumptions!$D$90:$D$183,$B129&amp;$C129))</f>
        <v>0</v>
      </c>
      <c r="O129" s="313"/>
      <c r="P129" s="323"/>
      <c r="Q129" s="313"/>
      <c r="R129" s="50">
        <f t="shared" ref="R129:AU129" ca="1" si="90">IF(OR(R$99&lt;InServiceYr,R$99&gt;(InServiceYr+analysis_period-1)),0,IF($P129=0,$N129,$P129)*R$513)</f>
        <v>0</v>
      </c>
      <c r="S129" s="50">
        <f t="shared" ca="1" si="90"/>
        <v>0</v>
      </c>
      <c r="T129" s="50">
        <f t="shared" ca="1" si="90"/>
        <v>0</v>
      </c>
      <c r="U129" s="50">
        <f t="shared" ca="1" si="90"/>
        <v>0</v>
      </c>
      <c r="V129" s="50">
        <f t="shared" ca="1" si="90"/>
        <v>0</v>
      </c>
      <c r="W129" s="50">
        <f t="shared" ca="1" si="90"/>
        <v>0</v>
      </c>
      <c r="X129" s="50">
        <f t="shared" ca="1" si="90"/>
        <v>0</v>
      </c>
      <c r="Y129" s="50">
        <f t="shared" ca="1" si="90"/>
        <v>0</v>
      </c>
      <c r="Z129" s="50">
        <f t="shared" ca="1" si="90"/>
        <v>0</v>
      </c>
      <c r="AA129" s="50">
        <f t="shared" ca="1" si="90"/>
        <v>0</v>
      </c>
      <c r="AB129" s="50">
        <f t="shared" ca="1" si="90"/>
        <v>0</v>
      </c>
      <c r="AC129" s="50">
        <f t="shared" ca="1" si="90"/>
        <v>0</v>
      </c>
      <c r="AD129" s="50">
        <f t="shared" ca="1" si="90"/>
        <v>0</v>
      </c>
      <c r="AE129" s="50">
        <f t="shared" ca="1" si="90"/>
        <v>0</v>
      </c>
      <c r="AF129" s="50">
        <f t="shared" ca="1" si="90"/>
        <v>0</v>
      </c>
      <c r="AG129" s="50">
        <f t="shared" ca="1" si="90"/>
        <v>0</v>
      </c>
      <c r="AH129" s="50">
        <f t="shared" ca="1" si="90"/>
        <v>0</v>
      </c>
      <c r="AI129" s="50">
        <f t="shared" ca="1" si="90"/>
        <v>0</v>
      </c>
      <c r="AJ129" s="50">
        <f t="shared" ca="1" si="90"/>
        <v>0</v>
      </c>
      <c r="AK129" s="50">
        <f t="shared" ca="1" si="90"/>
        <v>0</v>
      </c>
      <c r="AL129" s="50">
        <f t="shared" si="90"/>
        <v>0</v>
      </c>
      <c r="AM129" s="50">
        <f t="shared" si="90"/>
        <v>0</v>
      </c>
      <c r="AN129" s="50">
        <f t="shared" si="90"/>
        <v>0</v>
      </c>
      <c r="AO129" s="50">
        <f t="shared" si="90"/>
        <v>0</v>
      </c>
      <c r="AP129" s="50">
        <f t="shared" si="90"/>
        <v>0</v>
      </c>
      <c r="AQ129" s="50">
        <f t="shared" si="90"/>
        <v>0</v>
      </c>
      <c r="AR129" s="50">
        <f t="shared" si="90"/>
        <v>0</v>
      </c>
      <c r="AS129" s="50">
        <f t="shared" si="90"/>
        <v>0</v>
      </c>
      <c r="AT129" s="50">
        <f t="shared" si="90"/>
        <v>0</v>
      </c>
      <c r="AU129" s="50">
        <f t="shared" si="90"/>
        <v>0</v>
      </c>
    </row>
    <row r="130" spans="1:47">
      <c r="A130" s="38" t="str">
        <f t="shared" si="83"/>
        <v>Custom-</v>
      </c>
      <c r="B130" s="38" t="s">
        <v>273</v>
      </c>
      <c r="C130" s="38" t="str">
        <f>C128</f>
        <v>Ash Conveyance &amp; Storage</v>
      </c>
      <c r="D130" s="186">
        <f>LaborEsc</f>
        <v>0.02</v>
      </c>
      <c r="E130" s="325"/>
      <c r="G130" s="36" t="s">
        <v>291</v>
      </c>
      <c r="I130" s="39"/>
      <c r="K130" s="39"/>
      <c r="L130" s="43" t="str">
        <f>"["&amp;CostBaseYr&amp;" $]"</f>
        <v>[2013 $]</v>
      </c>
      <c r="N130" s="70">
        <f ca="1">IF(VLOOKUP($C130,$G$69:$J$87,4,FALSE)="Off",0,SUMIFS(OFFSET(Assumptions!$I$90,0,MATCH($A130,Configurations,0)-1,COUNT(Assumptions!$A$90:$A$183),1),Assumptions!$D$90:$D$183,$B130&amp;$C130))</f>
        <v>0</v>
      </c>
      <c r="O130" s="313"/>
      <c r="P130" s="323"/>
      <c r="Q130" s="313"/>
      <c r="R130" s="50">
        <f t="shared" ref="R130:AU130" ca="1" si="91">IF(OR(R$99&lt;InServiceYr,R$99&gt;(InServiceYr+analysis_period-1)),0,IF($P130=0,$N130,$P130)*(1+$D130)^(R$99-CostBaseYr))*R$509</f>
        <v>0</v>
      </c>
      <c r="S130" s="50">
        <f t="shared" ca="1" si="91"/>
        <v>0</v>
      </c>
      <c r="T130" s="50">
        <f t="shared" ca="1" si="91"/>
        <v>0</v>
      </c>
      <c r="U130" s="50">
        <f t="shared" ca="1" si="91"/>
        <v>0</v>
      </c>
      <c r="V130" s="50">
        <f t="shared" ca="1" si="91"/>
        <v>0</v>
      </c>
      <c r="W130" s="50">
        <f t="shared" ca="1" si="91"/>
        <v>0</v>
      </c>
      <c r="X130" s="50">
        <f t="shared" ca="1" si="91"/>
        <v>0</v>
      </c>
      <c r="Y130" s="50">
        <f t="shared" ca="1" si="91"/>
        <v>0</v>
      </c>
      <c r="Z130" s="50">
        <f t="shared" ca="1" si="91"/>
        <v>0</v>
      </c>
      <c r="AA130" s="50">
        <f t="shared" ca="1" si="91"/>
        <v>0</v>
      </c>
      <c r="AB130" s="50">
        <f t="shared" ca="1" si="91"/>
        <v>0</v>
      </c>
      <c r="AC130" s="50">
        <f t="shared" ca="1" si="91"/>
        <v>0</v>
      </c>
      <c r="AD130" s="50">
        <f t="shared" ca="1" si="91"/>
        <v>0</v>
      </c>
      <c r="AE130" s="50">
        <f t="shared" ca="1" si="91"/>
        <v>0</v>
      </c>
      <c r="AF130" s="50">
        <f t="shared" ca="1" si="91"/>
        <v>0</v>
      </c>
      <c r="AG130" s="50">
        <f t="shared" ca="1" si="91"/>
        <v>0</v>
      </c>
      <c r="AH130" s="50">
        <f t="shared" ca="1" si="91"/>
        <v>0</v>
      </c>
      <c r="AI130" s="50">
        <f t="shared" ca="1" si="91"/>
        <v>0</v>
      </c>
      <c r="AJ130" s="50">
        <f t="shared" ca="1" si="91"/>
        <v>0</v>
      </c>
      <c r="AK130" s="50">
        <f t="shared" ca="1" si="91"/>
        <v>0</v>
      </c>
      <c r="AL130" s="50">
        <f t="shared" si="91"/>
        <v>0</v>
      </c>
      <c r="AM130" s="50">
        <f t="shared" si="91"/>
        <v>0</v>
      </c>
      <c r="AN130" s="50">
        <f t="shared" si="91"/>
        <v>0</v>
      </c>
      <c r="AO130" s="50">
        <f t="shared" si="91"/>
        <v>0</v>
      </c>
      <c r="AP130" s="50">
        <f t="shared" si="91"/>
        <v>0</v>
      </c>
      <c r="AQ130" s="50">
        <f t="shared" si="91"/>
        <v>0</v>
      </c>
      <c r="AR130" s="50">
        <f t="shared" si="91"/>
        <v>0</v>
      </c>
      <c r="AS130" s="50">
        <f t="shared" si="91"/>
        <v>0</v>
      </c>
      <c r="AT130" s="50">
        <f t="shared" si="91"/>
        <v>0</v>
      </c>
      <c r="AU130" s="50">
        <f t="shared" si="91"/>
        <v>0</v>
      </c>
    </row>
    <row r="131" spans="1:47">
      <c r="D131" s="186"/>
      <c r="E131" s="325"/>
      <c r="G131" s="39" t="s">
        <v>304</v>
      </c>
      <c r="I131" s="39"/>
      <c r="K131" s="39"/>
      <c r="L131" s="43"/>
      <c r="N131" s="70"/>
      <c r="O131" s="313"/>
      <c r="P131" s="70"/>
      <c r="Q131" s="313"/>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row>
    <row r="132" spans="1:47">
      <c r="A132" s="38" t="str">
        <f>$J$4&amp;"-"</f>
        <v>Custom-</v>
      </c>
      <c r="B132" s="38" t="s">
        <v>265</v>
      </c>
      <c r="C132" s="38" t="str">
        <f>C123</f>
        <v>Ash Conveyance &amp; Storage</v>
      </c>
      <c r="D132" s="186"/>
      <c r="E132" s="325"/>
      <c r="G132" s="36" t="s">
        <v>108</v>
      </c>
      <c r="I132" s="39"/>
      <c r="K132" s="39"/>
      <c r="L132" s="43" t="s">
        <v>293</v>
      </c>
      <c r="N132" s="70">
        <f ca="1">IF(VLOOKUP($C132,$G$69:$J$87,4,FALSE)="Off",0,SUMIFS(OFFSET(Assumptions!$I$90,0,MATCH($A132,Configurations,0)-1,COUNT(Assumptions!$A$90:$A$183),1),Assumptions!$D$90:$D$183,$B132&amp;$C132))</f>
        <v>0</v>
      </c>
      <c r="O132" s="313"/>
      <c r="P132" s="323"/>
      <c r="Q132" s="313"/>
      <c r="R132" s="50">
        <f t="shared" ref="R132:AU132" ca="1" si="92">IF(OR(R$99&lt;InServiceYr,R$99&gt;(InServiceYr+analysis_period-1)),0,IF($P132=0,$N132,$P132)*R$501)</f>
        <v>0</v>
      </c>
      <c r="S132" s="50">
        <f t="shared" ca="1" si="92"/>
        <v>0</v>
      </c>
      <c r="T132" s="50">
        <f t="shared" ca="1" si="92"/>
        <v>0</v>
      </c>
      <c r="U132" s="50">
        <f t="shared" ca="1" si="92"/>
        <v>0</v>
      </c>
      <c r="V132" s="50">
        <f t="shared" ca="1" si="92"/>
        <v>0</v>
      </c>
      <c r="W132" s="50">
        <f t="shared" ca="1" si="92"/>
        <v>0</v>
      </c>
      <c r="X132" s="50">
        <f t="shared" ca="1" si="92"/>
        <v>0</v>
      </c>
      <c r="Y132" s="50">
        <f t="shared" ca="1" si="92"/>
        <v>0</v>
      </c>
      <c r="Z132" s="50">
        <f t="shared" ca="1" si="92"/>
        <v>0</v>
      </c>
      <c r="AA132" s="50">
        <f t="shared" ca="1" si="92"/>
        <v>0</v>
      </c>
      <c r="AB132" s="50">
        <f t="shared" ca="1" si="92"/>
        <v>0</v>
      </c>
      <c r="AC132" s="50">
        <f t="shared" ca="1" si="92"/>
        <v>0</v>
      </c>
      <c r="AD132" s="50">
        <f t="shared" ca="1" si="92"/>
        <v>0</v>
      </c>
      <c r="AE132" s="50">
        <f t="shared" ca="1" si="92"/>
        <v>0</v>
      </c>
      <c r="AF132" s="50">
        <f t="shared" ca="1" si="92"/>
        <v>0</v>
      </c>
      <c r="AG132" s="50">
        <f t="shared" ca="1" si="92"/>
        <v>0</v>
      </c>
      <c r="AH132" s="50">
        <f t="shared" ca="1" si="92"/>
        <v>0</v>
      </c>
      <c r="AI132" s="50">
        <f t="shared" ca="1" si="92"/>
        <v>0</v>
      </c>
      <c r="AJ132" s="50">
        <f t="shared" ca="1" si="92"/>
        <v>0</v>
      </c>
      <c r="AK132" s="50">
        <f t="shared" ca="1" si="92"/>
        <v>0</v>
      </c>
      <c r="AL132" s="50">
        <f t="shared" si="92"/>
        <v>0</v>
      </c>
      <c r="AM132" s="50">
        <f t="shared" si="92"/>
        <v>0</v>
      </c>
      <c r="AN132" s="50">
        <f t="shared" si="92"/>
        <v>0</v>
      </c>
      <c r="AO132" s="50">
        <f t="shared" si="92"/>
        <v>0</v>
      </c>
      <c r="AP132" s="50">
        <f t="shared" si="92"/>
        <v>0</v>
      </c>
      <c r="AQ132" s="50">
        <f t="shared" si="92"/>
        <v>0</v>
      </c>
      <c r="AR132" s="50">
        <f t="shared" si="92"/>
        <v>0</v>
      </c>
      <c r="AS132" s="50">
        <f t="shared" si="92"/>
        <v>0</v>
      </c>
      <c r="AT132" s="50">
        <f t="shared" si="92"/>
        <v>0</v>
      </c>
      <c r="AU132" s="50">
        <f t="shared" si="92"/>
        <v>0</v>
      </c>
    </row>
    <row r="133" spans="1:47">
      <c r="A133" s="38" t="str">
        <f>$J$4&amp;"-"</f>
        <v>Custom-</v>
      </c>
      <c r="B133" s="38" t="s">
        <v>289</v>
      </c>
      <c r="C133" s="38" t="str">
        <f>C123</f>
        <v>Ash Conveyance &amp; Storage</v>
      </c>
      <c r="D133" s="186">
        <f>LaborEsc</f>
        <v>0.02</v>
      </c>
      <c r="E133" s="325"/>
      <c r="G133" s="36" t="s">
        <v>292</v>
      </c>
      <c r="I133" s="39"/>
      <c r="K133" s="39"/>
      <c r="L133" s="43" t="str">
        <f>"["&amp;CostBaseYr&amp;" $]"</f>
        <v>[2013 $]</v>
      </c>
      <c r="N133" s="70">
        <f ca="1">IF(VLOOKUP($C133,$G$69:$J$87,4,FALSE)="Off",0,SUMIFS(OFFSET(Assumptions!$I$90,0,MATCH($A133,Configurations,0)-1,COUNT(Assumptions!$A$90:$A$183),1),Assumptions!$D$90:$D$183,$B133&amp;$C133))</f>
        <v>0</v>
      </c>
      <c r="O133" s="313"/>
      <c r="P133" s="323"/>
      <c r="Q133" s="313"/>
      <c r="R133" s="50">
        <f t="shared" ref="R133:AU133" ca="1" si="93">IF(OR(R$99&lt;InServiceYr,R$99&gt;(InServiceYr+analysis_period-1)),0,IF($P133=0,$N133,$P133)*(1+$D133)^(R$99-CostBaseYr))</f>
        <v>0</v>
      </c>
      <c r="S133" s="50">
        <f t="shared" ca="1" si="93"/>
        <v>0</v>
      </c>
      <c r="T133" s="50">
        <f t="shared" ca="1" si="93"/>
        <v>0</v>
      </c>
      <c r="U133" s="50">
        <f t="shared" ca="1" si="93"/>
        <v>0</v>
      </c>
      <c r="V133" s="50">
        <f t="shared" ca="1" si="93"/>
        <v>0</v>
      </c>
      <c r="W133" s="50">
        <f t="shared" ca="1" si="93"/>
        <v>0</v>
      </c>
      <c r="X133" s="50">
        <f t="shared" ca="1" si="93"/>
        <v>0</v>
      </c>
      <c r="Y133" s="50">
        <f t="shared" ca="1" si="93"/>
        <v>0</v>
      </c>
      <c r="Z133" s="50">
        <f t="shared" ca="1" si="93"/>
        <v>0</v>
      </c>
      <c r="AA133" s="50">
        <f t="shared" ca="1" si="93"/>
        <v>0</v>
      </c>
      <c r="AB133" s="50">
        <f t="shared" ca="1" si="93"/>
        <v>0</v>
      </c>
      <c r="AC133" s="50">
        <f t="shared" ca="1" si="93"/>
        <v>0</v>
      </c>
      <c r="AD133" s="50">
        <f t="shared" ca="1" si="93"/>
        <v>0</v>
      </c>
      <c r="AE133" s="50">
        <f t="shared" ca="1" si="93"/>
        <v>0</v>
      </c>
      <c r="AF133" s="50">
        <f t="shared" ca="1" si="93"/>
        <v>0</v>
      </c>
      <c r="AG133" s="50">
        <f t="shared" ca="1" si="93"/>
        <v>0</v>
      </c>
      <c r="AH133" s="50">
        <f t="shared" ca="1" si="93"/>
        <v>0</v>
      </c>
      <c r="AI133" s="50">
        <f t="shared" ca="1" si="93"/>
        <v>0</v>
      </c>
      <c r="AJ133" s="50">
        <f t="shared" ca="1" si="93"/>
        <v>0</v>
      </c>
      <c r="AK133" s="50">
        <f t="shared" ca="1" si="93"/>
        <v>0</v>
      </c>
      <c r="AL133" s="50">
        <f t="shared" si="93"/>
        <v>0</v>
      </c>
      <c r="AM133" s="50">
        <f t="shared" si="93"/>
        <v>0</v>
      </c>
      <c r="AN133" s="50">
        <f t="shared" si="93"/>
        <v>0</v>
      </c>
      <c r="AO133" s="50">
        <f t="shared" si="93"/>
        <v>0</v>
      </c>
      <c r="AP133" s="50">
        <f t="shared" si="93"/>
        <v>0</v>
      </c>
      <c r="AQ133" s="50">
        <f t="shared" si="93"/>
        <v>0</v>
      </c>
      <c r="AR133" s="50">
        <f t="shared" si="93"/>
        <v>0</v>
      </c>
      <c r="AS133" s="50">
        <f t="shared" si="93"/>
        <v>0</v>
      </c>
      <c r="AT133" s="50">
        <f t="shared" si="93"/>
        <v>0</v>
      </c>
      <c r="AU133" s="50">
        <f t="shared" si="93"/>
        <v>0</v>
      </c>
    </row>
    <row r="134" spans="1:47">
      <c r="D134" s="186"/>
      <c r="E134" s="325"/>
      <c r="F134" s="60"/>
      <c r="G134" s="39" t="s">
        <v>305</v>
      </c>
      <c r="H134" s="60"/>
      <c r="I134" s="39"/>
      <c r="J134" s="60"/>
      <c r="K134" s="39"/>
      <c r="L134" s="174"/>
      <c r="M134" s="60"/>
      <c r="N134" s="188"/>
      <c r="O134" s="314"/>
      <c r="P134" s="185"/>
      <c r="Q134" s="314"/>
      <c r="R134" s="185">
        <f ca="1">SUM(R123:R130)-SUM(R132:R133)</f>
        <v>0</v>
      </c>
      <c r="S134" s="185">
        <f t="shared" ref="S134:AU134" ca="1" si="94">SUM(S123:S130)-SUM(S132:S133)</f>
        <v>0</v>
      </c>
      <c r="T134" s="185">
        <f t="shared" ca="1" si="94"/>
        <v>0</v>
      </c>
      <c r="U134" s="185">
        <f t="shared" ca="1" si="94"/>
        <v>0</v>
      </c>
      <c r="V134" s="185">
        <f t="shared" ca="1" si="94"/>
        <v>0</v>
      </c>
      <c r="W134" s="185">
        <f t="shared" ca="1" si="94"/>
        <v>0</v>
      </c>
      <c r="X134" s="185">
        <f t="shared" ca="1" si="94"/>
        <v>0</v>
      </c>
      <c r="Y134" s="185">
        <f t="shared" ca="1" si="94"/>
        <v>0</v>
      </c>
      <c r="Z134" s="185">
        <f t="shared" ca="1" si="94"/>
        <v>0</v>
      </c>
      <c r="AA134" s="185">
        <f t="shared" ca="1" si="94"/>
        <v>0</v>
      </c>
      <c r="AB134" s="185">
        <f t="shared" ca="1" si="94"/>
        <v>0</v>
      </c>
      <c r="AC134" s="185">
        <f t="shared" ca="1" si="94"/>
        <v>0</v>
      </c>
      <c r="AD134" s="185">
        <f t="shared" ca="1" si="94"/>
        <v>0</v>
      </c>
      <c r="AE134" s="185">
        <f t="shared" ca="1" si="94"/>
        <v>0</v>
      </c>
      <c r="AF134" s="185">
        <f t="shared" ca="1" si="94"/>
        <v>0</v>
      </c>
      <c r="AG134" s="185">
        <f t="shared" ca="1" si="94"/>
        <v>0</v>
      </c>
      <c r="AH134" s="185">
        <f t="shared" ca="1" si="94"/>
        <v>0</v>
      </c>
      <c r="AI134" s="185">
        <f t="shared" ca="1" si="94"/>
        <v>0</v>
      </c>
      <c r="AJ134" s="185">
        <f t="shared" ca="1" si="94"/>
        <v>0</v>
      </c>
      <c r="AK134" s="185">
        <f t="shared" ca="1" si="94"/>
        <v>0</v>
      </c>
      <c r="AL134" s="185">
        <f t="shared" si="94"/>
        <v>0</v>
      </c>
      <c r="AM134" s="185">
        <f t="shared" si="94"/>
        <v>0</v>
      </c>
      <c r="AN134" s="185">
        <f t="shared" si="94"/>
        <v>0</v>
      </c>
      <c r="AO134" s="185">
        <f t="shared" si="94"/>
        <v>0</v>
      </c>
      <c r="AP134" s="185">
        <f t="shared" si="94"/>
        <v>0</v>
      </c>
      <c r="AQ134" s="185">
        <f t="shared" si="94"/>
        <v>0</v>
      </c>
      <c r="AR134" s="185">
        <f t="shared" si="94"/>
        <v>0</v>
      </c>
      <c r="AS134" s="185">
        <f t="shared" si="94"/>
        <v>0</v>
      </c>
      <c r="AT134" s="185">
        <f t="shared" si="94"/>
        <v>0</v>
      </c>
      <c r="AU134" s="185">
        <f t="shared" si="94"/>
        <v>0</v>
      </c>
    </row>
    <row r="135" spans="1:47">
      <c r="G135" s="28"/>
      <c r="H135" s="28"/>
      <c r="I135" s="28"/>
      <c r="J135" s="28"/>
      <c r="K135" s="28"/>
      <c r="L135" s="409"/>
      <c r="M135" s="46"/>
      <c r="N135" s="46"/>
      <c r="O135" s="315"/>
      <c r="P135" s="46"/>
      <c r="Q135" s="315"/>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row>
    <row r="136" spans="1:47" s="255" customFormat="1">
      <c r="E136" s="327"/>
      <c r="F136" s="28"/>
      <c r="G136" s="324" t="str">
        <f>C138&amp;" Capital Costs"</f>
        <v>Belt Filter Press Dewatering Capital Costs</v>
      </c>
      <c r="H136" s="324"/>
      <c r="I136" s="324"/>
      <c r="J136" s="324"/>
      <c r="K136" s="324"/>
      <c r="L136" s="405" t="s">
        <v>79</v>
      </c>
      <c r="M136" s="256"/>
      <c r="N136" s="325" t="s">
        <v>490</v>
      </c>
      <c r="O136" s="311"/>
      <c r="P136" s="325" t="s">
        <v>491</v>
      </c>
      <c r="Q136" s="310"/>
      <c r="R136" s="325">
        <f>R$8</f>
        <v>2014</v>
      </c>
      <c r="S136" s="325">
        <f t="shared" ref="S136:AU136" si="95">S$8</f>
        <v>2015</v>
      </c>
      <c r="T136" s="325">
        <f t="shared" si="95"/>
        <v>2016</v>
      </c>
      <c r="U136" s="325">
        <f t="shared" si="95"/>
        <v>2017</v>
      </c>
      <c r="V136" s="325">
        <f t="shared" si="95"/>
        <v>2018</v>
      </c>
      <c r="W136" s="325">
        <f t="shared" si="95"/>
        <v>2019</v>
      </c>
      <c r="X136" s="325">
        <f t="shared" si="95"/>
        <v>2020</v>
      </c>
      <c r="Y136" s="325">
        <f t="shared" si="95"/>
        <v>2021</v>
      </c>
      <c r="Z136" s="325">
        <f t="shared" si="95"/>
        <v>2022</v>
      </c>
      <c r="AA136" s="325">
        <f t="shared" si="95"/>
        <v>2023</v>
      </c>
      <c r="AB136" s="325">
        <f t="shared" si="95"/>
        <v>2024</v>
      </c>
      <c r="AC136" s="325">
        <f t="shared" si="95"/>
        <v>2025</v>
      </c>
      <c r="AD136" s="325">
        <f t="shared" si="95"/>
        <v>2026</v>
      </c>
      <c r="AE136" s="325">
        <f t="shared" si="95"/>
        <v>2027</v>
      </c>
      <c r="AF136" s="325">
        <f t="shared" si="95"/>
        <v>2028</v>
      </c>
      <c r="AG136" s="325">
        <f t="shared" si="95"/>
        <v>2029</v>
      </c>
      <c r="AH136" s="325">
        <f t="shared" si="95"/>
        <v>2030</v>
      </c>
      <c r="AI136" s="325">
        <f t="shared" si="95"/>
        <v>2031</v>
      </c>
      <c r="AJ136" s="325">
        <f t="shared" si="95"/>
        <v>2032</v>
      </c>
      <c r="AK136" s="325">
        <f t="shared" si="95"/>
        <v>2033</v>
      </c>
      <c r="AL136" s="325">
        <f t="shared" si="95"/>
        <v>2034</v>
      </c>
      <c r="AM136" s="325">
        <f t="shared" si="95"/>
        <v>2035</v>
      </c>
      <c r="AN136" s="325">
        <f t="shared" si="95"/>
        <v>2036</v>
      </c>
      <c r="AO136" s="325">
        <f t="shared" si="95"/>
        <v>2037</v>
      </c>
      <c r="AP136" s="325">
        <f t="shared" si="95"/>
        <v>2038</v>
      </c>
      <c r="AQ136" s="325">
        <f t="shared" si="95"/>
        <v>2039</v>
      </c>
      <c r="AR136" s="325">
        <f t="shared" si="95"/>
        <v>2040</v>
      </c>
      <c r="AS136" s="325">
        <f t="shared" si="95"/>
        <v>2041</v>
      </c>
      <c r="AT136" s="325">
        <f t="shared" si="95"/>
        <v>2042</v>
      </c>
      <c r="AU136" s="325">
        <f t="shared" si="95"/>
        <v>2043</v>
      </c>
    </row>
    <row r="137" spans="1:47">
      <c r="E137" s="325"/>
      <c r="G137" s="39"/>
      <c r="H137" s="39"/>
      <c r="I137" s="39"/>
      <c r="J137" s="39"/>
      <c r="K137" s="39"/>
    </row>
    <row r="138" spans="1:47">
      <c r="A138" s="38" t="str">
        <f>$J$4&amp;"-"</f>
        <v>Custom-</v>
      </c>
      <c r="B138" s="38" t="s">
        <v>306</v>
      </c>
      <c r="C138" s="38" t="s">
        <v>143</v>
      </c>
      <c r="D138" s="186">
        <f>CapExEsc</f>
        <v>0.03</v>
      </c>
      <c r="E138" s="325"/>
      <c r="G138" s="36" t="s">
        <v>8</v>
      </c>
      <c r="H138" s="39"/>
      <c r="I138" s="39"/>
      <c r="J138" s="70"/>
      <c r="K138" s="39"/>
      <c r="L138" s="43" t="str">
        <f>"["&amp;CostBaseYr&amp;" $]"</f>
        <v>[2013 $]</v>
      </c>
      <c r="N138" s="52">
        <f ca="1">IF(VLOOKUP($C138,$G$69:$J$87,4,FALSE)="Off", 0,SUMIFS(OFFSET(Assumptions!$I$65,0,MATCH($A138,Configurations,0)-1,COUNT(Assumptions!$A$65:$A$84),1),Assumptions!$E$65:$E$84,$C138))</f>
        <v>0</v>
      </c>
      <c r="O138" s="52"/>
      <c r="P138" s="322"/>
      <c r="Q138" s="52"/>
      <c r="R138" s="52">
        <f t="shared" ref="R138:AU138" ca="1" si="96">R139*IF($P138=0,$N138,$P138)*(1+$D138)^(R$8-CostBaseYr)</f>
        <v>0</v>
      </c>
      <c r="S138" s="52">
        <f t="shared" ca="1" si="96"/>
        <v>0</v>
      </c>
      <c r="T138" s="52">
        <f t="shared" ca="1" si="96"/>
        <v>0</v>
      </c>
      <c r="U138" s="52">
        <f t="shared" ca="1" si="96"/>
        <v>0</v>
      </c>
      <c r="V138" s="52">
        <f t="shared" ca="1" si="96"/>
        <v>0</v>
      </c>
      <c r="W138" s="52">
        <f t="shared" ca="1" si="96"/>
        <v>0</v>
      </c>
      <c r="X138" s="52">
        <f t="shared" ca="1" si="96"/>
        <v>0</v>
      </c>
      <c r="Y138" s="52">
        <f t="shared" ca="1" si="96"/>
        <v>0</v>
      </c>
      <c r="Z138" s="52">
        <f t="shared" ca="1" si="96"/>
        <v>0</v>
      </c>
      <c r="AA138" s="52">
        <f t="shared" ca="1" si="96"/>
        <v>0</v>
      </c>
      <c r="AB138" s="52">
        <f t="shared" ca="1" si="96"/>
        <v>0</v>
      </c>
      <c r="AC138" s="52">
        <f t="shared" ca="1" si="96"/>
        <v>0</v>
      </c>
      <c r="AD138" s="52">
        <f t="shared" ca="1" si="96"/>
        <v>0</v>
      </c>
      <c r="AE138" s="52">
        <f t="shared" ca="1" si="96"/>
        <v>0</v>
      </c>
      <c r="AF138" s="52">
        <f t="shared" ca="1" si="96"/>
        <v>0</v>
      </c>
      <c r="AG138" s="52">
        <f t="shared" ca="1" si="96"/>
        <v>0</v>
      </c>
      <c r="AH138" s="52">
        <f t="shared" ca="1" si="96"/>
        <v>0</v>
      </c>
      <c r="AI138" s="52">
        <f t="shared" ca="1" si="96"/>
        <v>0</v>
      </c>
      <c r="AJ138" s="52">
        <f t="shared" ca="1" si="96"/>
        <v>0</v>
      </c>
      <c r="AK138" s="52">
        <f t="shared" ca="1" si="96"/>
        <v>0</v>
      </c>
      <c r="AL138" s="52">
        <f t="shared" ca="1" si="96"/>
        <v>0</v>
      </c>
      <c r="AM138" s="52">
        <f t="shared" ca="1" si="96"/>
        <v>0</v>
      </c>
      <c r="AN138" s="52">
        <f t="shared" ca="1" si="96"/>
        <v>0</v>
      </c>
      <c r="AO138" s="52">
        <f t="shared" ca="1" si="96"/>
        <v>0</v>
      </c>
      <c r="AP138" s="52">
        <f t="shared" ca="1" si="96"/>
        <v>0</v>
      </c>
      <c r="AQ138" s="52">
        <f t="shared" ca="1" si="96"/>
        <v>0</v>
      </c>
      <c r="AR138" s="52">
        <f t="shared" ca="1" si="96"/>
        <v>0</v>
      </c>
      <c r="AS138" s="52">
        <f t="shared" ca="1" si="96"/>
        <v>0</v>
      </c>
      <c r="AT138" s="52">
        <f t="shared" ca="1" si="96"/>
        <v>0</v>
      </c>
      <c r="AU138" s="52">
        <f t="shared" ca="1" si="96"/>
        <v>0</v>
      </c>
    </row>
    <row r="139" spans="1:47">
      <c r="E139" s="325"/>
      <c r="G139" s="36" t="s">
        <v>10</v>
      </c>
      <c r="H139" s="39"/>
      <c r="I139" s="39"/>
      <c r="J139" s="39"/>
      <c r="K139" s="39"/>
      <c r="L139" s="43"/>
      <c r="R139" s="54">
        <f>Assumptions!M$60</f>
        <v>1</v>
      </c>
      <c r="S139" s="54">
        <f>Assumptions!N$60</f>
        <v>0</v>
      </c>
      <c r="T139" s="54">
        <f>Assumptions!O$60</f>
        <v>0</v>
      </c>
      <c r="U139" s="54">
        <f>Assumptions!P$60</f>
        <v>0</v>
      </c>
      <c r="V139" s="54">
        <f>Assumptions!Q$60</f>
        <v>0</v>
      </c>
      <c r="W139" s="54">
        <f>Assumptions!R$60</f>
        <v>0</v>
      </c>
      <c r="X139" s="54">
        <f>Assumptions!S$60</f>
        <v>0</v>
      </c>
      <c r="Y139" s="54">
        <f>Assumptions!T$60</f>
        <v>0</v>
      </c>
      <c r="Z139" s="54">
        <f>Assumptions!U$60</f>
        <v>0</v>
      </c>
      <c r="AA139" s="54">
        <f>Assumptions!V$60</f>
        <v>0</v>
      </c>
      <c r="AB139" s="54">
        <f>Assumptions!W$60</f>
        <v>0</v>
      </c>
      <c r="AC139" s="54">
        <f>Assumptions!X$60</f>
        <v>0</v>
      </c>
      <c r="AD139" s="54">
        <f>Assumptions!Y$60</f>
        <v>0</v>
      </c>
      <c r="AE139" s="54">
        <f>Assumptions!Z$60</f>
        <v>0</v>
      </c>
      <c r="AF139" s="54">
        <f>Assumptions!AA$60</f>
        <v>0</v>
      </c>
      <c r="AG139" s="54">
        <f>Assumptions!AB$60</f>
        <v>0</v>
      </c>
      <c r="AH139" s="54">
        <f>Assumptions!AC$60</f>
        <v>0</v>
      </c>
      <c r="AI139" s="54">
        <f>Assumptions!AD$60</f>
        <v>0</v>
      </c>
      <c r="AJ139" s="54">
        <f>Assumptions!AE$60</f>
        <v>0</v>
      </c>
      <c r="AK139" s="54">
        <f>Assumptions!AF$60</f>
        <v>0</v>
      </c>
      <c r="AL139" s="54">
        <f>Assumptions!AG$60</f>
        <v>0</v>
      </c>
      <c r="AM139" s="54">
        <f>Assumptions!AH$60</f>
        <v>0</v>
      </c>
      <c r="AN139" s="54">
        <f>Assumptions!AI$60</f>
        <v>0</v>
      </c>
      <c r="AO139" s="54">
        <f>Assumptions!AJ$60</f>
        <v>0</v>
      </c>
      <c r="AP139" s="54">
        <f>Assumptions!AK$60</f>
        <v>0</v>
      </c>
      <c r="AQ139" s="54">
        <f>Assumptions!AL$60</f>
        <v>0</v>
      </c>
      <c r="AR139" s="54">
        <f>Assumptions!AM$60</f>
        <v>0</v>
      </c>
      <c r="AS139" s="54">
        <f>Assumptions!AN$60</f>
        <v>0</v>
      </c>
      <c r="AT139" s="54">
        <f>Assumptions!AO$60</f>
        <v>0</v>
      </c>
      <c r="AU139" s="54">
        <f>Assumptions!AP$60</f>
        <v>0</v>
      </c>
    </row>
    <row r="140" spans="1:47">
      <c r="E140" s="326"/>
      <c r="G140" s="39"/>
      <c r="H140" s="39"/>
      <c r="I140" s="39"/>
      <c r="J140" s="39"/>
      <c r="K140" s="39"/>
    </row>
    <row r="141" spans="1:47">
      <c r="E141" s="327"/>
      <c r="F141" s="28"/>
      <c r="G141" s="324" t="str">
        <f>C138&amp;" O&amp;M"</f>
        <v>Belt Filter Press Dewatering O&amp;M</v>
      </c>
      <c r="H141" s="324"/>
      <c r="I141" s="324"/>
      <c r="J141" s="324"/>
      <c r="K141" s="324"/>
      <c r="L141" s="405" t="s">
        <v>79</v>
      </c>
      <c r="M141" s="256"/>
      <c r="N141" s="325" t="s">
        <v>490</v>
      </c>
      <c r="O141" s="311"/>
      <c r="P141" s="325" t="s">
        <v>491</v>
      </c>
      <c r="Q141" s="310"/>
      <c r="R141" s="325">
        <f>R$8</f>
        <v>2014</v>
      </c>
      <c r="S141" s="325">
        <f t="shared" ref="S141:AU141" si="97">S$8</f>
        <v>2015</v>
      </c>
      <c r="T141" s="325">
        <f t="shared" si="97"/>
        <v>2016</v>
      </c>
      <c r="U141" s="325">
        <f t="shared" si="97"/>
        <v>2017</v>
      </c>
      <c r="V141" s="325">
        <f t="shared" si="97"/>
        <v>2018</v>
      </c>
      <c r="W141" s="325">
        <f t="shared" si="97"/>
        <v>2019</v>
      </c>
      <c r="X141" s="325">
        <f t="shared" si="97"/>
        <v>2020</v>
      </c>
      <c r="Y141" s="325">
        <f t="shared" si="97"/>
        <v>2021</v>
      </c>
      <c r="Z141" s="325">
        <f t="shared" si="97"/>
        <v>2022</v>
      </c>
      <c r="AA141" s="325">
        <f t="shared" si="97"/>
        <v>2023</v>
      </c>
      <c r="AB141" s="325">
        <f t="shared" si="97"/>
        <v>2024</v>
      </c>
      <c r="AC141" s="325">
        <f t="shared" si="97"/>
        <v>2025</v>
      </c>
      <c r="AD141" s="325">
        <f t="shared" si="97"/>
        <v>2026</v>
      </c>
      <c r="AE141" s="325">
        <f t="shared" si="97"/>
        <v>2027</v>
      </c>
      <c r="AF141" s="325">
        <f t="shared" si="97"/>
        <v>2028</v>
      </c>
      <c r="AG141" s="325">
        <f t="shared" si="97"/>
        <v>2029</v>
      </c>
      <c r="AH141" s="325">
        <f t="shared" si="97"/>
        <v>2030</v>
      </c>
      <c r="AI141" s="325">
        <f t="shared" si="97"/>
        <v>2031</v>
      </c>
      <c r="AJ141" s="325">
        <f t="shared" si="97"/>
        <v>2032</v>
      </c>
      <c r="AK141" s="325">
        <f t="shared" si="97"/>
        <v>2033</v>
      </c>
      <c r="AL141" s="325">
        <f t="shared" si="97"/>
        <v>2034</v>
      </c>
      <c r="AM141" s="325">
        <f t="shared" si="97"/>
        <v>2035</v>
      </c>
      <c r="AN141" s="325">
        <f t="shared" si="97"/>
        <v>2036</v>
      </c>
      <c r="AO141" s="325">
        <f t="shared" si="97"/>
        <v>2037</v>
      </c>
      <c r="AP141" s="325">
        <f t="shared" si="97"/>
        <v>2038</v>
      </c>
      <c r="AQ141" s="325">
        <f t="shared" si="97"/>
        <v>2039</v>
      </c>
      <c r="AR141" s="325">
        <f t="shared" si="97"/>
        <v>2040</v>
      </c>
      <c r="AS141" s="325">
        <f t="shared" si="97"/>
        <v>2041</v>
      </c>
      <c r="AT141" s="325">
        <f t="shared" si="97"/>
        <v>2042</v>
      </c>
      <c r="AU141" s="325">
        <f t="shared" si="97"/>
        <v>2043</v>
      </c>
    </row>
    <row r="142" spans="1:47">
      <c r="E142" s="325"/>
      <c r="G142" s="39"/>
      <c r="H142" s="39"/>
      <c r="I142" s="39"/>
      <c r="J142" s="39"/>
      <c r="K142" s="39"/>
    </row>
    <row r="143" spans="1:47">
      <c r="E143" s="325"/>
      <c r="G143" s="39" t="s">
        <v>23</v>
      </c>
      <c r="H143" s="39"/>
      <c r="I143" s="39"/>
      <c r="J143" s="39"/>
      <c r="K143" s="39"/>
    </row>
    <row r="144" spans="1:47">
      <c r="A144" s="38" t="str">
        <f t="shared" ref="A144:A151" si="98">$J$4&amp;"-"</f>
        <v>Custom-</v>
      </c>
      <c r="B144" s="38" t="s">
        <v>262</v>
      </c>
      <c r="C144" s="38" t="str">
        <f>C138</f>
        <v>Belt Filter Press Dewatering</v>
      </c>
      <c r="D144" s="186">
        <f>LaborEsc</f>
        <v>0.02</v>
      </c>
      <c r="E144" s="325"/>
      <c r="G144" s="36" t="s">
        <v>125</v>
      </c>
      <c r="I144" s="39"/>
      <c r="K144" s="39"/>
      <c r="L144" s="43" t="s">
        <v>266</v>
      </c>
      <c r="N144" s="70">
        <f ca="1">IF(VLOOKUP($C144,$G$69:$J$87,4,FALSE)="Off",0,SUMIFS(OFFSET(Assumptions!$I$90,0,MATCH($A144,Configurations,0)-1,COUNT(Assumptions!$A$90:$A$183),1),Assumptions!$D$90:$D$183,$B144&amp;$C144))</f>
        <v>0</v>
      </c>
      <c r="O144" s="313"/>
      <c r="P144" s="323"/>
      <c r="Q144" s="313"/>
      <c r="R144" s="50">
        <f t="shared" ref="R144:AU144" ca="1" si="99">IF(OR(R$99&lt;InServiceYr,R$99&gt;(InServiceYr+analysis_period-1)),0,IF($P144=0,$N144,$P144)*LaborCost*(1+$D144)^(R$99-CostBaseYr))</f>
        <v>0</v>
      </c>
      <c r="S144" s="50">
        <f t="shared" ca="1" si="99"/>
        <v>0</v>
      </c>
      <c r="T144" s="50">
        <f t="shared" ca="1" si="99"/>
        <v>0</v>
      </c>
      <c r="U144" s="50">
        <f t="shared" ca="1" si="99"/>
        <v>0</v>
      </c>
      <c r="V144" s="50">
        <f t="shared" ca="1" si="99"/>
        <v>0</v>
      </c>
      <c r="W144" s="50">
        <f t="shared" ca="1" si="99"/>
        <v>0</v>
      </c>
      <c r="X144" s="50">
        <f t="shared" ca="1" si="99"/>
        <v>0</v>
      </c>
      <c r="Y144" s="50">
        <f t="shared" ca="1" si="99"/>
        <v>0</v>
      </c>
      <c r="Z144" s="50">
        <f t="shared" ca="1" si="99"/>
        <v>0</v>
      </c>
      <c r="AA144" s="50">
        <f t="shared" ca="1" si="99"/>
        <v>0</v>
      </c>
      <c r="AB144" s="50">
        <f t="shared" ca="1" si="99"/>
        <v>0</v>
      </c>
      <c r="AC144" s="50">
        <f t="shared" ca="1" si="99"/>
        <v>0</v>
      </c>
      <c r="AD144" s="50">
        <f t="shared" ca="1" si="99"/>
        <v>0</v>
      </c>
      <c r="AE144" s="50">
        <f t="shared" ca="1" si="99"/>
        <v>0</v>
      </c>
      <c r="AF144" s="50">
        <f t="shared" ca="1" si="99"/>
        <v>0</v>
      </c>
      <c r="AG144" s="50">
        <f t="shared" ca="1" si="99"/>
        <v>0</v>
      </c>
      <c r="AH144" s="50">
        <f t="shared" ca="1" si="99"/>
        <v>0</v>
      </c>
      <c r="AI144" s="50">
        <f t="shared" ca="1" si="99"/>
        <v>0</v>
      </c>
      <c r="AJ144" s="50">
        <f t="shared" ca="1" si="99"/>
        <v>0</v>
      </c>
      <c r="AK144" s="50">
        <f t="shared" ca="1" si="99"/>
        <v>0</v>
      </c>
      <c r="AL144" s="50">
        <f t="shared" si="99"/>
        <v>0</v>
      </c>
      <c r="AM144" s="50">
        <f t="shared" si="99"/>
        <v>0</v>
      </c>
      <c r="AN144" s="50">
        <f t="shared" si="99"/>
        <v>0</v>
      </c>
      <c r="AO144" s="50">
        <f t="shared" si="99"/>
        <v>0</v>
      </c>
      <c r="AP144" s="50">
        <f t="shared" si="99"/>
        <v>0</v>
      </c>
      <c r="AQ144" s="50">
        <f t="shared" si="99"/>
        <v>0</v>
      </c>
      <c r="AR144" s="50">
        <f t="shared" si="99"/>
        <v>0</v>
      </c>
      <c r="AS144" s="50">
        <f t="shared" si="99"/>
        <v>0</v>
      </c>
      <c r="AT144" s="50">
        <f t="shared" si="99"/>
        <v>0</v>
      </c>
      <c r="AU144" s="50">
        <f t="shared" si="99"/>
        <v>0</v>
      </c>
    </row>
    <row r="145" spans="1:47">
      <c r="A145" s="38" t="str">
        <f t="shared" si="98"/>
        <v>Custom-</v>
      </c>
      <c r="B145" s="38" t="s">
        <v>270</v>
      </c>
      <c r="C145" s="38" t="str">
        <f>C144</f>
        <v>Belt Filter Press Dewatering</v>
      </c>
      <c r="D145" s="186">
        <f>OMEsc</f>
        <v>0.02</v>
      </c>
      <c r="E145" s="325"/>
      <c r="G145" s="36" t="s">
        <v>126</v>
      </c>
      <c r="I145" s="39"/>
      <c r="K145" s="39"/>
      <c r="L145" s="43" t="str">
        <f>"["&amp;CostBaseYr&amp;" $]"</f>
        <v>[2013 $]</v>
      </c>
      <c r="N145" s="70">
        <f ca="1">IF(VLOOKUP($C145,$G$69:$J$87,4,FALSE)="Off",0,SUMIFS(OFFSET(Assumptions!$I$90,0,MATCH($A145,Configurations,0)-1,COUNT(Assumptions!$A$90:$A$183),1),Assumptions!$D$90:$D$183,$B145&amp;$C145))</f>
        <v>0</v>
      </c>
      <c r="O145" s="313"/>
      <c r="P145" s="323"/>
      <c r="Q145" s="313"/>
      <c r="R145" s="50">
        <f t="shared" ref="R145:AG147" ca="1" si="100">IF(OR(R$99&lt;InServiceYr,R$99&gt;(InServiceYr+analysis_period-1)),0,IF($P145=0,$N145,$P145)*(1+$D145)^(R$99-CostBaseYr))</f>
        <v>0</v>
      </c>
      <c r="S145" s="50">
        <f t="shared" ca="1" si="100"/>
        <v>0</v>
      </c>
      <c r="T145" s="50">
        <f t="shared" ca="1" si="100"/>
        <v>0</v>
      </c>
      <c r="U145" s="50">
        <f t="shared" ca="1" si="100"/>
        <v>0</v>
      </c>
      <c r="V145" s="50">
        <f t="shared" ca="1" si="100"/>
        <v>0</v>
      </c>
      <c r="W145" s="50">
        <f t="shared" ca="1" si="100"/>
        <v>0</v>
      </c>
      <c r="X145" s="50">
        <f t="shared" ca="1" si="100"/>
        <v>0</v>
      </c>
      <c r="Y145" s="50">
        <f t="shared" ca="1" si="100"/>
        <v>0</v>
      </c>
      <c r="Z145" s="50">
        <f t="shared" ca="1" si="100"/>
        <v>0</v>
      </c>
      <c r="AA145" s="50">
        <f t="shared" ca="1" si="100"/>
        <v>0</v>
      </c>
      <c r="AB145" s="50">
        <f t="shared" ca="1" si="100"/>
        <v>0</v>
      </c>
      <c r="AC145" s="50">
        <f t="shared" ca="1" si="100"/>
        <v>0</v>
      </c>
      <c r="AD145" s="50">
        <f t="shared" ca="1" si="100"/>
        <v>0</v>
      </c>
      <c r="AE145" s="50">
        <f t="shared" ca="1" si="100"/>
        <v>0</v>
      </c>
      <c r="AF145" s="50">
        <f t="shared" ca="1" si="100"/>
        <v>0</v>
      </c>
      <c r="AG145" s="50">
        <f t="shared" ca="1" si="100"/>
        <v>0</v>
      </c>
      <c r="AH145" s="50">
        <f t="shared" ref="S145:AU147" ca="1" si="101">IF(OR(AH$99&lt;InServiceYr,AH$99&gt;(InServiceYr+analysis_period-1)),0,IF($P145=0,$N145,$P145)*(1+$D145)^(AH$99-CostBaseYr))</f>
        <v>0</v>
      </c>
      <c r="AI145" s="50">
        <f t="shared" ca="1" si="101"/>
        <v>0</v>
      </c>
      <c r="AJ145" s="50">
        <f t="shared" ca="1" si="101"/>
        <v>0</v>
      </c>
      <c r="AK145" s="50">
        <f t="shared" ca="1" si="101"/>
        <v>0</v>
      </c>
      <c r="AL145" s="50">
        <f t="shared" si="101"/>
        <v>0</v>
      </c>
      <c r="AM145" s="50">
        <f t="shared" si="101"/>
        <v>0</v>
      </c>
      <c r="AN145" s="50">
        <f t="shared" si="101"/>
        <v>0</v>
      </c>
      <c r="AO145" s="50">
        <f t="shared" si="101"/>
        <v>0</v>
      </c>
      <c r="AP145" s="50">
        <f t="shared" si="101"/>
        <v>0</v>
      </c>
      <c r="AQ145" s="50">
        <f t="shared" si="101"/>
        <v>0</v>
      </c>
      <c r="AR145" s="50">
        <f t="shared" si="101"/>
        <v>0</v>
      </c>
      <c r="AS145" s="50">
        <f t="shared" si="101"/>
        <v>0</v>
      </c>
      <c r="AT145" s="50">
        <f t="shared" si="101"/>
        <v>0</v>
      </c>
      <c r="AU145" s="50">
        <f t="shared" si="101"/>
        <v>0</v>
      </c>
    </row>
    <row r="146" spans="1:47">
      <c r="A146" s="38" t="str">
        <f t="shared" si="98"/>
        <v>Custom-</v>
      </c>
      <c r="B146" s="38" t="s">
        <v>263</v>
      </c>
      <c r="C146" s="38" t="str">
        <f t="shared" ref="C146:C150" si="102">C145</f>
        <v>Belt Filter Press Dewatering</v>
      </c>
      <c r="D146" s="186">
        <f>OMEsc</f>
        <v>0.02</v>
      </c>
      <c r="E146" s="325"/>
      <c r="G146" s="36" t="s">
        <v>127</v>
      </c>
      <c r="I146" s="39"/>
      <c r="K146" s="39"/>
      <c r="L146" s="43" t="str">
        <f>"["&amp;CostBaseYr&amp;" $]"</f>
        <v>[2013 $]</v>
      </c>
      <c r="N146" s="70">
        <f ca="1">IF(VLOOKUP($C146,$G$69:$J$87,4,FALSE)="Off",0,SUMIFS(OFFSET(Assumptions!$I$90,0,MATCH($A146,Configurations,0)-1,COUNT(Assumptions!$A$90:$A$183),1),Assumptions!$D$90:$D$183,$B146&amp;$C146))</f>
        <v>0</v>
      </c>
      <c r="O146" s="313"/>
      <c r="P146" s="323"/>
      <c r="Q146" s="313"/>
      <c r="R146" s="50">
        <f t="shared" ca="1" si="100"/>
        <v>0</v>
      </c>
      <c r="S146" s="50">
        <f t="shared" ca="1" si="101"/>
        <v>0</v>
      </c>
      <c r="T146" s="50">
        <f t="shared" ca="1" si="101"/>
        <v>0</v>
      </c>
      <c r="U146" s="50">
        <f t="shared" ca="1" si="101"/>
        <v>0</v>
      </c>
      <c r="V146" s="50">
        <f t="shared" ca="1" si="101"/>
        <v>0</v>
      </c>
      <c r="W146" s="50">
        <f t="shared" ca="1" si="101"/>
        <v>0</v>
      </c>
      <c r="X146" s="50">
        <f t="shared" ca="1" si="101"/>
        <v>0</v>
      </c>
      <c r="Y146" s="50">
        <f t="shared" ca="1" si="101"/>
        <v>0</v>
      </c>
      <c r="Z146" s="50">
        <f t="shared" ca="1" si="101"/>
        <v>0</v>
      </c>
      <c r="AA146" s="50">
        <f t="shared" ca="1" si="101"/>
        <v>0</v>
      </c>
      <c r="AB146" s="50">
        <f t="shared" ca="1" si="101"/>
        <v>0</v>
      </c>
      <c r="AC146" s="50">
        <f t="shared" ca="1" si="101"/>
        <v>0</v>
      </c>
      <c r="AD146" s="50">
        <f t="shared" ca="1" si="101"/>
        <v>0</v>
      </c>
      <c r="AE146" s="50">
        <f t="shared" ca="1" si="101"/>
        <v>0</v>
      </c>
      <c r="AF146" s="50">
        <f t="shared" ca="1" si="101"/>
        <v>0</v>
      </c>
      <c r="AG146" s="50">
        <f t="shared" ca="1" si="101"/>
        <v>0</v>
      </c>
      <c r="AH146" s="50">
        <f t="shared" ca="1" si="101"/>
        <v>0</v>
      </c>
      <c r="AI146" s="50">
        <f t="shared" ca="1" si="101"/>
        <v>0</v>
      </c>
      <c r="AJ146" s="50">
        <f t="shared" ca="1" si="101"/>
        <v>0</v>
      </c>
      <c r="AK146" s="50">
        <f t="shared" ca="1" si="101"/>
        <v>0</v>
      </c>
      <c r="AL146" s="50">
        <f t="shared" si="101"/>
        <v>0</v>
      </c>
      <c r="AM146" s="50">
        <f t="shared" si="101"/>
        <v>0</v>
      </c>
      <c r="AN146" s="50">
        <f t="shared" si="101"/>
        <v>0</v>
      </c>
      <c r="AO146" s="50">
        <f t="shared" si="101"/>
        <v>0</v>
      </c>
      <c r="AP146" s="50">
        <f t="shared" si="101"/>
        <v>0</v>
      </c>
      <c r="AQ146" s="50">
        <f t="shared" si="101"/>
        <v>0</v>
      </c>
      <c r="AR146" s="50">
        <f t="shared" si="101"/>
        <v>0</v>
      </c>
      <c r="AS146" s="50">
        <f t="shared" si="101"/>
        <v>0</v>
      </c>
      <c r="AT146" s="50">
        <f t="shared" si="101"/>
        <v>0</v>
      </c>
      <c r="AU146" s="50">
        <f t="shared" si="101"/>
        <v>0</v>
      </c>
    </row>
    <row r="147" spans="1:47">
      <c r="A147" s="38" t="str">
        <f t="shared" si="98"/>
        <v>Custom-</v>
      </c>
      <c r="B147" s="38" t="s">
        <v>277</v>
      </c>
      <c r="C147" s="38" t="str">
        <f t="shared" si="102"/>
        <v>Belt Filter Press Dewatering</v>
      </c>
      <c r="D147" s="186">
        <f>OMEsc</f>
        <v>0.02</v>
      </c>
      <c r="E147" s="325"/>
      <c r="G147" s="36" t="s">
        <v>276</v>
      </c>
      <c r="I147" s="39"/>
      <c r="K147" s="39"/>
      <c r="L147" s="43" t="str">
        <f>"["&amp;CostBaseYr&amp;" $]"</f>
        <v>[2013 $]</v>
      </c>
      <c r="N147" s="70">
        <f ca="1">IF(VLOOKUP($C147,$G$69:$J$87,4,FALSE)="Off",0,SUMIFS(OFFSET(Assumptions!$I$90,0,MATCH($A147,Configurations,0)-1,COUNT(Assumptions!$A$90:$A$183),1),Assumptions!$D$90:$D$183,$B147&amp;$C147))</f>
        <v>0</v>
      </c>
      <c r="O147" s="313"/>
      <c r="P147" s="323"/>
      <c r="Q147" s="313"/>
      <c r="R147" s="50">
        <f t="shared" ca="1" si="100"/>
        <v>0</v>
      </c>
      <c r="S147" s="50">
        <f t="shared" ca="1" si="101"/>
        <v>0</v>
      </c>
      <c r="T147" s="50">
        <f t="shared" ca="1" si="101"/>
        <v>0</v>
      </c>
      <c r="U147" s="50">
        <f t="shared" ca="1" si="101"/>
        <v>0</v>
      </c>
      <c r="V147" s="50">
        <f t="shared" ca="1" si="101"/>
        <v>0</v>
      </c>
      <c r="W147" s="50">
        <f t="shared" ca="1" si="101"/>
        <v>0</v>
      </c>
      <c r="X147" s="50">
        <f t="shared" ca="1" si="101"/>
        <v>0</v>
      </c>
      <c r="Y147" s="50">
        <f t="shared" ca="1" si="101"/>
        <v>0</v>
      </c>
      <c r="Z147" s="50">
        <f t="shared" ca="1" si="101"/>
        <v>0</v>
      </c>
      <c r="AA147" s="50">
        <f t="shared" ca="1" si="101"/>
        <v>0</v>
      </c>
      <c r="AB147" s="50">
        <f t="shared" ca="1" si="101"/>
        <v>0</v>
      </c>
      <c r="AC147" s="50">
        <f t="shared" ca="1" si="101"/>
        <v>0</v>
      </c>
      <c r="AD147" s="50">
        <f t="shared" ca="1" si="101"/>
        <v>0</v>
      </c>
      <c r="AE147" s="50">
        <f t="shared" ca="1" si="101"/>
        <v>0</v>
      </c>
      <c r="AF147" s="50">
        <f t="shared" ca="1" si="101"/>
        <v>0</v>
      </c>
      <c r="AG147" s="50">
        <f t="shared" ca="1" si="101"/>
        <v>0</v>
      </c>
      <c r="AH147" s="50">
        <f t="shared" ca="1" si="101"/>
        <v>0</v>
      </c>
      <c r="AI147" s="50">
        <f t="shared" ca="1" si="101"/>
        <v>0</v>
      </c>
      <c r="AJ147" s="50">
        <f t="shared" ca="1" si="101"/>
        <v>0</v>
      </c>
      <c r="AK147" s="50">
        <f t="shared" ca="1" si="101"/>
        <v>0</v>
      </c>
      <c r="AL147" s="50">
        <f t="shared" si="101"/>
        <v>0</v>
      </c>
      <c r="AM147" s="50">
        <f t="shared" si="101"/>
        <v>0</v>
      </c>
      <c r="AN147" s="50">
        <f t="shared" si="101"/>
        <v>0</v>
      </c>
      <c r="AO147" s="50">
        <f t="shared" si="101"/>
        <v>0</v>
      </c>
      <c r="AP147" s="50">
        <f t="shared" si="101"/>
        <v>0</v>
      </c>
      <c r="AQ147" s="50">
        <f t="shared" si="101"/>
        <v>0</v>
      </c>
      <c r="AR147" s="50">
        <f t="shared" si="101"/>
        <v>0</v>
      </c>
      <c r="AS147" s="50">
        <f t="shared" si="101"/>
        <v>0</v>
      </c>
      <c r="AT147" s="50">
        <f t="shared" si="101"/>
        <v>0</v>
      </c>
      <c r="AU147" s="50">
        <f t="shared" si="101"/>
        <v>0</v>
      </c>
    </row>
    <row r="148" spans="1:47">
      <c r="A148" s="38" t="str">
        <f t="shared" si="98"/>
        <v>Custom-</v>
      </c>
      <c r="B148" s="38" t="s">
        <v>274</v>
      </c>
      <c r="C148" s="38" t="str">
        <f t="shared" si="102"/>
        <v>Belt Filter Press Dewatering</v>
      </c>
      <c r="D148" s="186"/>
      <c r="E148" s="325"/>
      <c r="G148" s="36" t="s">
        <v>16</v>
      </c>
      <c r="I148" s="39"/>
      <c r="K148" s="39"/>
      <c r="L148" s="43" t="s">
        <v>275</v>
      </c>
      <c r="N148" s="70">
        <f ca="1">IF(VLOOKUP($C148,$G$69:$J$87,4,FALSE)="Off",0,SUMIFS(OFFSET(Assumptions!$I$90,0,MATCH($A148,Configurations,0)-1,COUNT(Assumptions!$A$90:$A$183),1),Assumptions!$D$90:$D$183,$B148&amp;$C148))</f>
        <v>0</v>
      </c>
      <c r="O148" s="313"/>
      <c r="P148" s="323"/>
      <c r="Q148" s="313"/>
      <c r="R148" s="50">
        <f t="shared" ref="R148:AU148" ca="1" si="103">IF(OR(R$99&lt;InServiceYr,R$99&gt;(InServiceYr+analysis_period-1)),0,IF($P148=0,$N148,$P148)*R$505)</f>
        <v>0</v>
      </c>
      <c r="S148" s="50">
        <f t="shared" ca="1" si="103"/>
        <v>0</v>
      </c>
      <c r="T148" s="50">
        <f t="shared" ca="1" si="103"/>
        <v>0</v>
      </c>
      <c r="U148" s="50">
        <f t="shared" ca="1" si="103"/>
        <v>0</v>
      </c>
      <c r="V148" s="50">
        <f t="shared" ca="1" si="103"/>
        <v>0</v>
      </c>
      <c r="W148" s="50">
        <f t="shared" ca="1" si="103"/>
        <v>0</v>
      </c>
      <c r="X148" s="50">
        <f t="shared" ca="1" si="103"/>
        <v>0</v>
      </c>
      <c r="Y148" s="50">
        <f t="shared" ca="1" si="103"/>
        <v>0</v>
      </c>
      <c r="Z148" s="50">
        <f t="shared" ca="1" si="103"/>
        <v>0</v>
      </c>
      <c r="AA148" s="50">
        <f t="shared" ca="1" si="103"/>
        <v>0</v>
      </c>
      <c r="AB148" s="50">
        <f t="shared" ca="1" si="103"/>
        <v>0</v>
      </c>
      <c r="AC148" s="50">
        <f t="shared" ca="1" si="103"/>
        <v>0</v>
      </c>
      <c r="AD148" s="50">
        <f t="shared" ca="1" si="103"/>
        <v>0</v>
      </c>
      <c r="AE148" s="50">
        <f t="shared" ca="1" si="103"/>
        <v>0</v>
      </c>
      <c r="AF148" s="50">
        <f t="shared" ca="1" si="103"/>
        <v>0</v>
      </c>
      <c r="AG148" s="50">
        <f t="shared" ca="1" si="103"/>
        <v>0</v>
      </c>
      <c r="AH148" s="50">
        <f t="shared" ca="1" si="103"/>
        <v>0</v>
      </c>
      <c r="AI148" s="50">
        <f t="shared" ca="1" si="103"/>
        <v>0</v>
      </c>
      <c r="AJ148" s="50">
        <f t="shared" ca="1" si="103"/>
        <v>0</v>
      </c>
      <c r="AK148" s="50">
        <f t="shared" ca="1" si="103"/>
        <v>0</v>
      </c>
      <c r="AL148" s="50">
        <f t="shared" si="103"/>
        <v>0</v>
      </c>
      <c r="AM148" s="50">
        <f t="shared" si="103"/>
        <v>0</v>
      </c>
      <c r="AN148" s="50">
        <f t="shared" si="103"/>
        <v>0</v>
      </c>
      <c r="AO148" s="50">
        <f t="shared" si="103"/>
        <v>0</v>
      </c>
      <c r="AP148" s="50">
        <f t="shared" si="103"/>
        <v>0</v>
      </c>
      <c r="AQ148" s="50">
        <f t="shared" si="103"/>
        <v>0</v>
      </c>
      <c r="AR148" s="50">
        <f t="shared" si="103"/>
        <v>0</v>
      </c>
      <c r="AS148" s="50">
        <f t="shared" si="103"/>
        <v>0</v>
      </c>
      <c r="AT148" s="50">
        <f t="shared" si="103"/>
        <v>0</v>
      </c>
      <c r="AU148" s="50">
        <f t="shared" si="103"/>
        <v>0</v>
      </c>
    </row>
    <row r="149" spans="1:47">
      <c r="A149" s="38" t="str">
        <f t="shared" si="98"/>
        <v>Custom-</v>
      </c>
      <c r="B149" s="38" t="s">
        <v>257</v>
      </c>
      <c r="C149" s="38" t="str">
        <f t="shared" si="102"/>
        <v>Belt Filter Press Dewatering</v>
      </c>
      <c r="D149" s="186"/>
      <c r="E149" s="325"/>
      <c r="G149" s="36" t="s">
        <v>284</v>
      </c>
      <c r="I149" s="39"/>
      <c r="K149" s="39"/>
      <c r="L149" s="43" t="s">
        <v>293</v>
      </c>
      <c r="N149" s="70">
        <f ca="1">IF(VLOOKUP($C149,$G$69:$J$87,4,FALSE)="Off",0,SUMIFS(OFFSET(Assumptions!$I$90,0,MATCH($A149,Configurations,0)-1,COUNT(Assumptions!$A$90:$A$183),1),Assumptions!$D$90:$D$183,$B149&amp;$C149))</f>
        <v>0</v>
      </c>
      <c r="O149" s="313"/>
      <c r="P149" s="323"/>
      <c r="Q149" s="313"/>
      <c r="R149" s="50">
        <f t="shared" ref="R149:AU149" ca="1" si="104">IF(OR(R$99&lt;InServiceYr,R$99&gt;(InServiceYr+analysis_period-1)),0,IF($P149=0,$N149,$P149)*R$501)</f>
        <v>0</v>
      </c>
      <c r="S149" s="50">
        <f t="shared" ca="1" si="104"/>
        <v>0</v>
      </c>
      <c r="T149" s="50">
        <f t="shared" ca="1" si="104"/>
        <v>0</v>
      </c>
      <c r="U149" s="50">
        <f t="shared" ca="1" si="104"/>
        <v>0</v>
      </c>
      <c r="V149" s="50">
        <f t="shared" ca="1" si="104"/>
        <v>0</v>
      </c>
      <c r="W149" s="50">
        <f t="shared" ca="1" si="104"/>
        <v>0</v>
      </c>
      <c r="X149" s="50">
        <f t="shared" ca="1" si="104"/>
        <v>0</v>
      </c>
      <c r="Y149" s="50">
        <f t="shared" ca="1" si="104"/>
        <v>0</v>
      </c>
      <c r="Z149" s="50">
        <f t="shared" ca="1" si="104"/>
        <v>0</v>
      </c>
      <c r="AA149" s="50">
        <f t="shared" ca="1" si="104"/>
        <v>0</v>
      </c>
      <c r="AB149" s="50">
        <f t="shared" ca="1" si="104"/>
        <v>0</v>
      </c>
      <c r="AC149" s="50">
        <f t="shared" ca="1" si="104"/>
        <v>0</v>
      </c>
      <c r="AD149" s="50">
        <f t="shared" ca="1" si="104"/>
        <v>0</v>
      </c>
      <c r="AE149" s="50">
        <f t="shared" ca="1" si="104"/>
        <v>0</v>
      </c>
      <c r="AF149" s="50">
        <f t="shared" ca="1" si="104"/>
        <v>0</v>
      </c>
      <c r="AG149" s="50">
        <f t="shared" ca="1" si="104"/>
        <v>0</v>
      </c>
      <c r="AH149" s="50">
        <f t="shared" ca="1" si="104"/>
        <v>0</v>
      </c>
      <c r="AI149" s="50">
        <f t="shared" ca="1" si="104"/>
        <v>0</v>
      </c>
      <c r="AJ149" s="50">
        <f t="shared" ca="1" si="104"/>
        <v>0</v>
      </c>
      <c r="AK149" s="50">
        <f t="shared" ca="1" si="104"/>
        <v>0</v>
      </c>
      <c r="AL149" s="50">
        <f t="shared" si="104"/>
        <v>0</v>
      </c>
      <c r="AM149" s="50">
        <f t="shared" si="104"/>
        <v>0</v>
      </c>
      <c r="AN149" s="50">
        <f t="shared" si="104"/>
        <v>0</v>
      </c>
      <c r="AO149" s="50">
        <f t="shared" si="104"/>
        <v>0</v>
      </c>
      <c r="AP149" s="50">
        <f t="shared" si="104"/>
        <v>0</v>
      </c>
      <c r="AQ149" s="50">
        <f t="shared" si="104"/>
        <v>0</v>
      </c>
      <c r="AR149" s="50">
        <f t="shared" si="104"/>
        <v>0</v>
      </c>
      <c r="AS149" s="50">
        <f t="shared" si="104"/>
        <v>0</v>
      </c>
      <c r="AT149" s="50">
        <f t="shared" si="104"/>
        <v>0</v>
      </c>
      <c r="AU149" s="50">
        <f t="shared" si="104"/>
        <v>0</v>
      </c>
    </row>
    <row r="150" spans="1:47">
      <c r="A150" s="38" t="str">
        <f t="shared" si="98"/>
        <v>Custom-</v>
      </c>
      <c r="B150" s="38" t="s">
        <v>864</v>
      </c>
      <c r="C150" s="38" t="str">
        <f t="shared" si="102"/>
        <v>Belt Filter Press Dewatering</v>
      </c>
      <c r="D150" s="186">
        <f>GHGEsc</f>
        <v>0.02</v>
      </c>
      <c r="E150" s="325"/>
      <c r="G150" s="36" t="s">
        <v>865</v>
      </c>
      <c r="I150" s="39"/>
      <c r="K150" s="39"/>
      <c r="L150" s="43" t="s">
        <v>866</v>
      </c>
      <c r="N150" s="70">
        <f ca="1">IF(VLOOKUP($C150,$G$69:$J$87,4,FALSE)="Off",0,SUMIFS(OFFSET(Assumptions!$I$90,0,MATCH($A150,Configurations,0)-1,COUNT(Assumptions!$A$90:$A$183),1),Assumptions!$D$90:$D$183,$B150&amp;$C150))</f>
        <v>0</v>
      </c>
      <c r="O150" s="313"/>
      <c r="P150" s="323"/>
      <c r="Q150" s="313"/>
      <c r="R150" s="50">
        <f t="shared" ref="R150:AU150" ca="1" si="105">IF(OR(R$99&lt;InServiceYr,R$99&gt;(InServiceYr+analysis_period-1)),0,IF($P150=0,$N150,$P150)*R$513)</f>
        <v>0</v>
      </c>
      <c r="S150" s="50">
        <f t="shared" ca="1" si="105"/>
        <v>0</v>
      </c>
      <c r="T150" s="50">
        <f t="shared" ca="1" si="105"/>
        <v>0</v>
      </c>
      <c r="U150" s="50">
        <f t="shared" ca="1" si="105"/>
        <v>0</v>
      </c>
      <c r="V150" s="50">
        <f t="shared" ca="1" si="105"/>
        <v>0</v>
      </c>
      <c r="W150" s="50">
        <f t="shared" ca="1" si="105"/>
        <v>0</v>
      </c>
      <c r="X150" s="50">
        <f t="shared" ca="1" si="105"/>
        <v>0</v>
      </c>
      <c r="Y150" s="50">
        <f t="shared" ca="1" si="105"/>
        <v>0</v>
      </c>
      <c r="Z150" s="50">
        <f t="shared" ca="1" si="105"/>
        <v>0</v>
      </c>
      <c r="AA150" s="50">
        <f t="shared" ca="1" si="105"/>
        <v>0</v>
      </c>
      <c r="AB150" s="50">
        <f t="shared" ca="1" si="105"/>
        <v>0</v>
      </c>
      <c r="AC150" s="50">
        <f t="shared" ca="1" si="105"/>
        <v>0</v>
      </c>
      <c r="AD150" s="50">
        <f t="shared" ca="1" si="105"/>
        <v>0</v>
      </c>
      <c r="AE150" s="50">
        <f t="shared" ca="1" si="105"/>
        <v>0</v>
      </c>
      <c r="AF150" s="50">
        <f t="shared" ca="1" si="105"/>
        <v>0</v>
      </c>
      <c r="AG150" s="50">
        <f t="shared" ca="1" si="105"/>
        <v>0</v>
      </c>
      <c r="AH150" s="50">
        <f t="shared" ca="1" si="105"/>
        <v>0</v>
      </c>
      <c r="AI150" s="50">
        <f t="shared" ca="1" si="105"/>
        <v>0</v>
      </c>
      <c r="AJ150" s="50">
        <f t="shared" ca="1" si="105"/>
        <v>0</v>
      </c>
      <c r="AK150" s="50">
        <f t="shared" ca="1" si="105"/>
        <v>0</v>
      </c>
      <c r="AL150" s="50">
        <f t="shared" si="105"/>
        <v>0</v>
      </c>
      <c r="AM150" s="50">
        <f t="shared" si="105"/>
        <v>0</v>
      </c>
      <c r="AN150" s="50">
        <f t="shared" si="105"/>
        <v>0</v>
      </c>
      <c r="AO150" s="50">
        <f t="shared" si="105"/>
        <v>0</v>
      </c>
      <c r="AP150" s="50">
        <f t="shared" si="105"/>
        <v>0</v>
      </c>
      <c r="AQ150" s="50">
        <f t="shared" si="105"/>
        <v>0</v>
      </c>
      <c r="AR150" s="50">
        <f t="shared" si="105"/>
        <v>0</v>
      </c>
      <c r="AS150" s="50">
        <f t="shared" si="105"/>
        <v>0</v>
      </c>
      <c r="AT150" s="50">
        <f t="shared" si="105"/>
        <v>0</v>
      </c>
      <c r="AU150" s="50">
        <f t="shared" si="105"/>
        <v>0</v>
      </c>
    </row>
    <row r="151" spans="1:47">
      <c r="A151" s="38" t="str">
        <f t="shared" si="98"/>
        <v>Custom-</v>
      </c>
      <c r="B151" s="38" t="s">
        <v>273</v>
      </c>
      <c r="C151" s="38" t="str">
        <f>C149</f>
        <v>Belt Filter Press Dewatering</v>
      </c>
      <c r="D151" s="186">
        <f>LaborEsc</f>
        <v>0.02</v>
      </c>
      <c r="E151" s="325"/>
      <c r="G151" s="36" t="s">
        <v>291</v>
      </c>
      <c r="I151" s="39"/>
      <c r="K151" s="39"/>
      <c r="L151" s="43" t="str">
        <f>"["&amp;CostBaseYr&amp;" $]"</f>
        <v>[2013 $]</v>
      </c>
      <c r="N151" s="70">
        <f ca="1">IF(VLOOKUP($C151,$G$69:$J$87,4,FALSE)="Off",0,SUMIFS(OFFSET(Assumptions!$I$90,0,MATCH($A151,Configurations,0)-1,COUNT(Assumptions!$A$90:$A$183),1),Assumptions!$D$90:$D$183,$B151&amp;$C151))</f>
        <v>0</v>
      </c>
      <c r="O151" s="313"/>
      <c r="P151" s="323"/>
      <c r="Q151" s="313"/>
      <c r="R151" s="50">
        <f t="shared" ref="R151:AU151" ca="1" si="106">IF(OR(R$99&lt;InServiceYr,R$99&gt;(InServiceYr+analysis_period-1)),0,IF($P151=0,$N151,$P151)*(1+$D151)^(R$99-CostBaseYr))*R$509</f>
        <v>0</v>
      </c>
      <c r="S151" s="50">
        <f t="shared" ca="1" si="106"/>
        <v>0</v>
      </c>
      <c r="T151" s="50">
        <f t="shared" ca="1" si="106"/>
        <v>0</v>
      </c>
      <c r="U151" s="50">
        <f t="shared" ca="1" si="106"/>
        <v>0</v>
      </c>
      <c r="V151" s="50">
        <f t="shared" ca="1" si="106"/>
        <v>0</v>
      </c>
      <c r="W151" s="50">
        <f t="shared" ca="1" si="106"/>
        <v>0</v>
      </c>
      <c r="X151" s="50">
        <f t="shared" ca="1" si="106"/>
        <v>0</v>
      </c>
      <c r="Y151" s="50">
        <f t="shared" ca="1" si="106"/>
        <v>0</v>
      </c>
      <c r="Z151" s="50">
        <f t="shared" ca="1" si="106"/>
        <v>0</v>
      </c>
      <c r="AA151" s="50">
        <f t="shared" ca="1" si="106"/>
        <v>0</v>
      </c>
      <c r="AB151" s="50">
        <f t="shared" ca="1" si="106"/>
        <v>0</v>
      </c>
      <c r="AC151" s="50">
        <f t="shared" ca="1" si="106"/>
        <v>0</v>
      </c>
      <c r="AD151" s="50">
        <f t="shared" ca="1" si="106"/>
        <v>0</v>
      </c>
      <c r="AE151" s="50">
        <f t="shared" ca="1" si="106"/>
        <v>0</v>
      </c>
      <c r="AF151" s="50">
        <f t="shared" ca="1" si="106"/>
        <v>0</v>
      </c>
      <c r="AG151" s="50">
        <f t="shared" ca="1" si="106"/>
        <v>0</v>
      </c>
      <c r="AH151" s="50">
        <f t="shared" ca="1" si="106"/>
        <v>0</v>
      </c>
      <c r="AI151" s="50">
        <f t="shared" ca="1" si="106"/>
        <v>0</v>
      </c>
      <c r="AJ151" s="50">
        <f t="shared" ca="1" si="106"/>
        <v>0</v>
      </c>
      <c r="AK151" s="50">
        <f t="shared" ca="1" si="106"/>
        <v>0</v>
      </c>
      <c r="AL151" s="50">
        <f t="shared" si="106"/>
        <v>0</v>
      </c>
      <c r="AM151" s="50">
        <f t="shared" si="106"/>
        <v>0</v>
      </c>
      <c r="AN151" s="50">
        <f t="shared" si="106"/>
        <v>0</v>
      </c>
      <c r="AO151" s="50">
        <f t="shared" si="106"/>
        <v>0</v>
      </c>
      <c r="AP151" s="50">
        <f t="shared" si="106"/>
        <v>0</v>
      </c>
      <c r="AQ151" s="50">
        <f t="shared" si="106"/>
        <v>0</v>
      </c>
      <c r="AR151" s="50">
        <f t="shared" si="106"/>
        <v>0</v>
      </c>
      <c r="AS151" s="50">
        <f t="shared" si="106"/>
        <v>0</v>
      </c>
      <c r="AT151" s="50">
        <f t="shared" si="106"/>
        <v>0</v>
      </c>
      <c r="AU151" s="50">
        <f t="shared" si="106"/>
        <v>0</v>
      </c>
    </row>
    <row r="152" spans="1:47">
      <c r="D152" s="186"/>
      <c r="E152" s="325"/>
      <c r="G152" s="39" t="s">
        <v>304</v>
      </c>
      <c r="I152" s="39"/>
      <c r="K152" s="39"/>
      <c r="L152" s="43"/>
      <c r="N152" s="70"/>
      <c r="O152" s="313"/>
      <c r="P152" s="70"/>
      <c r="Q152" s="313"/>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row>
    <row r="153" spans="1:47">
      <c r="A153" s="38" t="str">
        <f>$J$4&amp;"-"</f>
        <v>Custom-</v>
      </c>
      <c r="B153" s="38" t="s">
        <v>265</v>
      </c>
      <c r="C153" s="38" t="str">
        <f>C144</f>
        <v>Belt Filter Press Dewatering</v>
      </c>
      <c r="D153" s="186"/>
      <c r="E153" s="325"/>
      <c r="G153" s="36" t="s">
        <v>108</v>
      </c>
      <c r="I153" s="39"/>
      <c r="K153" s="39"/>
      <c r="L153" s="43" t="s">
        <v>293</v>
      </c>
      <c r="N153" s="70">
        <f ca="1">IF(VLOOKUP($C153,$G$69:$J$87,4,FALSE)="Off",0,SUMIFS(OFFSET(Assumptions!$I$90,0,MATCH($A153,Configurations,0)-1,COUNT(Assumptions!$A$90:$A$183),1),Assumptions!$D$90:$D$183,$B153&amp;$C153))</f>
        <v>0</v>
      </c>
      <c r="O153" s="313"/>
      <c r="P153" s="323"/>
      <c r="Q153" s="313"/>
      <c r="R153" s="50">
        <f t="shared" ref="R153:AU153" ca="1" si="107">IF(OR(R$99&lt;InServiceYr,R$99&gt;(InServiceYr+analysis_period-1)),0,IF($P153=0,$N153,$P153)*R$501)</f>
        <v>0</v>
      </c>
      <c r="S153" s="50">
        <f t="shared" ca="1" si="107"/>
        <v>0</v>
      </c>
      <c r="T153" s="50">
        <f t="shared" ca="1" si="107"/>
        <v>0</v>
      </c>
      <c r="U153" s="50">
        <f t="shared" ca="1" si="107"/>
        <v>0</v>
      </c>
      <c r="V153" s="50">
        <f t="shared" ca="1" si="107"/>
        <v>0</v>
      </c>
      <c r="W153" s="50">
        <f t="shared" ca="1" si="107"/>
        <v>0</v>
      </c>
      <c r="X153" s="50">
        <f t="shared" ca="1" si="107"/>
        <v>0</v>
      </c>
      <c r="Y153" s="50">
        <f t="shared" ca="1" si="107"/>
        <v>0</v>
      </c>
      <c r="Z153" s="50">
        <f t="shared" ca="1" si="107"/>
        <v>0</v>
      </c>
      <c r="AA153" s="50">
        <f t="shared" ca="1" si="107"/>
        <v>0</v>
      </c>
      <c r="AB153" s="50">
        <f t="shared" ca="1" si="107"/>
        <v>0</v>
      </c>
      <c r="AC153" s="50">
        <f t="shared" ca="1" si="107"/>
        <v>0</v>
      </c>
      <c r="AD153" s="50">
        <f t="shared" ca="1" si="107"/>
        <v>0</v>
      </c>
      <c r="AE153" s="50">
        <f t="shared" ca="1" si="107"/>
        <v>0</v>
      </c>
      <c r="AF153" s="50">
        <f t="shared" ca="1" si="107"/>
        <v>0</v>
      </c>
      <c r="AG153" s="50">
        <f t="shared" ca="1" si="107"/>
        <v>0</v>
      </c>
      <c r="AH153" s="50">
        <f t="shared" ca="1" si="107"/>
        <v>0</v>
      </c>
      <c r="AI153" s="50">
        <f t="shared" ca="1" si="107"/>
        <v>0</v>
      </c>
      <c r="AJ153" s="50">
        <f t="shared" ca="1" si="107"/>
        <v>0</v>
      </c>
      <c r="AK153" s="50">
        <f t="shared" ca="1" si="107"/>
        <v>0</v>
      </c>
      <c r="AL153" s="50">
        <f t="shared" si="107"/>
        <v>0</v>
      </c>
      <c r="AM153" s="50">
        <f t="shared" si="107"/>
        <v>0</v>
      </c>
      <c r="AN153" s="50">
        <f t="shared" si="107"/>
        <v>0</v>
      </c>
      <c r="AO153" s="50">
        <f t="shared" si="107"/>
        <v>0</v>
      </c>
      <c r="AP153" s="50">
        <f t="shared" si="107"/>
        <v>0</v>
      </c>
      <c r="AQ153" s="50">
        <f t="shared" si="107"/>
        <v>0</v>
      </c>
      <c r="AR153" s="50">
        <f t="shared" si="107"/>
        <v>0</v>
      </c>
      <c r="AS153" s="50">
        <f t="shared" si="107"/>
        <v>0</v>
      </c>
      <c r="AT153" s="50">
        <f t="shared" si="107"/>
        <v>0</v>
      </c>
      <c r="AU153" s="50">
        <f t="shared" si="107"/>
        <v>0</v>
      </c>
    </row>
    <row r="154" spans="1:47">
      <c r="A154" s="38" t="str">
        <f>$J$4&amp;"-"</f>
        <v>Custom-</v>
      </c>
      <c r="B154" s="38" t="s">
        <v>289</v>
      </c>
      <c r="C154" s="38" t="str">
        <f>C144</f>
        <v>Belt Filter Press Dewatering</v>
      </c>
      <c r="D154" s="186">
        <f>LaborEsc</f>
        <v>0.02</v>
      </c>
      <c r="E154" s="325"/>
      <c r="G154" s="36" t="s">
        <v>292</v>
      </c>
      <c r="I154" s="39"/>
      <c r="K154" s="39"/>
      <c r="L154" s="43" t="str">
        <f>"["&amp;CostBaseYr&amp;" $]"</f>
        <v>[2013 $]</v>
      </c>
      <c r="N154" s="70">
        <f ca="1">IF(VLOOKUP($C154,$G$69:$J$87,4,FALSE)="Off",0,SUMIFS(OFFSET(Assumptions!$I$90,0,MATCH($A154,Configurations,0)-1,COUNT(Assumptions!$A$90:$A$183),1),Assumptions!$D$90:$D$183,$B154&amp;$C154))</f>
        <v>0</v>
      </c>
      <c r="O154" s="313"/>
      <c r="P154" s="323"/>
      <c r="Q154" s="313"/>
      <c r="R154" s="50">
        <f t="shared" ref="R154:AU154" ca="1" si="108">IF(OR(R$99&lt;InServiceYr,R$99&gt;(InServiceYr+analysis_period-1)),0,IF($P154=0,$N154,$P154)*(1+$D154)^(R$99-CostBaseYr))</f>
        <v>0</v>
      </c>
      <c r="S154" s="50">
        <f t="shared" ca="1" si="108"/>
        <v>0</v>
      </c>
      <c r="T154" s="50">
        <f t="shared" ca="1" si="108"/>
        <v>0</v>
      </c>
      <c r="U154" s="50">
        <f t="shared" ca="1" si="108"/>
        <v>0</v>
      </c>
      <c r="V154" s="50">
        <f t="shared" ca="1" si="108"/>
        <v>0</v>
      </c>
      <c r="W154" s="50">
        <f t="shared" ca="1" si="108"/>
        <v>0</v>
      </c>
      <c r="X154" s="50">
        <f t="shared" ca="1" si="108"/>
        <v>0</v>
      </c>
      <c r="Y154" s="50">
        <f t="shared" ca="1" si="108"/>
        <v>0</v>
      </c>
      <c r="Z154" s="50">
        <f t="shared" ca="1" si="108"/>
        <v>0</v>
      </c>
      <c r="AA154" s="50">
        <f t="shared" ca="1" si="108"/>
        <v>0</v>
      </c>
      <c r="AB154" s="50">
        <f t="shared" ca="1" si="108"/>
        <v>0</v>
      </c>
      <c r="AC154" s="50">
        <f t="shared" ca="1" si="108"/>
        <v>0</v>
      </c>
      <c r="AD154" s="50">
        <f t="shared" ca="1" si="108"/>
        <v>0</v>
      </c>
      <c r="AE154" s="50">
        <f t="shared" ca="1" si="108"/>
        <v>0</v>
      </c>
      <c r="AF154" s="50">
        <f t="shared" ca="1" si="108"/>
        <v>0</v>
      </c>
      <c r="AG154" s="50">
        <f t="shared" ca="1" si="108"/>
        <v>0</v>
      </c>
      <c r="AH154" s="50">
        <f t="shared" ca="1" si="108"/>
        <v>0</v>
      </c>
      <c r="AI154" s="50">
        <f t="shared" ca="1" si="108"/>
        <v>0</v>
      </c>
      <c r="AJ154" s="50">
        <f t="shared" ca="1" si="108"/>
        <v>0</v>
      </c>
      <c r="AK154" s="50">
        <f t="shared" ca="1" si="108"/>
        <v>0</v>
      </c>
      <c r="AL154" s="50">
        <f t="shared" si="108"/>
        <v>0</v>
      </c>
      <c r="AM154" s="50">
        <f t="shared" si="108"/>
        <v>0</v>
      </c>
      <c r="AN154" s="50">
        <f t="shared" si="108"/>
        <v>0</v>
      </c>
      <c r="AO154" s="50">
        <f t="shared" si="108"/>
        <v>0</v>
      </c>
      <c r="AP154" s="50">
        <f t="shared" si="108"/>
        <v>0</v>
      </c>
      <c r="AQ154" s="50">
        <f t="shared" si="108"/>
        <v>0</v>
      </c>
      <c r="AR154" s="50">
        <f t="shared" si="108"/>
        <v>0</v>
      </c>
      <c r="AS154" s="50">
        <f t="shared" si="108"/>
        <v>0</v>
      </c>
      <c r="AT154" s="50">
        <f t="shared" si="108"/>
        <v>0</v>
      </c>
      <c r="AU154" s="50">
        <f t="shared" si="108"/>
        <v>0</v>
      </c>
    </row>
    <row r="155" spans="1:47" s="60" customFormat="1">
      <c r="D155" s="187"/>
      <c r="E155" s="325"/>
      <c r="G155" s="39" t="s">
        <v>305</v>
      </c>
      <c r="I155" s="39"/>
      <c r="K155" s="39"/>
      <c r="L155" s="174"/>
      <c r="N155" s="188"/>
      <c r="O155" s="314"/>
      <c r="P155" s="185"/>
      <c r="Q155" s="314"/>
      <c r="R155" s="185">
        <f ca="1">SUM(R144:R151)-SUM(R153:R154)</f>
        <v>0</v>
      </c>
      <c r="S155" s="185">
        <f t="shared" ref="S155:AU155" ca="1" si="109">SUM(S144:S151)-SUM(S153:S154)</f>
        <v>0</v>
      </c>
      <c r="T155" s="185">
        <f t="shared" ca="1" si="109"/>
        <v>0</v>
      </c>
      <c r="U155" s="185">
        <f t="shared" ca="1" si="109"/>
        <v>0</v>
      </c>
      <c r="V155" s="185">
        <f t="shared" ca="1" si="109"/>
        <v>0</v>
      </c>
      <c r="W155" s="185">
        <f t="shared" ca="1" si="109"/>
        <v>0</v>
      </c>
      <c r="X155" s="185">
        <f t="shared" ca="1" si="109"/>
        <v>0</v>
      </c>
      <c r="Y155" s="185">
        <f t="shared" ca="1" si="109"/>
        <v>0</v>
      </c>
      <c r="Z155" s="185">
        <f t="shared" ca="1" si="109"/>
        <v>0</v>
      </c>
      <c r="AA155" s="185">
        <f t="shared" ca="1" si="109"/>
        <v>0</v>
      </c>
      <c r="AB155" s="185">
        <f t="shared" ca="1" si="109"/>
        <v>0</v>
      </c>
      <c r="AC155" s="185">
        <f t="shared" ca="1" si="109"/>
        <v>0</v>
      </c>
      <c r="AD155" s="185">
        <f t="shared" ca="1" si="109"/>
        <v>0</v>
      </c>
      <c r="AE155" s="185">
        <f t="shared" ca="1" si="109"/>
        <v>0</v>
      </c>
      <c r="AF155" s="185">
        <f t="shared" ca="1" si="109"/>
        <v>0</v>
      </c>
      <c r="AG155" s="185">
        <f t="shared" ca="1" si="109"/>
        <v>0</v>
      </c>
      <c r="AH155" s="185">
        <f t="shared" ca="1" si="109"/>
        <v>0</v>
      </c>
      <c r="AI155" s="185">
        <f t="shared" ca="1" si="109"/>
        <v>0</v>
      </c>
      <c r="AJ155" s="185">
        <f t="shared" ca="1" si="109"/>
        <v>0</v>
      </c>
      <c r="AK155" s="185">
        <f t="shared" ca="1" si="109"/>
        <v>0</v>
      </c>
      <c r="AL155" s="185">
        <f t="shared" si="109"/>
        <v>0</v>
      </c>
      <c r="AM155" s="185">
        <f t="shared" si="109"/>
        <v>0</v>
      </c>
      <c r="AN155" s="185">
        <f t="shared" si="109"/>
        <v>0</v>
      </c>
      <c r="AO155" s="185">
        <f t="shared" si="109"/>
        <v>0</v>
      </c>
      <c r="AP155" s="185">
        <f t="shared" si="109"/>
        <v>0</v>
      </c>
      <c r="AQ155" s="185">
        <f t="shared" si="109"/>
        <v>0</v>
      </c>
      <c r="AR155" s="185">
        <f t="shared" si="109"/>
        <v>0</v>
      </c>
      <c r="AS155" s="185">
        <f t="shared" si="109"/>
        <v>0</v>
      </c>
      <c r="AT155" s="185">
        <f t="shared" si="109"/>
        <v>0</v>
      </c>
      <c r="AU155" s="185">
        <f t="shared" si="109"/>
        <v>0</v>
      </c>
    </row>
    <row r="156" spans="1:47">
      <c r="G156" s="28"/>
      <c r="H156" s="28"/>
      <c r="I156" s="28"/>
      <c r="J156" s="28"/>
      <c r="K156" s="28"/>
      <c r="L156" s="409"/>
      <c r="M156" s="46"/>
      <c r="N156" s="46"/>
      <c r="O156" s="315"/>
      <c r="P156" s="46"/>
      <c r="Q156" s="315"/>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row>
    <row r="157" spans="1:47">
      <c r="E157" s="327"/>
      <c r="F157" s="28"/>
      <c r="G157" s="324" t="str">
        <f>C159&amp;" Capital Costs"</f>
        <v>Cake Storage/Load Out Capital Costs</v>
      </c>
      <c r="H157" s="324"/>
      <c r="I157" s="324"/>
      <c r="J157" s="324"/>
      <c r="K157" s="324"/>
      <c r="L157" s="405" t="s">
        <v>79</v>
      </c>
      <c r="M157" s="256"/>
      <c r="N157" s="325" t="s">
        <v>490</v>
      </c>
      <c r="O157" s="311"/>
      <c r="P157" s="325" t="s">
        <v>491</v>
      </c>
      <c r="Q157" s="310"/>
      <c r="R157" s="325">
        <f>R$8</f>
        <v>2014</v>
      </c>
      <c r="S157" s="325">
        <f t="shared" ref="S157:AU157" si="110">S$8</f>
        <v>2015</v>
      </c>
      <c r="T157" s="325">
        <f t="shared" si="110"/>
        <v>2016</v>
      </c>
      <c r="U157" s="325">
        <f t="shared" si="110"/>
        <v>2017</v>
      </c>
      <c r="V157" s="325">
        <f t="shared" si="110"/>
        <v>2018</v>
      </c>
      <c r="W157" s="325">
        <f t="shared" si="110"/>
        <v>2019</v>
      </c>
      <c r="X157" s="325">
        <f t="shared" si="110"/>
        <v>2020</v>
      </c>
      <c r="Y157" s="325">
        <f t="shared" si="110"/>
        <v>2021</v>
      </c>
      <c r="Z157" s="325">
        <f t="shared" si="110"/>
        <v>2022</v>
      </c>
      <c r="AA157" s="325">
        <f t="shared" si="110"/>
        <v>2023</v>
      </c>
      <c r="AB157" s="325">
        <f t="shared" si="110"/>
        <v>2024</v>
      </c>
      <c r="AC157" s="325">
        <f t="shared" si="110"/>
        <v>2025</v>
      </c>
      <c r="AD157" s="325">
        <f t="shared" si="110"/>
        <v>2026</v>
      </c>
      <c r="AE157" s="325">
        <f t="shared" si="110"/>
        <v>2027</v>
      </c>
      <c r="AF157" s="325">
        <f t="shared" si="110"/>
        <v>2028</v>
      </c>
      <c r="AG157" s="325">
        <f t="shared" si="110"/>
        <v>2029</v>
      </c>
      <c r="AH157" s="325">
        <f t="shared" si="110"/>
        <v>2030</v>
      </c>
      <c r="AI157" s="325">
        <f t="shared" si="110"/>
        <v>2031</v>
      </c>
      <c r="AJ157" s="325">
        <f t="shared" si="110"/>
        <v>2032</v>
      </c>
      <c r="AK157" s="325">
        <f t="shared" si="110"/>
        <v>2033</v>
      </c>
      <c r="AL157" s="325">
        <f t="shared" si="110"/>
        <v>2034</v>
      </c>
      <c r="AM157" s="325">
        <f t="shared" si="110"/>
        <v>2035</v>
      </c>
      <c r="AN157" s="325">
        <f t="shared" si="110"/>
        <v>2036</v>
      </c>
      <c r="AO157" s="325">
        <f t="shared" si="110"/>
        <v>2037</v>
      </c>
      <c r="AP157" s="325">
        <f t="shared" si="110"/>
        <v>2038</v>
      </c>
      <c r="AQ157" s="325">
        <f t="shared" si="110"/>
        <v>2039</v>
      </c>
      <c r="AR157" s="325">
        <f t="shared" si="110"/>
        <v>2040</v>
      </c>
      <c r="AS157" s="325">
        <f t="shared" si="110"/>
        <v>2041</v>
      </c>
      <c r="AT157" s="325">
        <f t="shared" si="110"/>
        <v>2042</v>
      </c>
      <c r="AU157" s="325">
        <f t="shared" si="110"/>
        <v>2043</v>
      </c>
    </row>
    <row r="158" spans="1:47">
      <c r="E158" s="325"/>
      <c r="G158" s="39"/>
      <c r="H158" s="39"/>
      <c r="I158" s="39"/>
      <c r="J158" s="39"/>
      <c r="K158" s="39"/>
    </row>
    <row r="159" spans="1:47">
      <c r="A159" s="38" t="str">
        <f>$J$4&amp;"-"</f>
        <v>Custom-</v>
      </c>
      <c r="B159" s="38" t="s">
        <v>306</v>
      </c>
      <c r="C159" s="38" t="s">
        <v>316</v>
      </c>
      <c r="D159" s="186">
        <f>CapExEsc</f>
        <v>0.03</v>
      </c>
      <c r="E159" s="325"/>
      <c r="G159" s="36" t="s">
        <v>8</v>
      </c>
      <c r="H159" s="39"/>
      <c r="I159" s="39"/>
      <c r="J159" s="70"/>
      <c r="K159" s="39"/>
      <c r="L159" s="43" t="str">
        <f>"["&amp;CostBaseYr&amp;" $]"</f>
        <v>[2013 $]</v>
      </c>
      <c r="N159" s="52">
        <f ca="1">IF(VLOOKUP($C159,$G$69:$J$87,4,FALSE)="Off", 0,SUMIFS(OFFSET(Assumptions!$I$65,0,MATCH($A159,Configurations,0)-1,COUNT(Assumptions!$A$65:$A$84),1),Assumptions!$E$65:$E$84,$C159))</f>
        <v>0</v>
      </c>
      <c r="O159" s="52"/>
      <c r="P159" s="322"/>
      <c r="Q159" s="52"/>
      <c r="R159" s="52">
        <f t="shared" ref="R159:AU159" ca="1" si="111">R160*IF($P159=0,$N159,$P159)*(1+$D159)^(R$8-CostBaseYr)</f>
        <v>0</v>
      </c>
      <c r="S159" s="52">
        <f t="shared" ca="1" si="111"/>
        <v>0</v>
      </c>
      <c r="T159" s="52">
        <f t="shared" ca="1" si="111"/>
        <v>0</v>
      </c>
      <c r="U159" s="52">
        <f t="shared" ca="1" si="111"/>
        <v>0</v>
      </c>
      <c r="V159" s="52">
        <f t="shared" ca="1" si="111"/>
        <v>0</v>
      </c>
      <c r="W159" s="52">
        <f t="shared" ca="1" si="111"/>
        <v>0</v>
      </c>
      <c r="X159" s="52">
        <f t="shared" ca="1" si="111"/>
        <v>0</v>
      </c>
      <c r="Y159" s="52">
        <f t="shared" ca="1" si="111"/>
        <v>0</v>
      </c>
      <c r="Z159" s="52">
        <f t="shared" ca="1" si="111"/>
        <v>0</v>
      </c>
      <c r="AA159" s="52">
        <f t="shared" ca="1" si="111"/>
        <v>0</v>
      </c>
      <c r="AB159" s="52">
        <f t="shared" ca="1" si="111"/>
        <v>0</v>
      </c>
      <c r="AC159" s="52">
        <f t="shared" ca="1" si="111"/>
        <v>0</v>
      </c>
      <c r="AD159" s="52">
        <f t="shared" ca="1" si="111"/>
        <v>0</v>
      </c>
      <c r="AE159" s="52">
        <f t="shared" ca="1" si="111"/>
        <v>0</v>
      </c>
      <c r="AF159" s="52">
        <f t="shared" ca="1" si="111"/>
        <v>0</v>
      </c>
      <c r="AG159" s="52">
        <f t="shared" ca="1" si="111"/>
        <v>0</v>
      </c>
      <c r="AH159" s="52">
        <f t="shared" ca="1" si="111"/>
        <v>0</v>
      </c>
      <c r="AI159" s="52">
        <f t="shared" ca="1" si="111"/>
        <v>0</v>
      </c>
      <c r="AJ159" s="52">
        <f t="shared" ca="1" si="111"/>
        <v>0</v>
      </c>
      <c r="AK159" s="52">
        <f t="shared" ca="1" si="111"/>
        <v>0</v>
      </c>
      <c r="AL159" s="52">
        <f t="shared" ca="1" si="111"/>
        <v>0</v>
      </c>
      <c r="AM159" s="52">
        <f t="shared" ca="1" si="111"/>
        <v>0</v>
      </c>
      <c r="AN159" s="52">
        <f t="shared" ca="1" si="111"/>
        <v>0</v>
      </c>
      <c r="AO159" s="52">
        <f t="shared" ca="1" si="111"/>
        <v>0</v>
      </c>
      <c r="AP159" s="52">
        <f t="shared" ca="1" si="111"/>
        <v>0</v>
      </c>
      <c r="AQ159" s="52">
        <f t="shared" ca="1" si="111"/>
        <v>0</v>
      </c>
      <c r="AR159" s="52">
        <f t="shared" ca="1" si="111"/>
        <v>0</v>
      </c>
      <c r="AS159" s="52">
        <f t="shared" ca="1" si="111"/>
        <v>0</v>
      </c>
      <c r="AT159" s="52">
        <f t="shared" ca="1" si="111"/>
        <v>0</v>
      </c>
      <c r="AU159" s="52">
        <f t="shared" ca="1" si="111"/>
        <v>0</v>
      </c>
    </row>
    <row r="160" spans="1:47">
      <c r="E160" s="325"/>
      <c r="G160" s="36" t="s">
        <v>10</v>
      </c>
      <c r="H160" s="39"/>
      <c r="I160" s="39"/>
      <c r="J160" s="39"/>
      <c r="K160" s="39"/>
      <c r="L160" s="43"/>
      <c r="R160" s="54">
        <f>Assumptions!M$60</f>
        <v>1</v>
      </c>
      <c r="S160" s="54">
        <f>Assumptions!N$60</f>
        <v>0</v>
      </c>
      <c r="T160" s="54">
        <f>Assumptions!O$60</f>
        <v>0</v>
      </c>
      <c r="U160" s="54">
        <f>Assumptions!P$60</f>
        <v>0</v>
      </c>
      <c r="V160" s="54">
        <f>Assumptions!Q$60</f>
        <v>0</v>
      </c>
      <c r="W160" s="54">
        <f>Assumptions!R$60</f>
        <v>0</v>
      </c>
      <c r="X160" s="54">
        <f>Assumptions!S$60</f>
        <v>0</v>
      </c>
      <c r="Y160" s="54">
        <f>Assumptions!T$60</f>
        <v>0</v>
      </c>
      <c r="Z160" s="54">
        <f>Assumptions!U$60</f>
        <v>0</v>
      </c>
      <c r="AA160" s="54">
        <f>Assumptions!V$60</f>
        <v>0</v>
      </c>
      <c r="AB160" s="54">
        <f>Assumptions!W$60</f>
        <v>0</v>
      </c>
      <c r="AC160" s="54">
        <f>Assumptions!X$60</f>
        <v>0</v>
      </c>
      <c r="AD160" s="54">
        <f>Assumptions!Y$60</f>
        <v>0</v>
      </c>
      <c r="AE160" s="54">
        <f>Assumptions!Z$60</f>
        <v>0</v>
      </c>
      <c r="AF160" s="54">
        <f>Assumptions!AA$60</f>
        <v>0</v>
      </c>
      <c r="AG160" s="54">
        <f>Assumptions!AB$60</f>
        <v>0</v>
      </c>
      <c r="AH160" s="54">
        <f>Assumptions!AC$60</f>
        <v>0</v>
      </c>
      <c r="AI160" s="54">
        <f>Assumptions!AD$60</f>
        <v>0</v>
      </c>
      <c r="AJ160" s="54">
        <f>Assumptions!AE$60</f>
        <v>0</v>
      </c>
      <c r="AK160" s="54">
        <f>Assumptions!AF$60</f>
        <v>0</v>
      </c>
      <c r="AL160" s="54">
        <f>Assumptions!AG$60</f>
        <v>0</v>
      </c>
      <c r="AM160" s="54">
        <f>Assumptions!AH$60</f>
        <v>0</v>
      </c>
      <c r="AN160" s="54">
        <f>Assumptions!AI$60</f>
        <v>0</v>
      </c>
      <c r="AO160" s="54">
        <f>Assumptions!AJ$60</f>
        <v>0</v>
      </c>
      <c r="AP160" s="54">
        <f>Assumptions!AK$60</f>
        <v>0</v>
      </c>
      <c r="AQ160" s="54">
        <f>Assumptions!AL$60</f>
        <v>0</v>
      </c>
      <c r="AR160" s="54">
        <f>Assumptions!AM$60</f>
        <v>0</v>
      </c>
      <c r="AS160" s="54">
        <f>Assumptions!AN$60</f>
        <v>0</v>
      </c>
      <c r="AT160" s="54">
        <f>Assumptions!AO$60</f>
        <v>0</v>
      </c>
      <c r="AU160" s="54">
        <f>Assumptions!AP$60</f>
        <v>0</v>
      </c>
    </row>
    <row r="161" spans="1:47">
      <c r="E161" s="326"/>
      <c r="G161" s="39"/>
      <c r="H161" s="39"/>
      <c r="I161" s="39"/>
      <c r="J161" s="39"/>
      <c r="K161" s="39"/>
    </row>
    <row r="162" spans="1:47">
      <c r="E162" s="327"/>
      <c r="F162" s="28"/>
      <c r="G162" s="324" t="str">
        <f>C159&amp;" O&amp;M"</f>
        <v>Cake Storage/Load Out O&amp;M</v>
      </c>
      <c r="H162" s="324"/>
      <c r="I162" s="324"/>
      <c r="J162" s="324"/>
      <c r="K162" s="324"/>
      <c r="L162" s="405" t="s">
        <v>79</v>
      </c>
      <c r="M162" s="256"/>
      <c r="N162" s="325" t="s">
        <v>490</v>
      </c>
      <c r="O162" s="311"/>
      <c r="P162" s="325" t="s">
        <v>491</v>
      </c>
      <c r="Q162" s="310"/>
      <c r="R162" s="325">
        <f>R$8</f>
        <v>2014</v>
      </c>
      <c r="S162" s="325">
        <f t="shared" ref="S162:AU162" si="112">S$8</f>
        <v>2015</v>
      </c>
      <c r="T162" s="325">
        <f t="shared" si="112"/>
        <v>2016</v>
      </c>
      <c r="U162" s="325">
        <f t="shared" si="112"/>
        <v>2017</v>
      </c>
      <c r="V162" s="325">
        <f t="shared" si="112"/>
        <v>2018</v>
      </c>
      <c r="W162" s="325">
        <f t="shared" si="112"/>
        <v>2019</v>
      </c>
      <c r="X162" s="325">
        <f t="shared" si="112"/>
        <v>2020</v>
      </c>
      <c r="Y162" s="325">
        <f t="shared" si="112"/>
        <v>2021</v>
      </c>
      <c r="Z162" s="325">
        <f t="shared" si="112"/>
        <v>2022</v>
      </c>
      <c r="AA162" s="325">
        <f t="shared" si="112"/>
        <v>2023</v>
      </c>
      <c r="AB162" s="325">
        <f t="shared" si="112"/>
        <v>2024</v>
      </c>
      <c r="AC162" s="325">
        <f t="shared" si="112"/>
        <v>2025</v>
      </c>
      <c r="AD162" s="325">
        <f t="shared" si="112"/>
        <v>2026</v>
      </c>
      <c r="AE162" s="325">
        <f t="shared" si="112"/>
        <v>2027</v>
      </c>
      <c r="AF162" s="325">
        <f t="shared" si="112"/>
        <v>2028</v>
      </c>
      <c r="AG162" s="325">
        <f t="shared" si="112"/>
        <v>2029</v>
      </c>
      <c r="AH162" s="325">
        <f t="shared" si="112"/>
        <v>2030</v>
      </c>
      <c r="AI162" s="325">
        <f t="shared" si="112"/>
        <v>2031</v>
      </c>
      <c r="AJ162" s="325">
        <f t="shared" si="112"/>
        <v>2032</v>
      </c>
      <c r="AK162" s="325">
        <f t="shared" si="112"/>
        <v>2033</v>
      </c>
      <c r="AL162" s="325">
        <f t="shared" si="112"/>
        <v>2034</v>
      </c>
      <c r="AM162" s="325">
        <f t="shared" si="112"/>
        <v>2035</v>
      </c>
      <c r="AN162" s="325">
        <f t="shared" si="112"/>
        <v>2036</v>
      </c>
      <c r="AO162" s="325">
        <f t="shared" si="112"/>
        <v>2037</v>
      </c>
      <c r="AP162" s="325">
        <f t="shared" si="112"/>
        <v>2038</v>
      </c>
      <c r="AQ162" s="325">
        <f t="shared" si="112"/>
        <v>2039</v>
      </c>
      <c r="AR162" s="325">
        <f t="shared" si="112"/>
        <v>2040</v>
      </c>
      <c r="AS162" s="325">
        <f t="shared" si="112"/>
        <v>2041</v>
      </c>
      <c r="AT162" s="325">
        <f t="shared" si="112"/>
        <v>2042</v>
      </c>
      <c r="AU162" s="325">
        <f t="shared" si="112"/>
        <v>2043</v>
      </c>
    </row>
    <row r="163" spans="1:47">
      <c r="E163" s="325"/>
      <c r="G163" s="39"/>
      <c r="H163" s="39"/>
      <c r="I163" s="39"/>
      <c r="J163" s="39"/>
      <c r="K163" s="39"/>
    </row>
    <row r="164" spans="1:47">
      <c r="E164" s="325"/>
      <c r="G164" s="39" t="s">
        <v>23</v>
      </c>
      <c r="H164" s="39"/>
      <c r="I164" s="39"/>
      <c r="J164" s="39"/>
      <c r="K164" s="39"/>
    </row>
    <row r="165" spans="1:47">
      <c r="A165" s="38" t="str">
        <f t="shared" ref="A165:A172" si="113">$J$4&amp;"-"</f>
        <v>Custom-</v>
      </c>
      <c r="B165" s="38" t="s">
        <v>262</v>
      </c>
      <c r="C165" s="38" t="str">
        <f>C159</f>
        <v>Cake Storage/Load Out</v>
      </c>
      <c r="D165" s="186">
        <f>LaborEsc</f>
        <v>0.02</v>
      </c>
      <c r="E165" s="325"/>
      <c r="G165" s="36" t="s">
        <v>125</v>
      </c>
      <c r="I165" s="39"/>
      <c r="K165" s="39"/>
      <c r="L165" s="43" t="s">
        <v>266</v>
      </c>
      <c r="N165" s="70">
        <f ca="1">IF(VLOOKUP($C165,$G$69:$J$87,4,FALSE)="Off",0,SUMIFS(OFFSET(Assumptions!$I$90,0,MATCH($A165,Configurations,0)-1,COUNT(Assumptions!$A$90:$A$183),1),Assumptions!$D$90:$D$183,$B165&amp;$C165))</f>
        <v>0</v>
      </c>
      <c r="O165" s="313"/>
      <c r="P165" s="323"/>
      <c r="Q165" s="313"/>
      <c r="R165" s="50">
        <f t="shared" ref="R165:AU165" ca="1" si="114">IF(OR(R$99&lt;InServiceYr,R$99&gt;(InServiceYr+analysis_period-1)),0,IF($P165=0,$N165,$P165)*LaborCost*(1+$D165)^(R$99-CostBaseYr))</f>
        <v>0</v>
      </c>
      <c r="S165" s="50">
        <f t="shared" ca="1" si="114"/>
        <v>0</v>
      </c>
      <c r="T165" s="50">
        <f t="shared" ca="1" si="114"/>
        <v>0</v>
      </c>
      <c r="U165" s="50">
        <f t="shared" ca="1" si="114"/>
        <v>0</v>
      </c>
      <c r="V165" s="50">
        <f t="shared" ca="1" si="114"/>
        <v>0</v>
      </c>
      <c r="W165" s="50">
        <f t="shared" ca="1" si="114"/>
        <v>0</v>
      </c>
      <c r="X165" s="50">
        <f t="shared" ca="1" si="114"/>
        <v>0</v>
      </c>
      <c r="Y165" s="50">
        <f t="shared" ca="1" si="114"/>
        <v>0</v>
      </c>
      <c r="Z165" s="50">
        <f t="shared" ca="1" si="114"/>
        <v>0</v>
      </c>
      <c r="AA165" s="50">
        <f t="shared" ca="1" si="114"/>
        <v>0</v>
      </c>
      <c r="AB165" s="50">
        <f t="shared" ca="1" si="114"/>
        <v>0</v>
      </c>
      <c r="AC165" s="50">
        <f t="shared" ca="1" si="114"/>
        <v>0</v>
      </c>
      <c r="AD165" s="50">
        <f t="shared" ca="1" si="114"/>
        <v>0</v>
      </c>
      <c r="AE165" s="50">
        <f t="shared" ca="1" si="114"/>
        <v>0</v>
      </c>
      <c r="AF165" s="50">
        <f t="shared" ca="1" si="114"/>
        <v>0</v>
      </c>
      <c r="AG165" s="50">
        <f t="shared" ca="1" si="114"/>
        <v>0</v>
      </c>
      <c r="AH165" s="50">
        <f t="shared" ca="1" si="114"/>
        <v>0</v>
      </c>
      <c r="AI165" s="50">
        <f t="shared" ca="1" si="114"/>
        <v>0</v>
      </c>
      <c r="AJ165" s="50">
        <f t="shared" ca="1" si="114"/>
        <v>0</v>
      </c>
      <c r="AK165" s="50">
        <f t="shared" ca="1" si="114"/>
        <v>0</v>
      </c>
      <c r="AL165" s="50">
        <f t="shared" si="114"/>
        <v>0</v>
      </c>
      <c r="AM165" s="50">
        <f t="shared" si="114"/>
        <v>0</v>
      </c>
      <c r="AN165" s="50">
        <f t="shared" si="114"/>
        <v>0</v>
      </c>
      <c r="AO165" s="50">
        <f t="shared" si="114"/>
        <v>0</v>
      </c>
      <c r="AP165" s="50">
        <f t="shared" si="114"/>
        <v>0</v>
      </c>
      <c r="AQ165" s="50">
        <f t="shared" si="114"/>
        <v>0</v>
      </c>
      <c r="AR165" s="50">
        <f t="shared" si="114"/>
        <v>0</v>
      </c>
      <c r="AS165" s="50">
        <f t="shared" si="114"/>
        <v>0</v>
      </c>
      <c r="AT165" s="50">
        <f t="shared" si="114"/>
        <v>0</v>
      </c>
      <c r="AU165" s="50">
        <f t="shared" si="114"/>
        <v>0</v>
      </c>
    </row>
    <row r="166" spans="1:47">
      <c r="A166" s="38" t="str">
        <f t="shared" si="113"/>
        <v>Custom-</v>
      </c>
      <c r="B166" s="38" t="s">
        <v>270</v>
      </c>
      <c r="C166" s="38" t="str">
        <f>C165</f>
        <v>Cake Storage/Load Out</v>
      </c>
      <c r="D166" s="186">
        <f>OMEsc</f>
        <v>0.02</v>
      </c>
      <c r="E166" s="325"/>
      <c r="G166" s="36" t="s">
        <v>126</v>
      </c>
      <c r="I166" s="39"/>
      <c r="K166" s="39"/>
      <c r="L166" s="43" t="str">
        <f>"["&amp;CostBaseYr&amp;" $]"</f>
        <v>[2013 $]</v>
      </c>
      <c r="N166" s="70">
        <f ca="1">IF(VLOOKUP($C166,$G$69:$J$87,4,FALSE)="Off",0,SUMIFS(OFFSET(Assumptions!$I$90,0,MATCH($A166,Configurations,0)-1,COUNT(Assumptions!$A$90:$A$183),1),Assumptions!$D$90:$D$183,$B166&amp;$C166))</f>
        <v>0</v>
      </c>
      <c r="O166" s="313"/>
      <c r="P166" s="323"/>
      <c r="Q166" s="313"/>
      <c r="R166" s="50">
        <f t="shared" ref="R166:AG168" ca="1" si="115">IF(OR(R$99&lt;InServiceYr,R$99&gt;(InServiceYr+analysis_period-1)),0,IF($P166=0,$N166,$P166)*(1+$D166)^(R$99-CostBaseYr))</f>
        <v>0</v>
      </c>
      <c r="S166" s="50">
        <f t="shared" ca="1" si="115"/>
        <v>0</v>
      </c>
      <c r="T166" s="50">
        <f t="shared" ca="1" si="115"/>
        <v>0</v>
      </c>
      <c r="U166" s="50">
        <f t="shared" ca="1" si="115"/>
        <v>0</v>
      </c>
      <c r="V166" s="50">
        <f t="shared" ca="1" si="115"/>
        <v>0</v>
      </c>
      <c r="W166" s="50">
        <f t="shared" ca="1" si="115"/>
        <v>0</v>
      </c>
      <c r="X166" s="50">
        <f t="shared" ca="1" si="115"/>
        <v>0</v>
      </c>
      <c r="Y166" s="50">
        <f t="shared" ca="1" si="115"/>
        <v>0</v>
      </c>
      <c r="Z166" s="50">
        <f t="shared" ca="1" si="115"/>
        <v>0</v>
      </c>
      <c r="AA166" s="50">
        <f t="shared" ca="1" si="115"/>
        <v>0</v>
      </c>
      <c r="AB166" s="50">
        <f t="shared" ca="1" si="115"/>
        <v>0</v>
      </c>
      <c r="AC166" s="50">
        <f t="shared" ca="1" si="115"/>
        <v>0</v>
      </c>
      <c r="AD166" s="50">
        <f t="shared" ca="1" si="115"/>
        <v>0</v>
      </c>
      <c r="AE166" s="50">
        <f t="shared" ca="1" si="115"/>
        <v>0</v>
      </c>
      <c r="AF166" s="50">
        <f t="shared" ca="1" si="115"/>
        <v>0</v>
      </c>
      <c r="AG166" s="50">
        <f t="shared" ca="1" si="115"/>
        <v>0</v>
      </c>
      <c r="AH166" s="50">
        <f t="shared" ref="S166:AU168" ca="1" si="116">IF(OR(AH$99&lt;InServiceYr,AH$99&gt;(InServiceYr+analysis_period-1)),0,IF($P166=0,$N166,$P166)*(1+$D166)^(AH$99-CostBaseYr))</f>
        <v>0</v>
      </c>
      <c r="AI166" s="50">
        <f t="shared" ca="1" si="116"/>
        <v>0</v>
      </c>
      <c r="AJ166" s="50">
        <f t="shared" ca="1" si="116"/>
        <v>0</v>
      </c>
      <c r="AK166" s="50">
        <f t="shared" ca="1" si="116"/>
        <v>0</v>
      </c>
      <c r="AL166" s="50">
        <f t="shared" si="116"/>
        <v>0</v>
      </c>
      <c r="AM166" s="50">
        <f t="shared" si="116"/>
        <v>0</v>
      </c>
      <c r="AN166" s="50">
        <f t="shared" si="116"/>
        <v>0</v>
      </c>
      <c r="AO166" s="50">
        <f t="shared" si="116"/>
        <v>0</v>
      </c>
      <c r="AP166" s="50">
        <f t="shared" si="116"/>
        <v>0</v>
      </c>
      <c r="AQ166" s="50">
        <f t="shared" si="116"/>
        <v>0</v>
      </c>
      <c r="AR166" s="50">
        <f t="shared" si="116"/>
        <v>0</v>
      </c>
      <c r="AS166" s="50">
        <f t="shared" si="116"/>
        <v>0</v>
      </c>
      <c r="AT166" s="50">
        <f t="shared" si="116"/>
        <v>0</v>
      </c>
      <c r="AU166" s="50">
        <f t="shared" si="116"/>
        <v>0</v>
      </c>
    </row>
    <row r="167" spans="1:47">
      <c r="A167" s="38" t="str">
        <f t="shared" si="113"/>
        <v>Custom-</v>
      </c>
      <c r="B167" s="38" t="s">
        <v>263</v>
      </c>
      <c r="C167" s="38" t="str">
        <f t="shared" ref="C167:C171" si="117">C166</f>
        <v>Cake Storage/Load Out</v>
      </c>
      <c r="D167" s="186">
        <f>OMEsc</f>
        <v>0.02</v>
      </c>
      <c r="E167" s="325"/>
      <c r="G167" s="36" t="s">
        <v>127</v>
      </c>
      <c r="I167" s="39"/>
      <c r="K167" s="39"/>
      <c r="L167" s="43" t="str">
        <f>"["&amp;CostBaseYr&amp;" $]"</f>
        <v>[2013 $]</v>
      </c>
      <c r="N167" s="70">
        <f ca="1">IF(VLOOKUP($C167,$G$69:$J$87,4,FALSE)="Off",0,SUMIFS(OFFSET(Assumptions!$I$90,0,MATCH($A167,Configurations,0)-1,COUNT(Assumptions!$A$90:$A$183),1),Assumptions!$D$90:$D$183,$B167&amp;$C167))</f>
        <v>0</v>
      </c>
      <c r="O167" s="313"/>
      <c r="P167" s="323"/>
      <c r="Q167" s="313"/>
      <c r="R167" s="50">
        <f t="shared" ca="1" si="115"/>
        <v>0</v>
      </c>
      <c r="S167" s="50">
        <f t="shared" ca="1" si="116"/>
        <v>0</v>
      </c>
      <c r="T167" s="50">
        <f t="shared" ca="1" si="116"/>
        <v>0</v>
      </c>
      <c r="U167" s="50">
        <f t="shared" ca="1" si="116"/>
        <v>0</v>
      </c>
      <c r="V167" s="50">
        <f t="shared" ca="1" si="116"/>
        <v>0</v>
      </c>
      <c r="W167" s="50">
        <f t="shared" ca="1" si="116"/>
        <v>0</v>
      </c>
      <c r="X167" s="50">
        <f t="shared" ca="1" si="116"/>
        <v>0</v>
      </c>
      <c r="Y167" s="50">
        <f t="shared" ca="1" si="116"/>
        <v>0</v>
      </c>
      <c r="Z167" s="50">
        <f t="shared" ca="1" si="116"/>
        <v>0</v>
      </c>
      <c r="AA167" s="50">
        <f t="shared" ca="1" si="116"/>
        <v>0</v>
      </c>
      <c r="AB167" s="50">
        <f t="shared" ca="1" si="116"/>
        <v>0</v>
      </c>
      <c r="AC167" s="50">
        <f t="shared" ca="1" si="116"/>
        <v>0</v>
      </c>
      <c r="AD167" s="50">
        <f t="shared" ca="1" si="116"/>
        <v>0</v>
      </c>
      <c r="AE167" s="50">
        <f t="shared" ca="1" si="116"/>
        <v>0</v>
      </c>
      <c r="AF167" s="50">
        <f t="shared" ca="1" si="116"/>
        <v>0</v>
      </c>
      <c r="AG167" s="50">
        <f t="shared" ca="1" si="116"/>
        <v>0</v>
      </c>
      <c r="AH167" s="50">
        <f t="shared" ca="1" si="116"/>
        <v>0</v>
      </c>
      <c r="AI167" s="50">
        <f t="shared" ca="1" si="116"/>
        <v>0</v>
      </c>
      <c r="AJ167" s="50">
        <f t="shared" ca="1" si="116"/>
        <v>0</v>
      </c>
      <c r="AK167" s="50">
        <f t="shared" ca="1" si="116"/>
        <v>0</v>
      </c>
      <c r="AL167" s="50">
        <f t="shared" si="116"/>
        <v>0</v>
      </c>
      <c r="AM167" s="50">
        <f t="shared" si="116"/>
        <v>0</v>
      </c>
      <c r="AN167" s="50">
        <f t="shared" si="116"/>
        <v>0</v>
      </c>
      <c r="AO167" s="50">
        <f t="shared" si="116"/>
        <v>0</v>
      </c>
      <c r="AP167" s="50">
        <f t="shared" si="116"/>
        <v>0</v>
      </c>
      <c r="AQ167" s="50">
        <f t="shared" si="116"/>
        <v>0</v>
      </c>
      <c r="AR167" s="50">
        <f t="shared" si="116"/>
        <v>0</v>
      </c>
      <c r="AS167" s="50">
        <f t="shared" si="116"/>
        <v>0</v>
      </c>
      <c r="AT167" s="50">
        <f t="shared" si="116"/>
        <v>0</v>
      </c>
      <c r="AU167" s="50">
        <f t="shared" si="116"/>
        <v>0</v>
      </c>
    </row>
    <row r="168" spans="1:47">
      <c r="A168" s="38" t="str">
        <f t="shared" si="113"/>
        <v>Custom-</v>
      </c>
      <c r="B168" s="38" t="s">
        <v>277</v>
      </c>
      <c r="C168" s="38" t="str">
        <f t="shared" si="117"/>
        <v>Cake Storage/Load Out</v>
      </c>
      <c r="D168" s="186">
        <f>OMEsc</f>
        <v>0.02</v>
      </c>
      <c r="E168" s="325"/>
      <c r="G168" s="36" t="s">
        <v>276</v>
      </c>
      <c r="I168" s="39"/>
      <c r="K168" s="39"/>
      <c r="L168" s="43" t="str">
        <f>"["&amp;CostBaseYr&amp;" $]"</f>
        <v>[2013 $]</v>
      </c>
      <c r="N168" s="70">
        <f ca="1">IF(VLOOKUP($C168,$G$69:$J$87,4,FALSE)="Off",0,SUMIFS(OFFSET(Assumptions!$I$90,0,MATCH($A168,Configurations,0)-1,COUNT(Assumptions!$A$90:$A$183),1),Assumptions!$D$90:$D$183,$B168&amp;$C168))</f>
        <v>0</v>
      </c>
      <c r="O168" s="313"/>
      <c r="P168" s="323"/>
      <c r="Q168" s="313"/>
      <c r="R168" s="50">
        <f t="shared" ca="1" si="115"/>
        <v>0</v>
      </c>
      <c r="S168" s="50">
        <f t="shared" ca="1" si="116"/>
        <v>0</v>
      </c>
      <c r="T168" s="50">
        <f t="shared" ca="1" si="116"/>
        <v>0</v>
      </c>
      <c r="U168" s="50">
        <f t="shared" ca="1" si="116"/>
        <v>0</v>
      </c>
      <c r="V168" s="50">
        <f t="shared" ca="1" si="116"/>
        <v>0</v>
      </c>
      <c r="W168" s="50">
        <f t="shared" ca="1" si="116"/>
        <v>0</v>
      </c>
      <c r="X168" s="50">
        <f t="shared" ca="1" si="116"/>
        <v>0</v>
      </c>
      <c r="Y168" s="50">
        <f t="shared" ca="1" si="116"/>
        <v>0</v>
      </c>
      <c r="Z168" s="50">
        <f t="shared" ca="1" si="116"/>
        <v>0</v>
      </c>
      <c r="AA168" s="50">
        <f t="shared" ca="1" si="116"/>
        <v>0</v>
      </c>
      <c r="AB168" s="50">
        <f t="shared" ca="1" si="116"/>
        <v>0</v>
      </c>
      <c r="AC168" s="50">
        <f t="shared" ca="1" si="116"/>
        <v>0</v>
      </c>
      <c r="AD168" s="50">
        <f t="shared" ca="1" si="116"/>
        <v>0</v>
      </c>
      <c r="AE168" s="50">
        <f t="shared" ca="1" si="116"/>
        <v>0</v>
      </c>
      <c r="AF168" s="50">
        <f t="shared" ca="1" si="116"/>
        <v>0</v>
      </c>
      <c r="AG168" s="50">
        <f t="shared" ca="1" si="116"/>
        <v>0</v>
      </c>
      <c r="AH168" s="50">
        <f t="shared" ca="1" si="116"/>
        <v>0</v>
      </c>
      <c r="AI168" s="50">
        <f t="shared" ca="1" si="116"/>
        <v>0</v>
      </c>
      <c r="AJ168" s="50">
        <f t="shared" ca="1" si="116"/>
        <v>0</v>
      </c>
      <c r="AK168" s="50">
        <f t="shared" ca="1" si="116"/>
        <v>0</v>
      </c>
      <c r="AL168" s="50">
        <f t="shared" si="116"/>
        <v>0</v>
      </c>
      <c r="AM168" s="50">
        <f t="shared" si="116"/>
        <v>0</v>
      </c>
      <c r="AN168" s="50">
        <f t="shared" si="116"/>
        <v>0</v>
      </c>
      <c r="AO168" s="50">
        <f t="shared" si="116"/>
        <v>0</v>
      </c>
      <c r="AP168" s="50">
        <f t="shared" si="116"/>
        <v>0</v>
      </c>
      <c r="AQ168" s="50">
        <f t="shared" si="116"/>
        <v>0</v>
      </c>
      <c r="AR168" s="50">
        <f t="shared" si="116"/>
        <v>0</v>
      </c>
      <c r="AS168" s="50">
        <f t="shared" si="116"/>
        <v>0</v>
      </c>
      <c r="AT168" s="50">
        <f t="shared" si="116"/>
        <v>0</v>
      </c>
      <c r="AU168" s="50">
        <f t="shared" si="116"/>
        <v>0</v>
      </c>
    </row>
    <row r="169" spans="1:47">
      <c r="A169" s="38" t="str">
        <f t="shared" si="113"/>
        <v>Custom-</v>
      </c>
      <c r="B169" s="38" t="s">
        <v>274</v>
      </c>
      <c r="C169" s="38" t="str">
        <f t="shared" si="117"/>
        <v>Cake Storage/Load Out</v>
      </c>
      <c r="D169" s="186"/>
      <c r="E169" s="325"/>
      <c r="G169" s="36" t="s">
        <v>16</v>
      </c>
      <c r="I169" s="39"/>
      <c r="K169" s="39"/>
      <c r="L169" s="43" t="s">
        <v>275</v>
      </c>
      <c r="N169" s="70">
        <f ca="1">IF(VLOOKUP($C169,$G$69:$J$87,4,FALSE)="Off",0,SUMIFS(OFFSET(Assumptions!$I$90,0,MATCH($A169,Configurations,0)-1,COUNT(Assumptions!$A$90:$A$183),1),Assumptions!$D$90:$D$183,$B169&amp;$C169))</f>
        <v>0</v>
      </c>
      <c r="O169" s="313"/>
      <c r="P169" s="323"/>
      <c r="Q169" s="313"/>
      <c r="R169" s="50">
        <f t="shared" ref="R169:AU169" ca="1" si="118">IF(OR(R$99&lt;InServiceYr,R$99&gt;(InServiceYr+analysis_period-1)),0,IF($P169=0,$N169,$P169)*R$505)</f>
        <v>0</v>
      </c>
      <c r="S169" s="50">
        <f t="shared" ca="1" si="118"/>
        <v>0</v>
      </c>
      <c r="T169" s="50">
        <f t="shared" ca="1" si="118"/>
        <v>0</v>
      </c>
      <c r="U169" s="50">
        <f t="shared" ca="1" si="118"/>
        <v>0</v>
      </c>
      <c r="V169" s="50">
        <f t="shared" ca="1" si="118"/>
        <v>0</v>
      </c>
      <c r="W169" s="50">
        <f t="shared" ca="1" si="118"/>
        <v>0</v>
      </c>
      <c r="X169" s="50">
        <f t="shared" ca="1" si="118"/>
        <v>0</v>
      </c>
      <c r="Y169" s="50">
        <f t="shared" ca="1" si="118"/>
        <v>0</v>
      </c>
      <c r="Z169" s="50">
        <f t="shared" ca="1" si="118"/>
        <v>0</v>
      </c>
      <c r="AA169" s="50">
        <f t="shared" ca="1" si="118"/>
        <v>0</v>
      </c>
      <c r="AB169" s="50">
        <f t="shared" ca="1" si="118"/>
        <v>0</v>
      </c>
      <c r="AC169" s="50">
        <f t="shared" ca="1" si="118"/>
        <v>0</v>
      </c>
      <c r="AD169" s="50">
        <f t="shared" ca="1" si="118"/>
        <v>0</v>
      </c>
      <c r="AE169" s="50">
        <f t="shared" ca="1" si="118"/>
        <v>0</v>
      </c>
      <c r="AF169" s="50">
        <f t="shared" ca="1" si="118"/>
        <v>0</v>
      </c>
      <c r="AG169" s="50">
        <f t="shared" ca="1" si="118"/>
        <v>0</v>
      </c>
      <c r="AH169" s="50">
        <f t="shared" ca="1" si="118"/>
        <v>0</v>
      </c>
      <c r="AI169" s="50">
        <f t="shared" ca="1" si="118"/>
        <v>0</v>
      </c>
      <c r="AJ169" s="50">
        <f t="shared" ca="1" si="118"/>
        <v>0</v>
      </c>
      <c r="AK169" s="50">
        <f t="shared" ca="1" si="118"/>
        <v>0</v>
      </c>
      <c r="AL169" s="50">
        <f t="shared" si="118"/>
        <v>0</v>
      </c>
      <c r="AM169" s="50">
        <f t="shared" si="118"/>
        <v>0</v>
      </c>
      <c r="AN169" s="50">
        <f t="shared" si="118"/>
        <v>0</v>
      </c>
      <c r="AO169" s="50">
        <f t="shared" si="118"/>
        <v>0</v>
      </c>
      <c r="AP169" s="50">
        <f t="shared" si="118"/>
        <v>0</v>
      </c>
      <c r="AQ169" s="50">
        <f t="shared" si="118"/>
        <v>0</v>
      </c>
      <c r="AR169" s="50">
        <f t="shared" si="118"/>
        <v>0</v>
      </c>
      <c r="AS169" s="50">
        <f t="shared" si="118"/>
        <v>0</v>
      </c>
      <c r="AT169" s="50">
        <f t="shared" si="118"/>
        <v>0</v>
      </c>
      <c r="AU169" s="50">
        <f t="shared" si="118"/>
        <v>0</v>
      </c>
    </row>
    <row r="170" spans="1:47">
      <c r="A170" s="38" t="str">
        <f t="shared" si="113"/>
        <v>Custom-</v>
      </c>
      <c r="B170" s="38" t="s">
        <v>257</v>
      </c>
      <c r="C170" s="38" t="str">
        <f t="shared" si="117"/>
        <v>Cake Storage/Load Out</v>
      </c>
      <c r="D170" s="186"/>
      <c r="E170" s="325"/>
      <c r="G170" s="36" t="s">
        <v>284</v>
      </c>
      <c r="I170" s="39"/>
      <c r="K170" s="39"/>
      <c r="L170" s="43" t="s">
        <v>293</v>
      </c>
      <c r="N170" s="70">
        <f ca="1">IF(VLOOKUP($C170,$G$69:$J$87,4,FALSE)="Off",0,SUMIFS(OFFSET(Assumptions!$I$90,0,MATCH($A170,Configurations,0)-1,COUNT(Assumptions!$A$90:$A$183),1),Assumptions!$D$90:$D$183,$B170&amp;$C170))</f>
        <v>0</v>
      </c>
      <c r="O170" s="313"/>
      <c r="P170" s="323"/>
      <c r="Q170" s="313"/>
      <c r="R170" s="50">
        <f t="shared" ref="R170:AU170" ca="1" si="119">IF(OR(R$99&lt;InServiceYr,R$99&gt;(InServiceYr+analysis_period-1)),0,IF($P170=0,$N170,$P170)*R$501)</f>
        <v>0</v>
      </c>
      <c r="S170" s="50">
        <f t="shared" ca="1" si="119"/>
        <v>0</v>
      </c>
      <c r="T170" s="50">
        <f t="shared" ca="1" si="119"/>
        <v>0</v>
      </c>
      <c r="U170" s="50">
        <f t="shared" ca="1" si="119"/>
        <v>0</v>
      </c>
      <c r="V170" s="50">
        <f t="shared" ca="1" si="119"/>
        <v>0</v>
      </c>
      <c r="W170" s="50">
        <f t="shared" ca="1" si="119"/>
        <v>0</v>
      </c>
      <c r="X170" s="50">
        <f t="shared" ca="1" si="119"/>
        <v>0</v>
      </c>
      <c r="Y170" s="50">
        <f t="shared" ca="1" si="119"/>
        <v>0</v>
      </c>
      <c r="Z170" s="50">
        <f t="shared" ca="1" si="119"/>
        <v>0</v>
      </c>
      <c r="AA170" s="50">
        <f t="shared" ca="1" si="119"/>
        <v>0</v>
      </c>
      <c r="AB170" s="50">
        <f t="shared" ca="1" si="119"/>
        <v>0</v>
      </c>
      <c r="AC170" s="50">
        <f t="shared" ca="1" si="119"/>
        <v>0</v>
      </c>
      <c r="AD170" s="50">
        <f t="shared" ca="1" si="119"/>
        <v>0</v>
      </c>
      <c r="AE170" s="50">
        <f t="shared" ca="1" si="119"/>
        <v>0</v>
      </c>
      <c r="AF170" s="50">
        <f t="shared" ca="1" si="119"/>
        <v>0</v>
      </c>
      <c r="AG170" s="50">
        <f t="shared" ca="1" si="119"/>
        <v>0</v>
      </c>
      <c r="AH170" s="50">
        <f t="shared" ca="1" si="119"/>
        <v>0</v>
      </c>
      <c r="AI170" s="50">
        <f t="shared" ca="1" si="119"/>
        <v>0</v>
      </c>
      <c r="AJ170" s="50">
        <f t="shared" ca="1" si="119"/>
        <v>0</v>
      </c>
      <c r="AK170" s="50">
        <f t="shared" ca="1" si="119"/>
        <v>0</v>
      </c>
      <c r="AL170" s="50">
        <f t="shared" si="119"/>
        <v>0</v>
      </c>
      <c r="AM170" s="50">
        <f t="shared" si="119"/>
        <v>0</v>
      </c>
      <c r="AN170" s="50">
        <f t="shared" si="119"/>
        <v>0</v>
      </c>
      <c r="AO170" s="50">
        <f t="shared" si="119"/>
        <v>0</v>
      </c>
      <c r="AP170" s="50">
        <f t="shared" si="119"/>
        <v>0</v>
      </c>
      <c r="AQ170" s="50">
        <f t="shared" si="119"/>
        <v>0</v>
      </c>
      <c r="AR170" s="50">
        <f t="shared" si="119"/>
        <v>0</v>
      </c>
      <c r="AS170" s="50">
        <f t="shared" si="119"/>
        <v>0</v>
      </c>
      <c r="AT170" s="50">
        <f t="shared" si="119"/>
        <v>0</v>
      </c>
      <c r="AU170" s="50">
        <f t="shared" si="119"/>
        <v>0</v>
      </c>
    </row>
    <row r="171" spans="1:47">
      <c r="A171" s="38" t="str">
        <f t="shared" si="113"/>
        <v>Custom-</v>
      </c>
      <c r="B171" s="38" t="s">
        <v>864</v>
      </c>
      <c r="C171" s="38" t="str">
        <f t="shared" si="117"/>
        <v>Cake Storage/Load Out</v>
      </c>
      <c r="D171" s="186">
        <f>GHGEsc</f>
        <v>0.02</v>
      </c>
      <c r="E171" s="325"/>
      <c r="G171" s="36" t="s">
        <v>865</v>
      </c>
      <c r="I171" s="39"/>
      <c r="K171" s="39"/>
      <c r="L171" s="43" t="s">
        <v>866</v>
      </c>
      <c r="N171" s="70">
        <f ca="1">IF(VLOOKUP($C171,$G$69:$J$87,4,FALSE)="Off",0,SUMIFS(OFFSET(Assumptions!$I$90,0,MATCH($A171,Configurations,0)-1,COUNT(Assumptions!$A$90:$A$183),1),Assumptions!$D$90:$D$183,$B171&amp;$C171))</f>
        <v>0</v>
      </c>
      <c r="O171" s="313"/>
      <c r="P171" s="323"/>
      <c r="Q171" s="313"/>
      <c r="R171" s="50">
        <f t="shared" ref="R171:AU171" ca="1" si="120">IF(OR(R$99&lt;InServiceYr,R$99&gt;(InServiceYr+analysis_period-1)),0,IF($P171=0,$N171,$P171)*R$513)</f>
        <v>0</v>
      </c>
      <c r="S171" s="50">
        <f t="shared" ca="1" si="120"/>
        <v>0</v>
      </c>
      <c r="T171" s="50">
        <f t="shared" ca="1" si="120"/>
        <v>0</v>
      </c>
      <c r="U171" s="50">
        <f t="shared" ca="1" si="120"/>
        <v>0</v>
      </c>
      <c r="V171" s="50">
        <f t="shared" ca="1" si="120"/>
        <v>0</v>
      </c>
      <c r="W171" s="50">
        <f t="shared" ca="1" si="120"/>
        <v>0</v>
      </c>
      <c r="X171" s="50">
        <f t="shared" ca="1" si="120"/>
        <v>0</v>
      </c>
      <c r="Y171" s="50">
        <f t="shared" ca="1" si="120"/>
        <v>0</v>
      </c>
      <c r="Z171" s="50">
        <f t="shared" ca="1" si="120"/>
        <v>0</v>
      </c>
      <c r="AA171" s="50">
        <f t="shared" ca="1" si="120"/>
        <v>0</v>
      </c>
      <c r="AB171" s="50">
        <f t="shared" ca="1" si="120"/>
        <v>0</v>
      </c>
      <c r="AC171" s="50">
        <f t="shared" ca="1" si="120"/>
        <v>0</v>
      </c>
      <c r="AD171" s="50">
        <f t="shared" ca="1" si="120"/>
        <v>0</v>
      </c>
      <c r="AE171" s="50">
        <f t="shared" ca="1" si="120"/>
        <v>0</v>
      </c>
      <c r="AF171" s="50">
        <f t="shared" ca="1" si="120"/>
        <v>0</v>
      </c>
      <c r="AG171" s="50">
        <f t="shared" ca="1" si="120"/>
        <v>0</v>
      </c>
      <c r="AH171" s="50">
        <f t="shared" ca="1" si="120"/>
        <v>0</v>
      </c>
      <c r="AI171" s="50">
        <f t="shared" ca="1" si="120"/>
        <v>0</v>
      </c>
      <c r="AJ171" s="50">
        <f t="shared" ca="1" si="120"/>
        <v>0</v>
      </c>
      <c r="AK171" s="50">
        <f t="shared" ca="1" si="120"/>
        <v>0</v>
      </c>
      <c r="AL171" s="50">
        <f t="shared" si="120"/>
        <v>0</v>
      </c>
      <c r="AM171" s="50">
        <f t="shared" si="120"/>
        <v>0</v>
      </c>
      <c r="AN171" s="50">
        <f t="shared" si="120"/>
        <v>0</v>
      </c>
      <c r="AO171" s="50">
        <f t="shared" si="120"/>
        <v>0</v>
      </c>
      <c r="AP171" s="50">
        <f t="shared" si="120"/>
        <v>0</v>
      </c>
      <c r="AQ171" s="50">
        <f t="shared" si="120"/>
        <v>0</v>
      </c>
      <c r="AR171" s="50">
        <f t="shared" si="120"/>
        <v>0</v>
      </c>
      <c r="AS171" s="50">
        <f t="shared" si="120"/>
        <v>0</v>
      </c>
      <c r="AT171" s="50">
        <f t="shared" si="120"/>
        <v>0</v>
      </c>
      <c r="AU171" s="50">
        <f t="shared" si="120"/>
        <v>0</v>
      </c>
    </row>
    <row r="172" spans="1:47">
      <c r="A172" s="38" t="str">
        <f t="shared" si="113"/>
        <v>Custom-</v>
      </c>
      <c r="B172" s="38" t="s">
        <v>273</v>
      </c>
      <c r="C172" s="38" t="str">
        <f>C170</f>
        <v>Cake Storage/Load Out</v>
      </c>
      <c r="D172" s="186">
        <f>LaborEsc</f>
        <v>0.02</v>
      </c>
      <c r="E172" s="325"/>
      <c r="G172" s="36" t="s">
        <v>291</v>
      </c>
      <c r="I172" s="39"/>
      <c r="K172" s="39"/>
      <c r="L172" s="43" t="str">
        <f>"["&amp;CostBaseYr&amp;" $]"</f>
        <v>[2013 $]</v>
      </c>
      <c r="N172" s="70">
        <f ca="1">IF(VLOOKUP($C172,$G$69:$J$87,4,FALSE)="Off",0,SUMIFS(OFFSET(Assumptions!$I$90,0,MATCH($A172,Configurations,0)-1,COUNT(Assumptions!$A$90:$A$183),1),Assumptions!$D$90:$D$183,$B172&amp;$C172))</f>
        <v>0</v>
      </c>
      <c r="O172" s="313"/>
      <c r="P172" s="323"/>
      <c r="Q172" s="313"/>
      <c r="R172" s="50">
        <f t="shared" ref="R172:AU172" ca="1" si="121">IF(OR(R$99&lt;InServiceYr,R$99&gt;(InServiceYr+analysis_period-1)),0,IF($P172=0,$N172,$P172)*(1+$D172)^(R$99-CostBaseYr))*R$509</f>
        <v>0</v>
      </c>
      <c r="S172" s="50">
        <f t="shared" ca="1" si="121"/>
        <v>0</v>
      </c>
      <c r="T172" s="50">
        <f t="shared" ca="1" si="121"/>
        <v>0</v>
      </c>
      <c r="U172" s="50">
        <f t="shared" ca="1" si="121"/>
        <v>0</v>
      </c>
      <c r="V172" s="50">
        <f t="shared" ca="1" si="121"/>
        <v>0</v>
      </c>
      <c r="W172" s="50">
        <f t="shared" ca="1" si="121"/>
        <v>0</v>
      </c>
      <c r="X172" s="50">
        <f t="shared" ca="1" si="121"/>
        <v>0</v>
      </c>
      <c r="Y172" s="50">
        <f t="shared" ca="1" si="121"/>
        <v>0</v>
      </c>
      <c r="Z172" s="50">
        <f t="shared" ca="1" si="121"/>
        <v>0</v>
      </c>
      <c r="AA172" s="50">
        <f t="shared" ca="1" si="121"/>
        <v>0</v>
      </c>
      <c r="AB172" s="50">
        <f t="shared" ca="1" si="121"/>
        <v>0</v>
      </c>
      <c r="AC172" s="50">
        <f t="shared" ca="1" si="121"/>
        <v>0</v>
      </c>
      <c r="AD172" s="50">
        <f t="shared" ca="1" si="121"/>
        <v>0</v>
      </c>
      <c r="AE172" s="50">
        <f t="shared" ca="1" si="121"/>
        <v>0</v>
      </c>
      <c r="AF172" s="50">
        <f t="shared" ca="1" si="121"/>
        <v>0</v>
      </c>
      <c r="AG172" s="50">
        <f t="shared" ca="1" si="121"/>
        <v>0</v>
      </c>
      <c r="AH172" s="50">
        <f t="shared" ca="1" si="121"/>
        <v>0</v>
      </c>
      <c r="AI172" s="50">
        <f t="shared" ca="1" si="121"/>
        <v>0</v>
      </c>
      <c r="AJ172" s="50">
        <f t="shared" ca="1" si="121"/>
        <v>0</v>
      </c>
      <c r="AK172" s="50">
        <f t="shared" ca="1" si="121"/>
        <v>0</v>
      </c>
      <c r="AL172" s="50">
        <f t="shared" si="121"/>
        <v>0</v>
      </c>
      <c r="AM172" s="50">
        <f t="shared" si="121"/>
        <v>0</v>
      </c>
      <c r="AN172" s="50">
        <f t="shared" si="121"/>
        <v>0</v>
      </c>
      <c r="AO172" s="50">
        <f t="shared" si="121"/>
        <v>0</v>
      </c>
      <c r="AP172" s="50">
        <f t="shared" si="121"/>
        <v>0</v>
      </c>
      <c r="AQ172" s="50">
        <f t="shared" si="121"/>
        <v>0</v>
      </c>
      <c r="AR172" s="50">
        <f t="shared" si="121"/>
        <v>0</v>
      </c>
      <c r="AS172" s="50">
        <f t="shared" si="121"/>
        <v>0</v>
      </c>
      <c r="AT172" s="50">
        <f t="shared" si="121"/>
        <v>0</v>
      </c>
      <c r="AU172" s="50">
        <f t="shared" si="121"/>
        <v>0</v>
      </c>
    </row>
    <row r="173" spans="1:47">
      <c r="D173" s="186"/>
      <c r="E173" s="325"/>
      <c r="G173" s="39" t="s">
        <v>304</v>
      </c>
      <c r="I173" s="39"/>
      <c r="K173" s="39"/>
      <c r="L173" s="43"/>
      <c r="N173" s="70"/>
      <c r="O173" s="313"/>
      <c r="P173" s="70"/>
      <c r="Q173" s="313"/>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row>
    <row r="174" spans="1:47">
      <c r="A174" s="38" t="str">
        <f>$J$4&amp;"-"</f>
        <v>Custom-</v>
      </c>
      <c r="B174" s="38" t="s">
        <v>265</v>
      </c>
      <c r="C174" s="38" t="str">
        <f>C165</f>
        <v>Cake Storage/Load Out</v>
      </c>
      <c r="D174" s="186"/>
      <c r="E174" s="325"/>
      <c r="G174" s="36" t="s">
        <v>108</v>
      </c>
      <c r="I174" s="39"/>
      <c r="K174" s="39"/>
      <c r="L174" s="43" t="s">
        <v>293</v>
      </c>
      <c r="N174" s="70">
        <f ca="1">IF(VLOOKUP($C174,$G$69:$J$87,4,FALSE)="Off",0,SUMIFS(OFFSET(Assumptions!$I$90,0,MATCH($A174,Configurations,0)-1,COUNT(Assumptions!$A$90:$A$183),1),Assumptions!$D$90:$D$183,$B174&amp;$C174))</f>
        <v>0</v>
      </c>
      <c r="O174" s="313"/>
      <c r="P174" s="323"/>
      <c r="Q174" s="313"/>
      <c r="R174" s="50">
        <f t="shared" ref="R174:AU174" ca="1" si="122">IF(OR(R$99&lt;InServiceYr,R$99&gt;(InServiceYr+analysis_period-1)),0,IF($P174=0,$N174,$P174)*R$501)</f>
        <v>0</v>
      </c>
      <c r="S174" s="50">
        <f t="shared" ca="1" si="122"/>
        <v>0</v>
      </c>
      <c r="T174" s="50">
        <f t="shared" ca="1" si="122"/>
        <v>0</v>
      </c>
      <c r="U174" s="50">
        <f t="shared" ca="1" si="122"/>
        <v>0</v>
      </c>
      <c r="V174" s="50">
        <f t="shared" ca="1" si="122"/>
        <v>0</v>
      </c>
      <c r="W174" s="50">
        <f t="shared" ca="1" si="122"/>
        <v>0</v>
      </c>
      <c r="X174" s="50">
        <f t="shared" ca="1" si="122"/>
        <v>0</v>
      </c>
      <c r="Y174" s="50">
        <f t="shared" ca="1" si="122"/>
        <v>0</v>
      </c>
      <c r="Z174" s="50">
        <f t="shared" ca="1" si="122"/>
        <v>0</v>
      </c>
      <c r="AA174" s="50">
        <f t="shared" ca="1" si="122"/>
        <v>0</v>
      </c>
      <c r="AB174" s="50">
        <f t="shared" ca="1" si="122"/>
        <v>0</v>
      </c>
      <c r="AC174" s="50">
        <f t="shared" ca="1" si="122"/>
        <v>0</v>
      </c>
      <c r="AD174" s="50">
        <f t="shared" ca="1" si="122"/>
        <v>0</v>
      </c>
      <c r="AE174" s="50">
        <f t="shared" ca="1" si="122"/>
        <v>0</v>
      </c>
      <c r="AF174" s="50">
        <f t="shared" ca="1" si="122"/>
        <v>0</v>
      </c>
      <c r="AG174" s="50">
        <f t="shared" ca="1" si="122"/>
        <v>0</v>
      </c>
      <c r="AH174" s="50">
        <f t="shared" ca="1" si="122"/>
        <v>0</v>
      </c>
      <c r="AI174" s="50">
        <f t="shared" ca="1" si="122"/>
        <v>0</v>
      </c>
      <c r="AJ174" s="50">
        <f t="shared" ca="1" si="122"/>
        <v>0</v>
      </c>
      <c r="AK174" s="50">
        <f t="shared" ca="1" si="122"/>
        <v>0</v>
      </c>
      <c r="AL174" s="50">
        <f t="shared" si="122"/>
        <v>0</v>
      </c>
      <c r="AM174" s="50">
        <f t="shared" si="122"/>
        <v>0</v>
      </c>
      <c r="AN174" s="50">
        <f t="shared" si="122"/>
        <v>0</v>
      </c>
      <c r="AO174" s="50">
        <f t="shared" si="122"/>
        <v>0</v>
      </c>
      <c r="AP174" s="50">
        <f t="shared" si="122"/>
        <v>0</v>
      </c>
      <c r="AQ174" s="50">
        <f t="shared" si="122"/>
        <v>0</v>
      </c>
      <c r="AR174" s="50">
        <f t="shared" si="122"/>
        <v>0</v>
      </c>
      <c r="AS174" s="50">
        <f t="shared" si="122"/>
        <v>0</v>
      </c>
      <c r="AT174" s="50">
        <f t="shared" si="122"/>
        <v>0</v>
      </c>
      <c r="AU174" s="50">
        <f t="shared" si="122"/>
        <v>0</v>
      </c>
    </row>
    <row r="175" spans="1:47">
      <c r="A175" s="38" t="str">
        <f>$J$4&amp;"-"</f>
        <v>Custom-</v>
      </c>
      <c r="B175" s="38" t="s">
        <v>289</v>
      </c>
      <c r="C175" s="38" t="str">
        <f>C165</f>
        <v>Cake Storage/Load Out</v>
      </c>
      <c r="D175" s="186">
        <f>LaborEsc</f>
        <v>0.02</v>
      </c>
      <c r="E175" s="325"/>
      <c r="G175" s="36" t="s">
        <v>292</v>
      </c>
      <c r="I175" s="39"/>
      <c r="K175" s="39"/>
      <c r="L175" s="43" t="str">
        <f>"["&amp;CostBaseYr&amp;" $]"</f>
        <v>[2013 $]</v>
      </c>
      <c r="N175" s="70">
        <f ca="1">IF(VLOOKUP($C175,$G$69:$J$87,4,FALSE)="Off",0,SUMIFS(OFFSET(Assumptions!$I$90,0,MATCH($A175,Configurations,0)-1,COUNT(Assumptions!$A$90:$A$183),1),Assumptions!$D$90:$D$183,$B175&amp;$C175))</f>
        <v>0</v>
      </c>
      <c r="O175" s="313"/>
      <c r="P175" s="323"/>
      <c r="Q175" s="313"/>
      <c r="R175" s="50">
        <f t="shared" ref="R175:AU175" ca="1" si="123">IF(OR(R$99&lt;InServiceYr,R$99&gt;(InServiceYr+analysis_period-1)),0,IF($P175=0,$N175,$P175)*(1+$D175)^(R$99-CostBaseYr))</f>
        <v>0</v>
      </c>
      <c r="S175" s="50">
        <f t="shared" ca="1" si="123"/>
        <v>0</v>
      </c>
      <c r="T175" s="50">
        <f t="shared" ca="1" si="123"/>
        <v>0</v>
      </c>
      <c r="U175" s="50">
        <f t="shared" ca="1" si="123"/>
        <v>0</v>
      </c>
      <c r="V175" s="50">
        <f t="shared" ca="1" si="123"/>
        <v>0</v>
      </c>
      <c r="W175" s="50">
        <f t="shared" ca="1" si="123"/>
        <v>0</v>
      </c>
      <c r="X175" s="50">
        <f t="shared" ca="1" si="123"/>
        <v>0</v>
      </c>
      <c r="Y175" s="50">
        <f t="shared" ca="1" si="123"/>
        <v>0</v>
      </c>
      <c r="Z175" s="50">
        <f t="shared" ca="1" si="123"/>
        <v>0</v>
      </c>
      <c r="AA175" s="50">
        <f t="shared" ca="1" si="123"/>
        <v>0</v>
      </c>
      <c r="AB175" s="50">
        <f t="shared" ca="1" si="123"/>
        <v>0</v>
      </c>
      <c r="AC175" s="50">
        <f t="shared" ca="1" si="123"/>
        <v>0</v>
      </c>
      <c r="AD175" s="50">
        <f t="shared" ca="1" si="123"/>
        <v>0</v>
      </c>
      <c r="AE175" s="50">
        <f t="shared" ca="1" si="123"/>
        <v>0</v>
      </c>
      <c r="AF175" s="50">
        <f t="shared" ca="1" si="123"/>
        <v>0</v>
      </c>
      <c r="AG175" s="50">
        <f t="shared" ca="1" si="123"/>
        <v>0</v>
      </c>
      <c r="AH175" s="50">
        <f t="shared" ca="1" si="123"/>
        <v>0</v>
      </c>
      <c r="AI175" s="50">
        <f t="shared" ca="1" si="123"/>
        <v>0</v>
      </c>
      <c r="AJ175" s="50">
        <f t="shared" ca="1" si="123"/>
        <v>0</v>
      </c>
      <c r="AK175" s="50">
        <f t="shared" ca="1" si="123"/>
        <v>0</v>
      </c>
      <c r="AL175" s="50">
        <f t="shared" si="123"/>
        <v>0</v>
      </c>
      <c r="AM175" s="50">
        <f t="shared" si="123"/>
        <v>0</v>
      </c>
      <c r="AN175" s="50">
        <f t="shared" si="123"/>
        <v>0</v>
      </c>
      <c r="AO175" s="50">
        <f t="shared" si="123"/>
        <v>0</v>
      </c>
      <c r="AP175" s="50">
        <f t="shared" si="123"/>
        <v>0</v>
      </c>
      <c r="AQ175" s="50">
        <f t="shared" si="123"/>
        <v>0</v>
      </c>
      <c r="AR175" s="50">
        <f t="shared" si="123"/>
        <v>0</v>
      </c>
      <c r="AS175" s="50">
        <f t="shared" si="123"/>
        <v>0</v>
      </c>
      <c r="AT175" s="50">
        <f t="shared" si="123"/>
        <v>0</v>
      </c>
      <c r="AU175" s="50">
        <f t="shared" si="123"/>
        <v>0</v>
      </c>
    </row>
    <row r="176" spans="1:47" s="60" customFormat="1">
      <c r="D176" s="187"/>
      <c r="E176" s="325"/>
      <c r="G176" s="39" t="s">
        <v>305</v>
      </c>
      <c r="I176" s="39"/>
      <c r="K176" s="39"/>
      <c r="L176" s="174"/>
      <c r="N176" s="188"/>
      <c r="O176" s="314"/>
      <c r="P176" s="185"/>
      <c r="Q176" s="314"/>
      <c r="R176" s="185">
        <f ca="1">SUM(R165:R172)-SUM(R174:R175)</f>
        <v>0</v>
      </c>
      <c r="S176" s="185">
        <f t="shared" ref="S176:AU176" ca="1" si="124">SUM(S165:S172)-SUM(S174:S175)</f>
        <v>0</v>
      </c>
      <c r="T176" s="185">
        <f t="shared" ca="1" si="124"/>
        <v>0</v>
      </c>
      <c r="U176" s="185">
        <f t="shared" ca="1" si="124"/>
        <v>0</v>
      </c>
      <c r="V176" s="185">
        <f t="shared" ca="1" si="124"/>
        <v>0</v>
      </c>
      <c r="W176" s="185">
        <f t="shared" ca="1" si="124"/>
        <v>0</v>
      </c>
      <c r="X176" s="185">
        <f t="shared" ca="1" si="124"/>
        <v>0</v>
      </c>
      <c r="Y176" s="185">
        <f t="shared" ca="1" si="124"/>
        <v>0</v>
      </c>
      <c r="Z176" s="185">
        <f t="shared" ca="1" si="124"/>
        <v>0</v>
      </c>
      <c r="AA176" s="185">
        <f t="shared" ca="1" si="124"/>
        <v>0</v>
      </c>
      <c r="AB176" s="185">
        <f t="shared" ca="1" si="124"/>
        <v>0</v>
      </c>
      <c r="AC176" s="185">
        <f t="shared" ca="1" si="124"/>
        <v>0</v>
      </c>
      <c r="AD176" s="185">
        <f t="shared" ca="1" si="124"/>
        <v>0</v>
      </c>
      <c r="AE176" s="185">
        <f t="shared" ca="1" si="124"/>
        <v>0</v>
      </c>
      <c r="AF176" s="185">
        <f t="shared" ca="1" si="124"/>
        <v>0</v>
      </c>
      <c r="AG176" s="185">
        <f t="shared" ca="1" si="124"/>
        <v>0</v>
      </c>
      <c r="AH176" s="185">
        <f t="shared" ca="1" si="124"/>
        <v>0</v>
      </c>
      <c r="AI176" s="185">
        <f t="shared" ca="1" si="124"/>
        <v>0</v>
      </c>
      <c r="AJ176" s="185">
        <f t="shared" ca="1" si="124"/>
        <v>0</v>
      </c>
      <c r="AK176" s="185">
        <f t="shared" ca="1" si="124"/>
        <v>0</v>
      </c>
      <c r="AL176" s="185">
        <f t="shared" si="124"/>
        <v>0</v>
      </c>
      <c r="AM176" s="185">
        <f t="shared" si="124"/>
        <v>0</v>
      </c>
      <c r="AN176" s="185">
        <f t="shared" si="124"/>
        <v>0</v>
      </c>
      <c r="AO176" s="185">
        <f t="shared" si="124"/>
        <v>0</v>
      </c>
      <c r="AP176" s="185">
        <f t="shared" si="124"/>
        <v>0</v>
      </c>
      <c r="AQ176" s="185">
        <f t="shared" si="124"/>
        <v>0</v>
      </c>
      <c r="AR176" s="185">
        <f t="shared" si="124"/>
        <v>0</v>
      </c>
      <c r="AS176" s="185">
        <f t="shared" si="124"/>
        <v>0</v>
      </c>
      <c r="AT176" s="185">
        <f t="shared" si="124"/>
        <v>0</v>
      </c>
      <c r="AU176" s="185">
        <f t="shared" si="124"/>
        <v>0</v>
      </c>
    </row>
    <row r="177" spans="1:47">
      <c r="G177" s="28"/>
      <c r="H177" s="28"/>
      <c r="I177" s="28"/>
      <c r="J177" s="28"/>
      <c r="K177" s="28"/>
      <c r="L177" s="409"/>
      <c r="M177" s="46"/>
      <c r="N177" s="46"/>
      <c r="O177" s="315"/>
      <c r="P177" s="46"/>
      <c r="Q177" s="315"/>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row>
    <row r="178" spans="1:47">
      <c r="E178" s="327"/>
      <c r="F178" s="28"/>
      <c r="G178" s="324" t="str">
        <f>C180&amp;" Capital Costs"</f>
        <v>Cake Storage Capital Costs</v>
      </c>
      <c r="H178" s="324"/>
      <c r="I178" s="324"/>
      <c r="J178" s="324"/>
      <c r="K178" s="324"/>
      <c r="L178" s="405" t="s">
        <v>79</v>
      </c>
      <c r="M178" s="256"/>
      <c r="N178" s="325" t="s">
        <v>490</v>
      </c>
      <c r="O178" s="311"/>
      <c r="P178" s="325" t="s">
        <v>491</v>
      </c>
      <c r="Q178" s="310"/>
      <c r="R178" s="325">
        <f>R$8</f>
        <v>2014</v>
      </c>
      <c r="S178" s="325">
        <f t="shared" ref="S178:AU178" si="125">S$8</f>
        <v>2015</v>
      </c>
      <c r="T178" s="325">
        <f t="shared" si="125"/>
        <v>2016</v>
      </c>
      <c r="U178" s="325">
        <f t="shared" si="125"/>
        <v>2017</v>
      </c>
      <c r="V178" s="325">
        <f t="shared" si="125"/>
        <v>2018</v>
      </c>
      <c r="W178" s="325">
        <f t="shared" si="125"/>
        <v>2019</v>
      </c>
      <c r="X178" s="325">
        <f t="shared" si="125"/>
        <v>2020</v>
      </c>
      <c r="Y178" s="325">
        <f t="shared" si="125"/>
        <v>2021</v>
      </c>
      <c r="Z178" s="325">
        <f t="shared" si="125"/>
        <v>2022</v>
      </c>
      <c r="AA178" s="325">
        <f t="shared" si="125"/>
        <v>2023</v>
      </c>
      <c r="AB178" s="325">
        <f t="shared" si="125"/>
        <v>2024</v>
      </c>
      <c r="AC178" s="325">
        <f t="shared" si="125"/>
        <v>2025</v>
      </c>
      <c r="AD178" s="325">
        <f t="shared" si="125"/>
        <v>2026</v>
      </c>
      <c r="AE178" s="325">
        <f t="shared" si="125"/>
        <v>2027</v>
      </c>
      <c r="AF178" s="325">
        <f t="shared" si="125"/>
        <v>2028</v>
      </c>
      <c r="AG178" s="325">
        <f t="shared" si="125"/>
        <v>2029</v>
      </c>
      <c r="AH178" s="325">
        <f t="shared" si="125"/>
        <v>2030</v>
      </c>
      <c r="AI178" s="325">
        <f t="shared" si="125"/>
        <v>2031</v>
      </c>
      <c r="AJ178" s="325">
        <f t="shared" si="125"/>
        <v>2032</v>
      </c>
      <c r="AK178" s="325">
        <f t="shared" si="125"/>
        <v>2033</v>
      </c>
      <c r="AL178" s="325">
        <f t="shared" si="125"/>
        <v>2034</v>
      </c>
      <c r="AM178" s="325">
        <f t="shared" si="125"/>
        <v>2035</v>
      </c>
      <c r="AN178" s="325">
        <f t="shared" si="125"/>
        <v>2036</v>
      </c>
      <c r="AO178" s="325">
        <f t="shared" si="125"/>
        <v>2037</v>
      </c>
      <c r="AP178" s="325">
        <f t="shared" si="125"/>
        <v>2038</v>
      </c>
      <c r="AQ178" s="325">
        <f t="shared" si="125"/>
        <v>2039</v>
      </c>
      <c r="AR178" s="325">
        <f t="shared" si="125"/>
        <v>2040</v>
      </c>
      <c r="AS178" s="325">
        <f t="shared" si="125"/>
        <v>2041</v>
      </c>
      <c r="AT178" s="325">
        <f t="shared" si="125"/>
        <v>2042</v>
      </c>
      <c r="AU178" s="325">
        <f t="shared" si="125"/>
        <v>2043</v>
      </c>
    </row>
    <row r="179" spans="1:47">
      <c r="E179" s="325"/>
      <c r="G179" s="39"/>
      <c r="H179" s="39"/>
      <c r="I179" s="39"/>
      <c r="J179" s="39"/>
      <c r="K179" s="39"/>
    </row>
    <row r="180" spans="1:47">
      <c r="A180" s="38" t="str">
        <f>$J$4&amp;"-"</f>
        <v>Custom-</v>
      </c>
      <c r="B180" s="38" t="s">
        <v>306</v>
      </c>
      <c r="C180" s="38" t="s">
        <v>317</v>
      </c>
      <c r="D180" s="186">
        <f>CapExEsc</f>
        <v>0.03</v>
      </c>
      <c r="E180" s="325"/>
      <c r="G180" s="36" t="s">
        <v>8</v>
      </c>
      <c r="H180" s="39"/>
      <c r="I180" s="39"/>
      <c r="J180" s="70"/>
      <c r="K180" s="39"/>
      <c r="L180" s="43" t="str">
        <f>"["&amp;CostBaseYr&amp;" $]"</f>
        <v>[2013 $]</v>
      </c>
      <c r="N180" s="52">
        <f ca="1">IF(VLOOKUP($C180,$G$69:$J$87,4,FALSE)="Off", 0,SUMIFS(OFFSET(Assumptions!$I$65,0,MATCH($A180,Configurations,0)-1,COUNT(Assumptions!$A$65:$A$84),1),Assumptions!$E$65:$E$84,$C180))</f>
        <v>0</v>
      </c>
      <c r="O180" s="52"/>
      <c r="P180" s="322"/>
      <c r="Q180" s="52"/>
      <c r="R180" s="52">
        <f t="shared" ref="R180:AU180" ca="1" si="126">R181*IF($P180=0,$N180,$P180)*(1+$D180)^(R$8-CostBaseYr)</f>
        <v>0</v>
      </c>
      <c r="S180" s="52">
        <f t="shared" ca="1" si="126"/>
        <v>0</v>
      </c>
      <c r="T180" s="52">
        <f t="shared" ca="1" si="126"/>
        <v>0</v>
      </c>
      <c r="U180" s="52">
        <f t="shared" ca="1" si="126"/>
        <v>0</v>
      </c>
      <c r="V180" s="52">
        <f t="shared" ca="1" si="126"/>
        <v>0</v>
      </c>
      <c r="W180" s="52">
        <f t="shared" ca="1" si="126"/>
        <v>0</v>
      </c>
      <c r="X180" s="52">
        <f t="shared" ca="1" si="126"/>
        <v>0</v>
      </c>
      <c r="Y180" s="52">
        <f t="shared" ca="1" si="126"/>
        <v>0</v>
      </c>
      <c r="Z180" s="52">
        <f t="shared" ca="1" si="126"/>
        <v>0</v>
      </c>
      <c r="AA180" s="52">
        <f t="shared" ca="1" si="126"/>
        <v>0</v>
      </c>
      <c r="AB180" s="52">
        <f t="shared" ca="1" si="126"/>
        <v>0</v>
      </c>
      <c r="AC180" s="52">
        <f t="shared" ca="1" si="126"/>
        <v>0</v>
      </c>
      <c r="AD180" s="52">
        <f t="shared" ca="1" si="126"/>
        <v>0</v>
      </c>
      <c r="AE180" s="52">
        <f t="shared" ca="1" si="126"/>
        <v>0</v>
      </c>
      <c r="AF180" s="52">
        <f t="shared" ca="1" si="126"/>
        <v>0</v>
      </c>
      <c r="AG180" s="52">
        <f t="shared" ca="1" si="126"/>
        <v>0</v>
      </c>
      <c r="AH180" s="52">
        <f t="shared" ca="1" si="126"/>
        <v>0</v>
      </c>
      <c r="AI180" s="52">
        <f t="shared" ca="1" si="126"/>
        <v>0</v>
      </c>
      <c r="AJ180" s="52">
        <f t="shared" ca="1" si="126"/>
        <v>0</v>
      </c>
      <c r="AK180" s="52">
        <f t="shared" ca="1" si="126"/>
        <v>0</v>
      </c>
      <c r="AL180" s="52">
        <f t="shared" ca="1" si="126"/>
        <v>0</v>
      </c>
      <c r="AM180" s="52">
        <f t="shared" ca="1" si="126"/>
        <v>0</v>
      </c>
      <c r="AN180" s="52">
        <f t="shared" ca="1" si="126"/>
        <v>0</v>
      </c>
      <c r="AO180" s="52">
        <f t="shared" ca="1" si="126"/>
        <v>0</v>
      </c>
      <c r="AP180" s="52">
        <f t="shared" ca="1" si="126"/>
        <v>0</v>
      </c>
      <c r="AQ180" s="52">
        <f t="shared" ca="1" si="126"/>
        <v>0</v>
      </c>
      <c r="AR180" s="52">
        <f t="shared" ca="1" si="126"/>
        <v>0</v>
      </c>
      <c r="AS180" s="52">
        <f t="shared" ca="1" si="126"/>
        <v>0</v>
      </c>
      <c r="AT180" s="52">
        <f t="shared" ca="1" si="126"/>
        <v>0</v>
      </c>
      <c r="AU180" s="52">
        <f t="shared" ca="1" si="126"/>
        <v>0</v>
      </c>
    </row>
    <row r="181" spans="1:47">
      <c r="E181" s="325"/>
      <c r="G181" s="36" t="s">
        <v>10</v>
      </c>
      <c r="H181" s="39"/>
      <c r="I181" s="39"/>
      <c r="J181" s="39"/>
      <c r="K181" s="39"/>
      <c r="L181" s="43"/>
      <c r="R181" s="54">
        <f>Assumptions!M$60</f>
        <v>1</v>
      </c>
      <c r="S181" s="54">
        <f>Assumptions!N$60</f>
        <v>0</v>
      </c>
      <c r="T181" s="54">
        <f>Assumptions!O$60</f>
        <v>0</v>
      </c>
      <c r="U181" s="54">
        <f>Assumptions!P$60</f>
        <v>0</v>
      </c>
      <c r="V181" s="54">
        <f>Assumptions!Q$60</f>
        <v>0</v>
      </c>
      <c r="W181" s="54">
        <f>Assumptions!R$60</f>
        <v>0</v>
      </c>
      <c r="X181" s="54">
        <f>Assumptions!S$60</f>
        <v>0</v>
      </c>
      <c r="Y181" s="54">
        <f>Assumptions!T$60</f>
        <v>0</v>
      </c>
      <c r="Z181" s="54">
        <f>Assumptions!U$60</f>
        <v>0</v>
      </c>
      <c r="AA181" s="54">
        <f>Assumptions!V$60</f>
        <v>0</v>
      </c>
      <c r="AB181" s="54">
        <f>Assumptions!W$60</f>
        <v>0</v>
      </c>
      <c r="AC181" s="54">
        <f>Assumptions!X$60</f>
        <v>0</v>
      </c>
      <c r="AD181" s="54">
        <f>Assumptions!Y$60</f>
        <v>0</v>
      </c>
      <c r="AE181" s="54">
        <f>Assumptions!Z$60</f>
        <v>0</v>
      </c>
      <c r="AF181" s="54">
        <f>Assumptions!AA$60</f>
        <v>0</v>
      </c>
      <c r="AG181" s="54">
        <f>Assumptions!AB$60</f>
        <v>0</v>
      </c>
      <c r="AH181" s="54">
        <f>Assumptions!AC$60</f>
        <v>0</v>
      </c>
      <c r="AI181" s="54">
        <f>Assumptions!AD$60</f>
        <v>0</v>
      </c>
      <c r="AJ181" s="54">
        <f>Assumptions!AE$60</f>
        <v>0</v>
      </c>
      <c r="AK181" s="54">
        <f>Assumptions!AF$60</f>
        <v>0</v>
      </c>
      <c r="AL181" s="54">
        <f>Assumptions!AG$60</f>
        <v>0</v>
      </c>
      <c r="AM181" s="54">
        <f>Assumptions!AH$60</f>
        <v>0</v>
      </c>
      <c r="AN181" s="54">
        <f>Assumptions!AI$60</f>
        <v>0</v>
      </c>
      <c r="AO181" s="54">
        <f>Assumptions!AJ$60</f>
        <v>0</v>
      </c>
      <c r="AP181" s="54">
        <f>Assumptions!AK$60</f>
        <v>0</v>
      </c>
      <c r="AQ181" s="54">
        <f>Assumptions!AL$60</f>
        <v>0</v>
      </c>
      <c r="AR181" s="54">
        <f>Assumptions!AM$60</f>
        <v>0</v>
      </c>
      <c r="AS181" s="54">
        <f>Assumptions!AN$60</f>
        <v>0</v>
      </c>
      <c r="AT181" s="54">
        <f>Assumptions!AO$60</f>
        <v>0</v>
      </c>
      <c r="AU181" s="54">
        <f>Assumptions!AP$60</f>
        <v>0</v>
      </c>
    </row>
    <row r="182" spans="1:47">
      <c r="E182" s="326"/>
      <c r="G182" s="39"/>
      <c r="H182" s="39"/>
      <c r="I182" s="39"/>
      <c r="J182" s="39"/>
      <c r="K182" s="39"/>
    </row>
    <row r="183" spans="1:47">
      <c r="E183" s="327"/>
      <c r="F183" s="28"/>
      <c r="G183" s="324" t="str">
        <f>C180&amp;" O&amp;M"</f>
        <v>Cake Storage O&amp;M</v>
      </c>
      <c r="H183" s="324"/>
      <c r="I183" s="324"/>
      <c r="J183" s="324"/>
      <c r="K183" s="324"/>
      <c r="L183" s="405" t="s">
        <v>79</v>
      </c>
      <c r="M183" s="256"/>
      <c r="N183" s="325" t="s">
        <v>490</v>
      </c>
      <c r="O183" s="311"/>
      <c r="P183" s="325" t="s">
        <v>491</v>
      </c>
      <c r="Q183" s="310"/>
      <c r="R183" s="325">
        <f>R$8</f>
        <v>2014</v>
      </c>
      <c r="S183" s="325">
        <f t="shared" ref="S183:AU183" si="127">S$8</f>
        <v>2015</v>
      </c>
      <c r="T183" s="325">
        <f t="shared" si="127"/>
        <v>2016</v>
      </c>
      <c r="U183" s="325">
        <f t="shared" si="127"/>
        <v>2017</v>
      </c>
      <c r="V183" s="325">
        <f t="shared" si="127"/>
        <v>2018</v>
      </c>
      <c r="W183" s="325">
        <f t="shared" si="127"/>
        <v>2019</v>
      </c>
      <c r="X183" s="325">
        <f t="shared" si="127"/>
        <v>2020</v>
      </c>
      <c r="Y183" s="325">
        <f t="shared" si="127"/>
        <v>2021</v>
      </c>
      <c r="Z183" s="325">
        <f t="shared" si="127"/>
        <v>2022</v>
      </c>
      <c r="AA183" s="325">
        <f t="shared" si="127"/>
        <v>2023</v>
      </c>
      <c r="AB183" s="325">
        <f t="shared" si="127"/>
        <v>2024</v>
      </c>
      <c r="AC183" s="325">
        <f t="shared" si="127"/>
        <v>2025</v>
      </c>
      <c r="AD183" s="325">
        <f t="shared" si="127"/>
        <v>2026</v>
      </c>
      <c r="AE183" s="325">
        <f t="shared" si="127"/>
        <v>2027</v>
      </c>
      <c r="AF183" s="325">
        <f t="shared" si="127"/>
        <v>2028</v>
      </c>
      <c r="AG183" s="325">
        <f t="shared" si="127"/>
        <v>2029</v>
      </c>
      <c r="AH183" s="325">
        <f t="shared" si="127"/>
        <v>2030</v>
      </c>
      <c r="AI183" s="325">
        <f t="shared" si="127"/>
        <v>2031</v>
      </c>
      <c r="AJ183" s="325">
        <f t="shared" si="127"/>
        <v>2032</v>
      </c>
      <c r="AK183" s="325">
        <f t="shared" si="127"/>
        <v>2033</v>
      </c>
      <c r="AL183" s="325">
        <f t="shared" si="127"/>
        <v>2034</v>
      </c>
      <c r="AM183" s="325">
        <f t="shared" si="127"/>
        <v>2035</v>
      </c>
      <c r="AN183" s="325">
        <f t="shared" si="127"/>
        <v>2036</v>
      </c>
      <c r="AO183" s="325">
        <f t="shared" si="127"/>
        <v>2037</v>
      </c>
      <c r="AP183" s="325">
        <f t="shared" si="127"/>
        <v>2038</v>
      </c>
      <c r="AQ183" s="325">
        <f t="shared" si="127"/>
        <v>2039</v>
      </c>
      <c r="AR183" s="325">
        <f t="shared" si="127"/>
        <v>2040</v>
      </c>
      <c r="AS183" s="325">
        <f t="shared" si="127"/>
        <v>2041</v>
      </c>
      <c r="AT183" s="325">
        <f t="shared" si="127"/>
        <v>2042</v>
      </c>
      <c r="AU183" s="325">
        <f t="shared" si="127"/>
        <v>2043</v>
      </c>
    </row>
    <row r="184" spans="1:47">
      <c r="E184" s="325"/>
      <c r="G184" s="39"/>
      <c r="H184" s="39"/>
      <c r="I184" s="39"/>
      <c r="J184" s="39"/>
      <c r="K184" s="39"/>
    </row>
    <row r="185" spans="1:47">
      <c r="E185" s="325"/>
      <c r="G185" s="39" t="s">
        <v>23</v>
      </c>
      <c r="H185" s="39"/>
      <c r="I185" s="39"/>
      <c r="J185" s="39"/>
      <c r="K185" s="39"/>
    </row>
    <row r="186" spans="1:47">
      <c r="A186" s="38" t="str">
        <f t="shared" ref="A186:A193" si="128">$J$4&amp;"-"</f>
        <v>Custom-</v>
      </c>
      <c r="B186" s="38" t="s">
        <v>262</v>
      </c>
      <c r="C186" s="38" t="str">
        <f>C180</f>
        <v>Cake Storage</v>
      </c>
      <c r="D186" s="186">
        <f>LaborEsc</f>
        <v>0.02</v>
      </c>
      <c r="E186" s="325"/>
      <c r="G186" s="36" t="s">
        <v>125</v>
      </c>
      <c r="I186" s="39"/>
      <c r="K186" s="39"/>
      <c r="L186" s="43" t="s">
        <v>266</v>
      </c>
      <c r="N186" s="70">
        <f ca="1">IF(VLOOKUP($C186,$G$69:$J$87,4,FALSE)="Off",0,SUMIFS(OFFSET(Assumptions!$I$90,0,MATCH($A186,Configurations,0)-1,COUNT(Assumptions!$A$90:$A$183),1),Assumptions!$D$90:$D$183,$B186&amp;$C186))</f>
        <v>0</v>
      </c>
      <c r="O186" s="313"/>
      <c r="P186" s="323"/>
      <c r="Q186" s="313"/>
      <c r="R186" s="50">
        <f t="shared" ref="R186:AU186" ca="1" si="129">IF(OR(R$99&lt;InServiceYr,R$99&gt;(InServiceYr+analysis_period-1)),0,IF($P186=0,$N186,$P186)*LaborCost*(1+$D186)^(R$99-CostBaseYr))</f>
        <v>0</v>
      </c>
      <c r="S186" s="50">
        <f t="shared" ca="1" si="129"/>
        <v>0</v>
      </c>
      <c r="T186" s="50">
        <f t="shared" ca="1" si="129"/>
        <v>0</v>
      </c>
      <c r="U186" s="50">
        <f t="shared" ca="1" si="129"/>
        <v>0</v>
      </c>
      <c r="V186" s="50">
        <f t="shared" ca="1" si="129"/>
        <v>0</v>
      </c>
      <c r="W186" s="50">
        <f t="shared" ca="1" si="129"/>
        <v>0</v>
      </c>
      <c r="X186" s="50">
        <f t="shared" ca="1" si="129"/>
        <v>0</v>
      </c>
      <c r="Y186" s="50">
        <f t="shared" ca="1" si="129"/>
        <v>0</v>
      </c>
      <c r="Z186" s="50">
        <f t="shared" ca="1" si="129"/>
        <v>0</v>
      </c>
      <c r="AA186" s="50">
        <f t="shared" ca="1" si="129"/>
        <v>0</v>
      </c>
      <c r="AB186" s="50">
        <f t="shared" ca="1" si="129"/>
        <v>0</v>
      </c>
      <c r="AC186" s="50">
        <f t="shared" ca="1" si="129"/>
        <v>0</v>
      </c>
      <c r="AD186" s="50">
        <f t="shared" ca="1" si="129"/>
        <v>0</v>
      </c>
      <c r="AE186" s="50">
        <f t="shared" ca="1" si="129"/>
        <v>0</v>
      </c>
      <c r="AF186" s="50">
        <f t="shared" ca="1" si="129"/>
        <v>0</v>
      </c>
      <c r="AG186" s="50">
        <f t="shared" ca="1" si="129"/>
        <v>0</v>
      </c>
      <c r="AH186" s="50">
        <f t="shared" ca="1" si="129"/>
        <v>0</v>
      </c>
      <c r="AI186" s="50">
        <f t="shared" ca="1" si="129"/>
        <v>0</v>
      </c>
      <c r="AJ186" s="50">
        <f t="shared" ca="1" si="129"/>
        <v>0</v>
      </c>
      <c r="AK186" s="50">
        <f t="shared" ca="1" si="129"/>
        <v>0</v>
      </c>
      <c r="AL186" s="50">
        <f t="shared" si="129"/>
        <v>0</v>
      </c>
      <c r="AM186" s="50">
        <f t="shared" si="129"/>
        <v>0</v>
      </c>
      <c r="AN186" s="50">
        <f t="shared" si="129"/>
        <v>0</v>
      </c>
      <c r="AO186" s="50">
        <f t="shared" si="129"/>
        <v>0</v>
      </c>
      <c r="AP186" s="50">
        <f t="shared" si="129"/>
        <v>0</v>
      </c>
      <c r="AQ186" s="50">
        <f t="shared" si="129"/>
        <v>0</v>
      </c>
      <c r="AR186" s="50">
        <f t="shared" si="129"/>
        <v>0</v>
      </c>
      <c r="AS186" s="50">
        <f t="shared" si="129"/>
        <v>0</v>
      </c>
      <c r="AT186" s="50">
        <f t="shared" si="129"/>
        <v>0</v>
      </c>
      <c r="AU186" s="50">
        <f t="shared" si="129"/>
        <v>0</v>
      </c>
    </row>
    <row r="187" spans="1:47">
      <c r="A187" s="38" t="str">
        <f t="shared" si="128"/>
        <v>Custom-</v>
      </c>
      <c r="B187" s="38" t="s">
        <v>270</v>
      </c>
      <c r="C187" s="38" t="str">
        <f>C186</f>
        <v>Cake Storage</v>
      </c>
      <c r="D187" s="186">
        <f>OMEsc</f>
        <v>0.02</v>
      </c>
      <c r="E187" s="325"/>
      <c r="G187" s="36" t="s">
        <v>126</v>
      </c>
      <c r="I187" s="39"/>
      <c r="K187" s="39"/>
      <c r="L187" s="43" t="str">
        <f>"["&amp;CostBaseYr&amp;" $]"</f>
        <v>[2013 $]</v>
      </c>
      <c r="N187" s="70">
        <f ca="1">IF(VLOOKUP($C187,$G$69:$J$87,4,FALSE)="Off",0,SUMIFS(OFFSET(Assumptions!$I$90,0,MATCH($A187,Configurations,0)-1,COUNT(Assumptions!$A$90:$A$183),1),Assumptions!$D$90:$D$183,$B187&amp;$C187))</f>
        <v>0</v>
      </c>
      <c r="O187" s="313"/>
      <c r="P187" s="323"/>
      <c r="Q187" s="313"/>
      <c r="R187" s="50">
        <f t="shared" ref="R187:AG189" ca="1" si="130">IF(OR(R$99&lt;InServiceYr,R$99&gt;(InServiceYr+analysis_period-1)),0,IF($P187=0,$N187,$P187)*(1+$D187)^(R$99-CostBaseYr))</f>
        <v>0</v>
      </c>
      <c r="S187" s="50">
        <f t="shared" ca="1" si="130"/>
        <v>0</v>
      </c>
      <c r="T187" s="50">
        <f t="shared" ca="1" si="130"/>
        <v>0</v>
      </c>
      <c r="U187" s="50">
        <f t="shared" ca="1" si="130"/>
        <v>0</v>
      </c>
      <c r="V187" s="50">
        <f t="shared" ca="1" si="130"/>
        <v>0</v>
      </c>
      <c r="W187" s="50">
        <f t="shared" ca="1" si="130"/>
        <v>0</v>
      </c>
      <c r="X187" s="50">
        <f t="shared" ca="1" si="130"/>
        <v>0</v>
      </c>
      <c r="Y187" s="50">
        <f t="shared" ca="1" si="130"/>
        <v>0</v>
      </c>
      <c r="Z187" s="50">
        <f t="shared" ca="1" si="130"/>
        <v>0</v>
      </c>
      <c r="AA187" s="50">
        <f t="shared" ca="1" si="130"/>
        <v>0</v>
      </c>
      <c r="AB187" s="50">
        <f t="shared" ca="1" si="130"/>
        <v>0</v>
      </c>
      <c r="AC187" s="50">
        <f t="shared" ca="1" si="130"/>
        <v>0</v>
      </c>
      <c r="AD187" s="50">
        <f t="shared" ca="1" si="130"/>
        <v>0</v>
      </c>
      <c r="AE187" s="50">
        <f t="shared" ca="1" si="130"/>
        <v>0</v>
      </c>
      <c r="AF187" s="50">
        <f t="shared" ca="1" si="130"/>
        <v>0</v>
      </c>
      <c r="AG187" s="50">
        <f t="shared" ca="1" si="130"/>
        <v>0</v>
      </c>
      <c r="AH187" s="50">
        <f t="shared" ref="S187:AU189" ca="1" si="131">IF(OR(AH$99&lt;InServiceYr,AH$99&gt;(InServiceYr+analysis_period-1)),0,IF($P187=0,$N187,$P187)*(1+$D187)^(AH$99-CostBaseYr))</f>
        <v>0</v>
      </c>
      <c r="AI187" s="50">
        <f t="shared" ca="1" si="131"/>
        <v>0</v>
      </c>
      <c r="AJ187" s="50">
        <f t="shared" ca="1" si="131"/>
        <v>0</v>
      </c>
      <c r="AK187" s="50">
        <f t="shared" ca="1" si="131"/>
        <v>0</v>
      </c>
      <c r="AL187" s="50">
        <f t="shared" si="131"/>
        <v>0</v>
      </c>
      <c r="AM187" s="50">
        <f t="shared" si="131"/>
        <v>0</v>
      </c>
      <c r="AN187" s="50">
        <f t="shared" si="131"/>
        <v>0</v>
      </c>
      <c r="AO187" s="50">
        <f t="shared" si="131"/>
        <v>0</v>
      </c>
      <c r="AP187" s="50">
        <f t="shared" si="131"/>
        <v>0</v>
      </c>
      <c r="AQ187" s="50">
        <f t="shared" si="131"/>
        <v>0</v>
      </c>
      <c r="AR187" s="50">
        <f t="shared" si="131"/>
        <v>0</v>
      </c>
      <c r="AS187" s="50">
        <f t="shared" si="131"/>
        <v>0</v>
      </c>
      <c r="AT187" s="50">
        <f t="shared" si="131"/>
        <v>0</v>
      </c>
      <c r="AU187" s="50">
        <f t="shared" si="131"/>
        <v>0</v>
      </c>
    </row>
    <row r="188" spans="1:47">
      <c r="A188" s="38" t="str">
        <f t="shared" si="128"/>
        <v>Custom-</v>
      </c>
      <c r="B188" s="38" t="s">
        <v>263</v>
      </c>
      <c r="C188" s="38" t="str">
        <f t="shared" ref="C188:C192" si="132">C187</f>
        <v>Cake Storage</v>
      </c>
      <c r="D188" s="186">
        <f>OMEsc</f>
        <v>0.02</v>
      </c>
      <c r="E188" s="325"/>
      <c r="G188" s="36" t="s">
        <v>127</v>
      </c>
      <c r="I188" s="39"/>
      <c r="K188" s="39"/>
      <c r="L188" s="43" t="str">
        <f>"["&amp;CostBaseYr&amp;" $]"</f>
        <v>[2013 $]</v>
      </c>
      <c r="N188" s="70">
        <f ca="1">IF(VLOOKUP($C188,$G$69:$J$87,4,FALSE)="Off",0,SUMIFS(OFFSET(Assumptions!$I$90,0,MATCH($A188,Configurations,0)-1,COUNT(Assumptions!$A$90:$A$183),1),Assumptions!$D$90:$D$183,$B188&amp;$C188))</f>
        <v>0</v>
      </c>
      <c r="O188" s="313"/>
      <c r="P188" s="323"/>
      <c r="Q188" s="313"/>
      <c r="R188" s="50">
        <f t="shared" ca="1" si="130"/>
        <v>0</v>
      </c>
      <c r="S188" s="50">
        <f t="shared" ca="1" si="131"/>
        <v>0</v>
      </c>
      <c r="T188" s="50">
        <f t="shared" ca="1" si="131"/>
        <v>0</v>
      </c>
      <c r="U188" s="50">
        <f t="shared" ca="1" si="131"/>
        <v>0</v>
      </c>
      <c r="V188" s="50">
        <f t="shared" ca="1" si="131"/>
        <v>0</v>
      </c>
      <c r="W188" s="50">
        <f t="shared" ca="1" si="131"/>
        <v>0</v>
      </c>
      <c r="X188" s="50">
        <f t="shared" ca="1" si="131"/>
        <v>0</v>
      </c>
      <c r="Y188" s="50">
        <f t="shared" ca="1" si="131"/>
        <v>0</v>
      </c>
      <c r="Z188" s="50">
        <f t="shared" ca="1" si="131"/>
        <v>0</v>
      </c>
      <c r="AA188" s="50">
        <f t="shared" ca="1" si="131"/>
        <v>0</v>
      </c>
      <c r="AB188" s="50">
        <f t="shared" ca="1" si="131"/>
        <v>0</v>
      </c>
      <c r="AC188" s="50">
        <f t="shared" ca="1" si="131"/>
        <v>0</v>
      </c>
      <c r="AD188" s="50">
        <f t="shared" ca="1" si="131"/>
        <v>0</v>
      </c>
      <c r="AE188" s="50">
        <f t="shared" ca="1" si="131"/>
        <v>0</v>
      </c>
      <c r="AF188" s="50">
        <f t="shared" ca="1" si="131"/>
        <v>0</v>
      </c>
      <c r="AG188" s="50">
        <f t="shared" ca="1" si="131"/>
        <v>0</v>
      </c>
      <c r="AH188" s="50">
        <f t="shared" ca="1" si="131"/>
        <v>0</v>
      </c>
      <c r="AI188" s="50">
        <f t="shared" ca="1" si="131"/>
        <v>0</v>
      </c>
      <c r="AJ188" s="50">
        <f t="shared" ca="1" si="131"/>
        <v>0</v>
      </c>
      <c r="AK188" s="50">
        <f t="shared" ca="1" si="131"/>
        <v>0</v>
      </c>
      <c r="AL188" s="50">
        <f t="shared" si="131"/>
        <v>0</v>
      </c>
      <c r="AM188" s="50">
        <f t="shared" si="131"/>
        <v>0</v>
      </c>
      <c r="AN188" s="50">
        <f t="shared" si="131"/>
        <v>0</v>
      </c>
      <c r="AO188" s="50">
        <f t="shared" si="131"/>
        <v>0</v>
      </c>
      <c r="AP188" s="50">
        <f t="shared" si="131"/>
        <v>0</v>
      </c>
      <c r="AQ188" s="50">
        <f t="shared" si="131"/>
        <v>0</v>
      </c>
      <c r="AR188" s="50">
        <f t="shared" si="131"/>
        <v>0</v>
      </c>
      <c r="AS188" s="50">
        <f t="shared" si="131"/>
        <v>0</v>
      </c>
      <c r="AT188" s="50">
        <f t="shared" si="131"/>
        <v>0</v>
      </c>
      <c r="AU188" s="50">
        <f t="shared" si="131"/>
        <v>0</v>
      </c>
    </row>
    <row r="189" spans="1:47">
      <c r="A189" s="38" t="str">
        <f t="shared" si="128"/>
        <v>Custom-</v>
      </c>
      <c r="B189" s="38" t="s">
        <v>277</v>
      </c>
      <c r="C189" s="38" t="str">
        <f t="shared" si="132"/>
        <v>Cake Storage</v>
      </c>
      <c r="D189" s="186">
        <f>OMEsc</f>
        <v>0.02</v>
      </c>
      <c r="E189" s="325"/>
      <c r="G189" s="36" t="s">
        <v>276</v>
      </c>
      <c r="I189" s="39"/>
      <c r="K189" s="39"/>
      <c r="L189" s="43" t="str">
        <f>"["&amp;CostBaseYr&amp;" $]"</f>
        <v>[2013 $]</v>
      </c>
      <c r="N189" s="70">
        <f ca="1">IF(VLOOKUP($C189,$G$69:$J$87,4,FALSE)="Off",0,SUMIFS(OFFSET(Assumptions!$I$90,0,MATCH($A189,Configurations,0)-1,COUNT(Assumptions!$A$90:$A$183),1),Assumptions!$D$90:$D$183,$B189&amp;$C189))</f>
        <v>0</v>
      </c>
      <c r="O189" s="313"/>
      <c r="P189" s="323"/>
      <c r="Q189" s="313"/>
      <c r="R189" s="50">
        <f t="shared" ca="1" si="130"/>
        <v>0</v>
      </c>
      <c r="S189" s="50">
        <f t="shared" ca="1" si="131"/>
        <v>0</v>
      </c>
      <c r="T189" s="50">
        <f t="shared" ca="1" si="131"/>
        <v>0</v>
      </c>
      <c r="U189" s="50">
        <f t="shared" ca="1" si="131"/>
        <v>0</v>
      </c>
      <c r="V189" s="50">
        <f t="shared" ca="1" si="131"/>
        <v>0</v>
      </c>
      <c r="W189" s="50">
        <f t="shared" ca="1" si="131"/>
        <v>0</v>
      </c>
      <c r="X189" s="50">
        <f t="shared" ca="1" si="131"/>
        <v>0</v>
      </c>
      <c r="Y189" s="50">
        <f t="shared" ca="1" si="131"/>
        <v>0</v>
      </c>
      <c r="Z189" s="50">
        <f t="shared" ca="1" si="131"/>
        <v>0</v>
      </c>
      <c r="AA189" s="50">
        <f t="shared" ca="1" si="131"/>
        <v>0</v>
      </c>
      <c r="AB189" s="50">
        <f t="shared" ca="1" si="131"/>
        <v>0</v>
      </c>
      <c r="AC189" s="50">
        <f t="shared" ca="1" si="131"/>
        <v>0</v>
      </c>
      <c r="AD189" s="50">
        <f t="shared" ca="1" si="131"/>
        <v>0</v>
      </c>
      <c r="AE189" s="50">
        <f t="shared" ca="1" si="131"/>
        <v>0</v>
      </c>
      <c r="AF189" s="50">
        <f t="shared" ca="1" si="131"/>
        <v>0</v>
      </c>
      <c r="AG189" s="50">
        <f t="shared" ca="1" si="131"/>
        <v>0</v>
      </c>
      <c r="AH189" s="50">
        <f t="shared" ca="1" si="131"/>
        <v>0</v>
      </c>
      <c r="AI189" s="50">
        <f t="shared" ca="1" si="131"/>
        <v>0</v>
      </c>
      <c r="AJ189" s="50">
        <f t="shared" ca="1" si="131"/>
        <v>0</v>
      </c>
      <c r="AK189" s="50">
        <f t="shared" ca="1" si="131"/>
        <v>0</v>
      </c>
      <c r="AL189" s="50">
        <f t="shared" si="131"/>
        <v>0</v>
      </c>
      <c r="AM189" s="50">
        <f t="shared" si="131"/>
        <v>0</v>
      </c>
      <c r="AN189" s="50">
        <f t="shared" si="131"/>
        <v>0</v>
      </c>
      <c r="AO189" s="50">
        <f t="shared" si="131"/>
        <v>0</v>
      </c>
      <c r="AP189" s="50">
        <f t="shared" si="131"/>
        <v>0</v>
      </c>
      <c r="AQ189" s="50">
        <f t="shared" si="131"/>
        <v>0</v>
      </c>
      <c r="AR189" s="50">
        <f t="shared" si="131"/>
        <v>0</v>
      </c>
      <c r="AS189" s="50">
        <f t="shared" si="131"/>
        <v>0</v>
      </c>
      <c r="AT189" s="50">
        <f t="shared" si="131"/>
        <v>0</v>
      </c>
      <c r="AU189" s="50">
        <f t="shared" si="131"/>
        <v>0</v>
      </c>
    </row>
    <row r="190" spans="1:47">
      <c r="A190" s="38" t="str">
        <f t="shared" si="128"/>
        <v>Custom-</v>
      </c>
      <c r="B190" s="38" t="s">
        <v>274</v>
      </c>
      <c r="C190" s="38" t="str">
        <f t="shared" si="132"/>
        <v>Cake Storage</v>
      </c>
      <c r="D190" s="186"/>
      <c r="E190" s="325"/>
      <c r="G190" s="36" t="s">
        <v>16</v>
      </c>
      <c r="I190" s="39"/>
      <c r="K190" s="39"/>
      <c r="L190" s="43" t="s">
        <v>275</v>
      </c>
      <c r="N190" s="70">
        <f ca="1">IF(VLOOKUP($C190,$G$69:$J$87,4,FALSE)="Off",0,SUMIFS(OFFSET(Assumptions!$I$90,0,MATCH($A190,Configurations,0)-1,COUNT(Assumptions!$A$90:$A$183),1),Assumptions!$D$90:$D$183,$B190&amp;$C190))</f>
        <v>0</v>
      </c>
      <c r="O190" s="313"/>
      <c r="P190" s="323"/>
      <c r="Q190" s="313"/>
      <c r="R190" s="50">
        <f t="shared" ref="R190:AU190" ca="1" si="133">IF(OR(R$99&lt;InServiceYr,R$99&gt;(InServiceYr+analysis_period-1)),0,IF($P190=0,$N190,$P190)*R$505)</f>
        <v>0</v>
      </c>
      <c r="S190" s="50">
        <f t="shared" ca="1" si="133"/>
        <v>0</v>
      </c>
      <c r="T190" s="50">
        <f t="shared" ca="1" si="133"/>
        <v>0</v>
      </c>
      <c r="U190" s="50">
        <f t="shared" ca="1" si="133"/>
        <v>0</v>
      </c>
      <c r="V190" s="50">
        <f t="shared" ca="1" si="133"/>
        <v>0</v>
      </c>
      <c r="W190" s="50">
        <f t="shared" ca="1" si="133"/>
        <v>0</v>
      </c>
      <c r="X190" s="50">
        <f t="shared" ca="1" si="133"/>
        <v>0</v>
      </c>
      <c r="Y190" s="50">
        <f t="shared" ca="1" si="133"/>
        <v>0</v>
      </c>
      <c r="Z190" s="50">
        <f t="shared" ca="1" si="133"/>
        <v>0</v>
      </c>
      <c r="AA190" s="50">
        <f t="shared" ca="1" si="133"/>
        <v>0</v>
      </c>
      <c r="AB190" s="50">
        <f t="shared" ca="1" si="133"/>
        <v>0</v>
      </c>
      <c r="AC190" s="50">
        <f t="shared" ca="1" si="133"/>
        <v>0</v>
      </c>
      <c r="AD190" s="50">
        <f t="shared" ca="1" si="133"/>
        <v>0</v>
      </c>
      <c r="AE190" s="50">
        <f t="shared" ca="1" si="133"/>
        <v>0</v>
      </c>
      <c r="AF190" s="50">
        <f t="shared" ca="1" si="133"/>
        <v>0</v>
      </c>
      <c r="AG190" s="50">
        <f t="shared" ca="1" si="133"/>
        <v>0</v>
      </c>
      <c r="AH190" s="50">
        <f t="shared" ca="1" si="133"/>
        <v>0</v>
      </c>
      <c r="AI190" s="50">
        <f t="shared" ca="1" si="133"/>
        <v>0</v>
      </c>
      <c r="AJ190" s="50">
        <f t="shared" ca="1" si="133"/>
        <v>0</v>
      </c>
      <c r="AK190" s="50">
        <f t="shared" ca="1" si="133"/>
        <v>0</v>
      </c>
      <c r="AL190" s="50">
        <f t="shared" si="133"/>
        <v>0</v>
      </c>
      <c r="AM190" s="50">
        <f t="shared" si="133"/>
        <v>0</v>
      </c>
      <c r="AN190" s="50">
        <f t="shared" si="133"/>
        <v>0</v>
      </c>
      <c r="AO190" s="50">
        <f t="shared" si="133"/>
        <v>0</v>
      </c>
      <c r="AP190" s="50">
        <f t="shared" si="133"/>
        <v>0</v>
      </c>
      <c r="AQ190" s="50">
        <f t="shared" si="133"/>
        <v>0</v>
      </c>
      <c r="AR190" s="50">
        <f t="shared" si="133"/>
        <v>0</v>
      </c>
      <c r="AS190" s="50">
        <f t="shared" si="133"/>
        <v>0</v>
      </c>
      <c r="AT190" s="50">
        <f t="shared" si="133"/>
        <v>0</v>
      </c>
      <c r="AU190" s="50">
        <f t="shared" si="133"/>
        <v>0</v>
      </c>
    </row>
    <row r="191" spans="1:47">
      <c r="A191" s="38" t="str">
        <f t="shared" si="128"/>
        <v>Custom-</v>
      </c>
      <c r="B191" s="38" t="s">
        <v>257</v>
      </c>
      <c r="C191" s="38" t="str">
        <f t="shared" si="132"/>
        <v>Cake Storage</v>
      </c>
      <c r="D191" s="186"/>
      <c r="E191" s="325"/>
      <c r="G191" s="36" t="s">
        <v>284</v>
      </c>
      <c r="I191" s="39"/>
      <c r="K191" s="39"/>
      <c r="L191" s="43" t="s">
        <v>293</v>
      </c>
      <c r="N191" s="70">
        <f ca="1">IF(VLOOKUP($C191,$G$69:$J$87,4,FALSE)="Off",0,SUMIFS(OFFSET(Assumptions!$I$90,0,MATCH($A191,Configurations,0)-1,COUNT(Assumptions!$A$90:$A$183),1),Assumptions!$D$90:$D$183,$B191&amp;$C191))</f>
        <v>0</v>
      </c>
      <c r="O191" s="313"/>
      <c r="P191" s="323"/>
      <c r="Q191" s="313"/>
      <c r="R191" s="50">
        <f t="shared" ref="R191:AU191" ca="1" si="134">IF(OR(R$99&lt;InServiceYr,R$99&gt;(InServiceYr+analysis_period-1)),0,IF($P191=0,$N191,$P191)*R$501)</f>
        <v>0</v>
      </c>
      <c r="S191" s="50">
        <f t="shared" ca="1" si="134"/>
        <v>0</v>
      </c>
      <c r="T191" s="50">
        <f t="shared" ca="1" si="134"/>
        <v>0</v>
      </c>
      <c r="U191" s="50">
        <f t="shared" ca="1" si="134"/>
        <v>0</v>
      </c>
      <c r="V191" s="50">
        <f t="shared" ca="1" si="134"/>
        <v>0</v>
      </c>
      <c r="W191" s="50">
        <f t="shared" ca="1" si="134"/>
        <v>0</v>
      </c>
      <c r="X191" s="50">
        <f t="shared" ca="1" si="134"/>
        <v>0</v>
      </c>
      <c r="Y191" s="50">
        <f t="shared" ca="1" si="134"/>
        <v>0</v>
      </c>
      <c r="Z191" s="50">
        <f t="shared" ca="1" si="134"/>
        <v>0</v>
      </c>
      <c r="AA191" s="50">
        <f t="shared" ca="1" si="134"/>
        <v>0</v>
      </c>
      <c r="AB191" s="50">
        <f t="shared" ca="1" si="134"/>
        <v>0</v>
      </c>
      <c r="AC191" s="50">
        <f t="shared" ca="1" si="134"/>
        <v>0</v>
      </c>
      <c r="AD191" s="50">
        <f t="shared" ca="1" si="134"/>
        <v>0</v>
      </c>
      <c r="AE191" s="50">
        <f t="shared" ca="1" si="134"/>
        <v>0</v>
      </c>
      <c r="AF191" s="50">
        <f t="shared" ca="1" si="134"/>
        <v>0</v>
      </c>
      <c r="AG191" s="50">
        <f t="shared" ca="1" si="134"/>
        <v>0</v>
      </c>
      <c r="AH191" s="50">
        <f t="shared" ca="1" si="134"/>
        <v>0</v>
      </c>
      <c r="AI191" s="50">
        <f t="shared" ca="1" si="134"/>
        <v>0</v>
      </c>
      <c r="AJ191" s="50">
        <f t="shared" ca="1" si="134"/>
        <v>0</v>
      </c>
      <c r="AK191" s="50">
        <f t="shared" ca="1" si="134"/>
        <v>0</v>
      </c>
      <c r="AL191" s="50">
        <f t="shared" si="134"/>
        <v>0</v>
      </c>
      <c r="AM191" s="50">
        <f t="shared" si="134"/>
        <v>0</v>
      </c>
      <c r="AN191" s="50">
        <f t="shared" si="134"/>
        <v>0</v>
      </c>
      <c r="AO191" s="50">
        <f t="shared" si="134"/>
        <v>0</v>
      </c>
      <c r="AP191" s="50">
        <f t="shared" si="134"/>
        <v>0</v>
      </c>
      <c r="AQ191" s="50">
        <f t="shared" si="134"/>
        <v>0</v>
      </c>
      <c r="AR191" s="50">
        <f t="shared" si="134"/>
        <v>0</v>
      </c>
      <c r="AS191" s="50">
        <f t="shared" si="134"/>
        <v>0</v>
      </c>
      <c r="AT191" s="50">
        <f t="shared" si="134"/>
        <v>0</v>
      </c>
      <c r="AU191" s="50">
        <f t="shared" si="134"/>
        <v>0</v>
      </c>
    </row>
    <row r="192" spans="1:47">
      <c r="A192" s="38" t="str">
        <f t="shared" si="128"/>
        <v>Custom-</v>
      </c>
      <c r="B192" s="38" t="s">
        <v>864</v>
      </c>
      <c r="C192" s="38" t="str">
        <f t="shared" si="132"/>
        <v>Cake Storage</v>
      </c>
      <c r="D192" s="186">
        <f>GHGEsc</f>
        <v>0.02</v>
      </c>
      <c r="E192" s="325"/>
      <c r="G192" s="36" t="s">
        <v>865</v>
      </c>
      <c r="I192" s="39"/>
      <c r="K192" s="39"/>
      <c r="L192" s="43" t="s">
        <v>866</v>
      </c>
      <c r="N192" s="70">
        <f ca="1">IF(VLOOKUP($C192,$G$69:$J$87,4,FALSE)="Off",0,SUMIFS(OFFSET(Assumptions!$I$90,0,MATCH($A192,Configurations,0)-1,COUNT(Assumptions!$A$90:$A$183),1),Assumptions!$D$90:$D$183,$B192&amp;$C192))</f>
        <v>0</v>
      </c>
      <c r="O192" s="313"/>
      <c r="P192" s="323"/>
      <c r="Q192" s="313"/>
      <c r="R192" s="50">
        <f t="shared" ref="R192:AU192" ca="1" si="135">IF(OR(R$99&lt;InServiceYr,R$99&gt;(InServiceYr+analysis_period-1)),0,IF($P192=0,$N192,$P192)*R$513)</f>
        <v>0</v>
      </c>
      <c r="S192" s="50">
        <f t="shared" ca="1" si="135"/>
        <v>0</v>
      </c>
      <c r="T192" s="50">
        <f t="shared" ca="1" si="135"/>
        <v>0</v>
      </c>
      <c r="U192" s="50">
        <f t="shared" ca="1" si="135"/>
        <v>0</v>
      </c>
      <c r="V192" s="50">
        <f t="shared" ca="1" si="135"/>
        <v>0</v>
      </c>
      <c r="W192" s="50">
        <f t="shared" ca="1" si="135"/>
        <v>0</v>
      </c>
      <c r="X192" s="50">
        <f t="shared" ca="1" si="135"/>
        <v>0</v>
      </c>
      <c r="Y192" s="50">
        <f t="shared" ca="1" si="135"/>
        <v>0</v>
      </c>
      <c r="Z192" s="50">
        <f t="shared" ca="1" si="135"/>
        <v>0</v>
      </c>
      <c r="AA192" s="50">
        <f t="shared" ca="1" si="135"/>
        <v>0</v>
      </c>
      <c r="AB192" s="50">
        <f t="shared" ca="1" si="135"/>
        <v>0</v>
      </c>
      <c r="AC192" s="50">
        <f t="shared" ca="1" si="135"/>
        <v>0</v>
      </c>
      <c r="AD192" s="50">
        <f t="shared" ca="1" si="135"/>
        <v>0</v>
      </c>
      <c r="AE192" s="50">
        <f t="shared" ca="1" si="135"/>
        <v>0</v>
      </c>
      <c r="AF192" s="50">
        <f t="shared" ca="1" si="135"/>
        <v>0</v>
      </c>
      <c r="AG192" s="50">
        <f t="shared" ca="1" si="135"/>
        <v>0</v>
      </c>
      <c r="AH192" s="50">
        <f t="shared" ca="1" si="135"/>
        <v>0</v>
      </c>
      <c r="AI192" s="50">
        <f t="shared" ca="1" si="135"/>
        <v>0</v>
      </c>
      <c r="AJ192" s="50">
        <f t="shared" ca="1" si="135"/>
        <v>0</v>
      </c>
      <c r="AK192" s="50">
        <f t="shared" ca="1" si="135"/>
        <v>0</v>
      </c>
      <c r="AL192" s="50">
        <f t="shared" si="135"/>
        <v>0</v>
      </c>
      <c r="AM192" s="50">
        <f t="shared" si="135"/>
        <v>0</v>
      </c>
      <c r="AN192" s="50">
        <f t="shared" si="135"/>
        <v>0</v>
      </c>
      <c r="AO192" s="50">
        <f t="shared" si="135"/>
        <v>0</v>
      </c>
      <c r="AP192" s="50">
        <f t="shared" si="135"/>
        <v>0</v>
      </c>
      <c r="AQ192" s="50">
        <f t="shared" si="135"/>
        <v>0</v>
      </c>
      <c r="AR192" s="50">
        <f t="shared" si="135"/>
        <v>0</v>
      </c>
      <c r="AS192" s="50">
        <f t="shared" si="135"/>
        <v>0</v>
      </c>
      <c r="AT192" s="50">
        <f t="shared" si="135"/>
        <v>0</v>
      </c>
      <c r="AU192" s="50">
        <f t="shared" si="135"/>
        <v>0</v>
      </c>
    </row>
    <row r="193" spans="1:47">
      <c r="A193" s="38" t="str">
        <f t="shared" si="128"/>
        <v>Custom-</v>
      </c>
      <c r="B193" s="38" t="s">
        <v>273</v>
      </c>
      <c r="C193" s="38" t="str">
        <f>C191</f>
        <v>Cake Storage</v>
      </c>
      <c r="D193" s="186">
        <f>LaborEsc</f>
        <v>0.02</v>
      </c>
      <c r="E193" s="325"/>
      <c r="G193" s="36" t="s">
        <v>291</v>
      </c>
      <c r="I193" s="39"/>
      <c r="K193" s="39"/>
      <c r="L193" s="43" t="str">
        <f>"["&amp;CostBaseYr&amp;" $]"</f>
        <v>[2013 $]</v>
      </c>
      <c r="N193" s="70">
        <f ca="1">IF(VLOOKUP($C193,$G$69:$J$87,4,FALSE)="Off",0,SUMIFS(OFFSET(Assumptions!$I$90,0,MATCH($A193,Configurations,0)-1,COUNT(Assumptions!$A$90:$A$183),1),Assumptions!$D$90:$D$183,$B193&amp;$C193))</f>
        <v>0</v>
      </c>
      <c r="O193" s="313"/>
      <c r="P193" s="323"/>
      <c r="Q193" s="313"/>
      <c r="R193" s="50">
        <f t="shared" ref="R193:AU193" ca="1" si="136">IF(OR(R$99&lt;InServiceYr,R$99&gt;(InServiceYr+analysis_period-1)),0,IF($P193=0,$N193,$P193)*(1+$D193)^(R$99-CostBaseYr))*R$509</f>
        <v>0</v>
      </c>
      <c r="S193" s="50">
        <f t="shared" ca="1" si="136"/>
        <v>0</v>
      </c>
      <c r="T193" s="50">
        <f t="shared" ca="1" si="136"/>
        <v>0</v>
      </c>
      <c r="U193" s="50">
        <f t="shared" ca="1" si="136"/>
        <v>0</v>
      </c>
      <c r="V193" s="50">
        <f t="shared" ca="1" si="136"/>
        <v>0</v>
      </c>
      <c r="W193" s="50">
        <f t="shared" ca="1" si="136"/>
        <v>0</v>
      </c>
      <c r="X193" s="50">
        <f t="shared" ca="1" si="136"/>
        <v>0</v>
      </c>
      <c r="Y193" s="50">
        <f t="shared" ca="1" si="136"/>
        <v>0</v>
      </c>
      <c r="Z193" s="50">
        <f t="shared" ca="1" si="136"/>
        <v>0</v>
      </c>
      <c r="AA193" s="50">
        <f t="shared" ca="1" si="136"/>
        <v>0</v>
      </c>
      <c r="AB193" s="50">
        <f t="shared" ca="1" si="136"/>
        <v>0</v>
      </c>
      <c r="AC193" s="50">
        <f t="shared" ca="1" si="136"/>
        <v>0</v>
      </c>
      <c r="AD193" s="50">
        <f t="shared" ca="1" si="136"/>
        <v>0</v>
      </c>
      <c r="AE193" s="50">
        <f t="shared" ca="1" si="136"/>
        <v>0</v>
      </c>
      <c r="AF193" s="50">
        <f t="shared" ca="1" si="136"/>
        <v>0</v>
      </c>
      <c r="AG193" s="50">
        <f t="shared" ca="1" si="136"/>
        <v>0</v>
      </c>
      <c r="AH193" s="50">
        <f t="shared" ca="1" si="136"/>
        <v>0</v>
      </c>
      <c r="AI193" s="50">
        <f t="shared" ca="1" si="136"/>
        <v>0</v>
      </c>
      <c r="AJ193" s="50">
        <f t="shared" ca="1" si="136"/>
        <v>0</v>
      </c>
      <c r="AK193" s="50">
        <f t="shared" ca="1" si="136"/>
        <v>0</v>
      </c>
      <c r="AL193" s="50">
        <f t="shared" si="136"/>
        <v>0</v>
      </c>
      <c r="AM193" s="50">
        <f t="shared" si="136"/>
        <v>0</v>
      </c>
      <c r="AN193" s="50">
        <f t="shared" si="136"/>
        <v>0</v>
      </c>
      <c r="AO193" s="50">
        <f t="shared" si="136"/>
        <v>0</v>
      </c>
      <c r="AP193" s="50">
        <f t="shared" si="136"/>
        <v>0</v>
      </c>
      <c r="AQ193" s="50">
        <f t="shared" si="136"/>
        <v>0</v>
      </c>
      <c r="AR193" s="50">
        <f t="shared" si="136"/>
        <v>0</v>
      </c>
      <c r="AS193" s="50">
        <f t="shared" si="136"/>
        <v>0</v>
      </c>
      <c r="AT193" s="50">
        <f t="shared" si="136"/>
        <v>0</v>
      </c>
      <c r="AU193" s="50">
        <f t="shared" si="136"/>
        <v>0</v>
      </c>
    </row>
    <row r="194" spans="1:47">
      <c r="D194" s="186"/>
      <c r="E194" s="325"/>
      <c r="G194" s="39" t="s">
        <v>304</v>
      </c>
      <c r="I194" s="39"/>
      <c r="K194" s="39"/>
      <c r="L194" s="43"/>
      <c r="N194" s="70"/>
      <c r="O194" s="313"/>
      <c r="P194" s="70"/>
      <c r="Q194" s="313"/>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row>
    <row r="195" spans="1:47">
      <c r="A195" s="38" t="str">
        <f>$J$4&amp;"-"</f>
        <v>Custom-</v>
      </c>
      <c r="B195" s="38" t="s">
        <v>265</v>
      </c>
      <c r="C195" s="38" t="str">
        <f>C186</f>
        <v>Cake Storage</v>
      </c>
      <c r="D195" s="186"/>
      <c r="E195" s="325"/>
      <c r="G195" s="36" t="s">
        <v>108</v>
      </c>
      <c r="I195" s="39"/>
      <c r="K195" s="39"/>
      <c r="L195" s="43" t="s">
        <v>293</v>
      </c>
      <c r="N195" s="70">
        <f ca="1">IF(VLOOKUP($C195,$G$69:$J$87,4,FALSE)="Off",0,SUMIFS(OFFSET(Assumptions!$I$90,0,MATCH($A195,Configurations,0)-1,COUNT(Assumptions!$A$90:$A$183),1),Assumptions!$D$90:$D$183,$B195&amp;$C195))</f>
        <v>0</v>
      </c>
      <c r="O195" s="313"/>
      <c r="P195" s="323"/>
      <c r="Q195" s="313"/>
      <c r="R195" s="50">
        <f t="shared" ref="R195:AU195" ca="1" si="137">IF(OR(R$99&lt;InServiceYr,R$99&gt;(InServiceYr+analysis_period-1)),0,IF($P195=0,$N195,$P195)*R$501)</f>
        <v>0</v>
      </c>
      <c r="S195" s="50">
        <f t="shared" ca="1" si="137"/>
        <v>0</v>
      </c>
      <c r="T195" s="50">
        <f t="shared" ca="1" si="137"/>
        <v>0</v>
      </c>
      <c r="U195" s="50">
        <f t="shared" ca="1" si="137"/>
        <v>0</v>
      </c>
      <c r="V195" s="50">
        <f t="shared" ca="1" si="137"/>
        <v>0</v>
      </c>
      <c r="W195" s="50">
        <f t="shared" ca="1" si="137"/>
        <v>0</v>
      </c>
      <c r="X195" s="50">
        <f t="shared" ca="1" si="137"/>
        <v>0</v>
      </c>
      <c r="Y195" s="50">
        <f t="shared" ca="1" si="137"/>
        <v>0</v>
      </c>
      <c r="Z195" s="50">
        <f t="shared" ca="1" si="137"/>
        <v>0</v>
      </c>
      <c r="AA195" s="50">
        <f t="shared" ca="1" si="137"/>
        <v>0</v>
      </c>
      <c r="AB195" s="50">
        <f t="shared" ca="1" si="137"/>
        <v>0</v>
      </c>
      <c r="AC195" s="50">
        <f t="shared" ca="1" si="137"/>
        <v>0</v>
      </c>
      <c r="AD195" s="50">
        <f t="shared" ca="1" si="137"/>
        <v>0</v>
      </c>
      <c r="AE195" s="50">
        <f t="shared" ca="1" si="137"/>
        <v>0</v>
      </c>
      <c r="AF195" s="50">
        <f t="shared" ca="1" si="137"/>
        <v>0</v>
      </c>
      <c r="AG195" s="50">
        <f t="shared" ca="1" si="137"/>
        <v>0</v>
      </c>
      <c r="AH195" s="50">
        <f t="shared" ca="1" si="137"/>
        <v>0</v>
      </c>
      <c r="AI195" s="50">
        <f t="shared" ca="1" si="137"/>
        <v>0</v>
      </c>
      <c r="AJ195" s="50">
        <f t="shared" ca="1" si="137"/>
        <v>0</v>
      </c>
      <c r="AK195" s="50">
        <f t="shared" ca="1" si="137"/>
        <v>0</v>
      </c>
      <c r="AL195" s="50">
        <f t="shared" si="137"/>
        <v>0</v>
      </c>
      <c r="AM195" s="50">
        <f t="shared" si="137"/>
        <v>0</v>
      </c>
      <c r="AN195" s="50">
        <f t="shared" si="137"/>
        <v>0</v>
      </c>
      <c r="AO195" s="50">
        <f t="shared" si="137"/>
        <v>0</v>
      </c>
      <c r="AP195" s="50">
        <f t="shared" si="137"/>
        <v>0</v>
      </c>
      <c r="AQ195" s="50">
        <f t="shared" si="137"/>
        <v>0</v>
      </c>
      <c r="AR195" s="50">
        <f t="shared" si="137"/>
        <v>0</v>
      </c>
      <c r="AS195" s="50">
        <f t="shared" si="137"/>
        <v>0</v>
      </c>
      <c r="AT195" s="50">
        <f t="shared" si="137"/>
        <v>0</v>
      </c>
      <c r="AU195" s="50">
        <f t="shared" si="137"/>
        <v>0</v>
      </c>
    </row>
    <row r="196" spans="1:47">
      <c r="A196" s="38" t="str">
        <f>$J$4&amp;"-"</f>
        <v>Custom-</v>
      </c>
      <c r="B196" s="38" t="s">
        <v>289</v>
      </c>
      <c r="C196" s="38" t="str">
        <f>C186</f>
        <v>Cake Storage</v>
      </c>
      <c r="D196" s="186">
        <f>LaborEsc</f>
        <v>0.02</v>
      </c>
      <c r="E196" s="325"/>
      <c r="G196" s="36" t="s">
        <v>292</v>
      </c>
      <c r="I196" s="39"/>
      <c r="K196" s="39"/>
      <c r="L196" s="43" t="str">
        <f>"["&amp;CostBaseYr&amp;" $]"</f>
        <v>[2013 $]</v>
      </c>
      <c r="N196" s="70">
        <f ca="1">IF(VLOOKUP($C196,$G$69:$J$87,4,FALSE)="Off",0,SUMIFS(OFFSET(Assumptions!$I$90,0,MATCH($A196,Configurations,0)-1,COUNT(Assumptions!$A$90:$A$183),1),Assumptions!$D$90:$D$183,$B196&amp;$C196))</f>
        <v>0</v>
      </c>
      <c r="O196" s="313"/>
      <c r="P196" s="323"/>
      <c r="Q196" s="313"/>
      <c r="R196" s="50">
        <f t="shared" ref="R196:AU196" ca="1" si="138">IF(OR(R$99&lt;InServiceYr,R$99&gt;(InServiceYr+analysis_period-1)),0,IF($P196=0,$N196,$P196)*(1+$D196)^(R$99-CostBaseYr))</f>
        <v>0</v>
      </c>
      <c r="S196" s="50">
        <f t="shared" ca="1" si="138"/>
        <v>0</v>
      </c>
      <c r="T196" s="50">
        <f t="shared" ca="1" si="138"/>
        <v>0</v>
      </c>
      <c r="U196" s="50">
        <f t="shared" ca="1" si="138"/>
        <v>0</v>
      </c>
      <c r="V196" s="50">
        <f t="shared" ca="1" si="138"/>
        <v>0</v>
      </c>
      <c r="W196" s="50">
        <f t="shared" ca="1" si="138"/>
        <v>0</v>
      </c>
      <c r="X196" s="50">
        <f t="shared" ca="1" si="138"/>
        <v>0</v>
      </c>
      <c r="Y196" s="50">
        <f t="shared" ca="1" si="138"/>
        <v>0</v>
      </c>
      <c r="Z196" s="50">
        <f t="shared" ca="1" si="138"/>
        <v>0</v>
      </c>
      <c r="AA196" s="50">
        <f t="shared" ca="1" si="138"/>
        <v>0</v>
      </c>
      <c r="AB196" s="50">
        <f t="shared" ca="1" si="138"/>
        <v>0</v>
      </c>
      <c r="AC196" s="50">
        <f t="shared" ca="1" si="138"/>
        <v>0</v>
      </c>
      <c r="AD196" s="50">
        <f t="shared" ca="1" si="138"/>
        <v>0</v>
      </c>
      <c r="AE196" s="50">
        <f t="shared" ca="1" si="138"/>
        <v>0</v>
      </c>
      <c r="AF196" s="50">
        <f t="shared" ca="1" si="138"/>
        <v>0</v>
      </c>
      <c r="AG196" s="50">
        <f t="shared" ca="1" si="138"/>
        <v>0</v>
      </c>
      <c r="AH196" s="50">
        <f t="shared" ca="1" si="138"/>
        <v>0</v>
      </c>
      <c r="AI196" s="50">
        <f t="shared" ca="1" si="138"/>
        <v>0</v>
      </c>
      <c r="AJ196" s="50">
        <f t="shared" ca="1" si="138"/>
        <v>0</v>
      </c>
      <c r="AK196" s="50">
        <f t="shared" ca="1" si="138"/>
        <v>0</v>
      </c>
      <c r="AL196" s="50">
        <f t="shared" si="138"/>
        <v>0</v>
      </c>
      <c r="AM196" s="50">
        <f t="shared" si="138"/>
        <v>0</v>
      </c>
      <c r="AN196" s="50">
        <f t="shared" si="138"/>
        <v>0</v>
      </c>
      <c r="AO196" s="50">
        <f t="shared" si="138"/>
        <v>0</v>
      </c>
      <c r="AP196" s="50">
        <f t="shared" si="138"/>
        <v>0</v>
      </c>
      <c r="AQ196" s="50">
        <f t="shared" si="138"/>
        <v>0</v>
      </c>
      <c r="AR196" s="50">
        <f t="shared" si="138"/>
        <v>0</v>
      </c>
      <c r="AS196" s="50">
        <f t="shared" si="138"/>
        <v>0</v>
      </c>
      <c r="AT196" s="50">
        <f t="shared" si="138"/>
        <v>0</v>
      </c>
      <c r="AU196" s="50">
        <f t="shared" si="138"/>
        <v>0</v>
      </c>
    </row>
    <row r="197" spans="1:47" s="60" customFormat="1">
      <c r="D197" s="187"/>
      <c r="E197" s="325"/>
      <c r="G197" s="39" t="s">
        <v>305</v>
      </c>
      <c r="I197" s="39"/>
      <c r="K197" s="39"/>
      <c r="L197" s="174"/>
      <c r="N197" s="188"/>
      <c r="O197" s="314"/>
      <c r="P197" s="185"/>
      <c r="Q197" s="314"/>
      <c r="R197" s="185">
        <f ca="1">SUM(R186:R193)-SUM(R195:R196)</f>
        <v>0</v>
      </c>
      <c r="S197" s="185">
        <f t="shared" ref="S197:AU197" ca="1" si="139">SUM(S186:S193)-SUM(S195:S196)</f>
        <v>0</v>
      </c>
      <c r="T197" s="185">
        <f t="shared" ca="1" si="139"/>
        <v>0</v>
      </c>
      <c r="U197" s="185">
        <f t="shared" ca="1" si="139"/>
        <v>0</v>
      </c>
      <c r="V197" s="185">
        <f t="shared" ca="1" si="139"/>
        <v>0</v>
      </c>
      <c r="W197" s="185">
        <f t="shared" ca="1" si="139"/>
        <v>0</v>
      </c>
      <c r="X197" s="185">
        <f t="shared" ca="1" si="139"/>
        <v>0</v>
      </c>
      <c r="Y197" s="185">
        <f t="shared" ca="1" si="139"/>
        <v>0</v>
      </c>
      <c r="Z197" s="185">
        <f t="shared" ca="1" si="139"/>
        <v>0</v>
      </c>
      <c r="AA197" s="185">
        <f t="shared" ca="1" si="139"/>
        <v>0</v>
      </c>
      <c r="AB197" s="185">
        <f t="shared" ca="1" si="139"/>
        <v>0</v>
      </c>
      <c r="AC197" s="185">
        <f t="shared" ca="1" si="139"/>
        <v>0</v>
      </c>
      <c r="AD197" s="185">
        <f t="shared" ca="1" si="139"/>
        <v>0</v>
      </c>
      <c r="AE197" s="185">
        <f t="shared" ca="1" si="139"/>
        <v>0</v>
      </c>
      <c r="AF197" s="185">
        <f t="shared" ca="1" si="139"/>
        <v>0</v>
      </c>
      <c r="AG197" s="185">
        <f t="shared" ca="1" si="139"/>
        <v>0</v>
      </c>
      <c r="AH197" s="185">
        <f t="shared" ca="1" si="139"/>
        <v>0</v>
      </c>
      <c r="AI197" s="185">
        <f t="shared" ca="1" si="139"/>
        <v>0</v>
      </c>
      <c r="AJ197" s="185">
        <f t="shared" ca="1" si="139"/>
        <v>0</v>
      </c>
      <c r="AK197" s="185">
        <f t="shared" ca="1" si="139"/>
        <v>0</v>
      </c>
      <c r="AL197" s="185">
        <f t="shared" si="139"/>
        <v>0</v>
      </c>
      <c r="AM197" s="185">
        <f t="shared" si="139"/>
        <v>0</v>
      </c>
      <c r="AN197" s="185">
        <f t="shared" si="139"/>
        <v>0</v>
      </c>
      <c r="AO197" s="185">
        <f t="shared" si="139"/>
        <v>0</v>
      </c>
      <c r="AP197" s="185">
        <f t="shared" si="139"/>
        <v>0</v>
      </c>
      <c r="AQ197" s="185">
        <f t="shared" si="139"/>
        <v>0</v>
      </c>
      <c r="AR197" s="185">
        <f t="shared" si="139"/>
        <v>0</v>
      </c>
      <c r="AS197" s="185">
        <f t="shared" si="139"/>
        <v>0</v>
      </c>
      <c r="AT197" s="185">
        <f t="shared" si="139"/>
        <v>0</v>
      </c>
      <c r="AU197" s="185">
        <f t="shared" si="139"/>
        <v>0</v>
      </c>
    </row>
    <row r="198" spans="1:47">
      <c r="G198" s="28"/>
      <c r="H198" s="28"/>
      <c r="I198" s="28"/>
      <c r="J198" s="28"/>
      <c r="K198" s="28"/>
      <c r="L198" s="409"/>
      <c r="M198" s="46"/>
      <c r="N198" s="46"/>
      <c r="O198" s="315"/>
      <c r="P198" s="46"/>
      <c r="Q198" s="315"/>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row>
    <row r="199" spans="1:47">
      <c r="E199" s="327"/>
      <c r="F199" s="28"/>
      <c r="G199" s="324" t="str">
        <f>C201&amp;" Capital Costs"</f>
        <v>CHP Capital Costs</v>
      </c>
      <c r="H199" s="324"/>
      <c r="I199" s="324"/>
      <c r="J199" s="324"/>
      <c r="K199" s="324"/>
      <c r="L199" s="405" t="s">
        <v>79</v>
      </c>
      <c r="M199" s="256"/>
      <c r="N199" s="325" t="s">
        <v>490</v>
      </c>
      <c r="O199" s="311"/>
      <c r="P199" s="325" t="s">
        <v>491</v>
      </c>
      <c r="Q199" s="310"/>
      <c r="R199" s="325">
        <f>R$8</f>
        <v>2014</v>
      </c>
      <c r="S199" s="325">
        <f t="shared" ref="S199:AU199" si="140">S$8</f>
        <v>2015</v>
      </c>
      <c r="T199" s="325">
        <f t="shared" si="140"/>
        <v>2016</v>
      </c>
      <c r="U199" s="325">
        <f t="shared" si="140"/>
        <v>2017</v>
      </c>
      <c r="V199" s="325">
        <f t="shared" si="140"/>
        <v>2018</v>
      </c>
      <c r="W199" s="325">
        <f t="shared" si="140"/>
        <v>2019</v>
      </c>
      <c r="X199" s="325">
        <f t="shared" si="140"/>
        <v>2020</v>
      </c>
      <c r="Y199" s="325">
        <f t="shared" si="140"/>
        <v>2021</v>
      </c>
      <c r="Z199" s="325">
        <f t="shared" si="140"/>
        <v>2022</v>
      </c>
      <c r="AA199" s="325">
        <f t="shared" si="140"/>
        <v>2023</v>
      </c>
      <c r="AB199" s="325">
        <f t="shared" si="140"/>
        <v>2024</v>
      </c>
      <c r="AC199" s="325">
        <f t="shared" si="140"/>
        <v>2025</v>
      </c>
      <c r="AD199" s="325">
        <f t="shared" si="140"/>
        <v>2026</v>
      </c>
      <c r="AE199" s="325">
        <f t="shared" si="140"/>
        <v>2027</v>
      </c>
      <c r="AF199" s="325">
        <f t="shared" si="140"/>
        <v>2028</v>
      </c>
      <c r="AG199" s="325">
        <f t="shared" si="140"/>
        <v>2029</v>
      </c>
      <c r="AH199" s="325">
        <f t="shared" si="140"/>
        <v>2030</v>
      </c>
      <c r="AI199" s="325">
        <f t="shared" si="140"/>
        <v>2031</v>
      </c>
      <c r="AJ199" s="325">
        <f t="shared" si="140"/>
        <v>2032</v>
      </c>
      <c r="AK199" s="325">
        <f t="shared" si="140"/>
        <v>2033</v>
      </c>
      <c r="AL199" s="325">
        <f t="shared" si="140"/>
        <v>2034</v>
      </c>
      <c r="AM199" s="325">
        <f t="shared" si="140"/>
        <v>2035</v>
      </c>
      <c r="AN199" s="325">
        <f t="shared" si="140"/>
        <v>2036</v>
      </c>
      <c r="AO199" s="325">
        <f t="shared" si="140"/>
        <v>2037</v>
      </c>
      <c r="AP199" s="325">
        <f t="shared" si="140"/>
        <v>2038</v>
      </c>
      <c r="AQ199" s="325">
        <f t="shared" si="140"/>
        <v>2039</v>
      </c>
      <c r="AR199" s="325">
        <f t="shared" si="140"/>
        <v>2040</v>
      </c>
      <c r="AS199" s="325">
        <f t="shared" si="140"/>
        <v>2041</v>
      </c>
      <c r="AT199" s="325">
        <f t="shared" si="140"/>
        <v>2042</v>
      </c>
      <c r="AU199" s="325">
        <f t="shared" si="140"/>
        <v>2043</v>
      </c>
    </row>
    <row r="200" spans="1:47">
      <c r="E200" s="325"/>
      <c r="G200" s="39"/>
      <c r="H200" s="39"/>
      <c r="I200" s="39"/>
      <c r="J200" s="39"/>
      <c r="K200" s="39"/>
    </row>
    <row r="201" spans="1:47">
      <c r="A201" s="38" t="str">
        <f>$J$4&amp;"-"</f>
        <v>Custom-</v>
      </c>
      <c r="B201" s="38" t="s">
        <v>306</v>
      </c>
      <c r="C201" s="38" t="s">
        <v>318</v>
      </c>
      <c r="D201" s="186">
        <f>CapExEsc</f>
        <v>0.03</v>
      </c>
      <c r="E201" s="325"/>
      <c r="G201" s="36" t="s">
        <v>8</v>
      </c>
      <c r="H201" s="39"/>
      <c r="I201" s="39"/>
      <c r="J201" s="70"/>
      <c r="K201" s="39"/>
      <c r="L201" s="43" t="str">
        <f>"["&amp;CostBaseYr&amp;" $]"</f>
        <v>[2013 $]</v>
      </c>
      <c r="N201" s="52">
        <f ca="1">IF(VLOOKUP($C201,$G$69:$J$87,4,FALSE)="Off", 0,SUMIFS(OFFSET(Assumptions!$I$65,0,MATCH($A201,Configurations,0)-1,COUNT(Assumptions!$A$65:$A$84),1),Assumptions!$E$65:$E$84,$C201))</f>
        <v>0</v>
      </c>
      <c r="O201" s="52"/>
      <c r="P201" s="322"/>
      <c r="Q201" s="52"/>
      <c r="R201" s="52">
        <f t="shared" ref="R201:AU201" ca="1" si="141">R202*IF($P201=0,$N201,$P201)*(1+$D201)^(R$8-CostBaseYr)</f>
        <v>0</v>
      </c>
      <c r="S201" s="52">
        <f t="shared" ca="1" si="141"/>
        <v>0</v>
      </c>
      <c r="T201" s="52">
        <f t="shared" ca="1" si="141"/>
        <v>0</v>
      </c>
      <c r="U201" s="52">
        <f t="shared" ca="1" si="141"/>
        <v>0</v>
      </c>
      <c r="V201" s="52">
        <f t="shared" ca="1" si="141"/>
        <v>0</v>
      </c>
      <c r="W201" s="52">
        <f t="shared" ca="1" si="141"/>
        <v>0</v>
      </c>
      <c r="X201" s="52">
        <f t="shared" ca="1" si="141"/>
        <v>0</v>
      </c>
      <c r="Y201" s="52">
        <f t="shared" ca="1" si="141"/>
        <v>0</v>
      </c>
      <c r="Z201" s="52">
        <f t="shared" ca="1" si="141"/>
        <v>0</v>
      </c>
      <c r="AA201" s="52">
        <f t="shared" ca="1" si="141"/>
        <v>0</v>
      </c>
      <c r="AB201" s="52">
        <f t="shared" ca="1" si="141"/>
        <v>0</v>
      </c>
      <c r="AC201" s="52">
        <f t="shared" ca="1" si="141"/>
        <v>0</v>
      </c>
      <c r="AD201" s="52">
        <f t="shared" ca="1" si="141"/>
        <v>0</v>
      </c>
      <c r="AE201" s="52">
        <f t="shared" ca="1" si="141"/>
        <v>0</v>
      </c>
      <c r="AF201" s="52">
        <f t="shared" ca="1" si="141"/>
        <v>0</v>
      </c>
      <c r="AG201" s="52">
        <f t="shared" ca="1" si="141"/>
        <v>0</v>
      </c>
      <c r="AH201" s="52">
        <f t="shared" ca="1" si="141"/>
        <v>0</v>
      </c>
      <c r="AI201" s="52">
        <f t="shared" ca="1" si="141"/>
        <v>0</v>
      </c>
      <c r="AJ201" s="52">
        <f t="shared" ca="1" si="141"/>
        <v>0</v>
      </c>
      <c r="AK201" s="52">
        <f t="shared" ca="1" si="141"/>
        <v>0</v>
      </c>
      <c r="AL201" s="52">
        <f t="shared" ca="1" si="141"/>
        <v>0</v>
      </c>
      <c r="AM201" s="52">
        <f t="shared" ca="1" si="141"/>
        <v>0</v>
      </c>
      <c r="AN201" s="52">
        <f t="shared" ca="1" si="141"/>
        <v>0</v>
      </c>
      <c r="AO201" s="52">
        <f t="shared" ca="1" si="141"/>
        <v>0</v>
      </c>
      <c r="AP201" s="52">
        <f t="shared" ca="1" si="141"/>
        <v>0</v>
      </c>
      <c r="AQ201" s="52">
        <f t="shared" ca="1" si="141"/>
        <v>0</v>
      </c>
      <c r="AR201" s="52">
        <f t="shared" ca="1" si="141"/>
        <v>0</v>
      </c>
      <c r="AS201" s="52">
        <f t="shared" ca="1" si="141"/>
        <v>0</v>
      </c>
      <c r="AT201" s="52">
        <f t="shared" ca="1" si="141"/>
        <v>0</v>
      </c>
      <c r="AU201" s="52">
        <f t="shared" ca="1" si="141"/>
        <v>0</v>
      </c>
    </row>
    <row r="202" spans="1:47">
      <c r="E202" s="325"/>
      <c r="G202" s="36" t="s">
        <v>10</v>
      </c>
      <c r="H202" s="39"/>
      <c r="I202" s="39"/>
      <c r="J202" s="39"/>
      <c r="K202" s="39"/>
      <c r="L202" s="43"/>
      <c r="R202" s="54">
        <f>Assumptions!M$60</f>
        <v>1</v>
      </c>
      <c r="S202" s="54">
        <f>Assumptions!N$60</f>
        <v>0</v>
      </c>
      <c r="T202" s="54">
        <f>Assumptions!O$60</f>
        <v>0</v>
      </c>
      <c r="U202" s="54">
        <f>Assumptions!P$60</f>
        <v>0</v>
      </c>
      <c r="V202" s="54">
        <f>Assumptions!Q$60</f>
        <v>0</v>
      </c>
      <c r="W202" s="54">
        <f>Assumptions!R$60</f>
        <v>0</v>
      </c>
      <c r="X202" s="54">
        <f>Assumptions!S$60</f>
        <v>0</v>
      </c>
      <c r="Y202" s="54">
        <f>Assumptions!T$60</f>
        <v>0</v>
      </c>
      <c r="Z202" s="54">
        <f>Assumptions!U$60</f>
        <v>0</v>
      </c>
      <c r="AA202" s="54">
        <f>Assumptions!V$60</f>
        <v>0</v>
      </c>
      <c r="AB202" s="54">
        <f>Assumptions!W$60</f>
        <v>0</v>
      </c>
      <c r="AC202" s="54">
        <f>Assumptions!X$60</f>
        <v>0</v>
      </c>
      <c r="AD202" s="54">
        <f>Assumptions!Y$60</f>
        <v>0</v>
      </c>
      <c r="AE202" s="54">
        <f>Assumptions!Z$60</f>
        <v>0</v>
      </c>
      <c r="AF202" s="54">
        <f>Assumptions!AA$60</f>
        <v>0</v>
      </c>
      <c r="AG202" s="54">
        <f>Assumptions!AB$60</f>
        <v>0</v>
      </c>
      <c r="AH202" s="54">
        <f>Assumptions!AC$60</f>
        <v>0</v>
      </c>
      <c r="AI202" s="54">
        <f>Assumptions!AD$60</f>
        <v>0</v>
      </c>
      <c r="AJ202" s="54">
        <f>Assumptions!AE$60</f>
        <v>0</v>
      </c>
      <c r="AK202" s="54">
        <f>Assumptions!AF$60</f>
        <v>0</v>
      </c>
      <c r="AL202" s="54">
        <f>Assumptions!AG$60</f>
        <v>0</v>
      </c>
      <c r="AM202" s="54">
        <f>Assumptions!AH$60</f>
        <v>0</v>
      </c>
      <c r="AN202" s="54">
        <f>Assumptions!AI$60</f>
        <v>0</v>
      </c>
      <c r="AO202" s="54">
        <f>Assumptions!AJ$60</f>
        <v>0</v>
      </c>
      <c r="AP202" s="54">
        <f>Assumptions!AK$60</f>
        <v>0</v>
      </c>
      <c r="AQ202" s="54">
        <f>Assumptions!AL$60</f>
        <v>0</v>
      </c>
      <c r="AR202" s="54">
        <f>Assumptions!AM$60</f>
        <v>0</v>
      </c>
      <c r="AS202" s="54">
        <f>Assumptions!AN$60</f>
        <v>0</v>
      </c>
      <c r="AT202" s="54">
        <f>Assumptions!AO$60</f>
        <v>0</v>
      </c>
      <c r="AU202" s="54">
        <f>Assumptions!AP$60</f>
        <v>0</v>
      </c>
    </row>
    <row r="203" spans="1:47">
      <c r="E203" s="326"/>
      <c r="G203" s="39"/>
      <c r="H203" s="39"/>
      <c r="I203" s="39"/>
      <c r="J203" s="39"/>
      <c r="K203" s="39"/>
    </row>
    <row r="204" spans="1:47">
      <c r="E204" s="327"/>
      <c r="F204" s="28"/>
      <c r="G204" s="324" t="str">
        <f>C201&amp;" O&amp;M"</f>
        <v>CHP O&amp;M</v>
      </c>
      <c r="H204" s="324"/>
      <c r="I204" s="324"/>
      <c r="J204" s="324"/>
      <c r="K204" s="324"/>
      <c r="L204" s="405" t="s">
        <v>79</v>
      </c>
      <c r="M204" s="256"/>
      <c r="N204" s="325" t="s">
        <v>490</v>
      </c>
      <c r="O204" s="311"/>
      <c r="P204" s="325" t="s">
        <v>491</v>
      </c>
      <c r="Q204" s="310"/>
      <c r="R204" s="325">
        <f>R$8</f>
        <v>2014</v>
      </c>
      <c r="S204" s="325">
        <f t="shared" ref="S204:AU204" si="142">S$8</f>
        <v>2015</v>
      </c>
      <c r="T204" s="325">
        <f t="shared" si="142"/>
        <v>2016</v>
      </c>
      <c r="U204" s="325">
        <f t="shared" si="142"/>
        <v>2017</v>
      </c>
      <c r="V204" s="325">
        <f t="shared" si="142"/>
        <v>2018</v>
      </c>
      <c r="W204" s="325">
        <f t="shared" si="142"/>
        <v>2019</v>
      </c>
      <c r="X204" s="325">
        <f t="shared" si="142"/>
        <v>2020</v>
      </c>
      <c r="Y204" s="325">
        <f t="shared" si="142"/>
        <v>2021</v>
      </c>
      <c r="Z204" s="325">
        <f t="shared" si="142"/>
        <v>2022</v>
      </c>
      <c r="AA204" s="325">
        <f t="shared" si="142"/>
        <v>2023</v>
      </c>
      <c r="AB204" s="325">
        <f t="shared" si="142"/>
        <v>2024</v>
      </c>
      <c r="AC204" s="325">
        <f t="shared" si="142"/>
        <v>2025</v>
      </c>
      <c r="AD204" s="325">
        <f t="shared" si="142"/>
        <v>2026</v>
      </c>
      <c r="AE204" s="325">
        <f t="shared" si="142"/>
        <v>2027</v>
      </c>
      <c r="AF204" s="325">
        <f t="shared" si="142"/>
        <v>2028</v>
      </c>
      <c r="AG204" s="325">
        <f t="shared" si="142"/>
        <v>2029</v>
      </c>
      <c r="AH204" s="325">
        <f t="shared" si="142"/>
        <v>2030</v>
      </c>
      <c r="AI204" s="325">
        <f t="shared" si="142"/>
        <v>2031</v>
      </c>
      <c r="AJ204" s="325">
        <f t="shared" si="142"/>
        <v>2032</v>
      </c>
      <c r="AK204" s="325">
        <f t="shared" si="142"/>
        <v>2033</v>
      </c>
      <c r="AL204" s="325">
        <f t="shared" si="142"/>
        <v>2034</v>
      </c>
      <c r="AM204" s="325">
        <f t="shared" si="142"/>
        <v>2035</v>
      </c>
      <c r="AN204" s="325">
        <f t="shared" si="142"/>
        <v>2036</v>
      </c>
      <c r="AO204" s="325">
        <f t="shared" si="142"/>
        <v>2037</v>
      </c>
      <c r="AP204" s="325">
        <f t="shared" si="142"/>
        <v>2038</v>
      </c>
      <c r="AQ204" s="325">
        <f t="shared" si="142"/>
        <v>2039</v>
      </c>
      <c r="AR204" s="325">
        <f t="shared" si="142"/>
        <v>2040</v>
      </c>
      <c r="AS204" s="325">
        <f t="shared" si="142"/>
        <v>2041</v>
      </c>
      <c r="AT204" s="325">
        <f t="shared" si="142"/>
        <v>2042</v>
      </c>
      <c r="AU204" s="325">
        <f t="shared" si="142"/>
        <v>2043</v>
      </c>
    </row>
    <row r="205" spans="1:47">
      <c r="E205" s="325"/>
      <c r="G205" s="39"/>
      <c r="H205" s="39"/>
      <c r="I205" s="39"/>
      <c r="J205" s="39"/>
      <c r="K205" s="39"/>
    </row>
    <row r="206" spans="1:47">
      <c r="E206" s="325"/>
      <c r="G206" s="39" t="s">
        <v>23</v>
      </c>
      <c r="H206" s="39"/>
      <c r="I206" s="39"/>
      <c r="J206" s="39"/>
      <c r="K206" s="39"/>
    </row>
    <row r="207" spans="1:47">
      <c r="A207" s="38" t="str">
        <f t="shared" ref="A207:A214" si="143">$J$4&amp;"-"</f>
        <v>Custom-</v>
      </c>
      <c r="B207" s="38" t="s">
        <v>262</v>
      </c>
      <c r="C207" s="38" t="str">
        <f>C201</f>
        <v>CHP</v>
      </c>
      <c r="D207" s="186">
        <f>LaborEsc</f>
        <v>0.02</v>
      </c>
      <c r="E207" s="325"/>
      <c r="G207" s="36" t="s">
        <v>125</v>
      </c>
      <c r="I207" s="39"/>
      <c r="K207" s="39"/>
      <c r="L207" s="43" t="s">
        <v>266</v>
      </c>
      <c r="N207" s="70">
        <f ca="1">IF(VLOOKUP($C207,$G$69:$J$87,4,FALSE)="Off",0,SUMIFS(OFFSET(Assumptions!$I$90,0,MATCH($A207,Configurations,0)-1,COUNT(Assumptions!$A$90:$A$183),1),Assumptions!$D$90:$D$183,$B207&amp;$C207))</f>
        <v>0</v>
      </c>
      <c r="O207" s="313"/>
      <c r="P207" s="323"/>
      <c r="Q207" s="313"/>
      <c r="R207" s="50">
        <f t="shared" ref="R207:AU207" ca="1" si="144">IF(OR(R$99&lt;InServiceYr,R$99&gt;(InServiceYr+analysis_period-1)),0,IF($P207=0,$N207,$P207)*LaborCost*(1+$D207)^(R$99-CostBaseYr))</f>
        <v>0</v>
      </c>
      <c r="S207" s="50">
        <f t="shared" ca="1" si="144"/>
        <v>0</v>
      </c>
      <c r="T207" s="50">
        <f t="shared" ca="1" si="144"/>
        <v>0</v>
      </c>
      <c r="U207" s="50">
        <f t="shared" ca="1" si="144"/>
        <v>0</v>
      </c>
      <c r="V207" s="50">
        <f t="shared" ca="1" si="144"/>
        <v>0</v>
      </c>
      <c r="W207" s="50">
        <f t="shared" ca="1" si="144"/>
        <v>0</v>
      </c>
      <c r="X207" s="50">
        <f t="shared" ca="1" si="144"/>
        <v>0</v>
      </c>
      <c r="Y207" s="50">
        <f t="shared" ca="1" si="144"/>
        <v>0</v>
      </c>
      <c r="Z207" s="50">
        <f t="shared" ca="1" si="144"/>
        <v>0</v>
      </c>
      <c r="AA207" s="50">
        <f t="shared" ca="1" si="144"/>
        <v>0</v>
      </c>
      <c r="AB207" s="50">
        <f t="shared" ca="1" si="144"/>
        <v>0</v>
      </c>
      <c r="AC207" s="50">
        <f t="shared" ca="1" si="144"/>
        <v>0</v>
      </c>
      <c r="AD207" s="50">
        <f t="shared" ca="1" si="144"/>
        <v>0</v>
      </c>
      <c r="AE207" s="50">
        <f t="shared" ca="1" si="144"/>
        <v>0</v>
      </c>
      <c r="AF207" s="50">
        <f t="shared" ca="1" si="144"/>
        <v>0</v>
      </c>
      <c r="AG207" s="50">
        <f t="shared" ca="1" si="144"/>
        <v>0</v>
      </c>
      <c r="AH207" s="50">
        <f t="shared" ca="1" si="144"/>
        <v>0</v>
      </c>
      <c r="AI207" s="50">
        <f t="shared" ca="1" si="144"/>
        <v>0</v>
      </c>
      <c r="AJ207" s="50">
        <f t="shared" ca="1" si="144"/>
        <v>0</v>
      </c>
      <c r="AK207" s="50">
        <f t="shared" ca="1" si="144"/>
        <v>0</v>
      </c>
      <c r="AL207" s="50">
        <f t="shared" si="144"/>
        <v>0</v>
      </c>
      <c r="AM207" s="50">
        <f t="shared" si="144"/>
        <v>0</v>
      </c>
      <c r="AN207" s="50">
        <f t="shared" si="144"/>
        <v>0</v>
      </c>
      <c r="AO207" s="50">
        <f t="shared" si="144"/>
        <v>0</v>
      </c>
      <c r="AP207" s="50">
        <f t="shared" si="144"/>
        <v>0</v>
      </c>
      <c r="AQ207" s="50">
        <f t="shared" si="144"/>
        <v>0</v>
      </c>
      <c r="AR207" s="50">
        <f t="shared" si="144"/>
        <v>0</v>
      </c>
      <c r="AS207" s="50">
        <f t="shared" si="144"/>
        <v>0</v>
      </c>
      <c r="AT207" s="50">
        <f t="shared" si="144"/>
        <v>0</v>
      </c>
      <c r="AU207" s="50">
        <f t="shared" si="144"/>
        <v>0</v>
      </c>
    </row>
    <row r="208" spans="1:47">
      <c r="A208" s="38" t="str">
        <f t="shared" si="143"/>
        <v>Custom-</v>
      </c>
      <c r="B208" s="38" t="s">
        <v>270</v>
      </c>
      <c r="C208" s="38" t="str">
        <f>C207</f>
        <v>CHP</v>
      </c>
      <c r="D208" s="186">
        <f>OMEsc</f>
        <v>0.02</v>
      </c>
      <c r="E208" s="325"/>
      <c r="G208" s="36" t="s">
        <v>126</v>
      </c>
      <c r="I208" s="39"/>
      <c r="K208" s="39"/>
      <c r="L208" s="43" t="str">
        <f>"["&amp;CostBaseYr&amp;" $]"</f>
        <v>[2013 $]</v>
      </c>
      <c r="N208" s="70">
        <f ca="1">IF(VLOOKUP($C208,$G$69:$J$87,4,FALSE)="Off",0,SUMIFS(OFFSET(Assumptions!$I$90,0,MATCH($A208,Configurations,0)-1,COUNT(Assumptions!$A$90:$A$183),1),Assumptions!$D$90:$D$183,$B208&amp;$C208))</f>
        <v>0</v>
      </c>
      <c r="O208" s="313"/>
      <c r="P208" s="323"/>
      <c r="Q208" s="313"/>
      <c r="R208" s="50">
        <f t="shared" ref="R208:AG210" ca="1" si="145">IF(OR(R$99&lt;InServiceYr,R$99&gt;(InServiceYr+analysis_period-1)),0,IF($P208=0,$N208,$P208)*(1+$D208)^(R$99-CostBaseYr))</f>
        <v>0</v>
      </c>
      <c r="S208" s="50">
        <f t="shared" ca="1" si="145"/>
        <v>0</v>
      </c>
      <c r="T208" s="50">
        <f t="shared" ca="1" si="145"/>
        <v>0</v>
      </c>
      <c r="U208" s="50">
        <f t="shared" ca="1" si="145"/>
        <v>0</v>
      </c>
      <c r="V208" s="50">
        <f t="shared" ca="1" si="145"/>
        <v>0</v>
      </c>
      <c r="W208" s="50">
        <f t="shared" ca="1" si="145"/>
        <v>0</v>
      </c>
      <c r="X208" s="50">
        <f t="shared" ca="1" si="145"/>
        <v>0</v>
      </c>
      <c r="Y208" s="50">
        <f t="shared" ca="1" si="145"/>
        <v>0</v>
      </c>
      <c r="Z208" s="50">
        <f t="shared" ca="1" si="145"/>
        <v>0</v>
      </c>
      <c r="AA208" s="50">
        <f t="shared" ca="1" si="145"/>
        <v>0</v>
      </c>
      <c r="AB208" s="50">
        <f t="shared" ca="1" si="145"/>
        <v>0</v>
      </c>
      <c r="AC208" s="50">
        <f t="shared" ca="1" si="145"/>
        <v>0</v>
      </c>
      <c r="AD208" s="50">
        <f t="shared" ca="1" si="145"/>
        <v>0</v>
      </c>
      <c r="AE208" s="50">
        <f t="shared" ca="1" si="145"/>
        <v>0</v>
      </c>
      <c r="AF208" s="50">
        <f t="shared" ca="1" si="145"/>
        <v>0</v>
      </c>
      <c r="AG208" s="50">
        <f t="shared" ca="1" si="145"/>
        <v>0</v>
      </c>
      <c r="AH208" s="50">
        <f t="shared" ref="S208:AU210" ca="1" si="146">IF(OR(AH$99&lt;InServiceYr,AH$99&gt;(InServiceYr+analysis_period-1)),0,IF($P208=0,$N208,$P208)*(1+$D208)^(AH$99-CostBaseYr))</f>
        <v>0</v>
      </c>
      <c r="AI208" s="50">
        <f t="shared" ca="1" si="146"/>
        <v>0</v>
      </c>
      <c r="AJ208" s="50">
        <f t="shared" ca="1" si="146"/>
        <v>0</v>
      </c>
      <c r="AK208" s="50">
        <f t="shared" ca="1" si="146"/>
        <v>0</v>
      </c>
      <c r="AL208" s="50">
        <f t="shared" si="146"/>
        <v>0</v>
      </c>
      <c r="AM208" s="50">
        <f t="shared" si="146"/>
        <v>0</v>
      </c>
      <c r="AN208" s="50">
        <f t="shared" si="146"/>
        <v>0</v>
      </c>
      <c r="AO208" s="50">
        <f t="shared" si="146"/>
        <v>0</v>
      </c>
      <c r="AP208" s="50">
        <f t="shared" si="146"/>
        <v>0</v>
      </c>
      <c r="AQ208" s="50">
        <f t="shared" si="146"/>
        <v>0</v>
      </c>
      <c r="AR208" s="50">
        <f t="shared" si="146"/>
        <v>0</v>
      </c>
      <c r="AS208" s="50">
        <f t="shared" si="146"/>
        <v>0</v>
      </c>
      <c r="AT208" s="50">
        <f t="shared" si="146"/>
        <v>0</v>
      </c>
      <c r="AU208" s="50">
        <f t="shared" si="146"/>
        <v>0</v>
      </c>
    </row>
    <row r="209" spans="1:47">
      <c r="A209" s="38" t="str">
        <f t="shared" si="143"/>
        <v>Custom-</v>
      </c>
      <c r="B209" s="38" t="s">
        <v>263</v>
      </c>
      <c r="C209" s="38" t="str">
        <f t="shared" ref="C209:C213" si="147">C208</f>
        <v>CHP</v>
      </c>
      <c r="D209" s="186">
        <f>OMEsc</f>
        <v>0.02</v>
      </c>
      <c r="E209" s="325"/>
      <c r="G209" s="36" t="s">
        <v>127</v>
      </c>
      <c r="I209" s="39"/>
      <c r="K209" s="39"/>
      <c r="L209" s="43" t="str">
        <f>"["&amp;CostBaseYr&amp;" $]"</f>
        <v>[2013 $]</v>
      </c>
      <c r="N209" s="70">
        <f ca="1">IF(VLOOKUP($C209,$G$69:$J$87,4,FALSE)="Off",0,SUMIFS(OFFSET(Assumptions!$I$90,0,MATCH($A209,Configurations,0)-1,COUNT(Assumptions!$A$90:$A$183),1),Assumptions!$D$90:$D$183,$B209&amp;$C209))</f>
        <v>0</v>
      </c>
      <c r="O209" s="313"/>
      <c r="P209" s="323"/>
      <c r="Q209" s="313"/>
      <c r="R209" s="50">
        <f t="shared" ca="1" si="145"/>
        <v>0</v>
      </c>
      <c r="S209" s="50">
        <f t="shared" ca="1" si="146"/>
        <v>0</v>
      </c>
      <c r="T209" s="50">
        <f t="shared" ca="1" si="146"/>
        <v>0</v>
      </c>
      <c r="U209" s="50">
        <f t="shared" ca="1" si="146"/>
        <v>0</v>
      </c>
      <c r="V209" s="50">
        <f t="shared" ca="1" si="146"/>
        <v>0</v>
      </c>
      <c r="W209" s="50">
        <f t="shared" ca="1" si="146"/>
        <v>0</v>
      </c>
      <c r="X209" s="50">
        <f t="shared" ca="1" si="146"/>
        <v>0</v>
      </c>
      <c r="Y209" s="50">
        <f t="shared" ca="1" si="146"/>
        <v>0</v>
      </c>
      <c r="Z209" s="50">
        <f t="shared" ca="1" si="146"/>
        <v>0</v>
      </c>
      <c r="AA209" s="50">
        <f t="shared" ca="1" si="146"/>
        <v>0</v>
      </c>
      <c r="AB209" s="50">
        <f t="shared" ca="1" si="146"/>
        <v>0</v>
      </c>
      <c r="AC209" s="50">
        <f t="shared" ca="1" si="146"/>
        <v>0</v>
      </c>
      <c r="AD209" s="50">
        <f t="shared" ca="1" si="146"/>
        <v>0</v>
      </c>
      <c r="AE209" s="50">
        <f t="shared" ca="1" si="146"/>
        <v>0</v>
      </c>
      <c r="AF209" s="50">
        <f t="shared" ca="1" si="146"/>
        <v>0</v>
      </c>
      <c r="AG209" s="50">
        <f t="shared" ca="1" si="146"/>
        <v>0</v>
      </c>
      <c r="AH209" s="50">
        <f t="shared" ca="1" si="146"/>
        <v>0</v>
      </c>
      <c r="AI209" s="50">
        <f t="shared" ca="1" si="146"/>
        <v>0</v>
      </c>
      <c r="AJ209" s="50">
        <f t="shared" ca="1" si="146"/>
        <v>0</v>
      </c>
      <c r="AK209" s="50">
        <f t="shared" ca="1" si="146"/>
        <v>0</v>
      </c>
      <c r="AL209" s="50">
        <f t="shared" si="146"/>
        <v>0</v>
      </c>
      <c r="AM209" s="50">
        <f t="shared" si="146"/>
        <v>0</v>
      </c>
      <c r="AN209" s="50">
        <f t="shared" si="146"/>
        <v>0</v>
      </c>
      <c r="AO209" s="50">
        <f t="shared" si="146"/>
        <v>0</v>
      </c>
      <c r="AP209" s="50">
        <f t="shared" si="146"/>
        <v>0</v>
      </c>
      <c r="AQ209" s="50">
        <f t="shared" si="146"/>
        <v>0</v>
      </c>
      <c r="AR209" s="50">
        <f t="shared" si="146"/>
        <v>0</v>
      </c>
      <c r="AS209" s="50">
        <f t="shared" si="146"/>
        <v>0</v>
      </c>
      <c r="AT209" s="50">
        <f t="shared" si="146"/>
        <v>0</v>
      </c>
      <c r="AU209" s="50">
        <f t="shared" si="146"/>
        <v>0</v>
      </c>
    </row>
    <row r="210" spans="1:47">
      <c r="A210" s="38" t="str">
        <f t="shared" si="143"/>
        <v>Custom-</v>
      </c>
      <c r="B210" s="38" t="s">
        <v>277</v>
      </c>
      <c r="C210" s="38" t="str">
        <f t="shared" si="147"/>
        <v>CHP</v>
      </c>
      <c r="D210" s="186">
        <f>OMEsc</f>
        <v>0.02</v>
      </c>
      <c r="E210" s="325"/>
      <c r="G210" s="36" t="s">
        <v>276</v>
      </c>
      <c r="I210" s="39"/>
      <c r="K210" s="39"/>
      <c r="L210" s="43" t="str">
        <f>"["&amp;CostBaseYr&amp;" $]"</f>
        <v>[2013 $]</v>
      </c>
      <c r="N210" s="70">
        <f ca="1">IF(VLOOKUP($C210,$G$69:$J$87,4,FALSE)="Off",0,SUMIFS(OFFSET(Assumptions!$I$90,0,MATCH($A210,Configurations,0)-1,COUNT(Assumptions!$A$90:$A$183),1),Assumptions!$D$90:$D$183,$B210&amp;$C210))</f>
        <v>0</v>
      </c>
      <c r="O210" s="313"/>
      <c r="P210" s="323"/>
      <c r="Q210" s="313"/>
      <c r="R210" s="50">
        <f t="shared" ca="1" si="145"/>
        <v>0</v>
      </c>
      <c r="S210" s="50">
        <f t="shared" ca="1" si="146"/>
        <v>0</v>
      </c>
      <c r="T210" s="50">
        <f t="shared" ca="1" si="146"/>
        <v>0</v>
      </c>
      <c r="U210" s="50">
        <f t="shared" ca="1" si="146"/>
        <v>0</v>
      </c>
      <c r="V210" s="50">
        <f t="shared" ca="1" si="146"/>
        <v>0</v>
      </c>
      <c r="W210" s="50">
        <f t="shared" ca="1" si="146"/>
        <v>0</v>
      </c>
      <c r="X210" s="50">
        <f t="shared" ca="1" si="146"/>
        <v>0</v>
      </c>
      <c r="Y210" s="50">
        <f t="shared" ca="1" si="146"/>
        <v>0</v>
      </c>
      <c r="Z210" s="50">
        <f t="shared" ca="1" si="146"/>
        <v>0</v>
      </c>
      <c r="AA210" s="50">
        <f t="shared" ca="1" si="146"/>
        <v>0</v>
      </c>
      <c r="AB210" s="50">
        <f t="shared" ca="1" si="146"/>
        <v>0</v>
      </c>
      <c r="AC210" s="50">
        <f t="shared" ca="1" si="146"/>
        <v>0</v>
      </c>
      <c r="AD210" s="50">
        <f t="shared" ca="1" si="146"/>
        <v>0</v>
      </c>
      <c r="AE210" s="50">
        <f t="shared" ca="1" si="146"/>
        <v>0</v>
      </c>
      <c r="AF210" s="50">
        <f t="shared" ca="1" si="146"/>
        <v>0</v>
      </c>
      <c r="AG210" s="50">
        <f t="shared" ca="1" si="146"/>
        <v>0</v>
      </c>
      <c r="AH210" s="50">
        <f t="shared" ca="1" si="146"/>
        <v>0</v>
      </c>
      <c r="AI210" s="50">
        <f t="shared" ca="1" si="146"/>
        <v>0</v>
      </c>
      <c r="AJ210" s="50">
        <f t="shared" ca="1" si="146"/>
        <v>0</v>
      </c>
      <c r="AK210" s="50">
        <f t="shared" ca="1" si="146"/>
        <v>0</v>
      </c>
      <c r="AL210" s="50">
        <f t="shared" si="146"/>
        <v>0</v>
      </c>
      <c r="AM210" s="50">
        <f t="shared" si="146"/>
        <v>0</v>
      </c>
      <c r="AN210" s="50">
        <f t="shared" si="146"/>
        <v>0</v>
      </c>
      <c r="AO210" s="50">
        <f t="shared" si="146"/>
        <v>0</v>
      </c>
      <c r="AP210" s="50">
        <f t="shared" si="146"/>
        <v>0</v>
      </c>
      <c r="AQ210" s="50">
        <f t="shared" si="146"/>
        <v>0</v>
      </c>
      <c r="AR210" s="50">
        <f t="shared" si="146"/>
        <v>0</v>
      </c>
      <c r="AS210" s="50">
        <f t="shared" si="146"/>
        <v>0</v>
      </c>
      <c r="AT210" s="50">
        <f t="shared" si="146"/>
        <v>0</v>
      </c>
      <c r="AU210" s="50">
        <f t="shared" si="146"/>
        <v>0</v>
      </c>
    </row>
    <row r="211" spans="1:47">
      <c r="A211" s="38" t="str">
        <f t="shared" si="143"/>
        <v>Custom-</v>
      </c>
      <c r="B211" s="38" t="s">
        <v>274</v>
      </c>
      <c r="C211" s="38" t="str">
        <f t="shared" si="147"/>
        <v>CHP</v>
      </c>
      <c r="D211" s="186"/>
      <c r="E211" s="325"/>
      <c r="G211" s="36" t="s">
        <v>16</v>
      </c>
      <c r="I211" s="39"/>
      <c r="K211" s="39"/>
      <c r="L211" s="43" t="s">
        <v>275</v>
      </c>
      <c r="N211" s="70">
        <f ca="1">IF(VLOOKUP($C211,$G$69:$J$87,4,FALSE)="Off",0,SUMIFS(OFFSET(Assumptions!$I$90,0,MATCH($A211,Configurations,0)-1,COUNT(Assumptions!$A$90:$A$183),1),Assumptions!$D$90:$D$183,$B211&amp;$C211))</f>
        <v>0</v>
      </c>
      <c r="O211" s="313"/>
      <c r="P211" s="323"/>
      <c r="Q211" s="313"/>
      <c r="R211" s="50">
        <f t="shared" ref="R211:AU211" ca="1" si="148">IF(OR(R$99&lt;InServiceYr,R$99&gt;(InServiceYr+analysis_period-1)),0,IF($P211=0,$N211,$P211)*R$505)</f>
        <v>0</v>
      </c>
      <c r="S211" s="50">
        <f t="shared" ca="1" si="148"/>
        <v>0</v>
      </c>
      <c r="T211" s="50">
        <f t="shared" ca="1" si="148"/>
        <v>0</v>
      </c>
      <c r="U211" s="50">
        <f t="shared" ca="1" si="148"/>
        <v>0</v>
      </c>
      <c r="V211" s="50">
        <f t="shared" ca="1" si="148"/>
        <v>0</v>
      </c>
      <c r="W211" s="50">
        <f t="shared" ca="1" si="148"/>
        <v>0</v>
      </c>
      <c r="X211" s="50">
        <f t="shared" ca="1" si="148"/>
        <v>0</v>
      </c>
      <c r="Y211" s="50">
        <f t="shared" ca="1" si="148"/>
        <v>0</v>
      </c>
      <c r="Z211" s="50">
        <f t="shared" ca="1" si="148"/>
        <v>0</v>
      </c>
      <c r="AA211" s="50">
        <f t="shared" ca="1" si="148"/>
        <v>0</v>
      </c>
      <c r="AB211" s="50">
        <f t="shared" ca="1" si="148"/>
        <v>0</v>
      </c>
      <c r="AC211" s="50">
        <f t="shared" ca="1" si="148"/>
        <v>0</v>
      </c>
      <c r="AD211" s="50">
        <f t="shared" ca="1" si="148"/>
        <v>0</v>
      </c>
      <c r="AE211" s="50">
        <f t="shared" ca="1" si="148"/>
        <v>0</v>
      </c>
      <c r="AF211" s="50">
        <f t="shared" ca="1" si="148"/>
        <v>0</v>
      </c>
      <c r="AG211" s="50">
        <f t="shared" ca="1" si="148"/>
        <v>0</v>
      </c>
      <c r="AH211" s="50">
        <f t="shared" ca="1" si="148"/>
        <v>0</v>
      </c>
      <c r="AI211" s="50">
        <f t="shared" ca="1" si="148"/>
        <v>0</v>
      </c>
      <c r="AJ211" s="50">
        <f t="shared" ca="1" si="148"/>
        <v>0</v>
      </c>
      <c r="AK211" s="50">
        <f t="shared" ca="1" si="148"/>
        <v>0</v>
      </c>
      <c r="AL211" s="50">
        <f t="shared" si="148"/>
        <v>0</v>
      </c>
      <c r="AM211" s="50">
        <f t="shared" si="148"/>
        <v>0</v>
      </c>
      <c r="AN211" s="50">
        <f t="shared" si="148"/>
        <v>0</v>
      </c>
      <c r="AO211" s="50">
        <f t="shared" si="148"/>
        <v>0</v>
      </c>
      <c r="AP211" s="50">
        <f t="shared" si="148"/>
        <v>0</v>
      </c>
      <c r="AQ211" s="50">
        <f t="shared" si="148"/>
        <v>0</v>
      </c>
      <c r="AR211" s="50">
        <f t="shared" si="148"/>
        <v>0</v>
      </c>
      <c r="AS211" s="50">
        <f t="shared" si="148"/>
        <v>0</v>
      </c>
      <c r="AT211" s="50">
        <f t="shared" si="148"/>
        <v>0</v>
      </c>
      <c r="AU211" s="50">
        <f t="shared" si="148"/>
        <v>0</v>
      </c>
    </row>
    <row r="212" spans="1:47">
      <c r="A212" s="38" t="str">
        <f t="shared" si="143"/>
        <v>Custom-</v>
      </c>
      <c r="B212" s="38" t="s">
        <v>257</v>
      </c>
      <c r="C212" s="38" t="str">
        <f t="shared" si="147"/>
        <v>CHP</v>
      </c>
      <c r="D212" s="186"/>
      <c r="E212" s="325"/>
      <c r="G212" s="36" t="s">
        <v>284</v>
      </c>
      <c r="I212" s="39"/>
      <c r="K212" s="39"/>
      <c r="L212" s="43" t="s">
        <v>293</v>
      </c>
      <c r="N212" s="70">
        <f ca="1">IF(VLOOKUP($C212,$G$69:$J$87,4,FALSE)="Off",0,SUMIFS(OFFSET(Assumptions!$I$90,0,MATCH($A212,Configurations,0)-1,COUNT(Assumptions!$A$90:$A$183),1),Assumptions!$D$90:$D$183,$B212&amp;$C212))</f>
        <v>0</v>
      </c>
      <c r="O212" s="313"/>
      <c r="P212" s="323"/>
      <c r="Q212" s="313"/>
      <c r="R212" s="50">
        <f t="shared" ref="R212:AU212" ca="1" si="149">IF(OR(R$99&lt;InServiceYr,R$99&gt;(InServiceYr+analysis_period-1)),0,IF($P212=0,$N212,$P212)*R$501)</f>
        <v>0</v>
      </c>
      <c r="S212" s="50">
        <f t="shared" ca="1" si="149"/>
        <v>0</v>
      </c>
      <c r="T212" s="50">
        <f t="shared" ca="1" si="149"/>
        <v>0</v>
      </c>
      <c r="U212" s="50">
        <f t="shared" ca="1" si="149"/>
        <v>0</v>
      </c>
      <c r="V212" s="50">
        <f t="shared" ca="1" si="149"/>
        <v>0</v>
      </c>
      <c r="W212" s="50">
        <f t="shared" ca="1" si="149"/>
        <v>0</v>
      </c>
      <c r="X212" s="50">
        <f t="shared" ca="1" si="149"/>
        <v>0</v>
      </c>
      <c r="Y212" s="50">
        <f t="shared" ca="1" si="149"/>
        <v>0</v>
      </c>
      <c r="Z212" s="50">
        <f t="shared" ca="1" si="149"/>
        <v>0</v>
      </c>
      <c r="AA212" s="50">
        <f t="shared" ca="1" si="149"/>
        <v>0</v>
      </c>
      <c r="AB212" s="50">
        <f t="shared" ca="1" si="149"/>
        <v>0</v>
      </c>
      <c r="AC212" s="50">
        <f t="shared" ca="1" si="149"/>
        <v>0</v>
      </c>
      <c r="AD212" s="50">
        <f t="shared" ca="1" si="149"/>
        <v>0</v>
      </c>
      <c r="AE212" s="50">
        <f t="shared" ca="1" si="149"/>
        <v>0</v>
      </c>
      <c r="AF212" s="50">
        <f t="shared" ca="1" si="149"/>
        <v>0</v>
      </c>
      <c r="AG212" s="50">
        <f t="shared" ca="1" si="149"/>
        <v>0</v>
      </c>
      <c r="AH212" s="50">
        <f t="shared" ca="1" si="149"/>
        <v>0</v>
      </c>
      <c r="AI212" s="50">
        <f t="shared" ca="1" si="149"/>
        <v>0</v>
      </c>
      <c r="AJ212" s="50">
        <f t="shared" ca="1" si="149"/>
        <v>0</v>
      </c>
      <c r="AK212" s="50">
        <f t="shared" ca="1" si="149"/>
        <v>0</v>
      </c>
      <c r="AL212" s="50">
        <f t="shared" si="149"/>
        <v>0</v>
      </c>
      <c r="AM212" s="50">
        <f t="shared" si="149"/>
        <v>0</v>
      </c>
      <c r="AN212" s="50">
        <f t="shared" si="149"/>
        <v>0</v>
      </c>
      <c r="AO212" s="50">
        <f t="shared" si="149"/>
        <v>0</v>
      </c>
      <c r="AP212" s="50">
        <f t="shared" si="149"/>
        <v>0</v>
      </c>
      <c r="AQ212" s="50">
        <f t="shared" si="149"/>
        <v>0</v>
      </c>
      <c r="AR212" s="50">
        <f t="shared" si="149"/>
        <v>0</v>
      </c>
      <c r="AS212" s="50">
        <f t="shared" si="149"/>
        <v>0</v>
      </c>
      <c r="AT212" s="50">
        <f t="shared" si="149"/>
        <v>0</v>
      </c>
      <c r="AU212" s="50">
        <f t="shared" si="149"/>
        <v>0</v>
      </c>
    </row>
    <row r="213" spans="1:47">
      <c r="A213" s="38" t="str">
        <f t="shared" si="143"/>
        <v>Custom-</v>
      </c>
      <c r="B213" s="38" t="s">
        <v>864</v>
      </c>
      <c r="C213" s="38" t="str">
        <f t="shared" si="147"/>
        <v>CHP</v>
      </c>
      <c r="D213" s="186">
        <f>GHGEsc</f>
        <v>0.02</v>
      </c>
      <c r="E213" s="325"/>
      <c r="G213" s="36" t="s">
        <v>865</v>
      </c>
      <c r="I213" s="39"/>
      <c r="K213" s="39"/>
      <c r="L213" s="43" t="s">
        <v>866</v>
      </c>
      <c r="N213" s="70">
        <f ca="1">IF(VLOOKUP($C213,$G$69:$J$87,4,FALSE)="Off",0,SUMIFS(OFFSET(Assumptions!$I$90,0,MATCH($A213,Configurations,0)-1,COUNT(Assumptions!$A$90:$A$183),1),Assumptions!$D$90:$D$183,$B213&amp;$C213))</f>
        <v>0</v>
      </c>
      <c r="O213" s="313"/>
      <c r="P213" s="323"/>
      <c r="Q213" s="313"/>
      <c r="R213" s="50">
        <f t="shared" ref="R213:AU213" ca="1" si="150">IF(OR(R$99&lt;InServiceYr,R$99&gt;(InServiceYr+analysis_period-1)),0,IF($P213=0,$N213,$P213)*R$513)</f>
        <v>0</v>
      </c>
      <c r="S213" s="50">
        <f t="shared" ca="1" si="150"/>
        <v>0</v>
      </c>
      <c r="T213" s="50">
        <f t="shared" ca="1" si="150"/>
        <v>0</v>
      </c>
      <c r="U213" s="50">
        <f t="shared" ca="1" si="150"/>
        <v>0</v>
      </c>
      <c r="V213" s="50">
        <f t="shared" ca="1" si="150"/>
        <v>0</v>
      </c>
      <c r="W213" s="50">
        <f t="shared" ca="1" si="150"/>
        <v>0</v>
      </c>
      <c r="X213" s="50">
        <f t="shared" ca="1" si="150"/>
        <v>0</v>
      </c>
      <c r="Y213" s="50">
        <f t="shared" ca="1" si="150"/>
        <v>0</v>
      </c>
      <c r="Z213" s="50">
        <f t="shared" ca="1" si="150"/>
        <v>0</v>
      </c>
      <c r="AA213" s="50">
        <f t="shared" ca="1" si="150"/>
        <v>0</v>
      </c>
      <c r="AB213" s="50">
        <f t="shared" ca="1" si="150"/>
        <v>0</v>
      </c>
      <c r="AC213" s="50">
        <f t="shared" ca="1" si="150"/>
        <v>0</v>
      </c>
      <c r="AD213" s="50">
        <f t="shared" ca="1" si="150"/>
        <v>0</v>
      </c>
      <c r="AE213" s="50">
        <f t="shared" ca="1" si="150"/>
        <v>0</v>
      </c>
      <c r="AF213" s="50">
        <f t="shared" ca="1" si="150"/>
        <v>0</v>
      </c>
      <c r="AG213" s="50">
        <f t="shared" ca="1" si="150"/>
        <v>0</v>
      </c>
      <c r="AH213" s="50">
        <f t="shared" ca="1" si="150"/>
        <v>0</v>
      </c>
      <c r="AI213" s="50">
        <f t="shared" ca="1" si="150"/>
        <v>0</v>
      </c>
      <c r="AJ213" s="50">
        <f t="shared" ca="1" si="150"/>
        <v>0</v>
      </c>
      <c r="AK213" s="50">
        <f t="shared" ca="1" si="150"/>
        <v>0</v>
      </c>
      <c r="AL213" s="50">
        <f t="shared" si="150"/>
        <v>0</v>
      </c>
      <c r="AM213" s="50">
        <f t="shared" si="150"/>
        <v>0</v>
      </c>
      <c r="AN213" s="50">
        <f t="shared" si="150"/>
        <v>0</v>
      </c>
      <c r="AO213" s="50">
        <f t="shared" si="150"/>
        <v>0</v>
      </c>
      <c r="AP213" s="50">
        <f t="shared" si="150"/>
        <v>0</v>
      </c>
      <c r="AQ213" s="50">
        <f t="shared" si="150"/>
        <v>0</v>
      </c>
      <c r="AR213" s="50">
        <f t="shared" si="150"/>
        <v>0</v>
      </c>
      <c r="AS213" s="50">
        <f t="shared" si="150"/>
        <v>0</v>
      </c>
      <c r="AT213" s="50">
        <f t="shared" si="150"/>
        <v>0</v>
      </c>
      <c r="AU213" s="50">
        <f t="shared" si="150"/>
        <v>0</v>
      </c>
    </row>
    <row r="214" spans="1:47">
      <c r="A214" s="38" t="str">
        <f t="shared" si="143"/>
        <v>Custom-</v>
      </c>
      <c r="B214" s="38" t="s">
        <v>273</v>
      </c>
      <c r="C214" s="38" t="str">
        <f>C212</f>
        <v>CHP</v>
      </c>
      <c r="D214" s="186">
        <f>LaborEsc</f>
        <v>0.02</v>
      </c>
      <c r="E214" s="325"/>
      <c r="G214" s="36" t="s">
        <v>291</v>
      </c>
      <c r="I214" s="39"/>
      <c r="K214" s="39"/>
      <c r="L214" s="43" t="str">
        <f>"["&amp;CostBaseYr&amp;" $]"</f>
        <v>[2013 $]</v>
      </c>
      <c r="N214" s="70">
        <f ca="1">IF(VLOOKUP($C214,$G$69:$J$87,4,FALSE)="Off",0,SUMIFS(OFFSET(Assumptions!$I$90,0,MATCH($A214,Configurations,0)-1,COUNT(Assumptions!$A$90:$A$183),1),Assumptions!$D$90:$D$183,$B214&amp;$C214))</f>
        <v>0</v>
      </c>
      <c r="O214" s="313"/>
      <c r="P214" s="323"/>
      <c r="Q214" s="313"/>
      <c r="R214" s="50">
        <f t="shared" ref="R214:AU214" ca="1" si="151">IF(OR(R$99&lt;InServiceYr,R$99&gt;(InServiceYr+analysis_period-1)),0,IF($P214=0,$N214,$P214)*(1+$D214)^(R$99-CostBaseYr))*R$509</f>
        <v>0</v>
      </c>
      <c r="S214" s="50">
        <f t="shared" ca="1" si="151"/>
        <v>0</v>
      </c>
      <c r="T214" s="50">
        <f t="shared" ca="1" si="151"/>
        <v>0</v>
      </c>
      <c r="U214" s="50">
        <f t="shared" ca="1" si="151"/>
        <v>0</v>
      </c>
      <c r="V214" s="50">
        <f t="shared" ca="1" si="151"/>
        <v>0</v>
      </c>
      <c r="W214" s="50">
        <f t="shared" ca="1" si="151"/>
        <v>0</v>
      </c>
      <c r="X214" s="50">
        <f t="shared" ca="1" si="151"/>
        <v>0</v>
      </c>
      <c r="Y214" s="50">
        <f t="shared" ca="1" si="151"/>
        <v>0</v>
      </c>
      <c r="Z214" s="50">
        <f t="shared" ca="1" si="151"/>
        <v>0</v>
      </c>
      <c r="AA214" s="50">
        <f t="shared" ca="1" si="151"/>
        <v>0</v>
      </c>
      <c r="AB214" s="50">
        <f t="shared" ca="1" si="151"/>
        <v>0</v>
      </c>
      <c r="AC214" s="50">
        <f t="shared" ca="1" si="151"/>
        <v>0</v>
      </c>
      <c r="AD214" s="50">
        <f t="shared" ca="1" si="151"/>
        <v>0</v>
      </c>
      <c r="AE214" s="50">
        <f t="shared" ca="1" si="151"/>
        <v>0</v>
      </c>
      <c r="AF214" s="50">
        <f t="shared" ca="1" si="151"/>
        <v>0</v>
      </c>
      <c r="AG214" s="50">
        <f t="shared" ca="1" si="151"/>
        <v>0</v>
      </c>
      <c r="AH214" s="50">
        <f t="shared" ca="1" si="151"/>
        <v>0</v>
      </c>
      <c r="AI214" s="50">
        <f t="shared" ca="1" si="151"/>
        <v>0</v>
      </c>
      <c r="AJ214" s="50">
        <f t="shared" ca="1" si="151"/>
        <v>0</v>
      </c>
      <c r="AK214" s="50">
        <f t="shared" ca="1" si="151"/>
        <v>0</v>
      </c>
      <c r="AL214" s="50">
        <f t="shared" si="151"/>
        <v>0</v>
      </c>
      <c r="AM214" s="50">
        <f t="shared" si="151"/>
        <v>0</v>
      </c>
      <c r="AN214" s="50">
        <f t="shared" si="151"/>
        <v>0</v>
      </c>
      <c r="AO214" s="50">
        <f t="shared" si="151"/>
        <v>0</v>
      </c>
      <c r="AP214" s="50">
        <f t="shared" si="151"/>
        <v>0</v>
      </c>
      <c r="AQ214" s="50">
        <f t="shared" si="151"/>
        <v>0</v>
      </c>
      <c r="AR214" s="50">
        <f t="shared" si="151"/>
        <v>0</v>
      </c>
      <c r="AS214" s="50">
        <f t="shared" si="151"/>
        <v>0</v>
      </c>
      <c r="AT214" s="50">
        <f t="shared" si="151"/>
        <v>0</v>
      </c>
      <c r="AU214" s="50">
        <f t="shared" si="151"/>
        <v>0</v>
      </c>
    </row>
    <row r="215" spans="1:47">
      <c r="D215" s="186"/>
      <c r="E215" s="325"/>
      <c r="G215" s="39" t="s">
        <v>304</v>
      </c>
      <c r="I215" s="39"/>
      <c r="K215" s="39"/>
      <c r="L215" s="43"/>
      <c r="N215" s="70"/>
      <c r="O215" s="313"/>
      <c r="P215" s="70"/>
      <c r="Q215" s="313"/>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row>
    <row r="216" spans="1:47">
      <c r="A216" s="38" t="str">
        <f>$J$4&amp;"-"</f>
        <v>Custom-</v>
      </c>
      <c r="B216" s="38" t="s">
        <v>265</v>
      </c>
      <c r="C216" s="38" t="str">
        <f>C207</f>
        <v>CHP</v>
      </c>
      <c r="D216" s="186"/>
      <c r="E216" s="325"/>
      <c r="G216" s="36" t="s">
        <v>108</v>
      </c>
      <c r="I216" s="39"/>
      <c r="K216" s="39"/>
      <c r="L216" s="43" t="s">
        <v>293</v>
      </c>
      <c r="N216" s="70">
        <f ca="1">IF(VLOOKUP($C216,$G$69:$J$87,4,FALSE)="Off",0,SUMIFS(OFFSET(Assumptions!$I$90,0,MATCH($A216,Configurations,0)-1,COUNT(Assumptions!$A$90:$A$183),1),Assumptions!$D$90:$D$183,$B216&amp;$C216))</f>
        <v>0</v>
      </c>
      <c r="O216" s="313"/>
      <c r="P216" s="323"/>
      <c r="Q216" s="313"/>
      <c r="R216" s="50">
        <f t="shared" ref="R216:AU216" ca="1" si="152">IF(OR(R$99&lt;InServiceYr,R$99&gt;(InServiceYr+analysis_period-1)),0,IF($P216=0,$N216,$P216)*R$501)</f>
        <v>0</v>
      </c>
      <c r="S216" s="50">
        <f t="shared" ca="1" si="152"/>
        <v>0</v>
      </c>
      <c r="T216" s="50">
        <f t="shared" ca="1" si="152"/>
        <v>0</v>
      </c>
      <c r="U216" s="50">
        <f t="shared" ca="1" si="152"/>
        <v>0</v>
      </c>
      <c r="V216" s="50">
        <f t="shared" ca="1" si="152"/>
        <v>0</v>
      </c>
      <c r="W216" s="50">
        <f t="shared" ca="1" si="152"/>
        <v>0</v>
      </c>
      <c r="X216" s="50">
        <f t="shared" ca="1" si="152"/>
        <v>0</v>
      </c>
      <c r="Y216" s="50">
        <f t="shared" ca="1" si="152"/>
        <v>0</v>
      </c>
      <c r="Z216" s="50">
        <f t="shared" ca="1" si="152"/>
        <v>0</v>
      </c>
      <c r="AA216" s="50">
        <f t="shared" ca="1" si="152"/>
        <v>0</v>
      </c>
      <c r="AB216" s="50">
        <f t="shared" ca="1" si="152"/>
        <v>0</v>
      </c>
      <c r="AC216" s="50">
        <f t="shared" ca="1" si="152"/>
        <v>0</v>
      </c>
      <c r="AD216" s="50">
        <f t="shared" ca="1" si="152"/>
        <v>0</v>
      </c>
      <c r="AE216" s="50">
        <f t="shared" ca="1" si="152"/>
        <v>0</v>
      </c>
      <c r="AF216" s="50">
        <f t="shared" ca="1" si="152"/>
        <v>0</v>
      </c>
      <c r="AG216" s="50">
        <f t="shared" ca="1" si="152"/>
        <v>0</v>
      </c>
      <c r="AH216" s="50">
        <f t="shared" ca="1" si="152"/>
        <v>0</v>
      </c>
      <c r="AI216" s="50">
        <f t="shared" ca="1" si="152"/>
        <v>0</v>
      </c>
      <c r="AJ216" s="50">
        <f t="shared" ca="1" si="152"/>
        <v>0</v>
      </c>
      <c r="AK216" s="50">
        <f t="shared" ca="1" si="152"/>
        <v>0</v>
      </c>
      <c r="AL216" s="50">
        <f t="shared" si="152"/>
        <v>0</v>
      </c>
      <c r="AM216" s="50">
        <f t="shared" si="152"/>
        <v>0</v>
      </c>
      <c r="AN216" s="50">
        <f t="shared" si="152"/>
        <v>0</v>
      </c>
      <c r="AO216" s="50">
        <f t="shared" si="152"/>
        <v>0</v>
      </c>
      <c r="AP216" s="50">
        <f t="shared" si="152"/>
        <v>0</v>
      </c>
      <c r="AQ216" s="50">
        <f t="shared" si="152"/>
        <v>0</v>
      </c>
      <c r="AR216" s="50">
        <f t="shared" si="152"/>
        <v>0</v>
      </c>
      <c r="AS216" s="50">
        <f t="shared" si="152"/>
        <v>0</v>
      </c>
      <c r="AT216" s="50">
        <f t="shared" si="152"/>
        <v>0</v>
      </c>
      <c r="AU216" s="50">
        <f t="shared" si="152"/>
        <v>0</v>
      </c>
    </row>
    <row r="217" spans="1:47">
      <c r="A217" s="38" t="str">
        <f>$J$4&amp;"-"</f>
        <v>Custom-</v>
      </c>
      <c r="B217" s="38" t="s">
        <v>289</v>
      </c>
      <c r="C217" s="38" t="str">
        <f>C207</f>
        <v>CHP</v>
      </c>
      <c r="D217" s="186">
        <f>LaborEsc</f>
        <v>0.02</v>
      </c>
      <c r="E217" s="325"/>
      <c r="G217" s="36" t="s">
        <v>292</v>
      </c>
      <c r="I217" s="39"/>
      <c r="K217" s="39"/>
      <c r="L217" s="43" t="str">
        <f>"["&amp;CostBaseYr&amp;" $]"</f>
        <v>[2013 $]</v>
      </c>
      <c r="N217" s="70">
        <f ca="1">IF(VLOOKUP($C217,$G$69:$J$87,4,FALSE)="Off",0,SUMIFS(OFFSET(Assumptions!$I$90,0,MATCH($A217,Configurations,0)-1,COUNT(Assumptions!$A$90:$A$183),1),Assumptions!$D$90:$D$183,$B217&amp;$C217))</f>
        <v>0</v>
      </c>
      <c r="O217" s="313"/>
      <c r="P217" s="323"/>
      <c r="Q217" s="313"/>
      <c r="R217" s="50">
        <f t="shared" ref="R217:AU217" ca="1" si="153">IF(OR(R$99&lt;InServiceYr,R$99&gt;(InServiceYr+analysis_period-1)),0,IF($P217=0,$N217,$P217)*(1+$D217)^(R$99-CostBaseYr))</f>
        <v>0</v>
      </c>
      <c r="S217" s="50">
        <f t="shared" ca="1" si="153"/>
        <v>0</v>
      </c>
      <c r="T217" s="50">
        <f t="shared" ca="1" si="153"/>
        <v>0</v>
      </c>
      <c r="U217" s="50">
        <f t="shared" ca="1" si="153"/>
        <v>0</v>
      </c>
      <c r="V217" s="50">
        <f t="shared" ca="1" si="153"/>
        <v>0</v>
      </c>
      <c r="W217" s="50">
        <f t="shared" ca="1" si="153"/>
        <v>0</v>
      </c>
      <c r="X217" s="50">
        <f t="shared" ca="1" si="153"/>
        <v>0</v>
      </c>
      <c r="Y217" s="50">
        <f t="shared" ca="1" si="153"/>
        <v>0</v>
      </c>
      <c r="Z217" s="50">
        <f t="shared" ca="1" si="153"/>
        <v>0</v>
      </c>
      <c r="AA217" s="50">
        <f t="shared" ca="1" si="153"/>
        <v>0</v>
      </c>
      <c r="AB217" s="50">
        <f t="shared" ca="1" si="153"/>
        <v>0</v>
      </c>
      <c r="AC217" s="50">
        <f t="shared" ca="1" si="153"/>
        <v>0</v>
      </c>
      <c r="AD217" s="50">
        <f t="shared" ca="1" si="153"/>
        <v>0</v>
      </c>
      <c r="AE217" s="50">
        <f t="shared" ca="1" si="153"/>
        <v>0</v>
      </c>
      <c r="AF217" s="50">
        <f t="shared" ca="1" si="153"/>
        <v>0</v>
      </c>
      <c r="AG217" s="50">
        <f t="shared" ca="1" si="153"/>
        <v>0</v>
      </c>
      <c r="AH217" s="50">
        <f t="shared" ca="1" si="153"/>
        <v>0</v>
      </c>
      <c r="AI217" s="50">
        <f t="shared" ca="1" si="153"/>
        <v>0</v>
      </c>
      <c r="AJ217" s="50">
        <f t="shared" ca="1" si="153"/>
        <v>0</v>
      </c>
      <c r="AK217" s="50">
        <f t="shared" ca="1" si="153"/>
        <v>0</v>
      </c>
      <c r="AL217" s="50">
        <f t="shared" si="153"/>
        <v>0</v>
      </c>
      <c r="AM217" s="50">
        <f t="shared" si="153"/>
        <v>0</v>
      </c>
      <c r="AN217" s="50">
        <f t="shared" si="153"/>
        <v>0</v>
      </c>
      <c r="AO217" s="50">
        <f t="shared" si="153"/>
        <v>0</v>
      </c>
      <c r="AP217" s="50">
        <f t="shared" si="153"/>
        <v>0</v>
      </c>
      <c r="AQ217" s="50">
        <f t="shared" si="153"/>
        <v>0</v>
      </c>
      <c r="AR217" s="50">
        <f t="shared" si="153"/>
        <v>0</v>
      </c>
      <c r="AS217" s="50">
        <f t="shared" si="153"/>
        <v>0</v>
      </c>
      <c r="AT217" s="50">
        <f t="shared" si="153"/>
        <v>0</v>
      </c>
      <c r="AU217" s="50">
        <f t="shared" si="153"/>
        <v>0</v>
      </c>
    </row>
    <row r="218" spans="1:47" s="60" customFormat="1">
      <c r="D218" s="187"/>
      <c r="E218" s="325"/>
      <c r="G218" s="39" t="s">
        <v>305</v>
      </c>
      <c r="I218" s="39"/>
      <c r="K218" s="39"/>
      <c r="L218" s="174"/>
      <c r="N218" s="188"/>
      <c r="O218" s="314"/>
      <c r="P218" s="185"/>
      <c r="Q218" s="314"/>
      <c r="R218" s="185">
        <f ca="1">SUM(R207:R214)-SUM(R216:R217)</f>
        <v>0</v>
      </c>
      <c r="S218" s="185">
        <f t="shared" ref="S218:AU218" ca="1" si="154">SUM(S207:S214)-SUM(S216:S217)</f>
        <v>0</v>
      </c>
      <c r="T218" s="185">
        <f t="shared" ca="1" si="154"/>
        <v>0</v>
      </c>
      <c r="U218" s="185">
        <f t="shared" ca="1" si="154"/>
        <v>0</v>
      </c>
      <c r="V218" s="185">
        <f t="shared" ca="1" si="154"/>
        <v>0</v>
      </c>
      <c r="W218" s="185">
        <f t="shared" ca="1" si="154"/>
        <v>0</v>
      </c>
      <c r="X218" s="185">
        <f t="shared" ca="1" si="154"/>
        <v>0</v>
      </c>
      <c r="Y218" s="185">
        <f t="shared" ca="1" si="154"/>
        <v>0</v>
      </c>
      <c r="Z218" s="185">
        <f t="shared" ca="1" si="154"/>
        <v>0</v>
      </c>
      <c r="AA218" s="185">
        <f t="shared" ca="1" si="154"/>
        <v>0</v>
      </c>
      <c r="AB218" s="185">
        <f t="shared" ca="1" si="154"/>
        <v>0</v>
      </c>
      <c r="AC218" s="185">
        <f t="shared" ca="1" si="154"/>
        <v>0</v>
      </c>
      <c r="AD218" s="185">
        <f t="shared" ca="1" si="154"/>
        <v>0</v>
      </c>
      <c r="AE218" s="185">
        <f t="shared" ca="1" si="154"/>
        <v>0</v>
      </c>
      <c r="AF218" s="185">
        <f t="shared" ca="1" si="154"/>
        <v>0</v>
      </c>
      <c r="AG218" s="185">
        <f t="shared" ca="1" si="154"/>
        <v>0</v>
      </c>
      <c r="AH218" s="185">
        <f t="shared" ca="1" si="154"/>
        <v>0</v>
      </c>
      <c r="AI218" s="185">
        <f t="shared" ca="1" si="154"/>
        <v>0</v>
      </c>
      <c r="AJ218" s="185">
        <f t="shared" ca="1" si="154"/>
        <v>0</v>
      </c>
      <c r="AK218" s="185">
        <f t="shared" ca="1" si="154"/>
        <v>0</v>
      </c>
      <c r="AL218" s="185">
        <f t="shared" si="154"/>
        <v>0</v>
      </c>
      <c r="AM218" s="185">
        <f t="shared" si="154"/>
        <v>0</v>
      </c>
      <c r="AN218" s="185">
        <f t="shared" si="154"/>
        <v>0</v>
      </c>
      <c r="AO218" s="185">
        <f t="shared" si="154"/>
        <v>0</v>
      </c>
      <c r="AP218" s="185">
        <f t="shared" si="154"/>
        <v>0</v>
      </c>
      <c r="AQ218" s="185">
        <f t="shared" si="154"/>
        <v>0</v>
      </c>
      <c r="AR218" s="185">
        <f t="shared" si="154"/>
        <v>0</v>
      </c>
      <c r="AS218" s="185">
        <f t="shared" si="154"/>
        <v>0</v>
      </c>
      <c r="AT218" s="185">
        <f t="shared" si="154"/>
        <v>0</v>
      </c>
      <c r="AU218" s="185">
        <f t="shared" si="154"/>
        <v>0</v>
      </c>
    </row>
    <row r="219" spans="1:47">
      <c r="E219" s="36"/>
      <c r="G219" s="39"/>
      <c r="H219" s="39"/>
      <c r="I219" s="39"/>
      <c r="J219" s="39"/>
      <c r="K219" s="39"/>
    </row>
    <row r="220" spans="1:47">
      <c r="E220" s="327"/>
      <c r="F220" s="28"/>
      <c r="G220" s="324" t="str">
        <f>C222&amp;" Capital Costs"</f>
        <v>Dewatering Capital Costs</v>
      </c>
      <c r="H220" s="324"/>
      <c r="I220" s="324"/>
      <c r="J220" s="324"/>
      <c r="K220" s="324"/>
      <c r="L220" s="405" t="s">
        <v>79</v>
      </c>
      <c r="M220" s="256"/>
      <c r="N220" s="325" t="s">
        <v>490</v>
      </c>
      <c r="O220" s="311"/>
      <c r="P220" s="325" t="s">
        <v>491</v>
      </c>
      <c r="Q220" s="310"/>
      <c r="R220" s="325">
        <f>R$8</f>
        <v>2014</v>
      </c>
      <c r="S220" s="325">
        <f t="shared" ref="S220:AU220" si="155">S$8</f>
        <v>2015</v>
      </c>
      <c r="T220" s="325">
        <f t="shared" si="155"/>
        <v>2016</v>
      </c>
      <c r="U220" s="325">
        <f t="shared" si="155"/>
        <v>2017</v>
      </c>
      <c r="V220" s="325">
        <f t="shared" si="155"/>
        <v>2018</v>
      </c>
      <c r="W220" s="325">
        <f t="shared" si="155"/>
        <v>2019</v>
      </c>
      <c r="X220" s="325">
        <f t="shared" si="155"/>
        <v>2020</v>
      </c>
      <c r="Y220" s="325">
        <f t="shared" si="155"/>
        <v>2021</v>
      </c>
      <c r="Z220" s="325">
        <f t="shared" si="155"/>
        <v>2022</v>
      </c>
      <c r="AA220" s="325">
        <f t="shared" si="155"/>
        <v>2023</v>
      </c>
      <c r="AB220" s="325">
        <f t="shared" si="155"/>
        <v>2024</v>
      </c>
      <c r="AC220" s="325">
        <f t="shared" si="155"/>
        <v>2025</v>
      </c>
      <c r="AD220" s="325">
        <f t="shared" si="155"/>
        <v>2026</v>
      </c>
      <c r="AE220" s="325">
        <f t="shared" si="155"/>
        <v>2027</v>
      </c>
      <c r="AF220" s="325">
        <f t="shared" si="155"/>
        <v>2028</v>
      </c>
      <c r="AG220" s="325">
        <f t="shared" si="155"/>
        <v>2029</v>
      </c>
      <c r="AH220" s="325">
        <f t="shared" si="155"/>
        <v>2030</v>
      </c>
      <c r="AI220" s="325">
        <f t="shared" si="155"/>
        <v>2031</v>
      </c>
      <c r="AJ220" s="325">
        <f t="shared" si="155"/>
        <v>2032</v>
      </c>
      <c r="AK220" s="325">
        <f t="shared" si="155"/>
        <v>2033</v>
      </c>
      <c r="AL220" s="325">
        <f t="shared" si="155"/>
        <v>2034</v>
      </c>
      <c r="AM220" s="325">
        <f t="shared" si="155"/>
        <v>2035</v>
      </c>
      <c r="AN220" s="325">
        <f t="shared" si="155"/>
        <v>2036</v>
      </c>
      <c r="AO220" s="325">
        <f t="shared" si="155"/>
        <v>2037</v>
      </c>
      <c r="AP220" s="325">
        <f t="shared" si="155"/>
        <v>2038</v>
      </c>
      <c r="AQ220" s="325">
        <f t="shared" si="155"/>
        <v>2039</v>
      </c>
      <c r="AR220" s="325">
        <f t="shared" si="155"/>
        <v>2040</v>
      </c>
      <c r="AS220" s="325">
        <f t="shared" si="155"/>
        <v>2041</v>
      </c>
      <c r="AT220" s="325">
        <f t="shared" si="155"/>
        <v>2042</v>
      </c>
      <c r="AU220" s="325">
        <f t="shared" si="155"/>
        <v>2043</v>
      </c>
    </row>
    <row r="221" spans="1:47">
      <c r="E221" s="325"/>
      <c r="G221" s="39"/>
      <c r="H221" s="39"/>
      <c r="I221" s="39"/>
      <c r="J221" s="39"/>
      <c r="K221" s="39"/>
    </row>
    <row r="222" spans="1:47">
      <c r="A222" s="38" t="str">
        <f>$J$4&amp;"-"</f>
        <v>Custom-</v>
      </c>
      <c r="B222" s="38" t="s">
        <v>306</v>
      </c>
      <c r="C222" s="38" t="s">
        <v>319</v>
      </c>
      <c r="D222" s="186">
        <f>CapExEsc</f>
        <v>0.03</v>
      </c>
      <c r="E222" s="325"/>
      <c r="G222" s="36" t="s">
        <v>8</v>
      </c>
      <c r="H222" s="39"/>
      <c r="I222" s="39"/>
      <c r="J222" s="70"/>
      <c r="K222" s="39"/>
      <c r="L222" s="43" t="str">
        <f>"["&amp;CostBaseYr&amp;" $]"</f>
        <v>[2013 $]</v>
      </c>
      <c r="N222" s="52">
        <f ca="1">IF(VLOOKUP($C222,$G$69:$J$87,4,FALSE)="Off", 0,SUMIFS(OFFSET(Assumptions!$I$65,0,MATCH($A222,Configurations,0)-1,COUNT(Assumptions!$A$65:$A$84),1),Assumptions!$E$65:$E$84,$C222))</f>
        <v>0</v>
      </c>
      <c r="O222" s="52"/>
      <c r="P222" s="322"/>
      <c r="Q222" s="52"/>
      <c r="R222" s="52">
        <f t="shared" ref="R222:AU222" ca="1" si="156">R223*IF($P222=0,$N222,$P222)*(1+$D222)^(R$8-CostBaseYr)</f>
        <v>0</v>
      </c>
      <c r="S222" s="52">
        <f t="shared" ca="1" si="156"/>
        <v>0</v>
      </c>
      <c r="T222" s="52">
        <f t="shared" ca="1" si="156"/>
        <v>0</v>
      </c>
      <c r="U222" s="52">
        <f t="shared" ca="1" si="156"/>
        <v>0</v>
      </c>
      <c r="V222" s="52">
        <f t="shared" ca="1" si="156"/>
        <v>0</v>
      </c>
      <c r="W222" s="52">
        <f t="shared" ca="1" si="156"/>
        <v>0</v>
      </c>
      <c r="X222" s="52">
        <f t="shared" ca="1" si="156"/>
        <v>0</v>
      </c>
      <c r="Y222" s="52">
        <f t="shared" ca="1" si="156"/>
        <v>0</v>
      </c>
      <c r="Z222" s="52">
        <f t="shared" ca="1" si="156"/>
        <v>0</v>
      </c>
      <c r="AA222" s="52">
        <f t="shared" ca="1" si="156"/>
        <v>0</v>
      </c>
      <c r="AB222" s="52">
        <f t="shared" ca="1" si="156"/>
        <v>0</v>
      </c>
      <c r="AC222" s="52">
        <f t="shared" ca="1" si="156"/>
        <v>0</v>
      </c>
      <c r="AD222" s="52">
        <f t="shared" ca="1" si="156"/>
        <v>0</v>
      </c>
      <c r="AE222" s="52">
        <f t="shared" ca="1" si="156"/>
        <v>0</v>
      </c>
      <c r="AF222" s="52">
        <f t="shared" ca="1" si="156"/>
        <v>0</v>
      </c>
      <c r="AG222" s="52">
        <f t="shared" ca="1" si="156"/>
        <v>0</v>
      </c>
      <c r="AH222" s="52">
        <f t="shared" ca="1" si="156"/>
        <v>0</v>
      </c>
      <c r="AI222" s="52">
        <f t="shared" ca="1" si="156"/>
        <v>0</v>
      </c>
      <c r="AJ222" s="52">
        <f t="shared" ca="1" si="156"/>
        <v>0</v>
      </c>
      <c r="AK222" s="52">
        <f t="shared" ca="1" si="156"/>
        <v>0</v>
      </c>
      <c r="AL222" s="52">
        <f t="shared" ca="1" si="156"/>
        <v>0</v>
      </c>
      <c r="AM222" s="52">
        <f t="shared" ca="1" si="156"/>
        <v>0</v>
      </c>
      <c r="AN222" s="52">
        <f t="shared" ca="1" si="156"/>
        <v>0</v>
      </c>
      <c r="AO222" s="52">
        <f t="shared" ca="1" si="156"/>
        <v>0</v>
      </c>
      <c r="AP222" s="52">
        <f t="shared" ca="1" si="156"/>
        <v>0</v>
      </c>
      <c r="AQ222" s="52">
        <f t="shared" ca="1" si="156"/>
        <v>0</v>
      </c>
      <c r="AR222" s="52">
        <f t="shared" ca="1" si="156"/>
        <v>0</v>
      </c>
      <c r="AS222" s="52">
        <f t="shared" ca="1" si="156"/>
        <v>0</v>
      </c>
      <c r="AT222" s="52">
        <f t="shared" ca="1" si="156"/>
        <v>0</v>
      </c>
      <c r="AU222" s="52">
        <f t="shared" ca="1" si="156"/>
        <v>0</v>
      </c>
    </row>
    <row r="223" spans="1:47">
      <c r="E223" s="325"/>
      <c r="G223" s="36" t="s">
        <v>10</v>
      </c>
      <c r="H223" s="39"/>
      <c r="I223" s="39"/>
      <c r="J223" s="39"/>
      <c r="K223" s="39"/>
      <c r="L223" s="43"/>
      <c r="R223" s="54">
        <f>Assumptions!M$60</f>
        <v>1</v>
      </c>
      <c r="S223" s="54">
        <f>Assumptions!N$60</f>
        <v>0</v>
      </c>
      <c r="T223" s="54">
        <f>Assumptions!O$60</f>
        <v>0</v>
      </c>
      <c r="U223" s="54">
        <f>Assumptions!P$60</f>
        <v>0</v>
      </c>
      <c r="V223" s="54">
        <f>Assumptions!Q$60</f>
        <v>0</v>
      </c>
      <c r="W223" s="54">
        <f>Assumptions!R$60</f>
        <v>0</v>
      </c>
      <c r="X223" s="54">
        <f>Assumptions!S$60</f>
        <v>0</v>
      </c>
      <c r="Y223" s="54">
        <f>Assumptions!T$60</f>
        <v>0</v>
      </c>
      <c r="Z223" s="54">
        <f>Assumptions!U$60</f>
        <v>0</v>
      </c>
      <c r="AA223" s="54">
        <f>Assumptions!V$60</f>
        <v>0</v>
      </c>
      <c r="AB223" s="54">
        <f>Assumptions!W$60</f>
        <v>0</v>
      </c>
      <c r="AC223" s="54">
        <f>Assumptions!X$60</f>
        <v>0</v>
      </c>
      <c r="AD223" s="54">
        <f>Assumptions!Y$60</f>
        <v>0</v>
      </c>
      <c r="AE223" s="54">
        <f>Assumptions!Z$60</f>
        <v>0</v>
      </c>
      <c r="AF223" s="54">
        <f>Assumptions!AA$60</f>
        <v>0</v>
      </c>
      <c r="AG223" s="54">
        <f>Assumptions!AB$60</f>
        <v>0</v>
      </c>
      <c r="AH223" s="54">
        <f>Assumptions!AC$60</f>
        <v>0</v>
      </c>
      <c r="AI223" s="54">
        <f>Assumptions!AD$60</f>
        <v>0</v>
      </c>
      <c r="AJ223" s="54">
        <f>Assumptions!AE$60</f>
        <v>0</v>
      </c>
      <c r="AK223" s="54">
        <f>Assumptions!AF$60</f>
        <v>0</v>
      </c>
      <c r="AL223" s="54">
        <f>Assumptions!AG$60</f>
        <v>0</v>
      </c>
      <c r="AM223" s="54">
        <f>Assumptions!AH$60</f>
        <v>0</v>
      </c>
      <c r="AN223" s="54">
        <f>Assumptions!AI$60</f>
        <v>0</v>
      </c>
      <c r="AO223" s="54">
        <f>Assumptions!AJ$60</f>
        <v>0</v>
      </c>
      <c r="AP223" s="54">
        <f>Assumptions!AK$60</f>
        <v>0</v>
      </c>
      <c r="AQ223" s="54">
        <f>Assumptions!AL$60</f>
        <v>0</v>
      </c>
      <c r="AR223" s="54">
        <f>Assumptions!AM$60</f>
        <v>0</v>
      </c>
      <c r="AS223" s="54">
        <f>Assumptions!AN$60</f>
        <v>0</v>
      </c>
      <c r="AT223" s="54">
        <f>Assumptions!AO$60</f>
        <v>0</v>
      </c>
      <c r="AU223" s="54">
        <f>Assumptions!AP$60</f>
        <v>0</v>
      </c>
    </row>
    <row r="224" spans="1:47">
      <c r="E224" s="326"/>
      <c r="G224" s="39"/>
      <c r="H224" s="39"/>
      <c r="I224" s="39"/>
      <c r="J224" s="39"/>
      <c r="K224" s="39"/>
    </row>
    <row r="225" spans="1:47">
      <c r="E225" s="327"/>
      <c r="F225" s="28"/>
      <c r="G225" s="324" t="str">
        <f>C222&amp;" O&amp;M"</f>
        <v>Dewatering O&amp;M</v>
      </c>
      <c r="H225" s="324"/>
      <c r="I225" s="324"/>
      <c r="J225" s="324"/>
      <c r="K225" s="324"/>
      <c r="L225" s="405" t="s">
        <v>79</v>
      </c>
      <c r="M225" s="256"/>
      <c r="N225" s="325" t="s">
        <v>490</v>
      </c>
      <c r="O225" s="311"/>
      <c r="P225" s="325" t="s">
        <v>491</v>
      </c>
      <c r="Q225" s="310"/>
      <c r="R225" s="325">
        <f>R$8</f>
        <v>2014</v>
      </c>
      <c r="S225" s="325">
        <f t="shared" ref="S225:AU225" si="157">S$8</f>
        <v>2015</v>
      </c>
      <c r="T225" s="325">
        <f t="shared" si="157"/>
        <v>2016</v>
      </c>
      <c r="U225" s="325">
        <f t="shared" si="157"/>
        <v>2017</v>
      </c>
      <c r="V225" s="325">
        <f t="shared" si="157"/>
        <v>2018</v>
      </c>
      <c r="W225" s="325">
        <f t="shared" si="157"/>
        <v>2019</v>
      </c>
      <c r="X225" s="325">
        <f t="shared" si="157"/>
        <v>2020</v>
      </c>
      <c r="Y225" s="325">
        <f t="shared" si="157"/>
        <v>2021</v>
      </c>
      <c r="Z225" s="325">
        <f t="shared" si="157"/>
        <v>2022</v>
      </c>
      <c r="AA225" s="325">
        <f t="shared" si="157"/>
        <v>2023</v>
      </c>
      <c r="AB225" s="325">
        <f t="shared" si="157"/>
        <v>2024</v>
      </c>
      <c r="AC225" s="325">
        <f t="shared" si="157"/>
        <v>2025</v>
      </c>
      <c r="AD225" s="325">
        <f t="shared" si="157"/>
        <v>2026</v>
      </c>
      <c r="AE225" s="325">
        <f t="shared" si="157"/>
        <v>2027</v>
      </c>
      <c r="AF225" s="325">
        <f t="shared" si="157"/>
        <v>2028</v>
      </c>
      <c r="AG225" s="325">
        <f t="shared" si="157"/>
        <v>2029</v>
      </c>
      <c r="AH225" s="325">
        <f t="shared" si="157"/>
        <v>2030</v>
      </c>
      <c r="AI225" s="325">
        <f t="shared" si="157"/>
        <v>2031</v>
      </c>
      <c r="AJ225" s="325">
        <f t="shared" si="157"/>
        <v>2032</v>
      </c>
      <c r="AK225" s="325">
        <f t="shared" si="157"/>
        <v>2033</v>
      </c>
      <c r="AL225" s="325">
        <f t="shared" si="157"/>
        <v>2034</v>
      </c>
      <c r="AM225" s="325">
        <f t="shared" si="157"/>
        <v>2035</v>
      </c>
      <c r="AN225" s="325">
        <f t="shared" si="157"/>
        <v>2036</v>
      </c>
      <c r="AO225" s="325">
        <f t="shared" si="157"/>
        <v>2037</v>
      </c>
      <c r="AP225" s="325">
        <f t="shared" si="157"/>
        <v>2038</v>
      </c>
      <c r="AQ225" s="325">
        <f t="shared" si="157"/>
        <v>2039</v>
      </c>
      <c r="AR225" s="325">
        <f t="shared" si="157"/>
        <v>2040</v>
      </c>
      <c r="AS225" s="325">
        <f t="shared" si="157"/>
        <v>2041</v>
      </c>
      <c r="AT225" s="325">
        <f t="shared" si="157"/>
        <v>2042</v>
      </c>
      <c r="AU225" s="325">
        <f t="shared" si="157"/>
        <v>2043</v>
      </c>
    </row>
    <row r="226" spans="1:47">
      <c r="E226" s="325"/>
      <c r="G226" s="39"/>
      <c r="H226" s="39"/>
      <c r="I226" s="39"/>
      <c r="J226" s="39"/>
      <c r="K226" s="39"/>
    </row>
    <row r="227" spans="1:47">
      <c r="E227" s="325"/>
      <c r="G227" s="39" t="s">
        <v>23</v>
      </c>
      <c r="H227" s="39"/>
      <c r="I227" s="39"/>
      <c r="J227" s="39"/>
      <c r="K227" s="39"/>
    </row>
    <row r="228" spans="1:47">
      <c r="A228" s="38" t="str">
        <f t="shared" ref="A228:A235" si="158">$J$4&amp;"-"</f>
        <v>Custom-</v>
      </c>
      <c r="B228" s="38" t="s">
        <v>262</v>
      </c>
      <c r="C228" s="38" t="str">
        <f>C222</f>
        <v>Dewatering</v>
      </c>
      <c r="D228" s="186">
        <f>LaborEsc</f>
        <v>0.02</v>
      </c>
      <c r="E228" s="325"/>
      <c r="G228" s="36" t="s">
        <v>125</v>
      </c>
      <c r="I228" s="39"/>
      <c r="K228" s="39"/>
      <c r="L228" s="43" t="s">
        <v>266</v>
      </c>
      <c r="N228" s="70">
        <f ca="1">IF(VLOOKUP($C228,$G$69:$J$87,4,FALSE)="Off",0,SUMIFS(OFFSET(Assumptions!$I$90,0,MATCH($A228,Configurations,0)-1,COUNT(Assumptions!$A$90:$A$183),1),Assumptions!$D$90:$D$183,$B228&amp;$C228))</f>
        <v>0</v>
      </c>
      <c r="O228" s="313"/>
      <c r="P228" s="323"/>
      <c r="Q228" s="313"/>
      <c r="R228" s="50">
        <f t="shared" ref="R228:AU228" ca="1" si="159">IF(OR(R$99&lt;InServiceYr,R$99&gt;(InServiceYr+analysis_period-1)),0,IF($P228=0,$N228,$P228)*LaborCost*(1+$D228)^(R$99-CostBaseYr))</f>
        <v>0</v>
      </c>
      <c r="S228" s="50">
        <f t="shared" ca="1" si="159"/>
        <v>0</v>
      </c>
      <c r="T228" s="50">
        <f t="shared" ca="1" si="159"/>
        <v>0</v>
      </c>
      <c r="U228" s="50">
        <f t="shared" ca="1" si="159"/>
        <v>0</v>
      </c>
      <c r="V228" s="50">
        <f t="shared" ca="1" si="159"/>
        <v>0</v>
      </c>
      <c r="W228" s="50">
        <f t="shared" ca="1" si="159"/>
        <v>0</v>
      </c>
      <c r="X228" s="50">
        <f t="shared" ca="1" si="159"/>
        <v>0</v>
      </c>
      <c r="Y228" s="50">
        <f t="shared" ca="1" si="159"/>
        <v>0</v>
      </c>
      <c r="Z228" s="50">
        <f t="shared" ca="1" si="159"/>
        <v>0</v>
      </c>
      <c r="AA228" s="50">
        <f t="shared" ca="1" si="159"/>
        <v>0</v>
      </c>
      <c r="AB228" s="50">
        <f t="shared" ca="1" si="159"/>
        <v>0</v>
      </c>
      <c r="AC228" s="50">
        <f t="shared" ca="1" si="159"/>
        <v>0</v>
      </c>
      <c r="AD228" s="50">
        <f t="shared" ca="1" si="159"/>
        <v>0</v>
      </c>
      <c r="AE228" s="50">
        <f t="shared" ca="1" si="159"/>
        <v>0</v>
      </c>
      <c r="AF228" s="50">
        <f t="shared" ca="1" si="159"/>
        <v>0</v>
      </c>
      <c r="AG228" s="50">
        <f t="shared" ca="1" si="159"/>
        <v>0</v>
      </c>
      <c r="AH228" s="50">
        <f t="shared" ca="1" si="159"/>
        <v>0</v>
      </c>
      <c r="AI228" s="50">
        <f t="shared" ca="1" si="159"/>
        <v>0</v>
      </c>
      <c r="AJ228" s="50">
        <f t="shared" ca="1" si="159"/>
        <v>0</v>
      </c>
      <c r="AK228" s="50">
        <f t="shared" ca="1" si="159"/>
        <v>0</v>
      </c>
      <c r="AL228" s="50">
        <f t="shared" si="159"/>
        <v>0</v>
      </c>
      <c r="AM228" s="50">
        <f t="shared" si="159"/>
        <v>0</v>
      </c>
      <c r="AN228" s="50">
        <f t="shared" si="159"/>
        <v>0</v>
      </c>
      <c r="AO228" s="50">
        <f t="shared" si="159"/>
        <v>0</v>
      </c>
      <c r="AP228" s="50">
        <f t="shared" si="159"/>
        <v>0</v>
      </c>
      <c r="AQ228" s="50">
        <f t="shared" si="159"/>
        <v>0</v>
      </c>
      <c r="AR228" s="50">
        <f t="shared" si="159"/>
        <v>0</v>
      </c>
      <c r="AS228" s="50">
        <f t="shared" si="159"/>
        <v>0</v>
      </c>
      <c r="AT228" s="50">
        <f t="shared" si="159"/>
        <v>0</v>
      </c>
      <c r="AU228" s="50">
        <f t="shared" si="159"/>
        <v>0</v>
      </c>
    </row>
    <row r="229" spans="1:47">
      <c r="A229" s="38" t="str">
        <f t="shared" si="158"/>
        <v>Custom-</v>
      </c>
      <c r="B229" s="38" t="s">
        <v>270</v>
      </c>
      <c r="C229" s="38" t="str">
        <f>C228</f>
        <v>Dewatering</v>
      </c>
      <c r="D229" s="186">
        <f>OMEsc</f>
        <v>0.02</v>
      </c>
      <c r="E229" s="325"/>
      <c r="G229" s="36" t="s">
        <v>126</v>
      </c>
      <c r="I229" s="39"/>
      <c r="K229" s="39"/>
      <c r="L229" s="43" t="str">
        <f>"["&amp;CostBaseYr&amp;" $]"</f>
        <v>[2013 $]</v>
      </c>
      <c r="N229" s="70">
        <f ca="1">IF(VLOOKUP($C229,$G$69:$J$87,4,FALSE)="Off",0,SUMIFS(OFFSET(Assumptions!$I$90,0,MATCH($A229,Configurations,0)-1,COUNT(Assumptions!$A$90:$A$183),1),Assumptions!$D$90:$D$183,$B229&amp;$C229))</f>
        <v>0</v>
      </c>
      <c r="O229" s="313"/>
      <c r="P229" s="323"/>
      <c r="Q229" s="313"/>
      <c r="R229" s="50">
        <f t="shared" ref="R229:AG231" ca="1" si="160">IF(OR(R$99&lt;InServiceYr,R$99&gt;(InServiceYr+analysis_period-1)),0,IF($P229=0,$N229,$P229)*(1+$D229)^(R$99-CostBaseYr))</f>
        <v>0</v>
      </c>
      <c r="S229" s="50">
        <f t="shared" ca="1" si="160"/>
        <v>0</v>
      </c>
      <c r="T229" s="50">
        <f t="shared" ca="1" si="160"/>
        <v>0</v>
      </c>
      <c r="U229" s="50">
        <f t="shared" ca="1" si="160"/>
        <v>0</v>
      </c>
      <c r="V229" s="50">
        <f t="shared" ca="1" si="160"/>
        <v>0</v>
      </c>
      <c r="W229" s="50">
        <f t="shared" ca="1" si="160"/>
        <v>0</v>
      </c>
      <c r="X229" s="50">
        <f t="shared" ca="1" si="160"/>
        <v>0</v>
      </c>
      <c r="Y229" s="50">
        <f t="shared" ca="1" si="160"/>
        <v>0</v>
      </c>
      <c r="Z229" s="50">
        <f t="shared" ca="1" si="160"/>
        <v>0</v>
      </c>
      <c r="AA229" s="50">
        <f t="shared" ca="1" si="160"/>
        <v>0</v>
      </c>
      <c r="AB229" s="50">
        <f t="shared" ca="1" si="160"/>
        <v>0</v>
      </c>
      <c r="AC229" s="50">
        <f t="shared" ca="1" si="160"/>
        <v>0</v>
      </c>
      <c r="AD229" s="50">
        <f t="shared" ca="1" si="160"/>
        <v>0</v>
      </c>
      <c r="AE229" s="50">
        <f t="shared" ca="1" si="160"/>
        <v>0</v>
      </c>
      <c r="AF229" s="50">
        <f t="shared" ca="1" si="160"/>
        <v>0</v>
      </c>
      <c r="AG229" s="50">
        <f t="shared" ca="1" si="160"/>
        <v>0</v>
      </c>
      <c r="AH229" s="50">
        <f t="shared" ref="S229:AU231" ca="1" si="161">IF(OR(AH$99&lt;InServiceYr,AH$99&gt;(InServiceYr+analysis_period-1)),0,IF($P229=0,$N229,$P229)*(1+$D229)^(AH$99-CostBaseYr))</f>
        <v>0</v>
      </c>
      <c r="AI229" s="50">
        <f t="shared" ca="1" si="161"/>
        <v>0</v>
      </c>
      <c r="AJ229" s="50">
        <f t="shared" ca="1" si="161"/>
        <v>0</v>
      </c>
      <c r="AK229" s="50">
        <f t="shared" ca="1" si="161"/>
        <v>0</v>
      </c>
      <c r="AL229" s="50">
        <f t="shared" si="161"/>
        <v>0</v>
      </c>
      <c r="AM229" s="50">
        <f t="shared" si="161"/>
        <v>0</v>
      </c>
      <c r="AN229" s="50">
        <f t="shared" si="161"/>
        <v>0</v>
      </c>
      <c r="AO229" s="50">
        <f t="shared" si="161"/>
        <v>0</v>
      </c>
      <c r="AP229" s="50">
        <f t="shared" si="161"/>
        <v>0</v>
      </c>
      <c r="AQ229" s="50">
        <f t="shared" si="161"/>
        <v>0</v>
      </c>
      <c r="AR229" s="50">
        <f t="shared" si="161"/>
        <v>0</v>
      </c>
      <c r="AS229" s="50">
        <f t="shared" si="161"/>
        <v>0</v>
      </c>
      <c r="AT229" s="50">
        <f t="shared" si="161"/>
        <v>0</v>
      </c>
      <c r="AU229" s="50">
        <f t="shared" si="161"/>
        <v>0</v>
      </c>
    </row>
    <row r="230" spans="1:47">
      <c r="A230" s="38" t="str">
        <f t="shared" si="158"/>
        <v>Custom-</v>
      </c>
      <c r="B230" s="38" t="s">
        <v>263</v>
      </c>
      <c r="C230" s="38" t="str">
        <f t="shared" ref="C230:C234" si="162">C229</f>
        <v>Dewatering</v>
      </c>
      <c r="D230" s="186">
        <f>OMEsc</f>
        <v>0.02</v>
      </c>
      <c r="E230" s="325"/>
      <c r="G230" s="36" t="s">
        <v>127</v>
      </c>
      <c r="I230" s="39"/>
      <c r="K230" s="39"/>
      <c r="L230" s="43" t="str">
        <f>"["&amp;CostBaseYr&amp;" $]"</f>
        <v>[2013 $]</v>
      </c>
      <c r="N230" s="70">
        <f ca="1">IF(VLOOKUP($C230,$G$69:$J$87,4,FALSE)="Off",0,SUMIFS(OFFSET(Assumptions!$I$90,0,MATCH($A230,Configurations,0)-1,COUNT(Assumptions!$A$90:$A$183),1),Assumptions!$D$90:$D$183,$B230&amp;$C230))</f>
        <v>0</v>
      </c>
      <c r="O230" s="313"/>
      <c r="P230" s="323"/>
      <c r="Q230" s="313"/>
      <c r="R230" s="50">
        <f t="shared" ca="1" si="160"/>
        <v>0</v>
      </c>
      <c r="S230" s="50">
        <f t="shared" ca="1" si="161"/>
        <v>0</v>
      </c>
      <c r="T230" s="50">
        <f t="shared" ca="1" si="161"/>
        <v>0</v>
      </c>
      <c r="U230" s="50">
        <f t="shared" ca="1" si="161"/>
        <v>0</v>
      </c>
      <c r="V230" s="50">
        <f t="shared" ca="1" si="161"/>
        <v>0</v>
      </c>
      <c r="W230" s="50">
        <f t="shared" ca="1" si="161"/>
        <v>0</v>
      </c>
      <c r="X230" s="50">
        <f t="shared" ca="1" si="161"/>
        <v>0</v>
      </c>
      <c r="Y230" s="50">
        <f t="shared" ca="1" si="161"/>
        <v>0</v>
      </c>
      <c r="Z230" s="50">
        <f t="shared" ca="1" si="161"/>
        <v>0</v>
      </c>
      <c r="AA230" s="50">
        <f t="shared" ca="1" si="161"/>
        <v>0</v>
      </c>
      <c r="AB230" s="50">
        <f t="shared" ca="1" si="161"/>
        <v>0</v>
      </c>
      <c r="AC230" s="50">
        <f t="shared" ca="1" si="161"/>
        <v>0</v>
      </c>
      <c r="AD230" s="50">
        <f t="shared" ca="1" si="161"/>
        <v>0</v>
      </c>
      <c r="AE230" s="50">
        <f t="shared" ca="1" si="161"/>
        <v>0</v>
      </c>
      <c r="AF230" s="50">
        <f t="shared" ca="1" si="161"/>
        <v>0</v>
      </c>
      <c r="AG230" s="50">
        <f t="shared" ca="1" si="161"/>
        <v>0</v>
      </c>
      <c r="AH230" s="50">
        <f t="shared" ca="1" si="161"/>
        <v>0</v>
      </c>
      <c r="AI230" s="50">
        <f t="shared" ca="1" si="161"/>
        <v>0</v>
      </c>
      <c r="AJ230" s="50">
        <f t="shared" ca="1" si="161"/>
        <v>0</v>
      </c>
      <c r="AK230" s="50">
        <f t="shared" ca="1" si="161"/>
        <v>0</v>
      </c>
      <c r="AL230" s="50">
        <f t="shared" si="161"/>
        <v>0</v>
      </c>
      <c r="AM230" s="50">
        <f t="shared" si="161"/>
        <v>0</v>
      </c>
      <c r="AN230" s="50">
        <f t="shared" si="161"/>
        <v>0</v>
      </c>
      <c r="AO230" s="50">
        <f t="shared" si="161"/>
        <v>0</v>
      </c>
      <c r="AP230" s="50">
        <f t="shared" si="161"/>
        <v>0</v>
      </c>
      <c r="AQ230" s="50">
        <f t="shared" si="161"/>
        <v>0</v>
      </c>
      <c r="AR230" s="50">
        <f t="shared" si="161"/>
        <v>0</v>
      </c>
      <c r="AS230" s="50">
        <f t="shared" si="161"/>
        <v>0</v>
      </c>
      <c r="AT230" s="50">
        <f t="shared" si="161"/>
        <v>0</v>
      </c>
      <c r="AU230" s="50">
        <f t="shared" si="161"/>
        <v>0</v>
      </c>
    </row>
    <row r="231" spans="1:47">
      <c r="A231" s="38" t="str">
        <f t="shared" si="158"/>
        <v>Custom-</v>
      </c>
      <c r="B231" s="38" t="s">
        <v>277</v>
      </c>
      <c r="C231" s="38" t="str">
        <f t="shared" si="162"/>
        <v>Dewatering</v>
      </c>
      <c r="D231" s="186">
        <f>OMEsc</f>
        <v>0.02</v>
      </c>
      <c r="E231" s="325"/>
      <c r="G231" s="36" t="s">
        <v>276</v>
      </c>
      <c r="I231" s="39"/>
      <c r="K231" s="39"/>
      <c r="L231" s="43" t="str">
        <f>"["&amp;CostBaseYr&amp;" $]"</f>
        <v>[2013 $]</v>
      </c>
      <c r="N231" s="70">
        <f ca="1">IF(VLOOKUP($C231,$G$69:$J$87,4,FALSE)="Off",0,SUMIFS(OFFSET(Assumptions!$I$90,0,MATCH($A231,Configurations,0)-1,COUNT(Assumptions!$A$90:$A$183),1),Assumptions!$D$90:$D$183,$B231&amp;$C231))</f>
        <v>0</v>
      </c>
      <c r="O231" s="313"/>
      <c r="P231" s="323"/>
      <c r="Q231" s="313"/>
      <c r="R231" s="50">
        <f t="shared" ca="1" si="160"/>
        <v>0</v>
      </c>
      <c r="S231" s="50">
        <f t="shared" ca="1" si="161"/>
        <v>0</v>
      </c>
      <c r="T231" s="50">
        <f t="shared" ca="1" si="161"/>
        <v>0</v>
      </c>
      <c r="U231" s="50">
        <f t="shared" ca="1" si="161"/>
        <v>0</v>
      </c>
      <c r="V231" s="50">
        <f t="shared" ca="1" si="161"/>
        <v>0</v>
      </c>
      <c r="W231" s="50">
        <f t="shared" ca="1" si="161"/>
        <v>0</v>
      </c>
      <c r="X231" s="50">
        <f t="shared" ca="1" si="161"/>
        <v>0</v>
      </c>
      <c r="Y231" s="50">
        <f t="shared" ca="1" si="161"/>
        <v>0</v>
      </c>
      <c r="Z231" s="50">
        <f t="shared" ca="1" si="161"/>
        <v>0</v>
      </c>
      <c r="AA231" s="50">
        <f t="shared" ca="1" si="161"/>
        <v>0</v>
      </c>
      <c r="AB231" s="50">
        <f t="shared" ca="1" si="161"/>
        <v>0</v>
      </c>
      <c r="AC231" s="50">
        <f t="shared" ca="1" si="161"/>
        <v>0</v>
      </c>
      <c r="AD231" s="50">
        <f t="shared" ca="1" si="161"/>
        <v>0</v>
      </c>
      <c r="AE231" s="50">
        <f t="shared" ca="1" si="161"/>
        <v>0</v>
      </c>
      <c r="AF231" s="50">
        <f t="shared" ca="1" si="161"/>
        <v>0</v>
      </c>
      <c r="AG231" s="50">
        <f t="shared" ca="1" si="161"/>
        <v>0</v>
      </c>
      <c r="AH231" s="50">
        <f t="shared" ca="1" si="161"/>
        <v>0</v>
      </c>
      <c r="AI231" s="50">
        <f t="shared" ca="1" si="161"/>
        <v>0</v>
      </c>
      <c r="AJ231" s="50">
        <f t="shared" ca="1" si="161"/>
        <v>0</v>
      </c>
      <c r="AK231" s="50">
        <f t="shared" ca="1" si="161"/>
        <v>0</v>
      </c>
      <c r="AL231" s="50">
        <f t="shared" si="161"/>
        <v>0</v>
      </c>
      <c r="AM231" s="50">
        <f t="shared" si="161"/>
        <v>0</v>
      </c>
      <c r="AN231" s="50">
        <f t="shared" si="161"/>
        <v>0</v>
      </c>
      <c r="AO231" s="50">
        <f t="shared" si="161"/>
        <v>0</v>
      </c>
      <c r="AP231" s="50">
        <f t="shared" si="161"/>
        <v>0</v>
      </c>
      <c r="AQ231" s="50">
        <f t="shared" si="161"/>
        <v>0</v>
      </c>
      <c r="AR231" s="50">
        <f t="shared" si="161"/>
        <v>0</v>
      </c>
      <c r="AS231" s="50">
        <f t="shared" si="161"/>
        <v>0</v>
      </c>
      <c r="AT231" s="50">
        <f t="shared" si="161"/>
        <v>0</v>
      </c>
      <c r="AU231" s="50">
        <f t="shared" si="161"/>
        <v>0</v>
      </c>
    </row>
    <row r="232" spans="1:47">
      <c r="A232" s="38" t="str">
        <f t="shared" si="158"/>
        <v>Custom-</v>
      </c>
      <c r="B232" s="38" t="s">
        <v>274</v>
      </c>
      <c r="C232" s="38" t="str">
        <f t="shared" si="162"/>
        <v>Dewatering</v>
      </c>
      <c r="D232" s="186"/>
      <c r="E232" s="325"/>
      <c r="G232" s="36" t="s">
        <v>16</v>
      </c>
      <c r="I232" s="39"/>
      <c r="K232" s="39"/>
      <c r="L232" s="43" t="s">
        <v>275</v>
      </c>
      <c r="N232" s="70">
        <f ca="1">IF(VLOOKUP($C232,$G$69:$J$87,4,FALSE)="Off",0,SUMIFS(OFFSET(Assumptions!$I$90,0,MATCH($A232,Configurations,0)-1,COUNT(Assumptions!$A$90:$A$183),1),Assumptions!$D$90:$D$183,$B232&amp;$C232))</f>
        <v>0</v>
      </c>
      <c r="O232" s="313"/>
      <c r="P232" s="323"/>
      <c r="Q232" s="313"/>
      <c r="R232" s="50">
        <f t="shared" ref="R232:AU232" ca="1" si="163">IF(OR(R$99&lt;InServiceYr,R$99&gt;(InServiceYr+analysis_period-1)),0,IF($P232=0,$N232,$P232)*R$505)</f>
        <v>0</v>
      </c>
      <c r="S232" s="50">
        <f t="shared" ca="1" si="163"/>
        <v>0</v>
      </c>
      <c r="T232" s="50">
        <f t="shared" ca="1" si="163"/>
        <v>0</v>
      </c>
      <c r="U232" s="50">
        <f t="shared" ca="1" si="163"/>
        <v>0</v>
      </c>
      <c r="V232" s="50">
        <f t="shared" ca="1" si="163"/>
        <v>0</v>
      </c>
      <c r="W232" s="50">
        <f t="shared" ca="1" si="163"/>
        <v>0</v>
      </c>
      <c r="X232" s="50">
        <f t="shared" ca="1" si="163"/>
        <v>0</v>
      </c>
      <c r="Y232" s="50">
        <f t="shared" ca="1" si="163"/>
        <v>0</v>
      </c>
      <c r="Z232" s="50">
        <f t="shared" ca="1" si="163"/>
        <v>0</v>
      </c>
      <c r="AA232" s="50">
        <f t="shared" ca="1" si="163"/>
        <v>0</v>
      </c>
      <c r="AB232" s="50">
        <f t="shared" ca="1" si="163"/>
        <v>0</v>
      </c>
      <c r="AC232" s="50">
        <f t="shared" ca="1" si="163"/>
        <v>0</v>
      </c>
      <c r="AD232" s="50">
        <f t="shared" ca="1" si="163"/>
        <v>0</v>
      </c>
      <c r="AE232" s="50">
        <f t="shared" ca="1" si="163"/>
        <v>0</v>
      </c>
      <c r="AF232" s="50">
        <f t="shared" ca="1" si="163"/>
        <v>0</v>
      </c>
      <c r="AG232" s="50">
        <f t="shared" ca="1" si="163"/>
        <v>0</v>
      </c>
      <c r="AH232" s="50">
        <f t="shared" ca="1" si="163"/>
        <v>0</v>
      </c>
      <c r="AI232" s="50">
        <f t="shared" ca="1" si="163"/>
        <v>0</v>
      </c>
      <c r="AJ232" s="50">
        <f t="shared" ca="1" si="163"/>
        <v>0</v>
      </c>
      <c r="AK232" s="50">
        <f t="shared" ca="1" si="163"/>
        <v>0</v>
      </c>
      <c r="AL232" s="50">
        <f t="shared" si="163"/>
        <v>0</v>
      </c>
      <c r="AM232" s="50">
        <f t="shared" si="163"/>
        <v>0</v>
      </c>
      <c r="AN232" s="50">
        <f t="shared" si="163"/>
        <v>0</v>
      </c>
      <c r="AO232" s="50">
        <f t="shared" si="163"/>
        <v>0</v>
      </c>
      <c r="AP232" s="50">
        <f t="shared" si="163"/>
        <v>0</v>
      </c>
      <c r="AQ232" s="50">
        <f t="shared" si="163"/>
        <v>0</v>
      </c>
      <c r="AR232" s="50">
        <f t="shared" si="163"/>
        <v>0</v>
      </c>
      <c r="AS232" s="50">
        <f t="shared" si="163"/>
        <v>0</v>
      </c>
      <c r="AT232" s="50">
        <f t="shared" si="163"/>
        <v>0</v>
      </c>
      <c r="AU232" s="50">
        <f t="shared" si="163"/>
        <v>0</v>
      </c>
    </row>
    <row r="233" spans="1:47">
      <c r="A233" s="38" t="str">
        <f t="shared" si="158"/>
        <v>Custom-</v>
      </c>
      <c r="B233" s="38" t="s">
        <v>257</v>
      </c>
      <c r="C233" s="38" t="str">
        <f t="shared" si="162"/>
        <v>Dewatering</v>
      </c>
      <c r="D233" s="186"/>
      <c r="E233" s="325"/>
      <c r="G233" s="36" t="s">
        <v>284</v>
      </c>
      <c r="I233" s="39"/>
      <c r="K233" s="39"/>
      <c r="L233" s="43" t="s">
        <v>293</v>
      </c>
      <c r="N233" s="70">
        <f ca="1">IF(VLOOKUP($C233,$G$69:$J$87,4,FALSE)="Off",0,SUMIFS(OFFSET(Assumptions!$I$90,0,MATCH($A233,Configurations,0)-1,COUNT(Assumptions!$A$90:$A$183),1),Assumptions!$D$90:$D$183,$B233&amp;$C233))</f>
        <v>0</v>
      </c>
      <c r="O233" s="313"/>
      <c r="P233" s="323"/>
      <c r="Q233" s="313"/>
      <c r="R233" s="50">
        <f t="shared" ref="R233:AU233" ca="1" si="164">IF(OR(R$99&lt;InServiceYr,R$99&gt;(InServiceYr+analysis_period-1)),0,IF($P233=0,$N233,$P233)*R$501)</f>
        <v>0</v>
      </c>
      <c r="S233" s="50">
        <f t="shared" ca="1" si="164"/>
        <v>0</v>
      </c>
      <c r="T233" s="50">
        <f t="shared" ca="1" si="164"/>
        <v>0</v>
      </c>
      <c r="U233" s="50">
        <f t="shared" ca="1" si="164"/>
        <v>0</v>
      </c>
      <c r="V233" s="50">
        <f t="shared" ca="1" si="164"/>
        <v>0</v>
      </c>
      <c r="W233" s="50">
        <f t="shared" ca="1" si="164"/>
        <v>0</v>
      </c>
      <c r="X233" s="50">
        <f t="shared" ca="1" si="164"/>
        <v>0</v>
      </c>
      <c r="Y233" s="50">
        <f t="shared" ca="1" si="164"/>
        <v>0</v>
      </c>
      <c r="Z233" s="50">
        <f t="shared" ca="1" si="164"/>
        <v>0</v>
      </c>
      <c r="AA233" s="50">
        <f t="shared" ca="1" si="164"/>
        <v>0</v>
      </c>
      <c r="AB233" s="50">
        <f t="shared" ca="1" si="164"/>
        <v>0</v>
      </c>
      <c r="AC233" s="50">
        <f t="shared" ca="1" si="164"/>
        <v>0</v>
      </c>
      <c r="AD233" s="50">
        <f t="shared" ca="1" si="164"/>
        <v>0</v>
      </c>
      <c r="AE233" s="50">
        <f t="shared" ca="1" si="164"/>
        <v>0</v>
      </c>
      <c r="AF233" s="50">
        <f t="shared" ca="1" si="164"/>
        <v>0</v>
      </c>
      <c r="AG233" s="50">
        <f t="shared" ca="1" si="164"/>
        <v>0</v>
      </c>
      <c r="AH233" s="50">
        <f t="shared" ca="1" si="164"/>
        <v>0</v>
      </c>
      <c r="AI233" s="50">
        <f t="shared" ca="1" si="164"/>
        <v>0</v>
      </c>
      <c r="AJ233" s="50">
        <f t="shared" ca="1" si="164"/>
        <v>0</v>
      </c>
      <c r="AK233" s="50">
        <f t="shared" ca="1" si="164"/>
        <v>0</v>
      </c>
      <c r="AL233" s="50">
        <f t="shared" si="164"/>
        <v>0</v>
      </c>
      <c r="AM233" s="50">
        <f t="shared" si="164"/>
        <v>0</v>
      </c>
      <c r="AN233" s="50">
        <f t="shared" si="164"/>
        <v>0</v>
      </c>
      <c r="AO233" s="50">
        <f t="shared" si="164"/>
        <v>0</v>
      </c>
      <c r="AP233" s="50">
        <f t="shared" si="164"/>
        <v>0</v>
      </c>
      <c r="AQ233" s="50">
        <f t="shared" si="164"/>
        <v>0</v>
      </c>
      <c r="AR233" s="50">
        <f t="shared" si="164"/>
        <v>0</v>
      </c>
      <c r="AS233" s="50">
        <f t="shared" si="164"/>
        <v>0</v>
      </c>
      <c r="AT233" s="50">
        <f t="shared" si="164"/>
        <v>0</v>
      </c>
      <c r="AU233" s="50">
        <f t="shared" si="164"/>
        <v>0</v>
      </c>
    </row>
    <row r="234" spans="1:47">
      <c r="A234" s="38" t="str">
        <f t="shared" si="158"/>
        <v>Custom-</v>
      </c>
      <c r="B234" s="38" t="s">
        <v>864</v>
      </c>
      <c r="C234" s="38" t="str">
        <f t="shared" si="162"/>
        <v>Dewatering</v>
      </c>
      <c r="D234" s="186">
        <f>GHGEsc</f>
        <v>0.02</v>
      </c>
      <c r="E234" s="325"/>
      <c r="G234" s="36" t="s">
        <v>865</v>
      </c>
      <c r="I234" s="39"/>
      <c r="K234" s="39"/>
      <c r="L234" s="43" t="s">
        <v>866</v>
      </c>
      <c r="N234" s="70">
        <f ca="1">IF(VLOOKUP($C234,$G$69:$J$87,4,FALSE)="Off",0,SUMIFS(OFFSET(Assumptions!$I$90,0,MATCH($A234,Configurations,0)-1,COUNT(Assumptions!$A$90:$A$183),1),Assumptions!$D$90:$D$183,$B234&amp;$C234))</f>
        <v>0</v>
      </c>
      <c r="O234" s="313"/>
      <c r="P234" s="323"/>
      <c r="Q234" s="313"/>
      <c r="R234" s="50">
        <f t="shared" ref="R234:AU234" ca="1" si="165">IF(OR(R$99&lt;InServiceYr,R$99&gt;(InServiceYr+analysis_period-1)),0,IF($P234=0,$N234,$P234)*R$513)</f>
        <v>0</v>
      </c>
      <c r="S234" s="50">
        <f t="shared" ca="1" si="165"/>
        <v>0</v>
      </c>
      <c r="T234" s="50">
        <f t="shared" ca="1" si="165"/>
        <v>0</v>
      </c>
      <c r="U234" s="50">
        <f t="shared" ca="1" si="165"/>
        <v>0</v>
      </c>
      <c r="V234" s="50">
        <f t="shared" ca="1" si="165"/>
        <v>0</v>
      </c>
      <c r="W234" s="50">
        <f t="shared" ca="1" si="165"/>
        <v>0</v>
      </c>
      <c r="X234" s="50">
        <f t="shared" ca="1" si="165"/>
        <v>0</v>
      </c>
      <c r="Y234" s="50">
        <f t="shared" ca="1" si="165"/>
        <v>0</v>
      </c>
      <c r="Z234" s="50">
        <f t="shared" ca="1" si="165"/>
        <v>0</v>
      </c>
      <c r="AA234" s="50">
        <f t="shared" ca="1" si="165"/>
        <v>0</v>
      </c>
      <c r="AB234" s="50">
        <f t="shared" ca="1" si="165"/>
        <v>0</v>
      </c>
      <c r="AC234" s="50">
        <f t="shared" ca="1" si="165"/>
        <v>0</v>
      </c>
      <c r="AD234" s="50">
        <f t="shared" ca="1" si="165"/>
        <v>0</v>
      </c>
      <c r="AE234" s="50">
        <f t="shared" ca="1" si="165"/>
        <v>0</v>
      </c>
      <c r="AF234" s="50">
        <f t="shared" ca="1" si="165"/>
        <v>0</v>
      </c>
      <c r="AG234" s="50">
        <f t="shared" ca="1" si="165"/>
        <v>0</v>
      </c>
      <c r="AH234" s="50">
        <f t="shared" ca="1" si="165"/>
        <v>0</v>
      </c>
      <c r="AI234" s="50">
        <f t="shared" ca="1" si="165"/>
        <v>0</v>
      </c>
      <c r="AJ234" s="50">
        <f t="shared" ca="1" si="165"/>
        <v>0</v>
      </c>
      <c r="AK234" s="50">
        <f t="shared" ca="1" si="165"/>
        <v>0</v>
      </c>
      <c r="AL234" s="50">
        <f t="shared" si="165"/>
        <v>0</v>
      </c>
      <c r="AM234" s="50">
        <f t="shared" si="165"/>
        <v>0</v>
      </c>
      <c r="AN234" s="50">
        <f t="shared" si="165"/>
        <v>0</v>
      </c>
      <c r="AO234" s="50">
        <f t="shared" si="165"/>
        <v>0</v>
      </c>
      <c r="AP234" s="50">
        <f t="shared" si="165"/>
        <v>0</v>
      </c>
      <c r="AQ234" s="50">
        <f t="shared" si="165"/>
        <v>0</v>
      </c>
      <c r="AR234" s="50">
        <f t="shared" si="165"/>
        <v>0</v>
      </c>
      <c r="AS234" s="50">
        <f t="shared" si="165"/>
        <v>0</v>
      </c>
      <c r="AT234" s="50">
        <f t="shared" si="165"/>
        <v>0</v>
      </c>
      <c r="AU234" s="50">
        <f t="shared" si="165"/>
        <v>0</v>
      </c>
    </row>
    <row r="235" spans="1:47">
      <c r="A235" s="38" t="str">
        <f t="shared" si="158"/>
        <v>Custom-</v>
      </c>
      <c r="B235" s="38" t="s">
        <v>273</v>
      </c>
      <c r="C235" s="38" t="str">
        <f>C233</f>
        <v>Dewatering</v>
      </c>
      <c r="D235" s="186">
        <f>LaborEsc</f>
        <v>0.02</v>
      </c>
      <c r="E235" s="325"/>
      <c r="G235" s="36" t="s">
        <v>291</v>
      </c>
      <c r="I235" s="39"/>
      <c r="K235" s="39"/>
      <c r="L235" s="43" t="str">
        <f>"["&amp;CostBaseYr&amp;" $]"</f>
        <v>[2013 $]</v>
      </c>
      <c r="N235" s="70">
        <f ca="1">IF(VLOOKUP($C235,$G$69:$J$87,4,FALSE)="Off",0,SUMIFS(OFFSET(Assumptions!$I$90,0,MATCH($A235,Configurations,0)-1,COUNT(Assumptions!$A$90:$A$183),1),Assumptions!$D$90:$D$183,$B235&amp;$C235))</f>
        <v>0</v>
      </c>
      <c r="O235" s="313"/>
      <c r="P235" s="323"/>
      <c r="Q235" s="313"/>
      <c r="R235" s="50">
        <f t="shared" ref="R235:AU235" ca="1" si="166">IF(OR(R$99&lt;InServiceYr,R$99&gt;(InServiceYr+analysis_period-1)),0,IF($P235=0,$N235,$P235)*(1+$D235)^(R$99-CostBaseYr))*R$509</f>
        <v>0</v>
      </c>
      <c r="S235" s="50">
        <f t="shared" ca="1" si="166"/>
        <v>0</v>
      </c>
      <c r="T235" s="50">
        <f t="shared" ca="1" si="166"/>
        <v>0</v>
      </c>
      <c r="U235" s="50">
        <f t="shared" ca="1" si="166"/>
        <v>0</v>
      </c>
      <c r="V235" s="50">
        <f t="shared" ca="1" si="166"/>
        <v>0</v>
      </c>
      <c r="W235" s="50">
        <f t="shared" ca="1" si="166"/>
        <v>0</v>
      </c>
      <c r="X235" s="50">
        <f t="shared" ca="1" si="166"/>
        <v>0</v>
      </c>
      <c r="Y235" s="50">
        <f t="shared" ca="1" si="166"/>
        <v>0</v>
      </c>
      <c r="Z235" s="50">
        <f t="shared" ca="1" si="166"/>
        <v>0</v>
      </c>
      <c r="AA235" s="50">
        <f t="shared" ca="1" si="166"/>
        <v>0</v>
      </c>
      <c r="AB235" s="50">
        <f t="shared" ca="1" si="166"/>
        <v>0</v>
      </c>
      <c r="AC235" s="50">
        <f t="shared" ca="1" si="166"/>
        <v>0</v>
      </c>
      <c r="AD235" s="50">
        <f t="shared" ca="1" si="166"/>
        <v>0</v>
      </c>
      <c r="AE235" s="50">
        <f t="shared" ca="1" si="166"/>
        <v>0</v>
      </c>
      <c r="AF235" s="50">
        <f t="shared" ca="1" si="166"/>
        <v>0</v>
      </c>
      <c r="AG235" s="50">
        <f t="shared" ca="1" si="166"/>
        <v>0</v>
      </c>
      <c r="AH235" s="50">
        <f t="shared" ca="1" si="166"/>
        <v>0</v>
      </c>
      <c r="AI235" s="50">
        <f t="shared" ca="1" si="166"/>
        <v>0</v>
      </c>
      <c r="AJ235" s="50">
        <f t="shared" ca="1" si="166"/>
        <v>0</v>
      </c>
      <c r="AK235" s="50">
        <f t="shared" ca="1" si="166"/>
        <v>0</v>
      </c>
      <c r="AL235" s="50">
        <f t="shared" si="166"/>
        <v>0</v>
      </c>
      <c r="AM235" s="50">
        <f t="shared" si="166"/>
        <v>0</v>
      </c>
      <c r="AN235" s="50">
        <f t="shared" si="166"/>
        <v>0</v>
      </c>
      <c r="AO235" s="50">
        <f t="shared" si="166"/>
        <v>0</v>
      </c>
      <c r="AP235" s="50">
        <f t="shared" si="166"/>
        <v>0</v>
      </c>
      <c r="AQ235" s="50">
        <f t="shared" si="166"/>
        <v>0</v>
      </c>
      <c r="AR235" s="50">
        <f t="shared" si="166"/>
        <v>0</v>
      </c>
      <c r="AS235" s="50">
        <f t="shared" si="166"/>
        <v>0</v>
      </c>
      <c r="AT235" s="50">
        <f t="shared" si="166"/>
        <v>0</v>
      </c>
      <c r="AU235" s="50">
        <f t="shared" si="166"/>
        <v>0</v>
      </c>
    </row>
    <row r="236" spans="1:47">
      <c r="D236" s="186"/>
      <c r="E236" s="325"/>
      <c r="G236" s="39" t="s">
        <v>304</v>
      </c>
      <c r="I236" s="39"/>
      <c r="K236" s="39"/>
      <c r="L236" s="43"/>
      <c r="N236" s="70"/>
      <c r="O236" s="313"/>
      <c r="P236" s="70"/>
      <c r="Q236" s="313"/>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row>
    <row r="237" spans="1:47">
      <c r="A237" s="38" t="str">
        <f>$J$4&amp;"-"</f>
        <v>Custom-</v>
      </c>
      <c r="B237" s="38" t="s">
        <v>265</v>
      </c>
      <c r="C237" s="38" t="str">
        <f>C228</f>
        <v>Dewatering</v>
      </c>
      <c r="D237" s="186"/>
      <c r="E237" s="325"/>
      <c r="G237" s="36" t="s">
        <v>108</v>
      </c>
      <c r="I237" s="39"/>
      <c r="K237" s="39"/>
      <c r="L237" s="43" t="s">
        <v>293</v>
      </c>
      <c r="N237" s="70">
        <f ca="1">IF(VLOOKUP($C237,$G$69:$J$87,4,FALSE)="Off",0,SUMIFS(OFFSET(Assumptions!$I$90,0,MATCH($A237,Configurations,0)-1,COUNT(Assumptions!$A$90:$A$183),1),Assumptions!$D$90:$D$183,$B237&amp;$C237))</f>
        <v>0</v>
      </c>
      <c r="O237" s="313"/>
      <c r="P237" s="323"/>
      <c r="Q237" s="313"/>
      <c r="R237" s="50">
        <f t="shared" ref="R237:AU237" ca="1" si="167">IF(OR(R$99&lt;InServiceYr,R$99&gt;(InServiceYr+analysis_period-1)),0,IF($P237=0,$N237,$P237)*R$501)</f>
        <v>0</v>
      </c>
      <c r="S237" s="50">
        <f t="shared" ca="1" si="167"/>
        <v>0</v>
      </c>
      <c r="T237" s="50">
        <f t="shared" ca="1" si="167"/>
        <v>0</v>
      </c>
      <c r="U237" s="50">
        <f t="shared" ca="1" si="167"/>
        <v>0</v>
      </c>
      <c r="V237" s="50">
        <f t="shared" ca="1" si="167"/>
        <v>0</v>
      </c>
      <c r="W237" s="50">
        <f t="shared" ca="1" si="167"/>
        <v>0</v>
      </c>
      <c r="X237" s="50">
        <f t="shared" ca="1" si="167"/>
        <v>0</v>
      </c>
      <c r="Y237" s="50">
        <f t="shared" ca="1" si="167"/>
        <v>0</v>
      </c>
      <c r="Z237" s="50">
        <f t="shared" ca="1" si="167"/>
        <v>0</v>
      </c>
      <c r="AA237" s="50">
        <f t="shared" ca="1" si="167"/>
        <v>0</v>
      </c>
      <c r="AB237" s="50">
        <f t="shared" ca="1" si="167"/>
        <v>0</v>
      </c>
      <c r="AC237" s="50">
        <f t="shared" ca="1" si="167"/>
        <v>0</v>
      </c>
      <c r="AD237" s="50">
        <f t="shared" ca="1" si="167"/>
        <v>0</v>
      </c>
      <c r="AE237" s="50">
        <f t="shared" ca="1" si="167"/>
        <v>0</v>
      </c>
      <c r="AF237" s="50">
        <f t="shared" ca="1" si="167"/>
        <v>0</v>
      </c>
      <c r="AG237" s="50">
        <f t="shared" ca="1" si="167"/>
        <v>0</v>
      </c>
      <c r="AH237" s="50">
        <f t="shared" ca="1" si="167"/>
        <v>0</v>
      </c>
      <c r="AI237" s="50">
        <f t="shared" ca="1" si="167"/>
        <v>0</v>
      </c>
      <c r="AJ237" s="50">
        <f t="shared" ca="1" si="167"/>
        <v>0</v>
      </c>
      <c r="AK237" s="50">
        <f t="shared" ca="1" si="167"/>
        <v>0</v>
      </c>
      <c r="AL237" s="50">
        <f t="shared" si="167"/>
        <v>0</v>
      </c>
      <c r="AM237" s="50">
        <f t="shared" si="167"/>
        <v>0</v>
      </c>
      <c r="AN237" s="50">
        <f t="shared" si="167"/>
        <v>0</v>
      </c>
      <c r="AO237" s="50">
        <f t="shared" si="167"/>
        <v>0</v>
      </c>
      <c r="AP237" s="50">
        <f t="shared" si="167"/>
        <v>0</v>
      </c>
      <c r="AQ237" s="50">
        <f t="shared" si="167"/>
        <v>0</v>
      </c>
      <c r="AR237" s="50">
        <f t="shared" si="167"/>
        <v>0</v>
      </c>
      <c r="AS237" s="50">
        <f t="shared" si="167"/>
        <v>0</v>
      </c>
      <c r="AT237" s="50">
        <f t="shared" si="167"/>
        <v>0</v>
      </c>
      <c r="AU237" s="50">
        <f t="shared" si="167"/>
        <v>0</v>
      </c>
    </row>
    <row r="238" spans="1:47">
      <c r="A238" s="38" t="str">
        <f>$J$4&amp;"-"</f>
        <v>Custom-</v>
      </c>
      <c r="B238" s="38" t="s">
        <v>289</v>
      </c>
      <c r="C238" s="38" t="str">
        <f>C228</f>
        <v>Dewatering</v>
      </c>
      <c r="D238" s="186">
        <f>LaborEsc</f>
        <v>0.02</v>
      </c>
      <c r="E238" s="325"/>
      <c r="G238" s="36" t="s">
        <v>292</v>
      </c>
      <c r="I238" s="39"/>
      <c r="K238" s="39"/>
      <c r="L238" s="43" t="str">
        <f>"["&amp;CostBaseYr&amp;" $]"</f>
        <v>[2013 $]</v>
      </c>
      <c r="N238" s="70">
        <f ca="1">IF(VLOOKUP($C238,$G$69:$J$87,4,FALSE)="Off",0,SUMIFS(OFFSET(Assumptions!$I$90,0,MATCH($A238,Configurations,0)-1,COUNT(Assumptions!$A$90:$A$183),1),Assumptions!$D$90:$D$183,$B238&amp;$C238))</f>
        <v>0</v>
      </c>
      <c r="O238" s="313"/>
      <c r="P238" s="323"/>
      <c r="Q238" s="313"/>
      <c r="R238" s="50">
        <f t="shared" ref="R238:AU238" ca="1" si="168">IF(OR(R$99&lt;InServiceYr,R$99&gt;(InServiceYr+analysis_period-1)),0,IF($P238=0,$N238,$P238)*(1+$D238)^(R$99-CostBaseYr))</f>
        <v>0</v>
      </c>
      <c r="S238" s="50">
        <f t="shared" ca="1" si="168"/>
        <v>0</v>
      </c>
      <c r="T238" s="50">
        <f t="shared" ca="1" si="168"/>
        <v>0</v>
      </c>
      <c r="U238" s="50">
        <f t="shared" ca="1" si="168"/>
        <v>0</v>
      </c>
      <c r="V238" s="50">
        <f t="shared" ca="1" si="168"/>
        <v>0</v>
      </c>
      <c r="W238" s="50">
        <f t="shared" ca="1" si="168"/>
        <v>0</v>
      </c>
      <c r="X238" s="50">
        <f t="shared" ca="1" si="168"/>
        <v>0</v>
      </c>
      <c r="Y238" s="50">
        <f t="shared" ca="1" si="168"/>
        <v>0</v>
      </c>
      <c r="Z238" s="50">
        <f t="shared" ca="1" si="168"/>
        <v>0</v>
      </c>
      <c r="AA238" s="50">
        <f t="shared" ca="1" si="168"/>
        <v>0</v>
      </c>
      <c r="AB238" s="50">
        <f t="shared" ca="1" si="168"/>
        <v>0</v>
      </c>
      <c r="AC238" s="50">
        <f t="shared" ca="1" si="168"/>
        <v>0</v>
      </c>
      <c r="AD238" s="50">
        <f t="shared" ca="1" si="168"/>
        <v>0</v>
      </c>
      <c r="AE238" s="50">
        <f t="shared" ca="1" si="168"/>
        <v>0</v>
      </c>
      <c r="AF238" s="50">
        <f t="shared" ca="1" si="168"/>
        <v>0</v>
      </c>
      <c r="AG238" s="50">
        <f t="shared" ca="1" si="168"/>
        <v>0</v>
      </c>
      <c r="AH238" s="50">
        <f t="shared" ca="1" si="168"/>
        <v>0</v>
      </c>
      <c r="AI238" s="50">
        <f t="shared" ca="1" si="168"/>
        <v>0</v>
      </c>
      <c r="AJ238" s="50">
        <f t="shared" ca="1" si="168"/>
        <v>0</v>
      </c>
      <c r="AK238" s="50">
        <f t="shared" ca="1" si="168"/>
        <v>0</v>
      </c>
      <c r="AL238" s="50">
        <f t="shared" si="168"/>
        <v>0</v>
      </c>
      <c r="AM238" s="50">
        <f t="shared" si="168"/>
        <v>0</v>
      </c>
      <c r="AN238" s="50">
        <f t="shared" si="168"/>
        <v>0</v>
      </c>
      <c r="AO238" s="50">
        <f t="shared" si="168"/>
        <v>0</v>
      </c>
      <c r="AP238" s="50">
        <f t="shared" si="168"/>
        <v>0</v>
      </c>
      <c r="AQ238" s="50">
        <f t="shared" si="168"/>
        <v>0</v>
      </c>
      <c r="AR238" s="50">
        <f t="shared" si="168"/>
        <v>0</v>
      </c>
      <c r="AS238" s="50">
        <f t="shared" si="168"/>
        <v>0</v>
      </c>
      <c r="AT238" s="50">
        <f t="shared" si="168"/>
        <v>0</v>
      </c>
      <c r="AU238" s="50">
        <f t="shared" si="168"/>
        <v>0</v>
      </c>
    </row>
    <row r="239" spans="1:47" s="60" customFormat="1">
      <c r="D239" s="187"/>
      <c r="E239" s="325"/>
      <c r="G239" s="39" t="s">
        <v>305</v>
      </c>
      <c r="I239" s="39"/>
      <c r="K239" s="39"/>
      <c r="L239" s="174"/>
      <c r="N239" s="188"/>
      <c r="O239" s="314"/>
      <c r="P239" s="185"/>
      <c r="Q239" s="314"/>
      <c r="R239" s="185">
        <f ca="1">SUM(R228:R235)-SUM(R237:R238)</f>
        <v>0</v>
      </c>
      <c r="S239" s="185">
        <f t="shared" ref="S239:AU239" ca="1" si="169">SUM(S228:S235)-SUM(S237:S238)</f>
        <v>0</v>
      </c>
      <c r="T239" s="185">
        <f t="shared" ca="1" si="169"/>
        <v>0</v>
      </c>
      <c r="U239" s="185">
        <f t="shared" ca="1" si="169"/>
        <v>0</v>
      </c>
      <c r="V239" s="185">
        <f t="shared" ca="1" si="169"/>
        <v>0</v>
      </c>
      <c r="W239" s="185">
        <f t="shared" ca="1" si="169"/>
        <v>0</v>
      </c>
      <c r="X239" s="185">
        <f t="shared" ca="1" si="169"/>
        <v>0</v>
      </c>
      <c r="Y239" s="185">
        <f t="shared" ca="1" si="169"/>
        <v>0</v>
      </c>
      <c r="Z239" s="185">
        <f t="shared" ca="1" si="169"/>
        <v>0</v>
      </c>
      <c r="AA239" s="185">
        <f t="shared" ca="1" si="169"/>
        <v>0</v>
      </c>
      <c r="AB239" s="185">
        <f t="shared" ca="1" si="169"/>
        <v>0</v>
      </c>
      <c r="AC239" s="185">
        <f t="shared" ca="1" si="169"/>
        <v>0</v>
      </c>
      <c r="AD239" s="185">
        <f t="shared" ca="1" si="169"/>
        <v>0</v>
      </c>
      <c r="AE239" s="185">
        <f t="shared" ca="1" si="169"/>
        <v>0</v>
      </c>
      <c r="AF239" s="185">
        <f t="shared" ca="1" si="169"/>
        <v>0</v>
      </c>
      <c r="AG239" s="185">
        <f t="shared" ca="1" si="169"/>
        <v>0</v>
      </c>
      <c r="AH239" s="185">
        <f t="shared" ca="1" si="169"/>
        <v>0</v>
      </c>
      <c r="AI239" s="185">
        <f t="shared" ca="1" si="169"/>
        <v>0</v>
      </c>
      <c r="AJ239" s="185">
        <f t="shared" ca="1" si="169"/>
        <v>0</v>
      </c>
      <c r="AK239" s="185">
        <f t="shared" ca="1" si="169"/>
        <v>0</v>
      </c>
      <c r="AL239" s="185">
        <f t="shared" si="169"/>
        <v>0</v>
      </c>
      <c r="AM239" s="185">
        <f t="shared" si="169"/>
        <v>0</v>
      </c>
      <c r="AN239" s="185">
        <f t="shared" si="169"/>
        <v>0</v>
      </c>
      <c r="AO239" s="185">
        <f t="shared" si="169"/>
        <v>0</v>
      </c>
      <c r="AP239" s="185">
        <f t="shared" si="169"/>
        <v>0</v>
      </c>
      <c r="AQ239" s="185">
        <f t="shared" si="169"/>
        <v>0</v>
      </c>
      <c r="AR239" s="185">
        <f t="shared" si="169"/>
        <v>0</v>
      </c>
      <c r="AS239" s="185">
        <f t="shared" si="169"/>
        <v>0</v>
      </c>
      <c r="AT239" s="185">
        <f t="shared" si="169"/>
        <v>0</v>
      </c>
      <c r="AU239" s="185">
        <f t="shared" si="169"/>
        <v>0</v>
      </c>
    </row>
    <row r="240" spans="1:47">
      <c r="E240" s="36"/>
      <c r="G240" s="39"/>
      <c r="H240" s="39"/>
      <c r="I240" s="39"/>
      <c r="J240" s="39"/>
      <c r="K240" s="39"/>
    </row>
    <row r="241" spans="1:47">
      <c r="E241" s="327"/>
      <c r="F241" s="28"/>
      <c r="G241" s="324" t="str">
        <f>C243&amp;" Capital Costs"</f>
        <v>Drying/Gasification/Energy Recovery Capital Costs</v>
      </c>
      <c r="H241" s="324"/>
      <c r="I241" s="324"/>
      <c r="J241" s="324"/>
      <c r="K241" s="324"/>
      <c r="L241" s="405" t="s">
        <v>79</v>
      </c>
      <c r="M241" s="256"/>
      <c r="N241" s="325" t="s">
        <v>490</v>
      </c>
      <c r="O241" s="311"/>
      <c r="P241" s="325" t="s">
        <v>491</v>
      </c>
      <c r="Q241" s="310"/>
      <c r="R241" s="325">
        <f>R$8</f>
        <v>2014</v>
      </c>
      <c r="S241" s="325">
        <f t="shared" ref="S241:AU241" si="170">S$8</f>
        <v>2015</v>
      </c>
      <c r="T241" s="325">
        <f t="shared" si="170"/>
        <v>2016</v>
      </c>
      <c r="U241" s="325">
        <f t="shared" si="170"/>
        <v>2017</v>
      </c>
      <c r="V241" s="325">
        <f t="shared" si="170"/>
        <v>2018</v>
      </c>
      <c r="W241" s="325">
        <f t="shared" si="170"/>
        <v>2019</v>
      </c>
      <c r="X241" s="325">
        <f t="shared" si="170"/>
        <v>2020</v>
      </c>
      <c r="Y241" s="325">
        <f t="shared" si="170"/>
        <v>2021</v>
      </c>
      <c r="Z241" s="325">
        <f t="shared" si="170"/>
        <v>2022</v>
      </c>
      <c r="AA241" s="325">
        <f t="shared" si="170"/>
        <v>2023</v>
      </c>
      <c r="AB241" s="325">
        <f t="shared" si="170"/>
        <v>2024</v>
      </c>
      <c r="AC241" s="325">
        <f t="shared" si="170"/>
        <v>2025</v>
      </c>
      <c r="AD241" s="325">
        <f t="shared" si="170"/>
        <v>2026</v>
      </c>
      <c r="AE241" s="325">
        <f t="shared" si="170"/>
        <v>2027</v>
      </c>
      <c r="AF241" s="325">
        <f t="shared" si="170"/>
        <v>2028</v>
      </c>
      <c r="AG241" s="325">
        <f t="shared" si="170"/>
        <v>2029</v>
      </c>
      <c r="AH241" s="325">
        <f t="shared" si="170"/>
        <v>2030</v>
      </c>
      <c r="AI241" s="325">
        <f t="shared" si="170"/>
        <v>2031</v>
      </c>
      <c r="AJ241" s="325">
        <f t="shared" si="170"/>
        <v>2032</v>
      </c>
      <c r="AK241" s="325">
        <f t="shared" si="170"/>
        <v>2033</v>
      </c>
      <c r="AL241" s="325">
        <f t="shared" si="170"/>
        <v>2034</v>
      </c>
      <c r="AM241" s="325">
        <f t="shared" si="170"/>
        <v>2035</v>
      </c>
      <c r="AN241" s="325">
        <f t="shared" si="170"/>
        <v>2036</v>
      </c>
      <c r="AO241" s="325">
        <f t="shared" si="170"/>
        <v>2037</v>
      </c>
      <c r="AP241" s="325">
        <f t="shared" si="170"/>
        <v>2038</v>
      </c>
      <c r="AQ241" s="325">
        <f t="shared" si="170"/>
        <v>2039</v>
      </c>
      <c r="AR241" s="325">
        <f t="shared" si="170"/>
        <v>2040</v>
      </c>
      <c r="AS241" s="325">
        <f t="shared" si="170"/>
        <v>2041</v>
      </c>
      <c r="AT241" s="325">
        <f t="shared" si="170"/>
        <v>2042</v>
      </c>
      <c r="AU241" s="325">
        <f t="shared" si="170"/>
        <v>2043</v>
      </c>
    </row>
    <row r="242" spans="1:47">
      <c r="E242" s="325"/>
      <c r="G242" s="39"/>
      <c r="H242" s="39"/>
      <c r="I242" s="39"/>
      <c r="J242" s="39"/>
      <c r="K242" s="39"/>
    </row>
    <row r="243" spans="1:47">
      <c r="A243" s="38" t="str">
        <f>$J$4&amp;"-"</f>
        <v>Custom-</v>
      </c>
      <c r="B243" s="38" t="s">
        <v>306</v>
      </c>
      <c r="C243" s="38" t="s">
        <v>320</v>
      </c>
      <c r="D243" s="186">
        <f>CapExEsc</f>
        <v>0.03</v>
      </c>
      <c r="E243" s="325"/>
      <c r="G243" s="36" t="s">
        <v>8</v>
      </c>
      <c r="H243" s="39"/>
      <c r="I243" s="39"/>
      <c r="J243" s="70"/>
      <c r="K243" s="39"/>
      <c r="L243" s="43" t="str">
        <f>"["&amp;CostBaseYr&amp;" $]"</f>
        <v>[2013 $]</v>
      </c>
      <c r="N243" s="52">
        <f ca="1">IF(VLOOKUP($C243,$G$69:$J$87,4,FALSE)="Off", 0,SUMIFS(OFFSET(Assumptions!$I$65,0,MATCH($A243,Configurations,0)-1,COUNT(Assumptions!$A$65:$A$84),1),Assumptions!$E$65:$E$84,$C243))</f>
        <v>0</v>
      </c>
      <c r="O243" s="52"/>
      <c r="P243" s="322"/>
      <c r="Q243" s="52"/>
      <c r="R243" s="52">
        <f t="shared" ref="R243:AU243" ca="1" si="171">R244*IF($P243=0,$N243,$P243)*(1+$D243)^(R$8-CostBaseYr)</f>
        <v>0</v>
      </c>
      <c r="S243" s="52">
        <f t="shared" ca="1" si="171"/>
        <v>0</v>
      </c>
      <c r="T243" s="52">
        <f t="shared" ca="1" si="171"/>
        <v>0</v>
      </c>
      <c r="U243" s="52">
        <f t="shared" ca="1" si="171"/>
        <v>0</v>
      </c>
      <c r="V243" s="52">
        <f t="shared" ca="1" si="171"/>
        <v>0</v>
      </c>
      <c r="W243" s="52">
        <f t="shared" ca="1" si="171"/>
        <v>0</v>
      </c>
      <c r="X243" s="52">
        <f t="shared" ca="1" si="171"/>
        <v>0</v>
      </c>
      <c r="Y243" s="52">
        <f t="shared" ca="1" si="171"/>
        <v>0</v>
      </c>
      <c r="Z243" s="52">
        <f t="shared" ca="1" si="171"/>
        <v>0</v>
      </c>
      <c r="AA243" s="52">
        <f t="shared" ca="1" si="171"/>
        <v>0</v>
      </c>
      <c r="AB243" s="52">
        <f t="shared" ca="1" si="171"/>
        <v>0</v>
      </c>
      <c r="AC243" s="52">
        <f t="shared" ca="1" si="171"/>
        <v>0</v>
      </c>
      <c r="AD243" s="52">
        <f t="shared" ca="1" si="171"/>
        <v>0</v>
      </c>
      <c r="AE243" s="52">
        <f t="shared" ca="1" si="171"/>
        <v>0</v>
      </c>
      <c r="AF243" s="52">
        <f t="shared" ca="1" si="171"/>
        <v>0</v>
      </c>
      <c r="AG243" s="52">
        <f t="shared" ca="1" si="171"/>
        <v>0</v>
      </c>
      <c r="AH243" s="52">
        <f t="shared" ca="1" si="171"/>
        <v>0</v>
      </c>
      <c r="AI243" s="52">
        <f t="shared" ca="1" si="171"/>
        <v>0</v>
      </c>
      <c r="AJ243" s="52">
        <f t="shared" ca="1" si="171"/>
        <v>0</v>
      </c>
      <c r="AK243" s="52">
        <f t="shared" ca="1" si="171"/>
        <v>0</v>
      </c>
      <c r="AL243" s="52">
        <f t="shared" ca="1" si="171"/>
        <v>0</v>
      </c>
      <c r="AM243" s="52">
        <f t="shared" ca="1" si="171"/>
        <v>0</v>
      </c>
      <c r="AN243" s="52">
        <f t="shared" ca="1" si="171"/>
        <v>0</v>
      </c>
      <c r="AO243" s="52">
        <f t="shared" ca="1" si="171"/>
        <v>0</v>
      </c>
      <c r="AP243" s="52">
        <f t="shared" ca="1" si="171"/>
        <v>0</v>
      </c>
      <c r="AQ243" s="52">
        <f t="shared" ca="1" si="171"/>
        <v>0</v>
      </c>
      <c r="AR243" s="52">
        <f t="shared" ca="1" si="171"/>
        <v>0</v>
      </c>
      <c r="AS243" s="52">
        <f t="shared" ca="1" si="171"/>
        <v>0</v>
      </c>
      <c r="AT243" s="52">
        <f t="shared" ca="1" si="171"/>
        <v>0</v>
      </c>
      <c r="AU243" s="52">
        <f t="shared" ca="1" si="171"/>
        <v>0</v>
      </c>
    </row>
    <row r="244" spans="1:47">
      <c r="E244" s="325"/>
      <c r="G244" s="36" t="s">
        <v>10</v>
      </c>
      <c r="H244" s="39"/>
      <c r="I244" s="39"/>
      <c r="J244" s="39"/>
      <c r="K244" s="39"/>
      <c r="L244" s="43"/>
      <c r="R244" s="54">
        <f>Assumptions!M$60</f>
        <v>1</v>
      </c>
      <c r="S244" s="54">
        <f>Assumptions!N$60</f>
        <v>0</v>
      </c>
      <c r="T244" s="54">
        <f>Assumptions!O$60</f>
        <v>0</v>
      </c>
      <c r="U244" s="54">
        <f>Assumptions!P$60</f>
        <v>0</v>
      </c>
      <c r="V244" s="54">
        <f>Assumptions!Q$60</f>
        <v>0</v>
      </c>
      <c r="W244" s="54">
        <f>Assumptions!R$60</f>
        <v>0</v>
      </c>
      <c r="X244" s="54">
        <f>Assumptions!S$60</f>
        <v>0</v>
      </c>
      <c r="Y244" s="54">
        <f>Assumptions!T$60</f>
        <v>0</v>
      </c>
      <c r="Z244" s="54">
        <f>Assumptions!U$60</f>
        <v>0</v>
      </c>
      <c r="AA244" s="54">
        <f>Assumptions!V$60</f>
        <v>0</v>
      </c>
      <c r="AB244" s="54">
        <f>Assumptions!W$60</f>
        <v>0</v>
      </c>
      <c r="AC244" s="54">
        <f>Assumptions!X$60</f>
        <v>0</v>
      </c>
      <c r="AD244" s="54">
        <f>Assumptions!Y$60</f>
        <v>0</v>
      </c>
      <c r="AE244" s="54">
        <f>Assumptions!Z$60</f>
        <v>0</v>
      </c>
      <c r="AF244" s="54">
        <f>Assumptions!AA$60</f>
        <v>0</v>
      </c>
      <c r="AG244" s="54">
        <f>Assumptions!AB$60</f>
        <v>0</v>
      </c>
      <c r="AH244" s="54">
        <f>Assumptions!AC$60</f>
        <v>0</v>
      </c>
      <c r="AI244" s="54">
        <f>Assumptions!AD$60</f>
        <v>0</v>
      </c>
      <c r="AJ244" s="54">
        <f>Assumptions!AE$60</f>
        <v>0</v>
      </c>
      <c r="AK244" s="54">
        <f>Assumptions!AF$60</f>
        <v>0</v>
      </c>
      <c r="AL244" s="54">
        <f>Assumptions!AG$60</f>
        <v>0</v>
      </c>
      <c r="AM244" s="54">
        <f>Assumptions!AH$60</f>
        <v>0</v>
      </c>
      <c r="AN244" s="54">
        <f>Assumptions!AI$60</f>
        <v>0</v>
      </c>
      <c r="AO244" s="54">
        <f>Assumptions!AJ$60</f>
        <v>0</v>
      </c>
      <c r="AP244" s="54">
        <f>Assumptions!AK$60</f>
        <v>0</v>
      </c>
      <c r="AQ244" s="54">
        <f>Assumptions!AL$60</f>
        <v>0</v>
      </c>
      <c r="AR244" s="54">
        <f>Assumptions!AM$60</f>
        <v>0</v>
      </c>
      <c r="AS244" s="54">
        <f>Assumptions!AN$60</f>
        <v>0</v>
      </c>
      <c r="AT244" s="54">
        <f>Assumptions!AO$60</f>
        <v>0</v>
      </c>
      <c r="AU244" s="54">
        <f>Assumptions!AP$60</f>
        <v>0</v>
      </c>
    </row>
    <row r="245" spans="1:47">
      <c r="E245" s="326"/>
      <c r="G245" s="39"/>
      <c r="H245" s="39"/>
      <c r="I245" s="39"/>
      <c r="J245" s="39"/>
      <c r="K245" s="39"/>
    </row>
    <row r="246" spans="1:47">
      <c r="E246" s="327"/>
      <c r="F246" s="28"/>
      <c r="G246" s="324" t="str">
        <f>C243&amp;" O&amp;M"</f>
        <v>Drying/Gasification/Energy Recovery O&amp;M</v>
      </c>
      <c r="H246" s="324"/>
      <c r="I246" s="324"/>
      <c r="J246" s="324"/>
      <c r="K246" s="324"/>
      <c r="L246" s="405" t="s">
        <v>79</v>
      </c>
      <c r="M246" s="256"/>
      <c r="N246" s="325" t="s">
        <v>490</v>
      </c>
      <c r="O246" s="311"/>
      <c r="P246" s="325" t="s">
        <v>491</v>
      </c>
      <c r="Q246" s="310"/>
      <c r="R246" s="325">
        <f>R$8</f>
        <v>2014</v>
      </c>
      <c r="S246" s="325">
        <f t="shared" ref="S246:AU246" si="172">S$8</f>
        <v>2015</v>
      </c>
      <c r="T246" s="325">
        <f t="shared" si="172"/>
        <v>2016</v>
      </c>
      <c r="U246" s="325">
        <f t="shared" si="172"/>
        <v>2017</v>
      </c>
      <c r="V246" s="325">
        <f t="shared" si="172"/>
        <v>2018</v>
      </c>
      <c r="W246" s="325">
        <f t="shared" si="172"/>
        <v>2019</v>
      </c>
      <c r="X246" s="325">
        <f t="shared" si="172"/>
        <v>2020</v>
      </c>
      <c r="Y246" s="325">
        <f t="shared" si="172"/>
        <v>2021</v>
      </c>
      <c r="Z246" s="325">
        <f t="shared" si="172"/>
        <v>2022</v>
      </c>
      <c r="AA246" s="325">
        <f t="shared" si="172"/>
        <v>2023</v>
      </c>
      <c r="AB246" s="325">
        <f t="shared" si="172"/>
        <v>2024</v>
      </c>
      <c r="AC246" s="325">
        <f t="shared" si="172"/>
        <v>2025</v>
      </c>
      <c r="AD246" s="325">
        <f t="shared" si="172"/>
        <v>2026</v>
      </c>
      <c r="AE246" s="325">
        <f t="shared" si="172"/>
        <v>2027</v>
      </c>
      <c r="AF246" s="325">
        <f t="shared" si="172"/>
        <v>2028</v>
      </c>
      <c r="AG246" s="325">
        <f t="shared" si="172"/>
        <v>2029</v>
      </c>
      <c r="AH246" s="325">
        <f t="shared" si="172"/>
        <v>2030</v>
      </c>
      <c r="AI246" s="325">
        <f t="shared" si="172"/>
        <v>2031</v>
      </c>
      <c r="AJ246" s="325">
        <f t="shared" si="172"/>
        <v>2032</v>
      </c>
      <c r="AK246" s="325">
        <f t="shared" si="172"/>
        <v>2033</v>
      </c>
      <c r="AL246" s="325">
        <f t="shared" si="172"/>
        <v>2034</v>
      </c>
      <c r="AM246" s="325">
        <f t="shared" si="172"/>
        <v>2035</v>
      </c>
      <c r="AN246" s="325">
        <f t="shared" si="172"/>
        <v>2036</v>
      </c>
      <c r="AO246" s="325">
        <f t="shared" si="172"/>
        <v>2037</v>
      </c>
      <c r="AP246" s="325">
        <f t="shared" si="172"/>
        <v>2038</v>
      </c>
      <c r="AQ246" s="325">
        <f t="shared" si="172"/>
        <v>2039</v>
      </c>
      <c r="AR246" s="325">
        <f t="shared" si="172"/>
        <v>2040</v>
      </c>
      <c r="AS246" s="325">
        <f t="shared" si="172"/>
        <v>2041</v>
      </c>
      <c r="AT246" s="325">
        <f t="shared" si="172"/>
        <v>2042</v>
      </c>
      <c r="AU246" s="325">
        <f t="shared" si="172"/>
        <v>2043</v>
      </c>
    </row>
    <row r="247" spans="1:47">
      <c r="E247" s="325"/>
      <c r="G247" s="39"/>
      <c r="H247" s="39"/>
      <c r="I247" s="39"/>
      <c r="J247" s="39"/>
      <c r="K247" s="39"/>
    </row>
    <row r="248" spans="1:47">
      <c r="E248" s="325"/>
      <c r="G248" s="39" t="s">
        <v>23</v>
      </c>
      <c r="H248" s="39"/>
      <c r="I248" s="39"/>
      <c r="J248" s="39"/>
      <c r="K248" s="39"/>
    </row>
    <row r="249" spans="1:47">
      <c r="A249" s="38" t="str">
        <f t="shared" ref="A249:A256" si="173">$J$4&amp;"-"</f>
        <v>Custom-</v>
      </c>
      <c r="B249" s="38" t="s">
        <v>262</v>
      </c>
      <c r="C249" s="38" t="str">
        <f>C243</f>
        <v>Drying/Gasification/Energy Recovery</v>
      </c>
      <c r="D249" s="186">
        <f>LaborEsc</f>
        <v>0.02</v>
      </c>
      <c r="E249" s="325"/>
      <c r="G249" s="36" t="s">
        <v>125</v>
      </c>
      <c r="I249" s="39"/>
      <c r="K249" s="39"/>
      <c r="L249" s="43" t="s">
        <v>266</v>
      </c>
      <c r="N249" s="70">
        <f ca="1">IF(VLOOKUP($C249,$G$69:$J$87,4,FALSE)="Off",0,SUMIFS(OFFSET(Assumptions!$I$90,0,MATCH($A249,Configurations,0)-1,COUNT(Assumptions!$A$90:$A$183),1),Assumptions!$D$90:$D$183,$B249&amp;$C249))</f>
        <v>0</v>
      </c>
      <c r="O249" s="313"/>
      <c r="P249" s="323"/>
      <c r="Q249" s="313"/>
      <c r="R249" s="50">
        <f t="shared" ref="R249:AU249" ca="1" si="174">IF(OR(R$99&lt;InServiceYr,R$99&gt;(InServiceYr+analysis_period-1)),0,IF($P249=0,$N249,$P249)*LaborCost*(1+$D249)^(R$99-CostBaseYr))</f>
        <v>0</v>
      </c>
      <c r="S249" s="50">
        <f t="shared" ca="1" si="174"/>
        <v>0</v>
      </c>
      <c r="T249" s="50">
        <f t="shared" ca="1" si="174"/>
        <v>0</v>
      </c>
      <c r="U249" s="50">
        <f t="shared" ca="1" si="174"/>
        <v>0</v>
      </c>
      <c r="V249" s="50">
        <f t="shared" ca="1" si="174"/>
        <v>0</v>
      </c>
      <c r="W249" s="50">
        <f t="shared" ca="1" si="174"/>
        <v>0</v>
      </c>
      <c r="X249" s="50">
        <f t="shared" ca="1" si="174"/>
        <v>0</v>
      </c>
      <c r="Y249" s="50">
        <f t="shared" ca="1" si="174"/>
        <v>0</v>
      </c>
      <c r="Z249" s="50">
        <f t="shared" ca="1" si="174"/>
        <v>0</v>
      </c>
      <c r="AA249" s="50">
        <f t="shared" ca="1" si="174"/>
        <v>0</v>
      </c>
      <c r="AB249" s="50">
        <f t="shared" ca="1" si="174"/>
        <v>0</v>
      </c>
      <c r="AC249" s="50">
        <f t="shared" ca="1" si="174"/>
        <v>0</v>
      </c>
      <c r="AD249" s="50">
        <f t="shared" ca="1" si="174"/>
        <v>0</v>
      </c>
      <c r="AE249" s="50">
        <f t="shared" ca="1" si="174"/>
        <v>0</v>
      </c>
      <c r="AF249" s="50">
        <f t="shared" ca="1" si="174"/>
        <v>0</v>
      </c>
      <c r="AG249" s="50">
        <f t="shared" ca="1" si="174"/>
        <v>0</v>
      </c>
      <c r="AH249" s="50">
        <f t="shared" ca="1" si="174"/>
        <v>0</v>
      </c>
      <c r="AI249" s="50">
        <f t="shared" ca="1" si="174"/>
        <v>0</v>
      </c>
      <c r="AJ249" s="50">
        <f t="shared" ca="1" si="174"/>
        <v>0</v>
      </c>
      <c r="AK249" s="50">
        <f t="shared" ca="1" si="174"/>
        <v>0</v>
      </c>
      <c r="AL249" s="50">
        <f t="shared" si="174"/>
        <v>0</v>
      </c>
      <c r="AM249" s="50">
        <f t="shared" si="174"/>
        <v>0</v>
      </c>
      <c r="AN249" s="50">
        <f t="shared" si="174"/>
        <v>0</v>
      </c>
      <c r="AO249" s="50">
        <f t="shared" si="174"/>
        <v>0</v>
      </c>
      <c r="AP249" s="50">
        <f t="shared" si="174"/>
        <v>0</v>
      </c>
      <c r="AQ249" s="50">
        <f t="shared" si="174"/>
        <v>0</v>
      </c>
      <c r="AR249" s="50">
        <f t="shared" si="174"/>
        <v>0</v>
      </c>
      <c r="AS249" s="50">
        <f t="shared" si="174"/>
        <v>0</v>
      </c>
      <c r="AT249" s="50">
        <f t="shared" si="174"/>
        <v>0</v>
      </c>
      <c r="AU249" s="50">
        <f t="shared" si="174"/>
        <v>0</v>
      </c>
    </row>
    <row r="250" spans="1:47">
      <c r="A250" s="38" t="str">
        <f t="shared" si="173"/>
        <v>Custom-</v>
      </c>
      <c r="B250" s="38" t="s">
        <v>270</v>
      </c>
      <c r="C250" s="38" t="str">
        <f>C249</f>
        <v>Drying/Gasification/Energy Recovery</v>
      </c>
      <c r="D250" s="186">
        <f>OMEsc</f>
        <v>0.02</v>
      </c>
      <c r="E250" s="325"/>
      <c r="G250" s="36" t="s">
        <v>126</v>
      </c>
      <c r="I250" s="39"/>
      <c r="K250" s="39"/>
      <c r="L250" s="43" t="str">
        <f>"["&amp;CostBaseYr&amp;" $]"</f>
        <v>[2013 $]</v>
      </c>
      <c r="N250" s="70">
        <f ca="1">IF(VLOOKUP($C250,$G$69:$J$87,4,FALSE)="Off",0,SUMIFS(OFFSET(Assumptions!$I$90,0,MATCH($A250,Configurations,0)-1,COUNT(Assumptions!$A$90:$A$183),1),Assumptions!$D$90:$D$183,$B250&amp;$C250))</f>
        <v>0</v>
      </c>
      <c r="O250" s="313"/>
      <c r="P250" s="323"/>
      <c r="Q250" s="313"/>
      <c r="R250" s="50">
        <f t="shared" ref="R250:AG252" ca="1" si="175">IF(OR(R$99&lt;InServiceYr,R$99&gt;(InServiceYr+analysis_period-1)),0,IF($P250=0,$N250,$P250)*(1+$D250)^(R$99-CostBaseYr))</f>
        <v>0</v>
      </c>
      <c r="S250" s="50">
        <f t="shared" ca="1" si="175"/>
        <v>0</v>
      </c>
      <c r="T250" s="50">
        <f t="shared" ca="1" si="175"/>
        <v>0</v>
      </c>
      <c r="U250" s="50">
        <f t="shared" ca="1" si="175"/>
        <v>0</v>
      </c>
      <c r="V250" s="50">
        <f t="shared" ca="1" si="175"/>
        <v>0</v>
      </c>
      <c r="W250" s="50">
        <f t="shared" ca="1" si="175"/>
        <v>0</v>
      </c>
      <c r="X250" s="50">
        <f t="shared" ca="1" si="175"/>
        <v>0</v>
      </c>
      <c r="Y250" s="50">
        <f t="shared" ca="1" si="175"/>
        <v>0</v>
      </c>
      <c r="Z250" s="50">
        <f t="shared" ca="1" si="175"/>
        <v>0</v>
      </c>
      <c r="AA250" s="50">
        <f t="shared" ca="1" si="175"/>
        <v>0</v>
      </c>
      <c r="AB250" s="50">
        <f t="shared" ca="1" si="175"/>
        <v>0</v>
      </c>
      <c r="AC250" s="50">
        <f t="shared" ca="1" si="175"/>
        <v>0</v>
      </c>
      <c r="AD250" s="50">
        <f t="shared" ca="1" si="175"/>
        <v>0</v>
      </c>
      <c r="AE250" s="50">
        <f t="shared" ca="1" si="175"/>
        <v>0</v>
      </c>
      <c r="AF250" s="50">
        <f t="shared" ca="1" si="175"/>
        <v>0</v>
      </c>
      <c r="AG250" s="50">
        <f t="shared" ca="1" si="175"/>
        <v>0</v>
      </c>
      <c r="AH250" s="50">
        <f t="shared" ref="S250:AU252" ca="1" si="176">IF(OR(AH$99&lt;InServiceYr,AH$99&gt;(InServiceYr+analysis_period-1)),0,IF($P250=0,$N250,$P250)*(1+$D250)^(AH$99-CostBaseYr))</f>
        <v>0</v>
      </c>
      <c r="AI250" s="50">
        <f t="shared" ca="1" si="176"/>
        <v>0</v>
      </c>
      <c r="AJ250" s="50">
        <f t="shared" ca="1" si="176"/>
        <v>0</v>
      </c>
      <c r="AK250" s="50">
        <f t="shared" ca="1" si="176"/>
        <v>0</v>
      </c>
      <c r="AL250" s="50">
        <f t="shared" si="176"/>
        <v>0</v>
      </c>
      <c r="AM250" s="50">
        <f t="shared" si="176"/>
        <v>0</v>
      </c>
      <c r="AN250" s="50">
        <f t="shared" si="176"/>
        <v>0</v>
      </c>
      <c r="AO250" s="50">
        <f t="shared" si="176"/>
        <v>0</v>
      </c>
      <c r="AP250" s="50">
        <f t="shared" si="176"/>
        <v>0</v>
      </c>
      <c r="AQ250" s="50">
        <f t="shared" si="176"/>
        <v>0</v>
      </c>
      <c r="AR250" s="50">
        <f t="shared" si="176"/>
        <v>0</v>
      </c>
      <c r="AS250" s="50">
        <f t="shared" si="176"/>
        <v>0</v>
      </c>
      <c r="AT250" s="50">
        <f t="shared" si="176"/>
        <v>0</v>
      </c>
      <c r="AU250" s="50">
        <f t="shared" si="176"/>
        <v>0</v>
      </c>
    </row>
    <row r="251" spans="1:47">
      <c r="A251" s="38" t="str">
        <f t="shared" si="173"/>
        <v>Custom-</v>
      </c>
      <c r="B251" s="38" t="s">
        <v>263</v>
      </c>
      <c r="C251" s="38" t="str">
        <f t="shared" ref="C251:C255" si="177">C250</f>
        <v>Drying/Gasification/Energy Recovery</v>
      </c>
      <c r="D251" s="186">
        <f>OMEsc</f>
        <v>0.02</v>
      </c>
      <c r="E251" s="325"/>
      <c r="G251" s="36" t="s">
        <v>127</v>
      </c>
      <c r="I251" s="39"/>
      <c r="K251" s="39"/>
      <c r="L251" s="43" t="str">
        <f>"["&amp;CostBaseYr&amp;" $]"</f>
        <v>[2013 $]</v>
      </c>
      <c r="N251" s="70">
        <f ca="1">IF(VLOOKUP($C251,$G$69:$J$87,4,FALSE)="Off",0,SUMIFS(OFFSET(Assumptions!$I$90,0,MATCH($A251,Configurations,0)-1,COUNT(Assumptions!$A$90:$A$183),1),Assumptions!$D$90:$D$183,$B251&amp;$C251))</f>
        <v>0</v>
      </c>
      <c r="O251" s="313"/>
      <c r="P251" s="323"/>
      <c r="Q251" s="313"/>
      <c r="R251" s="50">
        <f t="shared" ca="1" si="175"/>
        <v>0</v>
      </c>
      <c r="S251" s="50">
        <f t="shared" ca="1" si="176"/>
        <v>0</v>
      </c>
      <c r="T251" s="50">
        <f t="shared" ca="1" si="176"/>
        <v>0</v>
      </c>
      <c r="U251" s="50">
        <f t="shared" ca="1" si="176"/>
        <v>0</v>
      </c>
      <c r="V251" s="50">
        <f t="shared" ca="1" si="176"/>
        <v>0</v>
      </c>
      <c r="W251" s="50">
        <f t="shared" ca="1" si="176"/>
        <v>0</v>
      </c>
      <c r="X251" s="50">
        <f t="shared" ca="1" si="176"/>
        <v>0</v>
      </c>
      <c r="Y251" s="50">
        <f t="shared" ca="1" si="176"/>
        <v>0</v>
      </c>
      <c r="Z251" s="50">
        <f t="shared" ca="1" si="176"/>
        <v>0</v>
      </c>
      <c r="AA251" s="50">
        <f t="shared" ca="1" si="176"/>
        <v>0</v>
      </c>
      <c r="AB251" s="50">
        <f t="shared" ca="1" si="176"/>
        <v>0</v>
      </c>
      <c r="AC251" s="50">
        <f t="shared" ca="1" si="176"/>
        <v>0</v>
      </c>
      <c r="AD251" s="50">
        <f t="shared" ca="1" si="176"/>
        <v>0</v>
      </c>
      <c r="AE251" s="50">
        <f t="shared" ca="1" si="176"/>
        <v>0</v>
      </c>
      <c r="AF251" s="50">
        <f t="shared" ca="1" si="176"/>
        <v>0</v>
      </c>
      <c r="AG251" s="50">
        <f t="shared" ca="1" si="176"/>
        <v>0</v>
      </c>
      <c r="AH251" s="50">
        <f t="shared" ca="1" si="176"/>
        <v>0</v>
      </c>
      <c r="AI251" s="50">
        <f t="shared" ca="1" si="176"/>
        <v>0</v>
      </c>
      <c r="AJ251" s="50">
        <f t="shared" ca="1" si="176"/>
        <v>0</v>
      </c>
      <c r="AK251" s="50">
        <f t="shared" ca="1" si="176"/>
        <v>0</v>
      </c>
      <c r="AL251" s="50">
        <f t="shared" si="176"/>
        <v>0</v>
      </c>
      <c r="AM251" s="50">
        <f t="shared" si="176"/>
        <v>0</v>
      </c>
      <c r="AN251" s="50">
        <f t="shared" si="176"/>
        <v>0</v>
      </c>
      <c r="AO251" s="50">
        <f t="shared" si="176"/>
        <v>0</v>
      </c>
      <c r="AP251" s="50">
        <f t="shared" si="176"/>
        <v>0</v>
      </c>
      <c r="AQ251" s="50">
        <f t="shared" si="176"/>
        <v>0</v>
      </c>
      <c r="AR251" s="50">
        <f t="shared" si="176"/>
        <v>0</v>
      </c>
      <c r="AS251" s="50">
        <f t="shared" si="176"/>
        <v>0</v>
      </c>
      <c r="AT251" s="50">
        <f t="shared" si="176"/>
        <v>0</v>
      </c>
      <c r="AU251" s="50">
        <f t="shared" si="176"/>
        <v>0</v>
      </c>
    </row>
    <row r="252" spans="1:47">
      <c r="A252" s="38" t="str">
        <f t="shared" si="173"/>
        <v>Custom-</v>
      </c>
      <c r="B252" s="38" t="s">
        <v>277</v>
      </c>
      <c r="C252" s="38" t="str">
        <f t="shared" si="177"/>
        <v>Drying/Gasification/Energy Recovery</v>
      </c>
      <c r="D252" s="186">
        <f>OMEsc</f>
        <v>0.02</v>
      </c>
      <c r="E252" s="325"/>
      <c r="G252" s="36" t="s">
        <v>276</v>
      </c>
      <c r="I252" s="39"/>
      <c r="K252" s="39"/>
      <c r="L252" s="43" t="str">
        <f>"["&amp;CostBaseYr&amp;" $]"</f>
        <v>[2013 $]</v>
      </c>
      <c r="N252" s="70">
        <f ca="1">IF(VLOOKUP($C252,$G$69:$J$87,4,FALSE)="Off",0,SUMIFS(OFFSET(Assumptions!$I$90,0,MATCH($A252,Configurations,0)-1,COUNT(Assumptions!$A$90:$A$183),1),Assumptions!$D$90:$D$183,$B252&amp;$C252))</f>
        <v>0</v>
      </c>
      <c r="O252" s="313"/>
      <c r="P252" s="323"/>
      <c r="Q252" s="313"/>
      <c r="R252" s="50">
        <f t="shared" ca="1" si="175"/>
        <v>0</v>
      </c>
      <c r="S252" s="50">
        <f t="shared" ca="1" si="176"/>
        <v>0</v>
      </c>
      <c r="T252" s="50">
        <f t="shared" ca="1" si="176"/>
        <v>0</v>
      </c>
      <c r="U252" s="50">
        <f t="shared" ca="1" si="176"/>
        <v>0</v>
      </c>
      <c r="V252" s="50">
        <f t="shared" ca="1" si="176"/>
        <v>0</v>
      </c>
      <c r="W252" s="50">
        <f t="shared" ca="1" si="176"/>
        <v>0</v>
      </c>
      <c r="X252" s="50">
        <f t="shared" ca="1" si="176"/>
        <v>0</v>
      </c>
      <c r="Y252" s="50">
        <f t="shared" ca="1" si="176"/>
        <v>0</v>
      </c>
      <c r="Z252" s="50">
        <f t="shared" ca="1" si="176"/>
        <v>0</v>
      </c>
      <c r="AA252" s="50">
        <f t="shared" ca="1" si="176"/>
        <v>0</v>
      </c>
      <c r="AB252" s="50">
        <f t="shared" ca="1" si="176"/>
        <v>0</v>
      </c>
      <c r="AC252" s="50">
        <f t="shared" ca="1" si="176"/>
        <v>0</v>
      </c>
      <c r="AD252" s="50">
        <f t="shared" ca="1" si="176"/>
        <v>0</v>
      </c>
      <c r="AE252" s="50">
        <f t="shared" ca="1" si="176"/>
        <v>0</v>
      </c>
      <c r="AF252" s="50">
        <f t="shared" ca="1" si="176"/>
        <v>0</v>
      </c>
      <c r="AG252" s="50">
        <f t="shared" ca="1" si="176"/>
        <v>0</v>
      </c>
      <c r="AH252" s="50">
        <f t="shared" ca="1" si="176"/>
        <v>0</v>
      </c>
      <c r="AI252" s="50">
        <f t="shared" ca="1" si="176"/>
        <v>0</v>
      </c>
      <c r="AJ252" s="50">
        <f t="shared" ca="1" si="176"/>
        <v>0</v>
      </c>
      <c r="AK252" s="50">
        <f t="shared" ca="1" si="176"/>
        <v>0</v>
      </c>
      <c r="AL252" s="50">
        <f t="shared" si="176"/>
        <v>0</v>
      </c>
      <c r="AM252" s="50">
        <f t="shared" si="176"/>
        <v>0</v>
      </c>
      <c r="AN252" s="50">
        <f t="shared" si="176"/>
        <v>0</v>
      </c>
      <c r="AO252" s="50">
        <f t="shared" si="176"/>
        <v>0</v>
      </c>
      <c r="AP252" s="50">
        <f t="shared" si="176"/>
        <v>0</v>
      </c>
      <c r="AQ252" s="50">
        <f t="shared" si="176"/>
        <v>0</v>
      </c>
      <c r="AR252" s="50">
        <f t="shared" si="176"/>
        <v>0</v>
      </c>
      <c r="AS252" s="50">
        <f t="shared" si="176"/>
        <v>0</v>
      </c>
      <c r="AT252" s="50">
        <f t="shared" si="176"/>
        <v>0</v>
      </c>
      <c r="AU252" s="50">
        <f t="shared" si="176"/>
        <v>0</v>
      </c>
    </row>
    <row r="253" spans="1:47">
      <c r="A253" s="38" t="str">
        <f t="shared" si="173"/>
        <v>Custom-</v>
      </c>
      <c r="B253" s="38" t="s">
        <v>274</v>
      </c>
      <c r="C253" s="38" t="str">
        <f t="shared" si="177"/>
        <v>Drying/Gasification/Energy Recovery</v>
      </c>
      <c r="D253" s="186"/>
      <c r="E253" s="325"/>
      <c r="G253" s="36" t="s">
        <v>16</v>
      </c>
      <c r="I253" s="39"/>
      <c r="K253" s="39"/>
      <c r="L253" s="43" t="s">
        <v>275</v>
      </c>
      <c r="N253" s="70">
        <f ca="1">IF(VLOOKUP($C253,$G$69:$J$87,4,FALSE)="Off",0,SUMIFS(OFFSET(Assumptions!$I$90,0,MATCH($A253,Configurations,0)-1,COUNT(Assumptions!$A$90:$A$183),1),Assumptions!$D$90:$D$183,$B253&amp;$C253))</f>
        <v>0</v>
      </c>
      <c r="O253" s="313"/>
      <c r="P253" s="323"/>
      <c r="Q253" s="313"/>
      <c r="R253" s="50">
        <f t="shared" ref="R253:AU253" ca="1" si="178">IF(OR(R$99&lt;InServiceYr,R$99&gt;(InServiceYr+analysis_period-1)),0,IF($P253=0,$N253,$P253)*R$505)</f>
        <v>0</v>
      </c>
      <c r="S253" s="50">
        <f t="shared" ca="1" si="178"/>
        <v>0</v>
      </c>
      <c r="T253" s="50">
        <f t="shared" ca="1" si="178"/>
        <v>0</v>
      </c>
      <c r="U253" s="50">
        <f t="shared" ca="1" si="178"/>
        <v>0</v>
      </c>
      <c r="V253" s="50">
        <f t="shared" ca="1" si="178"/>
        <v>0</v>
      </c>
      <c r="W253" s="50">
        <f t="shared" ca="1" si="178"/>
        <v>0</v>
      </c>
      <c r="X253" s="50">
        <f t="shared" ca="1" si="178"/>
        <v>0</v>
      </c>
      <c r="Y253" s="50">
        <f t="shared" ca="1" si="178"/>
        <v>0</v>
      </c>
      <c r="Z253" s="50">
        <f t="shared" ca="1" si="178"/>
        <v>0</v>
      </c>
      <c r="AA253" s="50">
        <f t="shared" ca="1" si="178"/>
        <v>0</v>
      </c>
      <c r="AB253" s="50">
        <f t="shared" ca="1" si="178"/>
        <v>0</v>
      </c>
      <c r="AC253" s="50">
        <f t="shared" ca="1" si="178"/>
        <v>0</v>
      </c>
      <c r="AD253" s="50">
        <f t="shared" ca="1" si="178"/>
        <v>0</v>
      </c>
      <c r="AE253" s="50">
        <f t="shared" ca="1" si="178"/>
        <v>0</v>
      </c>
      <c r="AF253" s="50">
        <f t="shared" ca="1" si="178"/>
        <v>0</v>
      </c>
      <c r="AG253" s="50">
        <f t="shared" ca="1" si="178"/>
        <v>0</v>
      </c>
      <c r="AH253" s="50">
        <f t="shared" ca="1" si="178"/>
        <v>0</v>
      </c>
      <c r="AI253" s="50">
        <f t="shared" ca="1" si="178"/>
        <v>0</v>
      </c>
      <c r="AJ253" s="50">
        <f t="shared" ca="1" si="178"/>
        <v>0</v>
      </c>
      <c r="AK253" s="50">
        <f t="shared" ca="1" si="178"/>
        <v>0</v>
      </c>
      <c r="AL253" s="50">
        <f t="shared" si="178"/>
        <v>0</v>
      </c>
      <c r="AM253" s="50">
        <f t="shared" si="178"/>
        <v>0</v>
      </c>
      <c r="AN253" s="50">
        <f t="shared" si="178"/>
        <v>0</v>
      </c>
      <c r="AO253" s="50">
        <f t="shared" si="178"/>
        <v>0</v>
      </c>
      <c r="AP253" s="50">
        <f t="shared" si="178"/>
        <v>0</v>
      </c>
      <c r="AQ253" s="50">
        <f t="shared" si="178"/>
        <v>0</v>
      </c>
      <c r="AR253" s="50">
        <f t="shared" si="178"/>
        <v>0</v>
      </c>
      <c r="AS253" s="50">
        <f t="shared" si="178"/>
        <v>0</v>
      </c>
      <c r="AT253" s="50">
        <f t="shared" si="178"/>
        <v>0</v>
      </c>
      <c r="AU253" s="50">
        <f t="shared" si="178"/>
        <v>0</v>
      </c>
    </row>
    <row r="254" spans="1:47">
      <c r="A254" s="38" t="str">
        <f t="shared" si="173"/>
        <v>Custom-</v>
      </c>
      <c r="B254" s="38" t="s">
        <v>257</v>
      </c>
      <c r="C254" s="38" t="str">
        <f t="shared" si="177"/>
        <v>Drying/Gasification/Energy Recovery</v>
      </c>
      <c r="D254" s="186"/>
      <c r="E254" s="325"/>
      <c r="G254" s="36" t="s">
        <v>284</v>
      </c>
      <c r="I254" s="39"/>
      <c r="K254" s="39"/>
      <c r="L254" s="43" t="s">
        <v>293</v>
      </c>
      <c r="N254" s="70">
        <f ca="1">IF(VLOOKUP($C254,$G$69:$J$87,4,FALSE)="Off",0,SUMIFS(OFFSET(Assumptions!$I$90,0,MATCH($A254,Configurations,0)-1,COUNT(Assumptions!$A$90:$A$183),1),Assumptions!$D$90:$D$183,$B254&amp;$C254))</f>
        <v>0</v>
      </c>
      <c r="O254" s="313"/>
      <c r="P254" s="323"/>
      <c r="Q254" s="313"/>
      <c r="R254" s="50">
        <f t="shared" ref="R254:AU254" ca="1" si="179">IF(OR(R$99&lt;InServiceYr,R$99&gt;(InServiceYr+analysis_period-1)),0,IF($P254=0,$N254,$P254)*R$501)</f>
        <v>0</v>
      </c>
      <c r="S254" s="50">
        <f t="shared" ca="1" si="179"/>
        <v>0</v>
      </c>
      <c r="T254" s="50">
        <f t="shared" ca="1" si="179"/>
        <v>0</v>
      </c>
      <c r="U254" s="50">
        <f t="shared" ca="1" si="179"/>
        <v>0</v>
      </c>
      <c r="V254" s="50">
        <f t="shared" ca="1" si="179"/>
        <v>0</v>
      </c>
      <c r="W254" s="50">
        <f t="shared" ca="1" si="179"/>
        <v>0</v>
      </c>
      <c r="X254" s="50">
        <f t="shared" ca="1" si="179"/>
        <v>0</v>
      </c>
      <c r="Y254" s="50">
        <f t="shared" ca="1" si="179"/>
        <v>0</v>
      </c>
      <c r="Z254" s="50">
        <f t="shared" ca="1" si="179"/>
        <v>0</v>
      </c>
      <c r="AA254" s="50">
        <f t="shared" ca="1" si="179"/>
        <v>0</v>
      </c>
      <c r="AB254" s="50">
        <f t="shared" ca="1" si="179"/>
        <v>0</v>
      </c>
      <c r="AC254" s="50">
        <f t="shared" ca="1" si="179"/>
        <v>0</v>
      </c>
      <c r="AD254" s="50">
        <f t="shared" ca="1" si="179"/>
        <v>0</v>
      </c>
      <c r="AE254" s="50">
        <f t="shared" ca="1" si="179"/>
        <v>0</v>
      </c>
      <c r="AF254" s="50">
        <f t="shared" ca="1" si="179"/>
        <v>0</v>
      </c>
      <c r="AG254" s="50">
        <f t="shared" ca="1" si="179"/>
        <v>0</v>
      </c>
      <c r="AH254" s="50">
        <f t="shared" ca="1" si="179"/>
        <v>0</v>
      </c>
      <c r="AI254" s="50">
        <f t="shared" ca="1" si="179"/>
        <v>0</v>
      </c>
      <c r="AJ254" s="50">
        <f t="shared" ca="1" si="179"/>
        <v>0</v>
      </c>
      <c r="AK254" s="50">
        <f t="shared" ca="1" si="179"/>
        <v>0</v>
      </c>
      <c r="AL254" s="50">
        <f t="shared" si="179"/>
        <v>0</v>
      </c>
      <c r="AM254" s="50">
        <f t="shared" si="179"/>
        <v>0</v>
      </c>
      <c r="AN254" s="50">
        <f t="shared" si="179"/>
        <v>0</v>
      </c>
      <c r="AO254" s="50">
        <f t="shared" si="179"/>
        <v>0</v>
      </c>
      <c r="AP254" s="50">
        <f t="shared" si="179"/>
        <v>0</v>
      </c>
      <c r="AQ254" s="50">
        <f t="shared" si="179"/>
        <v>0</v>
      </c>
      <c r="AR254" s="50">
        <f t="shared" si="179"/>
        <v>0</v>
      </c>
      <c r="AS254" s="50">
        <f t="shared" si="179"/>
        <v>0</v>
      </c>
      <c r="AT254" s="50">
        <f t="shared" si="179"/>
        <v>0</v>
      </c>
      <c r="AU254" s="50">
        <f t="shared" si="179"/>
        <v>0</v>
      </c>
    </row>
    <row r="255" spans="1:47">
      <c r="A255" s="38" t="str">
        <f t="shared" si="173"/>
        <v>Custom-</v>
      </c>
      <c r="B255" s="38" t="s">
        <v>864</v>
      </c>
      <c r="C255" s="38" t="str">
        <f t="shared" si="177"/>
        <v>Drying/Gasification/Energy Recovery</v>
      </c>
      <c r="D255" s="186">
        <f>GHGEsc</f>
        <v>0.02</v>
      </c>
      <c r="E255" s="325"/>
      <c r="G255" s="36" t="s">
        <v>865</v>
      </c>
      <c r="I255" s="39"/>
      <c r="K255" s="39"/>
      <c r="L255" s="43" t="s">
        <v>866</v>
      </c>
      <c r="N255" s="70">
        <f ca="1">IF(VLOOKUP($C255,$G$69:$J$87,4,FALSE)="Off",0,SUMIFS(OFFSET(Assumptions!$I$90,0,MATCH($A255,Configurations,0)-1,COUNT(Assumptions!$A$90:$A$183),1),Assumptions!$D$90:$D$183,$B255&amp;$C255))</f>
        <v>0</v>
      </c>
      <c r="O255" s="313"/>
      <c r="P255" s="323"/>
      <c r="Q255" s="313"/>
      <c r="R255" s="50">
        <f t="shared" ref="R255:AU255" ca="1" si="180">IF(OR(R$99&lt;InServiceYr,R$99&gt;(InServiceYr+analysis_period-1)),0,IF($P255=0,$N255,$P255)*R$513)</f>
        <v>0</v>
      </c>
      <c r="S255" s="50">
        <f t="shared" ca="1" si="180"/>
        <v>0</v>
      </c>
      <c r="T255" s="50">
        <f t="shared" ca="1" si="180"/>
        <v>0</v>
      </c>
      <c r="U255" s="50">
        <f t="shared" ca="1" si="180"/>
        <v>0</v>
      </c>
      <c r="V255" s="50">
        <f t="shared" ca="1" si="180"/>
        <v>0</v>
      </c>
      <c r="W255" s="50">
        <f t="shared" ca="1" si="180"/>
        <v>0</v>
      </c>
      <c r="X255" s="50">
        <f t="shared" ca="1" si="180"/>
        <v>0</v>
      </c>
      <c r="Y255" s="50">
        <f t="shared" ca="1" si="180"/>
        <v>0</v>
      </c>
      <c r="Z255" s="50">
        <f t="shared" ca="1" si="180"/>
        <v>0</v>
      </c>
      <c r="AA255" s="50">
        <f t="shared" ca="1" si="180"/>
        <v>0</v>
      </c>
      <c r="AB255" s="50">
        <f t="shared" ca="1" si="180"/>
        <v>0</v>
      </c>
      <c r="AC255" s="50">
        <f t="shared" ca="1" si="180"/>
        <v>0</v>
      </c>
      <c r="AD255" s="50">
        <f t="shared" ca="1" si="180"/>
        <v>0</v>
      </c>
      <c r="AE255" s="50">
        <f t="shared" ca="1" si="180"/>
        <v>0</v>
      </c>
      <c r="AF255" s="50">
        <f t="shared" ca="1" si="180"/>
        <v>0</v>
      </c>
      <c r="AG255" s="50">
        <f t="shared" ca="1" si="180"/>
        <v>0</v>
      </c>
      <c r="AH255" s="50">
        <f t="shared" ca="1" si="180"/>
        <v>0</v>
      </c>
      <c r="AI255" s="50">
        <f t="shared" ca="1" si="180"/>
        <v>0</v>
      </c>
      <c r="AJ255" s="50">
        <f t="shared" ca="1" si="180"/>
        <v>0</v>
      </c>
      <c r="AK255" s="50">
        <f t="shared" ca="1" si="180"/>
        <v>0</v>
      </c>
      <c r="AL255" s="50">
        <f t="shared" si="180"/>
        <v>0</v>
      </c>
      <c r="AM255" s="50">
        <f t="shared" si="180"/>
        <v>0</v>
      </c>
      <c r="AN255" s="50">
        <f t="shared" si="180"/>
        <v>0</v>
      </c>
      <c r="AO255" s="50">
        <f t="shared" si="180"/>
        <v>0</v>
      </c>
      <c r="AP255" s="50">
        <f t="shared" si="180"/>
        <v>0</v>
      </c>
      <c r="AQ255" s="50">
        <f t="shared" si="180"/>
        <v>0</v>
      </c>
      <c r="AR255" s="50">
        <f t="shared" si="180"/>
        <v>0</v>
      </c>
      <c r="AS255" s="50">
        <f t="shared" si="180"/>
        <v>0</v>
      </c>
      <c r="AT255" s="50">
        <f t="shared" si="180"/>
        <v>0</v>
      </c>
      <c r="AU255" s="50">
        <f t="shared" si="180"/>
        <v>0</v>
      </c>
    </row>
    <row r="256" spans="1:47">
      <c r="A256" s="38" t="str">
        <f t="shared" si="173"/>
        <v>Custom-</v>
      </c>
      <c r="B256" s="38" t="s">
        <v>273</v>
      </c>
      <c r="C256" s="38" t="str">
        <f>C254</f>
        <v>Drying/Gasification/Energy Recovery</v>
      </c>
      <c r="D256" s="186">
        <f>LaborEsc</f>
        <v>0.02</v>
      </c>
      <c r="E256" s="325"/>
      <c r="G256" s="36" t="s">
        <v>291</v>
      </c>
      <c r="I256" s="39"/>
      <c r="K256" s="39"/>
      <c r="L256" s="43" t="str">
        <f>"["&amp;CostBaseYr&amp;" $]"</f>
        <v>[2013 $]</v>
      </c>
      <c r="N256" s="70">
        <f ca="1">IF(VLOOKUP($C256,$G$69:$J$87,4,FALSE)="Off",0,SUMIFS(OFFSET(Assumptions!$I$90,0,MATCH($A256,Configurations,0)-1,COUNT(Assumptions!$A$90:$A$183),1),Assumptions!$D$90:$D$183,$B256&amp;$C256))</f>
        <v>0</v>
      </c>
      <c r="O256" s="313"/>
      <c r="P256" s="323"/>
      <c r="Q256" s="313"/>
      <c r="R256" s="50">
        <f t="shared" ref="R256:AU256" ca="1" si="181">IF(OR(R$99&lt;InServiceYr,R$99&gt;(InServiceYr+analysis_period-1)),0,IF($P256=0,$N256,$P256)*(1+$D256)^(R$99-CostBaseYr))*R$509</f>
        <v>0</v>
      </c>
      <c r="S256" s="50">
        <f t="shared" ca="1" si="181"/>
        <v>0</v>
      </c>
      <c r="T256" s="50">
        <f t="shared" ca="1" si="181"/>
        <v>0</v>
      </c>
      <c r="U256" s="50">
        <f t="shared" ca="1" si="181"/>
        <v>0</v>
      </c>
      <c r="V256" s="50">
        <f t="shared" ca="1" si="181"/>
        <v>0</v>
      </c>
      <c r="W256" s="50">
        <f t="shared" ca="1" si="181"/>
        <v>0</v>
      </c>
      <c r="X256" s="50">
        <f t="shared" ca="1" si="181"/>
        <v>0</v>
      </c>
      <c r="Y256" s="50">
        <f t="shared" ca="1" si="181"/>
        <v>0</v>
      </c>
      <c r="Z256" s="50">
        <f t="shared" ca="1" si="181"/>
        <v>0</v>
      </c>
      <c r="AA256" s="50">
        <f t="shared" ca="1" si="181"/>
        <v>0</v>
      </c>
      <c r="AB256" s="50">
        <f t="shared" ca="1" si="181"/>
        <v>0</v>
      </c>
      <c r="AC256" s="50">
        <f t="shared" ca="1" si="181"/>
        <v>0</v>
      </c>
      <c r="AD256" s="50">
        <f t="shared" ca="1" si="181"/>
        <v>0</v>
      </c>
      <c r="AE256" s="50">
        <f t="shared" ca="1" si="181"/>
        <v>0</v>
      </c>
      <c r="AF256" s="50">
        <f t="shared" ca="1" si="181"/>
        <v>0</v>
      </c>
      <c r="AG256" s="50">
        <f t="shared" ca="1" si="181"/>
        <v>0</v>
      </c>
      <c r="AH256" s="50">
        <f t="shared" ca="1" si="181"/>
        <v>0</v>
      </c>
      <c r="AI256" s="50">
        <f t="shared" ca="1" si="181"/>
        <v>0</v>
      </c>
      <c r="AJ256" s="50">
        <f t="shared" ca="1" si="181"/>
        <v>0</v>
      </c>
      <c r="AK256" s="50">
        <f t="shared" ca="1" si="181"/>
        <v>0</v>
      </c>
      <c r="AL256" s="50">
        <f t="shared" si="181"/>
        <v>0</v>
      </c>
      <c r="AM256" s="50">
        <f t="shared" si="181"/>
        <v>0</v>
      </c>
      <c r="AN256" s="50">
        <f t="shared" si="181"/>
        <v>0</v>
      </c>
      <c r="AO256" s="50">
        <f t="shared" si="181"/>
        <v>0</v>
      </c>
      <c r="AP256" s="50">
        <f t="shared" si="181"/>
        <v>0</v>
      </c>
      <c r="AQ256" s="50">
        <f t="shared" si="181"/>
        <v>0</v>
      </c>
      <c r="AR256" s="50">
        <f t="shared" si="181"/>
        <v>0</v>
      </c>
      <c r="AS256" s="50">
        <f t="shared" si="181"/>
        <v>0</v>
      </c>
      <c r="AT256" s="50">
        <f t="shared" si="181"/>
        <v>0</v>
      </c>
      <c r="AU256" s="50">
        <f t="shared" si="181"/>
        <v>0</v>
      </c>
    </row>
    <row r="257" spans="1:47">
      <c r="D257" s="186"/>
      <c r="E257" s="325"/>
      <c r="G257" s="39" t="s">
        <v>304</v>
      </c>
      <c r="I257" s="39"/>
      <c r="K257" s="39"/>
      <c r="L257" s="43"/>
      <c r="N257" s="70"/>
      <c r="O257" s="313"/>
      <c r="P257" s="70"/>
      <c r="Q257" s="313"/>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row>
    <row r="258" spans="1:47">
      <c r="A258" s="38" t="str">
        <f>$J$4&amp;"-"</f>
        <v>Custom-</v>
      </c>
      <c r="B258" s="38" t="s">
        <v>265</v>
      </c>
      <c r="C258" s="38" t="str">
        <f>C249</f>
        <v>Drying/Gasification/Energy Recovery</v>
      </c>
      <c r="D258" s="186"/>
      <c r="E258" s="325"/>
      <c r="G258" s="36" t="s">
        <v>108</v>
      </c>
      <c r="I258" s="39"/>
      <c r="K258" s="39"/>
      <c r="L258" s="43" t="s">
        <v>293</v>
      </c>
      <c r="N258" s="70">
        <f ca="1">IF(VLOOKUP($C258,$G$69:$J$87,4,FALSE)="Off",0,SUMIFS(OFFSET(Assumptions!$I$90,0,MATCH($A258,Configurations,0)-1,COUNT(Assumptions!$A$90:$A$183),1),Assumptions!$D$90:$D$183,$B258&amp;$C258))</f>
        <v>0</v>
      </c>
      <c r="O258" s="313"/>
      <c r="P258" s="323"/>
      <c r="Q258" s="313"/>
      <c r="R258" s="50">
        <f t="shared" ref="R258:AU258" ca="1" si="182">IF(OR(R$99&lt;InServiceYr,R$99&gt;(InServiceYr+analysis_period-1)),0,IF($P258=0,$N258,$P258)*R$501)</f>
        <v>0</v>
      </c>
      <c r="S258" s="50">
        <f t="shared" ca="1" si="182"/>
        <v>0</v>
      </c>
      <c r="T258" s="50">
        <f t="shared" ca="1" si="182"/>
        <v>0</v>
      </c>
      <c r="U258" s="50">
        <f t="shared" ca="1" si="182"/>
        <v>0</v>
      </c>
      <c r="V258" s="50">
        <f t="shared" ca="1" si="182"/>
        <v>0</v>
      </c>
      <c r="W258" s="50">
        <f t="shared" ca="1" si="182"/>
        <v>0</v>
      </c>
      <c r="X258" s="50">
        <f t="shared" ca="1" si="182"/>
        <v>0</v>
      </c>
      <c r="Y258" s="50">
        <f t="shared" ca="1" si="182"/>
        <v>0</v>
      </c>
      <c r="Z258" s="50">
        <f t="shared" ca="1" si="182"/>
        <v>0</v>
      </c>
      <c r="AA258" s="50">
        <f t="shared" ca="1" si="182"/>
        <v>0</v>
      </c>
      <c r="AB258" s="50">
        <f t="shared" ca="1" si="182"/>
        <v>0</v>
      </c>
      <c r="AC258" s="50">
        <f t="shared" ca="1" si="182"/>
        <v>0</v>
      </c>
      <c r="AD258" s="50">
        <f t="shared" ca="1" si="182"/>
        <v>0</v>
      </c>
      <c r="AE258" s="50">
        <f t="shared" ca="1" si="182"/>
        <v>0</v>
      </c>
      <c r="AF258" s="50">
        <f t="shared" ca="1" si="182"/>
        <v>0</v>
      </c>
      <c r="AG258" s="50">
        <f t="shared" ca="1" si="182"/>
        <v>0</v>
      </c>
      <c r="AH258" s="50">
        <f t="shared" ca="1" si="182"/>
        <v>0</v>
      </c>
      <c r="AI258" s="50">
        <f t="shared" ca="1" si="182"/>
        <v>0</v>
      </c>
      <c r="AJ258" s="50">
        <f t="shared" ca="1" si="182"/>
        <v>0</v>
      </c>
      <c r="AK258" s="50">
        <f t="shared" ca="1" si="182"/>
        <v>0</v>
      </c>
      <c r="AL258" s="50">
        <f t="shared" si="182"/>
        <v>0</v>
      </c>
      <c r="AM258" s="50">
        <f t="shared" si="182"/>
        <v>0</v>
      </c>
      <c r="AN258" s="50">
        <f t="shared" si="182"/>
        <v>0</v>
      </c>
      <c r="AO258" s="50">
        <f t="shared" si="182"/>
        <v>0</v>
      </c>
      <c r="AP258" s="50">
        <f t="shared" si="182"/>
        <v>0</v>
      </c>
      <c r="AQ258" s="50">
        <f t="shared" si="182"/>
        <v>0</v>
      </c>
      <c r="AR258" s="50">
        <f t="shared" si="182"/>
        <v>0</v>
      </c>
      <c r="AS258" s="50">
        <f t="shared" si="182"/>
        <v>0</v>
      </c>
      <c r="AT258" s="50">
        <f t="shared" si="182"/>
        <v>0</v>
      </c>
      <c r="AU258" s="50">
        <f t="shared" si="182"/>
        <v>0</v>
      </c>
    </row>
    <row r="259" spans="1:47">
      <c r="A259" s="38" t="str">
        <f>$J$4&amp;"-"</f>
        <v>Custom-</v>
      </c>
      <c r="B259" s="38" t="s">
        <v>289</v>
      </c>
      <c r="C259" s="38" t="str">
        <f>C249</f>
        <v>Drying/Gasification/Energy Recovery</v>
      </c>
      <c r="D259" s="186">
        <f>LaborEsc</f>
        <v>0.02</v>
      </c>
      <c r="E259" s="325"/>
      <c r="G259" s="36" t="s">
        <v>292</v>
      </c>
      <c r="I259" s="39"/>
      <c r="K259" s="39"/>
      <c r="L259" s="43" t="str">
        <f>"["&amp;CostBaseYr&amp;" $]"</f>
        <v>[2013 $]</v>
      </c>
      <c r="N259" s="70">
        <f ca="1">IF(VLOOKUP($C259,$G$69:$J$87,4,FALSE)="Off",0,SUMIFS(OFFSET(Assumptions!$I$90,0,MATCH($A259,Configurations,0)-1,COUNT(Assumptions!$A$90:$A$183),1),Assumptions!$D$90:$D$183,$B259&amp;$C259))</f>
        <v>0</v>
      </c>
      <c r="O259" s="313"/>
      <c r="P259" s="323"/>
      <c r="Q259" s="313"/>
      <c r="R259" s="50">
        <f t="shared" ref="R259:AU259" ca="1" si="183">IF(OR(R$99&lt;InServiceYr,R$99&gt;(InServiceYr+analysis_period-1)),0,IF($P259=0,$N259,$P259)*(1+$D259)^(R$99-CostBaseYr))</f>
        <v>0</v>
      </c>
      <c r="S259" s="50">
        <f t="shared" ca="1" si="183"/>
        <v>0</v>
      </c>
      <c r="T259" s="50">
        <f t="shared" ca="1" si="183"/>
        <v>0</v>
      </c>
      <c r="U259" s="50">
        <f t="shared" ca="1" si="183"/>
        <v>0</v>
      </c>
      <c r="V259" s="50">
        <f t="shared" ca="1" si="183"/>
        <v>0</v>
      </c>
      <c r="W259" s="50">
        <f t="shared" ca="1" si="183"/>
        <v>0</v>
      </c>
      <c r="X259" s="50">
        <f t="shared" ca="1" si="183"/>
        <v>0</v>
      </c>
      <c r="Y259" s="50">
        <f t="shared" ca="1" si="183"/>
        <v>0</v>
      </c>
      <c r="Z259" s="50">
        <f t="shared" ca="1" si="183"/>
        <v>0</v>
      </c>
      <c r="AA259" s="50">
        <f t="shared" ca="1" si="183"/>
        <v>0</v>
      </c>
      <c r="AB259" s="50">
        <f t="shared" ca="1" si="183"/>
        <v>0</v>
      </c>
      <c r="AC259" s="50">
        <f t="shared" ca="1" si="183"/>
        <v>0</v>
      </c>
      <c r="AD259" s="50">
        <f t="shared" ca="1" si="183"/>
        <v>0</v>
      </c>
      <c r="AE259" s="50">
        <f t="shared" ca="1" si="183"/>
        <v>0</v>
      </c>
      <c r="AF259" s="50">
        <f t="shared" ca="1" si="183"/>
        <v>0</v>
      </c>
      <c r="AG259" s="50">
        <f t="shared" ca="1" si="183"/>
        <v>0</v>
      </c>
      <c r="AH259" s="50">
        <f t="shared" ca="1" si="183"/>
        <v>0</v>
      </c>
      <c r="AI259" s="50">
        <f t="shared" ca="1" si="183"/>
        <v>0</v>
      </c>
      <c r="AJ259" s="50">
        <f t="shared" ca="1" si="183"/>
        <v>0</v>
      </c>
      <c r="AK259" s="50">
        <f t="shared" ca="1" si="183"/>
        <v>0</v>
      </c>
      <c r="AL259" s="50">
        <f t="shared" si="183"/>
        <v>0</v>
      </c>
      <c r="AM259" s="50">
        <f t="shared" si="183"/>
        <v>0</v>
      </c>
      <c r="AN259" s="50">
        <f t="shared" si="183"/>
        <v>0</v>
      </c>
      <c r="AO259" s="50">
        <f t="shared" si="183"/>
        <v>0</v>
      </c>
      <c r="AP259" s="50">
        <f t="shared" si="183"/>
        <v>0</v>
      </c>
      <c r="AQ259" s="50">
        <f t="shared" si="183"/>
        <v>0</v>
      </c>
      <c r="AR259" s="50">
        <f t="shared" si="183"/>
        <v>0</v>
      </c>
      <c r="AS259" s="50">
        <f t="shared" si="183"/>
        <v>0</v>
      </c>
      <c r="AT259" s="50">
        <f t="shared" si="183"/>
        <v>0</v>
      </c>
      <c r="AU259" s="50">
        <f t="shared" si="183"/>
        <v>0</v>
      </c>
    </row>
    <row r="260" spans="1:47" s="60" customFormat="1">
      <c r="D260" s="187"/>
      <c r="E260" s="325"/>
      <c r="G260" s="39" t="s">
        <v>305</v>
      </c>
      <c r="I260" s="39"/>
      <c r="K260" s="39"/>
      <c r="L260" s="174"/>
      <c r="N260" s="188"/>
      <c r="O260" s="314"/>
      <c r="P260" s="185"/>
      <c r="Q260" s="314"/>
      <c r="R260" s="185">
        <f ca="1">SUM(R249:R256)-SUM(R258:R259)</f>
        <v>0</v>
      </c>
      <c r="S260" s="185">
        <f t="shared" ref="S260:AU260" ca="1" si="184">SUM(S249:S256)-SUM(S258:S259)</f>
        <v>0</v>
      </c>
      <c r="T260" s="185">
        <f t="shared" ca="1" si="184"/>
        <v>0</v>
      </c>
      <c r="U260" s="185">
        <f t="shared" ca="1" si="184"/>
        <v>0</v>
      </c>
      <c r="V260" s="185">
        <f t="shared" ca="1" si="184"/>
        <v>0</v>
      </c>
      <c r="W260" s="185">
        <f t="shared" ca="1" si="184"/>
        <v>0</v>
      </c>
      <c r="X260" s="185">
        <f t="shared" ca="1" si="184"/>
        <v>0</v>
      </c>
      <c r="Y260" s="185">
        <f t="shared" ca="1" si="184"/>
        <v>0</v>
      </c>
      <c r="Z260" s="185">
        <f t="shared" ca="1" si="184"/>
        <v>0</v>
      </c>
      <c r="AA260" s="185">
        <f t="shared" ca="1" si="184"/>
        <v>0</v>
      </c>
      <c r="AB260" s="185">
        <f t="shared" ca="1" si="184"/>
        <v>0</v>
      </c>
      <c r="AC260" s="185">
        <f t="shared" ca="1" si="184"/>
        <v>0</v>
      </c>
      <c r="AD260" s="185">
        <f t="shared" ca="1" si="184"/>
        <v>0</v>
      </c>
      <c r="AE260" s="185">
        <f t="shared" ca="1" si="184"/>
        <v>0</v>
      </c>
      <c r="AF260" s="185">
        <f t="shared" ca="1" si="184"/>
        <v>0</v>
      </c>
      <c r="AG260" s="185">
        <f t="shared" ca="1" si="184"/>
        <v>0</v>
      </c>
      <c r="AH260" s="185">
        <f t="shared" ca="1" si="184"/>
        <v>0</v>
      </c>
      <c r="AI260" s="185">
        <f t="shared" ca="1" si="184"/>
        <v>0</v>
      </c>
      <c r="AJ260" s="185">
        <f t="shared" ca="1" si="184"/>
        <v>0</v>
      </c>
      <c r="AK260" s="185">
        <f t="shared" ca="1" si="184"/>
        <v>0</v>
      </c>
      <c r="AL260" s="185">
        <f t="shared" si="184"/>
        <v>0</v>
      </c>
      <c r="AM260" s="185">
        <f t="shared" si="184"/>
        <v>0</v>
      </c>
      <c r="AN260" s="185">
        <f t="shared" si="184"/>
        <v>0</v>
      </c>
      <c r="AO260" s="185">
        <f t="shared" si="184"/>
        <v>0</v>
      </c>
      <c r="AP260" s="185">
        <f t="shared" si="184"/>
        <v>0</v>
      </c>
      <c r="AQ260" s="185">
        <f t="shared" si="184"/>
        <v>0</v>
      </c>
      <c r="AR260" s="185">
        <f t="shared" si="184"/>
        <v>0</v>
      </c>
      <c r="AS260" s="185">
        <f t="shared" si="184"/>
        <v>0</v>
      </c>
      <c r="AT260" s="185">
        <f t="shared" si="184"/>
        <v>0</v>
      </c>
      <c r="AU260" s="185">
        <f t="shared" si="184"/>
        <v>0</v>
      </c>
    </row>
    <row r="261" spans="1:47">
      <c r="E261" s="36"/>
      <c r="G261" s="39"/>
      <c r="H261" s="39"/>
      <c r="I261" s="39"/>
      <c r="J261" s="39"/>
      <c r="K261" s="39"/>
    </row>
    <row r="262" spans="1:47">
      <c r="E262" s="327"/>
      <c r="F262" s="28"/>
      <c r="G262" s="324" t="str">
        <f>C264&amp;" Capital Costs"</f>
        <v>Energy Recovery Capital Costs</v>
      </c>
      <c r="H262" s="324"/>
      <c r="I262" s="324"/>
      <c r="J262" s="324"/>
      <c r="K262" s="324"/>
      <c r="L262" s="405" t="s">
        <v>79</v>
      </c>
      <c r="M262" s="256"/>
      <c r="N262" s="325" t="s">
        <v>490</v>
      </c>
      <c r="O262" s="311"/>
      <c r="P262" s="325" t="s">
        <v>491</v>
      </c>
      <c r="Q262" s="310"/>
      <c r="R262" s="325">
        <f>R$8</f>
        <v>2014</v>
      </c>
      <c r="S262" s="325">
        <f t="shared" ref="S262:AU262" si="185">S$8</f>
        <v>2015</v>
      </c>
      <c r="T262" s="325">
        <f t="shared" si="185"/>
        <v>2016</v>
      </c>
      <c r="U262" s="325">
        <f t="shared" si="185"/>
        <v>2017</v>
      </c>
      <c r="V262" s="325">
        <f t="shared" si="185"/>
        <v>2018</v>
      </c>
      <c r="W262" s="325">
        <f t="shared" si="185"/>
        <v>2019</v>
      </c>
      <c r="X262" s="325">
        <f t="shared" si="185"/>
        <v>2020</v>
      </c>
      <c r="Y262" s="325">
        <f t="shared" si="185"/>
        <v>2021</v>
      </c>
      <c r="Z262" s="325">
        <f t="shared" si="185"/>
        <v>2022</v>
      </c>
      <c r="AA262" s="325">
        <f t="shared" si="185"/>
        <v>2023</v>
      </c>
      <c r="AB262" s="325">
        <f t="shared" si="185"/>
        <v>2024</v>
      </c>
      <c r="AC262" s="325">
        <f t="shared" si="185"/>
        <v>2025</v>
      </c>
      <c r="AD262" s="325">
        <f t="shared" si="185"/>
        <v>2026</v>
      </c>
      <c r="AE262" s="325">
        <f t="shared" si="185"/>
        <v>2027</v>
      </c>
      <c r="AF262" s="325">
        <f t="shared" si="185"/>
        <v>2028</v>
      </c>
      <c r="AG262" s="325">
        <f t="shared" si="185"/>
        <v>2029</v>
      </c>
      <c r="AH262" s="325">
        <f t="shared" si="185"/>
        <v>2030</v>
      </c>
      <c r="AI262" s="325">
        <f t="shared" si="185"/>
        <v>2031</v>
      </c>
      <c r="AJ262" s="325">
        <f t="shared" si="185"/>
        <v>2032</v>
      </c>
      <c r="AK262" s="325">
        <f t="shared" si="185"/>
        <v>2033</v>
      </c>
      <c r="AL262" s="325">
        <f t="shared" si="185"/>
        <v>2034</v>
      </c>
      <c r="AM262" s="325">
        <f t="shared" si="185"/>
        <v>2035</v>
      </c>
      <c r="AN262" s="325">
        <f t="shared" si="185"/>
        <v>2036</v>
      </c>
      <c r="AO262" s="325">
        <f t="shared" si="185"/>
        <v>2037</v>
      </c>
      <c r="AP262" s="325">
        <f t="shared" si="185"/>
        <v>2038</v>
      </c>
      <c r="AQ262" s="325">
        <f t="shared" si="185"/>
        <v>2039</v>
      </c>
      <c r="AR262" s="325">
        <f t="shared" si="185"/>
        <v>2040</v>
      </c>
      <c r="AS262" s="325">
        <f t="shared" si="185"/>
        <v>2041</v>
      </c>
      <c r="AT262" s="325">
        <f t="shared" si="185"/>
        <v>2042</v>
      </c>
      <c r="AU262" s="325">
        <f t="shared" si="185"/>
        <v>2043</v>
      </c>
    </row>
    <row r="263" spans="1:47">
      <c r="E263" s="325"/>
      <c r="G263" s="39"/>
      <c r="H263" s="39"/>
      <c r="I263" s="39"/>
      <c r="J263" s="39"/>
      <c r="K263" s="39"/>
    </row>
    <row r="264" spans="1:47">
      <c r="A264" s="38" t="str">
        <f>$J$4&amp;"-"</f>
        <v>Custom-</v>
      </c>
      <c r="B264" s="38" t="s">
        <v>306</v>
      </c>
      <c r="C264" s="38" t="s">
        <v>321</v>
      </c>
      <c r="D264" s="186">
        <f>CapExEsc</f>
        <v>0.03</v>
      </c>
      <c r="E264" s="325"/>
      <c r="G264" s="36" t="s">
        <v>8</v>
      </c>
      <c r="H264" s="39"/>
      <c r="I264" s="39"/>
      <c r="J264" s="70"/>
      <c r="K264" s="39"/>
      <c r="L264" s="43" t="str">
        <f>"["&amp;CostBaseYr&amp;" $]"</f>
        <v>[2013 $]</v>
      </c>
      <c r="N264" s="52">
        <f ca="1">IF(VLOOKUP($C264,$G$69:$J$87,4,FALSE)="Off", 0,SUMIFS(OFFSET(Assumptions!$I$65,0,MATCH($A264,Configurations,0)-1,COUNT(Assumptions!$A$65:$A$84),1),Assumptions!$E$65:$E$84,$C264))</f>
        <v>0</v>
      </c>
      <c r="O264" s="52"/>
      <c r="P264" s="322"/>
      <c r="Q264" s="52"/>
      <c r="R264" s="52">
        <f t="shared" ref="R264:AU264" ca="1" si="186">R265*IF($P264=0,$N264,$P264)*(1+$D264)^(R$8-CostBaseYr)</f>
        <v>0</v>
      </c>
      <c r="S264" s="52">
        <f t="shared" ca="1" si="186"/>
        <v>0</v>
      </c>
      <c r="T264" s="52">
        <f t="shared" ca="1" si="186"/>
        <v>0</v>
      </c>
      <c r="U264" s="52">
        <f t="shared" ca="1" si="186"/>
        <v>0</v>
      </c>
      <c r="V264" s="52">
        <f t="shared" ca="1" si="186"/>
        <v>0</v>
      </c>
      <c r="W264" s="52">
        <f t="shared" ca="1" si="186"/>
        <v>0</v>
      </c>
      <c r="X264" s="52">
        <f t="shared" ca="1" si="186"/>
        <v>0</v>
      </c>
      <c r="Y264" s="52">
        <f t="shared" ca="1" si="186"/>
        <v>0</v>
      </c>
      <c r="Z264" s="52">
        <f t="shared" ca="1" si="186"/>
        <v>0</v>
      </c>
      <c r="AA264" s="52">
        <f t="shared" ca="1" si="186"/>
        <v>0</v>
      </c>
      <c r="AB264" s="52">
        <f t="shared" ca="1" si="186"/>
        <v>0</v>
      </c>
      <c r="AC264" s="52">
        <f t="shared" ca="1" si="186"/>
        <v>0</v>
      </c>
      <c r="AD264" s="52">
        <f t="shared" ca="1" si="186"/>
        <v>0</v>
      </c>
      <c r="AE264" s="52">
        <f t="shared" ca="1" si="186"/>
        <v>0</v>
      </c>
      <c r="AF264" s="52">
        <f t="shared" ca="1" si="186"/>
        <v>0</v>
      </c>
      <c r="AG264" s="52">
        <f t="shared" ca="1" si="186"/>
        <v>0</v>
      </c>
      <c r="AH264" s="52">
        <f t="shared" ca="1" si="186"/>
        <v>0</v>
      </c>
      <c r="AI264" s="52">
        <f t="shared" ca="1" si="186"/>
        <v>0</v>
      </c>
      <c r="AJ264" s="52">
        <f t="shared" ca="1" si="186"/>
        <v>0</v>
      </c>
      <c r="AK264" s="52">
        <f t="shared" ca="1" si="186"/>
        <v>0</v>
      </c>
      <c r="AL264" s="52">
        <f t="shared" ca="1" si="186"/>
        <v>0</v>
      </c>
      <c r="AM264" s="52">
        <f t="shared" ca="1" si="186"/>
        <v>0</v>
      </c>
      <c r="AN264" s="52">
        <f t="shared" ca="1" si="186"/>
        <v>0</v>
      </c>
      <c r="AO264" s="52">
        <f t="shared" ca="1" si="186"/>
        <v>0</v>
      </c>
      <c r="AP264" s="52">
        <f t="shared" ca="1" si="186"/>
        <v>0</v>
      </c>
      <c r="AQ264" s="52">
        <f t="shared" ca="1" si="186"/>
        <v>0</v>
      </c>
      <c r="AR264" s="52">
        <f t="shared" ca="1" si="186"/>
        <v>0</v>
      </c>
      <c r="AS264" s="52">
        <f t="shared" ca="1" si="186"/>
        <v>0</v>
      </c>
      <c r="AT264" s="52">
        <f t="shared" ca="1" si="186"/>
        <v>0</v>
      </c>
      <c r="AU264" s="52">
        <f t="shared" ca="1" si="186"/>
        <v>0</v>
      </c>
    </row>
    <row r="265" spans="1:47">
      <c r="E265" s="325"/>
      <c r="G265" s="36" t="s">
        <v>10</v>
      </c>
      <c r="H265" s="39"/>
      <c r="I265" s="39"/>
      <c r="J265" s="39"/>
      <c r="K265" s="39"/>
      <c r="L265" s="43"/>
      <c r="R265" s="54">
        <f>Assumptions!M$60</f>
        <v>1</v>
      </c>
      <c r="S265" s="54">
        <f>Assumptions!N$60</f>
        <v>0</v>
      </c>
      <c r="T265" s="54">
        <f>Assumptions!O$60</f>
        <v>0</v>
      </c>
      <c r="U265" s="54">
        <f>Assumptions!P$60</f>
        <v>0</v>
      </c>
      <c r="V265" s="54">
        <f>Assumptions!Q$60</f>
        <v>0</v>
      </c>
      <c r="W265" s="54">
        <f>Assumptions!R$60</f>
        <v>0</v>
      </c>
      <c r="X265" s="54">
        <f>Assumptions!S$60</f>
        <v>0</v>
      </c>
      <c r="Y265" s="54">
        <f>Assumptions!T$60</f>
        <v>0</v>
      </c>
      <c r="Z265" s="54">
        <f>Assumptions!U$60</f>
        <v>0</v>
      </c>
      <c r="AA265" s="54">
        <f>Assumptions!V$60</f>
        <v>0</v>
      </c>
      <c r="AB265" s="54">
        <f>Assumptions!W$60</f>
        <v>0</v>
      </c>
      <c r="AC265" s="54">
        <f>Assumptions!X$60</f>
        <v>0</v>
      </c>
      <c r="AD265" s="54">
        <f>Assumptions!Y$60</f>
        <v>0</v>
      </c>
      <c r="AE265" s="54">
        <f>Assumptions!Z$60</f>
        <v>0</v>
      </c>
      <c r="AF265" s="54">
        <f>Assumptions!AA$60</f>
        <v>0</v>
      </c>
      <c r="AG265" s="54">
        <f>Assumptions!AB$60</f>
        <v>0</v>
      </c>
      <c r="AH265" s="54">
        <f>Assumptions!AC$60</f>
        <v>0</v>
      </c>
      <c r="AI265" s="54">
        <f>Assumptions!AD$60</f>
        <v>0</v>
      </c>
      <c r="AJ265" s="54">
        <f>Assumptions!AE$60</f>
        <v>0</v>
      </c>
      <c r="AK265" s="54">
        <f>Assumptions!AF$60</f>
        <v>0</v>
      </c>
      <c r="AL265" s="54">
        <f>Assumptions!AG$60</f>
        <v>0</v>
      </c>
      <c r="AM265" s="54">
        <f>Assumptions!AH$60</f>
        <v>0</v>
      </c>
      <c r="AN265" s="54">
        <f>Assumptions!AI$60</f>
        <v>0</v>
      </c>
      <c r="AO265" s="54">
        <f>Assumptions!AJ$60</f>
        <v>0</v>
      </c>
      <c r="AP265" s="54">
        <f>Assumptions!AK$60</f>
        <v>0</v>
      </c>
      <c r="AQ265" s="54">
        <f>Assumptions!AL$60</f>
        <v>0</v>
      </c>
      <c r="AR265" s="54">
        <f>Assumptions!AM$60</f>
        <v>0</v>
      </c>
      <c r="AS265" s="54">
        <f>Assumptions!AN$60</f>
        <v>0</v>
      </c>
      <c r="AT265" s="54">
        <f>Assumptions!AO$60</f>
        <v>0</v>
      </c>
      <c r="AU265" s="54">
        <f>Assumptions!AP$60</f>
        <v>0</v>
      </c>
    </row>
    <row r="266" spans="1:47">
      <c r="E266" s="326"/>
      <c r="G266" s="39"/>
      <c r="H266" s="39"/>
      <c r="I266" s="39"/>
      <c r="J266" s="39"/>
      <c r="K266" s="39"/>
    </row>
    <row r="267" spans="1:47">
      <c r="E267" s="327"/>
      <c r="F267" s="28"/>
      <c r="G267" s="324" t="str">
        <f>C264&amp;" O&amp;M"</f>
        <v>Energy Recovery O&amp;M</v>
      </c>
      <c r="H267" s="324"/>
      <c r="I267" s="324"/>
      <c r="J267" s="324"/>
      <c r="K267" s="324"/>
      <c r="L267" s="405" t="s">
        <v>79</v>
      </c>
      <c r="M267" s="256"/>
      <c r="N267" s="325" t="s">
        <v>490</v>
      </c>
      <c r="O267" s="311"/>
      <c r="P267" s="325" t="s">
        <v>491</v>
      </c>
      <c r="Q267" s="310"/>
      <c r="R267" s="325">
        <f>R$8</f>
        <v>2014</v>
      </c>
      <c r="S267" s="325">
        <f t="shared" ref="S267:AU267" si="187">S$8</f>
        <v>2015</v>
      </c>
      <c r="T267" s="325">
        <f t="shared" si="187"/>
        <v>2016</v>
      </c>
      <c r="U267" s="325">
        <f t="shared" si="187"/>
        <v>2017</v>
      </c>
      <c r="V267" s="325">
        <f t="shared" si="187"/>
        <v>2018</v>
      </c>
      <c r="W267" s="325">
        <f t="shared" si="187"/>
        <v>2019</v>
      </c>
      <c r="X267" s="325">
        <f t="shared" si="187"/>
        <v>2020</v>
      </c>
      <c r="Y267" s="325">
        <f t="shared" si="187"/>
        <v>2021</v>
      </c>
      <c r="Z267" s="325">
        <f t="shared" si="187"/>
        <v>2022</v>
      </c>
      <c r="AA267" s="325">
        <f t="shared" si="187"/>
        <v>2023</v>
      </c>
      <c r="AB267" s="325">
        <f t="shared" si="187"/>
        <v>2024</v>
      </c>
      <c r="AC267" s="325">
        <f t="shared" si="187"/>
        <v>2025</v>
      </c>
      <c r="AD267" s="325">
        <f t="shared" si="187"/>
        <v>2026</v>
      </c>
      <c r="AE267" s="325">
        <f t="shared" si="187"/>
        <v>2027</v>
      </c>
      <c r="AF267" s="325">
        <f t="shared" si="187"/>
        <v>2028</v>
      </c>
      <c r="AG267" s="325">
        <f t="shared" si="187"/>
        <v>2029</v>
      </c>
      <c r="AH267" s="325">
        <f t="shared" si="187"/>
        <v>2030</v>
      </c>
      <c r="AI267" s="325">
        <f t="shared" si="187"/>
        <v>2031</v>
      </c>
      <c r="AJ267" s="325">
        <f t="shared" si="187"/>
        <v>2032</v>
      </c>
      <c r="AK267" s="325">
        <f t="shared" si="187"/>
        <v>2033</v>
      </c>
      <c r="AL267" s="325">
        <f t="shared" si="187"/>
        <v>2034</v>
      </c>
      <c r="AM267" s="325">
        <f t="shared" si="187"/>
        <v>2035</v>
      </c>
      <c r="AN267" s="325">
        <f t="shared" si="187"/>
        <v>2036</v>
      </c>
      <c r="AO267" s="325">
        <f t="shared" si="187"/>
        <v>2037</v>
      </c>
      <c r="AP267" s="325">
        <f t="shared" si="187"/>
        <v>2038</v>
      </c>
      <c r="AQ267" s="325">
        <f t="shared" si="187"/>
        <v>2039</v>
      </c>
      <c r="AR267" s="325">
        <f t="shared" si="187"/>
        <v>2040</v>
      </c>
      <c r="AS267" s="325">
        <f t="shared" si="187"/>
        <v>2041</v>
      </c>
      <c r="AT267" s="325">
        <f t="shared" si="187"/>
        <v>2042</v>
      </c>
      <c r="AU267" s="325">
        <f t="shared" si="187"/>
        <v>2043</v>
      </c>
    </row>
    <row r="268" spans="1:47">
      <c r="E268" s="325"/>
      <c r="G268" s="39"/>
      <c r="H268" s="39"/>
      <c r="I268" s="39"/>
      <c r="J268" s="39"/>
      <c r="K268" s="39"/>
    </row>
    <row r="269" spans="1:47">
      <c r="E269" s="325"/>
      <c r="G269" s="39" t="s">
        <v>23</v>
      </c>
      <c r="H269" s="39"/>
      <c r="I269" s="39"/>
      <c r="J269" s="39"/>
      <c r="K269" s="39"/>
    </row>
    <row r="270" spans="1:47">
      <c r="A270" s="38" t="str">
        <f t="shared" ref="A270:A277" si="188">$J$4&amp;"-"</f>
        <v>Custom-</v>
      </c>
      <c r="B270" s="38" t="s">
        <v>262</v>
      </c>
      <c r="C270" s="38" t="str">
        <f>C264</f>
        <v>Energy Recovery</v>
      </c>
      <c r="D270" s="186">
        <f>LaborEsc</f>
        <v>0.02</v>
      </c>
      <c r="E270" s="325"/>
      <c r="G270" s="36" t="s">
        <v>125</v>
      </c>
      <c r="I270" s="39"/>
      <c r="K270" s="39"/>
      <c r="L270" s="43" t="s">
        <v>266</v>
      </c>
      <c r="N270" s="70">
        <f ca="1">IF(VLOOKUP($C270,$G$69:$J$87,4,FALSE)="Off",0,SUMIFS(OFFSET(Assumptions!$I$90,0,MATCH($A270,Configurations,0)-1,COUNT(Assumptions!$A$90:$A$183),1),Assumptions!$D$90:$D$183,$B270&amp;$C270))</f>
        <v>0</v>
      </c>
      <c r="O270" s="313"/>
      <c r="P270" s="323"/>
      <c r="Q270" s="313"/>
      <c r="R270" s="50">
        <f t="shared" ref="R270:AU270" ca="1" si="189">IF(OR(R$99&lt;InServiceYr,R$99&gt;(InServiceYr+analysis_period-1)),0,IF($P270=0,$N270,$P270)*LaborCost*(1+$D270)^(R$99-CostBaseYr))</f>
        <v>0</v>
      </c>
      <c r="S270" s="50">
        <f t="shared" ca="1" si="189"/>
        <v>0</v>
      </c>
      <c r="T270" s="50">
        <f t="shared" ca="1" si="189"/>
        <v>0</v>
      </c>
      <c r="U270" s="50">
        <f t="shared" ca="1" si="189"/>
        <v>0</v>
      </c>
      <c r="V270" s="50">
        <f t="shared" ca="1" si="189"/>
        <v>0</v>
      </c>
      <c r="W270" s="50">
        <f t="shared" ca="1" si="189"/>
        <v>0</v>
      </c>
      <c r="X270" s="50">
        <f t="shared" ca="1" si="189"/>
        <v>0</v>
      </c>
      <c r="Y270" s="50">
        <f t="shared" ca="1" si="189"/>
        <v>0</v>
      </c>
      <c r="Z270" s="50">
        <f t="shared" ca="1" si="189"/>
        <v>0</v>
      </c>
      <c r="AA270" s="50">
        <f t="shared" ca="1" si="189"/>
        <v>0</v>
      </c>
      <c r="AB270" s="50">
        <f t="shared" ca="1" si="189"/>
        <v>0</v>
      </c>
      <c r="AC270" s="50">
        <f t="shared" ca="1" si="189"/>
        <v>0</v>
      </c>
      <c r="AD270" s="50">
        <f t="shared" ca="1" si="189"/>
        <v>0</v>
      </c>
      <c r="AE270" s="50">
        <f t="shared" ca="1" si="189"/>
        <v>0</v>
      </c>
      <c r="AF270" s="50">
        <f t="shared" ca="1" si="189"/>
        <v>0</v>
      </c>
      <c r="AG270" s="50">
        <f t="shared" ca="1" si="189"/>
        <v>0</v>
      </c>
      <c r="AH270" s="50">
        <f t="shared" ca="1" si="189"/>
        <v>0</v>
      </c>
      <c r="AI270" s="50">
        <f t="shared" ca="1" si="189"/>
        <v>0</v>
      </c>
      <c r="AJ270" s="50">
        <f t="shared" ca="1" si="189"/>
        <v>0</v>
      </c>
      <c r="AK270" s="50">
        <f t="shared" ca="1" si="189"/>
        <v>0</v>
      </c>
      <c r="AL270" s="50">
        <f t="shared" si="189"/>
        <v>0</v>
      </c>
      <c r="AM270" s="50">
        <f t="shared" si="189"/>
        <v>0</v>
      </c>
      <c r="AN270" s="50">
        <f t="shared" si="189"/>
        <v>0</v>
      </c>
      <c r="AO270" s="50">
        <f t="shared" si="189"/>
        <v>0</v>
      </c>
      <c r="AP270" s="50">
        <f t="shared" si="189"/>
        <v>0</v>
      </c>
      <c r="AQ270" s="50">
        <f t="shared" si="189"/>
        <v>0</v>
      </c>
      <c r="AR270" s="50">
        <f t="shared" si="189"/>
        <v>0</v>
      </c>
      <c r="AS270" s="50">
        <f t="shared" si="189"/>
        <v>0</v>
      </c>
      <c r="AT270" s="50">
        <f t="shared" si="189"/>
        <v>0</v>
      </c>
      <c r="AU270" s="50">
        <f t="shared" si="189"/>
        <v>0</v>
      </c>
    </row>
    <row r="271" spans="1:47">
      <c r="A271" s="38" t="str">
        <f t="shared" si="188"/>
        <v>Custom-</v>
      </c>
      <c r="B271" s="38" t="s">
        <v>270</v>
      </c>
      <c r="C271" s="38" t="str">
        <f>C270</f>
        <v>Energy Recovery</v>
      </c>
      <c r="D271" s="186">
        <f>OMEsc</f>
        <v>0.02</v>
      </c>
      <c r="E271" s="325"/>
      <c r="G271" s="36" t="s">
        <v>126</v>
      </c>
      <c r="I271" s="39"/>
      <c r="K271" s="39"/>
      <c r="L271" s="43" t="str">
        <f>"["&amp;CostBaseYr&amp;" $]"</f>
        <v>[2013 $]</v>
      </c>
      <c r="N271" s="70">
        <f ca="1">IF(VLOOKUP($C271,$G$69:$J$87,4,FALSE)="Off",0,SUMIFS(OFFSET(Assumptions!$I$90,0,MATCH($A271,Configurations,0)-1,COUNT(Assumptions!$A$90:$A$183),1),Assumptions!$D$90:$D$183,$B271&amp;$C271))</f>
        <v>0</v>
      </c>
      <c r="O271" s="313"/>
      <c r="P271" s="323"/>
      <c r="Q271" s="313"/>
      <c r="R271" s="50">
        <f t="shared" ref="R271:AG273" ca="1" si="190">IF(OR(R$99&lt;InServiceYr,R$99&gt;(InServiceYr+analysis_period-1)),0,IF($P271=0,$N271,$P271)*(1+$D271)^(R$99-CostBaseYr))</f>
        <v>0</v>
      </c>
      <c r="S271" s="50">
        <f t="shared" ca="1" si="190"/>
        <v>0</v>
      </c>
      <c r="T271" s="50">
        <f t="shared" ca="1" si="190"/>
        <v>0</v>
      </c>
      <c r="U271" s="50">
        <f t="shared" ca="1" si="190"/>
        <v>0</v>
      </c>
      <c r="V271" s="50">
        <f t="shared" ca="1" si="190"/>
        <v>0</v>
      </c>
      <c r="W271" s="50">
        <f t="shared" ca="1" si="190"/>
        <v>0</v>
      </c>
      <c r="X271" s="50">
        <f t="shared" ca="1" si="190"/>
        <v>0</v>
      </c>
      <c r="Y271" s="50">
        <f t="shared" ca="1" si="190"/>
        <v>0</v>
      </c>
      <c r="Z271" s="50">
        <f t="shared" ca="1" si="190"/>
        <v>0</v>
      </c>
      <c r="AA271" s="50">
        <f t="shared" ca="1" si="190"/>
        <v>0</v>
      </c>
      <c r="AB271" s="50">
        <f t="shared" ca="1" si="190"/>
        <v>0</v>
      </c>
      <c r="AC271" s="50">
        <f t="shared" ca="1" si="190"/>
        <v>0</v>
      </c>
      <c r="AD271" s="50">
        <f t="shared" ca="1" si="190"/>
        <v>0</v>
      </c>
      <c r="AE271" s="50">
        <f t="shared" ca="1" si="190"/>
        <v>0</v>
      </c>
      <c r="AF271" s="50">
        <f t="shared" ca="1" si="190"/>
        <v>0</v>
      </c>
      <c r="AG271" s="50">
        <f t="shared" ca="1" si="190"/>
        <v>0</v>
      </c>
      <c r="AH271" s="50">
        <f t="shared" ref="S271:AU273" ca="1" si="191">IF(OR(AH$99&lt;InServiceYr,AH$99&gt;(InServiceYr+analysis_period-1)),0,IF($P271=0,$N271,$P271)*(1+$D271)^(AH$99-CostBaseYr))</f>
        <v>0</v>
      </c>
      <c r="AI271" s="50">
        <f t="shared" ca="1" si="191"/>
        <v>0</v>
      </c>
      <c r="AJ271" s="50">
        <f t="shared" ca="1" si="191"/>
        <v>0</v>
      </c>
      <c r="AK271" s="50">
        <f t="shared" ca="1" si="191"/>
        <v>0</v>
      </c>
      <c r="AL271" s="50">
        <f t="shared" si="191"/>
        <v>0</v>
      </c>
      <c r="AM271" s="50">
        <f t="shared" si="191"/>
        <v>0</v>
      </c>
      <c r="AN271" s="50">
        <f t="shared" si="191"/>
        <v>0</v>
      </c>
      <c r="AO271" s="50">
        <f t="shared" si="191"/>
        <v>0</v>
      </c>
      <c r="AP271" s="50">
        <f t="shared" si="191"/>
        <v>0</v>
      </c>
      <c r="AQ271" s="50">
        <f t="shared" si="191"/>
        <v>0</v>
      </c>
      <c r="AR271" s="50">
        <f t="shared" si="191"/>
        <v>0</v>
      </c>
      <c r="AS271" s="50">
        <f t="shared" si="191"/>
        <v>0</v>
      </c>
      <c r="AT271" s="50">
        <f t="shared" si="191"/>
        <v>0</v>
      </c>
      <c r="AU271" s="50">
        <f t="shared" si="191"/>
        <v>0</v>
      </c>
    </row>
    <row r="272" spans="1:47">
      <c r="A272" s="38" t="str">
        <f t="shared" si="188"/>
        <v>Custom-</v>
      </c>
      <c r="B272" s="38" t="s">
        <v>263</v>
      </c>
      <c r="C272" s="38" t="str">
        <f t="shared" ref="C272:C276" si="192">C271</f>
        <v>Energy Recovery</v>
      </c>
      <c r="D272" s="186">
        <f>OMEsc</f>
        <v>0.02</v>
      </c>
      <c r="E272" s="325"/>
      <c r="G272" s="36" t="s">
        <v>127</v>
      </c>
      <c r="I272" s="39"/>
      <c r="K272" s="39"/>
      <c r="L272" s="43" t="str">
        <f>"["&amp;CostBaseYr&amp;" $]"</f>
        <v>[2013 $]</v>
      </c>
      <c r="N272" s="70">
        <f ca="1">IF(VLOOKUP($C272,$G$69:$J$87,4,FALSE)="Off",0,SUMIFS(OFFSET(Assumptions!$I$90,0,MATCH($A272,Configurations,0)-1,COUNT(Assumptions!$A$90:$A$183),1),Assumptions!$D$90:$D$183,$B272&amp;$C272))</f>
        <v>0</v>
      </c>
      <c r="O272" s="313"/>
      <c r="P272" s="323"/>
      <c r="Q272" s="313"/>
      <c r="R272" s="50">
        <f t="shared" ca="1" si="190"/>
        <v>0</v>
      </c>
      <c r="S272" s="50">
        <f t="shared" ca="1" si="191"/>
        <v>0</v>
      </c>
      <c r="T272" s="50">
        <f t="shared" ca="1" si="191"/>
        <v>0</v>
      </c>
      <c r="U272" s="50">
        <f t="shared" ca="1" si="191"/>
        <v>0</v>
      </c>
      <c r="V272" s="50">
        <f t="shared" ca="1" si="191"/>
        <v>0</v>
      </c>
      <c r="W272" s="50">
        <f t="shared" ca="1" si="191"/>
        <v>0</v>
      </c>
      <c r="X272" s="50">
        <f t="shared" ca="1" si="191"/>
        <v>0</v>
      </c>
      <c r="Y272" s="50">
        <f t="shared" ca="1" si="191"/>
        <v>0</v>
      </c>
      <c r="Z272" s="50">
        <f t="shared" ca="1" si="191"/>
        <v>0</v>
      </c>
      <c r="AA272" s="50">
        <f t="shared" ca="1" si="191"/>
        <v>0</v>
      </c>
      <c r="AB272" s="50">
        <f t="shared" ca="1" si="191"/>
        <v>0</v>
      </c>
      <c r="AC272" s="50">
        <f t="shared" ca="1" si="191"/>
        <v>0</v>
      </c>
      <c r="AD272" s="50">
        <f t="shared" ca="1" si="191"/>
        <v>0</v>
      </c>
      <c r="AE272" s="50">
        <f t="shared" ca="1" si="191"/>
        <v>0</v>
      </c>
      <c r="AF272" s="50">
        <f t="shared" ca="1" si="191"/>
        <v>0</v>
      </c>
      <c r="AG272" s="50">
        <f t="shared" ca="1" si="191"/>
        <v>0</v>
      </c>
      <c r="AH272" s="50">
        <f t="shared" ca="1" si="191"/>
        <v>0</v>
      </c>
      <c r="AI272" s="50">
        <f t="shared" ca="1" si="191"/>
        <v>0</v>
      </c>
      <c r="AJ272" s="50">
        <f t="shared" ca="1" si="191"/>
        <v>0</v>
      </c>
      <c r="AK272" s="50">
        <f t="shared" ca="1" si="191"/>
        <v>0</v>
      </c>
      <c r="AL272" s="50">
        <f t="shared" si="191"/>
        <v>0</v>
      </c>
      <c r="AM272" s="50">
        <f t="shared" si="191"/>
        <v>0</v>
      </c>
      <c r="AN272" s="50">
        <f t="shared" si="191"/>
        <v>0</v>
      </c>
      <c r="AO272" s="50">
        <f t="shared" si="191"/>
        <v>0</v>
      </c>
      <c r="AP272" s="50">
        <f t="shared" si="191"/>
        <v>0</v>
      </c>
      <c r="AQ272" s="50">
        <f t="shared" si="191"/>
        <v>0</v>
      </c>
      <c r="AR272" s="50">
        <f t="shared" si="191"/>
        <v>0</v>
      </c>
      <c r="AS272" s="50">
        <f t="shared" si="191"/>
        <v>0</v>
      </c>
      <c r="AT272" s="50">
        <f t="shared" si="191"/>
        <v>0</v>
      </c>
      <c r="AU272" s="50">
        <f t="shared" si="191"/>
        <v>0</v>
      </c>
    </row>
    <row r="273" spans="1:47">
      <c r="A273" s="38" t="str">
        <f t="shared" si="188"/>
        <v>Custom-</v>
      </c>
      <c r="B273" s="38" t="s">
        <v>277</v>
      </c>
      <c r="C273" s="38" t="str">
        <f t="shared" si="192"/>
        <v>Energy Recovery</v>
      </c>
      <c r="D273" s="186">
        <f>OMEsc</f>
        <v>0.02</v>
      </c>
      <c r="E273" s="325"/>
      <c r="G273" s="36" t="s">
        <v>276</v>
      </c>
      <c r="I273" s="39"/>
      <c r="K273" s="39"/>
      <c r="L273" s="43" t="str">
        <f>"["&amp;CostBaseYr&amp;" $]"</f>
        <v>[2013 $]</v>
      </c>
      <c r="N273" s="70">
        <f ca="1">IF(VLOOKUP($C273,$G$69:$J$87,4,FALSE)="Off",0,SUMIFS(OFFSET(Assumptions!$I$90,0,MATCH($A273,Configurations,0)-1,COUNT(Assumptions!$A$90:$A$183),1),Assumptions!$D$90:$D$183,$B273&amp;$C273))</f>
        <v>0</v>
      </c>
      <c r="O273" s="313"/>
      <c r="P273" s="323"/>
      <c r="Q273" s="313"/>
      <c r="R273" s="50">
        <f t="shared" ca="1" si="190"/>
        <v>0</v>
      </c>
      <c r="S273" s="50">
        <f t="shared" ca="1" si="191"/>
        <v>0</v>
      </c>
      <c r="T273" s="50">
        <f t="shared" ca="1" si="191"/>
        <v>0</v>
      </c>
      <c r="U273" s="50">
        <f t="shared" ca="1" si="191"/>
        <v>0</v>
      </c>
      <c r="V273" s="50">
        <f t="shared" ca="1" si="191"/>
        <v>0</v>
      </c>
      <c r="W273" s="50">
        <f t="shared" ca="1" si="191"/>
        <v>0</v>
      </c>
      <c r="X273" s="50">
        <f t="shared" ca="1" si="191"/>
        <v>0</v>
      </c>
      <c r="Y273" s="50">
        <f t="shared" ca="1" si="191"/>
        <v>0</v>
      </c>
      <c r="Z273" s="50">
        <f t="shared" ca="1" si="191"/>
        <v>0</v>
      </c>
      <c r="AA273" s="50">
        <f t="shared" ca="1" si="191"/>
        <v>0</v>
      </c>
      <c r="AB273" s="50">
        <f t="shared" ca="1" si="191"/>
        <v>0</v>
      </c>
      <c r="AC273" s="50">
        <f t="shared" ca="1" si="191"/>
        <v>0</v>
      </c>
      <c r="AD273" s="50">
        <f t="shared" ca="1" si="191"/>
        <v>0</v>
      </c>
      <c r="AE273" s="50">
        <f t="shared" ca="1" si="191"/>
        <v>0</v>
      </c>
      <c r="AF273" s="50">
        <f t="shared" ca="1" si="191"/>
        <v>0</v>
      </c>
      <c r="AG273" s="50">
        <f t="shared" ca="1" si="191"/>
        <v>0</v>
      </c>
      <c r="AH273" s="50">
        <f t="shared" ca="1" si="191"/>
        <v>0</v>
      </c>
      <c r="AI273" s="50">
        <f t="shared" ca="1" si="191"/>
        <v>0</v>
      </c>
      <c r="AJ273" s="50">
        <f t="shared" ca="1" si="191"/>
        <v>0</v>
      </c>
      <c r="AK273" s="50">
        <f t="shared" ca="1" si="191"/>
        <v>0</v>
      </c>
      <c r="AL273" s="50">
        <f t="shared" si="191"/>
        <v>0</v>
      </c>
      <c r="AM273" s="50">
        <f t="shared" si="191"/>
        <v>0</v>
      </c>
      <c r="AN273" s="50">
        <f t="shared" si="191"/>
        <v>0</v>
      </c>
      <c r="AO273" s="50">
        <f t="shared" si="191"/>
        <v>0</v>
      </c>
      <c r="AP273" s="50">
        <f t="shared" si="191"/>
        <v>0</v>
      </c>
      <c r="AQ273" s="50">
        <f t="shared" si="191"/>
        <v>0</v>
      </c>
      <c r="AR273" s="50">
        <f t="shared" si="191"/>
        <v>0</v>
      </c>
      <c r="AS273" s="50">
        <f t="shared" si="191"/>
        <v>0</v>
      </c>
      <c r="AT273" s="50">
        <f t="shared" si="191"/>
        <v>0</v>
      </c>
      <c r="AU273" s="50">
        <f t="shared" si="191"/>
        <v>0</v>
      </c>
    </row>
    <row r="274" spans="1:47">
      <c r="A274" s="38" t="str">
        <f t="shared" si="188"/>
        <v>Custom-</v>
      </c>
      <c r="B274" s="38" t="s">
        <v>274</v>
      </c>
      <c r="C274" s="38" t="str">
        <f t="shared" si="192"/>
        <v>Energy Recovery</v>
      </c>
      <c r="D274" s="186"/>
      <c r="E274" s="325"/>
      <c r="G274" s="36" t="s">
        <v>16</v>
      </c>
      <c r="I274" s="39"/>
      <c r="K274" s="39"/>
      <c r="L274" s="43" t="s">
        <v>275</v>
      </c>
      <c r="N274" s="70">
        <f ca="1">IF(VLOOKUP($C274,$G$69:$J$87,4,FALSE)="Off",0,SUMIFS(OFFSET(Assumptions!$I$90,0,MATCH($A274,Configurations,0)-1,COUNT(Assumptions!$A$90:$A$183),1),Assumptions!$D$90:$D$183,$B274&amp;$C274))</f>
        <v>0</v>
      </c>
      <c r="O274" s="313"/>
      <c r="P274" s="323"/>
      <c r="Q274" s="313"/>
      <c r="R274" s="50">
        <f t="shared" ref="R274:AU274" ca="1" si="193">IF(OR(R$99&lt;InServiceYr,R$99&gt;(InServiceYr+analysis_period-1)),0,IF($P274=0,$N274,$P274)*R$505)</f>
        <v>0</v>
      </c>
      <c r="S274" s="50">
        <f t="shared" ca="1" si="193"/>
        <v>0</v>
      </c>
      <c r="T274" s="50">
        <f t="shared" ca="1" si="193"/>
        <v>0</v>
      </c>
      <c r="U274" s="50">
        <f t="shared" ca="1" si="193"/>
        <v>0</v>
      </c>
      <c r="V274" s="50">
        <f t="shared" ca="1" si="193"/>
        <v>0</v>
      </c>
      <c r="W274" s="50">
        <f t="shared" ca="1" si="193"/>
        <v>0</v>
      </c>
      <c r="X274" s="50">
        <f t="shared" ca="1" si="193"/>
        <v>0</v>
      </c>
      <c r="Y274" s="50">
        <f t="shared" ca="1" si="193"/>
        <v>0</v>
      </c>
      <c r="Z274" s="50">
        <f t="shared" ca="1" si="193"/>
        <v>0</v>
      </c>
      <c r="AA274" s="50">
        <f t="shared" ca="1" si="193"/>
        <v>0</v>
      </c>
      <c r="AB274" s="50">
        <f t="shared" ca="1" si="193"/>
        <v>0</v>
      </c>
      <c r="AC274" s="50">
        <f t="shared" ca="1" si="193"/>
        <v>0</v>
      </c>
      <c r="AD274" s="50">
        <f t="shared" ca="1" si="193"/>
        <v>0</v>
      </c>
      <c r="AE274" s="50">
        <f t="shared" ca="1" si="193"/>
        <v>0</v>
      </c>
      <c r="AF274" s="50">
        <f t="shared" ca="1" si="193"/>
        <v>0</v>
      </c>
      <c r="AG274" s="50">
        <f t="shared" ca="1" si="193"/>
        <v>0</v>
      </c>
      <c r="AH274" s="50">
        <f t="shared" ca="1" si="193"/>
        <v>0</v>
      </c>
      <c r="AI274" s="50">
        <f t="shared" ca="1" si="193"/>
        <v>0</v>
      </c>
      <c r="AJ274" s="50">
        <f t="shared" ca="1" si="193"/>
        <v>0</v>
      </c>
      <c r="AK274" s="50">
        <f t="shared" ca="1" si="193"/>
        <v>0</v>
      </c>
      <c r="AL274" s="50">
        <f t="shared" si="193"/>
        <v>0</v>
      </c>
      <c r="AM274" s="50">
        <f t="shared" si="193"/>
        <v>0</v>
      </c>
      <c r="AN274" s="50">
        <f t="shared" si="193"/>
        <v>0</v>
      </c>
      <c r="AO274" s="50">
        <f t="shared" si="193"/>
        <v>0</v>
      </c>
      <c r="AP274" s="50">
        <f t="shared" si="193"/>
        <v>0</v>
      </c>
      <c r="AQ274" s="50">
        <f t="shared" si="193"/>
        <v>0</v>
      </c>
      <c r="AR274" s="50">
        <f t="shared" si="193"/>
        <v>0</v>
      </c>
      <c r="AS274" s="50">
        <f t="shared" si="193"/>
        <v>0</v>
      </c>
      <c r="AT274" s="50">
        <f t="shared" si="193"/>
        <v>0</v>
      </c>
      <c r="AU274" s="50">
        <f t="shared" si="193"/>
        <v>0</v>
      </c>
    </row>
    <row r="275" spans="1:47">
      <c r="A275" s="38" t="str">
        <f t="shared" si="188"/>
        <v>Custom-</v>
      </c>
      <c r="B275" s="38" t="s">
        <v>257</v>
      </c>
      <c r="C275" s="38" t="str">
        <f t="shared" si="192"/>
        <v>Energy Recovery</v>
      </c>
      <c r="D275" s="186"/>
      <c r="E275" s="325"/>
      <c r="G275" s="36" t="s">
        <v>284</v>
      </c>
      <c r="I275" s="39"/>
      <c r="K275" s="39"/>
      <c r="L275" s="43" t="s">
        <v>293</v>
      </c>
      <c r="N275" s="70">
        <f ca="1">IF(VLOOKUP($C275,$G$69:$J$87,4,FALSE)="Off",0,SUMIFS(OFFSET(Assumptions!$I$90,0,MATCH($A275,Configurations,0)-1,COUNT(Assumptions!$A$90:$A$183),1),Assumptions!$D$90:$D$183,$B275&amp;$C275))</f>
        <v>0</v>
      </c>
      <c r="O275" s="313"/>
      <c r="P275" s="323"/>
      <c r="Q275" s="313"/>
      <c r="R275" s="50">
        <f t="shared" ref="R275:AU275" ca="1" si="194">IF(OR(R$99&lt;InServiceYr,R$99&gt;(InServiceYr+analysis_period-1)),0,IF($P275=0,$N275,$P275)*R$501)</f>
        <v>0</v>
      </c>
      <c r="S275" s="50">
        <f t="shared" ca="1" si="194"/>
        <v>0</v>
      </c>
      <c r="T275" s="50">
        <f t="shared" ca="1" si="194"/>
        <v>0</v>
      </c>
      <c r="U275" s="50">
        <f t="shared" ca="1" si="194"/>
        <v>0</v>
      </c>
      <c r="V275" s="50">
        <f t="shared" ca="1" si="194"/>
        <v>0</v>
      </c>
      <c r="W275" s="50">
        <f t="shared" ca="1" si="194"/>
        <v>0</v>
      </c>
      <c r="X275" s="50">
        <f t="shared" ca="1" si="194"/>
        <v>0</v>
      </c>
      <c r="Y275" s="50">
        <f t="shared" ca="1" si="194"/>
        <v>0</v>
      </c>
      <c r="Z275" s="50">
        <f t="shared" ca="1" si="194"/>
        <v>0</v>
      </c>
      <c r="AA275" s="50">
        <f t="shared" ca="1" si="194"/>
        <v>0</v>
      </c>
      <c r="AB275" s="50">
        <f t="shared" ca="1" si="194"/>
        <v>0</v>
      </c>
      <c r="AC275" s="50">
        <f t="shared" ca="1" si="194"/>
        <v>0</v>
      </c>
      <c r="AD275" s="50">
        <f t="shared" ca="1" si="194"/>
        <v>0</v>
      </c>
      <c r="AE275" s="50">
        <f t="shared" ca="1" si="194"/>
        <v>0</v>
      </c>
      <c r="AF275" s="50">
        <f t="shared" ca="1" si="194"/>
        <v>0</v>
      </c>
      <c r="AG275" s="50">
        <f t="shared" ca="1" si="194"/>
        <v>0</v>
      </c>
      <c r="AH275" s="50">
        <f t="shared" ca="1" si="194"/>
        <v>0</v>
      </c>
      <c r="AI275" s="50">
        <f t="shared" ca="1" si="194"/>
        <v>0</v>
      </c>
      <c r="AJ275" s="50">
        <f t="shared" ca="1" si="194"/>
        <v>0</v>
      </c>
      <c r="AK275" s="50">
        <f t="shared" ca="1" si="194"/>
        <v>0</v>
      </c>
      <c r="AL275" s="50">
        <f t="shared" si="194"/>
        <v>0</v>
      </c>
      <c r="AM275" s="50">
        <f t="shared" si="194"/>
        <v>0</v>
      </c>
      <c r="AN275" s="50">
        <f t="shared" si="194"/>
        <v>0</v>
      </c>
      <c r="AO275" s="50">
        <f t="shared" si="194"/>
        <v>0</v>
      </c>
      <c r="AP275" s="50">
        <f t="shared" si="194"/>
        <v>0</v>
      </c>
      <c r="AQ275" s="50">
        <f t="shared" si="194"/>
        <v>0</v>
      </c>
      <c r="AR275" s="50">
        <f t="shared" si="194"/>
        <v>0</v>
      </c>
      <c r="AS275" s="50">
        <f t="shared" si="194"/>
        <v>0</v>
      </c>
      <c r="AT275" s="50">
        <f t="shared" si="194"/>
        <v>0</v>
      </c>
      <c r="AU275" s="50">
        <f t="shared" si="194"/>
        <v>0</v>
      </c>
    </row>
    <row r="276" spans="1:47">
      <c r="A276" s="38" t="str">
        <f t="shared" si="188"/>
        <v>Custom-</v>
      </c>
      <c r="B276" s="38" t="s">
        <v>864</v>
      </c>
      <c r="C276" s="38" t="str">
        <f t="shared" si="192"/>
        <v>Energy Recovery</v>
      </c>
      <c r="D276" s="186">
        <f>GHGEsc</f>
        <v>0.02</v>
      </c>
      <c r="E276" s="325"/>
      <c r="G276" s="36" t="s">
        <v>865</v>
      </c>
      <c r="I276" s="39"/>
      <c r="K276" s="39"/>
      <c r="L276" s="43" t="s">
        <v>866</v>
      </c>
      <c r="N276" s="70">
        <f ca="1">IF(VLOOKUP($C276,$G$69:$J$87,4,FALSE)="Off",0,SUMIFS(OFFSET(Assumptions!$I$90,0,MATCH($A276,Configurations,0)-1,COUNT(Assumptions!$A$90:$A$183),1),Assumptions!$D$90:$D$183,$B276&amp;$C276))</f>
        <v>0</v>
      </c>
      <c r="O276" s="313"/>
      <c r="P276" s="323"/>
      <c r="Q276" s="313"/>
      <c r="R276" s="50">
        <f t="shared" ref="R276:AU276" ca="1" si="195">IF(OR(R$99&lt;InServiceYr,R$99&gt;(InServiceYr+analysis_period-1)),0,IF($P276=0,$N276,$P276)*R$513)</f>
        <v>0</v>
      </c>
      <c r="S276" s="50">
        <f t="shared" ca="1" si="195"/>
        <v>0</v>
      </c>
      <c r="T276" s="50">
        <f t="shared" ca="1" si="195"/>
        <v>0</v>
      </c>
      <c r="U276" s="50">
        <f t="shared" ca="1" si="195"/>
        <v>0</v>
      </c>
      <c r="V276" s="50">
        <f t="shared" ca="1" si="195"/>
        <v>0</v>
      </c>
      <c r="W276" s="50">
        <f t="shared" ca="1" si="195"/>
        <v>0</v>
      </c>
      <c r="X276" s="50">
        <f t="shared" ca="1" si="195"/>
        <v>0</v>
      </c>
      <c r="Y276" s="50">
        <f t="shared" ca="1" si="195"/>
        <v>0</v>
      </c>
      <c r="Z276" s="50">
        <f t="shared" ca="1" si="195"/>
        <v>0</v>
      </c>
      <c r="AA276" s="50">
        <f t="shared" ca="1" si="195"/>
        <v>0</v>
      </c>
      <c r="AB276" s="50">
        <f t="shared" ca="1" si="195"/>
        <v>0</v>
      </c>
      <c r="AC276" s="50">
        <f t="shared" ca="1" si="195"/>
        <v>0</v>
      </c>
      <c r="AD276" s="50">
        <f t="shared" ca="1" si="195"/>
        <v>0</v>
      </c>
      <c r="AE276" s="50">
        <f t="shared" ca="1" si="195"/>
        <v>0</v>
      </c>
      <c r="AF276" s="50">
        <f t="shared" ca="1" si="195"/>
        <v>0</v>
      </c>
      <c r="AG276" s="50">
        <f t="shared" ca="1" si="195"/>
        <v>0</v>
      </c>
      <c r="AH276" s="50">
        <f t="shared" ca="1" si="195"/>
        <v>0</v>
      </c>
      <c r="AI276" s="50">
        <f t="shared" ca="1" si="195"/>
        <v>0</v>
      </c>
      <c r="AJ276" s="50">
        <f t="shared" ca="1" si="195"/>
        <v>0</v>
      </c>
      <c r="AK276" s="50">
        <f t="shared" ca="1" si="195"/>
        <v>0</v>
      </c>
      <c r="AL276" s="50">
        <f t="shared" si="195"/>
        <v>0</v>
      </c>
      <c r="AM276" s="50">
        <f t="shared" si="195"/>
        <v>0</v>
      </c>
      <c r="AN276" s="50">
        <f t="shared" si="195"/>
        <v>0</v>
      </c>
      <c r="AO276" s="50">
        <f t="shared" si="195"/>
        <v>0</v>
      </c>
      <c r="AP276" s="50">
        <f t="shared" si="195"/>
        <v>0</v>
      </c>
      <c r="AQ276" s="50">
        <f t="shared" si="195"/>
        <v>0</v>
      </c>
      <c r="AR276" s="50">
        <f t="shared" si="195"/>
        <v>0</v>
      </c>
      <c r="AS276" s="50">
        <f t="shared" si="195"/>
        <v>0</v>
      </c>
      <c r="AT276" s="50">
        <f t="shared" si="195"/>
        <v>0</v>
      </c>
      <c r="AU276" s="50">
        <f t="shared" si="195"/>
        <v>0</v>
      </c>
    </row>
    <row r="277" spans="1:47">
      <c r="A277" s="38" t="str">
        <f t="shared" si="188"/>
        <v>Custom-</v>
      </c>
      <c r="B277" s="38" t="s">
        <v>273</v>
      </c>
      <c r="C277" s="38" t="str">
        <f>C275</f>
        <v>Energy Recovery</v>
      </c>
      <c r="D277" s="186">
        <f>LaborEsc</f>
        <v>0.02</v>
      </c>
      <c r="E277" s="325"/>
      <c r="G277" s="36" t="s">
        <v>291</v>
      </c>
      <c r="I277" s="39"/>
      <c r="K277" s="39"/>
      <c r="L277" s="43" t="str">
        <f>"["&amp;CostBaseYr&amp;" $]"</f>
        <v>[2013 $]</v>
      </c>
      <c r="N277" s="70">
        <f ca="1">IF(VLOOKUP($C277,$G$69:$J$87,4,FALSE)="Off",0,SUMIFS(OFFSET(Assumptions!$I$90,0,MATCH($A277,Configurations,0)-1,COUNT(Assumptions!$A$90:$A$183),1),Assumptions!$D$90:$D$183,$B277&amp;$C277))</f>
        <v>0</v>
      </c>
      <c r="O277" s="313"/>
      <c r="P277" s="323"/>
      <c r="Q277" s="313"/>
      <c r="R277" s="50">
        <f t="shared" ref="R277:AU277" ca="1" si="196">IF(OR(R$99&lt;InServiceYr,R$99&gt;(InServiceYr+analysis_period-1)),0,IF($P277=0,$N277,$P277)*(1+$D277)^(R$99-CostBaseYr))*R$509</f>
        <v>0</v>
      </c>
      <c r="S277" s="50">
        <f t="shared" ca="1" si="196"/>
        <v>0</v>
      </c>
      <c r="T277" s="50">
        <f t="shared" ca="1" si="196"/>
        <v>0</v>
      </c>
      <c r="U277" s="50">
        <f t="shared" ca="1" si="196"/>
        <v>0</v>
      </c>
      <c r="V277" s="50">
        <f t="shared" ca="1" si="196"/>
        <v>0</v>
      </c>
      <c r="W277" s="50">
        <f t="shared" ca="1" si="196"/>
        <v>0</v>
      </c>
      <c r="X277" s="50">
        <f t="shared" ca="1" si="196"/>
        <v>0</v>
      </c>
      <c r="Y277" s="50">
        <f t="shared" ca="1" si="196"/>
        <v>0</v>
      </c>
      <c r="Z277" s="50">
        <f t="shared" ca="1" si="196"/>
        <v>0</v>
      </c>
      <c r="AA277" s="50">
        <f t="shared" ca="1" si="196"/>
        <v>0</v>
      </c>
      <c r="AB277" s="50">
        <f t="shared" ca="1" si="196"/>
        <v>0</v>
      </c>
      <c r="AC277" s="50">
        <f t="shared" ca="1" si="196"/>
        <v>0</v>
      </c>
      <c r="AD277" s="50">
        <f t="shared" ca="1" si="196"/>
        <v>0</v>
      </c>
      <c r="AE277" s="50">
        <f t="shared" ca="1" si="196"/>
        <v>0</v>
      </c>
      <c r="AF277" s="50">
        <f t="shared" ca="1" si="196"/>
        <v>0</v>
      </c>
      <c r="AG277" s="50">
        <f t="shared" ca="1" si="196"/>
        <v>0</v>
      </c>
      <c r="AH277" s="50">
        <f t="shared" ca="1" si="196"/>
        <v>0</v>
      </c>
      <c r="AI277" s="50">
        <f t="shared" ca="1" si="196"/>
        <v>0</v>
      </c>
      <c r="AJ277" s="50">
        <f t="shared" ca="1" si="196"/>
        <v>0</v>
      </c>
      <c r="AK277" s="50">
        <f t="shared" ca="1" si="196"/>
        <v>0</v>
      </c>
      <c r="AL277" s="50">
        <f t="shared" si="196"/>
        <v>0</v>
      </c>
      <c r="AM277" s="50">
        <f t="shared" si="196"/>
        <v>0</v>
      </c>
      <c r="AN277" s="50">
        <f t="shared" si="196"/>
        <v>0</v>
      </c>
      <c r="AO277" s="50">
        <f t="shared" si="196"/>
        <v>0</v>
      </c>
      <c r="AP277" s="50">
        <f t="shared" si="196"/>
        <v>0</v>
      </c>
      <c r="AQ277" s="50">
        <f t="shared" si="196"/>
        <v>0</v>
      </c>
      <c r="AR277" s="50">
        <f t="shared" si="196"/>
        <v>0</v>
      </c>
      <c r="AS277" s="50">
        <f t="shared" si="196"/>
        <v>0</v>
      </c>
      <c r="AT277" s="50">
        <f t="shared" si="196"/>
        <v>0</v>
      </c>
      <c r="AU277" s="50">
        <f t="shared" si="196"/>
        <v>0</v>
      </c>
    </row>
    <row r="278" spans="1:47">
      <c r="D278" s="186"/>
      <c r="E278" s="325"/>
      <c r="G278" s="39" t="s">
        <v>304</v>
      </c>
      <c r="I278" s="39"/>
      <c r="K278" s="39"/>
      <c r="L278" s="43"/>
      <c r="N278" s="70"/>
      <c r="O278" s="313"/>
      <c r="P278" s="70"/>
      <c r="Q278" s="313"/>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row>
    <row r="279" spans="1:47">
      <c r="A279" s="38" t="str">
        <f>$J$4&amp;"-"</f>
        <v>Custom-</v>
      </c>
      <c r="B279" s="38" t="s">
        <v>265</v>
      </c>
      <c r="C279" s="38" t="str">
        <f>C270</f>
        <v>Energy Recovery</v>
      </c>
      <c r="D279" s="186"/>
      <c r="E279" s="325"/>
      <c r="G279" s="36" t="s">
        <v>108</v>
      </c>
      <c r="I279" s="39"/>
      <c r="K279" s="39"/>
      <c r="L279" s="43" t="s">
        <v>293</v>
      </c>
      <c r="N279" s="70">
        <f ca="1">IF(VLOOKUP($C279,$G$69:$J$87,4,FALSE)="Off",0,SUMIFS(OFFSET(Assumptions!$I$90,0,MATCH($A279,Configurations,0)-1,COUNT(Assumptions!$A$90:$A$183),1),Assumptions!$D$90:$D$183,$B279&amp;$C279))</f>
        <v>0</v>
      </c>
      <c r="O279" s="313"/>
      <c r="P279" s="323"/>
      <c r="Q279" s="313"/>
      <c r="R279" s="50">
        <f t="shared" ref="R279:AU279" ca="1" si="197">IF(OR(R$99&lt;InServiceYr,R$99&gt;(InServiceYr+analysis_period-1)),0,IF($P279=0,$N279,$P279)*R$501)</f>
        <v>0</v>
      </c>
      <c r="S279" s="50">
        <f t="shared" ca="1" si="197"/>
        <v>0</v>
      </c>
      <c r="T279" s="50">
        <f t="shared" ca="1" si="197"/>
        <v>0</v>
      </c>
      <c r="U279" s="50">
        <f t="shared" ca="1" si="197"/>
        <v>0</v>
      </c>
      <c r="V279" s="50">
        <f t="shared" ca="1" si="197"/>
        <v>0</v>
      </c>
      <c r="W279" s="50">
        <f t="shared" ca="1" si="197"/>
        <v>0</v>
      </c>
      <c r="X279" s="50">
        <f t="shared" ca="1" si="197"/>
        <v>0</v>
      </c>
      <c r="Y279" s="50">
        <f t="shared" ca="1" si="197"/>
        <v>0</v>
      </c>
      <c r="Z279" s="50">
        <f t="shared" ca="1" si="197"/>
        <v>0</v>
      </c>
      <c r="AA279" s="50">
        <f t="shared" ca="1" si="197"/>
        <v>0</v>
      </c>
      <c r="AB279" s="50">
        <f t="shared" ca="1" si="197"/>
        <v>0</v>
      </c>
      <c r="AC279" s="50">
        <f t="shared" ca="1" si="197"/>
        <v>0</v>
      </c>
      <c r="AD279" s="50">
        <f t="shared" ca="1" si="197"/>
        <v>0</v>
      </c>
      <c r="AE279" s="50">
        <f t="shared" ca="1" si="197"/>
        <v>0</v>
      </c>
      <c r="AF279" s="50">
        <f t="shared" ca="1" si="197"/>
        <v>0</v>
      </c>
      <c r="AG279" s="50">
        <f t="shared" ca="1" si="197"/>
        <v>0</v>
      </c>
      <c r="AH279" s="50">
        <f t="shared" ca="1" si="197"/>
        <v>0</v>
      </c>
      <c r="AI279" s="50">
        <f t="shared" ca="1" si="197"/>
        <v>0</v>
      </c>
      <c r="AJ279" s="50">
        <f t="shared" ca="1" si="197"/>
        <v>0</v>
      </c>
      <c r="AK279" s="50">
        <f t="shared" ca="1" si="197"/>
        <v>0</v>
      </c>
      <c r="AL279" s="50">
        <f t="shared" si="197"/>
        <v>0</v>
      </c>
      <c r="AM279" s="50">
        <f t="shared" si="197"/>
        <v>0</v>
      </c>
      <c r="AN279" s="50">
        <f t="shared" si="197"/>
        <v>0</v>
      </c>
      <c r="AO279" s="50">
        <f t="shared" si="197"/>
        <v>0</v>
      </c>
      <c r="AP279" s="50">
        <f t="shared" si="197"/>
        <v>0</v>
      </c>
      <c r="AQ279" s="50">
        <f t="shared" si="197"/>
        <v>0</v>
      </c>
      <c r="AR279" s="50">
        <f t="shared" si="197"/>
        <v>0</v>
      </c>
      <c r="AS279" s="50">
        <f t="shared" si="197"/>
        <v>0</v>
      </c>
      <c r="AT279" s="50">
        <f t="shared" si="197"/>
        <v>0</v>
      </c>
      <c r="AU279" s="50">
        <f t="shared" si="197"/>
        <v>0</v>
      </c>
    </row>
    <row r="280" spans="1:47">
      <c r="A280" s="38" t="str">
        <f>$J$4&amp;"-"</f>
        <v>Custom-</v>
      </c>
      <c r="B280" s="38" t="s">
        <v>289</v>
      </c>
      <c r="C280" s="38" t="str">
        <f>C270</f>
        <v>Energy Recovery</v>
      </c>
      <c r="D280" s="186">
        <f>LaborEsc</f>
        <v>0.02</v>
      </c>
      <c r="E280" s="325"/>
      <c r="G280" s="36" t="s">
        <v>292</v>
      </c>
      <c r="I280" s="39"/>
      <c r="K280" s="39"/>
      <c r="L280" s="43" t="str">
        <f>"["&amp;CostBaseYr&amp;" $]"</f>
        <v>[2013 $]</v>
      </c>
      <c r="N280" s="70">
        <f ca="1">IF(VLOOKUP($C280,$G$69:$J$87,4,FALSE)="Off",0,SUMIFS(OFFSET(Assumptions!$I$90,0,MATCH($A280,Configurations,0)-1,COUNT(Assumptions!$A$90:$A$183),1),Assumptions!$D$90:$D$183,$B280&amp;$C280))</f>
        <v>0</v>
      </c>
      <c r="O280" s="313"/>
      <c r="P280" s="323"/>
      <c r="Q280" s="313"/>
      <c r="R280" s="50">
        <f t="shared" ref="R280:AU280" ca="1" si="198">IF(OR(R$99&lt;InServiceYr,R$99&gt;(InServiceYr+analysis_period-1)),0,IF($P280=0,$N280,$P280)*(1+$D280)^(R$99-CostBaseYr))</f>
        <v>0</v>
      </c>
      <c r="S280" s="50">
        <f t="shared" ca="1" si="198"/>
        <v>0</v>
      </c>
      <c r="T280" s="50">
        <f t="shared" ca="1" si="198"/>
        <v>0</v>
      </c>
      <c r="U280" s="50">
        <f t="shared" ca="1" si="198"/>
        <v>0</v>
      </c>
      <c r="V280" s="50">
        <f t="shared" ca="1" si="198"/>
        <v>0</v>
      </c>
      <c r="W280" s="50">
        <f t="shared" ca="1" si="198"/>
        <v>0</v>
      </c>
      <c r="X280" s="50">
        <f t="shared" ca="1" si="198"/>
        <v>0</v>
      </c>
      <c r="Y280" s="50">
        <f t="shared" ca="1" si="198"/>
        <v>0</v>
      </c>
      <c r="Z280" s="50">
        <f t="shared" ca="1" si="198"/>
        <v>0</v>
      </c>
      <c r="AA280" s="50">
        <f t="shared" ca="1" si="198"/>
        <v>0</v>
      </c>
      <c r="AB280" s="50">
        <f t="shared" ca="1" si="198"/>
        <v>0</v>
      </c>
      <c r="AC280" s="50">
        <f t="shared" ca="1" si="198"/>
        <v>0</v>
      </c>
      <c r="AD280" s="50">
        <f t="shared" ca="1" si="198"/>
        <v>0</v>
      </c>
      <c r="AE280" s="50">
        <f t="shared" ca="1" si="198"/>
        <v>0</v>
      </c>
      <c r="AF280" s="50">
        <f t="shared" ca="1" si="198"/>
        <v>0</v>
      </c>
      <c r="AG280" s="50">
        <f t="shared" ca="1" si="198"/>
        <v>0</v>
      </c>
      <c r="AH280" s="50">
        <f t="shared" ca="1" si="198"/>
        <v>0</v>
      </c>
      <c r="AI280" s="50">
        <f t="shared" ca="1" si="198"/>
        <v>0</v>
      </c>
      <c r="AJ280" s="50">
        <f t="shared" ca="1" si="198"/>
        <v>0</v>
      </c>
      <c r="AK280" s="50">
        <f t="shared" ca="1" si="198"/>
        <v>0</v>
      </c>
      <c r="AL280" s="50">
        <f t="shared" si="198"/>
        <v>0</v>
      </c>
      <c r="AM280" s="50">
        <f t="shared" si="198"/>
        <v>0</v>
      </c>
      <c r="AN280" s="50">
        <f t="shared" si="198"/>
        <v>0</v>
      </c>
      <c r="AO280" s="50">
        <f t="shared" si="198"/>
        <v>0</v>
      </c>
      <c r="AP280" s="50">
        <f t="shared" si="198"/>
        <v>0</v>
      </c>
      <c r="AQ280" s="50">
        <f t="shared" si="198"/>
        <v>0</v>
      </c>
      <c r="AR280" s="50">
        <f t="shared" si="198"/>
        <v>0</v>
      </c>
      <c r="AS280" s="50">
        <f t="shared" si="198"/>
        <v>0</v>
      </c>
      <c r="AT280" s="50">
        <f t="shared" si="198"/>
        <v>0</v>
      </c>
      <c r="AU280" s="50">
        <f t="shared" si="198"/>
        <v>0</v>
      </c>
    </row>
    <row r="281" spans="1:47" s="60" customFormat="1">
      <c r="D281" s="187"/>
      <c r="E281" s="325"/>
      <c r="G281" s="39" t="s">
        <v>305</v>
      </c>
      <c r="I281" s="39"/>
      <c r="K281" s="39"/>
      <c r="L281" s="174"/>
      <c r="N281" s="188"/>
      <c r="O281" s="314"/>
      <c r="P281" s="185"/>
      <c r="Q281" s="314"/>
      <c r="R281" s="185">
        <f ca="1">SUM(R270:R277)-SUM(R279:R280)</f>
        <v>0</v>
      </c>
      <c r="S281" s="185">
        <f t="shared" ref="S281:AU281" ca="1" si="199">SUM(S270:S277)-SUM(S279:S280)</f>
        <v>0</v>
      </c>
      <c r="T281" s="185">
        <f t="shared" ca="1" si="199"/>
        <v>0</v>
      </c>
      <c r="U281" s="185">
        <f t="shared" ca="1" si="199"/>
        <v>0</v>
      </c>
      <c r="V281" s="185">
        <f t="shared" ca="1" si="199"/>
        <v>0</v>
      </c>
      <c r="W281" s="185">
        <f t="shared" ca="1" si="199"/>
        <v>0</v>
      </c>
      <c r="X281" s="185">
        <f t="shared" ca="1" si="199"/>
        <v>0</v>
      </c>
      <c r="Y281" s="185">
        <f t="shared" ca="1" si="199"/>
        <v>0</v>
      </c>
      <c r="Z281" s="185">
        <f t="shared" ca="1" si="199"/>
        <v>0</v>
      </c>
      <c r="AA281" s="185">
        <f t="shared" ca="1" si="199"/>
        <v>0</v>
      </c>
      <c r="AB281" s="185">
        <f t="shared" ca="1" si="199"/>
        <v>0</v>
      </c>
      <c r="AC281" s="185">
        <f t="shared" ca="1" si="199"/>
        <v>0</v>
      </c>
      <c r="AD281" s="185">
        <f t="shared" ca="1" si="199"/>
        <v>0</v>
      </c>
      <c r="AE281" s="185">
        <f t="shared" ca="1" si="199"/>
        <v>0</v>
      </c>
      <c r="AF281" s="185">
        <f t="shared" ca="1" si="199"/>
        <v>0</v>
      </c>
      <c r="AG281" s="185">
        <f t="shared" ca="1" si="199"/>
        <v>0</v>
      </c>
      <c r="AH281" s="185">
        <f t="shared" ca="1" si="199"/>
        <v>0</v>
      </c>
      <c r="AI281" s="185">
        <f t="shared" ca="1" si="199"/>
        <v>0</v>
      </c>
      <c r="AJ281" s="185">
        <f t="shared" ca="1" si="199"/>
        <v>0</v>
      </c>
      <c r="AK281" s="185">
        <f t="shared" ca="1" si="199"/>
        <v>0</v>
      </c>
      <c r="AL281" s="185">
        <f t="shared" si="199"/>
        <v>0</v>
      </c>
      <c r="AM281" s="185">
        <f t="shared" si="199"/>
        <v>0</v>
      </c>
      <c r="AN281" s="185">
        <f t="shared" si="199"/>
        <v>0</v>
      </c>
      <c r="AO281" s="185">
        <f t="shared" si="199"/>
        <v>0</v>
      </c>
      <c r="AP281" s="185">
        <f t="shared" si="199"/>
        <v>0</v>
      </c>
      <c r="AQ281" s="185">
        <f t="shared" si="199"/>
        <v>0</v>
      </c>
      <c r="AR281" s="185">
        <f t="shared" si="199"/>
        <v>0</v>
      </c>
      <c r="AS281" s="185">
        <f t="shared" si="199"/>
        <v>0</v>
      </c>
      <c r="AT281" s="185">
        <f t="shared" si="199"/>
        <v>0</v>
      </c>
      <c r="AU281" s="185">
        <f t="shared" si="199"/>
        <v>0</v>
      </c>
    </row>
    <row r="282" spans="1:47">
      <c r="E282" s="36"/>
      <c r="G282" s="39"/>
      <c r="H282" s="39"/>
      <c r="I282" s="39"/>
      <c r="J282" s="39"/>
      <c r="K282" s="39"/>
    </row>
    <row r="283" spans="1:47">
      <c r="E283" s="327"/>
      <c r="F283" s="28"/>
      <c r="G283" s="324" t="str">
        <f>C285&amp;" Capital Costs"</f>
        <v>Fluid Bed Incineration Capital Costs</v>
      </c>
      <c r="H283" s="324"/>
      <c r="I283" s="324"/>
      <c r="J283" s="324"/>
      <c r="K283" s="324"/>
      <c r="L283" s="405" t="s">
        <v>79</v>
      </c>
      <c r="M283" s="256"/>
      <c r="N283" s="325" t="s">
        <v>490</v>
      </c>
      <c r="O283" s="311"/>
      <c r="P283" s="325" t="s">
        <v>491</v>
      </c>
      <c r="Q283" s="310"/>
      <c r="R283" s="325">
        <f>R$8</f>
        <v>2014</v>
      </c>
      <c r="S283" s="325">
        <f t="shared" ref="S283:AU283" si="200">S$8</f>
        <v>2015</v>
      </c>
      <c r="T283" s="325">
        <f t="shared" si="200"/>
        <v>2016</v>
      </c>
      <c r="U283" s="325">
        <f t="shared" si="200"/>
        <v>2017</v>
      </c>
      <c r="V283" s="325">
        <f t="shared" si="200"/>
        <v>2018</v>
      </c>
      <c r="W283" s="325">
        <f t="shared" si="200"/>
        <v>2019</v>
      </c>
      <c r="X283" s="325">
        <f t="shared" si="200"/>
        <v>2020</v>
      </c>
      <c r="Y283" s="325">
        <f t="shared" si="200"/>
        <v>2021</v>
      </c>
      <c r="Z283" s="325">
        <f t="shared" si="200"/>
        <v>2022</v>
      </c>
      <c r="AA283" s="325">
        <f t="shared" si="200"/>
        <v>2023</v>
      </c>
      <c r="AB283" s="325">
        <f t="shared" si="200"/>
        <v>2024</v>
      </c>
      <c r="AC283" s="325">
        <f t="shared" si="200"/>
        <v>2025</v>
      </c>
      <c r="AD283" s="325">
        <f t="shared" si="200"/>
        <v>2026</v>
      </c>
      <c r="AE283" s="325">
        <f t="shared" si="200"/>
        <v>2027</v>
      </c>
      <c r="AF283" s="325">
        <f t="shared" si="200"/>
        <v>2028</v>
      </c>
      <c r="AG283" s="325">
        <f t="shared" si="200"/>
        <v>2029</v>
      </c>
      <c r="AH283" s="325">
        <f t="shared" si="200"/>
        <v>2030</v>
      </c>
      <c r="AI283" s="325">
        <f t="shared" si="200"/>
        <v>2031</v>
      </c>
      <c r="AJ283" s="325">
        <f t="shared" si="200"/>
        <v>2032</v>
      </c>
      <c r="AK283" s="325">
        <f t="shared" si="200"/>
        <v>2033</v>
      </c>
      <c r="AL283" s="325">
        <f t="shared" si="200"/>
        <v>2034</v>
      </c>
      <c r="AM283" s="325">
        <f t="shared" si="200"/>
        <v>2035</v>
      </c>
      <c r="AN283" s="325">
        <f t="shared" si="200"/>
        <v>2036</v>
      </c>
      <c r="AO283" s="325">
        <f t="shared" si="200"/>
        <v>2037</v>
      </c>
      <c r="AP283" s="325">
        <f t="shared" si="200"/>
        <v>2038</v>
      </c>
      <c r="AQ283" s="325">
        <f t="shared" si="200"/>
        <v>2039</v>
      </c>
      <c r="AR283" s="325">
        <f t="shared" si="200"/>
        <v>2040</v>
      </c>
      <c r="AS283" s="325">
        <f t="shared" si="200"/>
        <v>2041</v>
      </c>
      <c r="AT283" s="325">
        <f t="shared" si="200"/>
        <v>2042</v>
      </c>
      <c r="AU283" s="325">
        <f t="shared" si="200"/>
        <v>2043</v>
      </c>
    </row>
    <row r="284" spans="1:47">
      <c r="E284" s="325"/>
      <c r="G284" s="39"/>
      <c r="H284" s="39"/>
      <c r="I284" s="39"/>
      <c r="J284" s="39"/>
      <c r="K284" s="39"/>
    </row>
    <row r="285" spans="1:47">
      <c r="A285" s="38" t="str">
        <f>$J$4&amp;"-"</f>
        <v>Custom-</v>
      </c>
      <c r="B285" s="38" t="s">
        <v>306</v>
      </c>
      <c r="C285" s="38" t="s">
        <v>160</v>
      </c>
      <c r="D285" s="186">
        <f>CapExEsc</f>
        <v>0.03</v>
      </c>
      <c r="E285" s="325"/>
      <c r="G285" s="36" t="s">
        <v>8</v>
      </c>
      <c r="H285" s="39"/>
      <c r="I285" s="39"/>
      <c r="J285" s="70"/>
      <c r="K285" s="39"/>
      <c r="L285" s="43" t="str">
        <f>"["&amp;CostBaseYr&amp;" $]"</f>
        <v>[2013 $]</v>
      </c>
      <c r="N285" s="52">
        <f ca="1">IF(VLOOKUP($C285,$G$69:$J$87,4,FALSE)="Off", 0,SUMIFS(OFFSET(Assumptions!$I$65,0,MATCH($A285,Configurations,0)-1,COUNT(Assumptions!$A$65:$A$84),1),Assumptions!$E$65:$E$84,$C285))</f>
        <v>0</v>
      </c>
      <c r="O285" s="52"/>
      <c r="P285" s="322"/>
      <c r="Q285" s="52"/>
      <c r="R285" s="52">
        <f t="shared" ref="R285:AU285" ca="1" si="201">R286*IF($P285=0,$N285,$P285)*(1+$D285)^(R$8-CostBaseYr)</f>
        <v>0</v>
      </c>
      <c r="S285" s="52">
        <f t="shared" ca="1" si="201"/>
        <v>0</v>
      </c>
      <c r="T285" s="52">
        <f t="shared" ca="1" si="201"/>
        <v>0</v>
      </c>
      <c r="U285" s="52">
        <f t="shared" ca="1" si="201"/>
        <v>0</v>
      </c>
      <c r="V285" s="52">
        <f t="shared" ca="1" si="201"/>
        <v>0</v>
      </c>
      <c r="W285" s="52">
        <f t="shared" ca="1" si="201"/>
        <v>0</v>
      </c>
      <c r="X285" s="52">
        <f t="shared" ca="1" si="201"/>
        <v>0</v>
      </c>
      <c r="Y285" s="52">
        <f t="shared" ca="1" si="201"/>
        <v>0</v>
      </c>
      <c r="Z285" s="52">
        <f t="shared" ca="1" si="201"/>
        <v>0</v>
      </c>
      <c r="AA285" s="52">
        <f t="shared" ca="1" si="201"/>
        <v>0</v>
      </c>
      <c r="AB285" s="52">
        <f t="shared" ca="1" si="201"/>
        <v>0</v>
      </c>
      <c r="AC285" s="52">
        <f t="shared" ca="1" si="201"/>
        <v>0</v>
      </c>
      <c r="AD285" s="52">
        <f t="shared" ca="1" si="201"/>
        <v>0</v>
      </c>
      <c r="AE285" s="52">
        <f t="shared" ca="1" si="201"/>
        <v>0</v>
      </c>
      <c r="AF285" s="52">
        <f t="shared" ca="1" si="201"/>
        <v>0</v>
      </c>
      <c r="AG285" s="52">
        <f t="shared" ca="1" si="201"/>
        <v>0</v>
      </c>
      <c r="AH285" s="52">
        <f t="shared" ca="1" si="201"/>
        <v>0</v>
      </c>
      <c r="AI285" s="52">
        <f t="shared" ca="1" si="201"/>
        <v>0</v>
      </c>
      <c r="AJ285" s="52">
        <f t="shared" ca="1" si="201"/>
        <v>0</v>
      </c>
      <c r="AK285" s="52">
        <f t="shared" ca="1" si="201"/>
        <v>0</v>
      </c>
      <c r="AL285" s="52">
        <f t="shared" ca="1" si="201"/>
        <v>0</v>
      </c>
      <c r="AM285" s="52">
        <f t="shared" ca="1" si="201"/>
        <v>0</v>
      </c>
      <c r="AN285" s="52">
        <f t="shared" ca="1" si="201"/>
        <v>0</v>
      </c>
      <c r="AO285" s="52">
        <f t="shared" ca="1" si="201"/>
        <v>0</v>
      </c>
      <c r="AP285" s="52">
        <f t="shared" ca="1" si="201"/>
        <v>0</v>
      </c>
      <c r="AQ285" s="52">
        <f t="shared" ca="1" si="201"/>
        <v>0</v>
      </c>
      <c r="AR285" s="52">
        <f t="shared" ca="1" si="201"/>
        <v>0</v>
      </c>
      <c r="AS285" s="52">
        <f t="shared" ca="1" si="201"/>
        <v>0</v>
      </c>
      <c r="AT285" s="52">
        <f t="shared" ca="1" si="201"/>
        <v>0</v>
      </c>
      <c r="AU285" s="52">
        <f t="shared" ca="1" si="201"/>
        <v>0</v>
      </c>
    </row>
    <row r="286" spans="1:47">
      <c r="E286" s="325"/>
      <c r="G286" s="36" t="s">
        <v>10</v>
      </c>
      <c r="H286" s="39"/>
      <c r="I286" s="39"/>
      <c r="J286" s="39"/>
      <c r="K286" s="39"/>
      <c r="L286" s="43"/>
      <c r="R286" s="54">
        <f>Assumptions!M$60</f>
        <v>1</v>
      </c>
      <c r="S286" s="54">
        <f>Assumptions!N$60</f>
        <v>0</v>
      </c>
      <c r="T286" s="54">
        <f>Assumptions!O$60</f>
        <v>0</v>
      </c>
      <c r="U286" s="54">
        <f>Assumptions!P$60</f>
        <v>0</v>
      </c>
      <c r="V286" s="54">
        <f>Assumptions!Q$60</f>
        <v>0</v>
      </c>
      <c r="W286" s="54">
        <f>Assumptions!R$60</f>
        <v>0</v>
      </c>
      <c r="X286" s="54">
        <f>Assumptions!S$60</f>
        <v>0</v>
      </c>
      <c r="Y286" s="54">
        <f>Assumptions!T$60</f>
        <v>0</v>
      </c>
      <c r="Z286" s="54">
        <f>Assumptions!U$60</f>
        <v>0</v>
      </c>
      <c r="AA286" s="54">
        <f>Assumptions!V$60</f>
        <v>0</v>
      </c>
      <c r="AB286" s="54">
        <f>Assumptions!W$60</f>
        <v>0</v>
      </c>
      <c r="AC286" s="54">
        <f>Assumptions!X$60</f>
        <v>0</v>
      </c>
      <c r="AD286" s="54">
        <f>Assumptions!Y$60</f>
        <v>0</v>
      </c>
      <c r="AE286" s="54">
        <f>Assumptions!Z$60</f>
        <v>0</v>
      </c>
      <c r="AF286" s="54">
        <f>Assumptions!AA$60</f>
        <v>0</v>
      </c>
      <c r="AG286" s="54">
        <f>Assumptions!AB$60</f>
        <v>0</v>
      </c>
      <c r="AH286" s="54">
        <f>Assumptions!AC$60</f>
        <v>0</v>
      </c>
      <c r="AI286" s="54">
        <f>Assumptions!AD$60</f>
        <v>0</v>
      </c>
      <c r="AJ286" s="54">
        <f>Assumptions!AE$60</f>
        <v>0</v>
      </c>
      <c r="AK286" s="54">
        <f>Assumptions!AF$60</f>
        <v>0</v>
      </c>
      <c r="AL286" s="54">
        <f>Assumptions!AG$60</f>
        <v>0</v>
      </c>
      <c r="AM286" s="54">
        <f>Assumptions!AH$60</f>
        <v>0</v>
      </c>
      <c r="AN286" s="54">
        <f>Assumptions!AI$60</f>
        <v>0</v>
      </c>
      <c r="AO286" s="54">
        <f>Assumptions!AJ$60</f>
        <v>0</v>
      </c>
      <c r="AP286" s="54">
        <f>Assumptions!AK$60</f>
        <v>0</v>
      </c>
      <c r="AQ286" s="54">
        <f>Assumptions!AL$60</f>
        <v>0</v>
      </c>
      <c r="AR286" s="54">
        <f>Assumptions!AM$60</f>
        <v>0</v>
      </c>
      <c r="AS286" s="54">
        <f>Assumptions!AN$60</f>
        <v>0</v>
      </c>
      <c r="AT286" s="54">
        <f>Assumptions!AO$60</f>
        <v>0</v>
      </c>
      <c r="AU286" s="54">
        <f>Assumptions!AP$60</f>
        <v>0</v>
      </c>
    </row>
    <row r="287" spans="1:47">
      <c r="E287" s="326"/>
      <c r="G287" s="39"/>
      <c r="H287" s="39"/>
      <c r="I287" s="39"/>
      <c r="J287" s="39"/>
      <c r="K287" s="39"/>
    </row>
    <row r="288" spans="1:47">
      <c r="E288" s="327"/>
      <c r="F288" s="28"/>
      <c r="G288" s="324" t="str">
        <f>C285&amp;" O&amp;M"</f>
        <v>Fluid Bed Incineration O&amp;M</v>
      </c>
      <c r="H288" s="324"/>
      <c r="I288" s="324"/>
      <c r="J288" s="324"/>
      <c r="K288" s="324"/>
      <c r="L288" s="405" t="s">
        <v>79</v>
      </c>
      <c r="M288" s="256"/>
      <c r="N288" s="325" t="s">
        <v>490</v>
      </c>
      <c r="O288" s="311"/>
      <c r="P288" s="325" t="s">
        <v>491</v>
      </c>
      <c r="Q288" s="310"/>
      <c r="R288" s="325">
        <f>R$8</f>
        <v>2014</v>
      </c>
      <c r="S288" s="325">
        <f t="shared" ref="S288:AU288" si="202">S$8</f>
        <v>2015</v>
      </c>
      <c r="T288" s="325">
        <f t="shared" si="202"/>
        <v>2016</v>
      </c>
      <c r="U288" s="325">
        <f t="shared" si="202"/>
        <v>2017</v>
      </c>
      <c r="V288" s="325">
        <f t="shared" si="202"/>
        <v>2018</v>
      </c>
      <c r="W288" s="325">
        <f t="shared" si="202"/>
        <v>2019</v>
      </c>
      <c r="X288" s="325">
        <f t="shared" si="202"/>
        <v>2020</v>
      </c>
      <c r="Y288" s="325">
        <f t="shared" si="202"/>
        <v>2021</v>
      </c>
      <c r="Z288" s="325">
        <f t="shared" si="202"/>
        <v>2022</v>
      </c>
      <c r="AA288" s="325">
        <f t="shared" si="202"/>
        <v>2023</v>
      </c>
      <c r="AB288" s="325">
        <f t="shared" si="202"/>
        <v>2024</v>
      </c>
      <c r="AC288" s="325">
        <f t="shared" si="202"/>
        <v>2025</v>
      </c>
      <c r="AD288" s="325">
        <f t="shared" si="202"/>
        <v>2026</v>
      </c>
      <c r="AE288" s="325">
        <f t="shared" si="202"/>
        <v>2027</v>
      </c>
      <c r="AF288" s="325">
        <f t="shared" si="202"/>
        <v>2028</v>
      </c>
      <c r="AG288" s="325">
        <f t="shared" si="202"/>
        <v>2029</v>
      </c>
      <c r="AH288" s="325">
        <f t="shared" si="202"/>
        <v>2030</v>
      </c>
      <c r="AI288" s="325">
        <f t="shared" si="202"/>
        <v>2031</v>
      </c>
      <c r="AJ288" s="325">
        <f t="shared" si="202"/>
        <v>2032</v>
      </c>
      <c r="AK288" s="325">
        <f t="shared" si="202"/>
        <v>2033</v>
      </c>
      <c r="AL288" s="325">
        <f t="shared" si="202"/>
        <v>2034</v>
      </c>
      <c r="AM288" s="325">
        <f t="shared" si="202"/>
        <v>2035</v>
      </c>
      <c r="AN288" s="325">
        <f t="shared" si="202"/>
        <v>2036</v>
      </c>
      <c r="AO288" s="325">
        <f t="shared" si="202"/>
        <v>2037</v>
      </c>
      <c r="AP288" s="325">
        <f t="shared" si="202"/>
        <v>2038</v>
      </c>
      <c r="AQ288" s="325">
        <f t="shared" si="202"/>
        <v>2039</v>
      </c>
      <c r="AR288" s="325">
        <f t="shared" si="202"/>
        <v>2040</v>
      </c>
      <c r="AS288" s="325">
        <f t="shared" si="202"/>
        <v>2041</v>
      </c>
      <c r="AT288" s="325">
        <f t="shared" si="202"/>
        <v>2042</v>
      </c>
      <c r="AU288" s="325">
        <f t="shared" si="202"/>
        <v>2043</v>
      </c>
    </row>
    <row r="289" spans="1:47">
      <c r="E289" s="325"/>
      <c r="G289" s="39"/>
      <c r="H289" s="39"/>
      <c r="I289" s="39"/>
      <c r="J289" s="39"/>
      <c r="K289" s="39"/>
    </row>
    <row r="290" spans="1:47">
      <c r="E290" s="325"/>
      <c r="G290" s="39" t="s">
        <v>23</v>
      </c>
      <c r="H290" s="39"/>
      <c r="I290" s="39"/>
      <c r="J290" s="39"/>
      <c r="K290" s="39"/>
    </row>
    <row r="291" spans="1:47">
      <c r="A291" s="38" t="str">
        <f t="shared" ref="A291:A298" si="203">$J$4&amp;"-"</f>
        <v>Custom-</v>
      </c>
      <c r="B291" s="38" t="s">
        <v>262</v>
      </c>
      <c r="C291" s="38" t="str">
        <f>C285</f>
        <v>Fluid Bed Incineration</v>
      </c>
      <c r="D291" s="186">
        <f>LaborEsc</f>
        <v>0.02</v>
      </c>
      <c r="E291" s="325"/>
      <c r="G291" s="36" t="s">
        <v>125</v>
      </c>
      <c r="I291" s="39"/>
      <c r="K291" s="39"/>
      <c r="L291" s="43" t="s">
        <v>266</v>
      </c>
      <c r="N291" s="70">
        <f ca="1">IF(VLOOKUP($C291,$G$69:$J$87,4,FALSE)="Off",0,SUMIFS(OFFSET(Assumptions!$I$90,0,MATCH($A291,Configurations,0)-1,COUNT(Assumptions!$A$90:$A$183),1),Assumptions!$D$90:$D$183,$B291&amp;$C291))</f>
        <v>0</v>
      </c>
      <c r="O291" s="313"/>
      <c r="P291" s="323"/>
      <c r="Q291" s="313"/>
      <c r="R291" s="50">
        <f t="shared" ref="R291:AU291" ca="1" si="204">IF(OR(R$99&lt;InServiceYr,R$99&gt;(InServiceYr+analysis_period-1)),0,IF($P291=0,$N291,$P291)*LaborCost*(1+$D291)^(R$99-CostBaseYr))</f>
        <v>0</v>
      </c>
      <c r="S291" s="50">
        <f t="shared" ca="1" si="204"/>
        <v>0</v>
      </c>
      <c r="T291" s="50">
        <f t="shared" ca="1" si="204"/>
        <v>0</v>
      </c>
      <c r="U291" s="50">
        <f t="shared" ca="1" si="204"/>
        <v>0</v>
      </c>
      <c r="V291" s="50">
        <f t="shared" ca="1" si="204"/>
        <v>0</v>
      </c>
      <c r="W291" s="50">
        <f t="shared" ca="1" si="204"/>
        <v>0</v>
      </c>
      <c r="X291" s="50">
        <f t="shared" ca="1" si="204"/>
        <v>0</v>
      </c>
      <c r="Y291" s="50">
        <f t="shared" ca="1" si="204"/>
        <v>0</v>
      </c>
      <c r="Z291" s="50">
        <f t="shared" ca="1" si="204"/>
        <v>0</v>
      </c>
      <c r="AA291" s="50">
        <f t="shared" ca="1" si="204"/>
        <v>0</v>
      </c>
      <c r="AB291" s="50">
        <f t="shared" ca="1" si="204"/>
        <v>0</v>
      </c>
      <c r="AC291" s="50">
        <f t="shared" ca="1" si="204"/>
        <v>0</v>
      </c>
      <c r="AD291" s="50">
        <f t="shared" ca="1" si="204"/>
        <v>0</v>
      </c>
      <c r="AE291" s="50">
        <f t="shared" ca="1" si="204"/>
        <v>0</v>
      </c>
      <c r="AF291" s="50">
        <f t="shared" ca="1" si="204"/>
        <v>0</v>
      </c>
      <c r="AG291" s="50">
        <f t="shared" ca="1" si="204"/>
        <v>0</v>
      </c>
      <c r="AH291" s="50">
        <f t="shared" ca="1" si="204"/>
        <v>0</v>
      </c>
      <c r="AI291" s="50">
        <f t="shared" ca="1" si="204"/>
        <v>0</v>
      </c>
      <c r="AJ291" s="50">
        <f t="shared" ca="1" si="204"/>
        <v>0</v>
      </c>
      <c r="AK291" s="50">
        <f t="shared" ca="1" si="204"/>
        <v>0</v>
      </c>
      <c r="AL291" s="50">
        <f t="shared" si="204"/>
        <v>0</v>
      </c>
      <c r="AM291" s="50">
        <f t="shared" si="204"/>
        <v>0</v>
      </c>
      <c r="AN291" s="50">
        <f t="shared" si="204"/>
        <v>0</v>
      </c>
      <c r="AO291" s="50">
        <f t="shared" si="204"/>
        <v>0</v>
      </c>
      <c r="AP291" s="50">
        <f t="shared" si="204"/>
        <v>0</v>
      </c>
      <c r="AQ291" s="50">
        <f t="shared" si="204"/>
        <v>0</v>
      </c>
      <c r="AR291" s="50">
        <f t="shared" si="204"/>
        <v>0</v>
      </c>
      <c r="AS291" s="50">
        <f t="shared" si="204"/>
        <v>0</v>
      </c>
      <c r="AT291" s="50">
        <f t="shared" si="204"/>
        <v>0</v>
      </c>
      <c r="AU291" s="50">
        <f t="shared" si="204"/>
        <v>0</v>
      </c>
    </row>
    <row r="292" spans="1:47">
      <c r="A292" s="38" t="str">
        <f t="shared" si="203"/>
        <v>Custom-</v>
      </c>
      <c r="B292" s="38" t="s">
        <v>270</v>
      </c>
      <c r="C292" s="38" t="str">
        <f>C291</f>
        <v>Fluid Bed Incineration</v>
      </c>
      <c r="D292" s="186">
        <f>OMEsc</f>
        <v>0.02</v>
      </c>
      <c r="E292" s="325"/>
      <c r="G292" s="36" t="s">
        <v>126</v>
      </c>
      <c r="I292" s="39"/>
      <c r="K292" s="39"/>
      <c r="L292" s="43" t="str">
        <f>"["&amp;CostBaseYr&amp;" $]"</f>
        <v>[2013 $]</v>
      </c>
      <c r="N292" s="70">
        <f ca="1">IF(VLOOKUP($C292,$G$69:$J$87,4,FALSE)="Off",0,SUMIFS(OFFSET(Assumptions!$I$90,0,MATCH($A292,Configurations,0)-1,COUNT(Assumptions!$A$90:$A$183),1),Assumptions!$D$90:$D$183,$B292&amp;$C292))</f>
        <v>0</v>
      </c>
      <c r="O292" s="313"/>
      <c r="P292" s="323"/>
      <c r="Q292" s="313"/>
      <c r="R292" s="50">
        <f t="shared" ref="R292:AG294" ca="1" si="205">IF(OR(R$99&lt;InServiceYr,R$99&gt;(InServiceYr+analysis_period-1)),0,IF($P292=0,$N292,$P292)*(1+$D292)^(R$99-CostBaseYr))</f>
        <v>0</v>
      </c>
      <c r="S292" s="50">
        <f t="shared" ca="1" si="205"/>
        <v>0</v>
      </c>
      <c r="T292" s="50">
        <f t="shared" ca="1" si="205"/>
        <v>0</v>
      </c>
      <c r="U292" s="50">
        <f t="shared" ca="1" si="205"/>
        <v>0</v>
      </c>
      <c r="V292" s="50">
        <f t="shared" ca="1" si="205"/>
        <v>0</v>
      </c>
      <c r="W292" s="50">
        <f t="shared" ca="1" si="205"/>
        <v>0</v>
      </c>
      <c r="X292" s="50">
        <f t="shared" ca="1" si="205"/>
        <v>0</v>
      </c>
      <c r="Y292" s="50">
        <f t="shared" ca="1" si="205"/>
        <v>0</v>
      </c>
      <c r="Z292" s="50">
        <f t="shared" ca="1" si="205"/>
        <v>0</v>
      </c>
      <c r="AA292" s="50">
        <f t="shared" ca="1" si="205"/>
        <v>0</v>
      </c>
      <c r="AB292" s="50">
        <f t="shared" ca="1" si="205"/>
        <v>0</v>
      </c>
      <c r="AC292" s="50">
        <f t="shared" ca="1" si="205"/>
        <v>0</v>
      </c>
      <c r="AD292" s="50">
        <f t="shared" ca="1" si="205"/>
        <v>0</v>
      </c>
      <c r="AE292" s="50">
        <f t="shared" ca="1" si="205"/>
        <v>0</v>
      </c>
      <c r="AF292" s="50">
        <f t="shared" ca="1" si="205"/>
        <v>0</v>
      </c>
      <c r="AG292" s="50">
        <f t="shared" ca="1" si="205"/>
        <v>0</v>
      </c>
      <c r="AH292" s="50">
        <f t="shared" ref="S292:AU294" ca="1" si="206">IF(OR(AH$99&lt;InServiceYr,AH$99&gt;(InServiceYr+analysis_period-1)),0,IF($P292=0,$N292,$P292)*(1+$D292)^(AH$99-CostBaseYr))</f>
        <v>0</v>
      </c>
      <c r="AI292" s="50">
        <f t="shared" ca="1" si="206"/>
        <v>0</v>
      </c>
      <c r="AJ292" s="50">
        <f t="shared" ca="1" si="206"/>
        <v>0</v>
      </c>
      <c r="AK292" s="50">
        <f t="shared" ca="1" si="206"/>
        <v>0</v>
      </c>
      <c r="AL292" s="50">
        <f t="shared" si="206"/>
        <v>0</v>
      </c>
      <c r="AM292" s="50">
        <f t="shared" si="206"/>
        <v>0</v>
      </c>
      <c r="AN292" s="50">
        <f t="shared" si="206"/>
        <v>0</v>
      </c>
      <c r="AO292" s="50">
        <f t="shared" si="206"/>
        <v>0</v>
      </c>
      <c r="AP292" s="50">
        <f t="shared" si="206"/>
        <v>0</v>
      </c>
      <c r="AQ292" s="50">
        <f t="shared" si="206"/>
        <v>0</v>
      </c>
      <c r="AR292" s="50">
        <f t="shared" si="206"/>
        <v>0</v>
      </c>
      <c r="AS292" s="50">
        <f t="shared" si="206"/>
        <v>0</v>
      </c>
      <c r="AT292" s="50">
        <f t="shared" si="206"/>
        <v>0</v>
      </c>
      <c r="AU292" s="50">
        <f t="shared" si="206"/>
        <v>0</v>
      </c>
    </row>
    <row r="293" spans="1:47">
      <c r="A293" s="38" t="str">
        <f t="shared" si="203"/>
        <v>Custom-</v>
      </c>
      <c r="B293" s="38" t="s">
        <v>263</v>
      </c>
      <c r="C293" s="38" t="str">
        <f t="shared" ref="C293:C297" si="207">C292</f>
        <v>Fluid Bed Incineration</v>
      </c>
      <c r="D293" s="186">
        <f>OMEsc</f>
        <v>0.02</v>
      </c>
      <c r="E293" s="325"/>
      <c r="G293" s="36" t="s">
        <v>127</v>
      </c>
      <c r="I293" s="39"/>
      <c r="K293" s="39"/>
      <c r="L293" s="43" t="str">
        <f>"["&amp;CostBaseYr&amp;" $]"</f>
        <v>[2013 $]</v>
      </c>
      <c r="N293" s="70">
        <f ca="1">IF(VLOOKUP($C293,$G$69:$J$87,4,FALSE)="Off",0,SUMIFS(OFFSET(Assumptions!$I$90,0,MATCH($A293,Configurations,0)-1,COUNT(Assumptions!$A$90:$A$183),1),Assumptions!$D$90:$D$183,$B293&amp;$C293))</f>
        <v>0</v>
      </c>
      <c r="O293" s="313"/>
      <c r="P293" s="323"/>
      <c r="Q293" s="313"/>
      <c r="R293" s="50">
        <f t="shared" ca="1" si="205"/>
        <v>0</v>
      </c>
      <c r="S293" s="50">
        <f t="shared" ca="1" si="206"/>
        <v>0</v>
      </c>
      <c r="T293" s="50">
        <f t="shared" ca="1" si="206"/>
        <v>0</v>
      </c>
      <c r="U293" s="50">
        <f t="shared" ca="1" si="206"/>
        <v>0</v>
      </c>
      <c r="V293" s="50">
        <f t="shared" ca="1" si="206"/>
        <v>0</v>
      </c>
      <c r="W293" s="50">
        <f t="shared" ca="1" si="206"/>
        <v>0</v>
      </c>
      <c r="X293" s="50">
        <f t="shared" ca="1" si="206"/>
        <v>0</v>
      </c>
      <c r="Y293" s="50">
        <f t="shared" ca="1" si="206"/>
        <v>0</v>
      </c>
      <c r="Z293" s="50">
        <f t="shared" ca="1" si="206"/>
        <v>0</v>
      </c>
      <c r="AA293" s="50">
        <f t="shared" ca="1" si="206"/>
        <v>0</v>
      </c>
      <c r="AB293" s="50">
        <f t="shared" ca="1" si="206"/>
        <v>0</v>
      </c>
      <c r="AC293" s="50">
        <f t="shared" ca="1" si="206"/>
        <v>0</v>
      </c>
      <c r="AD293" s="50">
        <f t="shared" ca="1" si="206"/>
        <v>0</v>
      </c>
      <c r="AE293" s="50">
        <f t="shared" ca="1" si="206"/>
        <v>0</v>
      </c>
      <c r="AF293" s="50">
        <f t="shared" ca="1" si="206"/>
        <v>0</v>
      </c>
      <c r="AG293" s="50">
        <f t="shared" ca="1" si="206"/>
        <v>0</v>
      </c>
      <c r="AH293" s="50">
        <f t="shared" ca="1" si="206"/>
        <v>0</v>
      </c>
      <c r="AI293" s="50">
        <f t="shared" ca="1" si="206"/>
        <v>0</v>
      </c>
      <c r="AJ293" s="50">
        <f t="shared" ca="1" si="206"/>
        <v>0</v>
      </c>
      <c r="AK293" s="50">
        <f t="shared" ca="1" si="206"/>
        <v>0</v>
      </c>
      <c r="AL293" s="50">
        <f t="shared" si="206"/>
        <v>0</v>
      </c>
      <c r="AM293" s="50">
        <f t="shared" si="206"/>
        <v>0</v>
      </c>
      <c r="AN293" s="50">
        <f t="shared" si="206"/>
        <v>0</v>
      </c>
      <c r="AO293" s="50">
        <f t="shared" si="206"/>
        <v>0</v>
      </c>
      <c r="AP293" s="50">
        <f t="shared" si="206"/>
        <v>0</v>
      </c>
      <c r="AQ293" s="50">
        <f t="shared" si="206"/>
        <v>0</v>
      </c>
      <c r="AR293" s="50">
        <f t="shared" si="206"/>
        <v>0</v>
      </c>
      <c r="AS293" s="50">
        <f t="shared" si="206"/>
        <v>0</v>
      </c>
      <c r="AT293" s="50">
        <f t="shared" si="206"/>
        <v>0</v>
      </c>
      <c r="AU293" s="50">
        <f t="shared" si="206"/>
        <v>0</v>
      </c>
    </row>
    <row r="294" spans="1:47">
      <c r="A294" s="38" t="str">
        <f t="shared" si="203"/>
        <v>Custom-</v>
      </c>
      <c r="B294" s="38" t="s">
        <v>277</v>
      </c>
      <c r="C294" s="38" t="str">
        <f t="shared" si="207"/>
        <v>Fluid Bed Incineration</v>
      </c>
      <c r="D294" s="186">
        <f>OMEsc</f>
        <v>0.02</v>
      </c>
      <c r="E294" s="325"/>
      <c r="G294" s="36" t="s">
        <v>276</v>
      </c>
      <c r="I294" s="39"/>
      <c r="K294" s="39"/>
      <c r="L294" s="43" t="str">
        <f>"["&amp;CostBaseYr&amp;" $]"</f>
        <v>[2013 $]</v>
      </c>
      <c r="N294" s="70">
        <f ca="1">IF(VLOOKUP($C294,$G$69:$J$87,4,FALSE)="Off",0,SUMIFS(OFFSET(Assumptions!$I$90,0,MATCH($A294,Configurations,0)-1,COUNT(Assumptions!$A$90:$A$183),1),Assumptions!$D$90:$D$183,$B294&amp;$C294))</f>
        <v>0</v>
      </c>
      <c r="O294" s="313"/>
      <c r="P294" s="323"/>
      <c r="Q294" s="313"/>
      <c r="R294" s="50">
        <f t="shared" ca="1" si="205"/>
        <v>0</v>
      </c>
      <c r="S294" s="50">
        <f t="shared" ca="1" si="206"/>
        <v>0</v>
      </c>
      <c r="T294" s="50">
        <f t="shared" ca="1" si="206"/>
        <v>0</v>
      </c>
      <c r="U294" s="50">
        <f t="shared" ca="1" si="206"/>
        <v>0</v>
      </c>
      <c r="V294" s="50">
        <f t="shared" ca="1" si="206"/>
        <v>0</v>
      </c>
      <c r="W294" s="50">
        <f t="shared" ca="1" si="206"/>
        <v>0</v>
      </c>
      <c r="X294" s="50">
        <f t="shared" ca="1" si="206"/>
        <v>0</v>
      </c>
      <c r="Y294" s="50">
        <f t="shared" ca="1" si="206"/>
        <v>0</v>
      </c>
      <c r="Z294" s="50">
        <f t="shared" ca="1" si="206"/>
        <v>0</v>
      </c>
      <c r="AA294" s="50">
        <f t="shared" ca="1" si="206"/>
        <v>0</v>
      </c>
      <c r="AB294" s="50">
        <f t="shared" ca="1" si="206"/>
        <v>0</v>
      </c>
      <c r="AC294" s="50">
        <f t="shared" ca="1" si="206"/>
        <v>0</v>
      </c>
      <c r="AD294" s="50">
        <f t="shared" ca="1" si="206"/>
        <v>0</v>
      </c>
      <c r="AE294" s="50">
        <f t="shared" ca="1" si="206"/>
        <v>0</v>
      </c>
      <c r="AF294" s="50">
        <f t="shared" ca="1" si="206"/>
        <v>0</v>
      </c>
      <c r="AG294" s="50">
        <f t="shared" ca="1" si="206"/>
        <v>0</v>
      </c>
      <c r="AH294" s="50">
        <f t="shared" ca="1" si="206"/>
        <v>0</v>
      </c>
      <c r="AI294" s="50">
        <f t="shared" ca="1" si="206"/>
        <v>0</v>
      </c>
      <c r="AJ294" s="50">
        <f t="shared" ca="1" si="206"/>
        <v>0</v>
      </c>
      <c r="AK294" s="50">
        <f t="shared" ca="1" si="206"/>
        <v>0</v>
      </c>
      <c r="AL294" s="50">
        <f t="shared" si="206"/>
        <v>0</v>
      </c>
      <c r="AM294" s="50">
        <f t="shared" si="206"/>
        <v>0</v>
      </c>
      <c r="AN294" s="50">
        <f t="shared" si="206"/>
        <v>0</v>
      </c>
      <c r="AO294" s="50">
        <f t="shared" si="206"/>
        <v>0</v>
      </c>
      <c r="AP294" s="50">
        <f t="shared" si="206"/>
        <v>0</v>
      </c>
      <c r="AQ294" s="50">
        <f t="shared" si="206"/>
        <v>0</v>
      </c>
      <c r="AR294" s="50">
        <f t="shared" si="206"/>
        <v>0</v>
      </c>
      <c r="AS294" s="50">
        <f t="shared" si="206"/>
        <v>0</v>
      </c>
      <c r="AT294" s="50">
        <f t="shared" si="206"/>
        <v>0</v>
      </c>
      <c r="AU294" s="50">
        <f t="shared" si="206"/>
        <v>0</v>
      </c>
    </row>
    <row r="295" spans="1:47">
      <c r="A295" s="38" t="str">
        <f t="shared" si="203"/>
        <v>Custom-</v>
      </c>
      <c r="B295" s="38" t="s">
        <v>274</v>
      </c>
      <c r="C295" s="38" t="str">
        <f t="shared" si="207"/>
        <v>Fluid Bed Incineration</v>
      </c>
      <c r="D295" s="186"/>
      <c r="E295" s="325"/>
      <c r="G295" s="36" t="s">
        <v>16</v>
      </c>
      <c r="I295" s="39"/>
      <c r="K295" s="39"/>
      <c r="L295" s="43" t="s">
        <v>275</v>
      </c>
      <c r="N295" s="70">
        <f ca="1">IF(VLOOKUP($C295,$G$69:$J$87,4,FALSE)="Off",0,SUMIFS(OFFSET(Assumptions!$I$90,0,MATCH($A295,Configurations,0)-1,COUNT(Assumptions!$A$90:$A$183),1),Assumptions!$D$90:$D$183,$B295&amp;$C295))</f>
        <v>0</v>
      </c>
      <c r="O295" s="313"/>
      <c r="P295" s="323"/>
      <c r="Q295" s="313"/>
      <c r="R295" s="50">
        <f t="shared" ref="R295:AU295" ca="1" si="208">IF(OR(R$99&lt;InServiceYr,R$99&gt;(InServiceYr+analysis_period-1)),0,IF($P295=0,$N295,$P295)*R$505)</f>
        <v>0</v>
      </c>
      <c r="S295" s="50">
        <f t="shared" ca="1" si="208"/>
        <v>0</v>
      </c>
      <c r="T295" s="50">
        <f t="shared" ca="1" si="208"/>
        <v>0</v>
      </c>
      <c r="U295" s="50">
        <f t="shared" ca="1" si="208"/>
        <v>0</v>
      </c>
      <c r="V295" s="50">
        <f t="shared" ca="1" si="208"/>
        <v>0</v>
      </c>
      <c r="W295" s="50">
        <f t="shared" ca="1" si="208"/>
        <v>0</v>
      </c>
      <c r="X295" s="50">
        <f t="shared" ca="1" si="208"/>
        <v>0</v>
      </c>
      <c r="Y295" s="50">
        <f t="shared" ca="1" si="208"/>
        <v>0</v>
      </c>
      <c r="Z295" s="50">
        <f t="shared" ca="1" si="208"/>
        <v>0</v>
      </c>
      <c r="AA295" s="50">
        <f t="shared" ca="1" si="208"/>
        <v>0</v>
      </c>
      <c r="AB295" s="50">
        <f t="shared" ca="1" si="208"/>
        <v>0</v>
      </c>
      <c r="AC295" s="50">
        <f t="shared" ca="1" si="208"/>
        <v>0</v>
      </c>
      <c r="AD295" s="50">
        <f t="shared" ca="1" si="208"/>
        <v>0</v>
      </c>
      <c r="AE295" s="50">
        <f t="shared" ca="1" si="208"/>
        <v>0</v>
      </c>
      <c r="AF295" s="50">
        <f t="shared" ca="1" si="208"/>
        <v>0</v>
      </c>
      <c r="AG295" s="50">
        <f t="shared" ca="1" si="208"/>
        <v>0</v>
      </c>
      <c r="AH295" s="50">
        <f t="shared" ca="1" si="208"/>
        <v>0</v>
      </c>
      <c r="AI295" s="50">
        <f t="shared" ca="1" si="208"/>
        <v>0</v>
      </c>
      <c r="AJ295" s="50">
        <f t="shared" ca="1" si="208"/>
        <v>0</v>
      </c>
      <c r="AK295" s="50">
        <f t="shared" ca="1" si="208"/>
        <v>0</v>
      </c>
      <c r="AL295" s="50">
        <f t="shared" si="208"/>
        <v>0</v>
      </c>
      <c r="AM295" s="50">
        <f t="shared" si="208"/>
        <v>0</v>
      </c>
      <c r="AN295" s="50">
        <f t="shared" si="208"/>
        <v>0</v>
      </c>
      <c r="AO295" s="50">
        <f t="shared" si="208"/>
        <v>0</v>
      </c>
      <c r="AP295" s="50">
        <f t="shared" si="208"/>
        <v>0</v>
      </c>
      <c r="AQ295" s="50">
        <f t="shared" si="208"/>
        <v>0</v>
      </c>
      <c r="AR295" s="50">
        <f t="shared" si="208"/>
        <v>0</v>
      </c>
      <c r="AS295" s="50">
        <f t="shared" si="208"/>
        <v>0</v>
      </c>
      <c r="AT295" s="50">
        <f t="shared" si="208"/>
        <v>0</v>
      </c>
      <c r="AU295" s="50">
        <f t="shared" si="208"/>
        <v>0</v>
      </c>
    </row>
    <row r="296" spans="1:47">
      <c r="A296" s="38" t="str">
        <f t="shared" si="203"/>
        <v>Custom-</v>
      </c>
      <c r="B296" s="38" t="s">
        <v>257</v>
      </c>
      <c r="C296" s="38" t="str">
        <f t="shared" si="207"/>
        <v>Fluid Bed Incineration</v>
      </c>
      <c r="D296" s="186"/>
      <c r="E296" s="325"/>
      <c r="G296" s="36" t="s">
        <v>284</v>
      </c>
      <c r="I296" s="39"/>
      <c r="K296" s="39"/>
      <c r="L296" s="43" t="s">
        <v>293</v>
      </c>
      <c r="N296" s="70">
        <f ca="1">IF(VLOOKUP($C296,$G$69:$J$87,4,FALSE)="Off",0,SUMIFS(OFFSET(Assumptions!$I$90,0,MATCH($A296,Configurations,0)-1,COUNT(Assumptions!$A$90:$A$183),1),Assumptions!$D$90:$D$183,$B296&amp;$C296))</f>
        <v>0</v>
      </c>
      <c r="O296" s="313"/>
      <c r="P296" s="323"/>
      <c r="Q296" s="313"/>
      <c r="R296" s="50">
        <f t="shared" ref="R296:AU296" ca="1" si="209">IF(OR(R$99&lt;InServiceYr,R$99&gt;(InServiceYr+analysis_period-1)),0,IF($P296=0,$N296,$P296)*R$501)</f>
        <v>0</v>
      </c>
      <c r="S296" s="50">
        <f t="shared" ca="1" si="209"/>
        <v>0</v>
      </c>
      <c r="T296" s="50">
        <f t="shared" ca="1" si="209"/>
        <v>0</v>
      </c>
      <c r="U296" s="50">
        <f t="shared" ca="1" si="209"/>
        <v>0</v>
      </c>
      <c r="V296" s="50">
        <f t="shared" ca="1" si="209"/>
        <v>0</v>
      </c>
      <c r="W296" s="50">
        <f t="shared" ca="1" si="209"/>
        <v>0</v>
      </c>
      <c r="X296" s="50">
        <f t="shared" ca="1" si="209"/>
        <v>0</v>
      </c>
      <c r="Y296" s="50">
        <f t="shared" ca="1" si="209"/>
        <v>0</v>
      </c>
      <c r="Z296" s="50">
        <f t="shared" ca="1" si="209"/>
        <v>0</v>
      </c>
      <c r="AA296" s="50">
        <f t="shared" ca="1" si="209"/>
        <v>0</v>
      </c>
      <c r="AB296" s="50">
        <f t="shared" ca="1" si="209"/>
        <v>0</v>
      </c>
      <c r="AC296" s="50">
        <f t="shared" ca="1" si="209"/>
        <v>0</v>
      </c>
      <c r="AD296" s="50">
        <f t="shared" ca="1" si="209"/>
        <v>0</v>
      </c>
      <c r="AE296" s="50">
        <f t="shared" ca="1" si="209"/>
        <v>0</v>
      </c>
      <c r="AF296" s="50">
        <f t="shared" ca="1" si="209"/>
        <v>0</v>
      </c>
      <c r="AG296" s="50">
        <f t="shared" ca="1" si="209"/>
        <v>0</v>
      </c>
      <c r="AH296" s="50">
        <f t="shared" ca="1" si="209"/>
        <v>0</v>
      </c>
      <c r="AI296" s="50">
        <f t="shared" ca="1" si="209"/>
        <v>0</v>
      </c>
      <c r="AJ296" s="50">
        <f t="shared" ca="1" si="209"/>
        <v>0</v>
      </c>
      <c r="AK296" s="50">
        <f t="shared" ca="1" si="209"/>
        <v>0</v>
      </c>
      <c r="AL296" s="50">
        <f t="shared" si="209"/>
        <v>0</v>
      </c>
      <c r="AM296" s="50">
        <f t="shared" si="209"/>
        <v>0</v>
      </c>
      <c r="AN296" s="50">
        <f t="shared" si="209"/>
        <v>0</v>
      </c>
      <c r="AO296" s="50">
        <f t="shared" si="209"/>
        <v>0</v>
      </c>
      <c r="AP296" s="50">
        <f t="shared" si="209"/>
        <v>0</v>
      </c>
      <c r="AQ296" s="50">
        <f t="shared" si="209"/>
        <v>0</v>
      </c>
      <c r="AR296" s="50">
        <f t="shared" si="209"/>
        <v>0</v>
      </c>
      <c r="AS296" s="50">
        <f t="shared" si="209"/>
        <v>0</v>
      </c>
      <c r="AT296" s="50">
        <f t="shared" si="209"/>
        <v>0</v>
      </c>
      <c r="AU296" s="50">
        <f t="shared" si="209"/>
        <v>0</v>
      </c>
    </row>
    <row r="297" spans="1:47">
      <c r="A297" s="38" t="str">
        <f t="shared" si="203"/>
        <v>Custom-</v>
      </c>
      <c r="B297" s="38" t="s">
        <v>864</v>
      </c>
      <c r="C297" s="38" t="str">
        <f t="shared" si="207"/>
        <v>Fluid Bed Incineration</v>
      </c>
      <c r="D297" s="186">
        <f>GHGEsc</f>
        <v>0.02</v>
      </c>
      <c r="E297" s="325"/>
      <c r="G297" s="36" t="s">
        <v>865</v>
      </c>
      <c r="I297" s="39"/>
      <c r="K297" s="39"/>
      <c r="L297" s="43" t="s">
        <v>866</v>
      </c>
      <c r="N297" s="70">
        <f ca="1">IF(VLOOKUP($C297,$G$69:$J$87,4,FALSE)="Off",0,SUMIFS(OFFSET(Assumptions!$I$90,0,MATCH($A297,Configurations,0)-1,COUNT(Assumptions!$A$90:$A$183),1),Assumptions!$D$90:$D$183,$B297&amp;$C297))</f>
        <v>0</v>
      </c>
      <c r="O297" s="313"/>
      <c r="P297" s="323"/>
      <c r="Q297" s="313"/>
      <c r="R297" s="50">
        <f t="shared" ref="R297:AU297" ca="1" si="210">IF(OR(R$99&lt;InServiceYr,R$99&gt;(InServiceYr+analysis_period-1)),0,IF($P297=0,$N297,$P297)*R$513)</f>
        <v>0</v>
      </c>
      <c r="S297" s="50">
        <f t="shared" ca="1" si="210"/>
        <v>0</v>
      </c>
      <c r="T297" s="50">
        <f t="shared" ca="1" si="210"/>
        <v>0</v>
      </c>
      <c r="U297" s="50">
        <f t="shared" ca="1" si="210"/>
        <v>0</v>
      </c>
      <c r="V297" s="50">
        <f t="shared" ca="1" si="210"/>
        <v>0</v>
      </c>
      <c r="W297" s="50">
        <f t="shared" ca="1" si="210"/>
        <v>0</v>
      </c>
      <c r="X297" s="50">
        <f t="shared" ca="1" si="210"/>
        <v>0</v>
      </c>
      <c r="Y297" s="50">
        <f t="shared" ca="1" si="210"/>
        <v>0</v>
      </c>
      <c r="Z297" s="50">
        <f t="shared" ca="1" si="210"/>
        <v>0</v>
      </c>
      <c r="AA297" s="50">
        <f t="shared" ca="1" si="210"/>
        <v>0</v>
      </c>
      <c r="AB297" s="50">
        <f t="shared" ca="1" si="210"/>
        <v>0</v>
      </c>
      <c r="AC297" s="50">
        <f t="shared" ca="1" si="210"/>
        <v>0</v>
      </c>
      <c r="AD297" s="50">
        <f t="shared" ca="1" si="210"/>
        <v>0</v>
      </c>
      <c r="AE297" s="50">
        <f t="shared" ca="1" si="210"/>
        <v>0</v>
      </c>
      <c r="AF297" s="50">
        <f t="shared" ca="1" si="210"/>
        <v>0</v>
      </c>
      <c r="AG297" s="50">
        <f t="shared" ca="1" si="210"/>
        <v>0</v>
      </c>
      <c r="AH297" s="50">
        <f t="shared" ca="1" si="210"/>
        <v>0</v>
      </c>
      <c r="AI297" s="50">
        <f t="shared" ca="1" si="210"/>
        <v>0</v>
      </c>
      <c r="AJ297" s="50">
        <f t="shared" ca="1" si="210"/>
        <v>0</v>
      </c>
      <c r="AK297" s="50">
        <f t="shared" ca="1" si="210"/>
        <v>0</v>
      </c>
      <c r="AL297" s="50">
        <f t="shared" si="210"/>
        <v>0</v>
      </c>
      <c r="AM297" s="50">
        <f t="shared" si="210"/>
        <v>0</v>
      </c>
      <c r="AN297" s="50">
        <f t="shared" si="210"/>
        <v>0</v>
      </c>
      <c r="AO297" s="50">
        <f t="shared" si="210"/>
        <v>0</v>
      </c>
      <c r="AP297" s="50">
        <f t="shared" si="210"/>
        <v>0</v>
      </c>
      <c r="AQ297" s="50">
        <f t="shared" si="210"/>
        <v>0</v>
      </c>
      <c r="AR297" s="50">
        <f t="shared" si="210"/>
        <v>0</v>
      </c>
      <c r="AS297" s="50">
        <f t="shared" si="210"/>
        <v>0</v>
      </c>
      <c r="AT297" s="50">
        <f t="shared" si="210"/>
        <v>0</v>
      </c>
      <c r="AU297" s="50">
        <f t="shared" si="210"/>
        <v>0</v>
      </c>
    </row>
    <row r="298" spans="1:47">
      <c r="A298" s="38" t="str">
        <f t="shared" si="203"/>
        <v>Custom-</v>
      </c>
      <c r="B298" s="38" t="s">
        <v>273</v>
      </c>
      <c r="C298" s="38" t="str">
        <f>C296</f>
        <v>Fluid Bed Incineration</v>
      </c>
      <c r="D298" s="186">
        <f>LaborEsc</f>
        <v>0.02</v>
      </c>
      <c r="E298" s="325"/>
      <c r="G298" s="36" t="s">
        <v>291</v>
      </c>
      <c r="I298" s="39"/>
      <c r="K298" s="39"/>
      <c r="L298" s="43" t="str">
        <f>"["&amp;CostBaseYr&amp;" $]"</f>
        <v>[2013 $]</v>
      </c>
      <c r="N298" s="70">
        <f ca="1">IF(VLOOKUP($C298,$G$69:$J$87,4,FALSE)="Off",0,SUMIFS(OFFSET(Assumptions!$I$90,0,MATCH($A298,Configurations,0)-1,COUNT(Assumptions!$A$90:$A$183),1),Assumptions!$D$90:$D$183,$B298&amp;$C298))</f>
        <v>0</v>
      </c>
      <c r="O298" s="313"/>
      <c r="P298" s="323"/>
      <c r="Q298" s="313"/>
      <c r="R298" s="50">
        <f t="shared" ref="R298:AU298" ca="1" si="211">IF(OR(R$99&lt;InServiceYr,R$99&gt;(InServiceYr+analysis_period-1)),0,IF($P298=0,$N298,$P298)*(1+$D298)^(R$99-CostBaseYr))*R$509</f>
        <v>0</v>
      </c>
      <c r="S298" s="50">
        <f t="shared" ca="1" si="211"/>
        <v>0</v>
      </c>
      <c r="T298" s="50">
        <f t="shared" ca="1" si="211"/>
        <v>0</v>
      </c>
      <c r="U298" s="50">
        <f t="shared" ca="1" si="211"/>
        <v>0</v>
      </c>
      <c r="V298" s="50">
        <f t="shared" ca="1" si="211"/>
        <v>0</v>
      </c>
      <c r="W298" s="50">
        <f t="shared" ca="1" si="211"/>
        <v>0</v>
      </c>
      <c r="X298" s="50">
        <f t="shared" ca="1" si="211"/>
        <v>0</v>
      </c>
      <c r="Y298" s="50">
        <f t="shared" ca="1" si="211"/>
        <v>0</v>
      </c>
      <c r="Z298" s="50">
        <f t="shared" ca="1" si="211"/>
        <v>0</v>
      </c>
      <c r="AA298" s="50">
        <f t="shared" ca="1" si="211"/>
        <v>0</v>
      </c>
      <c r="AB298" s="50">
        <f t="shared" ca="1" si="211"/>
        <v>0</v>
      </c>
      <c r="AC298" s="50">
        <f t="shared" ca="1" si="211"/>
        <v>0</v>
      </c>
      <c r="AD298" s="50">
        <f t="shared" ca="1" si="211"/>
        <v>0</v>
      </c>
      <c r="AE298" s="50">
        <f t="shared" ca="1" si="211"/>
        <v>0</v>
      </c>
      <c r="AF298" s="50">
        <f t="shared" ca="1" si="211"/>
        <v>0</v>
      </c>
      <c r="AG298" s="50">
        <f t="shared" ca="1" si="211"/>
        <v>0</v>
      </c>
      <c r="AH298" s="50">
        <f t="shared" ca="1" si="211"/>
        <v>0</v>
      </c>
      <c r="AI298" s="50">
        <f t="shared" ca="1" si="211"/>
        <v>0</v>
      </c>
      <c r="AJ298" s="50">
        <f t="shared" ca="1" si="211"/>
        <v>0</v>
      </c>
      <c r="AK298" s="50">
        <f t="shared" ca="1" si="211"/>
        <v>0</v>
      </c>
      <c r="AL298" s="50">
        <f t="shared" si="211"/>
        <v>0</v>
      </c>
      <c r="AM298" s="50">
        <f t="shared" si="211"/>
        <v>0</v>
      </c>
      <c r="AN298" s="50">
        <f t="shared" si="211"/>
        <v>0</v>
      </c>
      <c r="AO298" s="50">
        <f t="shared" si="211"/>
        <v>0</v>
      </c>
      <c r="AP298" s="50">
        <f t="shared" si="211"/>
        <v>0</v>
      </c>
      <c r="AQ298" s="50">
        <f t="shared" si="211"/>
        <v>0</v>
      </c>
      <c r="AR298" s="50">
        <f t="shared" si="211"/>
        <v>0</v>
      </c>
      <c r="AS298" s="50">
        <f t="shared" si="211"/>
        <v>0</v>
      </c>
      <c r="AT298" s="50">
        <f t="shared" si="211"/>
        <v>0</v>
      </c>
      <c r="AU298" s="50">
        <f t="shared" si="211"/>
        <v>0</v>
      </c>
    </row>
    <row r="299" spans="1:47">
      <c r="D299" s="186"/>
      <c r="E299" s="325"/>
      <c r="G299" s="39" t="s">
        <v>304</v>
      </c>
      <c r="I299" s="39"/>
      <c r="K299" s="39"/>
      <c r="L299" s="43"/>
      <c r="N299" s="70"/>
      <c r="O299" s="313"/>
      <c r="P299" s="70"/>
      <c r="Q299" s="313"/>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row>
    <row r="300" spans="1:47">
      <c r="A300" s="38" t="str">
        <f>$J$4&amp;"-"</f>
        <v>Custom-</v>
      </c>
      <c r="B300" s="38" t="s">
        <v>265</v>
      </c>
      <c r="C300" s="38" t="str">
        <f>C291</f>
        <v>Fluid Bed Incineration</v>
      </c>
      <c r="D300" s="186"/>
      <c r="E300" s="325"/>
      <c r="G300" s="36" t="s">
        <v>108</v>
      </c>
      <c r="I300" s="39"/>
      <c r="K300" s="39"/>
      <c r="L300" s="43" t="s">
        <v>293</v>
      </c>
      <c r="N300" s="70">
        <f ca="1">IF(VLOOKUP($C300,$G$69:$J$87,4,FALSE)="Off",0,SUMIFS(OFFSET(Assumptions!$I$90,0,MATCH($A300,Configurations,0)-1,COUNT(Assumptions!$A$90:$A$183),1),Assumptions!$D$90:$D$183,$B300&amp;$C300))</f>
        <v>0</v>
      </c>
      <c r="O300" s="313"/>
      <c r="P300" s="323"/>
      <c r="Q300" s="313"/>
      <c r="R300" s="50">
        <f t="shared" ref="R300:AU300" ca="1" si="212">IF(OR(R$99&lt;InServiceYr,R$99&gt;(InServiceYr+analysis_period-1)),0,IF($P300=0,$N300,$P300)*R$501)</f>
        <v>0</v>
      </c>
      <c r="S300" s="50">
        <f t="shared" ca="1" si="212"/>
        <v>0</v>
      </c>
      <c r="T300" s="50">
        <f t="shared" ca="1" si="212"/>
        <v>0</v>
      </c>
      <c r="U300" s="50">
        <f t="shared" ca="1" si="212"/>
        <v>0</v>
      </c>
      <c r="V300" s="50">
        <f t="shared" ca="1" si="212"/>
        <v>0</v>
      </c>
      <c r="W300" s="50">
        <f t="shared" ca="1" si="212"/>
        <v>0</v>
      </c>
      <c r="X300" s="50">
        <f t="shared" ca="1" si="212"/>
        <v>0</v>
      </c>
      <c r="Y300" s="50">
        <f t="shared" ca="1" si="212"/>
        <v>0</v>
      </c>
      <c r="Z300" s="50">
        <f t="shared" ca="1" si="212"/>
        <v>0</v>
      </c>
      <c r="AA300" s="50">
        <f t="shared" ca="1" si="212"/>
        <v>0</v>
      </c>
      <c r="AB300" s="50">
        <f t="shared" ca="1" si="212"/>
        <v>0</v>
      </c>
      <c r="AC300" s="50">
        <f t="shared" ca="1" si="212"/>
        <v>0</v>
      </c>
      <c r="AD300" s="50">
        <f t="shared" ca="1" si="212"/>
        <v>0</v>
      </c>
      <c r="AE300" s="50">
        <f t="shared" ca="1" si="212"/>
        <v>0</v>
      </c>
      <c r="AF300" s="50">
        <f t="shared" ca="1" si="212"/>
        <v>0</v>
      </c>
      <c r="AG300" s="50">
        <f t="shared" ca="1" si="212"/>
        <v>0</v>
      </c>
      <c r="AH300" s="50">
        <f t="shared" ca="1" si="212"/>
        <v>0</v>
      </c>
      <c r="AI300" s="50">
        <f t="shared" ca="1" si="212"/>
        <v>0</v>
      </c>
      <c r="AJ300" s="50">
        <f t="shared" ca="1" si="212"/>
        <v>0</v>
      </c>
      <c r="AK300" s="50">
        <f t="shared" ca="1" si="212"/>
        <v>0</v>
      </c>
      <c r="AL300" s="50">
        <f t="shared" si="212"/>
        <v>0</v>
      </c>
      <c r="AM300" s="50">
        <f t="shared" si="212"/>
        <v>0</v>
      </c>
      <c r="AN300" s="50">
        <f t="shared" si="212"/>
        <v>0</v>
      </c>
      <c r="AO300" s="50">
        <f t="shared" si="212"/>
        <v>0</v>
      </c>
      <c r="AP300" s="50">
        <f t="shared" si="212"/>
        <v>0</v>
      </c>
      <c r="AQ300" s="50">
        <f t="shared" si="212"/>
        <v>0</v>
      </c>
      <c r="AR300" s="50">
        <f t="shared" si="212"/>
        <v>0</v>
      </c>
      <c r="AS300" s="50">
        <f t="shared" si="212"/>
        <v>0</v>
      </c>
      <c r="AT300" s="50">
        <f t="shared" si="212"/>
        <v>0</v>
      </c>
      <c r="AU300" s="50">
        <f t="shared" si="212"/>
        <v>0</v>
      </c>
    </row>
    <row r="301" spans="1:47">
      <c r="A301" s="38" t="str">
        <f>$J$4&amp;"-"</f>
        <v>Custom-</v>
      </c>
      <c r="B301" s="38" t="s">
        <v>289</v>
      </c>
      <c r="C301" s="38" t="str">
        <f>C291</f>
        <v>Fluid Bed Incineration</v>
      </c>
      <c r="D301" s="186">
        <f>LaborEsc</f>
        <v>0.02</v>
      </c>
      <c r="E301" s="325"/>
      <c r="G301" s="36" t="s">
        <v>292</v>
      </c>
      <c r="I301" s="39"/>
      <c r="K301" s="39"/>
      <c r="L301" s="43" t="str">
        <f>"["&amp;CostBaseYr&amp;" $]"</f>
        <v>[2013 $]</v>
      </c>
      <c r="N301" s="70">
        <f ca="1">IF(VLOOKUP($C301,$G$69:$J$87,4,FALSE)="Off",0,SUMIFS(OFFSET(Assumptions!$I$90,0,MATCH($A301,Configurations,0)-1,COUNT(Assumptions!$A$90:$A$183),1),Assumptions!$D$90:$D$183,$B301&amp;$C301))</f>
        <v>0</v>
      </c>
      <c r="O301" s="313"/>
      <c r="P301" s="323"/>
      <c r="Q301" s="313"/>
      <c r="R301" s="50">
        <f t="shared" ref="R301:AU301" ca="1" si="213">IF(OR(R$99&lt;InServiceYr,R$99&gt;(InServiceYr+analysis_period-1)),0,IF($P301=0,$N301,$P301)*(1+$D301)^(R$99-CostBaseYr))</f>
        <v>0</v>
      </c>
      <c r="S301" s="50">
        <f t="shared" ca="1" si="213"/>
        <v>0</v>
      </c>
      <c r="T301" s="50">
        <f t="shared" ca="1" si="213"/>
        <v>0</v>
      </c>
      <c r="U301" s="50">
        <f t="shared" ca="1" si="213"/>
        <v>0</v>
      </c>
      <c r="V301" s="50">
        <f t="shared" ca="1" si="213"/>
        <v>0</v>
      </c>
      <c r="W301" s="50">
        <f t="shared" ca="1" si="213"/>
        <v>0</v>
      </c>
      <c r="X301" s="50">
        <f t="shared" ca="1" si="213"/>
        <v>0</v>
      </c>
      <c r="Y301" s="50">
        <f t="shared" ca="1" si="213"/>
        <v>0</v>
      </c>
      <c r="Z301" s="50">
        <f t="shared" ca="1" si="213"/>
        <v>0</v>
      </c>
      <c r="AA301" s="50">
        <f t="shared" ca="1" si="213"/>
        <v>0</v>
      </c>
      <c r="AB301" s="50">
        <f t="shared" ca="1" si="213"/>
        <v>0</v>
      </c>
      <c r="AC301" s="50">
        <f t="shared" ca="1" si="213"/>
        <v>0</v>
      </c>
      <c r="AD301" s="50">
        <f t="shared" ca="1" si="213"/>
        <v>0</v>
      </c>
      <c r="AE301" s="50">
        <f t="shared" ca="1" si="213"/>
        <v>0</v>
      </c>
      <c r="AF301" s="50">
        <f t="shared" ca="1" si="213"/>
        <v>0</v>
      </c>
      <c r="AG301" s="50">
        <f t="shared" ca="1" si="213"/>
        <v>0</v>
      </c>
      <c r="AH301" s="50">
        <f t="shared" ca="1" si="213"/>
        <v>0</v>
      </c>
      <c r="AI301" s="50">
        <f t="shared" ca="1" si="213"/>
        <v>0</v>
      </c>
      <c r="AJ301" s="50">
        <f t="shared" ca="1" si="213"/>
        <v>0</v>
      </c>
      <c r="AK301" s="50">
        <f t="shared" ca="1" si="213"/>
        <v>0</v>
      </c>
      <c r="AL301" s="50">
        <f t="shared" si="213"/>
        <v>0</v>
      </c>
      <c r="AM301" s="50">
        <f t="shared" si="213"/>
        <v>0</v>
      </c>
      <c r="AN301" s="50">
        <f t="shared" si="213"/>
        <v>0</v>
      </c>
      <c r="AO301" s="50">
        <f t="shared" si="213"/>
        <v>0</v>
      </c>
      <c r="AP301" s="50">
        <f t="shared" si="213"/>
        <v>0</v>
      </c>
      <c r="AQ301" s="50">
        <f t="shared" si="213"/>
        <v>0</v>
      </c>
      <c r="AR301" s="50">
        <f t="shared" si="213"/>
        <v>0</v>
      </c>
      <c r="AS301" s="50">
        <f t="shared" si="213"/>
        <v>0</v>
      </c>
      <c r="AT301" s="50">
        <f t="shared" si="213"/>
        <v>0</v>
      </c>
      <c r="AU301" s="50">
        <f t="shared" si="213"/>
        <v>0</v>
      </c>
    </row>
    <row r="302" spans="1:47" s="60" customFormat="1">
      <c r="D302" s="187"/>
      <c r="E302" s="325"/>
      <c r="G302" s="39" t="s">
        <v>305</v>
      </c>
      <c r="I302" s="39"/>
      <c r="K302" s="39"/>
      <c r="L302" s="174"/>
      <c r="N302" s="188"/>
      <c r="O302" s="314"/>
      <c r="P302" s="185"/>
      <c r="Q302" s="314"/>
      <c r="R302" s="185">
        <f ca="1">SUM(R291:R298)-SUM(R300:R301)</f>
        <v>0</v>
      </c>
      <c r="S302" s="185">
        <f t="shared" ref="S302:AU302" ca="1" si="214">SUM(S291:S298)-SUM(S300:S301)</f>
        <v>0</v>
      </c>
      <c r="T302" s="185">
        <f t="shared" ca="1" si="214"/>
        <v>0</v>
      </c>
      <c r="U302" s="185">
        <f t="shared" ca="1" si="214"/>
        <v>0</v>
      </c>
      <c r="V302" s="185">
        <f t="shared" ca="1" si="214"/>
        <v>0</v>
      </c>
      <c r="W302" s="185">
        <f t="shared" ca="1" si="214"/>
        <v>0</v>
      </c>
      <c r="X302" s="185">
        <f t="shared" ca="1" si="214"/>
        <v>0</v>
      </c>
      <c r="Y302" s="185">
        <f t="shared" ca="1" si="214"/>
        <v>0</v>
      </c>
      <c r="Z302" s="185">
        <f t="shared" ca="1" si="214"/>
        <v>0</v>
      </c>
      <c r="AA302" s="185">
        <f t="shared" ca="1" si="214"/>
        <v>0</v>
      </c>
      <c r="AB302" s="185">
        <f t="shared" ca="1" si="214"/>
        <v>0</v>
      </c>
      <c r="AC302" s="185">
        <f t="shared" ca="1" si="214"/>
        <v>0</v>
      </c>
      <c r="AD302" s="185">
        <f t="shared" ca="1" si="214"/>
        <v>0</v>
      </c>
      <c r="AE302" s="185">
        <f t="shared" ca="1" si="214"/>
        <v>0</v>
      </c>
      <c r="AF302" s="185">
        <f t="shared" ca="1" si="214"/>
        <v>0</v>
      </c>
      <c r="AG302" s="185">
        <f t="shared" ca="1" si="214"/>
        <v>0</v>
      </c>
      <c r="AH302" s="185">
        <f t="shared" ca="1" si="214"/>
        <v>0</v>
      </c>
      <c r="AI302" s="185">
        <f t="shared" ca="1" si="214"/>
        <v>0</v>
      </c>
      <c r="AJ302" s="185">
        <f t="shared" ca="1" si="214"/>
        <v>0</v>
      </c>
      <c r="AK302" s="185">
        <f t="shared" ca="1" si="214"/>
        <v>0</v>
      </c>
      <c r="AL302" s="185">
        <f t="shared" si="214"/>
        <v>0</v>
      </c>
      <c r="AM302" s="185">
        <f t="shared" si="214"/>
        <v>0</v>
      </c>
      <c r="AN302" s="185">
        <f t="shared" si="214"/>
        <v>0</v>
      </c>
      <c r="AO302" s="185">
        <f t="shared" si="214"/>
        <v>0</v>
      </c>
      <c r="AP302" s="185">
        <f t="shared" si="214"/>
        <v>0</v>
      </c>
      <c r="AQ302" s="185">
        <f t="shared" si="214"/>
        <v>0</v>
      </c>
      <c r="AR302" s="185">
        <f t="shared" si="214"/>
        <v>0</v>
      </c>
      <c r="AS302" s="185">
        <f t="shared" si="214"/>
        <v>0</v>
      </c>
      <c r="AT302" s="185">
        <f t="shared" si="214"/>
        <v>0</v>
      </c>
      <c r="AU302" s="185">
        <f t="shared" si="214"/>
        <v>0</v>
      </c>
    </row>
    <row r="303" spans="1:47">
      <c r="E303" s="36"/>
      <c r="G303" s="39"/>
      <c r="H303" s="39"/>
      <c r="I303" s="39"/>
      <c r="J303" s="39"/>
      <c r="K303" s="39"/>
    </row>
    <row r="304" spans="1:47">
      <c r="E304" s="327"/>
      <c r="F304" s="28"/>
      <c r="G304" s="324" t="str">
        <f>C306&amp;" Capital Costs"</f>
        <v>FOG Receiving Capital Costs</v>
      </c>
      <c r="H304" s="324"/>
      <c r="I304" s="324"/>
      <c r="J304" s="324"/>
      <c r="K304" s="324"/>
      <c r="L304" s="405" t="s">
        <v>79</v>
      </c>
      <c r="M304" s="256"/>
      <c r="N304" s="325" t="s">
        <v>490</v>
      </c>
      <c r="O304" s="311"/>
      <c r="P304" s="325" t="s">
        <v>491</v>
      </c>
      <c r="Q304" s="310"/>
      <c r="R304" s="325">
        <f>R$8</f>
        <v>2014</v>
      </c>
      <c r="S304" s="325">
        <f t="shared" ref="S304:AU304" si="215">S$8</f>
        <v>2015</v>
      </c>
      <c r="T304" s="325">
        <f t="shared" si="215"/>
        <v>2016</v>
      </c>
      <c r="U304" s="325">
        <f t="shared" si="215"/>
        <v>2017</v>
      </c>
      <c r="V304" s="325">
        <f t="shared" si="215"/>
        <v>2018</v>
      </c>
      <c r="W304" s="325">
        <f t="shared" si="215"/>
        <v>2019</v>
      </c>
      <c r="X304" s="325">
        <f t="shared" si="215"/>
        <v>2020</v>
      </c>
      <c r="Y304" s="325">
        <f t="shared" si="215"/>
        <v>2021</v>
      </c>
      <c r="Z304" s="325">
        <f t="shared" si="215"/>
        <v>2022</v>
      </c>
      <c r="AA304" s="325">
        <f t="shared" si="215"/>
        <v>2023</v>
      </c>
      <c r="AB304" s="325">
        <f t="shared" si="215"/>
        <v>2024</v>
      </c>
      <c r="AC304" s="325">
        <f t="shared" si="215"/>
        <v>2025</v>
      </c>
      <c r="AD304" s="325">
        <f t="shared" si="215"/>
        <v>2026</v>
      </c>
      <c r="AE304" s="325">
        <f t="shared" si="215"/>
        <v>2027</v>
      </c>
      <c r="AF304" s="325">
        <f t="shared" si="215"/>
        <v>2028</v>
      </c>
      <c r="AG304" s="325">
        <f t="shared" si="215"/>
        <v>2029</v>
      </c>
      <c r="AH304" s="325">
        <f t="shared" si="215"/>
        <v>2030</v>
      </c>
      <c r="AI304" s="325">
        <f t="shared" si="215"/>
        <v>2031</v>
      </c>
      <c r="AJ304" s="325">
        <f t="shared" si="215"/>
        <v>2032</v>
      </c>
      <c r="AK304" s="325">
        <f t="shared" si="215"/>
        <v>2033</v>
      </c>
      <c r="AL304" s="325">
        <f t="shared" si="215"/>
        <v>2034</v>
      </c>
      <c r="AM304" s="325">
        <f t="shared" si="215"/>
        <v>2035</v>
      </c>
      <c r="AN304" s="325">
        <f t="shared" si="215"/>
        <v>2036</v>
      </c>
      <c r="AO304" s="325">
        <f t="shared" si="215"/>
        <v>2037</v>
      </c>
      <c r="AP304" s="325">
        <f t="shared" si="215"/>
        <v>2038</v>
      </c>
      <c r="AQ304" s="325">
        <f t="shared" si="215"/>
        <v>2039</v>
      </c>
      <c r="AR304" s="325">
        <f t="shared" si="215"/>
        <v>2040</v>
      </c>
      <c r="AS304" s="325">
        <f t="shared" si="215"/>
        <v>2041</v>
      </c>
      <c r="AT304" s="325">
        <f t="shared" si="215"/>
        <v>2042</v>
      </c>
      <c r="AU304" s="325">
        <f t="shared" si="215"/>
        <v>2043</v>
      </c>
    </row>
    <row r="305" spans="1:47">
      <c r="E305" s="325"/>
      <c r="G305" s="39"/>
      <c r="H305" s="39"/>
      <c r="I305" s="39"/>
      <c r="J305" s="39"/>
      <c r="K305" s="39"/>
    </row>
    <row r="306" spans="1:47">
      <c r="A306" s="38" t="str">
        <f>$J$4&amp;"-"</f>
        <v>Custom-</v>
      </c>
      <c r="B306" s="38" t="s">
        <v>306</v>
      </c>
      <c r="C306" s="38" t="s">
        <v>161</v>
      </c>
      <c r="D306" s="186">
        <f>CapExEsc</f>
        <v>0.03</v>
      </c>
      <c r="E306" s="325"/>
      <c r="G306" s="36" t="s">
        <v>8</v>
      </c>
      <c r="H306" s="39"/>
      <c r="I306" s="39"/>
      <c r="J306" s="70"/>
      <c r="K306" s="39"/>
      <c r="L306" s="43" t="str">
        <f>"["&amp;CostBaseYr&amp;" $]"</f>
        <v>[2013 $]</v>
      </c>
      <c r="N306" s="52">
        <f ca="1">IF(VLOOKUP($C306,$G$69:$J$87,4,FALSE)="Off", 0,SUMIFS(OFFSET(Assumptions!$I$65,0,MATCH($A306,Configurations,0)-1,COUNT(Assumptions!$A$65:$A$84),1),Assumptions!$E$65:$E$84,$C306))</f>
        <v>0</v>
      </c>
      <c r="O306" s="52"/>
      <c r="P306" s="322"/>
      <c r="Q306" s="52"/>
      <c r="R306" s="52">
        <f t="shared" ref="R306:AU306" ca="1" si="216">R307*IF($P306=0,$N306,$P306)*(1+$D306)^(R$8-CostBaseYr)</f>
        <v>0</v>
      </c>
      <c r="S306" s="52">
        <f t="shared" ca="1" si="216"/>
        <v>0</v>
      </c>
      <c r="T306" s="52">
        <f t="shared" ca="1" si="216"/>
        <v>0</v>
      </c>
      <c r="U306" s="52">
        <f t="shared" ca="1" si="216"/>
        <v>0</v>
      </c>
      <c r="V306" s="52">
        <f t="shared" ca="1" si="216"/>
        <v>0</v>
      </c>
      <c r="W306" s="52">
        <f t="shared" ca="1" si="216"/>
        <v>0</v>
      </c>
      <c r="X306" s="52">
        <f t="shared" ca="1" si="216"/>
        <v>0</v>
      </c>
      <c r="Y306" s="52">
        <f t="shared" ca="1" si="216"/>
        <v>0</v>
      </c>
      <c r="Z306" s="52">
        <f t="shared" ca="1" si="216"/>
        <v>0</v>
      </c>
      <c r="AA306" s="52">
        <f t="shared" ca="1" si="216"/>
        <v>0</v>
      </c>
      <c r="AB306" s="52">
        <f t="shared" ca="1" si="216"/>
        <v>0</v>
      </c>
      <c r="AC306" s="52">
        <f t="shared" ca="1" si="216"/>
        <v>0</v>
      </c>
      <c r="AD306" s="52">
        <f t="shared" ca="1" si="216"/>
        <v>0</v>
      </c>
      <c r="AE306" s="52">
        <f t="shared" ca="1" si="216"/>
        <v>0</v>
      </c>
      <c r="AF306" s="52">
        <f t="shared" ca="1" si="216"/>
        <v>0</v>
      </c>
      <c r="AG306" s="52">
        <f t="shared" ca="1" si="216"/>
        <v>0</v>
      </c>
      <c r="AH306" s="52">
        <f t="shared" ca="1" si="216"/>
        <v>0</v>
      </c>
      <c r="AI306" s="52">
        <f t="shared" ca="1" si="216"/>
        <v>0</v>
      </c>
      <c r="AJ306" s="52">
        <f t="shared" ca="1" si="216"/>
        <v>0</v>
      </c>
      <c r="AK306" s="52">
        <f t="shared" ca="1" si="216"/>
        <v>0</v>
      </c>
      <c r="AL306" s="52">
        <f t="shared" ca="1" si="216"/>
        <v>0</v>
      </c>
      <c r="AM306" s="52">
        <f t="shared" ca="1" si="216"/>
        <v>0</v>
      </c>
      <c r="AN306" s="52">
        <f t="shared" ca="1" si="216"/>
        <v>0</v>
      </c>
      <c r="AO306" s="52">
        <f t="shared" ca="1" si="216"/>
        <v>0</v>
      </c>
      <c r="AP306" s="52">
        <f t="shared" ca="1" si="216"/>
        <v>0</v>
      </c>
      <c r="AQ306" s="52">
        <f t="shared" ca="1" si="216"/>
        <v>0</v>
      </c>
      <c r="AR306" s="52">
        <f t="shared" ca="1" si="216"/>
        <v>0</v>
      </c>
      <c r="AS306" s="52">
        <f t="shared" ca="1" si="216"/>
        <v>0</v>
      </c>
      <c r="AT306" s="52">
        <f t="shared" ca="1" si="216"/>
        <v>0</v>
      </c>
      <c r="AU306" s="52">
        <f t="shared" ca="1" si="216"/>
        <v>0</v>
      </c>
    </row>
    <row r="307" spans="1:47">
      <c r="E307" s="325"/>
      <c r="G307" s="36" t="s">
        <v>10</v>
      </c>
      <c r="H307" s="39"/>
      <c r="I307" s="39"/>
      <c r="J307" s="39"/>
      <c r="K307" s="39"/>
      <c r="L307" s="43"/>
      <c r="R307" s="54">
        <f>Assumptions!M$60</f>
        <v>1</v>
      </c>
      <c r="S307" s="54">
        <f>Assumptions!N$60</f>
        <v>0</v>
      </c>
      <c r="T307" s="54">
        <f>Assumptions!O$60</f>
        <v>0</v>
      </c>
      <c r="U307" s="54">
        <f>Assumptions!P$60</f>
        <v>0</v>
      </c>
      <c r="V307" s="54">
        <f>Assumptions!Q$60</f>
        <v>0</v>
      </c>
      <c r="W307" s="54">
        <f>Assumptions!R$60</f>
        <v>0</v>
      </c>
      <c r="X307" s="54">
        <f>Assumptions!S$60</f>
        <v>0</v>
      </c>
      <c r="Y307" s="54">
        <f>Assumptions!T$60</f>
        <v>0</v>
      </c>
      <c r="Z307" s="54">
        <f>Assumptions!U$60</f>
        <v>0</v>
      </c>
      <c r="AA307" s="54">
        <f>Assumptions!V$60</f>
        <v>0</v>
      </c>
      <c r="AB307" s="54">
        <f>Assumptions!W$60</f>
        <v>0</v>
      </c>
      <c r="AC307" s="54">
        <f>Assumptions!X$60</f>
        <v>0</v>
      </c>
      <c r="AD307" s="54">
        <f>Assumptions!Y$60</f>
        <v>0</v>
      </c>
      <c r="AE307" s="54">
        <f>Assumptions!Z$60</f>
        <v>0</v>
      </c>
      <c r="AF307" s="54">
        <f>Assumptions!AA$60</f>
        <v>0</v>
      </c>
      <c r="AG307" s="54">
        <f>Assumptions!AB$60</f>
        <v>0</v>
      </c>
      <c r="AH307" s="54">
        <f>Assumptions!AC$60</f>
        <v>0</v>
      </c>
      <c r="AI307" s="54">
        <f>Assumptions!AD$60</f>
        <v>0</v>
      </c>
      <c r="AJ307" s="54">
        <f>Assumptions!AE$60</f>
        <v>0</v>
      </c>
      <c r="AK307" s="54">
        <f>Assumptions!AF$60</f>
        <v>0</v>
      </c>
      <c r="AL307" s="54">
        <f>Assumptions!AG$60</f>
        <v>0</v>
      </c>
      <c r="AM307" s="54">
        <f>Assumptions!AH$60</f>
        <v>0</v>
      </c>
      <c r="AN307" s="54">
        <f>Assumptions!AI$60</f>
        <v>0</v>
      </c>
      <c r="AO307" s="54">
        <f>Assumptions!AJ$60</f>
        <v>0</v>
      </c>
      <c r="AP307" s="54">
        <f>Assumptions!AK$60</f>
        <v>0</v>
      </c>
      <c r="AQ307" s="54">
        <f>Assumptions!AL$60</f>
        <v>0</v>
      </c>
      <c r="AR307" s="54">
        <f>Assumptions!AM$60</f>
        <v>0</v>
      </c>
      <c r="AS307" s="54">
        <f>Assumptions!AN$60</f>
        <v>0</v>
      </c>
      <c r="AT307" s="54">
        <f>Assumptions!AO$60</f>
        <v>0</v>
      </c>
      <c r="AU307" s="54">
        <f>Assumptions!AP$60</f>
        <v>0</v>
      </c>
    </row>
    <row r="308" spans="1:47">
      <c r="E308" s="326"/>
      <c r="G308" s="39"/>
      <c r="H308" s="39"/>
      <c r="I308" s="39"/>
      <c r="J308" s="39"/>
      <c r="K308" s="39"/>
    </row>
    <row r="309" spans="1:47">
      <c r="E309" s="327"/>
      <c r="F309" s="28"/>
      <c r="G309" s="324" t="str">
        <f>C306&amp;" O&amp;M"</f>
        <v>FOG Receiving O&amp;M</v>
      </c>
      <c r="H309" s="324"/>
      <c r="I309" s="324"/>
      <c r="J309" s="324"/>
      <c r="K309" s="324"/>
      <c r="L309" s="405" t="s">
        <v>79</v>
      </c>
      <c r="M309" s="256"/>
      <c r="N309" s="325" t="s">
        <v>490</v>
      </c>
      <c r="O309" s="311"/>
      <c r="P309" s="325" t="s">
        <v>491</v>
      </c>
      <c r="Q309" s="310"/>
      <c r="R309" s="325">
        <f>R$8</f>
        <v>2014</v>
      </c>
      <c r="S309" s="325">
        <f t="shared" ref="S309:AU309" si="217">S$8</f>
        <v>2015</v>
      </c>
      <c r="T309" s="325">
        <f t="shared" si="217"/>
        <v>2016</v>
      </c>
      <c r="U309" s="325">
        <f t="shared" si="217"/>
        <v>2017</v>
      </c>
      <c r="V309" s="325">
        <f t="shared" si="217"/>
        <v>2018</v>
      </c>
      <c r="W309" s="325">
        <f t="shared" si="217"/>
        <v>2019</v>
      </c>
      <c r="X309" s="325">
        <f t="shared" si="217"/>
        <v>2020</v>
      </c>
      <c r="Y309" s="325">
        <f t="shared" si="217"/>
        <v>2021</v>
      </c>
      <c r="Z309" s="325">
        <f t="shared" si="217"/>
        <v>2022</v>
      </c>
      <c r="AA309" s="325">
        <f t="shared" si="217"/>
        <v>2023</v>
      </c>
      <c r="AB309" s="325">
        <f t="shared" si="217"/>
        <v>2024</v>
      </c>
      <c r="AC309" s="325">
        <f t="shared" si="217"/>
        <v>2025</v>
      </c>
      <c r="AD309" s="325">
        <f t="shared" si="217"/>
        <v>2026</v>
      </c>
      <c r="AE309" s="325">
        <f t="shared" si="217"/>
        <v>2027</v>
      </c>
      <c r="AF309" s="325">
        <f t="shared" si="217"/>
        <v>2028</v>
      </c>
      <c r="AG309" s="325">
        <f t="shared" si="217"/>
        <v>2029</v>
      </c>
      <c r="AH309" s="325">
        <f t="shared" si="217"/>
        <v>2030</v>
      </c>
      <c r="AI309" s="325">
        <f t="shared" si="217"/>
        <v>2031</v>
      </c>
      <c r="AJ309" s="325">
        <f t="shared" si="217"/>
        <v>2032</v>
      </c>
      <c r="AK309" s="325">
        <f t="shared" si="217"/>
        <v>2033</v>
      </c>
      <c r="AL309" s="325">
        <f t="shared" si="217"/>
        <v>2034</v>
      </c>
      <c r="AM309" s="325">
        <f t="shared" si="217"/>
        <v>2035</v>
      </c>
      <c r="AN309" s="325">
        <f t="shared" si="217"/>
        <v>2036</v>
      </c>
      <c r="AO309" s="325">
        <f t="shared" si="217"/>
        <v>2037</v>
      </c>
      <c r="AP309" s="325">
        <f t="shared" si="217"/>
        <v>2038</v>
      </c>
      <c r="AQ309" s="325">
        <f t="shared" si="217"/>
        <v>2039</v>
      </c>
      <c r="AR309" s="325">
        <f t="shared" si="217"/>
        <v>2040</v>
      </c>
      <c r="AS309" s="325">
        <f t="shared" si="217"/>
        <v>2041</v>
      </c>
      <c r="AT309" s="325">
        <f t="shared" si="217"/>
        <v>2042</v>
      </c>
      <c r="AU309" s="325">
        <f t="shared" si="217"/>
        <v>2043</v>
      </c>
    </row>
    <row r="310" spans="1:47">
      <c r="E310" s="325"/>
      <c r="G310" s="39"/>
      <c r="H310" s="39"/>
      <c r="I310" s="39"/>
      <c r="J310" s="39"/>
      <c r="K310" s="39"/>
    </row>
    <row r="311" spans="1:47">
      <c r="E311" s="325"/>
      <c r="G311" s="39" t="s">
        <v>23</v>
      </c>
      <c r="H311" s="39"/>
      <c r="I311" s="39"/>
      <c r="J311" s="39"/>
      <c r="K311" s="39"/>
    </row>
    <row r="312" spans="1:47">
      <c r="A312" s="38" t="str">
        <f t="shared" ref="A312:A319" si="218">$J$4&amp;"-"</f>
        <v>Custom-</v>
      </c>
      <c r="B312" s="38" t="s">
        <v>262</v>
      </c>
      <c r="C312" s="38" t="str">
        <f>C306</f>
        <v>FOG Receiving</v>
      </c>
      <c r="D312" s="186">
        <f>LaborEsc</f>
        <v>0.02</v>
      </c>
      <c r="E312" s="325"/>
      <c r="G312" s="36" t="s">
        <v>125</v>
      </c>
      <c r="I312" s="39"/>
      <c r="K312" s="39"/>
      <c r="L312" s="43" t="s">
        <v>266</v>
      </c>
      <c r="N312" s="70">
        <f ca="1">IF(VLOOKUP($C312,$G$69:$J$87,4,FALSE)="Off",0,SUMIFS(OFFSET(Assumptions!$I$90,0,MATCH($A312,Configurations,0)-1,COUNT(Assumptions!$A$90:$A$183),1),Assumptions!$D$90:$D$183,$B312&amp;$C312))</f>
        <v>0</v>
      </c>
      <c r="O312" s="313"/>
      <c r="P312" s="323"/>
      <c r="Q312" s="313"/>
      <c r="R312" s="50">
        <f t="shared" ref="R312:AU312" ca="1" si="219">IF(OR(R$99&lt;InServiceYr,R$99&gt;(InServiceYr+analysis_period-1)),0,IF($P312=0,$N312,$P312)*LaborCost*(1+$D312)^(R$99-CostBaseYr))</f>
        <v>0</v>
      </c>
      <c r="S312" s="50">
        <f t="shared" ca="1" si="219"/>
        <v>0</v>
      </c>
      <c r="T312" s="50">
        <f t="shared" ca="1" si="219"/>
        <v>0</v>
      </c>
      <c r="U312" s="50">
        <f t="shared" ca="1" si="219"/>
        <v>0</v>
      </c>
      <c r="V312" s="50">
        <f t="shared" ca="1" si="219"/>
        <v>0</v>
      </c>
      <c r="W312" s="50">
        <f t="shared" ca="1" si="219"/>
        <v>0</v>
      </c>
      <c r="X312" s="50">
        <f t="shared" ca="1" si="219"/>
        <v>0</v>
      </c>
      <c r="Y312" s="50">
        <f t="shared" ca="1" si="219"/>
        <v>0</v>
      </c>
      <c r="Z312" s="50">
        <f t="shared" ca="1" si="219"/>
        <v>0</v>
      </c>
      <c r="AA312" s="50">
        <f t="shared" ca="1" si="219"/>
        <v>0</v>
      </c>
      <c r="AB312" s="50">
        <f t="shared" ca="1" si="219"/>
        <v>0</v>
      </c>
      <c r="AC312" s="50">
        <f t="shared" ca="1" si="219"/>
        <v>0</v>
      </c>
      <c r="AD312" s="50">
        <f t="shared" ca="1" si="219"/>
        <v>0</v>
      </c>
      <c r="AE312" s="50">
        <f t="shared" ca="1" si="219"/>
        <v>0</v>
      </c>
      <c r="AF312" s="50">
        <f t="shared" ca="1" si="219"/>
        <v>0</v>
      </c>
      <c r="AG312" s="50">
        <f t="shared" ca="1" si="219"/>
        <v>0</v>
      </c>
      <c r="AH312" s="50">
        <f t="shared" ca="1" si="219"/>
        <v>0</v>
      </c>
      <c r="AI312" s="50">
        <f t="shared" ca="1" si="219"/>
        <v>0</v>
      </c>
      <c r="AJ312" s="50">
        <f t="shared" ca="1" si="219"/>
        <v>0</v>
      </c>
      <c r="AK312" s="50">
        <f t="shared" ca="1" si="219"/>
        <v>0</v>
      </c>
      <c r="AL312" s="50">
        <f t="shared" si="219"/>
        <v>0</v>
      </c>
      <c r="AM312" s="50">
        <f t="shared" si="219"/>
        <v>0</v>
      </c>
      <c r="AN312" s="50">
        <f t="shared" si="219"/>
        <v>0</v>
      </c>
      <c r="AO312" s="50">
        <f t="shared" si="219"/>
        <v>0</v>
      </c>
      <c r="AP312" s="50">
        <f t="shared" si="219"/>
        <v>0</v>
      </c>
      <c r="AQ312" s="50">
        <f t="shared" si="219"/>
        <v>0</v>
      </c>
      <c r="AR312" s="50">
        <f t="shared" si="219"/>
        <v>0</v>
      </c>
      <c r="AS312" s="50">
        <f t="shared" si="219"/>
        <v>0</v>
      </c>
      <c r="AT312" s="50">
        <f t="shared" si="219"/>
        <v>0</v>
      </c>
      <c r="AU312" s="50">
        <f t="shared" si="219"/>
        <v>0</v>
      </c>
    </row>
    <row r="313" spans="1:47">
      <c r="A313" s="38" t="str">
        <f t="shared" si="218"/>
        <v>Custom-</v>
      </c>
      <c r="B313" s="38" t="s">
        <v>270</v>
      </c>
      <c r="C313" s="38" t="str">
        <f>C312</f>
        <v>FOG Receiving</v>
      </c>
      <c r="D313" s="186">
        <f>OMEsc</f>
        <v>0.02</v>
      </c>
      <c r="E313" s="325"/>
      <c r="G313" s="36" t="s">
        <v>126</v>
      </c>
      <c r="I313" s="39"/>
      <c r="K313" s="39"/>
      <c r="L313" s="43" t="str">
        <f>"["&amp;CostBaseYr&amp;" $]"</f>
        <v>[2013 $]</v>
      </c>
      <c r="N313" s="70">
        <f ca="1">IF(VLOOKUP($C313,$G$69:$J$87,4,FALSE)="Off",0,SUMIFS(OFFSET(Assumptions!$I$90,0,MATCH($A313,Configurations,0)-1,COUNT(Assumptions!$A$90:$A$183),1),Assumptions!$D$90:$D$183,$B313&amp;$C313))</f>
        <v>0</v>
      </c>
      <c r="O313" s="313"/>
      <c r="P313" s="323"/>
      <c r="Q313" s="313"/>
      <c r="R313" s="50">
        <f t="shared" ref="R313:AG315" ca="1" si="220">IF(OR(R$99&lt;InServiceYr,R$99&gt;(InServiceYr+analysis_period-1)),0,IF($P313=0,$N313,$P313)*(1+$D313)^(R$99-CostBaseYr))</f>
        <v>0</v>
      </c>
      <c r="S313" s="50">
        <f t="shared" ca="1" si="220"/>
        <v>0</v>
      </c>
      <c r="T313" s="50">
        <f t="shared" ca="1" si="220"/>
        <v>0</v>
      </c>
      <c r="U313" s="50">
        <f t="shared" ca="1" si="220"/>
        <v>0</v>
      </c>
      <c r="V313" s="50">
        <f t="shared" ca="1" si="220"/>
        <v>0</v>
      </c>
      <c r="W313" s="50">
        <f t="shared" ca="1" si="220"/>
        <v>0</v>
      </c>
      <c r="X313" s="50">
        <f t="shared" ca="1" si="220"/>
        <v>0</v>
      </c>
      <c r="Y313" s="50">
        <f t="shared" ca="1" si="220"/>
        <v>0</v>
      </c>
      <c r="Z313" s="50">
        <f t="shared" ca="1" si="220"/>
        <v>0</v>
      </c>
      <c r="AA313" s="50">
        <f t="shared" ca="1" si="220"/>
        <v>0</v>
      </c>
      <c r="AB313" s="50">
        <f t="shared" ca="1" si="220"/>
        <v>0</v>
      </c>
      <c r="AC313" s="50">
        <f t="shared" ca="1" si="220"/>
        <v>0</v>
      </c>
      <c r="AD313" s="50">
        <f t="shared" ca="1" si="220"/>
        <v>0</v>
      </c>
      <c r="AE313" s="50">
        <f t="shared" ca="1" si="220"/>
        <v>0</v>
      </c>
      <c r="AF313" s="50">
        <f t="shared" ca="1" si="220"/>
        <v>0</v>
      </c>
      <c r="AG313" s="50">
        <f t="shared" ca="1" si="220"/>
        <v>0</v>
      </c>
      <c r="AH313" s="50">
        <f t="shared" ref="S313:AU315" ca="1" si="221">IF(OR(AH$99&lt;InServiceYr,AH$99&gt;(InServiceYr+analysis_period-1)),0,IF($P313=0,$N313,$P313)*(1+$D313)^(AH$99-CostBaseYr))</f>
        <v>0</v>
      </c>
      <c r="AI313" s="50">
        <f t="shared" ca="1" si="221"/>
        <v>0</v>
      </c>
      <c r="AJ313" s="50">
        <f t="shared" ca="1" si="221"/>
        <v>0</v>
      </c>
      <c r="AK313" s="50">
        <f t="shared" ca="1" si="221"/>
        <v>0</v>
      </c>
      <c r="AL313" s="50">
        <f t="shared" si="221"/>
        <v>0</v>
      </c>
      <c r="AM313" s="50">
        <f t="shared" si="221"/>
        <v>0</v>
      </c>
      <c r="AN313" s="50">
        <f t="shared" si="221"/>
        <v>0</v>
      </c>
      <c r="AO313" s="50">
        <f t="shared" si="221"/>
        <v>0</v>
      </c>
      <c r="AP313" s="50">
        <f t="shared" si="221"/>
        <v>0</v>
      </c>
      <c r="AQ313" s="50">
        <f t="shared" si="221"/>
        <v>0</v>
      </c>
      <c r="AR313" s="50">
        <f t="shared" si="221"/>
        <v>0</v>
      </c>
      <c r="AS313" s="50">
        <f t="shared" si="221"/>
        <v>0</v>
      </c>
      <c r="AT313" s="50">
        <f t="shared" si="221"/>
        <v>0</v>
      </c>
      <c r="AU313" s="50">
        <f t="shared" si="221"/>
        <v>0</v>
      </c>
    </row>
    <row r="314" spans="1:47">
      <c r="A314" s="38" t="str">
        <f t="shared" si="218"/>
        <v>Custom-</v>
      </c>
      <c r="B314" s="38" t="s">
        <v>263</v>
      </c>
      <c r="C314" s="38" t="str">
        <f t="shared" ref="C314:C318" si="222">C313</f>
        <v>FOG Receiving</v>
      </c>
      <c r="D314" s="186">
        <f>OMEsc</f>
        <v>0.02</v>
      </c>
      <c r="E314" s="325"/>
      <c r="G314" s="36" t="s">
        <v>127</v>
      </c>
      <c r="I314" s="39"/>
      <c r="K314" s="39"/>
      <c r="L314" s="43" t="str">
        <f>"["&amp;CostBaseYr&amp;" $]"</f>
        <v>[2013 $]</v>
      </c>
      <c r="N314" s="70">
        <f ca="1">IF(VLOOKUP($C314,$G$69:$J$87,4,FALSE)="Off",0,SUMIFS(OFFSET(Assumptions!$I$90,0,MATCH($A314,Configurations,0)-1,COUNT(Assumptions!$A$90:$A$183),1),Assumptions!$D$90:$D$183,$B314&amp;$C314))</f>
        <v>0</v>
      </c>
      <c r="O314" s="313"/>
      <c r="P314" s="323"/>
      <c r="Q314" s="313"/>
      <c r="R314" s="50">
        <f t="shared" ca="1" si="220"/>
        <v>0</v>
      </c>
      <c r="S314" s="50">
        <f t="shared" ca="1" si="221"/>
        <v>0</v>
      </c>
      <c r="T314" s="50">
        <f t="shared" ca="1" si="221"/>
        <v>0</v>
      </c>
      <c r="U314" s="50">
        <f t="shared" ca="1" si="221"/>
        <v>0</v>
      </c>
      <c r="V314" s="50">
        <f t="shared" ca="1" si="221"/>
        <v>0</v>
      </c>
      <c r="W314" s="50">
        <f t="shared" ca="1" si="221"/>
        <v>0</v>
      </c>
      <c r="X314" s="50">
        <f t="shared" ca="1" si="221"/>
        <v>0</v>
      </c>
      <c r="Y314" s="50">
        <f t="shared" ca="1" si="221"/>
        <v>0</v>
      </c>
      <c r="Z314" s="50">
        <f t="shared" ca="1" si="221"/>
        <v>0</v>
      </c>
      <c r="AA314" s="50">
        <f t="shared" ca="1" si="221"/>
        <v>0</v>
      </c>
      <c r="AB314" s="50">
        <f t="shared" ca="1" si="221"/>
        <v>0</v>
      </c>
      <c r="AC314" s="50">
        <f t="shared" ca="1" si="221"/>
        <v>0</v>
      </c>
      <c r="AD314" s="50">
        <f t="shared" ca="1" si="221"/>
        <v>0</v>
      </c>
      <c r="AE314" s="50">
        <f t="shared" ca="1" si="221"/>
        <v>0</v>
      </c>
      <c r="AF314" s="50">
        <f t="shared" ca="1" si="221"/>
        <v>0</v>
      </c>
      <c r="AG314" s="50">
        <f t="shared" ca="1" si="221"/>
        <v>0</v>
      </c>
      <c r="AH314" s="50">
        <f t="shared" ca="1" si="221"/>
        <v>0</v>
      </c>
      <c r="AI314" s="50">
        <f t="shared" ca="1" si="221"/>
        <v>0</v>
      </c>
      <c r="AJ314" s="50">
        <f t="shared" ca="1" si="221"/>
        <v>0</v>
      </c>
      <c r="AK314" s="50">
        <f t="shared" ca="1" si="221"/>
        <v>0</v>
      </c>
      <c r="AL314" s="50">
        <f t="shared" si="221"/>
        <v>0</v>
      </c>
      <c r="AM314" s="50">
        <f t="shared" si="221"/>
        <v>0</v>
      </c>
      <c r="AN314" s="50">
        <f t="shared" si="221"/>
        <v>0</v>
      </c>
      <c r="AO314" s="50">
        <f t="shared" si="221"/>
        <v>0</v>
      </c>
      <c r="AP314" s="50">
        <f t="shared" si="221"/>
        <v>0</v>
      </c>
      <c r="AQ314" s="50">
        <f t="shared" si="221"/>
        <v>0</v>
      </c>
      <c r="AR314" s="50">
        <f t="shared" si="221"/>
        <v>0</v>
      </c>
      <c r="AS314" s="50">
        <f t="shared" si="221"/>
        <v>0</v>
      </c>
      <c r="AT314" s="50">
        <f t="shared" si="221"/>
        <v>0</v>
      </c>
      <c r="AU314" s="50">
        <f t="shared" si="221"/>
        <v>0</v>
      </c>
    </row>
    <row r="315" spans="1:47">
      <c r="A315" s="38" t="str">
        <f t="shared" si="218"/>
        <v>Custom-</v>
      </c>
      <c r="B315" s="38" t="s">
        <v>277</v>
      </c>
      <c r="C315" s="38" t="str">
        <f t="shared" si="222"/>
        <v>FOG Receiving</v>
      </c>
      <c r="D315" s="186">
        <f>OMEsc</f>
        <v>0.02</v>
      </c>
      <c r="E315" s="325"/>
      <c r="G315" s="36" t="s">
        <v>276</v>
      </c>
      <c r="I315" s="39"/>
      <c r="K315" s="39"/>
      <c r="L315" s="43" t="str">
        <f>"["&amp;CostBaseYr&amp;" $]"</f>
        <v>[2013 $]</v>
      </c>
      <c r="N315" s="70">
        <f ca="1">IF(VLOOKUP($C315,$G$69:$J$87,4,FALSE)="Off",0,SUMIFS(OFFSET(Assumptions!$I$90,0,MATCH($A315,Configurations,0)-1,COUNT(Assumptions!$A$90:$A$183),1),Assumptions!$D$90:$D$183,$B315&amp;$C315))</f>
        <v>0</v>
      </c>
      <c r="O315" s="313"/>
      <c r="P315" s="323"/>
      <c r="Q315" s="313"/>
      <c r="R315" s="50">
        <f t="shared" ca="1" si="220"/>
        <v>0</v>
      </c>
      <c r="S315" s="50">
        <f t="shared" ca="1" si="221"/>
        <v>0</v>
      </c>
      <c r="T315" s="50">
        <f t="shared" ca="1" si="221"/>
        <v>0</v>
      </c>
      <c r="U315" s="50">
        <f t="shared" ca="1" si="221"/>
        <v>0</v>
      </c>
      <c r="V315" s="50">
        <f t="shared" ca="1" si="221"/>
        <v>0</v>
      </c>
      <c r="W315" s="50">
        <f t="shared" ca="1" si="221"/>
        <v>0</v>
      </c>
      <c r="X315" s="50">
        <f t="shared" ca="1" si="221"/>
        <v>0</v>
      </c>
      <c r="Y315" s="50">
        <f t="shared" ca="1" si="221"/>
        <v>0</v>
      </c>
      <c r="Z315" s="50">
        <f t="shared" ca="1" si="221"/>
        <v>0</v>
      </c>
      <c r="AA315" s="50">
        <f t="shared" ca="1" si="221"/>
        <v>0</v>
      </c>
      <c r="AB315" s="50">
        <f t="shared" ca="1" si="221"/>
        <v>0</v>
      </c>
      <c r="AC315" s="50">
        <f t="shared" ca="1" si="221"/>
        <v>0</v>
      </c>
      <c r="AD315" s="50">
        <f t="shared" ca="1" si="221"/>
        <v>0</v>
      </c>
      <c r="AE315" s="50">
        <f t="shared" ca="1" si="221"/>
        <v>0</v>
      </c>
      <c r="AF315" s="50">
        <f t="shared" ca="1" si="221"/>
        <v>0</v>
      </c>
      <c r="AG315" s="50">
        <f t="shared" ca="1" si="221"/>
        <v>0</v>
      </c>
      <c r="AH315" s="50">
        <f t="shared" ca="1" si="221"/>
        <v>0</v>
      </c>
      <c r="AI315" s="50">
        <f t="shared" ca="1" si="221"/>
        <v>0</v>
      </c>
      <c r="AJ315" s="50">
        <f t="shared" ca="1" si="221"/>
        <v>0</v>
      </c>
      <c r="AK315" s="50">
        <f t="shared" ca="1" si="221"/>
        <v>0</v>
      </c>
      <c r="AL315" s="50">
        <f t="shared" si="221"/>
        <v>0</v>
      </c>
      <c r="AM315" s="50">
        <f t="shared" si="221"/>
        <v>0</v>
      </c>
      <c r="AN315" s="50">
        <f t="shared" si="221"/>
        <v>0</v>
      </c>
      <c r="AO315" s="50">
        <f t="shared" si="221"/>
        <v>0</v>
      </c>
      <c r="AP315" s="50">
        <f t="shared" si="221"/>
        <v>0</v>
      </c>
      <c r="AQ315" s="50">
        <f t="shared" si="221"/>
        <v>0</v>
      </c>
      <c r="AR315" s="50">
        <f t="shared" si="221"/>
        <v>0</v>
      </c>
      <c r="AS315" s="50">
        <f t="shared" si="221"/>
        <v>0</v>
      </c>
      <c r="AT315" s="50">
        <f t="shared" si="221"/>
        <v>0</v>
      </c>
      <c r="AU315" s="50">
        <f t="shared" si="221"/>
        <v>0</v>
      </c>
    </row>
    <row r="316" spans="1:47">
      <c r="A316" s="38" t="str">
        <f t="shared" si="218"/>
        <v>Custom-</v>
      </c>
      <c r="B316" s="38" t="s">
        <v>274</v>
      </c>
      <c r="C316" s="38" t="str">
        <f t="shared" si="222"/>
        <v>FOG Receiving</v>
      </c>
      <c r="D316" s="186"/>
      <c r="E316" s="325"/>
      <c r="G316" s="36" t="s">
        <v>16</v>
      </c>
      <c r="I316" s="39"/>
      <c r="K316" s="39"/>
      <c r="L316" s="43" t="s">
        <v>275</v>
      </c>
      <c r="N316" s="70">
        <f ca="1">IF(VLOOKUP($C316,$G$69:$J$87,4,FALSE)="Off",0,SUMIFS(OFFSET(Assumptions!$I$90,0,MATCH($A316,Configurations,0)-1,COUNT(Assumptions!$A$90:$A$183),1),Assumptions!$D$90:$D$183,$B316&amp;$C316))</f>
        <v>0</v>
      </c>
      <c r="O316" s="313"/>
      <c r="P316" s="323"/>
      <c r="Q316" s="313"/>
      <c r="R316" s="50">
        <f t="shared" ref="R316:AU316" ca="1" si="223">IF(OR(R$99&lt;InServiceYr,R$99&gt;(InServiceYr+analysis_period-1)),0,IF($P316=0,$N316,$P316)*R$505)</f>
        <v>0</v>
      </c>
      <c r="S316" s="50">
        <f t="shared" ca="1" si="223"/>
        <v>0</v>
      </c>
      <c r="T316" s="50">
        <f t="shared" ca="1" si="223"/>
        <v>0</v>
      </c>
      <c r="U316" s="50">
        <f t="shared" ca="1" si="223"/>
        <v>0</v>
      </c>
      <c r="V316" s="50">
        <f t="shared" ca="1" si="223"/>
        <v>0</v>
      </c>
      <c r="W316" s="50">
        <f t="shared" ca="1" si="223"/>
        <v>0</v>
      </c>
      <c r="X316" s="50">
        <f t="shared" ca="1" si="223"/>
        <v>0</v>
      </c>
      <c r="Y316" s="50">
        <f t="shared" ca="1" si="223"/>
        <v>0</v>
      </c>
      <c r="Z316" s="50">
        <f t="shared" ca="1" si="223"/>
        <v>0</v>
      </c>
      <c r="AA316" s="50">
        <f t="shared" ca="1" si="223"/>
        <v>0</v>
      </c>
      <c r="AB316" s="50">
        <f t="shared" ca="1" si="223"/>
        <v>0</v>
      </c>
      <c r="AC316" s="50">
        <f t="shared" ca="1" si="223"/>
        <v>0</v>
      </c>
      <c r="AD316" s="50">
        <f t="shared" ca="1" si="223"/>
        <v>0</v>
      </c>
      <c r="AE316" s="50">
        <f t="shared" ca="1" si="223"/>
        <v>0</v>
      </c>
      <c r="AF316" s="50">
        <f t="shared" ca="1" si="223"/>
        <v>0</v>
      </c>
      <c r="AG316" s="50">
        <f t="shared" ca="1" si="223"/>
        <v>0</v>
      </c>
      <c r="AH316" s="50">
        <f t="shared" ca="1" si="223"/>
        <v>0</v>
      </c>
      <c r="AI316" s="50">
        <f t="shared" ca="1" si="223"/>
        <v>0</v>
      </c>
      <c r="AJ316" s="50">
        <f t="shared" ca="1" si="223"/>
        <v>0</v>
      </c>
      <c r="AK316" s="50">
        <f t="shared" ca="1" si="223"/>
        <v>0</v>
      </c>
      <c r="AL316" s="50">
        <f t="shared" si="223"/>
        <v>0</v>
      </c>
      <c r="AM316" s="50">
        <f t="shared" si="223"/>
        <v>0</v>
      </c>
      <c r="AN316" s="50">
        <f t="shared" si="223"/>
        <v>0</v>
      </c>
      <c r="AO316" s="50">
        <f t="shared" si="223"/>
        <v>0</v>
      </c>
      <c r="AP316" s="50">
        <f t="shared" si="223"/>
        <v>0</v>
      </c>
      <c r="AQ316" s="50">
        <f t="shared" si="223"/>
        <v>0</v>
      </c>
      <c r="AR316" s="50">
        <f t="shared" si="223"/>
        <v>0</v>
      </c>
      <c r="AS316" s="50">
        <f t="shared" si="223"/>
        <v>0</v>
      </c>
      <c r="AT316" s="50">
        <f t="shared" si="223"/>
        <v>0</v>
      </c>
      <c r="AU316" s="50">
        <f t="shared" si="223"/>
        <v>0</v>
      </c>
    </row>
    <row r="317" spans="1:47">
      <c r="A317" s="38" t="str">
        <f t="shared" si="218"/>
        <v>Custom-</v>
      </c>
      <c r="B317" s="38" t="s">
        <v>257</v>
      </c>
      <c r="C317" s="38" t="str">
        <f t="shared" si="222"/>
        <v>FOG Receiving</v>
      </c>
      <c r="D317" s="186"/>
      <c r="E317" s="325"/>
      <c r="G317" s="36" t="s">
        <v>284</v>
      </c>
      <c r="I317" s="39"/>
      <c r="K317" s="39"/>
      <c r="L317" s="43" t="s">
        <v>293</v>
      </c>
      <c r="N317" s="70">
        <f ca="1">IF(VLOOKUP($C317,$G$69:$J$87,4,FALSE)="Off",0,SUMIFS(OFFSET(Assumptions!$I$90,0,MATCH($A317,Configurations,0)-1,COUNT(Assumptions!$A$90:$A$183),1),Assumptions!$D$90:$D$183,$B317&amp;$C317))</f>
        <v>0</v>
      </c>
      <c r="O317" s="313"/>
      <c r="P317" s="323"/>
      <c r="Q317" s="313"/>
      <c r="R317" s="50">
        <f t="shared" ref="R317:AU317" ca="1" si="224">IF(OR(R$99&lt;InServiceYr,R$99&gt;(InServiceYr+analysis_period-1)),0,IF($P317=0,$N317,$P317)*R$501)</f>
        <v>0</v>
      </c>
      <c r="S317" s="50">
        <f t="shared" ca="1" si="224"/>
        <v>0</v>
      </c>
      <c r="T317" s="50">
        <f t="shared" ca="1" si="224"/>
        <v>0</v>
      </c>
      <c r="U317" s="50">
        <f t="shared" ca="1" si="224"/>
        <v>0</v>
      </c>
      <c r="V317" s="50">
        <f t="shared" ca="1" si="224"/>
        <v>0</v>
      </c>
      <c r="W317" s="50">
        <f t="shared" ca="1" si="224"/>
        <v>0</v>
      </c>
      <c r="X317" s="50">
        <f t="shared" ca="1" si="224"/>
        <v>0</v>
      </c>
      <c r="Y317" s="50">
        <f t="shared" ca="1" si="224"/>
        <v>0</v>
      </c>
      <c r="Z317" s="50">
        <f t="shared" ca="1" si="224"/>
        <v>0</v>
      </c>
      <c r="AA317" s="50">
        <f t="shared" ca="1" si="224"/>
        <v>0</v>
      </c>
      <c r="AB317" s="50">
        <f t="shared" ca="1" si="224"/>
        <v>0</v>
      </c>
      <c r="AC317" s="50">
        <f t="shared" ca="1" si="224"/>
        <v>0</v>
      </c>
      <c r="AD317" s="50">
        <f t="shared" ca="1" si="224"/>
        <v>0</v>
      </c>
      <c r="AE317" s="50">
        <f t="shared" ca="1" si="224"/>
        <v>0</v>
      </c>
      <c r="AF317" s="50">
        <f t="shared" ca="1" si="224"/>
        <v>0</v>
      </c>
      <c r="AG317" s="50">
        <f t="shared" ca="1" si="224"/>
        <v>0</v>
      </c>
      <c r="AH317" s="50">
        <f t="shared" ca="1" si="224"/>
        <v>0</v>
      </c>
      <c r="AI317" s="50">
        <f t="shared" ca="1" si="224"/>
        <v>0</v>
      </c>
      <c r="AJ317" s="50">
        <f t="shared" ca="1" si="224"/>
        <v>0</v>
      </c>
      <c r="AK317" s="50">
        <f t="shared" ca="1" si="224"/>
        <v>0</v>
      </c>
      <c r="AL317" s="50">
        <f t="shared" si="224"/>
        <v>0</v>
      </c>
      <c r="AM317" s="50">
        <f t="shared" si="224"/>
        <v>0</v>
      </c>
      <c r="AN317" s="50">
        <f t="shared" si="224"/>
        <v>0</v>
      </c>
      <c r="AO317" s="50">
        <f t="shared" si="224"/>
        <v>0</v>
      </c>
      <c r="AP317" s="50">
        <f t="shared" si="224"/>
        <v>0</v>
      </c>
      <c r="AQ317" s="50">
        <f t="shared" si="224"/>
        <v>0</v>
      </c>
      <c r="AR317" s="50">
        <f t="shared" si="224"/>
        <v>0</v>
      </c>
      <c r="AS317" s="50">
        <f t="shared" si="224"/>
        <v>0</v>
      </c>
      <c r="AT317" s="50">
        <f t="shared" si="224"/>
        <v>0</v>
      </c>
      <c r="AU317" s="50">
        <f t="shared" si="224"/>
        <v>0</v>
      </c>
    </row>
    <row r="318" spans="1:47">
      <c r="A318" s="38" t="str">
        <f t="shared" si="218"/>
        <v>Custom-</v>
      </c>
      <c r="B318" s="38" t="s">
        <v>864</v>
      </c>
      <c r="C318" s="38" t="str">
        <f t="shared" si="222"/>
        <v>FOG Receiving</v>
      </c>
      <c r="D318" s="186">
        <f>GHGEsc</f>
        <v>0.02</v>
      </c>
      <c r="E318" s="325"/>
      <c r="G318" s="36" t="s">
        <v>865</v>
      </c>
      <c r="I318" s="39"/>
      <c r="K318" s="39"/>
      <c r="L318" s="43" t="s">
        <v>866</v>
      </c>
      <c r="N318" s="70">
        <f ca="1">IF(VLOOKUP($C318,$G$69:$J$87,4,FALSE)="Off",0,SUMIFS(OFFSET(Assumptions!$I$90,0,MATCH($A318,Configurations,0)-1,COUNT(Assumptions!$A$90:$A$183),1),Assumptions!$D$90:$D$183,$B318&amp;$C318))</f>
        <v>0</v>
      </c>
      <c r="O318" s="313"/>
      <c r="P318" s="323"/>
      <c r="Q318" s="313"/>
      <c r="R318" s="50">
        <f t="shared" ref="R318:AU318" ca="1" si="225">IF(OR(R$99&lt;InServiceYr,R$99&gt;(InServiceYr+analysis_period-1)),0,IF($P318=0,$N318,$P318)*R$513)</f>
        <v>0</v>
      </c>
      <c r="S318" s="50">
        <f t="shared" ca="1" si="225"/>
        <v>0</v>
      </c>
      <c r="T318" s="50">
        <f t="shared" ca="1" si="225"/>
        <v>0</v>
      </c>
      <c r="U318" s="50">
        <f t="shared" ca="1" si="225"/>
        <v>0</v>
      </c>
      <c r="V318" s="50">
        <f t="shared" ca="1" si="225"/>
        <v>0</v>
      </c>
      <c r="W318" s="50">
        <f t="shared" ca="1" si="225"/>
        <v>0</v>
      </c>
      <c r="X318" s="50">
        <f t="shared" ca="1" si="225"/>
        <v>0</v>
      </c>
      <c r="Y318" s="50">
        <f t="shared" ca="1" si="225"/>
        <v>0</v>
      </c>
      <c r="Z318" s="50">
        <f t="shared" ca="1" si="225"/>
        <v>0</v>
      </c>
      <c r="AA318" s="50">
        <f t="shared" ca="1" si="225"/>
        <v>0</v>
      </c>
      <c r="AB318" s="50">
        <f t="shared" ca="1" si="225"/>
        <v>0</v>
      </c>
      <c r="AC318" s="50">
        <f t="shared" ca="1" si="225"/>
        <v>0</v>
      </c>
      <c r="AD318" s="50">
        <f t="shared" ca="1" si="225"/>
        <v>0</v>
      </c>
      <c r="AE318" s="50">
        <f t="shared" ca="1" si="225"/>
        <v>0</v>
      </c>
      <c r="AF318" s="50">
        <f t="shared" ca="1" si="225"/>
        <v>0</v>
      </c>
      <c r="AG318" s="50">
        <f t="shared" ca="1" si="225"/>
        <v>0</v>
      </c>
      <c r="AH318" s="50">
        <f t="shared" ca="1" si="225"/>
        <v>0</v>
      </c>
      <c r="AI318" s="50">
        <f t="shared" ca="1" si="225"/>
        <v>0</v>
      </c>
      <c r="AJ318" s="50">
        <f t="shared" ca="1" si="225"/>
        <v>0</v>
      </c>
      <c r="AK318" s="50">
        <f t="shared" ca="1" si="225"/>
        <v>0</v>
      </c>
      <c r="AL318" s="50">
        <f t="shared" si="225"/>
        <v>0</v>
      </c>
      <c r="AM318" s="50">
        <f t="shared" si="225"/>
        <v>0</v>
      </c>
      <c r="AN318" s="50">
        <f t="shared" si="225"/>
        <v>0</v>
      </c>
      <c r="AO318" s="50">
        <f t="shared" si="225"/>
        <v>0</v>
      </c>
      <c r="AP318" s="50">
        <f t="shared" si="225"/>
        <v>0</v>
      </c>
      <c r="AQ318" s="50">
        <f t="shared" si="225"/>
        <v>0</v>
      </c>
      <c r="AR318" s="50">
        <f t="shared" si="225"/>
        <v>0</v>
      </c>
      <c r="AS318" s="50">
        <f t="shared" si="225"/>
        <v>0</v>
      </c>
      <c r="AT318" s="50">
        <f t="shared" si="225"/>
        <v>0</v>
      </c>
      <c r="AU318" s="50">
        <f t="shared" si="225"/>
        <v>0</v>
      </c>
    </row>
    <row r="319" spans="1:47">
      <c r="A319" s="38" t="str">
        <f t="shared" si="218"/>
        <v>Custom-</v>
      </c>
      <c r="B319" s="38" t="s">
        <v>273</v>
      </c>
      <c r="C319" s="38" t="str">
        <f>C317</f>
        <v>FOG Receiving</v>
      </c>
      <c r="D319" s="186">
        <f>LaborEsc</f>
        <v>0.02</v>
      </c>
      <c r="E319" s="325"/>
      <c r="G319" s="36" t="s">
        <v>291</v>
      </c>
      <c r="I319" s="39"/>
      <c r="K319" s="39"/>
      <c r="L319" s="43" t="str">
        <f>"["&amp;CostBaseYr&amp;" $]"</f>
        <v>[2013 $]</v>
      </c>
      <c r="N319" s="70">
        <f ca="1">IF(VLOOKUP($C319,$G$69:$J$87,4,FALSE)="Off",0,SUMIFS(OFFSET(Assumptions!$I$90,0,MATCH($A319,Configurations,0)-1,COUNT(Assumptions!$A$90:$A$183),1),Assumptions!$D$90:$D$183,$B319&amp;$C319))</f>
        <v>0</v>
      </c>
      <c r="O319" s="313"/>
      <c r="P319" s="323"/>
      <c r="Q319" s="313"/>
      <c r="R319" s="50">
        <f t="shared" ref="R319:AU319" ca="1" si="226">IF(OR(R$99&lt;InServiceYr,R$99&gt;(InServiceYr+analysis_period-1)),0,IF($P319=0,$N319,$P319)*(1+$D319)^(R$99-CostBaseYr))*R$509</f>
        <v>0</v>
      </c>
      <c r="S319" s="50">
        <f t="shared" ca="1" si="226"/>
        <v>0</v>
      </c>
      <c r="T319" s="50">
        <f t="shared" ca="1" si="226"/>
        <v>0</v>
      </c>
      <c r="U319" s="50">
        <f t="shared" ca="1" si="226"/>
        <v>0</v>
      </c>
      <c r="V319" s="50">
        <f t="shared" ca="1" si="226"/>
        <v>0</v>
      </c>
      <c r="W319" s="50">
        <f t="shared" ca="1" si="226"/>
        <v>0</v>
      </c>
      <c r="X319" s="50">
        <f t="shared" ca="1" si="226"/>
        <v>0</v>
      </c>
      <c r="Y319" s="50">
        <f t="shared" ca="1" si="226"/>
        <v>0</v>
      </c>
      <c r="Z319" s="50">
        <f t="shared" ca="1" si="226"/>
        <v>0</v>
      </c>
      <c r="AA319" s="50">
        <f t="shared" ca="1" si="226"/>
        <v>0</v>
      </c>
      <c r="AB319" s="50">
        <f t="shared" ca="1" si="226"/>
        <v>0</v>
      </c>
      <c r="AC319" s="50">
        <f t="shared" ca="1" si="226"/>
        <v>0</v>
      </c>
      <c r="AD319" s="50">
        <f t="shared" ca="1" si="226"/>
        <v>0</v>
      </c>
      <c r="AE319" s="50">
        <f t="shared" ca="1" si="226"/>
        <v>0</v>
      </c>
      <c r="AF319" s="50">
        <f t="shared" ca="1" si="226"/>
        <v>0</v>
      </c>
      <c r="AG319" s="50">
        <f t="shared" ca="1" si="226"/>
        <v>0</v>
      </c>
      <c r="AH319" s="50">
        <f t="shared" ca="1" si="226"/>
        <v>0</v>
      </c>
      <c r="AI319" s="50">
        <f t="shared" ca="1" si="226"/>
        <v>0</v>
      </c>
      <c r="AJ319" s="50">
        <f t="shared" ca="1" si="226"/>
        <v>0</v>
      </c>
      <c r="AK319" s="50">
        <f t="shared" ca="1" si="226"/>
        <v>0</v>
      </c>
      <c r="AL319" s="50">
        <f t="shared" si="226"/>
        <v>0</v>
      </c>
      <c r="AM319" s="50">
        <f t="shared" si="226"/>
        <v>0</v>
      </c>
      <c r="AN319" s="50">
        <f t="shared" si="226"/>
        <v>0</v>
      </c>
      <c r="AO319" s="50">
        <f t="shared" si="226"/>
        <v>0</v>
      </c>
      <c r="AP319" s="50">
        <f t="shared" si="226"/>
        <v>0</v>
      </c>
      <c r="AQ319" s="50">
        <f t="shared" si="226"/>
        <v>0</v>
      </c>
      <c r="AR319" s="50">
        <f t="shared" si="226"/>
        <v>0</v>
      </c>
      <c r="AS319" s="50">
        <f t="shared" si="226"/>
        <v>0</v>
      </c>
      <c r="AT319" s="50">
        <f t="shared" si="226"/>
        <v>0</v>
      </c>
      <c r="AU319" s="50">
        <f t="shared" si="226"/>
        <v>0</v>
      </c>
    </row>
    <row r="320" spans="1:47">
      <c r="D320" s="186"/>
      <c r="E320" s="325"/>
      <c r="G320" s="39" t="s">
        <v>304</v>
      </c>
      <c r="I320" s="39"/>
      <c r="K320" s="39"/>
      <c r="L320" s="43"/>
      <c r="N320" s="70"/>
      <c r="O320" s="313"/>
      <c r="P320" s="70"/>
      <c r="Q320" s="313"/>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row>
    <row r="321" spans="1:47">
      <c r="A321" s="38" t="str">
        <f>$J$4&amp;"-"</f>
        <v>Custom-</v>
      </c>
      <c r="B321" s="38" t="s">
        <v>265</v>
      </c>
      <c r="C321" s="38" t="str">
        <f>C312</f>
        <v>FOG Receiving</v>
      </c>
      <c r="D321" s="186"/>
      <c r="E321" s="325"/>
      <c r="G321" s="36" t="s">
        <v>108</v>
      </c>
      <c r="I321" s="39"/>
      <c r="K321" s="39"/>
      <c r="L321" s="43" t="s">
        <v>293</v>
      </c>
      <c r="N321" s="70">
        <f ca="1">IF(VLOOKUP($C321,$G$69:$J$87,4,FALSE)="Off",0,SUMIFS(OFFSET(Assumptions!$I$90,0,MATCH($A321,Configurations,0)-1,COUNT(Assumptions!$A$90:$A$183),1),Assumptions!$D$90:$D$183,$B321&amp;$C321))</f>
        <v>0</v>
      </c>
      <c r="O321" s="313"/>
      <c r="P321" s="323"/>
      <c r="Q321" s="313"/>
      <c r="R321" s="50">
        <f t="shared" ref="R321:AU321" ca="1" si="227">IF(OR(R$99&lt;InServiceYr,R$99&gt;(InServiceYr+analysis_period-1)),0,IF($P321=0,$N321,$P321)*R$501)</f>
        <v>0</v>
      </c>
      <c r="S321" s="50">
        <f t="shared" ca="1" si="227"/>
        <v>0</v>
      </c>
      <c r="T321" s="50">
        <f t="shared" ca="1" si="227"/>
        <v>0</v>
      </c>
      <c r="U321" s="50">
        <f t="shared" ca="1" si="227"/>
        <v>0</v>
      </c>
      <c r="V321" s="50">
        <f t="shared" ca="1" si="227"/>
        <v>0</v>
      </c>
      <c r="W321" s="50">
        <f t="shared" ca="1" si="227"/>
        <v>0</v>
      </c>
      <c r="X321" s="50">
        <f t="shared" ca="1" si="227"/>
        <v>0</v>
      </c>
      <c r="Y321" s="50">
        <f t="shared" ca="1" si="227"/>
        <v>0</v>
      </c>
      <c r="Z321" s="50">
        <f t="shared" ca="1" si="227"/>
        <v>0</v>
      </c>
      <c r="AA321" s="50">
        <f t="shared" ca="1" si="227"/>
        <v>0</v>
      </c>
      <c r="AB321" s="50">
        <f t="shared" ca="1" si="227"/>
        <v>0</v>
      </c>
      <c r="AC321" s="50">
        <f t="shared" ca="1" si="227"/>
        <v>0</v>
      </c>
      <c r="AD321" s="50">
        <f t="shared" ca="1" si="227"/>
        <v>0</v>
      </c>
      <c r="AE321" s="50">
        <f t="shared" ca="1" si="227"/>
        <v>0</v>
      </c>
      <c r="AF321" s="50">
        <f t="shared" ca="1" si="227"/>
        <v>0</v>
      </c>
      <c r="AG321" s="50">
        <f t="shared" ca="1" si="227"/>
        <v>0</v>
      </c>
      <c r="AH321" s="50">
        <f t="shared" ca="1" si="227"/>
        <v>0</v>
      </c>
      <c r="AI321" s="50">
        <f t="shared" ca="1" si="227"/>
        <v>0</v>
      </c>
      <c r="AJ321" s="50">
        <f t="shared" ca="1" si="227"/>
        <v>0</v>
      </c>
      <c r="AK321" s="50">
        <f t="shared" ca="1" si="227"/>
        <v>0</v>
      </c>
      <c r="AL321" s="50">
        <f t="shared" si="227"/>
        <v>0</v>
      </c>
      <c r="AM321" s="50">
        <f t="shared" si="227"/>
        <v>0</v>
      </c>
      <c r="AN321" s="50">
        <f t="shared" si="227"/>
        <v>0</v>
      </c>
      <c r="AO321" s="50">
        <f t="shared" si="227"/>
        <v>0</v>
      </c>
      <c r="AP321" s="50">
        <f t="shared" si="227"/>
        <v>0</v>
      </c>
      <c r="AQ321" s="50">
        <f t="shared" si="227"/>
        <v>0</v>
      </c>
      <c r="AR321" s="50">
        <f t="shared" si="227"/>
        <v>0</v>
      </c>
      <c r="AS321" s="50">
        <f t="shared" si="227"/>
        <v>0</v>
      </c>
      <c r="AT321" s="50">
        <f t="shared" si="227"/>
        <v>0</v>
      </c>
      <c r="AU321" s="50">
        <f t="shared" si="227"/>
        <v>0</v>
      </c>
    </row>
    <row r="322" spans="1:47">
      <c r="A322" s="38" t="str">
        <f>$J$4&amp;"-"</f>
        <v>Custom-</v>
      </c>
      <c r="B322" s="38" t="s">
        <v>289</v>
      </c>
      <c r="C322" s="38" t="str">
        <f>C312</f>
        <v>FOG Receiving</v>
      </c>
      <c r="D322" s="186">
        <f>LaborEsc</f>
        <v>0.02</v>
      </c>
      <c r="E322" s="325"/>
      <c r="G322" s="36" t="s">
        <v>292</v>
      </c>
      <c r="I322" s="39"/>
      <c r="K322" s="39"/>
      <c r="L322" s="43" t="str">
        <f>"["&amp;CostBaseYr&amp;" $]"</f>
        <v>[2013 $]</v>
      </c>
      <c r="N322" s="70">
        <f ca="1">IF(VLOOKUP($C322,$G$69:$J$87,4,FALSE)="Off",0,SUMIFS(OFFSET(Assumptions!$I$90,0,MATCH($A322,Configurations,0)-1,COUNT(Assumptions!$A$90:$A$183),1),Assumptions!$D$90:$D$183,$B322&amp;$C322))</f>
        <v>0</v>
      </c>
      <c r="O322" s="313"/>
      <c r="P322" s="323"/>
      <c r="Q322" s="313"/>
      <c r="R322" s="50">
        <f t="shared" ref="R322:AU322" ca="1" si="228">IF(OR(R$99&lt;InServiceYr,R$99&gt;(InServiceYr+analysis_period-1)),0,IF($P322=0,$N322,$P322)*(1+$D322)^(R$99-CostBaseYr))</f>
        <v>0</v>
      </c>
      <c r="S322" s="50">
        <f t="shared" ca="1" si="228"/>
        <v>0</v>
      </c>
      <c r="T322" s="50">
        <f t="shared" ca="1" si="228"/>
        <v>0</v>
      </c>
      <c r="U322" s="50">
        <f t="shared" ca="1" si="228"/>
        <v>0</v>
      </c>
      <c r="V322" s="50">
        <f t="shared" ca="1" si="228"/>
        <v>0</v>
      </c>
      <c r="W322" s="50">
        <f t="shared" ca="1" si="228"/>
        <v>0</v>
      </c>
      <c r="X322" s="50">
        <f t="shared" ca="1" si="228"/>
        <v>0</v>
      </c>
      <c r="Y322" s="50">
        <f t="shared" ca="1" si="228"/>
        <v>0</v>
      </c>
      <c r="Z322" s="50">
        <f t="shared" ca="1" si="228"/>
        <v>0</v>
      </c>
      <c r="AA322" s="50">
        <f t="shared" ca="1" si="228"/>
        <v>0</v>
      </c>
      <c r="AB322" s="50">
        <f t="shared" ca="1" si="228"/>
        <v>0</v>
      </c>
      <c r="AC322" s="50">
        <f t="shared" ca="1" si="228"/>
        <v>0</v>
      </c>
      <c r="AD322" s="50">
        <f t="shared" ca="1" si="228"/>
        <v>0</v>
      </c>
      <c r="AE322" s="50">
        <f t="shared" ca="1" si="228"/>
        <v>0</v>
      </c>
      <c r="AF322" s="50">
        <f t="shared" ca="1" si="228"/>
        <v>0</v>
      </c>
      <c r="AG322" s="50">
        <f t="shared" ca="1" si="228"/>
        <v>0</v>
      </c>
      <c r="AH322" s="50">
        <f t="shared" ca="1" si="228"/>
        <v>0</v>
      </c>
      <c r="AI322" s="50">
        <f t="shared" ca="1" si="228"/>
        <v>0</v>
      </c>
      <c r="AJ322" s="50">
        <f t="shared" ca="1" si="228"/>
        <v>0</v>
      </c>
      <c r="AK322" s="50">
        <f t="shared" ca="1" si="228"/>
        <v>0</v>
      </c>
      <c r="AL322" s="50">
        <f t="shared" si="228"/>
        <v>0</v>
      </c>
      <c r="AM322" s="50">
        <f t="shared" si="228"/>
        <v>0</v>
      </c>
      <c r="AN322" s="50">
        <f t="shared" si="228"/>
        <v>0</v>
      </c>
      <c r="AO322" s="50">
        <f t="shared" si="228"/>
        <v>0</v>
      </c>
      <c r="AP322" s="50">
        <f t="shared" si="228"/>
        <v>0</v>
      </c>
      <c r="AQ322" s="50">
        <f t="shared" si="228"/>
        <v>0</v>
      </c>
      <c r="AR322" s="50">
        <f t="shared" si="228"/>
        <v>0</v>
      </c>
      <c r="AS322" s="50">
        <f t="shared" si="228"/>
        <v>0</v>
      </c>
      <c r="AT322" s="50">
        <f t="shared" si="228"/>
        <v>0</v>
      </c>
      <c r="AU322" s="50">
        <f t="shared" si="228"/>
        <v>0</v>
      </c>
    </row>
    <row r="323" spans="1:47" s="60" customFormat="1">
      <c r="D323" s="187"/>
      <c r="E323" s="325"/>
      <c r="G323" s="39" t="s">
        <v>305</v>
      </c>
      <c r="I323" s="39"/>
      <c r="K323" s="39"/>
      <c r="L323" s="174"/>
      <c r="N323" s="188"/>
      <c r="O323" s="314"/>
      <c r="P323" s="185"/>
      <c r="Q323" s="314"/>
      <c r="R323" s="185">
        <f ca="1">SUM(R312:R319)-SUM(R321:R322)</f>
        <v>0</v>
      </c>
      <c r="S323" s="185">
        <f t="shared" ref="S323:AU323" ca="1" si="229">SUM(S312:S319)-SUM(S321:S322)</f>
        <v>0</v>
      </c>
      <c r="T323" s="185">
        <f t="shared" ca="1" si="229"/>
        <v>0</v>
      </c>
      <c r="U323" s="185">
        <f t="shared" ca="1" si="229"/>
        <v>0</v>
      </c>
      <c r="V323" s="185">
        <f t="shared" ca="1" si="229"/>
        <v>0</v>
      </c>
      <c r="W323" s="185">
        <f t="shared" ca="1" si="229"/>
        <v>0</v>
      </c>
      <c r="X323" s="185">
        <f t="shared" ca="1" si="229"/>
        <v>0</v>
      </c>
      <c r="Y323" s="185">
        <f t="shared" ca="1" si="229"/>
        <v>0</v>
      </c>
      <c r="Z323" s="185">
        <f t="shared" ca="1" si="229"/>
        <v>0</v>
      </c>
      <c r="AA323" s="185">
        <f t="shared" ca="1" si="229"/>
        <v>0</v>
      </c>
      <c r="AB323" s="185">
        <f t="shared" ca="1" si="229"/>
        <v>0</v>
      </c>
      <c r="AC323" s="185">
        <f t="shared" ca="1" si="229"/>
        <v>0</v>
      </c>
      <c r="AD323" s="185">
        <f t="shared" ca="1" si="229"/>
        <v>0</v>
      </c>
      <c r="AE323" s="185">
        <f t="shared" ca="1" si="229"/>
        <v>0</v>
      </c>
      <c r="AF323" s="185">
        <f t="shared" ca="1" si="229"/>
        <v>0</v>
      </c>
      <c r="AG323" s="185">
        <f t="shared" ca="1" si="229"/>
        <v>0</v>
      </c>
      <c r="AH323" s="185">
        <f t="shared" ca="1" si="229"/>
        <v>0</v>
      </c>
      <c r="AI323" s="185">
        <f t="shared" ca="1" si="229"/>
        <v>0</v>
      </c>
      <c r="AJ323" s="185">
        <f t="shared" ca="1" si="229"/>
        <v>0</v>
      </c>
      <c r="AK323" s="185">
        <f t="shared" ca="1" si="229"/>
        <v>0</v>
      </c>
      <c r="AL323" s="185">
        <f t="shared" si="229"/>
        <v>0</v>
      </c>
      <c r="AM323" s="185">
        <f t="shared" si="229"/>
        <v>0</v>
      </c>
      <c r="AN323" s="185">
        <f t="shared" si="229"/>
        <v>0</v>
      </c>
      <c r="AO323" s="185">
        <f t="shared" si="229"/>
        <v>0</v>
      </c>
      <c r="AP323" s="185">
        <f t="shared" si="229"/>
        <v>0</v>
      </c>
      <c r="AQ323" s="185">
        <f t="shared" si="229"/>
        <v>0</v>
      </c>
      <c r="AR323" s="185">
        <f t="shared" si="229"/>
        <v>0</v>
      </c>
      <c r="AS323" s="185">
        <f t="shared" si="229"/>
        <v>0</v>
      </c>
      <c r="AT323" s="185">
        <f t="shared" si="229"/>
        <v>0</v>
      </c>
      <c r="AU323" s="185">
        <f t="shared" si="229"/>
        <v>0</v>
      </c>
    </row>
    <row r="324" spans="1:47">
      <c r="E324" s="36"/>
      <c r="G324" s="39"/>
      <c r="H324" s="39"/>
      <c r="I324" s="39"/>
      <c r="J324" s="39"/>
      <c r="K324" s="39"/>
    </row>
    <row r="325" spans="1:47">
      <c r="E325" s="327"/>
      <c r="F325" s="28"/>
      <c r="G325" s="324" t="str">
        <f>C327&amp;" Capital Costs"</f>
        <v>Gas Cleaning Capital Costs</v>
      </c>
      <c r="H325" s="324"/>
      <c r="I325" s="324"/>
      <c r="J325" s="324"/>
      <c r="K325" s="324"/>
      <c r="L325" s="405" t="s">
        <v>79</v>
      </c>
      <c r="M325" s="256"/>
      <c r="N325" s="325" t="s">
        <v>490</v>
      </c>
      <c r="O325" s="311"/>
      <c r="P325" s="325" t="s">
        <v>491</v>
      </c>
      <c r="Q325" s="310"/>
      <c r="R325" s="325">
        <f>R$8</f>
        <v>2014</v>
      </c>
      <c r="S325" s="325">
        <f t="shared" ref="S325:AU325" si="230">S$8</f>
        <v>2015</v>
      </c>
      <c r="T325" s="325">
        <f t="shared" si="230"/>
        <v>2016</v>
      </c>
      <c r="U325" s="325">
        <f t="shared" si="230"/>
        <v>2017</v>
      </c>
      <c r="V325" s="325">
        <f t="shared" si="230"/>
        <v>2018</v>
      </c>
      <c r="W325" s="325">
        <f t="shared" si="230"/>
        <v>2019</v>
      </c>
      <c r="X325" s="325">
        <f t="shared" si="230"/>
        <v>2020</v>
      </c>
      <c r="Y325" s="325">
        <f t="shared" si="230"/>
        <v>2021</v>
      </c>
      <c r="Z325" s="325">
        <f t="shared" si="230"/>
        <v>2022</v>
      </c>
      <c r="AA325" s="325">
        <f t="shared" si="230"/>
        <v>2023</v>
      </c>
      <c r="AB325" s="325">
        <f t="shared" si="230"/>
        <v>2024</v>
      </c>
      <c r="AC325" s="325">
        <f t="shared" si="230"/>
        <v>2025</v>
      </c>
      <c r="AD325" s="325">
        <f t="shared" si="230"/>
        <v>2026</v>
      </c>
      <c r="AE325" s="325">
        <f t="shared" si="230"/>
        <v>2027</v>
      </c>
      <c r="AF325" s="325">
        <f t="shared" si="230"/>
        <v>2028</v>
      </c>
      <c r="AG325" s="325">
        <f t="shared" si="230"/>
        <v>2029</v>
      </c>
      <c r="AH325" s="325">
        <f t="shared" si="230"/>
        <v>2030</v>
      </c>
      <c r="AI325" s="325">
        <f t="shared" si="230"/>
        <v>2031</v>
      </c>
      <c r="AJ325" s="325">
        <f t="shared" si="230"/>
        <v>2032</v>
      </c>
      <c r="AK325" s="325">
        <f t="shared" si="230"/>
        <v>2033</v>
      </c>
      <c r="AL325" s="325">
        <f t="shared" si="230"/>
        <v>2034</v>
      </c>
      <c r="AM325" s="325">
        <f t="shared" si="230"/>
        <v>2035</v>
      </c>
      <c r="AN325" s="325">
        <f t="shared" si="230"/>
        <v>2036</v>
      </c>
      <c r="AO325" s="325">
        <f t="shared" si="230"/>
        <v>2037</v>
      </c>
      <c r="AP325" s="325">
        <f t="shared" si="230"/>
        <v>2038</v>
      </c>
      <c r="AQ325" s="325">
        <f t="shared" si="230"/>
        <v>2039</v>
      </c>
      <c r="AR325" s="325">
        <f t="shared" si="230"/>
        <v>2040</v>
      </c>
      <c r="AS325" s="325">
        <f t="shared" si="230"/>
        <v>2041</v>
      </c>
      <c r="AT325" s="325">
        <f t="shared" si="230"/>
        <v>2042</v>
      </c>
      <c r="AU325" s="325">
        <f t="shared" si="230"/>
        <v>2043</v>
      </c>
    </row>
    <row r="326" spans="1:47">
      <c r="E326" s="325"/>
      <c r="G326" s="39"/>
      <c r="H326" s="39"/>
      <c r="I326" s="39"/>
      <c r="J326" s="39"/>
      <c r="K326" s="39"/>
    </row>
    <row r="327" spans="1:47">
      <c r="A327" s="38" t="str">
        <f>$J$4&amp;"-"</f>
        <v>Custom-</v>
      </c>
      <c r="B327" s="38" t="s">
        <v>306</v>
      </c>
      <c r="C327" s="38" t="s">
        <v>162</v>
      </c>
      <c r="D327" s="186">
        <f>CapExEsc</f>
        <v>0.03</v>
      </c>
      <c r="E327" s="325"/>
      <c r="G327" s="36" t="s">
        <v>8</v>
      </c>
      <c r="H327" s="39"/>
      <c r="I327" s="39"/>
      <c r="J327" s="70"/>
      <c r="K327" s="39"/>
      <c r="L327" s="43" t="str">
        <f>"["&amp;CostBaseYr&amp;" $]"</f>
        <v>[2013 $]</v>
      </c>
      <c r="N327" s="52">
        <f ca="1">IF(VLOOKUP($C327,$G$69:$J$87,4,FALSE)="Off", 0,SUMIFS(OFFSET(Assumptions!$I$65,0,MATCH($A327,Configurations,0)-1,COUNT(Assumptions!$A$65:$A$84),1),Assumptions!$E$65:$E$84,$C327))</f>
        <v>0</v>
      </c>
      <c r="O327" s="52"/>
      <c r="P327" s="322"/>
      <c r="Q327" s="52"/>
      <c r="R327" s="52">
        <f t="shared" ref="R327:AU327" ca="1" si="231">R328*IF($P327=0,$N327,$P327)*(1+$D327)^(R$8-CostBaseYr)</f>
        <v>0</v>
      </c>
      <c r="S327" s="52">
        <f t="shared" ca="1" si="231"/>
        <v>0</v>
      </c>
      <c r="T327" s="52">
        <f t="shared" ca="1" si="231"/>
        <v>0</v>
      </c>
      <c r="U327" s="52">
        <f t="shared" ca="1" si="231"/>
        <v>0</v>
      </c>
      <c r="V327" s="52">
        <f t="shared" ca="1" si="231"/>
        <v>0</v>
      </c>
      <c r="W327" s="52">
        <f t="shared" ca="1" si="231"/>
        <v>0</v>
      </c>
      <c r="X327" s="52">
        <f t="shared" ca="1" si="231"/>
        <v>0</v>
      </c>
      <c r="Y327" s="52">
        <f t="shared" ca="1" si="231"/>
        <v>0</v>
      </c>
      <c r="Z327" s="52">
        <f t="shared" ca="1" si="231"/>
        <v>0</v>
      </c>
      <c r="AA327" s="52">
        <f t="shared" ca="1" si="231"/>
        <v>0</v>
      </c>
      <c r="AB327" s="52">
        <f t="shared" ca="1" si="231"/>
        <v>0</v>
      </c>
      <c r="AC327" s="52">
        <f t="shared" ca="1" si="231"/>
        <v>0</v>
      </c>
      <c r="AD327" s="52">
        <f t="shared" ca="1" si="231"/>
        <v>0</v>
      </c>
      <c r="AE327" s="52">
        <f t="shared" ca="1" si="231"/>
        <v>0</v>
      </c>
      <c r="AF327" s="52">
        <f t="shared" ca="1" si="231"/>
        <v>0</v>
      </c>
      <c r="AG327" s="52">
        <f t="shared" ca="1" si="231"/>
        <v>0</v>
      </c>
      <c r="AH327" s="52">
        <f t="shared" ca="1" si="231"/>
        <v>0</v>
      </c>
      <c r="AI327" s="52">
        <f t="shared" ca="1" si="231"/>
        <v>0</v>
      </c>
      <c r="AJ327" s="52">
        <f t="shared" ca="1" si="231"/>
        <v>0</v>
      </c>
      <c r="AK327" s="52">
        <f t="shared" ca="1" si="231"/>
        <v>0</v>
      </c>
      <c r="AL327" s="52">
        <f t="shared" ca="1" si="231"/>
        <v>0</v>
      </c>
      <c r="AM327" s="52">
        <f t="shared" ca="1" si="231"/>
        <v>0</v>
      </c>
      <c r="AN327" s="52">
        <f t="shared" ca="1" si="231"/>
        <v>0</v>
      </c>
      <c r="AO327" s="52">
        <f t="shared" ca="1" si="231"/>
        <v>0</v>
      </c>
      <c r="AP327" s="52">
        <f t="shared" ca="1" si="231"/>
        <v>0</v>
      </c>
      <c r="AQ327" s="52">
        <f t="shared" ca="1" si="231"/>
        <v>0</v>
      </c>
      <c r="AR327" s="52">
        <f t="shared" ca="1" si="231"/>
        <v>0</v>
      </c>
      <c r="AS327" s="52">
        <f t="shared" ca="1" si="231"/>
        <v>0</v>
      </c>
      <c r="AT327" s="52">
        <f t="shared" ca="1" si="231"/>
        <v>0</v>
      </c>
      <c r="AU327" s="52">
        <f t="shared" ca="1" si="231"/>
        <v>0</v>
      </c>
    </row>
    <row r="328" spans="1:47">
      <c r="E328" s="325"/>
      <c r="G328" s="36" t="s">
        <v>10</v>
      </c>
      <c r="H328" s="39"/>
      <c r="I328" s="39"/>
      <c r="J328" s="39"/>
      <c r="K328" s="39"/>
      <c r="L328" s="43"/>
      <c r="R328" s="54">
        <f>Assumptions!M$60</f>
        <v>1</v>
      </c>
      <c r="S328" s="54">
        <f>Assumptions!N$60</f>
        <v>0</v>
      </c>
      <c r="T328" s="54">
        <f>Assumptions!O$60</f>
        <v>0</v>
      </c>
      <c r="U328" s="54">
        <f>Assumptions!P$60</f>
        <v>0</v>
      </c>
      <c r="V328" s="54">
        <f>Assumptions!Q$60</f>
        <v>0</v>
      </c>
      <c r="W328" s="54">
        <f>Assumptions!R$60</f>
        <v>0</v>
      </c>
      <c r="X328" s="54">
        <f>Assumptions!S$60</f>
        <v>0</v>
      </c>
      <c r="Y328" s="54">
        <f>Assumptions!T$60</f>
        <v>0</v>
      </c>
      <c r="Z328" s="54">
        <f>Assumptions!U$60</f>
        <v>0</v>
      </c>
      <c r="AA328" s="54">
        <f>Assumptions!V$60</f>
        <v>0</v>
      </c>
      <c r="AB328" s="54">
        <f>Assumptions!W$60</f>
        <v>0</v>
      </c>
      <c r="AC328" s="54">
        <f>Assumptions!X$60</f>
        <v>0</v>
      </c>
      <c r="AD328" s="54">
        <f>Assumptions!Y$60</f>
        <v>0</v>
      </c>
      <c r="AE328" s="54">
        <f>Assumptions!Z$60</f>
        <v>0</v>
      </c>
      <c r="AF328" s="54">
        <f>Assumptions!AA$60</f>
        <v>0</v>
      </c>
      <c r="AG328" s="54">
        <f>Assumptions!AB$60</f>
        <v>0</v>
      </c>
      <c r="AH328" s="54">
        <f>Assumptions!AC$60</f>
        <v>0</v>
      </c>
      <c r="AI328" s="54">
        <f>Assumptions!AD$60</f>
        <v>0</v>
      </c>
      <c r="AJ328" s="54">
        <f>Assumptions!AE$60</f>
        <v>0</v>
      </c>
      <c r="AK328" s="54">
        <f>Assumptions!AF$60</f>
        <v>0</v>
      </c>
      <c r="AL328" s="54">
        <f>Assumptions!AG$60</f>
        <v>0</v>
      </c>
      <c r="AM328" s="54">
        <f>Assumptions!AH$60</f>
        <v>0</v>
      </c>
      <c r="AN328" s="54">
        <f>Assumptions!AI$60</f>
        <v>0</v>
      </c>
      <c r="AO328" s="54">
        <f>Assumptions!AJ$60</f>
        <v>0</v>
      </c>
      <c r="AP328" s="54">
        <f>Assumptions!AK$60</f>
        <v>0</v>
      </c>
      <c r="AQ328" s="54">
        <f>Assumptions!AL$60</f>
        <v>0</v>
      </c>
      <c r="AR328" s="54">
        <f>Assumptions!AM$60</f>
        <v>0</v>
      </c>
      <c r="AS328" s="54">
        <f>Assumptions!AN$60</f>
        <v>0</v>
      </c>
      <c r="AT328" s="54">
        <f>Assumptions!AO$60</f>
        <v>0</v>
      </c>
      <c r="AU328" s="54">
        <f>Assumptions!AP$60</f>
        <v>0</v>
      </c>
    </row>
    <row r="329" spans="1:47">
      <c r="E329" s="326"/>
      <c r="G329" s="39"/>
      <c r="H329" s="39"/>
      <c r="I329" s="39"/>
      <c r="J329" s="39"/>
      <c r="K329" s="39"/>
    </row>
    <row r="330" spans="1:47">
      <c r="E330" s="327"/>
      <c r="F330" s="28"/>
      <c r="G330" s="324" t="str">
        <f>C327&amp;" O&amp;M"</f>
        <v>Gas Cleaning O&amp;M</v>
      </c>
      <c r="H330" s="324"/>
      <c r="I330" s="324"/>
      <c r="J330" s="324"/>
      <c r="K330" s="324"/>
      <c r="L330" s="405" t="s">
        <v>79</v>
      </c>
      <c r="M330" s="256"/>
      <c r="N330" s="325" t="s">
        <v>490</v>
      </c>
      <c r="O330" s="311"/>
      <c r="P330" s="325" t="s">
        <v>491</v>
      </c>
      <c r="Q330" s="310"/>
      <c r="R330" s="325">
        <f>R$8</f>
        <v>2014</v>
      </c>
      <c r="S330" s="325">
        <f t="shared" ref="S330:AU330" si="232">S$8</f>
        <v>2015</v>
      </c>
      <c r="T330" s="325">
        <f t="shared" si="232"/>
        <v>2016</v>
      </c>
      <c r="U330" s="325">
        <f t="shared" si="232"/>
        <v>2017</v>
      </c>
      <c r="V330" s="325">
        <f t="shared" si="232"/>
        <v>2018</v>
      </c>
      <c r="W330" s="325">
        <f t="shared" si="232"/>
        <v>2019</v>
      </c>
      <c r="X330" s="325">
        <f t="shared" si="232"/>
        <v>2020</v>
      </c>
      <c r="Y330" s="325">
        <f t="shared" si="232"/>
        <v>2021</v>
      </c>
      <c r="Z330" s="325">
        <f t="shared" si="232"/>
        <v>2022</v>
      </c>
      <c r="AA330" s="325">
        <f t="shared" si="232"/>
        <v>2023</v>
      </c>
      <c r="AB330" s="325">
        <f t="shared" si="232"/>
        <v>2024</v>
      </c>
      <c r="AC330" s="325">
        <f t="shared" si="232"/>
        <v>2025</v>
      </c>
      <c r="AD330" s="325">
        <f t="shared" si="232"/>
        <v>2026</v>
      </c>
      <c r="AE330" s="325">
        <f t="shared" si="232"/>
        <v>2027</v>
      </c>
      <c r="AF330" s="325">
        <f t="shared" si="232"/>
        <v>2028</v>
      </c>
      <c r="AG330" s="325">
        <f t="shared" si="232"/>
        <v>2029</v>
      </c>
      <c r="AH330" s="325">
        <f t="shared" si="232"/>
        <v>2030</v>
      </c>
      <c r="AI330" s="325">
        <f t="shared" si="232"/>
        <v>2031</v>
      </c>
      <c r="AJ330" s="325">
        <f t="shared" si="232"/>
        <v>2032</v>
      </c>
      <c r="AK330" s="325">
        <f t="shared" si="232"/>
        <v>2033</v>
      </c>
      <c r="AL330" s="325">
        <f t="shared" si="232"/>
        <v>2034</v>
      </c>
      <c r="AM330" s="325">
        <f t="shared" si="232"/>
        <v>2035</v>
      </c>
      <c r="AN330" s="325">
        <f t="shared" si="232"/>
        <v>2036</v>
      </c>
      <c r="AO330" s="325">
        <f t="shared" si="232"/>
        <v>2037</v>
      </c>
      <c r="AP330" s="325">
        <f t="shared" si="232"/>
        <v>2038</v>
      </c>
      <c r="AQ330" s="325">
        <f t="shared" si="232"/>
        <v>2039</v>
      </c>
      <c r="AR330" s="325">
        <f t="shared" si="232"/>
        <v>2040</v>
      </c>
      <c r="AS330" s="325">
        <f t="shared" si="232"/>
        <v>2041</v>
      </c>
      <c r="AT330" s="325">
        <f t="shared" si="232"/>
        <v>2042</v>
      </c>
      <c r="AU330" s="325">
        <f t="shared" si="232"/>
        <v>2043</v>
      </c>
    </row>
    <row r="331" spans="1:47">
      <c r="E331" s="325"/>
      <c r="G331" s="39"/>
      <c r="H331" s="39"/>
      <c r="I331" s="39"/>
      <c r="J331" s="39"/>
      <c r="K331" s="39"/>
    </row>
    <row r="332" spans="1:47">
      <c r="E332" s="325"/>
      <c r="G332" s="39" t="s">
        <v>23</v>
      </c>
      <c r="H332" s="39"/>
      <c r="I332" s="39"/>
      <c r="J332" s="39"/>
      <c r="K332" s="39"/>
    </row>
    <row r="333" spans="1:47">
      <c r="A333" s="38" t="str">
        <f t="shared" ref="A333:A340" si="233">$J$4&amp;"-"</f>
        <v>Custom-</v>
      </c>
      <c r="B333" s="38" t="s">
        <v>262</v>
      </c>
      <c r="C333" s="38" t="str">
        <f>C327</f>
        <v>Gas Cleaning</v>
      </c>
      <c r="D333" s="186">
        <f>LaborEsc</f>
        <v>0.02</v>
      </c>
      <c r="E333" s="325"/>
      <c r="G333" s="36" t="s">
        <v>125</v>
      </c>
      <c r="I333" s="39"/>
      <c r="K333" s="39"/>
      <c r="L333" s="43" t="s">
        <v>266</v>
      </c>
      <c r="N333" s="70">
        <f ca="1">IF(VLOOKUP($C333,$G$69:$J$87,4,FALSE)="Off",0,SUMIFS(OFFSET(Assumptions!$I$90,0,MATCH($A333,Configurations,0)-1,COUNT(Assumptions!$A$90:$A$183),1),Assumptions!$D$90:$D$183,$B333&amp;$C333))</f>
        <v>0</v>
      </c>
      <c r="O333" s="313"/>
      <c r="P333" s="323"/>
      <c r="Q333" s="313"/>
      <c r="R333" s="50">
        <f t="shared" ref="R333:AU333" ca="1" si="234">IF(OR(R$99&lt;InServiceYr,R$99&gt;(InServiceYr+analysis_period-1)),0,IF($P333=0,$N333,$P333)*LaborCost*(1+$D333)^(R$99-CostBaseYr))</f>
        <v>0</v>
      </c>
      <c r="S333" s="50">
        <f t="shared" ca="1" si="234"/>
        <v>0</v>
      </c>
      <c r="T333" s="50">
        <f t="shared" ca="1" si="234"/>
        <v>0</v>
      </c>
      <c r="U333" s="50">
        <f t="shared" ca="1" si="234"/>
        <v>0</v>
      </c>
      <c r="V333" s="50">
        <f t="shared" ca="1" si="234"/>
        <v>0</v>
      </c>
      <c r="W333" s="50">
        <f t="shared" ca="1" si="234"/>
        <v>0</v>
      </c>
      <c r="X333" s="50">
        <f t="shared" ca="1" si="234"/>
        <v>0</v>
      </c>
      <c r="Y333" s="50">
        <f t="shared" ca="1" si="234"/>
        <v>0</v>
      </c>
      <c r="Z333" s="50">
        <f t="shared" ca="1" si="234"/>
        <v>0</v>
      </c>
      <c r="AA333" s="50">
        <f t="shared" ca="1" si="234"/>
        <v>0</v>
      </c>
      <c r="AB333" s="50">
        <f t="shared" ca="1" si="234"/>
        <v>0</v>
      </c>
      <c r="AC333" s="50">
        <f t="shared" ca="1" si="234"/>
        <v>0</v>
      </c>
      <c r="AD333" s="50">
        <f t="shared" ca="1" si="234"/>
        <v>0</v>
      </c>
      <c r="AE333" s="50">
        <f t="shared" ca="1" si="234"/>
        <v>0</v>
      </c>
      <c r="AF333" s="50">
        <f t="shared" ca="1" si="234"/>
        <v>0</v>
      </c>
      <c r="AG333" s="50">
        <f t="shared" ca="1" si="234"/>
        <v>0</v>
      </c>
      <c r="AH333" s="50">
        <f t="shared" ca="1" si="234"/>
        <v>0</v>
      </c>
      <c r="AI333" s="50">
        <f t="shared" ca="1" si="234"/>
        <v>0</v>
      </c>
      <c r="AJ333" s="50">
        <f t="shared" ca="1" si="234"/>
        <v>0</v>
      </c>
      <c r="AK333" s="50">
        <f t="shared" ca="1" si="234"/>
        <v>0</v>
      </c>
      <c r="AL333" s="50">
        <f t="shared" si="234"/>
        <v>0</v>
      </c>
      <c r="AM333" s="50">
        <f t="shared" si="234"/>
        <v>0</v>
      </c>
      <c r="AN333" s="50">
        <f t="shared" si="234"/>
        <v>0</v>
      </c>
      <c r="AO333" s="50">
        <f t="shared" si="234"/>
        <v>0</v>
      </c>
      <c r="AP333" s="50">
        <f t="shared" si="234"/>
        <v>0</v>
      </c>
      <c r="AQ333" s="50">
        <f t="shared" si="234"/>
        <v>0</v>
      </c>
      <c r="AR333" s="50">
        <f t="shared" si="234"/>
        <v>0</v>
      </c>
      <c r="AS333" s="50">
        <f t="shared" si="234"/>
        <v>0</v>
      </c>
      <c r="AT333" s="50">
        <f t="shared" si="234"/>
        <v>0</v>
      </c>
      <c r="AU333" s="50">
        <f t="shared" si="234"/>
        <v>0</v>
      </c>
    </row>
    <row r="334" spans="1:47">
      <c r="A334" s="38" t="str">
        <f t="shared" si="233"/>
        <v>Custom-</v>
      </c>
      <c r="B334" s="38" t="s">
        <v>270</v>
      </c>
      <c r="C334" s="38" t="str">
        <f>C333</f>
        <v>Gas Cleaning</v>
      </c>
      <c r="D334" s="186">
        <f>OMEsc</f>
        <v>0.02</v>
      </c>
      <c r="E334" s="325"/>
      <c r="G334" s="36" t="s">
        <v>126</v>
      </c>
      <c r="I334" s="39"/>
      <c r="K334" s="39"/>
      <c r="L334" s="43" t="str">
        <f>"["&amp;CostBaseYr&amp;" $]"</f>
        <v>[2013 $]</v>
      </c>
      <c r="N334" s="70">
        <f ca="1">IF(VLOOKUP($C334,$G$69:$J$87,4,FALSE)="Off",0,SUMIFS(OFFSET(Assumptions!$I$90,0,MATCH($A334,Configurations,0)-1,COUNT(Assumptions!$A$90:$A$183),1),Assumptions!$D$90:$D$183,$B334&amp;$C334))</f>
        <v>0</v>
      </c>
      <c r="O334" s="313"/>
      <c r="P334" s="323"/>
      <c r="Q334" s="313"/>
      <c r="R334" s="50">
        <f t="shared" ref="R334:AG336" ca="1" si="235">IF(OR(R$99&lt;InServiceYr,R$99&gt;(InServiceYr+analysis_period-1)),0,IF($P334=0,$N334,$P334)*(1+$D334)^(R$99-CostBaseYr))</f>
        <v>0</v>
      </c>
      <c r="S334" s="50">
        <f t="shared" ca="1" si="235"/>
        <v>0</v>
      </c>
      <c r="T334" s="50">
        <f t="shared" ca="1" si="235"/>
        <v>0</v>
      </c>
      <c r="U334" s="50">
        <f t="shared" ca="1" si="235"/>
        <v>0</v>
      </c>
      <c r="V334" s="50">
        <f t="shared" ca="1" si="235"/>
        <v>0</v>
      </c>
      <c r="W334" s="50">
        <f t="shared" ca="1" si="235"/>
        <v>0</v>
      </c>
      <c r="X334" s="50">
        <f t="shared" ca="1" si="235"/>
        <v>0</v>
      </c>
      <c r="Y334" s="50">
        <f t="shared" ca="1" si="235"/>
        <v>0</v>
      </c>
      <c r="Z334" s="50">
        <f t="shared" ca="1" si="235"/>
        <v>0</v>
      </c>
      <c r="AA334" s="50">
        <f t="shared" ca="1" si="235"/>
        <v>0</v>
      </c>
      <c r="AB334" s="50">
        <f t="shared" ca="1" si="235"/>
        <v>0</v>
      </c>
      <c r="AC334" s="50">
        <f t="shared" ca="1" si="235"/>
        <v>0</v>
      </c>
      <c r="AD334" s="50">
        <f t="shared" ca="1" si="235"/>
        <v>0</v>
      </c>
      <c r="AE334" s="50">
        <f t="shared" ca="1" si="235"/>
        <v>0</v>
      </c>
      <c r="AF334" s="50">
        <f t="shared" ca="1" si="235"/>
        <v>0</v>
      </c>
      <c r="AG334" s="50">
        <f t="shared" ca="1" si="235"/>
        <v>0</v>
      </c>
      <c r="AH334" s="50">
        <f t="shared" ref="S334:AU336" ca="1" si="236">IF(OR(AH$99&lt;InServiceYr,AH$99&gt;(InServiceYr+analysis_period-1)),0,IF($P334=0,$N334,$P334)*(1+$D334)^(AH$99-CostBaseYr))</f>
        <v>0</v>
      </c>
      <c r="AI334" s="50">
        <f t="shared" ca="1" si="236"/>
        <v>0</v>
      </c>
      <c r="AJ334" s="50">
        <f t="shared" ca="1" si="236"/>
        <v>0</v>
      </c>
      <c r="AK334" s="50">
        <f t="shared" ca="1" si="236"/>
        <v>0</v>
      </c>
      <c r="AL334" s="50">
        <f t="shared" si="236"/>
        <v>0</v>
      </c>
      <c r="AM334" s="50">
        <f t="shared" si="236"/>
        <v>0</v>
      </c>
      <c r="AN334" s="50">
        <f t="shared" si="236"/>
        <v>0</v>
      </c>
      <c r="AO334" s="50">
        <f t="shared" si="236"/>
        <v>0</v>
      </c>
      <c r="AP334" s="50">
        <f t="shared" si="236"/>
        <v>0</v>
      </c>
      <c r="AQ334" s="50">
        <f t="shared" si="236"/>
        <v>0</v>
      </c>
      <c r="AR334" s="50">
        <f t="shared" si="236"/>
        <v>0</v>
      </c>
      <c r="AS334" s="50">
        <f t="shared" si="236"/>
        <v>0</v>
      </c>
      <c r="AT334" s="50">
        <f t="shared" si="236"/>
        <v>0</v>
      </c>
      <c r="AU334" s="50">
        <f t="shared" si="236"/>
        <v>0</v>
      </c>
    </row>
    <row r="335" spans="1:47">
      <c r="A335" s="38" t="str">
        <f t="shared" si="233"/>
        <v>Custom-</v>
      </c>
      <c r="B335" s="38" t="s">
        <v>263</v>
      </c>
      <c r="C335" s="38" t="str">
        <f t="shared" ref="C335:C339" si="237">C334</f>
        <v>Gas Cleaning</v>
      </c>
      <c r="D335" s="186">
        <f>OMEsc</f>
        <v>0.02</v>
      </c>
      <c r="E335" s="325"/>
      <c r="G335" s="36" t="s">
        <v>127</v>
      </c>
      <c r="I335" s="39"/>
      <c r="K335" s="39"/>
      <c r="L335" s="43" t="str">
        <f>"["&amp;CostBaseYr&amp;" $]"</f>
        <v>[2013 $]</v>
      </c>
      <c r="N335" s="70">
        <f ca="1">IF(VLOOKUP($C335,$G$69:$J$87,4,FALSE)="Off",0,SUMIFS(OFFSET(Assumptions!$I$90,0,MATCH($A335,Configurations,0)-1,COUNT(Assumptions!$A$90:$A$183),1),Assumptions!$D$90:$D$183,$B335&amp;$C335))</f>
        <v>0</v>
      </c>
      <c r="O335" s="313"/>
      <c r="P335" s="323"/>
      <c r="Q335" s="313"/>
      <c r="R335" s="50">
        <f t="shared" ca="1" si="235"/>
        <v>0</v>
      </c>
      <c r="S335" s="50">
        <f t="shared" ca="1" si="236"/>
        <v>0</v>
      </c>
      <c r="T335" s="50">
        <f t="shared" ca="1" si="236"/>
        <v>0</v>
      </c>
      <c r="U335" s="50">
        <f t="shared" ca="1" si="236"/>
        <v>0</v>
      </c>
      <c r="V335" s="50">
        <f t="shared" ca="1" si="236"/>
        <v>0</v>
      </c>
      <c r="W335" s="50">
        <f t="shared" ca="1" si="236"/>
        <v>0</v>
      </c>
      <c r="X335" s="50">
        <f t="shared" ca="1" si="236"/>
        <v>0</v>
      </c>
      <c r="Y335" s="50">
        <f t="shared" ca="1" si="236"/>
        <v>0</v>
      </c>
      <c r="Z335" s="50">
        <f t="shared" ca="1" si="236"/>
        <v>0</v>
      </c>
      <c r="AA335" s="50">
        <f t="shared" ca="1" si="236"/>
        <v>0</v>
      </c>
      <c r="AB335" s="50">
        <f t="shared" ca="1" si="236"/>
        <v>0</v>
      </c>
      <c r="AC335" s="50">
        <f t="shared" ca="1" si="236"/>
        <v>0</v>
      </c>
      <c r="AD335" s="50">
        <f t="shared" ca="1" si="236"/>
        <v>0</v>
      </c>
      <c r="AE335" s="50">
        <f t="shared" ca="1" si="236"/>
        <v>0</v>
      </c>
      <c r="AF335" s="50">
        <f t="shared" ca="1" si="236"/>
        <v>0</v>
      </c>
      <c r="AG335" s="50">
        <f t="shared" ca="1" si="236"/>
        <v>0</v>
      </c>
      <c r="AH335" s="50">
        <f t="shared" ca="1" si="236"/>
        <v>0</v>
      </c>
      <c r="AI335" s="50">
        <f t="shared" ca="1" si="236"/>
        <v>0</v>
      </c>
      <c r="AJ335" s="50">
        <f t="shared" ca="1" si="236"/>
        <v>0</v>
      </c>
      <c r="AK335" s="50">
        <f t="shared" ca="1" si="236"/>
        <v>0</v>
      </c>
      <c r="AL335" s="50">
        <f t="shared" si="236"/>
        <v>0</v>
      </c>
      <c r="AM335" s="50">
        <f t="shared" si="236"/>
        <v>0</v>
      </c>
      <c r="AN335" s="50">
        <f t="shared" si="236"/>
        <v>0</v>
      </c>
      <c r="AO335" s="50">
        <f t="shared" si="236"/>
        <v>0</v>
      </c>
      <c r="AP335" s="50">
        <f t="shared" si="236"/>
        <v>0</v>
      </c>
      <c r="AQ335" s="50">
        <f t="shared" si="236"/>
        <v>0</v>
      </c>
      <c r="AR335" s="50">
        <f t="shared" si="236"/>
        <v>0</v>
      </c>
      <c r="AS335" s="50">
        <f t="shared" si="236"/>
        <v>0</v>
      </c>
      <c r="AT335" s="50">
        <f t="shared" si="236"/>
        <v>0</v>
      </c>
      <c r="AU335" s="50">
        <f t="shared" si="236"/>
        <v>0</v>
      </c>
    </row>
    <row r="336" spans="1:47">
      <c r="A336" s="38" t="str">
        <f t="shared" si="233"/>
        <v>Custom-</v>
      </c>
      <c r="B336" s="38" t="s">
        <v>277</v>
      </c>
      <c r="C336" s="38" t="str">
        <f t="shared" si="237"/>
        <v>Gas Cleaning</v>
      </c>
      <c r="D336" s="186">
        <f>OMEsc</f>
        <v>0.02</v>
      </c>
      <c r="E336" s="325"/>
      <c r="G336" s="36" t="s">
        <v>276</v>
      </c>
      <c r="I336" s="39"/>
      <c r="K336" s="39"/>
      <c r="L336" s="43" t="str">
        <f>"["&amp;CostBaseYr&amp;" $]"</f>
        <v>[2013 $]</v>
      </c>
      <c r="N336" s="70">
        <f ca="1">IF(VLOOKUP($C336,$G$69:$J$87,4,FALSE)="Off",0,SUMIFS(OFFSET(Assumptions!$I$90,0,MATCH($A336,Configurations,0)-1,COUNT(Assumptions!$A$90:$A$183),1),Assumptions!$D$90:$D$183,$B336&amp;$C336))</f>
        <v>0</v>
      </c>
      <c r="O336" s="313"/>
      <c r="P336" s="323"/>
      <c r="Q336" s="313"/>
      <c r="R336" s="50">
        <f t="shared" ca="1" si="235"/>
        <v>0</v>
      </c>
      <c r="S336" s="50">
        <f t="shared" ca="1" si="236"/>
        <v>0</v>
      </c>
      <c r="T336" s="50">
        <f t="shared" ca="1" si="236"/>
        <v>0</v>
      </c>
      <c r="U336" s="50">
        <f t="shared" ca="1" si="236"/>
        <v>0</v>
      </c>
      <c r="V336" s="50">
        <f t="shared" ca="1" si="236"/>
        <v>0</v>
      </c>
      <c r="W336" s="50">
        <f t="shared" ca="1" si="236"/>
        <v>0</v>
      </c>
      <c r="X336" s="50">
        <f t="shared" ca="1" si="236"/>
        <v>0</v>
      </c>
      <c r="Y336" s="50">
        <f t="shared" ca="1" si="236"/>
        <v>0</v>
      </c>
      <c r="Z336" s="50">
        <f t="shared" ca="1" si="236"/>
        <v>0</v>
      </c>
      <c r="AA336" s="50">
        <f t="shared" ca="1" si="236"/>
        <v>0</v>
      </c>
      <c r="AB336" s="50">
        <f t="shared" ca="1" si="236"/>
        <v>0</v>
      </c>
      <c r="AC336" s="50">
        <f t="shared" ca="1" si="236"/>
        <v>0</v>
      </c>
      <c r="AD336" s="50">
        <f t="shared" ca="1" si="236"/>
        <v>0</v>
      </c>
      <c r="AE336" s="50">
        <f t="shared" ca="1" si="236"/>
        <v>0</v>
      </c>
      <c r="AF336" s="50">
        <f t="shared" ca="1" si="236"/>
        <v>0</v>
      </c>
      <c r="AG336" s="50">
        <f t="shared" ca="1" si="236"/>
        <v>0</v>
      </c>
      <c r="AH336" s="50">
        <f t="shared" ca="1" si="236"/>
        <v>0</v>
      </c>
      <c r="AI336" s="50">
        <f t="shared" ca="1" si="236"/>
        <v>0</v>
      </c>
      <c r="AJ336" s="50">
        <f t="shared" ca="1" si="236"/>
        <v>0</v>
      </c>
      <c r="AK336" s="50">
        <f t="shared" ca="1" si="236"/>
        <v>0</v>
      </c>
      <c r="AL336" s="50">
        <f t="shared" si="236"/>
        <v>0</v>
      </c>
      <c r="AM336" s="50">
        <f t="shared" si="236"/>
        <v>0</v>
      </c>
      <c r="AN336" s="50">
        <f t="shared" si="236"/>
        <v>0</v>
      </c>
      <c r="AO336" s="50">
        <f t="shared" si="236"/>
        <v>0</v>
      </c>
      <c r="AP336" s="50">
        <f t="shared" si="236"/>
        <v>0</v>
      </c>
      <c r="AQ336" s="50">
        <f t="shared" si="236"/>
        <v>0</v>
      </c>
      <c r="AR336" s="50">
        <f t="shared" si="236"/>
        <v>0</v>
      </c>
      <c r="AS336" s="50">
        <f t="shared" si="236"/>
        <v>0</v>
      </c>
      <c r="AT336" s="50">
        <f t="shared" si="236"/>
        <v>0</v>
      </c>
      <c r="AU336" s="50">
        <f t="shared" si="236"/>
        <v>0</v>
      </c>
    </row>
    <row r="337" spans="1:47">
      <c r="A337" s="38" t="str">
        <f t="shared" si="233"/>
        <v>Custom-</v>
      </c>
      <c r="B337" s="38" t="s">
        <v>274</v>
      </c>
      <c r="C337" s="38" t="str">
        <f t="shared" si="237"/>
        <v>Gas Cleaning</v>
      </c>
      <c r="D337" s="186"/>
      <c r="E337" s="325"/>
      <c r="G337" s="36" t="s">
        <v>16</v>
      </c>
      <c r="I337" s="39"/>
      <c r="K337" s="39"/>
      <c r="L337" s="43" t="s">
        <v>275</v>
      </c>
      <c r="N337" s="70">
        <f ca="1">IF(VLOOKUP($C337,$G$69:$J$87,4,FALSE)="Off",0,SUMIFS(OFFSET(Assumptions!$I$90,0,MATCH($A337,Configurations,0)-1,COUNT(Assumptions!$A$90:$A$183),1),Assumptions!$D$90:$D$183,$B337&amp;$C337))</f>
        <v>0</v>
      </c>
      <c r="O337" s="313"/>
      <c r="P337" s="323"/>
      <c r="Q337" s="313"/>
      <c r="R337" s="50">
        <f t="shared" ref="R337:AU337" ca="1" si="238">IF(OR(R$99&lt;InServiceYr,R$99&gt;(InServiceYr+analysis_period-1)),0,IF($P337=0,$N337,$P337)*R$505)</f>
        <v>0</v>
      </c>
      <c r="S337" s="50">
        <f t="shared" ca="1" si="238"/>
        <v>0</v>
      </c>
      <c r="T337" s="50">
        <f t="shared" ca="1" si="238"/>
        <v>0</v>
      </c>
      <c r="U337" s="50">
        <f t="shared" ca="1" si="238"/>
        <v>0</v>
      </c>
      <c r="V337" s="50">
        <f t="shared" ca="1" si="238"/>
        <v>0</v>
      </c>
      <c r="W337" s="50">
        <f t="shared" ca="1" si="238"/>
        <v>0</v>
      </c>
      <c r="X337" s="50">
        <f t="shared" ca="1" si="238"/>
        <v>0</v>
      </c>
      <c r="Y337" s="50">
        <f t="shared" ca="1" si="238"/>
        <v>0</v>
      </c>
      <c r="Z337" s="50">
        <f t="shared" ca="1" si="238"/>
        <v>0</v>
      </c>
      <c r="AA337" s="50">
        <f t="shared" ca="1" si="238"/>
        <v>0</v>
      </c>
      <c r="AB337" s="50">
        <f t="shared" ca="1" si="238"/>
        <v>0</v>
      </c>
      <c r="AC337" s="50">
        <f t="shared" ca="1" si="238"/>
        <v>0</v>
      </c>
      <c r="AD337" s="50">
        <f t="shared" ca="1" si="238"/>
        <v>0</v>
      </c>
      <c r="AE337" s="50">
        <f t="shared" ca="1" si="238"/>
        <v>0</v>
      </c>
      <c r="AF337" s="50">
        <f t="shared" ca="1" si="238"/>
        <v>0</v>
      </c>
      <c r="AG337" s="50">
        <f t="shared" ca="1" si="238"/>
        <v>0</v>
      </c>
      <c r="AH337" s="50">
        <f t="shared" ca="1" si="238"/>
        <v>0</v>
      </c>
      <c r="AI337" s="50">
        <f t="shared" ca="1" si="238"/>
        <v>0</v>
      </c>
      <c r="AJ337" s="50">
        <f t="shared" ca="1" si="238"/>
        <v>0</v>
      </c>
      <c r="AK337" s="50">
        <f t="shared" ca="1" si="238"/>
        <v>0</v>
      </c>
      <c r="AL337" s="50">
        <f t="shared" si="238"/>
        <v>0</v>
      </c>
      <c r="AM337" s="50">
        <f t="shared" si="238"/>
        <v>0</v>
      </c>
      <c r="AN337" s="50">
        <f t="shared" si="238"/>
        <v>0</v>
      </c>
      <c r="AO337" s="50">
        <f t="shared" si="238"/>
        <v>0</v>
      </c>
      <c r="AP337" s="50">
        <f t="shared" si="238"/>
        <v>0</v>
      </c>
      <c r="AQ337" s="50">
        <f t="shared" si="238"/>
        <v>0</v>
      </c>
      <c r="AR337" s="50">
        <f t="shared" si="238"/>
        <v>0</v>
      </c>
      <c r="AS337" s="50">
        <f t="shared" si="238"/>
        <v>0</v>
      </c>
      <c r="AT337" s="50">
        <f t="shared" si="238"/>
        <v>0</v>
      </c>
      <c r="AU337" s="50">
        <f t="shared" si="238"/>
        <v>0</v>
      </c>
    </row>
    <row r="338" spans="1:47">
      <c r="A338" s="38" t="str">
        <f t="shared" si="233"/>
        <v>Custom-</v>
      </c>
      <c r="B338" s="38" t="s">
        <v>257</v>
      </c>
      <c r="C338" s="38" t="str">
        <f t="shared" si="237"/>
        <v>Gas Cleaning</v>
      </c>
      <c r="D338" s="186"/>
      <c r="E338" s="325"/>
      <c r="G338" s="36" t="s">
        <v>284</v>
      </c>
      <c r="I338" s="39"/>
      <c r="K338" s="39"/>
      <c r="L338" s="43" t="s">
        <v>293</v>
      </c>
      <c r="N338" s="70">
        <f ca="1">IF(VLOOKUP($C338,$G$69:$J$87,4,FALSE)="Off",0,SUMIFS(OFFSET(Assumptions!$I$90,0,MATCH($A338,Configurations,0)-1,COUNT(Assumptions!$A$90:$A$183),1),Assumptions!$D$90:$D$183,$B338&amp;$C338))</f>
        <v>0</v>
      </c>
      <c r="O338" s="313"/>
      <c r="P338" s="323"/>
      <c r="Q338" s="313"/>
      <c r="R338" s="50">
        <f t="shared" ref="R338:AU338" ca="1" si="239">IF(OR(R$99&lt;InServiceYr,R$99&gt;(InServiceYr+analysis_period-1)),0,IF($P338=0,$N338,$P338)*R$501)</f>
        <v>0</v>
      </c>
      <c r="S338" s="50">
        <f t="shared" ca="1" si="239"/>
        <v>0</v>
      </c>
      <c r="T338" s="50">
        <f t="shared" ca="1" si="239"/>
        <v>0</v>
      </c>
      <c r="U338" s="50">
        <f t="shared" ca="1" si="239"/>
        <v>0</v>
      </c>
      <c r="V338" s="50">
        <f t="shared" ca="1" si="239"/>
        <v>0</v>
      </c>
      <c r="W338" s="50">
        <f t="shared" ca="1" si="239"/>
        <v>0</v>
      </c>
      <c r="X338" s="50">
        <f t="shared" ca="1" si="239"/>
        <v>0</v>
      </c>
      <c r="Y338" s="50">
        <f t="shared" ca="1" si="239"/>
        <v>0</v>
      </c>
      <c r="Z338" s="50">
        <f t="shared" ca="1" si="239"/>
        <v>0</v>
      </c>
      <c r="AA338" s="50">
        <f t="shared" ca="1" si="239"/>
        <v>0</v>
      </c>
      <c r="AB338" s="50">
        <f t="shared" ca="1" si="239"/>
        <v>0</v>
      </c>
      <c r="AC338" s="50">
        <f t="shared" ca="1" si="239"/>
        <v>0</v>
      </c>
      <c r="AD338" s="50">
        <f t="shared" ca="1" si="239"/>
        <v>0</v>
      </c>
      <c r="AE338" s="50">
        <f t="shared" ca="1" si="239"/>
        <v>0</v>
      </c>
      <c r="AF338" s="50">
        <f t="shared" ca="1" si="239"/>
        <v>0</v>
      </c>
      <c r="AG338" s="50">
        <f t="shared" ca="1" si="239"/>
        <v>0</v>
      </c>
      <c r="AH338" s="50">
        <f t="shared" ca="1" si="239"/>
        <v>0</v>
      </c>
      <c r="AI338" s="50">
        <f t="shared" ca="1" si="239"/>
        <v>0</v>
      </c>
      <c r="AJ338" s="50">
        <f t="shared" ca="1" si="239"/>
        <v>0</v>
      </c>
      <c r="AK338" s="50">
        <f t="shared" ca="1" si="239"/>
        <v>0</v>
      </c>
      <c r="AL338" s="50">
        <f t="shared" si="239"/>
        <v>0</v>
      </c>
      <c r="AM338" s="50">
        <f t="shared" si="239"/>
        <v>0</v>
      </c>
      <c r="AN338" s="50">
        <f t="shared" si="239"/>
        <v>0</v>
      </c>
      <c r="AO338" s="50">
        <f t="shared" si="239"/>
        <v>0</v>
      </c>
      <c r="AP338" s="50">
        <f t="shared" si="239"/>
        <v>0</v>
      </c>
      <c r="AQ338" s="50">
        <f t="shared" si="239"/>
        <v>0</v>
      </c>
      <c r="AR338" s="50">
        <f t="shared" si="239"/>
        <v>0</v>
      </c>
      <c r="AS338" s="50">
        <f t="shared" si="239"/>
        <v>0</v>
      </c>
      <c r="AT338" s="50">
        <f t="shared" si="239"/>
        <v>0</v>
      </c>
      <c r="AU338" s="50">
        <f t="shared" si="239"/>
        <v>0</v>
      </c>
    </row>
    <row r="339" spans="1:47">
      <c r="A339" s="38" t="str">
        <f t="shared" si="233"/>
        <v>Custom-</v>
      </c>
      <c r="B339" s="38" t="s">
        <v>864</v>
      </c>
      <c r="C339" s="38" t="str">
        <f t="shared" si="237"/>
        <v>Gas Cleaning</v>
      </c>
      <c r="D339" s="186">
        <f>GHGEsc</f>
        <v>0.02</v>
      </c>
      <c r="E339" s="325"/>
      <c r="G339" s="36" t="s">
        <v>865</v>
      </c>
      <c r="I339" s="39"/>
      <c r="K339" s="39"/>
      <c r="L339" s="43" t="s">
        <v>866</v>
      </c>
      <c r="N339" s="70">
        <f ca="1">IF(VLOOKUP($C339,$G$69:$J$87,4,FALSE)="Off",0,SUMIFS(OFFSET(Assumptions!$I$90,0,MATCH($A339,Configurations,0)-1,COUNT(Assumptions!$A$90:$A$183),1),Assumptions!$D$90:$D$183,$B339&amp;$C339))</f>
        <v>0</v>
      </c>
      <c r="O339" s="313"/>
      <c r="P339" s="323"/>
      <c r="Q339" s="313"/>
      <c r="R339" s="50">
        <f t="shared" ref="R339:AU339" ca="1" si="240">IF(OR(R$99&lt;InServiceYr,R$99&gt;(InServiceYr+analysis_period-1)),0,IF($P339=0,$N339,$P339)*R$513)</f>
        <v>0</v>
      </c>
      <c r="S339" s="50">
        <f t="shared" ca="1" si="240"/>
        <v>0</v>
      </c>
      <c r="T339" s="50">
        <f t="shared" ca="1" si="240"/>
        <v>0</v>
      </c>
      <c r="U339" s="50">
        <f t="shared" ca="1" si="240"/>
        <v>0</v>
      </c>
      <c r="V339" s="50">
        <f t="shared" ca="1" si="240"/>
        <v>0</v>
      </c>
      <c r="W339" s="50">
        <f t="shared" ca="1" si="240"/>
        <v>0</v>
      </c>
      <c r="X339" s="50">
        <f t="shared" ca="1" si="240"/>
        <v>0</v>
      </c>
      <c r="Y339" s="50">
        <f t="shared" ca="1" si="240"/>
        <v>0</v>
      </c>
      <c r="Z339" s="50">
        <f t="shared" ca="1" si="240"/>
        <v>0</v>
      </c>
      <c r="AA339" s="50">
        <f t="shared" ca="1" si="240"/>
        <v>0</v>
      </c>
      <c r="AB339" s="50">
        <f t="shared" ca="1" si="240"/>
        <v>0</v>
      </c>
      <c r="AC339" s="50">
        <f t="shared" ca="1" si="240"/>
        <v>0</v>
      </c>
      <c r="AD339" s="50">
        <f t="shared" ca="1" si="240"/>
        <v>0</v>
      </c>
      <c r="AE339" s="50">
        <f t="shared" ca="1" si="240"/>
        <v>0</v>
      </c>
      <c r="AF339" s="50">
        <f t="shared" ca="1" si="240"/>
        <v>0</v>
      </c>
      <c r="AG339" s="50">
        <f t="shared" ca="1" si="240"/>
        <v>0</v>
      </c>
      <c r="AH339" s="50">
        <f t="shared" ca="1" si="240"/>
        <v>0</v>
      </c>
      <c r="AI339" s="50">
        <f t="shared" ca="1" si="240"/>
        <v>0</v>
      </c>
      <c r="AJ339" s="50">
        <f t="shared" ca="1" si="240"/>
        <v>0</v>
      </c>
      <c r="AK339" s="50">
        <f t="shared" ca="1" si="240"/>
        <v>0</v>
      </c>
      <c r="AL339" s="50">
        <f t="shared" si="240"/>
        <v>0</v>
      </c>
      <c r="AM339" s="50">
        <f t="shared" si="240"/>
        <v>0</v>
      </c>
      <c r="AN339" s="50">
        <f t="shared" si="240"/>
        <v>0</v>
      </c>
      <c r="AO339" s="50">
        <f t="shared" si="240"/>
        <v>0</v>
      </c>
      <c r="AP339" s="50">
        <f t="shared" si="240"/>
        <v>0</v>
      </c>
      <c r="AQ339" s="50">
        <f t="shared" si="240"/>
        <v>0</v>
      </c>
      <c r="AR339" s="50">
        <f t="shared" si="240"/>
        <v>0</v>
      </c>
      <c r="AS339" s="50">
        <f t="shared" si="240"/>
        <v>0</v>
      </c>
      <c r="AT339" s="50">
        <f t="shared" si="240"/>
        <v>0</v>
      </c>
      <c r="AU339" s="50">
        <f t="shared" si="240"/>
        <v>0</v>
      </c>
    </row>
    <row r="340" spans="1:47">
      <c r="A340" s="38" t="str">
        <f t="shared" si="233"/>
        <v>Custom-</v>
      </c>
      <c r="B340" s="38" t="s">
        <v>273</v>
      </c>
      <c r="C340" s="38" t="str">
        <f>C338</f>
        <v>Gas Cleaning</v>
      </c>
      <c r="D340" s="186">
        <f>LaborEsc</f>
        <v>0.02</v>
      </c>
      <c r="E340" s="325"/>
      <c r="G340" s="36" t="s">
        <v>291</v>
      </c>
      <c r="I340" s="39"/>
      <c r="K340" s="39"/>
      <c r="L340" s="43" t="str">
        <f>"["&amp;CostBaseYr&amp;" $]"</f>
        <v>[2013 $]</v>
      </c>
      <c r="N340" s="70">
        <f ca="1">IF(VLOOKUP($C340,$G$69:$J$87,4,FALSE)="Off",0,SUMIFS(OFFSET(Assumptions!$I$90,0,MATCH($A340,Configurations,0)-1,COUNT(Assumptions!$A$90:$A$183),1),Assumptions!$D$90:$D$183,$B340&amp;$C340))</f>
        <v>0</v>
      </c>
      <c r="O340" s="313"/>
      <c r="P340" s="323"/>
      <c r="Q340" s="313"/>
      <c r="R340" s="50">
        <f t="shared" ref="R340:AU340" ca="1" si="241">IF(OR(R$99&lt;InServiceYr,R$99&gt;(InServiceYr+analysis_period-1)),0,IF($P340=0,$N340,$P340)*(1+$D340)^(R$99-CostBaseYr))*R$509</f>
        <v>0</v>
      </c>
      <c r="S340" s="50">
        <f t="shared" ca="1" si="241"/>
        <v>0</v>
      </c>
      <c r="T340" s="50">
        <f t="shared" ca="1" si="241"/>
        <v>0</v>
      </c>
      <c r="U340" s="50">
        <f t="shared" ca="1" si="241"/>
        <v>0</v>
      </c>
      <c r="V340" s="50">
        <f t="shared" ca="1" si="241"/>
        <v>0</v>
      </c>
      <c r="W340" s="50">
        <f t="shared" ca="1" si="241"/>
        <v>0</v>
      </c>
      <c r="X340" s="50">
        <f t="shared" ca="1" si="241"/>
        <v>0</v>
      </c>
      <c r="Y340" s="50">
        <f t="shared" ca="1" si="241"/>
        <v>0</v>
      </c>
      <c r="Z340" s="50">
        <f t="shared" ca="1" si="241"/>
        <v>0</v>
      </c>
      <c r="AA340" s="50">
        <f t="shared" ca="1" si="241"/>
        <v>0</v>
      </c>
      <c r="AB340" s="50">
        <f t="shared" ca="1" si="241"/>
        <v>0</v>
      </c>
      <c r="AC340" s="50">
        <f t="shared" ca="1" si="241"/>
        <v>0</v>
      </c>
      <c r="AD340" s="50">
        <f t="shared" ca="1" si="241"/>
        <v>0</v>
      </c>
      <c r="AE340" s="50">
        <f t="shared" ca="1" si="241"/>
        <v>0</v>
      </c>
      <c r="AF340" s="50">
        <f t="shared" ca="1" si="241"/>
        <v>0</v>
      </c>
      <c r="AG340" s="50">
        <f t="shared" ca="1" si="241"/>
        <v>0</v>
      </c>
      <c r="AH340" s="50">
        <f t="shared" ca="1" si="241"/>
        <v>0</v>
      </c>
      <c r="AI340" s="50">
        <f t="shared" ca="1" si="241"/>
        <v>0</v>
      </c>
      <c r="AJ340" s="50">
        <f t="shared" ca="1" si="241"/>
        <v>0</v>
      </c>
      <c r="AK340" s="50">
        <f t="shared" ca="1" si="241"/>
        <v>0</v>
      </c>
      <c r="AL340" s="50">
        <f t="shared" si="241"/>
        <v>0</v>
      </c>
      <c r="AM340" s="50">
        <f t="shared" si="241"/>
        <v>0</v>
      </c>
      <c r="AN340" s="50">
        <f t="shared" si="241"/>
        <v>0</v>
      </c>
      <c r="AO340" s="50">
        <f t="shared" si="241"/>
        <v>0</v>
      </c>
      <c r="AP340" s="50">
        <f t="shared" si="241"/>
        <v>0</v>
      </c>
      <c r="AQ340" s="50">
        <f t="shared" si="241"/>
        <v>0</v>
      </c>
      <c r="AR340" s="50">
        <f t="shared" si="241"/>
        <v>0</v>
      </c>
      <c r="AS340" s="50">
        <f t="shared" si="241"/>
        <v>0</v>
      </c>
      <c r="AT340" s="50">
        <f t="shared" si="241"/>
        <v>0</v>
      </c>
      <c r="AU340" s="50">
        <f t="shared" si="241"/>
        <v>0</v>
      </c>
    </row>
    <row r="341" spans="1:47">
      <c r="D341" s="186"/>
      <c r="E341" s="325"/>
      <c r="G341" s="39" t="s">
        <v>304</v>
      </c>
      <c r="I341" s="39"/>
      <c r="K341" s="39"/>
      <c r="L341" s="43"/>
      <c r="N341" s="70"/>
      <c r="O341" s="313"/>
      <c r="P341" s="70"/>
      <c r="Q341" s="313"/>
      <c r="R341" s="50"/>
      <c r="S341" s="50"/>
      <c r="T341" s="50"/>
      <c r="U341" s="50"/>
      <c r="V341" s="50"/>
      <c r="W341" s="50"/>
      <c r="X341" s="50"/>
      <c r="Y341" s="50"/>
      <c r="Z341" s="50"/>
      <c r="AA341" s="50"/>
      <c r="AB341" s="50"/>
      <c r="AC341" s="50"/>
      <c r="AD341" s="50"/>
      <c r="AE341" s="50"/>
      <c r="AF341" s="50"/>
      <c r="AG341" s="50"/>
      <c r="AH341" s="50"/>
      <c r="AI341" s="50"/>
      <c r="AJ341" s="50"/>
      <c r="AK341" s="50"/>
      <c r="AL341" s="50"/>
      <c r="AM341" s="50"/>
      <c r="AN341" s="50"/>
      <c r="AO341" s="50"/>
      <c r="AP341" s="50"/>
      <c r="AQ341" s="50"/>
      <c r="AR341" s="50"/>
      <c r="AS341" s="50"/>
      <c r="AT341" s="50"/>
      <c r="AU341" s="50"/>
    </row>
    <row r="342" spans="1:47">
      <c r="A342" s="38" t="str">
        <f>$J$4&amp;"-"</f>
        <v>Custom-</v>
      </c>
      <c r="B342" s="38" t="s">
        <v>265</v>
      </c>
      <c r="C342" s="38" t="str">
        <f>C333</f>
        <v>Gas Cleaning</v>
      </c>
      <c r="D342" s="186"/>
      <c r="E342" s="325"/>
      <c r="G342" s="36" t="s">
        <v>108</v>
      </c>
      <c r="I342" s="39"/>
      <c r="K342" s="39"/>
      <c r="L342" s="43" t="s">
        <v>293</v>
      </c>
      <c r="N342" s="70">
        <f ca="1">IF(VLOOKUP($C342,$G$69:$J$87,4,FALSE)="Off",0,SUMIFS(OFFSET(Assumptions!$I$90,0,MATCH($A342,Configurations,0)-1,COUNT(Assumptions!$A$90:$A$183),1),Assumptions!$D$90:$D$183,$B342&amp;$C342))</f>
        <v>0</v>
      </c>
      <c r="O342" s="313"/>
      <c r="P342" s="323"/>
      <c r="Q342" s="313"/>
      <c r="R342" s="50">
        <f t="shared" ref="R342:AU342" ca="1" si="242">IF(OR(R$99&lt;InServiceYr,R$99&gt;(InServiceYr+analysis_period-1)),0,IF($P342=0,$N342,$P342)*R$501)</f>
        <v>0</v>
      </c>
      <c r="S342" s="50">
        <f t="shared" ca="1" si="242"/>
        <v>0</v>
      </c>
      <c r="T342" s="50">
        <f t="shared" ca="1" si="242"/>
        <v>0</v>
      </c>
      <c r="U342" s="50">
        <f t="shared" ca="1" si="242"/>
        <v>0</v>
      </c>
      <c r="V342" s="50">
        <f t="shared" ca="1" si="242"/>
        <v>0</v>
      </c>
      <c r="W342" s="50">
        <f t="shared" ca="1" si="242"/>
        <v>0</v>
      </c>
      <c r="X342" s="50">
        <f t="shared" ca="1" si="242"/>
        <v>0</v>
      </c>
      <c r="Y342" s="50">
        <f t="shared" ca="1" si="242"/>
        <v>0</v>
      </c>
      <c r="Z342" s="50">
        <f t="shared" ca="1" si="242"/>
        <v>0</v>
      </c>
      <c r="AA342" s="50">
        <f t="shared" ca="1" si="242"/>
        <v>0</v>
      </c>
      <c r="AB342" s="50">
        <f t="shared" ca="1" si="242"/>
        <v>0</v>
      </c>
      <c r="AC342" s="50">
        <f t="shared" ca="1" si="242"/>
        <v>0</v>
      </c>
      <c r="AD342" s="50">
        <f t="shared" ca="1" si="242"/>
        <v>0</v>
      </c>
      <c r="AE342" s="50">
        <f t="shared" ca="1" si="242"/>
        <v>0</v>
      </c>
      <c r="AF342" s="50">
        <f t="shared" ca="1" si="242"/>
        <v>0</v>
      </c>
      <c r="AG342" s="50">
        <f t="shared" ca="1" si="242"/>
        <v>0</v>
      </c>
      <c r="AH342" s="50">
        <f t="shared" ca="1" si="242"/>
        <v>0</v>
      </c>
      <c r="AI342" s="50">
        <f t="shared" ca="1" si="242"/>
        <v>0</v>
      </c>
      <c r="AJ342" s="50">
        <f t="shared" ca="1" si="242"/>
        <v>0</v>
      </c>
      <c r="AK342" s="50">
        <f t="shared" ca="1" si="242"/>
        <v>0</v>
      </c>
      <c r="AL342" s="50">
        <f t="shared" si="242"/>
        <v>0</v>
      </c>
      <c r="AM342" s="50">
        <f t="shared" si="242"/>
        <v>0</v>
      </c>
      <c r="AN342" s="50">
        <f t="shared" si="242"/>
        <v>0</v>
      </c>
      <c r="AO342" s="50">
        <f t="shared" si="242"/>
        <v>0</v>
      </c>
      <c r="AP342" s="50">
        <f t="shared" si="242"/>
        <v>0</v>
      </c>
      <c r="AQ342" s="50">
        <f t="shared" si="242"/>
        <v>0</v>
      </c>
      <c r="AR342" s="50">
        <f t="shared" si="242"/>
        <v>0</v>
      </c>
      <c r="AS342" s="50">
        <f t="shared" si="242"/>
        <v>0</v>
      </c>
      <c r="AT342" s="50">
        <f t="shared" si="242"/>
        <v>0</v>
      </c>
      <c r="AU342" s="50">
        <f t="shared" si="242"/>
        <v>0</v>
      </c>
    </row>
    <row r="343" spans="1:47">
      <c r="A343" s="38" t="str">
        <f>$J$4&amp;"-"</f>
        <v>Custom-</v>
      </c>
      <c r="B343" s="38" t="s">
        <v>289</v>
      </c>
      <c r="C343" s="38" t="str">
        <f>C333</f>
        <v>Gas Cleaning</v>
      </c>
      <c r="D343" s="186">
        <f>LaborEsc</f>
        <v>0.02</v>
      </c>
      <c r="E343" s="325"/>
      <c r="G343" s="36" t="s">
        <v>292</v>
      </c>
      <c r="I343" s="39"/>
      <c r="K343" s="39"/>
      <c r="L343" s="43" t="str">
        <f>"["&amp;CostBaseYr&amp;" $]"</f>
        <v>[2013 $]</v>
      </c>
      <c r="N343" s="70">
        <f ca="1">IF(VLOOKUP($C343,$G$69:$J$87,4,FALSE)="Off",0,SUMIFS(OFFSET(Assumptions!$I$90,0,MATCH($A343,Configurations,0)-1,COUNT(Assumptions!$A$90:$A$183),1),Assumptions!$D$90:$D$183,$B343&amp;$C343))</f>
        <v>0</v>
      </c>
      <c r="O343" s="313"/>
      <c r="P343" s="323"/>
      <c r="Q343" s="313"/>
      <c r="R343" s="50">
        <f t="shared" ref="R343:AU343" ca="1" si="243">IF(OR(R$99&lt;InServiceYr,R$99&gt;(InServiceYr+analysis_period-1)),0,IF($P343=0,$N343,$P343)*(1+$D343)^(R$99-CostBaseYr))</f>
        <v>0</v>
      </c>
      <c r="S343" s="50">
        <f t="shared" ca="1" si="243"/>
        <v>0</v>
      </c>
      <c r="T343" s="50">
        <f t="shared" ca="1" si="243"/>
        <v>0</v>
      </c>
      <c r="U343" s="50">
        <f t="shared" ca="1" si="243"/>
        <v>0</v>
      </c>
      <c r="V343" s="50">
        <f t="shared" ca="1" si="243"/>
        <v>0</v>
      </c>
      <c r="W343" s="50">
        <f t="shared" ca="1" si="243"/>
        <v>0</v>
      </c>
      <c r="X343" s="50">
        <f t="shared" ca="1" si="243"/>
        <v>0</v>
      </c>
      <c r="Y343" s="50">
        <f t="shared" ca="1" si="243"/>
        <v>0</v>
      </c>
      <c r="Z343" s="50">
        <f t="shared" ca="1" si="243"/>
        <v>0</v>
      </c>
      <c r="AA343" s="50">
        <f t="shared" ca="1" si="243"/>
        <v>0</v>
      </c>
      <c r="AB343" s="50">
        <f t="shared" ca="1" si="243"/>
        <v>0</v>
      </c>
      <c r="AC343" s="50">
        <f t="shared" ca="1" si="243"/>
        <v>0</v>
      </c>
      <c r="AD343" s="50">
        <f t="shared" ca="1" si="243"/>
        <v>0</v>
      </c>
      <c r="AE343" s="50">
        <f t="shared" ca="1" si="243"/>
        <v>0</v>
      </c>
      <c r="AF343" s="50">
        <f t="shared" ca="1" si="243"/>
        <v>0</v>
      </c>
      <c r="AG343" s="50">
        <f t="shared" ca="1" si="243"/>
        <v>0</v>
      </c>
      <c r="AH343" s="50">
        <f t="shared" ca="1" si="243"/>
        <v>0</v>
      </c>
      <c r="AI343" s="50">
        <f t="shared" ca="1" si="243"/>
        <v>0</v>
      </c>
      <c r="AJ343" s="50">
        <f t="shared" ca="1" si="243"/>
        <v>0</v>
      </c>
      <c r="AK343" s="50">
        <f t="shared" ca="1" si="243"/>
        <v>0</v>
      </c>
      <c r="AL343" s="50">
        <f t="shared" si="243"/>
        <v>0</v>
      </c>
      <c r="AM343" s="50">
        <f t="shared" si="243"/>
        <v>0</v>
      </c>
      <c r="AN343" s="50">
        <f t="shared" si="243"/>
        <v>0</v>
      </c>
      <c r="AO343" s="50">
        <f t="shared" si="243"/>
        <v>0</v>
      </c>
      <c r="AP343" s="50">
        <f t="shared" si="243"/>
        <v>0</v>
      </c>
      <c r="AQ343" s="50">
        <f t="shared" si="243"/>
        <v>0</v>
      </c>
      <c r="AR343" s="50">
        <f t="shared" si="243"/>
        <v>0</v>
      </c>
      <c r="AS343" s="50">
        <f t="shared" si="243"/>
        <v>0</v>
      </c>
      <c r="AT343" s="50">
        <f t="shared" si="243"/>
        <v>0</v>
      </c>
      <c r="AU343" s="50">
        <f t="shared" si="243"/>
        <v>0</v>
      </c>
    </row>
    <row r="344" spans="1:47" s="60" customFormat="1">
      <c r="D344" s="187"/>
      <c r="E344" s="325"/>
      <c r="G344" s="39" t="s">
        <v>305</v>
      </c>
      <c r="I344" s="39"/>
      <c r="K344" s="39"/>
      <c r="L344" s="174"/>
      <c r="N344" s="188"/>
      <c r="O344" s="314"/>
      <c r="P344" s="185"/>
      <c r="Q344" s="314"/>
      <c r="R344" s="185">
        <f ca="1">SUM(R333:R340)-SUM(R342:R343)</f>
        <v>0</v>
      </c>
      <c r="S344" s="185">
        <f t="shared" ref="S344:AU344" ca="1" si="244">SUM(S333:S340)-SUM(S342:S343)</f>
        <v>0</v>
      </c>
      <c r="T344" s="185">
        <f t="shared" ca="1" si="244"/>
        <v>0</v>
      </c>
      <c r="U344" s="185">
        <f t="shared" ca="1" si="244"/>
        <v>0</v>
      </c>
      <c r="V344" s="185">
        <f t="shared" ca="1" si="244"/>
        <v>0</v>
      </c>
      <c r="W344" s="185">
        <f t="shared" ca="1" si="244"/>
        <v>0</v>
      </c>
      <c r="X344" s="185">
        <f t="shared" ca="1" si="244"/>
        <v>0</v>
      </c>
      <c r="Y344" s="185">
        <f t="shared" ca="1" si="244"/>
        <v>0</v>
      </c>
      <c r="Z344" s="185">
        <f t="shared" ca="1" si="244"/>
        <v>0</v>
      </c>
      <c r="AA344" s="185">
        <f t="shared" ca="1" si="244"/>
        <v>0</v>
      </c>
      <c r="AB344" s="185">
        <f t="shared" ca="1" si="244"/>
        <v>0</v>
      </c>
      <c r="AC344" s="185">
        <f t="shared" ca="1" si="244"/>
        <v>0</v>
      </c>
      <c r="AD344" s="185">
        <f t="shared" ca="1" si="244"/>
        <v>0</v>
      </c>
      <c r="AE344" s="185">
        <f t="shared" ca="1" si="244"/>
        <v>0</v>
      </c>
      <c r="AF344" s="185">
        <f t="shared" ca="1" si="244"/>
        <v>0</v>
      </c>
      <c r="AG344" s="185">
        <f t="shared" ca="1" si="244"/>
        <v>0</v>
      </c>
      <c r="AH344" s="185">
        <f t="shared" ca="1" si="244"/>
        <v>0</v>
      </c>
      <c r="AI344" s="185">
        <f t="shared" ca="1" si="244"/>
        <v>0</v>
      </c>
      <c r="AJ344" s="185">
        <f t="shared" ca="1" si="244"/>
        <v>0</v>
      </c>
      <c r="AK344" s="185">
        <f t="shared" ca="1" si="244"/>
        <v>0</v>
      </c>
      <c r="AL344" s="185">
        <f t="shared" si="244"/>
        <v>0</v>
      </c>
      <c r="AM344" s="185">
        <f t="shared" si="244"/>
        <v>0</v>
      </c>
      <c r="AN344" s="185">
        <f t="shared" si="244"/>
        <v>0</v>
      </c>
      <c r="AO344" s="185">
        <f t="shared" si="244"/>
        <v>0</v>
      </c>
      <c r="AP344" s="185">
        <f t="shared" si="244"/>
        <v>0</v>
      </c>
      <c r="AQ344" s="185">
        <f t="shared" si="244"/>
        <v>0</v>
      </c>
      <c r="AR344" s="185">
        <f t="shared" si="244"/>
        <v>0</v>
      </c>
      <c r="AS344" s="185">
        <f t="shared" si="244"/>
        <v>0</v>
      </c>
      <c r="AT344" s="185">
        <f t="shared" si="244"/>
        <v>0</v>
      </c>
      <c r="AU344" s="185">
        <f t="shared" si="244"/>
        <v>0</v>
      </c>
    </row>
    <row r="345" spans="1:47">
      <c r="E345" s="36"/>
      <c r="G345" s="39"/>
      <c r="H345" s="39"/>
      <c r="I345" s="39"/>
      <c r="J345" s="39"/>
      <c r="K345" s="39"/>
    </row>
    <row r="346" spans="1:47">
      <c r="E346" s="327"/>
      <c r="F346" s="28"/>
      <c r="G346" s="324" t="str">
        <f>C348&amp;" Capital Costs"</f>
        <v>Gravity Belt Thickener Capital Costs</v>
      </c>
      <c r="H346" s="324"/>
      <c r="I346" s="324"/>
      <c r="J346" s="324"/>
      <c r="K346" s="324"/>
      <c r="L346" s="405" t="s">
        <v>79</v>
      </c>
      <c r="M346" s="256"/>
      <c r="N346" s="325" t="s">
        <v>490</v>
      </c>
      <c r="O346" s="311"/>
      <c r="P346" s="325" t="s">
        <v>491</v>
      </c>
      <c r="Q346" s="310"/>
      <c r="R346" s="325">
        <f>R$8</f>
        <v>2014</v>
      </c>
      <c r="S346" s="325">
        <f t="shared" ref="S346:AU346" si="245">S$8</f>
        <v>2015</v>
      </c>
      <c r="T346" s="325">
        <f t="shared" si="245"/>
        <v>2016</v>
      </c>
      <c r="U346" s="325">
        <f t="shared" si="245"/>
        <v>2017</v>
      </c>
      <c r="V346" s="325">
        <f t="shared" si="245"/>
        <v>2018</v>
      </c>
      <c r="W346" s="325">
        <f t="shared" si="245"/>
        <v>2019</v>
      </c>
      <c r="X346" s="325">
        <f t="shared" si="245"/>
        <v>2020</v>
      </c>
      <c r="Y346" s="325">
        <f t="shared" si="245"/>
        <v>2021</v>
      </c>
      <c r="Z346" s="325">
        <f t="shared" si="245"/>
        <v>2022</v>
      </c>
      <c r="AA346" s="325">
        <f t="shared" si="245"/>
        <v>2023</v>
      </c>
      <c r="AB346" s="325">
        <f t="shared" si="245"/>
        <v>2024</v>
      </c>
      <c r="AC346" s="325">
        <f t="shared" si="245"/>
        <v>2025</v>
      </c>
      <c r="AD346" s="325">
        <f t="shared" si="245"/>
        <v>2026</v>
      </c>
      <c r="AE346" s="325">
        <f t="shared" si="245"/>
        <v>2027</v>
      </c>
      <c r="AF346" s="325">
        <f t="shared" si="245"/>
        <v>2028</v>
      </c>
      <c r="AG346" s="325">
        <f t="shared" si="245"/>
        <v>2029</v>
      </c>
      <c r="AH346" s="325">
        <f t="shared" si="245"/>
        <v>2030</v>
      </c>
      <c r="AI346" s="325">
        <f t="shared" si="245"/>
        <v>2031</v>
      </c>
      <c r="AJ346" s="325">
        <f t="shared" si="245"/>
        <v>2032</v>
      </c>
      <c r="AK346" s="325">
        <f t="shared" si="245"/>
        <v>2033</v>
      </c>
      <c r="AL346" s="325">
        <f t="shared" si="245"/>
        <v>2034</v>
      </c>
      <c r="AM346" s="325">
        <f t="shared" si="245"/>
        <v>2035</v>
      </c>
      <c r="AN346" s="325">
        <f t="shared" si="245"/>
        <v>2036</v>
      </c>
      <c r="AO346" s="325">
        <f t="shared" si="245"/>
        <v>2037</v>
      </c>
      <c r="AP346" s="325">
        <f t="shared" si="245"/>
        <v>2038</v>
      </c>
      <c r="AQ346" s="325">
        <f t="shared" si="245"/>
        <v>2039</v>
      </c>
      <c r="AR346" s="325">
        <f t="shared" si="245"/>
        <v>2040</v>
      </c>
      <c r="AS346" s="325">
        <f t="shared" si="245"/>
        <v>2041</v>
      </c>
      <c r="AT346" s="325">
        <f t="shared" si="245"/>
        <v>2042</v>
      </c>
      <c r="AU346" s="325">
        <f t="shared" si="245"/>
        <v>2043</v>
      </c>
    </row>
    <row r="347" spans="1:47">
      <c r="E347" s="325"/>
      <c r="G347" s="39"/>
      <c r="H347" s="39"/>
      <c r="I347" s="39"/>
      <c r="J347" s="39"/>
      <c r="K347" s="39"/>
    </row>
    <row r="348" spans="1:47">
      <c r="A348" s="38" t="str">
        <f>$J$4&amp;"-"</f>
        <v>Custom-</v>
      </c>
      <c r="B348" s="38" t="s">
        <v>306</v>
      </c>
      <c r="C348" s="38" t="s">
        <v>135</v>
      </c>
      <c r="D348" s="186">
        <f>CapExEsc</f>
        <v>0.03</v>
      </c>
      <c r="E348" s="325"/>
      <c r="G348" s="36" t="s">
        <v>8</v>
      </c>
      <c r="H348" s="39"/>
      <c r="I348" s="39"/>
      <c r="J348" s="70"/>
      <c r="K348" s="39"/>
      <c r="L348" s="43" t="str">
        <f>"["&amp;CostBaseYr&amp;" $]"</f>
        <v>[2013 $]</v>
      </c>
      <c r="N348" s="52">
        <f ca="1">IF(VLOOKUP($C348,$G$69:$J$87,4,FALSE)="Off", 0,SUMIFS(OFFSET(Assumptions!$I$65,0,MATCH($A348,Configurations,0)-1,COUNT(Assumptions!$A$65:$A$84),1),Assumptions!$E$65:$E$84,$C348))</f>
        <v>0</v>
      </c>
      <c r="O348" s="52"/>
      <c r="P348" s="322"/>
      <c r="Q348" s="52"/>
      <c r="R348" s="52">
        <f t="shared" ref="R348:AU348" ca="1" si="246">R349*IF($P348=0,$N348,$P348)*(1+$D348)^(R$8-CostBaseYr)</f>
        <v>0</v>
      </c>
      <c r="S348" s="52">
        <f t="shared" ca="1" si="246"/>
        <v>0</v>
      </c>
      <c r="T348" s="52">
        <f t="shared" ca="1" si="246"/>
        <v>0</v>
      </c>
      <c r="U348" s="52">
        <f t="shared" ca="1" si="246"/>
        <v>0</v>
      </c>
      <c r="V348" s="52">
        <f t="shared" ca="1" si="246"/>
        <v>0</v>
      </c>
      <c r="W348" s="52">
        <f t="shared" ca="1" si="246"/>
        <v>0</v>
      </c>
      <c r="X348" s="52">
        <f t="shared" ca="1" si="246"/>
        <v>0</v>
      </c>
      <c r="Y348" s="52">
        <f t="shared" ca="1" si="246"/>
        <v>0</v>
      </c>
      <c r="Z348" s="52">
        <f t="shared" ca="1" si="246"/>
        <v>0</v>
      </c>
      <c r="AA348" s="52">
        <f t="shared" ca="1" si="246"/>
        <v>0</v>
      </c>
      <c r="AB348" s="52">
        <f t="shared" ca="1" si="246"/>
        <v>0</v>
      </c>
      <c r="AC348" s="52">
        <f t="shared" ca="1" si="246"/>
        <v>0</v>
      </c>
      <c r="AD348" s="52">
        <f t="shared" ca="1" si="246"/>
        <v>0</v>
      </c>
      <c r="AE348" s="52">
        <f t="shared" ca="1" si="246"/>
        <v>0</v>
      </c>
      <c r="AF348" s="52">
        <f t="shared" ca="1" si="246"/>
        <v>0</v>
      </c>
      <c r="AG348" s="52">
        <f t="shared" ca="1" si="246"/>
        <v>0</v>
      </c>
      <c r="AH348" s="52">
        <f t="shared" ca="1" si="246"/>
        <v>0</v>
      </c>
      <c r="AI348" s="52">
        <f t="shared" ca="1" si="246"/>
        <v>0</v>
      </c>
      <c r="AJ348" s="52">
        <f t="shared" ca="1" si="246"/>
        <v>0</v>
      </c>
      <c r="AK348" s="52">
        <f t="shared" ca="1" si="246"/>
        <v>0</v>
      </c>
      <c r="AL348" s="52">
        <f t="shared" ca="1" si="246"/>
        <v>0</v>
      </c>
      <c r="AM348" s="52">
        <f t="shared" ca="1" si="246"/>
        <v>0</v>
      </c>
      <c r="AN348" s="52">
        <f t="shared" ca="1" si="246"/>
        <v>0</v>
      </c>
      <c r="AO348" s="52">
        <f t="shared" ca="1" si="246"/>
        <v>0</v>
      </c>
      <c r="AP348" s="52">
        <f t="shared" ca="1" si="246"/>
        <v>0</v>
      </c>
      <c r="AQ348" s="52">
        <f t="shared" ca="1" si="246"/>
        <v>0</v>
      </c>
      <c r="AR348" s="52">
        <f t="shared" ca="1" si="246"/>
        <v>0</v>
      </c>
      <c r="AS348" s="52">
        <f t="shared" ca="1" si="246"/>
        <v>0</v>
      </c>
      <c r="AT348" s="52">
        <f t="shared" ca="1" si="246"/>
        <v>0</v>
      </c>
      <c r="AU348" s="52">
        <f t="shared" ca="1" si="246"/>
        <v>0</v>
      </c>
    </row>
    <row r="349" spans="1:47">
      <c r="E349" s="325"/>
      <c r="G349" s="36" t="s">
        <v>10</v>
      </c>
      <c r="H349" s="39"/>
      <c r="I349" s="39"/>
      <c r="J349" s="39"/>
      <c r="K349" s="39"/>
      <c r="L349" s="43"/>
      <c r="R349" s="54">
        <f>Assumptions!M$60</f>
        <v>1</v>
      </c>
      <c r="S349" s="54">
        <f>Assumptions!N$60</f>
        <v>0</v>
      </c>
      <c r="T349" s="54">
        <f>Assumptions!O$60</f>
        <v>0</v>
      </c>
      <c r="U349" s="54">
        <f>Assumptions!P$60</f>
        <v>0</v>
      </c>
      <c r="V349" s="54">
        <f>Assumptions!Q$60</f>
        <v>0</v>
      </c>
      <c r="W349" s="54">
        <f>Assumptions!R$60</f>
        <v>0</v>
      </c>
      <c r="X349" s="54">
        <f>Assumptions!S$60</f>
        <v>0</v>
      </c>
      <c r="Y349" s="54">
        <f>Assumptions!T$60</f>
        <v>0</v>
      </c>
      <c r="Z349" s="54">
        <f>Assumptions!U$60</f>
        <v>0</v>
      </c>
      <c r="AA349" s="54">
        <f>Assumptions!V$60</f>
        <v>0</v>
      </c>
      <c r="AB349" s="54">
        <f>Assumptions!W$60</f>
        <v>0</v>
      </c>
      <c r="AC349" s="54">
        <f>Assumptions!X$60</f>
        <v>0</v>
      </c>
      <c r="AD349" s="54">
        <f>Assumptions!Y$60</f>
        <v>0</v>
      </c>
      <c r="AE349" s="54">
        <f>Assumptions!Z$60</f>
        <v>0</v>
      </c>
      <c r="AF349" s="54">
        <f>Assumptions!AA$60</f>
        <v>0</v>
      </c>
      <c r="AG349" s="54">
        <f>Assumptions!AB$60</f>
        <v>0</v>
      </c>
      <c r="AH349" s="54">
        <f>Assumptions!AC$60</f>
        <v>0</v>
      </c>
      <c r="AI349" s="54">
        <f>Assumptions!AD$60</f>
        <v>0</v>
      </c>
      <c r="AJ349" s="54">
        <f>Assumptions!AE$60</f>
        <v>0</v>
      </c>
      <c r="AK349" s="54">
        <f>Assumptions!AF$60</f>
        <v>0</v>
      </c>
      <c r="AL349" s="54">
        <f>Assumptions!AG$60</f>
        <v>0</v>
      </c>
      <c r="AM349" s="54">
        <f>Assumptions!AH$60</f>
        <v>0</v>
      </c>
      <c r="AN349" s="54">
        <f>Assumptions!AI$60</f>
        <v>0</v>
      </c>
      <c r="AO349" s="54">
        <f>Assumptions!AJ$60</f>
        <v>0</v>
      </c>
      <c r="AP349" s="54">
        <f>Assumptions!AK$60</f>
        <v>0</v>
      </c>
      <c r="AQ349" s="54">
        <f>Assumptions!AL$60</f>
        <v>0</v>
      </c>
      <c r="AR349" s="54">
        <f>Assumptions!AM$60</f>
        <v>0</v>
      </c>
      <c r="AS349" s="54">
        <f>Assumptions!AN$60</f>
        <v>0</v>
      </c>
      <c r="AT349" s="54">
        <f>Assumptions!AO$60</f>
        <v>0</v>
      </c>
      <c r="AU349" s="54">
        <f>Assumptions!AP$60</f>
        <v>0</v>
      </c>
    </row>
    <row r="350" spans="1:47">
      <c r="E350" s="326"/>
      <c r="G350" s="39"/>
      <c r="H350" s="39"/>
      <c r="I350" s="39"/>
      <c r="J350" s="39"/>
      <c r="K350" s="39"/>
    </row>
    <row r="351" spans="1:47">
      <c r="E351" s="327"/>
      <c r="F351" s="28"/>
      <c r="G351" s="324" t="str">
        <f>C348&amp;" O&amp;M"</f>
        <v>Gravity Belt Thickener O&amp;M</v>
      </c>
      <c r="H351" s="324"/>
      <c r="I351" s="324"/>
      <c r="J351" s="324"/>
      <c r="K351" s="324"/>
      <c r="L351" s="405" t="s">
        <v>79</v>
      </c>
      <c r="M351" s="256"/>
      <c r="N351" s="325" t="s">
        <v>490</v>
      </c>
      <c r="O351" s="311"/>
      <c r="P351" s="325" t="s">
        <v>491</v>
      </c>
      <c r="Q351" s="310"/>
      <c r="R351" s="325">
        <f>R$8</f>
        <v>2014</v>
      </c>
      <c r="S351" s="325">
        <f t="shared" ref="S351:AU351" si="247">S$8</f>
        <v>2015</v>
      </c>
      <c r="T351" s="325">
        <f t="shared" si="247"/>
        <v>2016</v>
      </c>
      <c r="U351" s="325">
        <f t="shared" si="247"/>
        <v>2017</v>
      </c>
      <c r="V351" s="325">
        <f t="shared" si="247"/>
        <v>2018</v>
      </c>
      <c r="W351" s="325">
        <f t="shared" si="247"/>
        <v>2019</v>
      </c>
      <c r="X351" s="325">
        <f t="shared" si="247"/>
        <v>2020</v>
      </c>
      <c r="Y351" s="325">
        <f t="shared" si="247"/>
        <v>2021</v>
      </c>
      <c r="Z351" s="325">
        <f t="shared" si="247"/>
        <v>2022</v>
      </c>
      <c r="AA351" s="325">
        <f t="shared" si="247"/>
        <v>2023</v>
      </c>
      <c r="AB351" s="325">
        <f t="shared" si="247"/>
        <v>2024</v>
      </c>
      <c r="AC351" s="325">
        <f t="shared" si="247"/>
        <v>2025</v>
      </c>
      <c r="AD351" s="325">
        <f t="shared" si="247"/>
        <v>2026</v>
      </c>
      <c r="AE351" s="325">
        <f t="shared" si="247"/>
        <v>2027</v>
      </c>
      <c r="AF351" s="325">
        <f t="shared" si="247"/>
        <v>2028</v>
      </c>
      <c r="AG351" s="325">
        <f t="shared" si="247"/>
        <v>2029</v>
      </c>
      <c r="AH351" s="325">
        <f t="shared" si="247"/>
        <v>2030</v>
      </c>
      <c r="AI351" s="325">
        <f t="shared" si="247"/>
        <v>2031</v>
      </c>
      <c r="AJ351" s="325">
        <f t="shared" si="247"/>
        <v>2032</v>
      </c>
      <c r="AK351" s="325">
        <f t="shared" si="247"/>
        <v>2033</v>
      </c>
      <c r="AL351" s="325">
        <f t="shared" si="247"/>
        <v>2034</v>
      </c>
      <c r="AM351" s="325">
        <f t="shared" si="247"/>
        <v>2035</v>
      </c>
      <c r="AN351" s="325">
        <f t="shared" si="247"/>
        <v>2036</v>
      </c>
      <c r="AO351" s="325">
        <f t="shared" si="247"/>
        <v>2037</v>
      </c>
      <c r="AP351" s="325">
        <f t="shared" si="247"/>
        <v>2038</v>
      </c>
      <c r="AQ351" s="325">
        <f t="shared" si="247"/>
        <v>2039</v>
      </c>
      <c r="AR351" s="325">
        <f t="shared" si="247"/>
        <v>2040</v>
      </c>
      <c r="AS351" s="325">
        <f t="shared" si="247"/>
        <v>2041</v>
      </c>
      <c r="AT351" s="325">
        <f t="shared" si="247"/>
        <v>2042</v>
      </c>
      <c r="AU351" s="325">
        <f t="shared" si="247"/>
        <v>2043</v>
      </c>
    </row>
    <row r="352" spans="1:47">
      <c r="E352" s="325"/>
      <c r="G352" s="39"/>
      <c r="H352" s="39"/>
      <c r="I352" s="39"/>
      <c r="J352" s="39"/>
      <c r="K352" s="39"/>
    </row>
    <row r="353" spans="1:47">
      <c r="E353" s="325"/>
      <c r="G353" s="39" t="s">
        <v>23</v>
      </c>
      <c r="H353" s="39"/>
      <c r="I353" s="39"/>
      <c r="J353" s="39"/>
      <c r="K353" s="39"/>
    </row>
    <row r="354" spans="1:47">
      <c r="A354" s="38" t="str">
        <f t="shared" ref="A354:A361" si="248">$J$4&amp;"-"</f>
        <v>Custom-</v>
      </c>
      <c r="B354" s="38" t="s">
        <v>262</v>
      </c>
      <c r="C354" s="38" t="str">
        <f>C348</f>
        <v>Gravity Belt Thickener</v>
      </c>
      <c r="D354" s="186">
        <f>LaborEsc</f>
        <v>0.02</v>
      </c>
      <c r="E354" s="325"/>
      <c r="G354" s="36" t="s">
        <v>125</v>
      </c>
      <c r="I354" s="39"/>
      <c r="K354" s="39"/>
      <c r="L354" s="43" t="s">
        <v>266</v>
      </c>
      <c r="N354" s="70">
        <f ca="1">IF(VLOOKUP($C354,$G$69:$J$87,4,FALSE)="Off",0,SUMIFS(OFFSET(Assumptions!$I$90,0,MATCH($A354,Configurations,0)-1,COUNT(Assumptions!$A$90:$A$183),1),Assumptions!$D$90:$D$183,$B354&amp;$C354))</f>
        <v>0</v>
      </c>
      <c r="O354" s="313"/>
      <c r="P354" s="323"/>
      <c r="Q354" s="313"/>
      <c r="R354" s="50">
        <f t="shared" ref="R354:AU354" ca="1" si="249">IF(OR(R$99&lt;InServiceYr,R$99&gt;(InServiceYr+analysis_period-1)),0,IF($P354=0,$N354,$P354)*LaborCost*(1+$D354)^(R$99-CostBaseYr))</f>
        <v>0</v>
      </c>
      <c r="S354" s="50">
        <f t="shared" ca="1" si="249"/>
        <v>0</v>
      </c>
      <c r="T354" s="50">
        <f t="shared" ca="1" si="249"/>
        <v>0</v>
      </c>
      <c r="U354" s="50">
        <f t="shared" ca="1" si="249"/>
        <v>0</v>
      </c>
      <c r="V354" s="50">
        <f t="shared" ca="1" si="249"/>
        <v>0</v>
      </c>
      <c r="W354" s="50">
        <f t="shared" ca="1" si="249"/>
        <v>0</v>
      </c>
      <c r="X354" s="50">
        <f t="shared" ca="1" si="249"/>
        <v>0</v>
      </c>
      <c r="Y354" s="50">
        <f t="shared" ca="1" si="249"/>
        <v>0</v>
      </c>
      <c r="Z354" s="50">
        <f t="shared" ca="1" si="249"/>
        <v>0</v>
      </c>
      <c r="AA354" s="50">
        <f t="shared" ca="1" si="249"/>
        <v>0</v>
      </c>
      <c r="AB354" s="50">
        <f t="shared" ca="1" si="249"/>
        <v>0</v>
      </c>
      <c r="AC354" s="50">
        <f t="shared" ca="1" si="249"/>
        <v>0</v>
      </c>
      <c r="AD354" s="50">
        <f t="shared" ca="1" si="249"/>
        <v>0</v>
      </c>
      <c r="AE354" s="50">
        <f t="shared" ca="1" si="249"/>
        <v>0</v>
      </c>
      <c r="AF354" s="50">
        <f t="shared" ca="1" si="249"/>
        <v>0</v>
      </c>
      <c r="AG354" s="50">
        <f t="shared" ca="1" si="249"/>
        <v>0</v>
      </c>
      <c r="AH354" s="50">
        <f t="shared" ca="1" si="249"/>
        <v>0</v>
      </c>
      <c r="AI354" s="50">
        <f t="shared" ca="1" si="249"/>
        <v>0</v>
      </c>
      <c r="AJ354" s="50">
        <f t="shared" ca="1" si="249"/>
        <v>0</v>
      </c>
      <c r="AK354" s="50">
        <f t="shared" ca="1" si="249"/>
        <v>0</v>
      </c>
      <c r="AL354" s="50">
        <f t="shared" si="249"/>
        <v>0</v>
      </c>
      <c r="AM354" s="50">
        <f t="shared" si="249"/>
        <v>0</v>
      </c>
      <c r="AN354" s="50">
        <f t="shared" si="249"/>
        <v>0</v>
      </c>
      <c r="AO354" s="50">
        <f t="shared" si="249"/>
        <v>0</v>
      </c>
      <c r="AP354" s="50">
        <f t="shared" si="249"/>
        <v>0</v>
      </c>
      <c r="AQ354" s="50">
        <f t="shared" si="249"/>
        <v>0</v>
      </c>
      <c r="AR354" s="50">
        <f t="shared" si="249"/>
        <v>0</v>
      </c>
      <c r="AS354" s="50">
        <f t="shared" si="249"/>
        <v>0</v>
      </c>
      <c r="AT354" s="50">
        <f t="shared" si="249"/>
        <v>0</v>
      </c>
      <c r="AU354" s="50">
        <f t="shared" si="249"/>
        <v>0</v>
      </c>
    </row>
    <row r="355" spans="1:47">
      <c r="A355" s="38" t="str">
        <f t="shared" si="248"/>
        <v>Custom-</v>
      </c>
      <c r="B355" s="38" t="s">
        <v>270</v>
      </c>
      <c r="C355" s="38" t="str">
        <f>C354</f>
        <v>Gravity Belt Thickener</v>
      </c>
      <c r="D355" s="186">
        <f>OMEsc</f>
        <v>0.02</v>
      </c>
      <c r="E355" s="325"/>
      <c r="G355" s="36" t="s">
        <v>126</v>
      </c>
      <c r="I355" s="39"/>
      <c r="K355" s="39"/>
      <c r="L355" s="43" t="str">
        <f>"["&amp;CostBaseYr&amp;" $]"</f>
        <v>[2013 $]</v>
      </c>
      <c r="N355" s="70">
        <f ca="1">IF(VLOOKUP($C355,$G$69:$J$87,4,FALSE)="Off",0,SUMIFS(OFFSET(Assumptions!$I$90,0,MATCH($A355,Configurations,0)-1,COUNT(Assumptions!$A$90:$A$183),1),Assumptions!$D$90:$D$183,$B355&amp;$C355))</f>
        <v>0</v>
      </c>
      <c r="O355" s="313"/>
      <c r="P355" s="323"/>
      <c r="Q355" s="313"/>
      <c r="R355" s="50">
        <f t="shared" ref="R355:AG357" ca="1" si="250">IF(OR(R$99&lt;InServiceYr,R$99&gt;(InServiceYr+analysis_period-1)),0,IF($P355=0,$N355,$P355)*(1+$D355)^(R$99-CostBaseYr))</f>
        <v>0</v>
      </c>
      <c r="S355" s="50">
        <f t="shared" ca="1" si="250"/>
        <v>0</v>
      </c>
      <c r="T355" s="50">
        <f t="shared" ca="1" si="250"/>
        <v>0</v>
      </c>
      <c r="U355" s="50">
        <f t="shared" ca="1" si="250"/>
        <v>0</v>
      </c>
      <c r="V355" s="50">
        <f t="shared" ca="1" si="250"/>
        <v>0</v>
      </c>
      <c r="W355" s="50">
        <f t="shared" ca="1" si="250"/>
        <v>0</v>
      </c>
      <c r="X355" s="50">
        <f t="shared" ca="1" si="250"/>
        <v>0</v>
      </c>
      <c r="Y355" s="50">
        <f t="shared" ca="1" si="250"/>
        <v>0</v>
      </c>
      <c r="Z355" s="50">
        <f t="shared" ca="1" si="250"/>
        <v>0</v>
      </c>
      <c r="AA355" s="50">
        <f t="shared" ca="1" si="250"/>
        <v>0</v>
      </c>
      <c r="AB355" s="50">
        <f t="shared" ca="1" si="250"/>
        <v>0</v>
      </c>
      <c r="AC355" s="50">
        <f t="shared" ca="1" si="250"/>
        <v>0</v>
      </c>
      <c r="AD355" s="50">
        <f t="shared" ca="1" si="250"/>
        <v>0</v>
      </c>
      <c r="AE355" s="50">
        <f t="shared" ca="1" si="250"/>
        <v>0</v>
      </c>
      <c r="AF355" s="50">
        <f t="shared" ca="1" si="250"/>
        <v>0</v>
      </c>
      <c r="AG355" s="50">
        <f t="shared" ca="1" si="250"/>
        <v>0</v>
      </c>
      <c r="AH355" s="50">
        <f t="shared" ref="S355:AU357" ca="1" si="251">IF(OR(AH$99&lt;InServiceYr,AH$99&gt;(InServiceYr+analysis_period-1)),0,IF($P355=0,$N355,$P355)*(1+$D355)^(AH$99-CostBaseYr))</f>
        <v>0</v>
      </c>
      <c r="AI355" s="50">
        <f t="shared" ca="1" si="251"/>
        <v>0</v>
      </c>
      <c r="AJ355" s="50">
        <f t="shared" ca="1" si="251"/>
        <v>0</v>
      </c>
      <c r="AK355" s="50">
        <f t="shared" ca="1" si="251"/>
        <v>0</v>
      </c>
      <c r="AL355" s="50">
        <f t="shared" si="251"/>
        <v>0</v>
      </c>
      <c r="AM355" s="50">
        <f t="shared" si="251"/>
        <v>0</v>
      </c>
      <c r="AN355" s="50">
        <f t="shared" si="251"/>
        <v>0</v>
      </c>
      <c r="AO355" s="50">
        <f t="shared" si="251"/>
        <v>0</v>
      </c>
      <c r="AP355" s="50">
        <f t="shared" si="251"/>
        <v>0</v>
      </c>
      <c r="AQ355" s="50">
        <f t="shared" si="251"/>
        <v>0</v>
      </c>
      <c r="AR355" s="50">
        <f t="shared" si="251"/>
        <v>0</v>
      </c>
      <c r="AS355" s="50">
        <f t="shared" si="251"/>
        <v>0</v>
      </c>
      <c r="AT355" s="50">
        <f t="shared" si="251"/>
        <v>0</v>
      </c>
      <c r="AU355" s="50">
        <f t="shared" si="251"/>
        <v>0</v>
      </c>
    </row>
    <row r="356" spans="1:47">
      <c r="A356" s="38" t="str">
        <f t="shared" si="248"/>
        <v>Custom-</v>
      </c>
      <c r="B356" s="38" t="s">
        <v>263</v>
      </c>
      <c r="C356" s="38" t="str">
        <f t="shared" ref="C356:C360" si="252">C355</f>
        <v>Gravity Belt Thickener</v>
      </c>
      <c r="D356" s="186">
        <f>OMEsc</f>
        <v>0.02</v>
      </c>
      <c r="E356" s="325"/>
      <c r="G356" s="36" t="s">
        <v>127</v>
      </c>
      <c r="I356" s="39"/>
      <c r="K356" s="39"/>
      <c r="L356" s="43" t="str">
        <f>"["&amp;CostBaseYr&amp;" $]"</f>
        <v>[2013 $]</v>
      </c>
      <c r="N356" s="70">
        <f ca="1">IF(VLOOKUP($C356,$G$69:$J$87,4,FALSE)="Off",0,SUMIFS(OFFSET(Assumptions!$I$90,0,MATCH($A356,Configurations,0)-1,COUNT(Assumptions!$A$90:$A$183),1),Assumptions!$D$90:$D$183,$B356&amp;$C356))</f>
        <v>0</v>
      </c>
      <c r="O356" s="313"/>
      <c r="P356" s="323"/>
      <c r="Q356" s="313"/>
      <c r="R356" s="50">
        <f t="shared" ca="1" si="250"/>
        <v>0</v>
      </c>
      <c r="S356" s="50">
        <f t="shared" ca="1" si="251"/>
        <v>0</v>
      </c>
      <c r="T356" s="50">
        <f t="shared" ca="1" si="251"/>
        <v>0</v>
      </c>
      <c r="U356" s="50">
        <f t="shared" ca="1" si="251"/>
        <v>0</v>
      </c>
      <c r="V356" s="50">
        <f t="shared" ca="1" si="251"/>
        <v>0</v>
      </c>
      <c r="W356" s="50">
        <f t="shared" ca="1" si="251"/>
        <v>0</v>
      </c>
      <c r="X356" s="50">
        <f t="shared" ca="1" si="251"/>
        <v>0</v>
      </c>
      <c r="Y356" s="50">
        <f t="shared" ca="1" si="251"/>
        <v>0</v>
      </c>
      <c r="Z356" s="50">
        <f t="shared" ca="1" si="251"/>
        <v>0</v>
      </c>
      <c r="AA356" s="50">
        <f t="shared" ca="1" si="251"/>
        <v>0</v>
      </c>
      <c r="AB356" s="50">
        <f t="shared" ca="1" si="251"/>
        <v>0</v>
      </c>
      <c r="AC356" s="50">
        <f t="shared" ca="1" si="251"/>
        <v>0</v>
      </c>
      <c r="AD356" s="50">
        <f t="shared" ca="1" si="251"/>
        <v>0</v>
      </c>
      <c r="AE356" s="50">
        <f t="shared" ca="1" si="251"/>
        <v>0</v>
      </c>
      <c r="AF356" s="50">
        <f t="shared" ca="1" si="251"/>
        <v>0</v>
      </c>
      <c r="AG356" s="50">
        <f t="shared" ca="1" si="251"/>
        <v>0</v>
      </c>
      <c r="AH356" s="50">
        <f t="shared" ca="1" si="251"/>
        <v>0</v>
      </c>
      <c r="AI356" s="50">
        <f t="shared" ca="1" si="251"/>
        <v>0</v>
      </c>
      <c r="AJ356" s="50">
        <f t="shared" ca="1" si="251"/>
        <v>0</v>
      </c>
      <c r="AK356" s="50">
        <f t="shared" ca="1" si="251"/>
        <v>0</v>
      </c>
      <c r="AL356" s="50">
        <f t="shared" si="251"/>
        <v>0</v>
      </c>
      <c r="AM356" s="50">
        <f t="shared" si="251"/>
        <v>0</v>
      </c>
      <c r="AN356" s="50">
        <f t="shared" si="251"/>
        <v>0</v>
      </c>
      <c r="AO356" s="50">
        <f t="shared" si="251"/>
        <v>0</v>
      </c>
      <c r="AP356" s="50">
        <f t="shared" si="251"/>
        <v>0</v>
      </c>
      <c r="AQ356" s="50">
        <f t="shared" si="251"/>
        <v>0</v>
      </c>
      <c r="AR356" s="50">
        <f t="shared" si="251"/>
        <v>0</v>
      </c>
      <c r="AS356" s="50">
        <f t="shared" si="251"/>
        <v>0</v>
      </c>
      <c r="AT356" s="50">
        <f t="shared" si="251"/>
        <v>0</v>
      </c>
      <c r="AU356" s="50">
        <f t="shared" si="251"/>
        <v>0</v>
      </c>
    </row>
    <row r="357" spans="1:47">
      <c r="A357" s="38" t="str">
        <f t="shared" si="248"/>
        <v>Custom-</v>
      </c>
      <c r="B357" s="38" t="s">
        <v>277</v>
      </c>
      <c r="C357" s="38" t="str">
        <f t="shared" si="252"/>
        <v>Gravity Belt Thickener</v>
      </c>
      <c r="D357" s="186">
        <f>OMEsc</f>
        <v>0.02</v>
      </c>
      <c r="E357" s="325"/>
      <c r="G357" s="36" t="s">
        <v>276</v>
      </c>
      <c r="I357" s="39"/>
      <c r="K357" s="39"/>
      <c r="L357" s="43" t="str">
        <f>"["&amp;CostBaseYr&amp;" $]"</f>
        <v>[2013 $]</v>
      </c>
      <c r="N357" s="70">
        <f ca="1">IF(VLOOKUP($C357,$G$69:$J$87,4,FALSE)="Off",0,SUMIFS(OFFSET(Assumptions!$I$90,0,MATCH($A357,Configurations,0)-1,COUNT(Assumptions!$A$90:$A$183),1),Assumptions!$D$90:$D$183,$B357&amp;$C357))</f>
        <v>0</v>
      </c>
      <c r="O357" s="313"/>
      <c r="P357" s="323"/>
      <c r="Q357" s="313"/>
      <c r="R357" s="50">
        <f t="shared" ca="1" si="250"/>
        <v>0</v>
      </c>
      <c r="S357" s="50">
        <f t="shared" ca="1" si="251"/>
        <v>0</v>
      </c>
      <c r="T357" s="50">
        <f t="shared" ca="1" si="251"/>
        <v>0</v>
      </c>
      <c r="U357" s="50">
        <f t="shared" ca="1" si="251"/>
        <v>0</v>
      </c>
      <c r="V357" s="50">
        <f t="shared" ca="1" si="251"/>
        <v>0</v>
      </c>
      <c r="W357" s="50">
        <f t="shared" ca="1" si="251"/>
        <v>0</v>
      </c>
      <c r="X357" s="50">
        <f t="shared" ca="1" si="251"/>
        <v>0</v>
      </c>
      <c r="Y357" s="50">
        <f t="shared" ca="1" si="251"/>
        <v>0</v>
      </c>
      <c r="Z357" s="50">
        <f t="shared" ca="1" si="251"/>
        <v>0</v>
      </c>
      <c r="AA357" s="50">
        <f t="shared" ca="1" si="251"/>
        <v>0</v>
      </c>
      <c r="AB357" s="50">
        <f t="shared" ca="1" si="251"/>
        <v>0</v>
      </c>
      <c r="AC357" s="50">
        <f t="shared" ca="1" si="251"/>
        <v>0</v>
      </c>
      <c r="AD357" s="50">
        <f t="shared" ca="1" si="251"/>
        <v>0</v>
      </c>
      <c r="AE357" s="50">
        <f t="shared" ca="1" si="251"/>
        <v>0</v>
      </c>
      <c r="AF357" s="50">
        <f t="shared" ca="1" si="251"/>
        <v>0</v>
      </c>
      <c r="AG357" s="50">
        <f t="shared" ca="1" si="251"/>
        <v>0</v>
      </c>
      <c r="AH357" s="50">
        <f t="shared" ca="1" si="251"/>
        <v>0</v>
      </c>
      <c r="AI357" s="50">
        <f t="shared" ca="1" si="251"/>
        <v>0</v>
      </c>
      <c r="AJ357" s="50">
        <f t="shared" ca="1" si="251"/>
        <v>0</v>
      </c>
      <c r="AK357" s="50">
        <f t="shared" ca="1" si="251"/>
        <v>0</v>
      </c>
      <c r="AL357" s="50">
        <f t="shared" si="251"/>
        <v>0</v>
      </c>
      <c r="AM357" s="50">
        <f t="shared" si="251"/>
        <v>0</v>
      </c>
      <c r="AN357" s="50">
        <f t="shared" si="251"/>
        <v>0</v>
      </c>
      <c r="AO357" s="50">
        <f t="shared" si="251"/>
        <v>0</v>
      </c>
      <c r="AP357" s="50">
        <f t="shared" si="251"/>
        <v>0</v>
      </c>
      <c r="AQ357" s="50">
        <f t="shared" si="251"/>
        <v>0</v>
      </c>
      <c r="AR357" s="50">
        <f t="shared" si="251"/>
        <v>0</v>
      </c>
      <c r="AS357" s="50">
        <f t="shared" si="251"/>
        <v>0</v>
      </c>
      <c r="AT357" s="50">
        <f t="shared" si="251"/>
        <v>0</v>
      </c>
      <c r="AU357" s="50">
        <f t="shared" si="251"/>
        <v>0</v>
      </c>
    </row>
    <row r="358" spans="1:47">
      <c r="A358" s="38" t="str">
        <f t="shared" si="248"/>
        <v>Custom-</v>
      </c>
      <c r="B358" s="38" t="s">
        <v>274</v>
      </c>
      <c r="C358" s="38" t="str">
        <f t="shared" si="252"/>
        <v>Gravity Belt Thickener</v>
      </c>
      <c r="D358" s="186"/>
      <c r="E358" s="325"/>
      <c r="G358" s="36" t="s">
        <v>16</v>
      </c>
      <c r="I358" s="39"/>
      <c r="K358" s="39"/>
      <c r="L358" s="43" t="s">
        <v>275</v>
      </c>
      <c r="N358" s="70">
        <f ca="1">IF(VLOOKUP($C358,$G$69:$J$87,4,FALSE)="Off",0,SUMIFS(OFFSET(Assumptions!$I$90,0,MATCH($A358,Configurations,0)-1,COUNT(Assumptions!$A$90:$A$183),1),Assumptions!$D$90:$D$183,$B358&amp;$C358))</f>
        <v>0</v>
      </c>
      <c r="O358" s="313"/>
      <c r="P358" s="323"/>
      <c r="Q358" s="313"/>
      <c r="R358" s="50">
        <f t="shared" ref="R358:AU358" ca="1" si="253">IF(OR(R$99&lt;InServiceYr,R$99&gt;(InServiceYr+analysis_period-1)),0,IF($P358=0,$N358,$P358)*R$505)</f>
        <v>0</v>
      </c>
      <c r="S358" s="50">
        <f t="shared" ca="1" si="253"/>
        <v>0</v>
      </c>
      <c r="T358" s="50">
        <f t="shared" ca="1" si="253"/>
        <v>0</v>
      </c>
      <c r="U358" s="50">
        <f t="shared" ca="1" si="253"/>
        <v>0</v>
      </c>
      <c r="V358" s="50">
        <f t="shared" ca="1" si="253"/>
        <v>0</v>
      </c>
      <c r="W358" s="50">
        <f t="shared" ca="1" si="253"/>
        <v>0</v>
      </c>
      <c r="X358" s="50">
        <f t="shared" ca="1" si="253"/>
        <v>0</v>
      </c>
      <c r="Y358" s="50">
        <f t="shared" ca="1" si="253"/>
        <v>0</v>
      </c>
      <c r="Z358" s="50">
        <f t="shared" ca="1" si="253"/>
        <v>0</v>
      </c>
      <c r="AA358" s="50">
        <f t="shared" ca="1" si="253"/>
        <v>0</v>
      </c>
      <c r="AB358" s="50">
        <f t="shared" ca="1" si="253"/>
        <v>0</v>
      </c>
      <c r="AC358" s="50">
        <f t="shared" ca="1" si="253"/>
        <v>0</v>
      </c>
      <c r="AD358" s="50">
        <f t="shared" ca="1" si="253"/>
        <v>0</v>
      </c>
      <c r="AE358" s="50">
        <f t="shared" ca="1" si="253"/>
        <v>0</v>
      </c>
      <c r="AF358" s="50">
        <f t="shared" ca="1" si="253"/>
        <v>0</v>
      </c>
      <c r="AG358" s="50">
        <f t="shared" ca="1" si="253"/>
        <v>0</v>
      </c>
      <c r="AH358" s="50">
        <f t="shared" ca="1" si="253"/>
        <v>0</v>
      </c>
      <c r="AI358" s="50">
        <f t="shared" ca="1" si="253"/>
        <v>0</v>
      </c>
      <c r="AJ358" s="50">
        <f t="shared" ca="1" si="253"/>
        <v>0</v>
      </c>
      <c r="AK358" s="50">
        <f t="shared" ca="1" si="253"/>
        <v>0</v>
      </c>
      <c r="AL358" s="50">
        <f t="shared" si="253"/>
        <v>0</v>
      </c>
      <c r="AM358" s="50">
        <f t="shared" si="253"/>
        <v>0</v>
      </c>
      <c r="AN358" s="50">
        <f t="shared" si="253"/>
        <v>0</v>
      </c>
      <c r="AO358" s="50">
        <f t="shared" si="253"/>
        <v>0</v>
      </c>
      <c r="AP358" s="50">
        <f t="shared" si="253"/>
        <v>0</v>
      </c>
      <c r="AQ358" s="50">
        <f t="shared" si="253"/>
        <v>0</v>
      </c>
      <c r="AR358" s="50">
        <f t="shared" si="253"/>
        <v>0</v>
      </c>
      <c r="AS358" s="50">
        <f t="shared" si="253"/>
        <v>0</v>
      </c>
      <c r="AT358" s="50">
        <f t="shared" si="253"/>
        <v>0</v>
      </c>
      <c r="AU358" s="50">
        <f t="shared" si="253"/>
        <v>0</v>
      </c>
    </row>
    <row r="359" spans="1:47">
      <c r="A359" s="38" t="str">
        <f t="shared" si="248"/>
        <v>Custom-</v>
      </c>
      <c r="B359" s="38" t="s">
        <v>257</v>
      </c>
      <c r="C359" s="38" t="str">
        <f t="shared" si="252"/>
        <v>Gravity Belt Thickener</v>
      </c>
      <c r="D359" s="186"/>
      <c r="E359" s="325"/>
      <c r="G359" s="36" t="s">
        <v>284</v>
      </c>
      <c r="I359" s="39"/>
      <c r="K359" s="39"/>
      <c r="L359" s="43" t="s">
        <v>293</v>
      </c>
      <c r="N359" s="70">
        <f ca="1">IF(VLOOKUP($C359,$G$69:$J$87,4,FALSE)="Off",0,SUMIFS(OFFSET(Assumptions!$I$90,0,MATCH($A359,Configurations,0)-1,COUNT(Assumptions!$A$90:$A$183),1),Assumptions!$D$90:$D$183,$B359&amp;$C359))</f>
        <v>0</v>
      </c>
      <c r="O359" s="313"/>
      <c r="P359" s="323"/>
      <c r="Q359" s="313"/>
      <c r="R359" s="50">
        <f t="shared" ref="R359:AU359" ca="1" si="254">IF(OR(R$99&lt;InServiceYr,R$99&gt;(InServiceYr+analysis_period-1)),0,IF($P359=0,$N359,$P359)*R$501)</f>
        <v>0</v>
      </c>
      <c r="S359" s="50">
        <f t="shared" ca="1" si="254"/>
        <v>0</v>
      </c>
      <c r="T359" s="50">
        <f t="shared" ca="1" si="254"/>
        <v>0</v>
      </c>
      <c r="U359" s="50">
        <f t="shared" ca="1" si="254"/>
        <v>0</v>
      </c>
      <c r="V359" s="50">
        <f t="shared" ca="1" si="254"/>
        <v>0</v>
      </c>
      <c r="W359" s="50">
        <f t="shared" ca="1" si="254"/>
        <v>0</v>
      </c>
      <c r="X359" s="50">
        <f t="shared" ca="1" si="254"/>
        <v>0</v>
      </c>
      <c r="Y359" s="50">
        <f t="shared" ca="1" si="254"/>
        <v>0</v>
      </c>
      <c r="Z359" s="50">
        <f t="shared" ca="1" si="254"/>
        <v>0</v>
      </c>
      <c r="AA359" s="50">
        <f t="shared" ca="1" si="254"/>
        <v>0</v>
      </c>
      <c r="AB359" s="50">
        <f t="shared" ca="1" si="254"/>
        <v>0</v>
      </c>
      <c r="AC359" s="50">
        <f t="shared" ca="1" si="254"/>
        <v>0</v>
      </c>
      <c r="AD359" s="50">
        <f t="shared" ca="1" si="254"/>
        <v>0</v>
      </c>
      <c r="AE359" s="50">
        <f t="shared" ca="1" si="254"/>
        <v>0</v>
      </c>
      <c r="AF359" s="50">
        <f t="shared" ca="1" si="254"/>
        <v>0</v>
      </c>
      <c r="AG359" s="50">
        <f t="shared" ca="1" si="254"/>
        <v>0</v>
      </c>
      <c r="AH359" s="50">
        <f t="shared" ca="1" si="254"/>
        <v>0</v>
      </c>
      <c r="AI359" s="50">
        <f t="shared" ca="1" si="254"/>
        <v>0</v>
      </c>
      <c r="AJ359" s="50">
        <f t="shared" ca="1" si="254"/>
        <v>0</v>
      </c>
      <c r="AK359" s="50">
        <f t="shared" ca="1" si="254"/>
        <v>0</v>
      </c>
      <c r="AL359" s="50">
        <f t="shared" si="254"/>
        <v>0</v>
      </c>
      <c r="AM359" s="50">
        <f t="shared" si="254"/>
        <v>0</v>
      </c>
      <c r="AN359" s="50">
        <f t="shared" si="254"/>
        <v>0</v>
      </c>
      <c r="AO359" s="50">
        <f t="shared" si="254"/>
        <v>0</v>
      </c>
      <c r="AP359" s="50">
        <f t="shared" si="254"/>
        <v>0</v>
      </c>
      <c r="AQ359" s="50">
        <f t="shared" si="254"/>
        <v>0</v>
      </c>
      <c r="AR359" s="50">
        <f t="shared" si="254"/>
        <v>0</v>
      </c>
      <c r="AS359" s="50">
        <f t="shared" si="254"/>
        <v>0</v>
      </c>
      <c r="AT359" s="50">
        <f t="shared" si="254"/>
        <v>0</v>
      </c>
      <c r="AU359" s="50">
        <f t="shared" si="254"/>
        <v>0</v>
      </c>
    </row>
    <row r="360" spans="1:47">
      <c r="A360" s="38" t="str">
        <f t="shared" si="248"/>
        <v>Custom-</v>
      </c>
      <c r="B360" s="38" t="s">
        <v>864</v>
      </c>
      <c r="C360" s="38" t="str">
        <f t="shared" si="252"/>
        <v>Gravity Belt Thickener</v>
      </c>
      <c r="D360" s="186">
        <f>GHGEsc</f>
        <v>0.02</v>
      </c>
      <c r="E360" s="325"/>
      <c r="G360" s="36" t="s">
        <v>865</v>
      </c>
      <c r="I360" s="39"/>
      <c r="K360" s="39"/>
      <c r="L360" s="43" t="s">
        <v>866</v>
      </c>
      <c r="N360" s="70">
        <f ca="1">IF(VLOOKUP($C360,$G$69:$J$87,4,FALSE)="Off",0,SUMIFS(OFFSET(Assumptions!$I$90,0,MATCH($A360,Configurations,0)-1,COUNT(Assumptions!$A$90:$A$183),1),Assumptions!$D$90:$D$183,$B360&amp;$C360))</f>
        <v>0</v>
      </c>
      <c r="O360" s="313"/>
      <c r="P360" s="323"/>
      <c r="Q360" s="313"/>
      <c r="R360" s="50">
        <f t="shared" ref="R360:AU360" ca="1" si="255">IF(OR(R$99&lt;InServiceYr,R$99&gt;(InServiceYr+analysis_period-1)),0,IF($P360=0,$N360,$P360)*R$513)</f>
        <v>0</v>
      </c>
      <c r="S360" s="50">
        <f t="shared" ca="1" si="255"/>
        <v>0</v>
      </c>
      <c r="T360" s="50">
        <f t="shared" ca="1" si="255"/>
        <v>0</v>
      </c>
      <c r="U360" s="50">
        <f t="shared" ca="1" si="255"/>
        <v>0</v>
      </c>
      <c r="V360" s="50">
        <f t="shared" ca="1" si="255"/>
        <v>0</v>
      </c>
      <c r="W360" s="50">
        <f t="shared" ca="1" si="255"/>
        <v>0</v>
      </c>
      <c r="X360" s="50">
        <f t="shared" ca="1" si="255"/>
        <v>0</v>
      </c>
      <c r="Y360" s="50">
        <f t="shared" ca="1" si="255"/>
        <v>0</v>
      </c>
      <c r="Z360" s="50">
        <f t="shared" ca="1" si="255"/>
        <v>0</v>
      </c>
      <c r="AA360" s="50">
        <f t="shared" ca="1" si="255"/>
        <v>0</v>
      </c>
      <c r="AB360" s="50">
        <f t="shared" ca="1" si="255"/>
        <v>0</v>
      </c>
      <c r="AC360" s="50">
        <f t="shared" ca="1" si="255"/>
        <v>0</v>
      </c>
      <c r="AD360" s="50">
        <f t="shared" ca="1" si="255"/>
        <v>0</v>
      </c>
      <c r="AE360" s="50">
        <f t="shared" ca="1" si="255"/>
        <v>0</v>
      </c>
      <c r="AF360" s="50">
        <f t="shared" ca="1" si="255"/>
        <v>0</v>
      </c>
      <c r="AG360" s="50">
        <f t="shared" ca="1" si="255"/>
        <v>0</v>
      </c>
      <c r="AH360" s="50">
        <f t="shared" ca="1" si="255"/>
        <v>0</v>
      </c>
      <c r="AI360" s="50">
        <f t="shared" ca="1" si="255"/>
        <v>0</v>
      </c>
      <c r="AJ360" s="50">
        <f t="shared" ca="1" si="255"/>
        <v>0</v>
      </c>
      <c r="AK360" s="50">
        <f t="shared" ca="1" si="255"/>
        <v>0</v>
      </c>
      <c r="AL360" s="50">
        <f t="shared" si="255"/>
        <v>0</v>
      </c>
      <c r="AM360" s="50">
        <f t="shared" si="255"/>
        <v>0</v>
      </c>
      <c r="AN360" s="50">
        <f t="shared" si="255"/>
        <v>0</v>
      </c>
      <c r="AO360" s="50">
        <f t="shared" si="255"/>
        <v>0</v>
      </c>
      <c r="AP360" s="50">
        <f t="shared" si="255"/>
        <v>0</v>
      </c>
      <c r="AQ360" s="50">
        <f t="shared" si="255"/>
        <v>0</v>
      </c>
      <c r="AR360" s="50">
        <f t="shared" si="255"/>
        <v>0</v>
      </c>
      <c r="AS360" s="50">
        <f t="shared" si="255"/>
        <v>0</v>
      </c>
      <c r="AT360" s="50">
        <f t="shared" si="255"/>
        <v>0</v>
      </c>
      <c r="AU360" s="50">
        <f t="shared" si="255"/>
        <v>0</v>
      </c>
    </row>
    <row r="361" spans="1:47">
      <c r="A361" s="38" t="str">
        <f t="shared" si="248"/>
        <v>Custom-</v>
      </c>
      <c r="B361" s="38" t="s">
        <v>273</v>
      </c>
      <c r="C361" s="38" t="str">
        <f>C359</f>
        <v>Gravity Belt Thickener</v>
      </c>
      <c r="D361" s="186">
        <f>LaborEsc</f>
        <v>0.02</v>
      </c>
      <c r="E361" s="325"/>
      <c r="G361" s="36" t="s">
        <v>291</v>
      </c>
      <c r="I361" s="39"/>
      <c r="K361" s="39"/>
      <c r="L361" s="43" t="str">
        <f>"["&amp;CostBaseYr&amp;" $]"</f>
        <v>[2013 $]</v>
      </c>
      <c r="N361" s="70">
        <f ca="1">IF(VLOOKUP($C361,$G$69:$J$87,4,FALSE)="Off",0,SUMIFS(OFFSET(Assumptions!$I$90,0,MATCH($A361,Configurations,0)-1,COUNT(Assumptions!$A$90:$A$183),1),Assumptions!$D$90:$D$183,$B361&amp;$C361))</f>
        <v>0</v>
      </c>
      <c r="O361" s="313"/>
      <c r="P361" s="323"/>
      <c r="Q361" s="313"/>
      <c r="R361" s="50">
        <f t="shared" ref="R361:AU361" ca="1" si="256">IF(OR(R$99&lt;InServiceYr,R$99&gt;(InServiceYr+analysis_period-1)),0,IF($P361=0,$N361,$P361)*(1+$D361)^(R$99-CostBaseYr))*R$509</f>
        <v>0</v>
      </c>
      <c r="S361" s="50">
        <f t="shared" ca="1" si="256"/>
        <v>0</v>
      </c>
      <c r="T361" s="50">
        <f t="shared" ca="1" si="256"/>
        <v>0</v>
      </c>
      <c r="U361" s="50">
        <f t="shared" ca="1" si="256"/>
        <v>0</v>
      </c>
      <c r="V361" s="50">
        <f t="shared" ca="1" si="256"/>
        <v>0</v>
      </c>
      <c r="W361" s="50">
        <f t="shared" ca="1" si="256"/>
        <v>0</v>
      </c>
      <c r="X361" s="50">
        <f t="shared" ca="1" si="256"/>
        <v>0</v>
      </c>
      <c r="Y361" s="50">
        <f t="shared" ca="1" si="256"/>
        <v>0</v>
      </c>
      <c r="Z361" s="50">
        <f t="shared" ca="1" si="256"/>
        <v>0</v>
      </c>
      <c r="AA361" s="50">
        <f t="shared" ca="1" si="256"/>
        <v>0</v>
      </c>
      <c r="AB361" s="50">
        <f t="shared" ca="1" si="256"/>
        <v>0</v>
      </c>
      <c r="AC361" s="50">
        <f t="shared" ca="1" si="256"/>
        <v>0</v>
      </c>
      <c r="AD361" s="50">
        <f t="shared" ca="1" si="256"/>
        <v>0</v>
      </c>
      <c r="AE361" s="50">
        <f t="shared" ca="1" si="256"/>
        <v>0</v>
      </c>
      <c r="AF361" s="50">
        <f t="shared" ca="1" si="256"/>
        <v>0</v>
      </c>
      <c r="AG361" s="50">
        <f t="shared" ca="1" si="256"/>
        <v>0</v>
      </c>
      <c r="AH361" s="50">
        <f t="shared" ca="1" si="256"/>
        <v>0</v>
      </c>
      <c r="AI361" s="50">
        <f t="shared" ca="1" si="256"/>
        <v>0</v>
      </c>
      <c r="AJ361" s="50">
        <f t="shared" ca="1" si="256"/>
        <v>0</v>
      </c>
      <c r="AK361" s="50">
        <f t="shared" ca="1" si="256"/>
        <v>0</v>
      </c>
      <c r="AL361" s="50">
        <f t="shared" si="256"/>
        <v>0</v>
      </c>
      <c r="AM361" s="50">
        <f t="shared" si="256"/>
        <v>0</v>
      </c>
      <c r="AN361" s="50">
        <f t="shared" si="256"/>
        <v>0</v>
      </c>
      <c r="AO361" s="50">
        <f t="shared" si="256"/>
        <v>0</v>
      </c>
      <c r="AP361" s="50">
        <f t="shared" si="256"/>
        <v>0</v>
      </c>
      <c r="AQ361" s="50">
        <f t="shared" si="256"/>
        <v>0</v>
      </c>
      <c r="AR361" s="50">
        <f t="shared" si="256"/>
        <v>0</v>
      </c>
      <c r="AS361" s="50">
        <f t="shared" si="256"/>
        <v>0</v>
      </c>
      <c r="AT361" s="50">
        <f t="shared" si="256"/>
        <v>0</v>
      </c>
      <c r="AU361" s="50">
        <f t="shared" si="256"/>
        <v>0</v>
      </c>
    </row>
    <row r="362" spans="1:47">
      <c r="D362" s="186"/>
      <c r="E362" s="325"/>
      <c r="G362" s="39" t="s">
        <v>304</v>
      </c>
      <c r="I362" s="39"/>
      <c r="K362" s="39"/>
      <c r="L362" s="43"/>
      <c r="N362" s="70"/>
      <c r="O362" s="313"/>
      <c r="P362" s="70"/>
      <c r="Q362" s="313"/>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row>
    <row r="363" spans="1:47">
      <c r="A363" s="38" t="str">
        <f>$J$4&amp;"-"</f>
        <v>Custom-</v>
      </c>
      <c r="B363" s="38" t="s">
        <v>265</v>
      </c>
      <c r="C363" s="38" t="str">
        <f>C354</f>
        <v>Gravity Belt Thickener</v>
      </c>
      <c r="D363" s="186"/>
      <c r="E363" s="325"/>
      <c r="G363" s="36" t="s">
        <v>108</v>
      </c>
      <c r="I363" s="39"/>
      <c r="K363" s="39"/>
      <c r="L363" s="43" t="s">
        <v>293</v>
      </c>
      <c r="N363" s="70">
        <f ca="1">IF(VLOOKUP($C363,$G$69:$J$87,4,FALSE)="Off",0,SUMIFS(OFFSET(Assumptions!$I$90,0,MATCH($A363,Configurations,0)-1,COUNT(Assumptions!$A$90:$A$183),1),Assumptions!$D$90:$D$183,$B363&amp;$C363))</f>
        <v>0</v>
      </c>
      <c r="O363" s="313"/>
      <c r="P363" s="323"/>
      <c r="Q363" s="313"/>
      <c r="R363" s="50">
        <f t="shared" ref="R363:AU363" ca="1" si="257">IF(OR(R$99&lt;InServiceYr,R$99&gt;(InServiceYr+analysis_period-1)),0,IF($P363=0,$N363,$P363)*R$501)</f>
        <v>0</v>
      </c>
      <c r="S363" s="50">
        <f t="shared" ca="1" si="257"/>
        <v>0</v>
      </c>
      <c r="T363" s="50">
        <f t="shared" ca="1" si="257"/>
        <v>0</v>
      </c>
      <c r="U363" s="50">
        <f t="shared" ca="1" si="257"/>
        <v>0</v>
      </c>
      <c r="V363" s="50">
        <f t="shared" ca="1" si="257"/>
        <v>0</v>
      </c>
      <c r="W363" s="50">
        <f t="shared" ca="1" si="257"/>
        <v>0</v>
      </c>
      <c r="X363" s="50">
        <f t="shared" ca="1" si="257"/>
        <v>0</v>
      </c>
      <c r="Y363" s="50">
        <f t="shared" ca="1" si="257"/>
        <v>0</v>
      </c>
      <c r="Z363" s="50">
        <f t="shared" ca="1" si="257"/>
        <v>0</v>
      </c>
      <c r="AA363" s="50">
        <f t="shared" ca="1" si="257"/>
        <v>0</v>
      </c>
      <c r="AB363" s="50">
        <f t="shared" ca="1" si="257"/>
        <v>0</v>
      </c>
      <c r="AC363" s="50">
        <f t="shared" ca="1" si="257"/>
        <v>0</v>
      </c>
      <c r="AD363" s="50">
        <f t="shared" ca="1" si="257"/>
        <v>0</v>
      </c>
      <c r="AE363" s="50">
        <f t="shared" ca="1" si="257"/>
        <v>0</v>
      </c>
      <c r="AF363" s="50">
        <f t="shared" ca="1" si="257"/>
        <v>0</v>
      </c>
      <c r="AG363" s="50">
        <f t="shared" ca="1" si="257"/>
        <v>0</v>
      </c>
      <c r="AH363" s="50">
        <f t="shared" ca="1" si="257"/>
        <v>0</v>
      </c>
      <c r="AI363" s="50">
        <f t="shared" ca="1" si="257"/>
        <v>0</v>
      </c>
      <c r="AJ363" s="50">
        <f t="shared" ca="1" si="257"/>
        <v>0</v>
      </c>
      <c r="AK363" s="50">
        <f t="shared" ca="1" si="257"/>
        <v>0</v>
      </c>
      <c r="AL363" s="50">
        <f t="shared" si="257"/>
        <v>0</v>
      </c>
      <c r="AM363" s="50">
        <f t="shared" si="257"/>
        <v>0</v>
      </c>
      <c r="AN363" s="50">
        <f t="shared" si="257"/>
        <v>0</v>
      </c>
      <c r="AO363" s="50">
        <f t="shared" si="257"/>
        <v>0</v>
      </c>
      <c r="AP363" s="50">
        <f t="shared" si="257"/>
        <v>0</v>
      </c>
      <c r="AQ363" s="50">
        <f t="shared" si="257"/>
        <v>0</v>
      </c>
      <c r="AR363" s="50">
        <f t="shared" si="257"/>
        <v>0</v>
      </c>
      <c r="AS363" s="50">
        <f t="shared" si="257"/>
        <v>0</v>
      </c>
      <c r="AT363" s="50">
        <f t="shared" si="257"/>
        <v>0</v>
      </c>
      <c r="AU363" s="50">
        <f t="shared" si="257"/>
        <v>0</v>
      </c>
    </row>
    <row r="364" spans="1:47">
      <c r="A364" s="38" t="str">
        <f>$J$4&amp;"-"</f>
        <v>Custom-</v>
      </c>
      <c r="B364" s="38" t="s">
        <v>289</v>
      </c>
      <c r="C364" s="38" t="str">
        <f>C354</f>
        <v>Gravity Belt Thickener</v>
      </c>
      <c r="D364" s="186">
        <f>LaborEsc</f>
        <v>0.02</v>
      </c>
      <c r="E364" s="325"/>
      <c r="G364" s="36" t="s">
        <v>292</v>
      </c>
      <c r="I364" s="39"/>
      <c r="K364" s="39"/>
      <c r="L364" s="43" t="str">
        <f>"["&amp;CostBaseYr&amp;" $]"</f>
        <v>[2013 $]</v>
      </c>
      <c r="N364" s="70">
        <f ca="1">IF(VLOOKUP($C364,$G$69:$J$87,4,FALSE)="Off",0,SUMIFS(OFFSET(Assumptions!$I$90,0,MATCH($A364,Configurations,0)-1,COUNT(Assumptions!$A$90:$A$183),1),Assumptions!$D$90:$D$183,$B364&amp;$C364))</f>
        <v>0</v>
      </c>
      <c r="O364" s="313"/>
      <c r="P364" s="323"/>
      <c r="Q364" s="313"/>
      <c r="R364" s="50">
        <f t="shared" ref="R364:AU364" ca="1" si="258">IF(OR(R$99&lt;InServiceYr,R$99&gt;(InServiceYr+analysis_period-1)),0,IF($P364=0,$N364,$P364)*(1+$D364)^(R$99-CostBaseYr))</f>
        <v>0</v>
      </c>
      <c r="S364" s="50">
        <f t="shared" ca="1" si="258"/>
        <v>0</v>
      </c>
      <c r="T364" s="50">
        <f t="shared" ca="1" si="258"/>
        <v>0</v>
      </c>
      <c r="U364" s="50">
        <f t="shared" ca="1" si="258"/>
        <v>0</v>
      </c>
      <c r="V364" s="50">
        <f t="shared" ca="1" si="258"/>
        <v>0</v>
      </c>
      <c r="W364" s="50">
        <f t="shared" ca="1" si="258"/>
        <v>0</v>
      </c>
      <c r="X364" s="50">
        <f t="shared" ca="1" si="258"/>
        <v>0</v>
      </c>
      <c r="Y364" s="50">
        <f t="shared" ca="1" si="258"/>
        <v>0</v>
      </c>
      <c r="Z364" s="50">
        <f t="shared" ca="1" si="258"/>
        <v>0</v>
      </c>
      <c r="AA364" s="50">
        <f t="shared" ca="1" si="258"/>
        <v>0</v>
      </c>
      <c r="AB364" s="50">
        <f t="shared" ca="1" si="258"/>
        <v>0</v>
      </c>
      <c r="AC364" s="50">
        <f t="shared" ca="1" si="258"/>
        <v>0</v>
      </c>
      <c r="AD364" s="50">
        <f t="shared" ca="1" si="258"/>
        <v>0</v>
      </c>
      <c r="AE364" s="50">
        <f t="shared" ca="1" si="258"/>
        <v>0</v>
      </c>
      <c r="AF364" s="50">
        <f t="shared" ca="1" si="258"/>
        <v>0</v>
      </c>
      <c r="AG364" s="50">
        <f t="shared" ca="1" si="258"/>
        <v>0</v>
      </c>
      <c r="AH364" s="50">
        <f t="shared" ca="1" si="258"/>
        <v>0</v>
      </c>
      <c r="AI364" s="50">
        <f t="shared" ca="1" si="258"/>
        <v>0</v>
      </c>
      <c r="AJ364" s="50">
        <f t="shared" ca="1" si="258"/>
        <v>0</v>
      </c>
      <c r="AK364" s="50">
        <f t="shared" ca="1" si="258"/>
        <v>0</v>
      </c>
      <c r="AL364" s="50">
        <f t="shared" si="258"/>
        <v>0</v>
      </c>
      <c r="AM364" s="50">
        <f t="shared" si="258"/>
        <v>0</v>
      </c>
      <c r="AN364" s="50">
        <f t="shared" si="258"/>
        <v>0</v>
      </c>
      <c r="AO364" s="50">
        <f t="shared" si="258"/>
        <v>0</v>
      </c>
      <c r="AP364" s="50">
        <f t="shared" si="258"/>
        <v>0</v>
      </c>
      <c r="AQ364" s="50">
        <f t="shared" si="258"/>
        <v>0</v>
      </c>
      <c r="AR364" s="50">
        <f t="shared" si="258"/>
        <v>0</v>
      </c>
      <c r="AS364" s="50">
        <f t="shared" si="258"/>
        <v>0</v>
      </c>
      <c r="AT364" s="50">
        <f t="shared" si="258"/>
        <v>0</v>
      </c>
      <c r="AU364" s="50">
        <f t="shared" si="258"/>
        <v>0</v>
      </c>
    </row>
    <row r="365" spans="1:47" s="60" customFormat="1">
      <c r="D365" s="187"/>
      <c r="E365" s="325"/>
      <c r="G365" s="39" t="s">
        <v>305</v>
      </c>
      <c r="I365" s="39"/>
      <c r="K365" s="39"/>
      <c r="L365" s="174"/>
      <c r="N365" s="188"/>
      <c r="O365" s="314"/>
      <c r="P365" s="185"/>
      <c r="Q365" s="314"/>
      <c r="R365" s="185">
        <f ca="1">SUM(R354:R361)-SUM(R363:R364)</f>
        <v>0</v>
      </c>
      <c r="S365" s="185">
        <f t="shared" ref="S365:AU365" ca="1" si="259">SUM(S354:S361)-SUM(S363:S364)</f>
        <v>0</v>
      </c>
      <c r="T365" s="185">
        <f t="shared" ca="1" si="259"/>
        <v>0</v>
      </c>
      <c r="U365" s="185">
        <f t="shared" ca="1" si="259"/>
        <v>0</v>
      </c>
      <c r="V365" s="185">
        <f t="shared" ca="1" si="259"/>
        <v>0</v>
      </c>
      <c r="W365" s="185">
        <f t="shared" ca="1" si="259"/>
        <v>0</v>
      </c>
      <c r="X365" s="185">
        <f t="shared" ca="1" si="259"/>
        <v>0</v>
      </c>
      <c r="Y365" s="185">
        <f t="shared" ca="1" si="259"/>
        <v>0</v>
      </c>
      <c r="Z365" s="185">
        <f t="shared" ca="1" si="259"/>
        <v>0</v>
      </c>
      <c r="AA365" s="185">
        <f t="shared" ca="1" si="259"/>
        <v>0</v>
      </c>
      <c r="AB365" s="185">
        <f t="shared" ca="1" si="259"/>
        <v>0</v>
      </c>
      <c r="AC365" s="185">
        <f t="shared" ca="1" si="259"/>
        <v>0</v>
      </c>
      <c r="AD365" s="185">
        <f t="shared" ca="1" si="259"/>
        <v>0</v>
      </c>
      <c r="AE365" s="185">
        <f t="shared" ca="1" si="259"/>
        <v>0</v>
      </c>
      <c r="AF365" s="185">
        <f t="shared" ca="1" si="259"/>
        <v>0</v>
      </c>
      <c r="AG365" s="185">
        <f t="shared" ca="1" si="259"/>
        <v>0</v>
      </c>
      <c r="AH365" s="185">
        <f t="shared" ca="1" si="259"/>
        <v>0</v>
      </c>
      <c r="AI365" s="185">
        <f t="shared" ca="1" si="259"/>
        <v>0</v>
      </c>
      <c r="AJ365" s="185">
        <f t="shared" ca="1" si="259"/>
        <v>0</v>
      </c>
      <c r="AK365" s="185">
        <f t="shared" ca="1" si="259"/>
        <v>0</v>
      </c>
      <c r="AL365" s="185">
        <f t="shared" si="259"/>
        <v>0</v>
      </c>
      <c r="AM365" s="185">
        <f t="shared" si="259"/>
        <v>0</v>
      </c>
      <c r="AN365" s="185">
        <f t="shared" si="259"/>
        <v>0</v>
      </c>
      <c r="AO365" s="185">
        <f t="shared" si="259"/>
        <v>0</v>
      </c>
      <c r="AP365" s="185">
        <f t="shared" si="259"/>
        <v>0</v>
      </c>
      <c r="AQ365" s="185">
        <f t="shared" si="259"/>
        <v>0</v>
      </c>
      <c r="AR365" s="185">
        <f t="shared" si="259"/>
        <v>0</v>
      </c>
      <c r="AS365" s="185">
        <f t="shared" si="259"/>
        <v>0</v>
      </c>
      <c r="AT365" s="185">
        <f t="shared" si="259"/>
        <v>0</v>
      </c>
      <c r="AU365" s="185">
        <f t="shared" si="259"/>
        <v>0</v>
      </c>
    </row>
    <row r="366" spans="1:47">
      <c r="E366" s="36"/>
      <c r="G366" s="39"/>
      <c r="H366" s="39"/>
      <c r="I366" s="39"/>
      <c r="J366" s="39"/>
      <c r="K366" s="39"/>
    </row>
    <row r="367" spans="1:47">
      <c r="E367" s="327"/>
      <c r="F367" s="28"/>
      <c r="G367" s="324" t="str">
        <f>C369&amp;" Capital Costs"</f>
        <v>Gravity Thickener Capital Costs</v>
      </c>
      <c r="H367" s="324"/>
      <c r="I367" s="324"/>
      <c r="J367" s="324"/>
      <c r="K367" s="324"/>
      <c r="L367" s="405" t="s">
        <v>79</v>
      </c>
      <c r="M367" s="256"/>
      <c r="N367" s="325" t="s">
        <v>490</v>
      </c>
      <c r="O367" s="311"/>
      <c r="P367" s="325" t="s">
        <v>491</v>
      </c>
      <c r="Q367" s="310"/>
      <c r="R367" s="325">
        <f>R$8</f>
        <v>2014</v>
      </c>
      <c r="S367" s="325">
        <f t="shared" ref="S367:AU367" si="260">S$8</f>
        <v>2015</v>
      </c>
      <c r="T367" s="325">
        <f t="shared" si="260"/>
        <v>2016</v>
      </c>
      <c r="U367" s="325">
        <f t="shared" si="260"/>
        <v>2017</v>
      </c>
      <c r="V367" s="325">
        <f t="shared" si="260"/>
        <v>2018</v>
      </c>
      <c r="W367" s="325">
        <f t="shared" si="260"/>
        <v>2019</v>
      </c>
      <c r="X367" s="325">
        <f t="shared" si="260"/>
        <v>2020</v>
      </c>
      <c r="Y367" s="325">
        <f t="shared" si="260"/>
        <v>2021</v>
      </c>
      <c r="Z367" s="325">
        <f t="shared" si="260"/>
        <v>2022</v>
      </c>
      <c r="AA367" s="325">
        <f t="shared" si="260"/>
        <v>2023</v>
      </c>
      <c r="AB367" s="325">
        <f t="shared" si="260"/>
        <v>2024</v>
      </c>
      <c r="AC367" s="325">
        <f t="shared" si="260"/>
        <v>2025</v>
      </c>
      <c r="AD367" s="325">
        <f t="shared" si="260"/>
        <v>2026</v>
      </c>
      <c r="AE367" s="325">
        <f t="shared" si="260"/>
        <v>2027</v>
      </c>
      <c r="AF367" s="325">
        <f t="shared" si="260"/>
        <v>2028</v>
      </c>
      <c r="AG367" s="325">
        <f t="shared" si="260"/>
        <v>2029</v>
      </c>
      <c r="AH367" s="325">
        <f t="shared" si="260"/>
        <v>2030</v>
      </c>
      <c r="AI367" s="325">
        <f t="shared" si="260"/>
        <v>2031</v>
      </c>
      <c r="AJ367" s="325">
        <f t="shared" si="260"/>
        <v>2032</v>
      </c>
      <c r="AK367" s="325">
        <f t="shared" si="260"/>
        <v>2033</v>
      </c>
      <c r="AL367" s="325">
        <f t="shared" si="260"/>
        <v>2034</v>
      </c>
      <c r="AM367" s="325">
        <f t="shared" si="260"/>
        <v>2035</v>
      </c>
      <c r="AN367" s="325">
        <f t="shared" si="260"/>
        <v>2036</v>
      </c>
      <c r="AO367" s="325">
        <f t="shared" si="260"/>
        <v>2037</v>
      </c>
      <c r="AP367" s="325">
        <f t="shared" si="260"/>
        <v>2038</v>
      </c>
      <c r="AQ367" s="325">
        <f t="shared" si="260"/>
        <v>2039</v>
      </c>
      <c r="AR367" s="325">
        <f t="shared" si="260"/>
        <v>2040</v>
      </c>
      <c r="AS367" s="325">
        <f t="shared" si="260"/>
        <v>2041</v>
      </c>
      <c r="AT367" s="325">
        <f t="shared" si="260"/>
        <v>2042</v>
      </c>
      <c r="AU367" s="325">
        <f t="shared" si="260"/>
        <v>2043</v>
      </c>
    </row>
    <row r="368" spans="1:47">
      <c r="E368" s="325"/>
      <c r="G368" s="39"/>
      <c r="H368" s="39"/>
      <c r="I368" s="39"/>
      <c r="J368" s="39"/>
      <c r="K368" s="39"/>
    </row>
    <row r="369" spans="1:47">
      <c r="A369" s="38" t="str">
        <f>$J$4&amp;"-"</f>
        <v>Custom-</v>
      </c>
      <c r="B369" s="38" t="s">
        <v>306</v>
      </c>
      <c r="C369" s="38" t="s">
        <v>29</v>
      </c>
      <c r="D369" s="186">
        <f>CapExEsc</f>
        <v>0.03</v>
      </c>
      <c r="E369" s="325"/>
      <c r="G369" s="36" t="s">
        <v>8</v>
      </c>
      <c r="H369" s="39"/>
      <c r="I369" s="39"/>
      <c r="J369" s="70"/>
      <c r="K369" s="39"/>
      <c r="L369" s="43" t="str">
        <f>"["&amp;CostBaseYr&amp;" $]"</f>
        <v>[2013 $]</v>
      </c>
      <c r="N369" s="52">
        <f ca="1">IF(VLOOKUP($C369,$G$69:$J$87,4,FALSE)="Off", 0,SUMIFS(OFFSET(Assumptions!$I$65,0,MATCH($A369,Configurations,0)-1,COUNT(Assumptions!$A$65:$A$84),1),Assumptions!$E$65:$E$84,$C369))</f>
        <v>0</v>
      </c>
      <c r="O369" s="52"/>
      <c r="P369" s="322"/>
      <c r="Q369" s="52"/>
      <c r="R369" s="52">
        <f t="shared" ref="R369:AU369" ca="1" si="261">R370*IF($P369=0,$N369,$P369)*(1+$D369)^(R$8-CostBaseYr)</f>
        <v>0</v>
      </c>
      <c r="S369" s="52">
        <f t="shared" ca="1" si="261"/>
        <v>0</v>
      </c>
      <c r="T369" s="52">
        <f t="shared" ca="1" si="261"/>
        <v>0</v>
      </c>
      <c r="U369" s="52">
        <f t="shared" ca="1" si="261"/>
        <v>0</v>
      </c>
      <c r="V369" s="52">
        <f t="shared" ca="1" si="261"/>
        <v>0</v>
      </c>
      <c r="W369" s="52">
        <f t="shared" ca="1" si="261"/>
        <v>0</v>
      </c>
      <c r="X369" s="52">
        <f t="shared" ca="1" si="261"/>
        <v>0</v>
      </c>
      <c r="Y369" s="52">
        <f t="shared" ca="1" si="261"/>
        <v>0</v>
      </c>
      <c r="Z369" s="52">
        <f t="shared" ca="1" si="261"/>
        <v>0</v>
      </c>
      <c r="AA369" s="52">
        <f t="shared" ca="1" si="261"/>
        <v>0</v>
      </c>
      <c r="AB369" s="52">
        <f t="shared" ca="1" si="261"/>
        <v>0</v>
      </c>
      <c r="AC369" s="52">
        <f t="shared" ca="1" si="261"/>
        <v>0</v>
      </c>
      <c r="AD369" s="52">
        <f t="shared" ca="1" si="261"/>
        <v>0</v>
      </c>
      <c r="AE369" s="52">
        <f t="shared" ca="1" si="261"/>
        <v>0</v>
      </c>
      <c r="AF369" s="52">
        <f t="shared" ca="1" si="261"/>
        <v>0</v>
      </c>
      <c r="AG369" s="52">
        <f t="shared" ca="1" si="261"/>
        <v>0</v>
      </c>
      <c r="AH369" s="52">
        <f t="shared" ca="1" si="261"/>
        <v>0</v>
      </c>
      <c r="AI369" s="52">
        <f t="shared" ca="1" si="261"/>
        <v>0</v>
      </c>
      <c r="AJ369" s="52">
        <f t="shared" ca="1" si="261"/>
        <v>0</v>
      </c>
      <c r="AK369" s="52">
        <f t="shared" ca="1" si="261"/>
        <v>0</v>
      </c>
      <c r="AL369" s="52">
        <f t="shared" ca="1" si="261"/>
        <v>0</v>
      </c>
      <c r="AM369" s="52">
        <f t="shared" ca="1" si="261"/>
        <v>0</v>
      </c>
      <c r="AN369" s="52">
        <f t="shared" ca="1" si="261"/>
        <v>0</v>
      </c>
      <c r="AO369" s="52">
        <f t="shared" ca="1" si="261"/>
        <v>0</v>
      </c>
      <c r="AP369" s="52">
        <f t="shared" ca="1" si="261"/>
        <v>0</v>
      </c>
      <c r="AQ369" s="52">
        <f t="shared" ca="1" si="261"/>
        <v>0</v>
      </c>
      <c r="AR369" s="52">
        <f t="shared" ca="1" si="261"/>
        <v>0</v>
      </c>
      <c r="AS369" s="52">
        <f t="shared" ca="1" si="261"/>
        <v>0</v>
      </c>
      <c r="AT369" s="52">
        <f t="shared" ca="1" si="261"/>
        <v>0</v>
      </c>
      <c r="AU369" s="52">
        <f t="shared" ca="1" si="261"/>
        <v>0</v>
      </c>
    </row>
    <row r="370" spans="1:47">
      <c r="E370" s="325"/>
      <c r="G370" s="36" t="s">
        <v>10</v>
      </c>
      <c r="H370" s="39"/>
      <c r="I370" s="39"/>
      <c r="J370" s="39"/>
      <c r="K370" s="39"/>
      <c r="L370" s="43"/>
      <c r="R370" s="54">
        <f>Assumptions!M$60</f>
        <v>1</v>
      </c>
      <c r="S370" s="54">
        <f>Assumptions!N$60</f>
        <v>0</v>
      </c>
      <c r="T370" s="54">
        <f>Assumptions!O$60</f>
        <v>0</v>
      </c>
      <c r="U370" s="54">
        <f>Assumptions!P$60</f>
        <v>0</v>
      </c>
      <c r="V370" s="54">
        <f>Assumptions!Q$60</f>
        <v>0</v>
      </c>
      <c r="W370" s="54">
        <f>Assumptions!R$60</f>
        <v>0</v>
      </c>
      <c r="X370" s="54">
        <f>Assumptions!S$60</f>
        <v>0</v>
      </c>
      <c r="Y370" s="54">
        <f>Assumptions!T$60</f>
        <v>0</v>
      </c>
      <c r="Z370" s="54">
        <f>Assumptions!U$60</f>
        <v>0</v>
      </c>
      <c r="AA370" s="54">
        <f>Assumptions!V$60</f>
        <v>0</v>
      </c>
      <c r="AB370" s="54">
        <f>Assumptions!W$60</f>
        <v>0</v>
      </c>
      <c r="AC370" s="54">
        <f>Assumptions!X$60</f>
        <v>0</v>
      </c>
      <c r="AD370" s="54">
        <f>Assumptions!Y$60</f>
        <v>0</v>
      </c>
      <c r="AE370" s="54">
        <f>Assumptions!Z$60</f>
        <v>0</v>
      </c>
      <c r="AF370" s="54">
        <f>Assumptions!AA$60</f>
        <v>0</v>
      </c>
      <c r="AG370" s="54">
        <f>Assumptions!AB$60</f>
        <v>0</v>
      </c>
      <c r="AH370" s="54">
        <f>Assumptions!AC$60</f>
        <v>0</v>
      </c>
      <c r="AI370" s="54">
        <f>Assumptions!AD$60</f>
        <v>0</v>
      </c>
      <c r="AJ370" s="54">
        <f>Assumptions!AE$60</f>
        <v>0</v>
      </c>
      <c r="AK370" s="54">
        <f>Assumptions!AF$60</f>
        <v>0</v>
      </c>
      <c r="AL370" s="54">
        <f>Assumptions!AG$60</f>
        <v>0</v>
      </c>
      <c r="AM370" s="54">
        <f>Assumptions!AH$60</f>
        <v>0</v>
      </c>
      <c r="AN370" s="54">
        <f>Assumptions!AI$60</f>
        <v>0</v>
      </c>
      <c r="AO370" s="54">
        <f>Assumptions!AJ$60</f>
        <v>0</v>
      </c>
      <c r="AP370" s="54">
        <f>Assumptions!AK$60</f>
        <v>0</v>
      </c>
      <c r="AQ370" s="54">
        <f>Assumptions!AL$60</f>
        <v>0</v>
      </c>
      <c r="AR370" s="54">
        <f>Assumptions!AM$60</f>
        <v>0</v>
      </c>
      <c r="AS370" s="54">
        <f>Assumptions!AN$60</f>
        <v>0</v>
      </c>
      <c r="AT370" s="54">
        <f>Assumptions!AO$60</f>
        <v>0</v>
      </c>
      <c r="AU370" s="54">
        <f>Assumptions!AP$60</f>
        <v>0</v>
      </c>
    </row>
    <row r="371" spans="1:47">
      <c r="E371" s="326"/>
      <c r="G371" s="39"/>
      <c r="H371" s="39"/>
      <c r="I371" s="39"/>
      <c r="J371" s="39"/>
      <c r="K371" s="39"/>
    </row>
    <row r="372" spans="1:47">
      <c r="E372" s="327"/>
      <c r="F372" s="28"/>
      <c r="G372" s="324" t="str">
        <f>C369&amp;" O&amp;M"</f>
        <v>Gravity Thickener O&amp;M</v>
      </c>
      <c r="H372" s="324"/>
      <c r="I372" s="324"/>
      <c r="J372" s="324"/>
      <c r="K372" s="324"/>
      <c r="L372" s="405" t="s">
        <v>79</v>
      </c>
      <c r="M372" s="256"/>
      <c r="N372" s="325" t="s">
        <v>490</v>
      </c>
      <c r="O372" s="311"/>
      <c r="P372" s="325" t="s">
        <v>491</v>
      </c>
      <c r="Q372" s="310"/>
      <c r="R372" s="325">
        <f>R$8</f>
        <v>2014</v>
      </c>
      <c r="S372" s="325">
        <f t="shared" ref="S372:AU372" si="262">S$8</f>
        <v>2015</v>
      </c>
      <c r="T372" s="325">
        <f t="shared" si="262"/>
        <v>2016</v>
      </c>
      <c r="U372" s="325">
        <f t="shared" si="262"/>
        <v>2017</v>
      </c>
      <c r="V372" s="325">
        <f t="shared" si="262"/>
        <v>2018</v>
      </c>
      <c r="W372" s="325">
        <f t="shared" si="262"/>
        <v>2019</v>
      </c>
      <c r="X372" s="325">
        <f t="shared" si="262"/>
        <v>2020</v>
      </c>
      <c r="Y372" s="325">
        <f t="shared" si="262"/>
        <v>2021</v>
      </c>
      <c r="Z372" s="325">
        <f t="shared" si="262"/>
        <v>2022</v>
      </c>
      <c r="AA372" s="325">
        <f t="shared" si="262"/>
        <v>2023</v>
      </c>
      <c r="AB372" s="325">
        <f t="shared" si="262"/>
        <v>2024</v>
      </c>
      <c r="AC372" s="325">
        <f t="shared" si="262"/>
        <v>2025</v>
      </c>
      <c r="AD372" s="325">
        <f t="shared" si="262"/>
        <v>2026</v>
      </c>
      <c r="AE372" s="325">
        <f t="shared" si="262"/>
        <v>2027</v>
      </c>
      <c r="AF372" s="325">
        <f t="shared" si="262"/>
        <v>2028</v>
      </c>
      <c r="AG372" s="325">
        <f t="shared" si="262"/>
        <v>2029</v>
      </c>
      <c r="AH372" s="325">
        <f t="shared" si="262"/>
        <v>2030</v>
      </c>
      <c r="AI372" s="325">
        <f t="shared" si="262"/>
        <v>2031</v>
      </c>
      <c r="AJ372" s="325">
        <f t="shared" si="262"/>
        <v>2032</v>
      </c>
      <c r="AK372" s="325">
        <f t="shared" si="262"/>
        <v>2033</v>
      </c>
      <c r="AL372" s="325">
        <f t="shared" si="262"/>
        <v>2034</v>
      </c>
      <c r="AM372" s="325">
        <f t="shared" si="262"/>
        <v>2035</v>
      </c>
      <c r="AN372" s="325">
        <f t="shared" si="262"/>
        <v>2036</v>
      </c>
      <c r="AO372" s="325">
        <f t="shared" si="262"/>
        <v>2037</v>
      </c>
      <c r="AP372" s="325">
        <f t="shared" si="262"/>
        <v>2038</v>
      </c>
      <c r="AQ372" s="325">
        <f t="shared" si="262"/>
        <v>2039</v>
      </c>
      <c r="AR372" s="325">
        <f t="shared" si="262"/>
        <v>2040</v>
      </c>
      <c r="AS372" s="325">
        <f t="shared" si="262"/>
        <v>2041</v>
      </c>
      <c r="AT372" s="325">
        <f t="shared" si="262"/>
        <v>2042</v>
      </c>
      <c r="AU372" s="325">
        <f t="shared" si="262"/>
        <v>2043</v>
      </c>
    </row>
    <row r="373" spans="1:47">
      <c r="E373" s="325"/>
      <c r="G373" s="39"/>
      <c r="H373" s="39"/>
      <c r="I373" s="39"/>
      <c r="J373" s="39"/>
      <c r="K373" s="39"/>
    </row>
    <row r="374" spans="1:47">
      <c r="E374" s="325"/>
      <c r="G374" s="39" t="s">
        <v>23</v>
      </c>
      <c r="H374" s="39"/>
      <c r="I374" s="39"/>
      <c r="J374" s="39"/>
      <c r="K374" s="39"/>
    </row>
    <row r="375" spans="1:47">
      <c r="A375" s="38" t="str">
        <f t="shared" ref="A375:A382" si="263">$J$4&amp;"-"</f>
        <v>Custom-</v>
      </c>
      <c r="B375" s="38" t="s">
        <v>262</v>
      </c>
      <c r="C375" s="38" t="str">
        <f>C369</f>
        <v>Gravity Thickener</v>
      </c>
      <c r="D375" s="186">
        <f>LaborEsc</f>
        <v>0.02</v>
      </c>
      <c r="E375" s="325"/>
      <c r="G375" s="36" t="s">
        <v>125</v>
      </c>
      <c r="I375" s="39"/>
      <c r="K375" s="39"/>
      <c r="L375" s="43" t="s">
        <v>266</v>
      </c>
      <c r="N375" s="70">
        <f ca="1">IF(VLOOKUP($C375,$G$69:$J$87,4,FALSE)="Off",0,SUMIFS(OFFSET(Assumptions!$I$90,0,MATCH($A375,Configurations,0)-1,COUNT(Assumptions!$A$90:$A$183),1),Assumptions!$D$90:$D$183,$B375&amp;$C375))</f>
        <v>0</v>
      </c>
      <c r="O375" s="313"/>
      <c r="P375" s="323"/>
      <c r="Q375" s="313"/>
      <c r="R375" s="50">
        <f t="shared" ref="R375:AU375" ca="1" si="264">IF(OR(R$99&lt;InServiceYr,R$99&gt;(InServiceYr+analysis_period-1)),0,IF($P375=0,$N375,$P375)*LaborCost*(1+$D375)^(R$99-CostBaseYr))</f>
        <v>0</v>
      </c>
      <c r="S375" s="50">
        <f t="shared" ca="1" si="264"/>
        <v>0</v>
      </c>
      <c r="T375" s="50">
        <f t="shared" ca="1" si="264"/>
        <v>0</v>
      </c>
      <c r="U375" s="50">
        <f t="shared" ca="1" si="264"/>
        <v>0</v>
      </c>
      <c r="V375" s="50">
        <f t="shared" ca="1" si="264"/>
        <v>0</v>
      </c>
      <c r="W375" s="50">
        <f t="shared" ca="1" si="264"/>
        <v>0</v>
      </c>
      <c r="X375" s="50">
        <f t="shared" ca="1" si="264"/>
        <v>0</v>
      </c>
      <c r="Y375" s="50">
        <f t="shared" ca="1" si="264"/>
        <v>0</v>
      </c>
      <c r="Z375" s="50">
        <f t="shared" ca="1" si="264"/>
        <v>0</v>
      </c>
      <c r="AA375" s="50">
        <f t="shared" ca="1" si="264"/>
        <v>0</v>
      </c>
      <c r="AB375" s="50">
        <f t="shared" ca="1" si="264"/>
        <v>0</v>
      </c>
      <c r="AC375" s="50">
        <f t="shared" ca="1" si="264"/>
        <v>0</v>
      </c>
      <c r="AD375" s="50">
        <f t="shared" ca="1" si="264"/>
        <v>0</v>
      </c>
      <c r="AE375" s="50">
        <f t="shared" ca="1" si="264"/>
        <v>0</v>
      </c>
      <c r="AF375" s="50">
        <f t="shared" ca="1" si="264"/>
        <v>0</v>
      </c>
      <c r="AG375" s="50">
        <f t="shared" ca="1" si="264"/>
        <v>0</v>
      </c>
      <c r="AH375" s="50">
        <f t="shared" ca="1" si="264"/>
        <v>0</v>
      </c>
      <c r="AI375" s="50">
        <f t="shared" ca="1" si="264"/>
        <v>0</v>
      </c>
      <c r="AJ375" s="50">
        <f t="shared" ca="1" si="264"/>
        <v>0</v>
      </c>
      <c r="AK375" s="50">
        <f t="shared" ca="1" si="264"/>
        <v>0</v>
      </c>
      <c r="AL375" s="50">
        <f t="shared" si="264"/>
        <v>0</v>
      </c>
      <c r="AM375" s="50">
        <f t="shared" si="264"/>
        <v>0</v>
      </c>
      <c r="AN375" s="50">
        <f t="shared" si="264"/>
        <v>0</v>
      </c>
      <c r="AO375" s="50">
        <f t="shared" si="264"/>
        <v>0</v>
      </c>
      <c r="AP375" s="50">
        <f t="shared" si="264"/>
        <v>0</v>
      </c>
      <c r="AQ375" s="50">
        <f t="shared" si="264"/>
        <v>0</v>
      </c>
      <c r="AR375" s="50">
        <f t="shared" si="264"/>
        <v>0</v>
      </c>
      <c r="AS375" s="50">
        <f t="shared" si="264"/>
        <v>0</v>
      </c>
      <c r="AT375" s="50">
        <f t="shared" si="264"/>
        <v>0</v>
      </c>
      <c r="AU375" s="50">
        <f t="shared" si="264"/>
        <v>0</v>
      </c>
    </row>
    <row r="376" spans="1:47">
      <c r="A376" s="38" t="str">
        <f t="shared" si="263"/>
        <v>Custom-</v>
      </c>
      <c r="B376" s="38" t="s">
        <v>270</v>
      </c>
      <c r="C376" s="38" t="str">
        <f>C375</f>
        <v>Gravity Thickener</v>
      </c>
      <c r="D376" s="186">
        <f>OMEsc</f>
        <v>0.02</v>
      </c>
      <c r="E376" s="325"/>
      <c r="G376" s="36" t="s">
        <v>126</v>
      </c>
      <c r="I376" s="39"/>
      <c r="K376" s="39"/>
      <c r="L376" s="43" t="str">
        <f>"["&amp;CostBaseYr&amp;" $]"</f>
        <v>[2013 $]</v>
      </c>
      <c r="N376" s="70">
        <f ca="1">IF(VLOOKUP($C376,$G$69:$J$87,4,FALSE)="Off",0,SUMIFS(OFFSET(Assumptions!$I$90,0,MATCH($A376,Configurations,0)-1,COUNT(Assumptions!$A$90:$A$183),1),Assumptions!$D$90:$D$183,$B376&amp;$C376))</f>
        <v>0</v>
      </c>
      <c r="O376" s="313"/>
      <c r="P376" s="323"/>
      <c r="Q376" s="313"/>
      <c r="R376" s="50">
        <f t="shared" ref="R376:AG378" ca="1" si="265">IF(OR(R$99&lt;InServiceYr,R$99&gt;(InServiceYr+analysis_period-1)),0,IF($P376=0,$N376,$P376)*(1+$D376)^(R$99-CostBaseYr))</f>
        <v>0</v>
      </c>
      <c r="S376" s="50">
        <f t="shared" ca="1" si="265"/>
        <v>0</v>
      </c>
      <c r="T376" s="50">
        <f t="shared" ca="1" si="265"/>
        <v>0</v>
      </c>
      <c r="U376" s="50">
        <f t="shared" ca="1" si="265"/>
        <v>0</v>
      </c>
      <c r="V376" s="50">
        <f t="shared" ca="1" si="265"/>
        <v>0</v>
      </c>
      <c r="W376" s="50">
        <f t="shared" ca="1" si="265"/>
        <v>0</v>
      </c>
      <c r="X376" s="50">
        <f t="shared" ca="1" si="265"/>
        <v>0</v>
      </c>
      <c r="Y376" s="50">
        <f t="shared" ca="1" si="265"/>
        <v>0</v>
      </c>
      <c r="Z376" s="50">
        <f t="shared" ca="1" si="265"/>
        <v>0</v>
      </c>
      <c r="AA376" s="50">
        <f t="shared" ca="1" si="265"/>
        <v>0</v>
      </c>
      <c r="AB376" s="50">
        <f t="shared" ca="1" si="265"/>
        <v>0</v>
      </c>
      <c r="AC376" s="50">
        <f t="shared" ca="1" si="265"/>
        <v>0</v>
      </c>
      <c r="AD376" s="50">
        <f t="shared" ca="1" si="265"/>
        <v>0</v>
      </c>
      <c r="AE376" s="50">
        <f t="shared" ca="1" si="265"/>
        <v>0</v>
      </c>
      <c r="AF376" s="50">
        <f t="shared" ca="1" si="265"/>
        <v>0</v>
      </c>
      <c r="AG376" s="50">
        <f t="shared" ca="1" si="265"/>
        <v>0</v>
      </c>
      <c r="AH376" s="50">
        <f t="shared" ref="S376:AU378" ca="1" si="266">IF(OR(AH$99&lt;InServiceYr,AH$99&gt;(InServiceYr+analysis_period-1)),0,IF($P376=0,$N376,$P376)*(1+$D376)^(AH$99-CostBaseYr))</f>
        <v>0</v>
      </c>
      <c r="AI376" s="50">
        <f t="shared" ca="1" si="266"/>
        <v>0</v>
      </c>
      <c r="AJ376" s="50">
        <f t="shared" ca="1" si="266"/>
        <v>0</v>
      </c>
      <c r="AK376" s="50">
        <f t="shared" ca="1" si="266"/>
        <v>0</v>
      </c>
      <c r="AL376" s="50">
        <f t="shared" si="266"/>
        <v>0</v>
      </c>
      <c r="AM376" s="50">
        <f t="shared" si="266"/>
        <v>0</v>
      </c>
      <c r="AN376" s="50">
        <f t="shared" si="266"/>
        <v>0</v>
      </c>
      <c r="AO376" s="50">
        <f t="shared" si="266"/>
        <v>0</v>
      </c>
      <c r="AP376" s="50">
        <f t="shared" si="266"/>
        <v>0</v>
      </c>
      <c r="AQ376" s="50">
        <f t="shared" si="266"/>
        <v>0</v>
      </c>
      <c r="AR376" s="50">
        <f t="shared" si="266"/>
        <v>0</v>
      </c>
      <c r="AS376" s="50">
        <f t="shared" si="266"/>
        <v>0</v>
      </c>
      <c r="AT376" s="50">
        <f t="shared" si="266"/>
        <v>0</v>
      </c>
      <c r="AU376" s="50">
        <f t="shared" si="266"/>
        <v>0</v>
      </c>
    </row>
    <row r="377" spans="1:47">
      <c r="A377" s="38" t="str">
        <f t="shared" si="263"/>
        <v>Custom-</v>
      </c>
      <c r="B377" s="38" t="s">
        <v>263</v>
      </c>
      <c r="C377" s="38" t="str">
        <f t="shared" ref="C377:C381" si="267">C376</f>
        <v>Gravity Thickener</v>
      </c>
      <c r="D377" s="186">
        <f>OMEsc</f>
        <v>0.02</v>
      </c>
      <c r="E377" s="325"/>
      <c r="G377" s="36" t="s">
        <v>127</v>
      </c>
      <c r="I377" s="39"/>
      <c r="K377" s="39"/>
      <c r="L377" s="43" t="str">
        <f>"["&amp;CostBaseYr&amp;" $]"</f>
        <v>[2013 $]</v>
      </c>
      <c r="N377" s="70">
        <f ca="1">IF(VLOOKUP($C377,$G$69:$J$87,4,FALSE)="Off",0,SUMIFS(OFFSET(Assumptions!$I$90,0,MATCH($A377,Configurations,0)-1,COUNT(Assumptions!$A$90:$A$183),1),Assumptions!$D$90:$D$183,$B377&amp;$C377))</f>
        <v>0</v>
      </c>
      <c r="O377" s="313"/>
      <c r="P377" s="323"/>
      <c r="Q377" s="313"/>
      <c r="R377" s="50">
        <f t="shared" ca="1" si="265"/>
        <v>0</v>
      </c>
      <c r="S377" s="50">
        <f t="shared" ca="1" si="266"/>
        <v>0</v>
      </c>
      <c r="T377" s="50">
        <f t="shared" ca="1" si="266"/>
        <v>0</v>
      </c>
      <c r="U377" s="50">
        <f t="shared" ca="1" si="266"/>
        <v>0</v>
      </c>
      <c r="V377" s="50">
        <f t="shared" ca="1" si="266"/>
        <v>0</v>
      </c>
      <c r="W377" s="50">
        <f t="shared" ca="1" si="266"/>
        <v>0</v>
      </c>
      <c r="X377" s="50">
        <f t="shared" ca="1" si="266"/>
        <v>0</v>
      </c>
      <c r="Y377" s="50">
        <f t="shared" ca="1" si="266"/>
        <v>0</v>
      </c>
      <c r="Z377" s="50">
        <f t="shared" ca="1" si="266"/>
        <v>0</v>
      </c>
      <c r="AA377" s="50">
        <f t="shared" ca="1" si="266"/>
        <v>0</v>
      </c>
      <c r="AB377" s="50">
        <f t="shared" ca="1" si="266"/>
        <v>0</v>
      </c>
      <c r="AC377" s="50">
        <f t="shared" ca="1" si="266"/>
        <v>0</v>
      </c>
      <c r="AD377" s="50">
        <f t="shared" ca="1" si="266"/>
        <v>0</v>
      </c>
      <c r="AE377" s="50">
        <f t="shared" ca="1" si="266"/>
        <v>0</v>
      </c>
      <c r="AF377" s="50">
        <f t="shared" ca="1" si="266"/>
        <v>0</v>
      </c>
      <c r="AG377" s="50">
        <f t="shared" ca="1" si="266"/>
        <v>0</v>
      </c>
      <c r="AH377" s="50">
        <f t="shared" ca="1" si="266"/>
        <v>0</v>
      </c>
      <c r="AI377" s="50">
        <f t="shared" ca="1" si="266"/>
        <v>0</v>
      </c>
      <c r="AJ377" s="50">
        <f t="shared" ca="1" si="266"/>
        <v>0</v>
      </c>
      <c r="AK377" s="50">
        <f t="shared" ca="1" si="266"/>
        <v>0</v>
      </c>
      <c r="AL377" s="50">
        <f t="shared" si="266"/>
        <v>0</v>
      </c>
      <c r="AM377" s="50">
        <f t="shared" si="266"/>
        <v>0</v>
      </c>
      <c r="AN377" s="50">
        <f t="shared" si="266"/>
        <v>0</v>
      </c>
      <c r="AO377" s="50">
        <f t="shared" si="266"/>
        <v>0</v>
      </c>
      <c r="AP377" s="50">
        <f t="shared" si="266"/>
        <v>0</v>
      </c>
      <c r="AQ377" s="50">
        <f t="shared" si="266"/>
        <v>0</v>
      </c>
      <c r="AR377" s="50">
        <f t="shared" si="266"/>
        <v>0</v>
      </c>
      <c r="AS377" s="50">
        <f t="shared" si="266"/>
        <v>0</v>
      </c>
      <c r="AT377" s="50">
        <f t="shared" si="266"/>
        <v>0</v>
      </c>
      <c r="AU377" s="50">
        <f t="shared" si="266"/>
        <v>0</v>
      </c>
    </row>
    <row r="378" spans="1:47">
      <c r="A378" s="38" t="str">
        <f t="shared" si="263"/>
        <v>Custom-</v>
      </c>
      <c r="B378" s="38" t="s">
        <v>277</v>
      </c>
      <c r="C378" s="38" t="str">
        <f t="shared" si="267"/>
        <v>Gravity Thickener</v>
      </c>
      <c r="D378" s="186">
        <f>OMEsc</f>
        <v>0.02</v>
      </c>
      <c r="E378" s="325"/>
      <c r="G378" s="36" t="s">
        <v>276</v>
      </c>
      <c r="I378" s="39"/>
      <c r="K378" s="39"/>
      <c r="L378" s="43" t="str">
        <f>"["&amp;CostBaseYr&amp;" $]"</f>
        <v>[2013 $]</v>
      </c>
      <c r="N378" s="70">
        <f ca="1">IF(VLOOKUP($C378,$G$69:$J$87,4,FALSE)="Off",0,SUMIFS(OFFSET(Assumptions!$I$90,0,MATCH($A378,Configurations,0)-1,COUNT(Assumptions!$A$90:$A$183),1),Assumptions!$D$90:$D$183,$B378&amp;$C378))</f>
        <v>0</v>
      </c>
      <c r="O378" s="313"/>
      <c r="P378" s="323"/>
      <c r="Q378" s="313"/>
      <c r="R378" s="50">
        <f t="shared" ca="1" si="265"/>
        <v>0</v>
      </c>
      <c r="S378" s="50">
        <f t="shared" ca="1" si="266"/>
        <v>0</v>
      </c>
      <c r="T378" s="50">
        <f t="shared" ca="1" si="266"/>
        <v>0</v>
      </c>
      <c r="U378" s="50">
        <f t="shared" ca="1" si="266"/>
        <v>0</v>
      </c>
      <c r="V378" s="50">
        <f t="shared" ca="1" si="266"/>
        <v>0</v>
      </c>
      <c r="W378" s="50">
        <f t="shared" ca="1" si="266"/>
        <v>0</v>
      </c>
      <c r="X378" s="50">
        <f t="shared" ca="1" si="266"/>
        <v>0</v>
      </c>
      <c r="Y378" s="50">
        <f t="shared" ca="1" si="266"/>
        <v>0</v>
      </c>
      <c r="Z378" s="50">
        <f t="shared" ca="1" si="266"/>
        <v>0</v>
      </c>
      <c r="AA378" s="50">
        <f t="shared" ca="1" si="266"/>
        <v>0</v>
      </c>
      <c r="AB378" s="50">
        <f t="shared" ca="1" si="266"/>
        <v>0</v>
      </c>
      <c r="AC378" s="50">
        <f t="shared" ca="1" si="266"/>
        <v>0</v>
      </c>
      <c r="AD378" s="50">
        <f t="shared" ca="1" si="266"/>
        <v>0</v>
      </c>
      <c r="AE378" s="50">
        <f t="shared" ca="1" si="266"/>
        <v>0</v>
      </c>
      <c r="AF378" s="50">
        <f t="shared" ca="1" si="266"/>
        <v>0</v>
      </c>
      <c r="AG378" s="50">
        <f t="shared" ca="1" si="266"/>
        <v>0</v>
      </c>
      <c r="AH378" s="50">
        <f t="shared" ca="1" si="266"/>
        <v>0</v>
      </c>
      <c r="AI378" s="50">
        <f t="shared" ca="1" si="266"/>
        <v>0</v>
      </c>
      <c r="AJ378" s="50">
        <f t="shared" ca="1" si="266"/>
        <v>0</v>
      </c>
      <c r="AK378" s="50">
        <f t="shared" ca="1" si="266"/>
        <v>0</v>
      </c>
      <c r="AL378" s="50">
        <f t="shared" si="266"/>
        <v>0</v>
      </c>
      <c r="AM378" s="50">
        <f t="shared" si="266"/>
        <v>0</v>
      </c>
      <c r="AN378" s="50">
        <f t="shared" si="266"/>
        <v>0</v>
      </c>
      <c r="AO378" s="50">
        <f t="shared" si="266"/>
        <v>0</v>
      </c>
      <c r="AP378" s="50">
        <f t="shared" si="266"/>
        <v>0</v>
      </c>
      <c r="AQ378" s="50">
        <f t="shared" si="266"/>
        <v>0</v>
      </c>
      <c r="AR378" s="50">
        <f t="shared" si="266"/>
        <v>0</v>
      </c>
      <c r="AS378" s="50">
        <f t="shared" si="266"/>
        <v>0</v>
      </c>
      <c r="AT378" s="50">
        <f t="shared" si="266"/>
        <v>0</v>
      </c>
      <c r="AU378" s="50">
        <f t="shared" si="266"/>
        <v>0</v>
      </c>
    </row>
    <row r="379" spans="1:47">
      <c r="A379" s="38" t="str">
        <f t="shared" si="263"/>
        <v>Custom-</v>
      </c>
      <c r="B379" s="38" t="s">
        <v>274</v>
      </c>
      <c r="C379" s="38" t="str">
        <f t="shared" si="267"/>
        <v>Gravity Thickener</v>
      </c>
      <c r="D379" s="186"/>
      <c r="E379" s="325"/>
      <c r="G379" s="36" t="s">
        <v>16</v>
      </c>
      <c r="I379" s="39"/>
      <c r="K379" s="39"/>
      <c r="L379" s="43" t="s">
        <v>275</v>
      </c>
      <c r="N379" s="70">
        <f ca="1">IF(VLOOKUP($C379,$G$69:$J$87,4,FALSE)="Off",0,SUMIFS(OFFSET(Assumptions!$I$90,0,MATCH($A379,Configurations,0)-1,COUNT(Assumptions!$A$90:$A$183),1),Assumptions!$D$90:$D$183,$B379&amp;$C379))</f>
        <v>0</v>
      </c>
      <c r="O379" s="313"/>
      <c r="P379" s="323"/>
      <c r="Q379" s="313"/>
      <c r="R379" s="50">
        <f t="shared" ref="R379:AU379" ca="1" si="268">IF(OR(R$99&lt;InServiceYr,R$99&gt;(InServiceYr+analysis_period-1)),0,IF($P379=0,$N379,$P379)*R$505)</f>
        <v>0</v>
      </c>
      <c r="S379" s="50">
        <f t="shared" ca="1" si="268"/>
        <v>0</v>
      </c>
      <c r="T379" s="50">
        <f t="shared" ca="1" si="268"/>
        <v>0</v>
      </c>
      <c r="U379" s="50">
        <f t="shared" ca="1" si="268"/>
        <v>0</v>
      </c>
      <c r="V379" s="50">
        <f t="shared" ca="1" si="268"/>
        <v>0</v>
      </c>
      <c r="W379" s="50">
        <f t="shared" ca="1" si="268"/>
        <v>0</v>
      </c>
      <c r="X379" s="50">
        <f t="shared" ca="1" si="268"/>
        <v>0</v>
      </c>
      <c r="Y379" s="50">
        <f t="shared" ca="1" si="268"/>
        <v>0</v>
      </c>
      <c r="Z379" s="50">
        <f t="shared" ca="1" si="268"/>
        <v>0</v>
      </c>
      <c r="AA379" s="50">
        <f t="shared" ca="1" si="268"/>
        <v>0</v>
      </c>
      <c r="AB379" s="50">
        <f t="shared" ca="1" si="268"/>
        <v>0</v>
      </c>
      <c r="AC379" s="50">
        <f t="shared" ca="1" si="268"/>
        <v>0</v>
      </c>
      <c r="AD379" s="50">
        <f t="shared" ca="1" si="268"/>
        <v>0</v>
      </c>
      <c r="AE379" s="50">
        <f t="shared" ca="1" si="268"/>
        <v>0</v>
      </c>
      <c r="AF379" s="50">
        <f t="shared" ca="1" si="268"/>
        <v>0</v>
      </c>
      <c r="AG379" s="50">
        <f t="shared" ca="1" si="268"/>
        <v>0</v>
      </c>
      <c r="AH379" s="50">
        <f t="shared" ca="1" si="268"/>
        <v>0</v>
      </c>
      <c r="AI379" s="50">
        <f t="shared" ca="1" si="268"/>
        <v>0</v>
      </c>
      <c r="AJ379" s="50">
        <f t="shared" ca="1" si="268"/>
        <v>0</v>
      </c>
      <c r="AK379" s="50">
        <f t="shared" ca="1" si="268"/>
        <v>0</v>
      </c>
      <c r="AL379" s="50">
        <f t="shared" si="268"/>
        <v>0</v>
      </c>
      <c r="AM379" s="50">
        <f t="shared" si="268"/>
        <v>0</v>
      </c>
      <c r="AN379" s="50">
        <f t="shared" si="268"/>
        <v>0</v>
      </c>
      <c r="AO379" s="50">
        <f t="shared" si="268"/>
        <v>0</v>
      </c>
      <c r="AP379" s="50">
        <f t="shared" si="268"/>
        <v>0</v>
      </c>
      <c r="AQ379" s="50">
        <f t="shared" si="268"/>
        <v>0</v>
      </c>
      <c r="AR379" s="50">
        <f t="shared" si="268"/>
        <v>0</v>
      </c>
      <c r="AS379" s="50">
        <f t="shared" si="268"/>
        <v>0</v>
      </c>
      <c r="AT379" s="50">
        <f t="shared" si="268"/>
        <v>0</v>
      </c>
      <c r="AU379" s="50">
        <f t="shared" si="268"/>
        <v>0</v>
      </c>
    </row>
    <row r="380" spans="1:47">
      <c r="A380" s="38" t="str">
        <f t="shared" si="263"/>
        <v>Custom-</v>
      </c>
      <c r="B380" s="38" t="s">
        <v>257</v>
      </c>
      <c r="C380" s="38" t="str">
        <f t="shared" si="267"/>
        <v>Gravity Thickener</v>
      </c>
      <c r="D380" s="186"/>
      <c r="E380" s="325"/>
      <c r="G380" s="36" t="s">
        <v>284</v>
      </c>
      <c r="I380" s="39"/>
      <c r="K380" s="39"/>
      <c r="L380" s="43" t="s">
        <v>293</v>
      </c>
      <c r="N380" s="70">
        <f ca="1">IF(VLOOKUP($C380,$G$69:$J$87,4,FALSE)="Off",0,SUMIFS(OFFSET(Assumptions!$I$90,0,MATCH($A380,Configurations,0)-1,COUNT(Assumptions!$A$90:$A$183),1),Assumptions!$D$90:$D$183,$B380&amp;$C380))</f>
        <v>0</v>
      </c>
      <c r="O380" s="313"/>
      <c r="P380" s="323"/>
      <c r="Q380" s="313"/>
      <c r="R380" s="50">
        <f t="shared" ref="R380:AU380" ca="1" si="269">IF(OR(R$99&lt;InServiceYr,R$99&gt;(InServiceYr+analysis_period-1)),0,IF($P380=0,$N380,$P380)*R$501)</f>
        <v>0</v>
      </c>
      <c r="S380" s="50">
        <f t="shared" ca="1" si="269"/>
        <v>0</v>
      </c>
      <c r="T380" s="50">
        <f t="shared" ca="1" si="269"/>
        <v>0</v>
      </c>
      <c r="U380" s="50">
        <f t="shared" ca="1" si="269"/>
        <v>0</v>
      </c>
      <c r="V380" s="50">
        <f t="shared" ca="1" si="269"/>
        <v>0</v>
      </c>
      <c r="W380" s="50">
        <f t="shared" ca="1" si="269"/>
        <v>0</v>
      </c>
      <c r="X380" s="50">
        <f t="shared" ca="1" si="269"/>
        <v>0</v>
      </c>
      <c r="Y380" s="50">
        <f t="shared" ca="1" si="269"/>
        <v>0</v>
      </c>
      <c r="Z380" s="50">
        <f t="shared" ca="1" si="269"/>
        <v>0</v>
      </c>
      <c r="AA380" s="50">
        <f t="shared" ca="1" si="269"/>
        <v>0</v>
      </c>
      <c r="AB380" s="50">
        <f t="shared" ca="1" si="269"/>
        <v>0</v>
      </c>
      <c r="AC380" s="50">
        <f t="shared" ca="1" si="269"/>
        <v>0</v>
      </c>
      <c r="AD380" s="50">
        <f t="shared" ca="1" si="269"/>
        <v>0</v>
      </c>
      <c r="AE380" s="50">
        <f t="shared" ca="1" si="269"/>
        <v>0</v>
      </c>
      <c r="AF380" s="50">
        <f t="shared" ca="1" si="269"/>
        <v>0</v>
      </c>
      <c r="AG380" s="50">
        <f t="shared" ca="1" si="269"/>
        <v>0</v>
      </c>
      <c r="AH380" s="50">
        <f t="shared" ca="1" si="269"/>
        <v>0</v>
      </c>
      <c r="AI380" s="50">
        <f t="shared" ca="1" si="269"/>
        <v>0</v>
      </c>
      <c r="AJ380" s="50">
        <f t="shared" ca="1" si="269"/>
        <v>0</v>
      </c>
      <c r="AK380" s="50">
        <f t="shared" ca="1" si="269"/>
        <v>0</v>
      </c>
      <c r="AL380" s="50">
        <f t="shared" si="269"/>
        <v>0</v>
      </c>
      <c r="AM380" s="50">
        <f t="shared" si="269"/>
        <v>0</v>
      </c>
      <c r="AN380" s="50">
        <f t="shared" si="269"/>
        <v>0</v>
      </c>
      <c r="AO380" s="50">
        <f t="shared" si="269"/>
        <v>0</v>
      </c>
      <c r="AP380" s="50">
        <f t="shared" si="269"/>
        <v>0</v>
      </c>
      <c r="AQ380" s="50">
        <f t="shared" si="269"/>
        <v>0</v>
      </c>
      <c r="AR380" s="50">
        <f t="shared" si="269"/>
        <v>0</v>
      </c>
      <c r="AS380" s="50">
        <f t="shared" si="269"/>
        <v>0</v>
      </c>
      <c r="AT380" s="50">
        <f t="shared" si="269"/>
        <v>0</v>
      </c>
      <c r="AU380" s="50">
        <f t="shared" si="269"/>
        <v>0</v>
      </c>
    </row>
    <row r="381" spans="1:47">
      <c r="A381" s="38" t="str">
        <f t="shared" si="263"/>
        <v>Custom-</v>
      </c>
      <c r="B381" s="38" t="s">
        <v>864</v>
      </c>
      <c r="C381" s="38" t="str">
        <f t="shared" si="267"/>
        <v>Gravity Thickener</v>
      </c>
      <c r="D381" s="186">
        <f>GHGEsc</f>
        <v>0.02</v>
      </c>
      <c r="E381" s="325"/>
      <c r="G381" s="36" t="s">
        <v>865</v>
      </c>
      <c r="I381" s="39"/>
      <c r="K381" s="39"/>
      <c r="L381" s="43" t="s">
        <v>866</v>
      </c>
      <c r="N381" s="70">
        <f ca="1">IF(VLOOKUP($C381,$G$69:$J$87,4,FALSE)="Off",0,SUMIFS(OFFSET(Assumptions!$I$90,0,MATCH($A381,Configurations,0)-1,COUNT(Assumptions!$A$90:$A$183),1),Assumptions!$D$90:$D$183,$B381&amp;$C381))</f>
        <v>0</v>
      </c>
      <c r="O381" s="313"/>
      <c r="P381" s="323"/>
      <c r="Q381" s="313"/>
      <c r="R381" s="50">
        <f t="shared" ref="R381:AU381" ca="1" si="270">IF(OR(R$99&lt;InServiceYr,R$99&gt;(InServiceYr+analysis_period-1)),0,IF($P381=0,$N381,$P381)*R$513)</f>
        <v>0</v>
      </c>
      <c r="S381" s="50">
        <f t="shared" ca="1" si="270"/>
        <v>0</v>
      </c>
      <c r="T381" s="50">
        <f t="shared" ca="1" si="270"/>
        <v>0</v>
      </c>
      <c r="U381" s="50">
        <f t="shared" ca="1" si="270"/>
        <v>0</v>
      </c>
      <c r="V381" s="50">
        <f t="shared" ca="1" si="270"/>
        <v>0</v>
      </c>
      <c r="W381" s="50">
        <f t="shared" ca="1" si="270"/>
        <v>0</v>
      </c>
      <c r="X381" s="50">
        <f t="shared" ca="1" si="270"/>
        <v>0</v>
      </c>
      <c r="Y381" s="50">
        <f t="shared" ca="1" si="270"/>
        <v>0</v>
      </c>
      <c r="Z381" s="50">
        <f t="shared" ca="1" si="270"/>
        <v>0</v>
      </c>
      <c r="AA381" s="50">
        <f t="shared" ca="1" si="270"/>
        <v>0</v>
      </c>
      <c r="AB381" s="50">
        <f t="shared" ca="1" si="270"/>
        <v>0</v>
      </c>
      <c r="AC381" s="50">
        <f t="shared" ca="1" si="270"/>
        <v>0</v>
      </c>
      <c r="AD381" s="50">
        <f t="shared" ca="1" si="270"/>
        <v>0</v>
      </c>
      <c r="AE381" s="50">
        <f t="shared" ca="1" si="270"/>
        <v>0</v>
      </c>
      <c r="AF381" s="50">
        <f t="shared" ca="1" si="270"/>
        <v>0</v>
      </c>
      <c r="AG381" s="50">
        <f t="shared" ca="1" si="270"/>
        <v>0</v>
      </c>
      <c r="AH381" s="50">
        <f t="shared" ca="1" si="270"/>
        <v>0</v>
      </c>
      <c r="AI381" s="50">
        <f t="shared" ca="1" si="270"/>
        <v>0</v>
      </c>
      <c r="AJ381" s="50">
        <f t="shared" ca="1" si="270"/>
        <v>0</v>
      </c>
      <c r="AK381" s="50">
        <f t="shared" ca="1" si="270"/>
        <v>0</v>
      </c>
      <c r="AL381" s="50">
        <f t="shared" si="270"/>
        <v>0</v>
      </c>
      <c r="AM381" s="50">
        <f t="shared" si="270"/>
        <v>0</v>
      </c>
      <c r="AN381" s="50">
        <f t="shared" si="270"/>
        <v>0</v>
      </c>
      <c r="AO381" s="50">
        <f t="shared" si="270"/>
        <v>0</v>
      </c>
      <c r="AP381" s="50">
        <f t="shared" si="270"/>
        <v>0</v>
      </c>
      <c r="AQ381" s="50">
        <f t="shared" si="270"/>
        <v>0</v>
      </c>
      <c r="AR381" s="50">
        <f t="shared" si="270"/>
        <v>0</v>
      </c>
      <c r="AS381" s="50">
        <f t="shared" si="270"/>
        <v>0</v>
      </c>
      <c r="AT381" s="50">
        <f t="shared" si="270"/>
        <v>0</v>
      </c>
      <c r="AU381" s="50">
        <f t="shared" si="270"/>
        <v>0</v>
      </c>
    </row>
    <row r="382" spans="1:47">
      <c r="A382" s="38" t="str">
        <f t="shared" si="263"/>
        <v>Custom-</v>
      </c>
      <c r="B382" s="38" t="s">
        <v>273</v>
      </c>
      <c r="C382" s="38" t="str">
        <f>C380</f>
        <v>Gravity Thickener</v>
      </c>
      <c r="D382" s="186">
        <f>LaborEsc</f>
        <v>0.02</v>
      </c>
      <c r="E382" s="325"/>
      <c r="G382" s="36" t="s">
        <v>291</v>
      </c>
      <c r="I382" s="39"/>
      <c r="K382" s="39"/>
      <c r="L382" s="43" t="str">
        <f>"["&amp;CostBaseYr&amp;" $]"</f>
        <v>[2013 $]</v>
      </c>
      <c r="N382" s="70">
        <f ca="1">IF(VLOOKUP($C382,$G$69:$J$87,4,FALSE)="Off",0,SUMIFS(OFFSET(Assumptions!$I$90,0,MATCH($A382,Configurations,0)-1,COUNT(Assumptions!$A$90:$A$183),1),Assumptions!$D$90:$D$183,$B382&amp;$C382))</f>
        <v>0</v>
      </c>
      <c r="O382" s="313"/>
      <c r="P382" s="323"/>
      <c r="Q382" s="313"/>
      <c r="R382" s="50">
        <f t="shared" ref="R382:AU382" ca="1" si="271">IF(OR(R$99&lt;InServiceYr,R$99&gt;(InServiceYr+analysis_period-1)),0,IF($P382=0,$N382,$P382)*(1+$D382)^(R$99-CostBaseYr))*R$509</f>
        <v>0</v>
      </c>
      <c r="S382" s="50">
        <f t="shared" ca="1" si="271"/>
        <v>0</v>
      </c>
      <c r="T382" s="50">
        <f t="shared" ca="1" si="271"/>
        <v>0</v>
      </c>
      <c r="U382" s="50">
        <f t="shared" ca="1" si="271"/>
        <v>0</v>
      </c>
      <c r="V382" s="50">
        <f t="shared" ca="1" si="271"/>
        <v>0</v>
      </c>
      <c r="W382" s="50">
        <f t="shared" ca="1" si="271"/>
        <v>0</v>
      </c>
      <c r="X382" s="50">
        <f t="shared" ca="1" si="271"/>
        <v>0</v>
      </c>
      <c r="Y382" s="50">
        <f t="shared" ca="1" si="271"/>
        <v>0</v>
      </c>
      <c r="Z382" s="50">
        <f t="shared" ca="1" si="271"/>
        <v>0</v>
      </c>
      <c r="AA382" s="50">
        <f t="shared" ca="1" si="271"/>
        <v>0</v>
      </c>
      <c r="AB382" s="50">
        <f t="shared" ca="1" si="271"/>
        <v>0</v>
      </c>
      <c r="AC382" s="50">
        <f t="shared" ca="1" si="271"/>
        <v>0</v>
      </c>
      <c r="AD382" s="50">
        <f t="shared" ca="1" si="271"/>
        <v>0</v>
      </c>
      <c r="AE382" s="50">
        <f t="shared" ca="1" si="271"/>
        <v>0</v>
      </c>
      <c r="AF382" s="50">
        <f t="shared" ca="1" si="271"/>
        <v>0</v>
      </c>
      <c r="AG382" s="50">
        <f t="shared" ca="1" si="271"/>
        <v>0</v>
      </c>
      <c r="AH382" s="50">
        <f t="shared" ca="1" si="271"/>
        <v>0</v>
      </c>
      <c r="AI382" s="50">
        <f t="shared" ca="1" si="271"/>
        <v>0</v>
      </c>
      <c r="AJ382" s="50">
        <f t="shared" ca="1" si="271"/>
        <v>0</v>
      </c>
      <c r="AK382" s="50">
        <f t="shared" ca="1" si="271"/>
        <v>0</v>
      </c>
      <c r="AL382" s="50">
        <f t="shared" si="271"/>
        <v>0</v>
      </c>
      <c r="AM382" s="50">
        <f t="shared" si="271"/>
        <v>0</v>
      </c>
      <c r="AN382" s="50">
        <f t="shared" si="271"/>
        <v>0</v>
      </c>
      <c r="AO382" s="50">
        <f t="shared" si="271"/>
        <v>0</v>
      </c>
      <c r="AP382" s="50">
        <f t="shared" si="271"/>
        <v>0</v>
      </c>
      <c r="AQ382" s="50">
        <f t="shared" si="271"/>
        <v>0</v>
      </c>
      <c r="AR382" s="50">
        <f t="shared" si="271"/>
        <v>0</v>
      </c>
      <c r="AS382" s="50">
        <f t="shared" si="271"/>
        <v>0</v>
      </c>
      <c r="AT382" s="50">
        <f t="shared" si="271"/>
        <v>0</v>
      </c>
      <c r="AU382" s="50">
        <f t="shared" si="271"/>
        <v>0</v>
      </c>
    </row>
    <row r="383" spans="1:47">
      <c r="D383" s="186"/>
      <c r="E383" s="325"/>
      <c r="G383" s="39" t="s">
        <v>304</v>
      </c>
      <c r="I383" s="39"/>
      <c r="K383" s="39"/>
      <c r="L383" s="43"/>
      <c r="N383" s="70"/>
      <c r="O383" s="313"/>
      <c r="P383" s="70"/>
      <c r="Q383" s="313"/>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row>
    <row r="384" spans="1:47">
      <c r="A384" s="38" t="str">
        <f>$J$4&amp;"-"</f>
        <v>Custom-</v>
      </c>
      <c r="B384" s="38" t="s">
        <v>265</v>
      </c>
      <c r="C384" s="38" t="str">
        <f>C375</f>
        <v>Gravity Thickener</v>
      </c>
      <c r="D384" s="186"/>
      <c r="E384" s="325"/>
      <c r="G384" s="36" t="s">
        <v>108</v>
      </c>
      <c r="I384" s="39"/>
      <c r="K384" s="39"/>
      <c r="L384" s="43" t="s">
        <v>293</v>
      </c>
      <c r="N384" s="70">
        <f ca="1">IF(VLOOKUP($C384,$G$69:$J$87,4,FALSE)="Off",0,SUMIFS(OFFSET(Assumptions!$I$90,0,MATCH($A384,Configurations,0)-1,COUNT(Assumptions!$A$90:$A$183),1),Assumptions!$D$90:$D$183,$B384&amp;$C384))</f>
        <v>0</v>
      </c>
      <c r="O384" s="313"/>
      <c r="P384" s="323"/>
      <c r="Q384" s="313"/>
      <c r="R384" s="50">
        <f t="shared" ref="R384:AU384" ca="1" si="272">IF(OR(R$99&lt;InServiceYr,R$99&gt;(InServiceYr+analysis_period-1)),0,IF($P384=0,$N384,$P384)*R$501)</f>
        <v>0</v>
      </c>
      <c r="S384" s="50">
        <f t="shared" ca="1" si="272"/>
        <v>0</v>
      </c>
      <c r="T384" s="50">
        <f t="shared" ca="1" si="272"/>
        <v>0</v>
      </c>
      <c r="U384" s="50">
        <f t="shared" ca="1" si="272"/>
        <v>0</v>
      </c>
      <c r="V384" s="50">
        <f t="shared" ca="1" si="272"/>
        <v>0</v>
      </c>
      <c r="W384" s="50">
        <f t="shared" ca="1" si="272"/>
        <v>0</v>
      </c>
      <c r="X384" s="50">
        <f t="shared" ca="1" si="272"/>
        <v>0</v>
      </c>
      <c r="Y384" s="50">
        <f t="shared" ca="1" si="272"/>
        <v>0</v>
      </c>
      <c r="Z384" s="50">
        <f t="shared" ca="1" si="272"/>
        <v>0</v>
      </c>
      <c r="AA384" s="50">
        <f t="shared" ca="1" si="272"/>
        <v>0</v>
      </c>
      <c r="AB384" s="50">
        <f t="shared" ca="1" si="272"/>
        <v>0</v>
      </c>
      <c r="AC384" s="50">
        <f t="shared" ca="1" si="272"/>
        <v>0</v>
      </c>
      <c r="AD384" s="50">
        <f t="shared" ca="1" si="272"/>
        <v>0</v>
      </c>
      <c r="AE384" s="50">
        <f t="shared" ca="1" si="272"/>
        <v>0</v>
      </c>
      <c r="AF384" s="50">
        <f t="shared" ca="1" si="272"/>
        <v>0</v>
      </c>
      <c r="AG384" s="50">
        <f t="shared" ca="1" si="272"/>
        <v>0</v>
      </c>
      <c r="AH384" s="50">
        <f t="shared" ca="1" si="272"/>
        <v>0</v>
      </c>
      <c r="AI384" s="50">
        <f t="shared" ca="1" si="272"/>
        <v>0</v>
      </c>
      <c r="AJ384" s="50">
        <f t="shared" ca="1" si="272"/>
        <v>0</v>
      </c>
      <c r="AK384" s="50">
        <f t="shared" ca="1" si="272"/>
        <v>0</v>
      </c>
      <c r="AL384" s="50">
        <f t="shared" si="272"/>
        <v>0</v>
      </c>
      <c r="AM384" s="50">
        <f t="shared" si="272"/>
        <v>0</v>
      </c>
      <c r="AN384" s="50">
        <f t="shared" si="272"/>
        <v>0</v>
      </c>
      <c r="AO384" s="50">
        <f t="shared" si="272"/>
        <v>0</v>
      </c>
      <c r="AP384" s="50">
        <f t="shared" si="272"/>
        <v>0</v>
      </c>
      <c r="AQ384" s="50">
        <f t="shared" si="272"/>
        <v>0</v>
      </c>
      <c r="AR384" s="50">
        <f t="shared" si="272"/>
        <v>0</v>
      </c>
      <c r="AS384" s="50">
        <f t="shared" si="272"/>
        <v>0</v>
      </c>
      <c r="AT384" s="50">
        <f t="shared" si="272"/>
        <v>0</v>
      </c>
      <c r="AU384" s="50">
        <f t="shared" si="272"/>
        <v>0</v>
      </c>
    </row>
    <row r="385" spans="1:47">
      <c r="A385" s="38" t="str">
        <f>$J$4&amp;"-"</f>
        <v>Custom-</v>
      </c>
      <c r="B385" s="38" t="s">
        <v>289</v>
      </c>
      <c r="C385" s="38" t="str">
        <f>C375</f>
        <v>Gravity Thickener</v>
      </c>
      <c r="D385" s="186">
        <f>LaborEsc</f>
        <v>0.02</v>
      </c>
      <c r="E385" s="325"/>
      <c r="G385" s="36" t="s">
        <v>292</v>
      </c>
      <c r="I385" s="39"/>
      <c r="K385" s="39"/>
      <c r="L385" s="43" t="str">
        <f>"["&amp;CostBaseYr&amp;" $]"</f>
        <v>[2013 $]</v>
      </c>
      <c r="N385" s="70">
        <f ca="1">IF(VLOOKUP($C385,$G$69:$J$87,4,FALSE)="Off",0,SUMIFS(OFFSET(Assumptions!$I$90,0,MATCH($A385,Configurations,0)-1,COUNT(Assumptions!$A$90:$A$183),1),Assumptions!$D$90:$D$183,$B385&amp;$C385))</f>
        <v>0</v>
      </c>
      <c r="O385" s="313"/>
      <c r="P385" s="323"/>
      <c r="Q385" s="313"/>
      <c r="R385" s="50">
        <f t="shared" ref="R385:AU385" ca="1" si="273">IF(OR(R$99&lt;InServiceYr,R$99&gt;(InServiceYr+analysis_period-1)),0,IF($P385=0,$N385,$P385)*(1+$D385)^(R$99-CostBaseYr))</f>
        <v>0</v>
      </c>
      <c r="S385" s="50">
        <f t="shared" ca="1" si="273"/>
        <v>0</v>
      </c>
      <c r="T385" s="50">
        <f t="shared" ca="1" si="273"/>
        <v>0</v>
      </c>
      <c r="U385" s="50">
        <f t="shared" ca="1" si="273"/>
        <v>0</v>
      </c>
      <c r="V385" s="50">
        <f t="shared" ca="1" si="273"/>
        <v>0</v>
      </c>
      <c r="W385" s="50">
        <f t="shared" ca="1" si="273"/>
        <v>0</v>
      </c>
      <c r="X385" s="50">
        <f t="shared" ca="1" si="273"/>
        <v>0</v>
      </c>
      <c r="Y385" s="50">
        <f t="shared" ca="1" si="273"/>
        <v>0</v>
      </c>
      <c r="Z385" s="50">
        <f t="shared" ca="1" si="273"/>
        <v>0</v>
      </c>
      <c r="AA385" s="50">
        <f t="shared" ca="1" si="273"/>
        <v>0</v>
      </c>
      <c r="AB385" s="50">
        <f t="shared" ca="1" si="273"/>
        <v>0</v>
      </c>
      <c r="AC385" s="50">
        <f t="shared" ca="1" si="273"/>
        <v>0</v>
      </c>
      <c r="AD385" s="50">
        <f t="shared" ca="1" si="273"/>
        <v>0</v>
      </c>
      <c r="AE385" s="50">
        <f t="shared" ca="1" si="273"/>
        <v>0</v>
      </c>
      <c r="AF385" s="50">
        <f t="shared" ca="1" si="273"/>
        <v>0</v>
      </c>
      <c r="AG385" s="50">
        <f t="shared" ca="1" si="273"/>
        <v>0</v>
      </c>
      <c r="AH385" s="50">
        <f t="shared" ca="1" si="273"/>
        <v>0</v>
      </c>
      <c r="AI385" s="50">
        <f t="shared" ca="1" si="273"/>
        <v>0</v>
      </c>
      <c r="AJ385" s="50">
        <f t="shared" ca="1" si="273"/>
        <v>0</v>
      </c>
      <c r="AK385" s="50">
        <f t="shared" ca="1" si="273"/>
        <v>0</v>
      </c>
      <c r="AL385" s="50">
        <f t="shared" si="273"/>
        <v>0</v>
      </c>
      <c r="AM385" s="50">
        <f t="shared" si="273"/>
        <v>0</v>
      </c>
      <c r="AN385" s="50">
        <f t="shared" si="273"/>
        <v>0</v>
      </c>
      <c r="AO385" s="50">
        <f t="shared" si="273"/>
        <v>0</v>
      </c>
      <c r="AP385" s="50">
        <f t="shared" si="273"/>
        <v>0</v>
      </c>
      <c r="AQ385" s="50">
        <f t="shared" si="273"/>
        <v>0</v>
      </c>
      <c r="AR385" s="50">
        <f t="shared" si="273"/>
        <v>0</v>
      </c>
      <c r="AS385" s="50">
        <f t="shared" si="273"/>
        <v>0</v>
      </c>
      <c r="AT385" s="50">
        <f t="shared" si="273"/>
        <v>0</v>
      </c>
      <c r="AU385" s="50">
        <f t="shared" si="273"/>
        <v>0</v>
      </c>
    </row>
    <row r="386" spans="1:47" s="60" customFormat="1">
      <c r="D386" s="187"/>
      <c r="E386" s="325"/>
      <c r="G386" s="39" t="s">
        <v>305</v>
      </c>
      <c r="I386" s="39"/>
      <c r="K386" s="39"/>
      <c r="L386" s="174"/>
      <c r="N386" s="188"/>
      <c r="O386" s="314"/>
      <c r="P386" s="185"/>
      <c r="Q386" s="314"/>
      <c r="R386" s="185">
        <f ca="1">SUM(R375:R382)-SUM(R384:R385)</f>
        <v>0</v>
      </c>
      <c r="S386" s="185">
        <f t="shared" ref="S386:AU386" ca="1" si="274">SUM(S375:S382)-SUM(S384:S385)</f>
        <v>0</v>
      </c>
      <c r="T386" s="185">
        <f t="shared" ca="1" si="274"/>
        <v>0</v>
      </c>
      <c r="U386" s="185">
        <f t="shared" ca="1" si="274"/>
        <v>0</v>
      </c>
      <c r="V386" s="185">
        <f t="shared" ca="1" si="274"/>
        <v>0</v>
      </c>
      <c r="W386" s="185">
        <f t="shared" ca="1" si="274"/>
        <v>0</v>
      </c>
      <c r="X386" s="185">
        <f t="shared" ca="1" si="274"/>
        <v>0</v>
      </c>
      <c r="Y386" s="185">
        <f t="shared" ca="1" si="274"/>
        <v>0</v>
      </c>
      <c r="Z386" s="185">
        <f t="shared" ca="1" si="274"/>
        <v>0</v>
      </c>
      <c r="AA386" s="185">
        <f t="shared" ca="1" si="274"/>
        <v>0</v>
      </c>
      <c r="AB386" s="185">
        <f t="shared" ca="1" si="274"/>
        <v>0</v>
      </c>
      <c r="AC386" s="185">
        <f t="shared" ca="1" si="274"/>
        <v>0</v>
      </c>
      <c r="AD386" s="185">
        <f t="shared" ca="1" si="274"/>
        <v>0</v>
      </c>
      <c r="AE386" s="185">
        <f t="shared" ca="1" si="274"/>
        <v>0</v>
      </c>
      <c r="AF386" s="185">
        <f t="shared" ca="1" si="274"/>
        <v>0</v>
      </c>
      <c r="AG386" s="185">
        <f t="shared" ca="1" si="274"/>
        <v>0</v>
      </c>
      <c r="AH386" s="185">
        <f t="shared" ca="1" si="274"/>
        <v>0</v>
      </c>
      <c r="AI386" s="185">
        <f t="shared" ca="1" si="274"/>
        <v>0</v>
      </c>
      <c r="AJ386" s="185">
        <f t="shared" ca="1" si="274"/>
        <v>0</v>
      </c>
      <c r="AK386" s="185">
        <f t="shared" ca="1" si="274"/>
        <v>0</v>
      </c>
      <c r="AL386" s="185">
        <f t="shared" si="274"/>
        <v>0</v>
      </c>
      <c r="AM386" s="185">
        <f t="shared" si="274"/>
        <v>0</v>
      </c>
      <c r="AN386" s="185">
        <f t="shared" si="274"/>
        <v>0</v>
      </c>
      <c r="AO386" s="185">
        <f t="shared" si="274"/>
        <v>0</v>
      </c>
      <c r="AP386" s="185">
        <f t="shared" si="274"/>
        <v>0</v>
      </c>
      <c r="AQ386" s="185">
        <f t="shared" si="274"/>
        <v>0</v>
      </c>
      <c r="AR386" s="185">
        <f t="shared" si="274"/>
        <v>0</v>
      </c>
      <c r="AS386" s="185">
        <f t="shared" si="274"/>
        <v>0</v>
      </c>
      <c r="AT386" s="185">
        <f t="shared" si="274"/>
        <v>0</v>
      </c>
      <c r="AU386" s="185">
        <f t="shared" si="274"/>
        <v>0</v>
      </c>
    </row>
    <row r="387" spans="1:47">
      <c r="E387" s="36"/>
      <c r="G387" s="39"/>
      <c r="H387" s="39"/>
      <c r="I387" s="39"/>
      <c r="J387" s="39"/>
      <c r="K387" s="39"/>
    </row>
    <row r="388" spans="1:47">
      <c r="E388" s="327"/>
      <c r="F388" s="28"/>
      <c r="G388" s="324" t="str">
        <f>C390&amp;" Capital Costs"</f>
        <v>Pre-Dewatering  Capital Costs</v>
      </c>
      <c r="H388" s="324"/>
      <c r="I388" s="324"/>
      <c r="J388" s="324"/>
      <c r="K388" s="324"/>
      <c r="L388" s="405" t="s">
        <v>79</v>
      </c>
      <c r="M388" s="256"/>
      <c r="N388" s="325" t="s">
        <v>490</v>
      </c>
      <c r="O388" s="311"/>
      <c r="P388" s="325" t="s">
        <v>491</v>
      </c>
      <c r="Q388" s="310"/>
      <c r="R388" s="325">
        <f>R$8</f>
        <v>2014</v>
      </c>
      <c r="S388" s="325">
        <f t="shared" ref="S388:AU388" si="275">S$8</f>
        <v>2015</v>
      </c>
      <c r="T388" s="325">
        <f t="shared" si="275"/>
        <v>2016</v>
      </c>
      <c r="U388" s="325">
        <f t="shared" si="275"/>
        <v>2017</v>
      </c>
      <c r="V388" s="325">
        <f t="shared" si="275"/>
        <v>2018</v>
      </c>
      <c r="W388" s="325">
        <f t="shared" si="275"/>
        <v>2019</v>
      </c>
      <c r="X388" s="325">
        <f t="shared" si="275"/>
        <v>2020</v>
      </c>
      <c r="Y388" s="325">
        <f t="shared" si="275"/>
        <v>2021</v>
      </c>
      <c r="Z388" s="325">
        <f t="shared" si="275"/>
        <v>2022</v>
      </c>
      <c r="AA388" s="325">
        <f t="shared" si="275"/>
        <v>2023</v>
      </c>
      <c r="AB388" s="325">
        <f t="shared" si="275"/>
        <v>2024</v>
      </c>
      <c r="AC388" s="325">
        <f t="shared" si="275"/>
        <v>2025</v>
      </c>
      <c r="AD388" s="325">
        <f t="shared" si="275"/>
        <v>2026</v>
      </c>
      <c r="AE388" s="325">
        <f t="shared" si="275"/>
        <v>2027</v>
      </c>
      <c r="AF388" s="325">
        <f t="shared" si="275"/>
        <v>2028</v>
      </c>
      <c r="AG388" s="325">
        <f t="shared" si="275"/>
        <v>2029</v>
      </c>
      <c r="AH388" s="325">
        <f t="shared" si="275"/>
        <v>2030</v>
      </c>
      <c r="AI388" s="325">
        <f t="shared" si="275"/>
        <v>2031</v>
      </c>
      <c r="AJ388" s="325">
        <f t="shared" si="275"/>
        <v>2032</v>
      </c>
      <c r="AK388" s="325">
        <f t="shared" si="275"/>
        <v>2033</v>
      </c>
      <c r="AL388" s="325">
        <f t="shared" si="275"/>
        <v>2034</v>
      </c>
      <c r="AM388" s="325">
        <f t="shared" si="275"/>
        <v>2035</v>
      </c>
      <c r="AN388" s="325">
        <f t="shared" si="275"/>
        <v>2036</v>
      </c>
      <c r="AO388" s="325">
        <f t="shared" si="275"/>
        <v>2037</v>
      </c>
      <c r="AP388" s="325">
        <f t="shared" si="275"/>
        <v>2038</v>
      </c>
      <c r="AQ388" s="325">
        <f t="shared" si="275"/>
        <v>2039</v>
      </c>
      <c r="AR388" s="325">
        <f t="shared" si="275"/>
        <v>2040</v>
      </c>
      <c r="AS388" s="325">
        <f t="shared" si="275"/>
        <v>2041</v>
      </c>
      <c r="AT388" s="325">
        <f t="shared" si="275"/>
        <v>2042</v>
      </c>
      <c r="AU388" s="325">
        <f t="shared" si="275"/>
        <v>2043</v>
      </c>
    </row>
    <row r="389" spans="1:47">
      <c r="E389" s="325"/>
      <c r="G389" s="39"/>
      <c r="H389" s="39"/>
      <c r="I389" s="39"/>
      <c r="J389" s="39"/>
      <c r="K389" s="39"/>
    </row>
    <row r="390" spans="1:47">
      <c r="A390" s="38" t="str">
        <f>$J$4&amp;"-"</f>
        <v>Custom-</v>
      </c>
      <c r="B390" s="38" t="s">
        <v>306</v>
      </c>
      <c r="C390" s="38" t="s">
        <v>163</v>
      </c>
      <c r="D390" s="186">
        <f>CapExEsc</f>
        <v>0.03</v>
      </c>
      <c r="E390" s="325"/>
      <c r="G390" s="36" t="s">
        <v>8</v>
      </c>
      <c r="H390" s="39"/>
      <c r="I390" s="39"/>
      <c r="J390" s="70"/>
      <c r="K390" s="39"/>
      <c r="L390" s="43" t="str">
        <f>"["&amp;CostBaseYr&amp;" $]"</f>
        <v>[2013 $]</v>
      </c>
      <c r="N390" s="52">
        <f ca="1">IF(VLOOKUP($C390,$G$69:$J$87,4,FALSE)="Off", 0,SUMIFS(OFFSET(Assumptions!$I$65,0,MATCH($A390,Configurations,0)-1,COUNT(Assumptions!$A$65:$A$84),1),Assumptions!$E$65:$E$84,$C390))</f>
        <v>0</v>
      </c>
      <c r="O390" s="52"/>
      <c r="P390" s="322"/>
      <c r="Q390" s="52"/>
      <c r="R390" s="52">
        <f t="shared" ref="R390:AU390" ca="1" si="276">R391*IF($P390=0,$N390,$P390)*(1+$D390)^(R$8-CostBaseYr)</f>
        <v>0</v>
      </c>
      <c r="S390" s="52">
        <f t="shared" ca="1" si="276"/>
        <v>0</v>
      </c>
      <c r="T390" s="52">
        <f t="shared" ca="1" si="276"/>
        <v>0</v>
      </c>
      <c r="U390" s="52">
        <f t="shared" ca="1" si="276"/>
        <v>0</v>
      </c>
      <c r="V390" s="52">
        <f t="shared" ca="1" si="276"/>
        <v>0</v>
      </c>
      <c r="W390" s="52">
        <f t="shared" ca="1" si="276"/>
        <v>0</v>
      </c>
      <c r="X390" s="52">
        <f t="shared" ca="1" si="276"/>
        <v>0</v>
      </c>
      <c r="Y390" s="52">
        <f t="shared" ca="1" si="276"/>
        <v>0</v>
      </c>
      <c r="Z390" s="52">
        <f t="shared" ca="1" si="276"/>
        <v>0</v>
      </c>
      <c r="AA390" s="52">
        <f t="shared" ca="1" si="276"/>
        <v>0</v>
      </c>
      <c r="AB390" s="52">
        <f t="shared" ca="1" si="276"/>
        <v>0</v>
      </c>
      <c r="AC390" s="52">
        <f t="shared" ca="1" si="276"/>
        <v>0</v>
      </c>
      <c r="AD390" s="52">
        <f t="shared" ca="1" si="276"/>
        <v>0</v>
      </c>
      <c r="AE390" s="52">
        <f t="shared" ca="1" si="276"/>
        <v>0</v>
      </c>
      <c r="AF390" s="52">
        <f t="shared" ca="1" si="276"/>
        <v>0</v>
      </c>
      <c r="AG390" s="52">
        <f t="shared" ca="1" si="276"/>
        <v>0</v>
      </c>
      <c r="AH390" s="52">
        <f t="shared" ca="1" si="276"/>
        <v>0</v>
      </c>
      <c r="AI390" s="52">
        <f t="shared" ca="1" si="276"/>
        <v>0</v>
      </c>
      <c r="AJ390" s="52">
        <f t="shared" ca="1" si="276"/>
        <v>0</v>
      </c>
      <c r="AK390" s="52">
        <f t="shared" ca="1" si="276"/>
        <v>0</v>
      </c>
      <c r="AL390" s="52">
        <f t="shared" ca="1" si="276"/>
        <v>0</v>
      </c>
      <c r="AM390" s="52">
        <f t="shared" ca="1" si="276"/>
        <v>0</v>
      </c>
      <c r="AN390" s="52">
        <f t="shared" ca="1" si="276"/>
        <v>0</v>
      </c>
      <c r="AO390" s="52">
        <f t="shared" ca="1" si="276"/>
        <v>0</v>
      </c>
      <c r="AP390" s="52">
        <f t="shared" ca="1" si="276"/>
        <v>0</v>
      </c>
      <c r="AQ390" s="52">
        <f t="shared" ca="1" si="276"/>
        <v>0</v>
      </c>
      <c r="AR390" s="52">
        <f t="shared" ca="1" si="276"/>
        <v>0</v>
      </c>
      <c r="AS390" s="52">
        <f t="shared" ca="1" si="276"/>
        <v>0</v>
      </c>
      <c r="AT390" s="52">
        <f t="shared" ca="1" si="276"/>
        <v>0</v>
      </c>
      <c r="AU390" s="52">
        <f t="shared" ca="1" si="276"/>
        <v>0</v>
      </c>
    </row>
    <row r="391" spans="1:47">
      <c r="E391" s="325"/>
      <c r="G391" s="36" t="s">
        <v>10</v>
      </c>
      <c r="H391" s="39"/>
      <c r="I391" s="39"/>
      <c r="J391" s="39"/>
      <c r="K391" s="39"/>
      <c r="L391" s="43"/>
      <c r="R391" s="54">
        <f>Assumptions!M$60</f>
        <v>1</v>
      </c>
      <c r="S391" s="54">
        <f>Assumptions!N$60</f>
        <v>0</v>
      </c>
      <c r="T391" s="54">
        <f>Assumptions!O$60</f>
        <v>0</v>
      </c>
      <c r="U391" s="54">
        <f>Assumptions!P$60</f>
        <v>0</v>
      </c>
      <c r="V391" s="54">
        <f>Assumptions!Q$60</f>
        <v>0</v>
      </c>
      <c r="W391" s="54">
        <f>Assumptions!R$60</f>
        <v>0</v>
      </c>
      <c r="X391" s="54">
        <f>Assumptions!S$60</f>
        <v>0</v>
      </c>
      <c r="Y391" s="54">
        <f>Assumptions!T$60</f>
        <v>0</v>
      </c>
      <c r="Z391" s="54">
        <f>Assumptions!U$60</f>
        <v>0</v>
      </c>
      <c r="AA391" s="54">
        <f>Assumptions!V$60</f>
        <v>0</v>
      </c>
      <c r="AB391" s="54">
        <f>Assumptions!W$60</f>
        <v>0</v>
      </c>
      <c r="AC391" s="54">
        <f>Assumptions!X$60</f>
        <v>0</v>
      </c>
      <c r="AD391" s="54">
        <f>Assumptions!Y$60</f>
        <v>0</v>
      </c>
      <c r="AE391" s="54">
        <f>Assumptions!Z$60</f>
        <v>0</v>
      </c>
      <c r="AF391" s="54">
        <f>Assumptions!AA$60</f>
        <v>0</v>
      </c>
      <c r="AG391" s="54">
        <f>Assumptions!AB$60</f>
        <v>0</v>
      </c>
      <c r="AH391" s="54">
        <f>Assumptions!AC$60</f>
        <v>0</v>
      </c>
      <c r="AI391" s="54">
        <f>Assumptions!AD$60</f>
        <v>0</v>
      </c>
      <c r="AJ391" s="54">
        <f>Assumptions!AE$60</f>
        <v>0</v>
      </c>
      <c r="AK391" s="54">
        <f>Assumptions!AF$60</f>
        <v>0</v>
      </c>
      <c r="AL391" s="54">
        <f>Assumptions!AG$60</f>
        <v>0</v>
      </c>
      <c r="AM391" s="54">
        <f>Assumptions!AH$60</f>
        <v>0</v>
      </c>
      <c r="AN391" s="54">
        <f>Assumptions!AI$60</f>
        <v>0</v>
      </c>
      <c r="AO391" s="54">
        <f>Assumptions!AJ$60</f>
        <v>0</v>
      </c>
      <c r="AP391" s="54">
        <f>Assumptions!AK$60</f>
        <v>0</v>
      </c>
      <c r="AQ391" s="54">
        <f>Assumptions!AL$60</f>
        <v>0</v>
      </c>
      <c r="AR391" s="54">
        <f>Assumptions!AM$60</f>
        <v>0</v>
      </c>
      <c r="AS391" s="54">
        <f>Assumptions!AN$60</f>
        <v>0</v>
      </c>
      <c r="AT391" s="54">
        <f>Assumptions!AO$60</f>
        <v>0</v>
      </c>
      <c r="AU391" s="54">
        <f>Assumptions!AP$60</f>
        <v>0</v>
      </c>
    </row>
    <row r="392" spans="1:47">
      <c r="E392" s="326"/>
      <c r="G392" s="39"/>
      <c r="H392" s="39"/>
      <c r="I392" s="39"/>
      <c r="J392" s="39"/>
      <c r="K392" s="39"/>
    </row>
    <row r="393" spans="1:47">
      <c r="E393" s="327"/>
      <c r="F393" s="28"/>
      <c r="G393" s="324" t="str">
        <f>C390&amp;" O&amp;M"</f>
        <v>Pre-Dewatering  O&amp;M</v>
      </c>
      <c r="H393" s="324"/>
      <c r="I393" s="324"/>
      <c r="J393" s="324"/>
      <c r="K393" s="324"/>
      <c r="L393" s="405" t="s">
        <v>79</v>
      </c>
      <c r="M393" s="256"/>
      <c r="N393" s="325" t="s">
        <v>490</v>
      </c>
      <c r="O393" s="311"/>
      <c r="P393" s="325" t="s">
        <v>491</v>
      </c>
      <c r="Q393" s="310"/>
      <c r="R393" s="325">
        <f>R$8</f>
        <v>2014</v>
      </c>
      <c r="S393" s="325">
        <f t="shared" ref="S393:AU393" si="277">S$8</f>
        <v>2015</v>
      </c>
      <c r="T393" s="325">
        <f t="shared" si="277"/>
        <v>2016</v>
      </c>
      <c r="U393" s="325">
        <f t="shared" si="277"/>
        <v>2017</v>
      </c>
      <c r="V393" s="325">
        <f t="shared" si="277"/>
        <v>2018</v>
      </c>
      <c r="W393" s="325">
        <f t="shared" si="277"/>
        <v>2019</v>
      </c>
      <c r="X393" s="325">
        <f t="shared" si="277"/>
        <v>2020</v>
      </c>
      <c r="Y393" s="325">
        <f t="shared" si="277"/>
        <v>2021</v>
      </c>
      <c r="Z393" s="325">
        <f t="shared" si="277"/>
        <v>2022</v>
      </c>
      <c r="AA393" s="325">
        <f t="shared" si="277"/>
        <v>2023</v>
      </c>
      <c r="AB393" s="325">
        <f t="shared" si="277"/>
        <v>2024</v>
      </c>
      <c r="AC393" s="325">
        <f t="shared" si="277"/>
        <v>2025</v>
      </c>
      <c r="AD393" s="325">
        <f t="shared" si="277"/>
        <v>2026</v>
      </c>
      <c r="AE393" s="325">
        <f t="shared" si="277"/>
        <v>2027</v>
      </c>
      <c r="AF393" s="325">
        <f t="shared" si="277"/>
        <v>2028</v>
      </c>
      <c r="AG393" s="325">
        <f t="shared" si="277"/>
        <v>2029</v>
      </c>
      <c r="AH393" s="325">
        <f t="shared" si="277"/>
        <v>2030</v>
      </c>
      <c r="AI393" s="325">
        <f t="shared" si="277"/>
        <v>2031</v>
      </c>
      <c r="AJ393" s="325">
        <f t="shared" si="277"/>
        <v>2032</v>
      </c>
      <c r="AK393" s="325">
        <f t="shared" si="277"/>
        <v>2033</v>
      </c>
      <c r="AL393" s="325">
        <f t="shared" si="277"/>
        <v>2034</v>
      </c>
      <c r="AM393" s="325">
        <f t="shared" si="277"/>
        <v>2035</v>
      </c>
      <c r="AN393" s="325">
        <f t="shared" si="277"/>
        <v>2036</v>
      </c>
      <c r="AO393" s="325">
        <f t="shared" si="277"/>
        <v>2037</v>
      </c>
      <c r="AP393" s="325">
        <f t="shared" si="277"/>
        <v>2038</v>
      </c>
      <c r="AQ393" s="325">
        <f t="shared" si="277"/>
        <v>2039</v>
      </c>
      <c r="AR393" s="325">
        <f t="shared" si="277"/>
        <v>2040</v>
      </c>
      <c r="AS393" s="325">
        <f t="shared" si="277"/>
        <v>2041</v>
      </c>
      <c r="AT393" s="325">
        <f t="shared" si="277"/>
        <v>2042</v>
      </c>
      <c r="AU393" s="325">
        <f t="shared" si="277"/>
        <v>2043</v>
      </c>
    </row>
    <row r="394" spans="1:47">
      <c r="E394" s="325"/>
      <c r="G394" s="39"/>
      <c r="H394" s="39"/>
      <c r="I394" s="39"/>
      <c r="J394" s="39"/>
      <c r="K394" s="39"/>
    </row>
    <row r="395" spans="1:47">
      <c r="E395" s="325"/>
      <c r="G395" s="39" t="s">
        <v>23</v>
      </c>
      <c r="H395" s="39"/>
      <c r="I395" s="39"/>
      <c r="J395" s="39"/>
      <c r="K395" s="39"/>
    </row>
    <row r="396" spans="1:47">
      <c r="A396" s="38" t="str">
        <f t="shared" ref="A396:A403" si="278">$J$4&amp;"-"</f>
        <v>Custom-</v>
      </c>
      <c r="B396" s="38" t="s">
        <v>262</v>
      </c>
      <c r="C396" s="38" t="str">
        <f>C390</f>
        <v xml:space="preserve">Pre-Dewatering </v>
      </c>
      <c r="D396" s="186">
        <f>LaborEsc</f>
        <v>0.02</v>
      </c>
      <c r="E396" s="325"/>
      <c r="G396" s="36" t="s">
        <v>125</v>
      </c>
      <c r="I396" s="39"/>
      <c r="K396" s="39"/>
      <c r="L396" s="43" t="s">
        <v>266</v>
      </c>
      <c r="N396" s="70">
        <f ca="1">IF(VLOOKUP($C396,$G$69:$J$87,4,FALSE)="Off",0,SUMIFS(OFFSET(Assumptions!$I$90,0,MATCH($A396,Configurations,0)-1,COUNT(Assumptions!$A$90:$A$183),1),Assumptions!$D$90:$D$183,$B396&amp;$C396))</f>
        <v>0</v>
      </c>
      <c r="O396" s="313"/>
      <c r="P396" s="323"/>
      <c r="Q396" s="313"/>
      <c r="R396" s="50">
        <f t="shared" ref="R396:AU396" ca="1" si="279">IF(OR(R$99&lt;InServiceYr,R$99&gt;(InServiceYr+analysis_period-1)),0,IF($P396=0,$N396,$P396)*LaborCost*(1+$D396)^(R$99-CostBaseYr))</f>
        <v>0</v>
      </c>
      <c r="S396" s="50">
        <f t="shared" ca="1" si="279"/>
        <v>0</v>
      </c>
      <c r="T396" s="50">
        <f t="shared" ca="1" si="279"/>
        <v>0</v>
      </c>
      <c r="U396" s="50">
        <f t="shared" ca="1" si="279"/>
        <v>0</v>
      </c>
      <c r="V396" s="50">
        <f t="shared" ca="1" si="279"/>
        <v>0</v>
      </c>
      <c r="W396" s="50">
        <f t="shared" ca="1" si="279"/>
        <v>0</v>
      </c>
      <c r="X396" s="50">
        <f t="shared" ca="1" si="279"/>
        <v>0</v>
      </c>
      <c r="Y396" s="50">
        <f t="shared" ca="1" si="279"/>
        <v>0</v>
      </c>
      <c r="Z396" s="50">
        <f t="shared" ca="1" si="279"/>
        <v>0</v>
      </c>
      <c r="AA396" s="50">
        <f t="shared" ca="1" si="279"/>
        <v>0</v>
      </c>
      <c r="AB396" s="50">
        <f t="shared" ca="1" si="279"/>
        <v>0</v>
      </c>
      <c r="AC396" s="50">
        <f t="shared" ca="1" si="279"/>
        <v>0</v>
      </c>
      <c r="AD396" s="50">
        <f t="shared" ca="1" si="279"/>
        <v>0</v>
      </c>
      <c r="AE396" s="50">
        <f t="shared" ca="1" si="279"/>
        <v>0</v>
      </c>
      <c r="AF396" s="50">
        <f t="shared" ca="1" si="279"/>
        <v>0</v>
      </c>
      <c r="AG396" s="50">
        <f t="shared" ca="1" si="279"/>
        <v>0</v>
      </c>
      <c r="AH396" s="50">
        <f t="shared" ca="1" si="279"/>
        <v>0</v>
      </c>
      <c r="AI396" s="50">
        <f t="shared" ca="1" si="279"/>
        <v>0</v>
      </c>
      <c r="AJ396" s="50">
        <f t="shared" ca="1" si="279"/>
        <v>0</v>
      </c>
      <c r="AK396" s="50">
        <f t="shared" ca="1" si="279"/>
        <v>0</v>
      </c>
      <c r="AL396" s="50">
        <f t="shared" si="279"/>
        <v>0</v>
      </c>
      <c r="AM396" s="50">
        <f t="shared" si="279"/>
        <v>0</v>
      </c>
      <c r="AN396" s="50">
        <f t="shared" si="279"/>
        <v>0</v>
      </c>
      <c r="AO396" s="50">
        <f t="shared" si="279"/>
        <v>0</v>
      </c>
      <c r="AP396" s="50">
        <f t="shared" si="279"/>
        <v>0</v>
      </c>
      <c r="AQ396" s="50">
        <f t="shared" si="279"/>
        <v>0</v>
      </c>
      <c r="AR396" s="50">
        <f t="shared" si="279"/>
        <v>0</v>
      </c>
      <c r="AS396" s="50">
        <f t="shared" si="279"/>
        <v>0</v>
      </c>
      <c r="AT396" s="50">
        <f t="shared" si="279"/>
        <v>0</v>
      </c>
      <c r="AU396" s="50">
        <f t="shared" si="279"/>
        <v>0</v>
      </c>
    </row>
    <row r="397" spans="1:47">
      <c r="A397" s="38" t="str">
        <f t="shared" si="278"/>
        <v>Custom-</v>
      </c>
      <c r="B397" s="38" t="s">
        <v>270</v>
      </c>
      <c r="C397" s="38" t="str">
        <f>C396</f>
        <v xml:space="preserve">Pre-Dewatering </v>
      </c>
      <c r="D397" s="186">
        <f>OMEsc</f>
        <v>0.02</v>
      </c>
      <c r="E397" s="325"/>
      <c r="G397" s="36" t="s">
        <v>126</v>
      </c>
      <c r="I397" s="39"/>
      <c r="K397" s="39"/>
      <c r="L397" s="43" t="str">
        <f>"["&amp;CostBaseYr&amp;" $]"</f>
        <v>[2013 $]</v>
      </c>
      <c r="N397" s="70">
        <f ca="1">IF(VLOOKUP($C397,$G$69:$J$87,4,FALSE)="Off",0,SUMIFS(OFFSET(Assumptions!$I$90,0,MATCH($A397,Configurations,0)-1,COUNT(Assumptions!$A$90:$A$183),1),Assumptions!$D$90:$D$183,$B397&amp;$C397))</f>
        <v>0</v>
      </c>
      <c r="O397" s="313"/>
      <c r="P397" s="323"/>
      <c r="Q397" s="313"/>
      <c r="R397" s="50">
        <f t="shared" ref="R397:AG399" ca="1" si="280">IF(OR(R$99&lt;InServiceYr,R$99&gt;(InServiceYr+analysis_period-1)),0,IF($P397=0,$N397,$P397)*(1+$D397)^(R$99-CostBaseYr))</f>
        <v>0</v>
      </c>
      <c r="S397" s="50">
        <f t="shared" ca="1" si="280"/>
        <v>0</v>
      </c>
      <c r="T397" s="50">
        <f t="shared" ca="1" si="280"/>
        <v>0</v>
      </c>
      <c r="U397" s="50">
        <f t="shared" ca="1" si="280"/>
        <v>0</v>
      </c>
      <c r="V397" s="50">
        <f t="shared" ca="1" si="280"/>
        <v>0</v>
      </c>
      <c r="W397" s="50">
        <f t="shared" ca="1" si="280"/>
        <v>0</v>
      </c>
      <c r="X397" s="50">
        <f t="shared" ca="1" si="280"/>
        <v>0</v>
      </c>
      <c r="Y397" s="50">
        <f t="shared" ca="1" si="280"/>
        <v>0</v>
      </c>
      <c r="Z397" s="50">
        <f t="shared" ca="1" si="280"/>
        <v>0</v>
      </c>
      <c r="AA397" s="50">
        <f t="shared" ca="1" si="280"/>
        <v>0</v>
      </c>
      <c r="AB397" s="50">
        <f t="shared" ca="1" si="280"/>
        <v>0</v>
      </c>
      <c r="AC397" s="50">
        <f t="shared" ca="1" si="280"/>
        <v>0</v>
      </c>
      <c r="AD397" s="50">
        <f t="shared" ca="1" si="280"/>
        <v>0</v>
      </c>
      <c r="AE397" s="50">
        <f t="shared" ca="1" si="280"/>
        <v>0</v>
      </c>
      <c r="AF397" s="50">
        <f t="shared" ca="1" si="280"/>
        <v>0</v>
      </c>
      <c r="AG397" s="50">
        <f t="shared" ca="1" si="280"/>
        <v>0</v>
      </c>
      <c r="AH397" s="50">
        <f t="shared" ref="S397:AU399" ca="1" si="281">IF(OR(AH$99&lt;InServiceYr,AH$99&gt;(InServiceYr+analysis_period-1)),0,IF($P397=0,$N397,$P397)*(1+$D397)^(AH$99-CostBaseYr))</f>
        <v>0</v>
      </c>
      <c r="AI397" s="50">
        <f t="shared" ca="1" si="281"/>
        <v>0</v>
      </c>
      <c r="AJ397" s="50">
        <f t="shared" ca="1" si="281"/>
        <v>0</v>
      </c>
      <c r="AK397" s="50">
        <f t="shared" ca="1" si="281"/>
        <v>0</v>
      </c>
      <c r="AL397" s="50">
        <f t="shared" si="281"/>
        <v>0</v>
      </c>
      <c r="AM397" s="50">
        <f t="shared" si="281"/>
        <v>0</v>
      </c>
      <c r="AN397" s="50">
        <f t="shared" si="281"/>
        <v>0</v>
      </c>
      <c r="AO397" s="50">
        <f t="shared" si="281"/>
        <v>0</v>
      </c>
      <c r="AP397" s="50">
        <f t="shared" si="281"/>
        <v>0</v>
      </c>
      <c r="AQ397" s="50">
        <f t="shared" si="281"/>
        <v>0</v>
      </c>
      <c r="AR397" s="50">
        <f t="shared" si="281"/>
        <v>0</v>
      </c>
      <c r="AS397" s="50">
        <f t="shared" si="281"/>
        <v>0</v>
      </c>
      <c r="AT397" s="50">
        <f t="shared" si="281"/>
        <v>0</v>
      </c>
      <c r="AU397" s="50">
        <f t="shared" si="281"/>
        <v>0</v>
      </c>
    </row>
    <row r="398" spans="1:47">
      <c r="A398" s="38" t="str">
        <f t="shared" si="278"/>
        <v>Custom-</v>
      </c>
      <c r="B398" s="38" t="s">
        <v>263</v>
      </c>
      <c r="C398" s="38" t="str">
        <f t="shared" ref="C398:C402" si="282">C397</f>
        <v xml:space="preserve">Pre-Dewatering </v>
      </c>
      <c r="D398" s="186">
        <f>OMEsc</f>
        <v>0.02</v>
      </c>
      <c r="E398" s="325"/>
      <c r="G398" s="36" t="s">
        <v>127</v>
      </c>
      <c r="I398" s="39"/>
      <c r="K398" s="39"/>
      <c r="L398" s="43" t="str">
        <f>"["&amp;CostBaseYr&amp;" $]"</f>
        <v>[2013 $]</v>
      </c>
      <c r="N398" s="70">
        <f ca="1">IF(VLOOKUP($C398,$G$69:$J$87,4,FALSE)="Off",0,SUMIFS(OFFSET(Assumptions!$I$90,0,MATCH($A398,Configurations,0)-1,COUNT(Assumptions!$A$90:$A$183),1),Assumptions!$D$90:$D$183,$B398&amp;$C398))</f>
        <v>0</v>
      </c>
      <c r="O398" s="313"/>
      <c r="P398" s="323"/>
      <c r="Q398" s="313"/>
      <c r="R398" s="50">
        <f t="shared" ca="1" si="280"/>
        <v>0</v>
      </c>
      <c r="S398" s="50">
        <f t="shared" ca="1" si="281"/>
        <v>0</v>
      </c>
      <c r="T398" s="50">
        <f t="shared" ca="1" si="281"/>
        <v>0</v>
      </c>
      <c r="U398" s="50">
        <f t="shared" ca="1" si="281"/>
        <v>0</v>
      </c>
      <c r="V398" s="50">
        <f t="shared" ca="1" si="281"/>
        <v>0</v>
      </c>
      <c r="W398" s="50">
        <f t="shared" ca="1" si="281"/>
        <v>0</v>
      </c>
      <c r="X398" s="50">
        <f t="shared" ca="1" si="281"/>
        <v>0</v>
      </c>
      <c r="Y398" s="50">
        <f t="shared" ca="1" si="281"/>
        <v>0</v>
      </c>
      <c r="Z398" s="50">
        <f t="shared" ca="1" si="281"/>
        <v>0</v>
      </c>
      <c r="AA398" s="50">
        <f t="shared" ca="1" si="281"/>
        <v>0</v>
      </c>
      <c r="AB398" s="50">
        <f t="shared" ca="1" si="281"/>
        <v>0</v>
      </c>
      <c r="AC398" s="50">
        <f t="shared" ca="1" si="281"/>
        <v>0</v>
      </c>
      <c r="AD398" s="50">
        <f t="shared" ca="1" si="281"/>
        <v>0</v>
      </c>
      <c r="AE398" s="50">
        <f t="shared" ca="1" si="281"/>
        <v>0</v>
      </c>
      <c r="AF398" s="50">
        <f t="shared" ca="1" si="281"/>
        <v>0</v>
      </c>
      <c r="AG398" s="50">
        <f t="shared" ca="1" si="281"/>
        <v>0</v>
      </c>
      <c r="AH398" s="50">
        <f t="shared" ca="1" si="281"/>
        <v>0</v>
      </c>
      <c r="AI398" s="50">
        <f t="shared" ca="1" si="281"/>
        <v>0</v>
      </c>
      <c r="AJ398" s="50">
        <f t="shared" ca="1" si="281"/>
        <v>0</v>
      </c>
      <c r="AK398" s="50">
        <f t="shared" ca="1" si="281"/>
        <v>0</v>
      </c>
      <c r="AL398" s="50">
        <f t="shared" si="281"/>
        <v>0</v>
      </c>
      <c r="AM398" s="50">
        <f t="shared" si="281"/>
        <v>0</v>
      </c>
      <c r="AN398" s="50">
        <f t="shared" si="281"/>
        <v>0</v>
      </c>
      <c r="AO398" s="50">
        <f t="shared" si="281"/>
        <v>0</v>
      </c>
      <c r="AP398" s="50">
        <f t="shared" si="281"/>
        <v>0</v>
      </c>
      <c r="AQ398" s="50">
        <f t="shared" si="281"/>
        <v>0</v>
      </c>
      <c r="AR398" s="50">
        <f t="shared" si="281"/>
        <v>0</v>
      </c>
      <c r="AS398" s="50">
        <f t="shared" si="281"/>
        <v>0</v>
      </c>
      <c r="AT398" s="50">
        <f t="shared" si="281"/>
        <v>0</v>
      </c>
      <c r="AU398" s="50">
        <f t="shared" si="281"/>
        <v>0</v>
      </c>
    </row>
    <row r="399" spans="1:47">
      <c r="A399" s="38" t="str">
        <f t="shared" si="278"/>
        <v>Custom-</v>
      </c>
      <c r="B399" s="38" t="s">
        <v>277</v>
      </c>
      <c r="C399" s="38" t="str">
        <f t="shared" si="282"/>
        <v xml:space="preserve">Pre-Dewatering </v>
      </c>
      <c r="D399" s="186">
        <f>OMEsc</f>
        <v>0.02</v>
      </c>
      <c r="E399" s="325"/>
      <c r="G399" s="36" t="s">
        <v>276</v>
      </c>
      <c r="I399" s="39"/>
      <c r="K399" s="39"/>
      <c r="L399" s="43" t="str">
        <f>"["&amp;CostBaseYr&amp;" $]"</f>
        <v>[2013 $]</v>
      </c>
      <c r="N399" s="70">
        <f ca="1">IF(VLOOKUP($C399,$G$69:$J$87,4,FALSE)="Off",0,SUMIFS(OFFSET(Assumptions!$I$90,0,MATCH($A399,Configurations,0)-1,COUNT(Assumptions!$A$90:$A$183),1),Assumptions!$D$90:$D$183,$B399&amp;$C399))</f>
        <v>0</v>
      </c>
      <c r="O399" s="313"/>
      <c r="P399" s="323"/>
      <c r="Q399" s="313"/>
      <c r="R399" s="50">
        <f t="shared" ca="1" si="280"/>
        <v>0</v>
      </c>
      <c r="S399" s="50">
        <f t="shared" ca="1" si="281"/>
        <v>0</v>
      </c>
      <c r="T399" s="50">
        <f t="shared" ca="1" si="281"/>
        <v>0</v>
      </c>
      <c r="U399" s="50">
        <f t="shared" ca="1" si="281"/>
        <v>0</v>
      </c>
      <c r="V399" s="50">
        <f t="shared" ca="1" si="281"/>
        <v>0</v>
      </c>
      <c r="W399" s="50">
        <f t="shared" ca="1" si="281"/>
        <v>0</v>
      </c>
      <c r="X399" s="50">
        <f t="shared" ca="1" si="281"/>
        <v>0</v>
      </c>
      <c r="Y399" s="50">
        <f t="shared" ca="1" si="281"/>
        <v>0</v>
      </c>
      <c r="Z399" s="50">
        <f t="shared" ca="1" si="281"/>
        <v>0</v>
      </c>
      <c r="AA399" s="50">
        <f t="shared" ca="1" si="281"/>
        <v>0</v>
      </c>
      <c r="AB399" s="50">
        <f t="shared" ca="1" si="281"/>
        <v>0</v>
      </c>
      <c r="AC399" s="50">
        <f t="shared" ca="1" si="281"/>
        <v>0</v>
      </c>
      <c r="AD399" s="50">
        <f t="shared" ca="1" si="281"/>
        <v>0</v>
      </c>
      <c r="AE399" s="50">
        <f t="shared" ca="1" si="281"/>
        <v>0</v>
      </c>
      <c r="AF399" s="50">
        <f t="shared" ca="1" si="281"/>
        <v>0</v>
      </c>
      <c r="AG399" s="50">
        <f t="shared" ca="1" si="281"/>
        <v>0</v>
      </c>
      <c r="AH399" s="50">
        <f t="shared" ca="1" si="281"/>
        <v>0</v>
      </c>
      <c r="AI399" s="50">
        <f t="shared" ca="1" si="281"/>
        <v>0</v>
      </c>
      <c r="AJ399" s="50">
        <f t="shared" ca="1" si="281"/>
        <v>0</v>
      </c>
      <c r="AK399" s="50">
        <f t="shared" ca="1" si="281"/>
        <v>0</v>
      </c>
      <c r="AL399" s="50">
        <f t="shared" si="281"/>
        <v>0</v>
      </c>
      <c r="AM399" s="50">
        <f t="shared" si="281"/>
        <v>0</v>
      </c>
      <c r="AN399" s="50">
        <f t="shared" si="281"/>
        <v>0</v>
      </c>
      <c r="AO399" s="50">
        <f t="shared" si="281"/>
        <v>0</v>
      </c>
      <c r="AP399" s="50">
        <f t="shared" si="281"/>
        <v>0</v>
      </c>
      <c r="AQ399" s="50">
        <f t="shared" si="281"/>
        <v>0</v>
      </c>
      <c r="AR399" s="50">
        <f t="shared" si="281"/>
        <v>0</v>
      </c>
      <c r="AS399" s="50">
        <f t="shared" si="281"/>
        <v>0</v>
      </c>
      <c r="AT399" s="50">
        <f t="shared" si="281"/>
        <v>0</v>
      </c>
      <c r="AU399" s="50">
        <f t="shared" si="281"/>
        <v>0</v>
      </c>
    </row>
    <row r="400" spans="1:47">
      <c r="A400" s="38" t="str">
        <f t="shared" si="278"/>
        <v>Custom-</v>
      </c>
      <c r="B400" s="38" t="s">
        <v>274</v>
      </c>
      <c r="C400" s="38" t="str">
        <f t="shared" si="282"/>
        <v xml:space="preserve">Pre-Dewatering </v>
      </c>
      <c r="D400" s="186"/>
      <c r="E400" s="325"/>
      <c r="G400" s="36" t="s">
        <v>16</v>
      </c>
      <c r="I400" s="39"/>
      <c r="K400" s="39"/>
      <c r="L400" s="43" t="s">
        <v>275</v>
      </c>
      <c r="N400" s="70">
        <f ca="1">IF(VLOOKUP($C400,$G$69:$J$87,4,FALSE)="Off",0,SUMIFS(OFFSET(Assumptions!$I$90,0,MATCH($A400,Configurations,0)-1,COUNT(Assumptions!$A$90:$A$183),1),Assumptions!$D$90:$D$183,$B400&amp;$C400))</f>
        <v>0</v>
      </c>
      <c r="O400" s="313"/>
      <c r="P400" s="323"/>
      <c r="Q400" s="313"/>
      <c r="R400" s="50">
        <f t="shared" ref="R400:AU400" ca="1" si="283">IF(OR(R$99&lt;InServiceYr,R$99&gt;(InServiceYr+analysis_period-1)),0,IF($P400=0,$N400,$P400)*R$505)</f>
        <v>0</v>
      </c>
      <c r="S400" s="50">
        <f t="shared" ca="1" si="283"/>
        <v>0</v>
      </c>
      <c r="T400" s="50">
        <f t="shared" ca="1" si="283"/>
        <v>0</v>
      </c>
      <c r="U400" s="50">
        <f t="shared" ca="1" si="283"/>
        <v>0</v>
      </c>
      <c r="V400" s="50">
        <f t="shared" ca="1" si="283"/>
        <v>0</v>
      </c>
      <c r="W400" s="50">
        <f t="shared" ca="1" si="283"/>
        <v>0</v>
      </c>
      <c r="X400" s="50">
        <f t="shared" ca="1" si="283"/>
        <v>0</v>
      </c>
      <c r="Y400" s="50">
        <f t="shared" ca="1" si="283"/>
        <v>0</v>
      </c>
      <c r="Z400" s="50">
        <f t="shared" ca="1" si="283"/>
        <v>0</v>
      </c>
      <c r="AA400" s="50">
        <f t="shared" ca="1" si="283"/>
        <v>0</v>
      </c>
      <c r="AB400" s="50">
        <f t="shared" ca="1" si="283"/>
        <v>0</v>
      </c>
      <c r="AC400" s="50">
        <f t="shared" ca="1" si="283"/>
        <v>0</v>
      </c>
      <c r="AD400" s="50">
        <f t="shared" ca="1" si="283"/>
        <v>0</v>
      </c>
      <c r="AE400" s="50">
        <f t="shared" ca="1" si="283"/>
        <v>0</v>
      </c>
      <c r="AF400" s="50">
        <f t="shared" ca="1" si="283"/>
        <v>0</v>
      </c>
      <c r="AG400" s="50">
        <f t="shared" ca="1" si="283"/>
        <v>0</v>
      </c>
      <c r="AH400" s="50">
        <f t="shared" ca="1" si="283"/>
        <v>0</v>
      </c>
      <c r="AI400" s="50">
        <f t="shared" ca="1" si="283"/>
        <v>0</v>
      </c>
      <c r="AJ400" s="50">
        <f t="shared" ca="1" si="283"/>
        <v>0</v>
      </c>
      <c r="AK400" s="50">
        <f t="shared" ca="1" si="283"/>
        <v>0</v>
      </c>
      <c r="AL400" s="50">
        <f t="shared" si="283"/>
        <v>0</v>
      </c>
      <c r="AM400" s="50">
        <f t="shared" si="283"/>
        <v>0</v>
      </c>
      <c r="AN400" s="50">
        <f t="shared" si="283"/>
        <v>0</v>
      </c>
      <c r="AO400" s="50">
        <f t="shared" si="283"/>
        <v>0</v>
      </c>
      <c r="AP400" s="50">
        <f t="shared" si="283"/>
        <v>0</v>
      </c>
      <c r="AQ400" s="50">
        <f t="shared" si="283"/>
        <v>0</v>
      </c>
      <c r="AR400" s="50">
        <f t="shared" si="283"/>
        <v>0</v>
      </c>
      <c r="AS400" s="50">
        <f t="shared" si="283"/>
        <v>0</v>
      </c>
      <c r="AT400" s="50">
        <f t="shared" si="283"/>
        <v>0</v>
      </c>
      <c r="AU400" s="50">
        <f t="shared" si="283"/>
        <v>0</v>
      </c>
    </row>
    <row r="401" spans="1:47">
      <c r="A401" s="38" t="str">
        <f t="shared" si="278"/>
        <v>Custom-</v>
      </c>
      <c r="B401" s="38" t="s">
        <v>257</v>
      </c>
      <c r="C401" s="38" t="str">
        <f t="shared" si="282"/>
        <v xml:space="preserve">Pre-Dewatering </v>
      </c>
      <c r="D401" s="186"/>
      <c r="E401" s="325"/>
      <c r="G401" s="36" t="s">
        <v>284</v>
      </c>
      <c r="I401" s="39"/>
      <c r="K401" s="39"/>
      <c r="L401" s="43" t="s">
        <v>293</v>
      </c>
      <c r="N401" s="70">
        <f ca="1">IF(VLOOKUP($C401,$G$69:$J$87,4,FALSE)="Off",0,SUMIFS(OFFSET(Assumptions!$I$90,0,MATCH($A401,Configurations,0)-1,COUNT(Assumptions!$A$90:$A$183),1),Assumptions!$D$90:$D$183,$B401&amp;$C401))</f>
        <v>0</v>
      </c>
      <c r="O401" s="313"/>
      <c r="P401" s="323"/>
      <c r="Q401" s="313"/>
      <c r="R401" s="50">
        <f t="shared" ref="R401:AU401" ca="1" si="284">IF(OR(R$99&lt;InServiceYr,R$99&gt;(InServiceYr+analysis_period-1)),0,IF($P401=0,$N401,$P401)*R$501)</f>
        <v>0</v>
      </c>
      <c r="S401" s="50">
        <f t="shared" ca="1" si="284"/>
        <v>0</v>
      </c>
      <c r="T401" s="50">
        <f t="shared" ca="1" si="284"/>
        <v>0</v>
      </c>
      <c r="U401" s="50">
        <f t="shared" ca="1" si="284"/>
        <v>0</v>
      </c>
      <c r="V401" s="50">
        <f t="shared" ca="1" si="284"/>
        <v>0</v>
      </c>
      <c r="W401" s="50">
        <f t="shared" ca="1" si="284"/>
        <v>0</v>
      </c>
      <c r="X401" s="50">
        <f t="shared" ca="1" si="284"/>
        <v>0</v>
      </c>
      <c r="Y401" s="50">
        <f t="shared" ca="1" si="284"/>
        <v>0</v>
      </c>
      <c r="Z401" s="50">
        <f t="shared" ca="1" si="284"/>
        <v>0</v>
      </c>
      <c r="AA401" s="50">
        <f t="shared" ca="1" si="284"/>
        <v>0</v>
      </c>
      <c r="AB401" s="50">
        <f t="shared" ca="1" si="284"/>
        <v>0</v>
      </c>
      <c r="AC401" s="50">
        <f t="shared" ca="1" si="284"/>
        <v>0</v>
      </c>
      <c r="AD401" s="50">
        <f t="shared" ca="1" si="284"/>
        <v>0</v>
      </c>
      <c r="AE401" s="50">
        <f t="shared" ca="1" si="284"/>
        <v>0</v>
      </c>
      <c r="AF401" s="50">
        <f t="shared" ca="1" si="284"/>
        <v>0</v>
      </c>
      <c r="AG401" s="50">
        <f t="shared" ca="1" si="284"/>
        <v>0</v>
      </c>
      <c r="AH401" s="50">
        <f t="shared" ca="1" si="284"/>
        <v>0</v>
      </c>
      <c r="AI401" s="50">
        <f t="shared" ca="1" si="284"/>
        <v>0</v>
      </c>
      <c r="AJ401" s="50">
        <f t="shared" ca="1" si="284"/>
        <v>0</v>
      </c>
      <c r="AK401" s="50">
        <f t="shared" ca="1" si="284"/>
        <v>0</v>
      </c>
      <c r="AL401" s="50">
        <f t="shared" si="284"/>
        <v>0</v>
      </c>
      <c r="AM401" s="50">
        <f t="shared" si="284"/>
        <v>0</v>
      </c>
      <c r="AN401" s="50">
        <f t="shared" si="284"/>
        <v>0</v>
      </c>
      <c r="AO401" s="50">
        <f t="shared" si="284"/>
        <v>0</v>
      </c>
      <c r="AP401" s="50">
        <f t="shared" si="284"/>
        <v>0</v>
      </c>
      <c r="AQ401" s="50">
        <f t="shared" si="284"/>
        <v>0</v>
      </c>
      <c r="AR401" s="50">
        <f t="shared" si="284"/>
        <v>0</v>
      </c>
      <c r="AS401" s="50">
        <f t="shared" si="284"/>
        <v>0</v>
      </c>
      <c r="AT401" s="50">
        <f t="shared" si="284"/>
        <v>0</v>
      </c>
      <c r="AU401" s="50">
        <f t="shared" si="284"/>
        <v>0</v>
      </c>
    </row>
    <row r="402" spans="1:47">
      <c r="A402" s="38" t="str">
        <f t="shared" si="278"/>
        <v>Custom-</v>
      </c>
      <c r="B402" s="38" t="s">
        <v>864</v>
      </c>
      <c r="C402" s="38" t="str">
        <f t="shared" si="282"/>
        <v xml:space="preserve">Pre-Dewatering </v>
      </c>
      <c r="D402" s="186">
        <f>GHGEsc</f>
        <v>0.02</v>
      </c>
      <c r="E402" s="325"/>
      <c r="G402" s="36" t="s">
        <v>865</v>
      </c>
      <c r="I402" s="39"/>
      <c r="K402" s="39"/>
      <c r="L402" s="43" t="s">
        <v>866</v>
      </c>
      <c r="N402" s="70">
        <f ca="1">IF(VLOOKUP($C402,$G$69:$J$87,4,FALSE)="Off",0,SUMIFS(OFFSET(Assumptions!$I$90,0,MATCH($A402,Configurations,0)-1,COUNT(Assumptions!$A$90:$A$183),1),Assumptions!$D$90:$D$183,$B402&amp;$C402))</f>
        <v>0</v>
      </c>
      <c r="O402" s="313"/>
      <c r="P402" s="323"/>
      <c r="Q402" s="313"/>
      <c r="R402" s="50">
        <f t="shared" ref="R402:AU402" ca="1" si="285">IF(OR(R$99&lt;InServiceYr,R$99&gt;(InServiceYr+analysis_period-1)),0,IF($P402=0,$N402,$P402)*R$513)</f>
        <v>0</v>
      </c>
      <c r="S402" s="50">
        <f t="shared" ca="1" si="285"/>
        <v>0</v>
      </c>
      <c r="T402" s="50">
        <f t="shared" ca="1" si="285"/>
        <v>0</v>
      </c>
      <c r="U402" s="50">
        <f t="shared" ca="1" si="285"/>
        <v>0</v>
      </c>
      <c r="V402" s="50">
        <f t="shared" ca="1" si="285"/>
        <v>0</v>
      </c>
      <c r="W402" s="50">
        <f t="shared" ca="1" si="285"/>
        <v>0</v>
      </c>
      <c r="X402" s="50">
        <f t="shared" ca="1" si="285"/>
        <v>0</v>
      </c>
      <c r="Y402" s="50">
        <f t="shared" ca="1" si="285"/>
        <v>0</v>
      </c>
      <c r="Z402" s="50">
        <f t="shared" ca="1" si="285"/>
        <v>0</v>
      </c>
      <c r="AA402" s="50">
        <f t="shared" ca="1" si="285"/>
        <v>0</v>
      </c>
      <c r="AB402" s="50">
        <f t="shared" ca="1" si="285"/>
        <v>0</v>
      </c>
      <c r="AC402" s="50">
        <f t="shared" ca="1" si="285"/>
        <v>0</v>
      </c>
      <c r="AD402" s="50">
        <f t="shared" ca="1" si="285"/>
        <v>0</v>
      </c>
      <c r="AE402" s="50">
        <f t="shared" ca="1" si="285"/>
        <v>0</v>
      </c>
      <c r="AF402" s="50">
        <f t="shared" ca="1" si="285"/>
        <v>0</v>
      </c>
      <c r="AG402" s="50">
        <f t="shared" ca="1" si="285"/>
        <v>0</v>
      </c>
      <c r="AH402" s="50">
        <f t="shared" ca="1" si="285"/>
        <v>0</v>
      </c>
      <c r="AI402" s="50">
        <f t="shared" ca="1" si="285"/>
        <v>0</v>
      </c>
      <c r="AJ402" s="50">
        <f t="shared" ca="1" si="285"/>
        <v>0</v>
      </c>
      <c r="AK402" s="50">
        <f t="shared" ca="1" si="285"/>
        <v>0</v>
      </c>
      <c r="AL402" s="50">
        <f t="shared" si="285"/>
        <v>0</v>
      </c>
      <c r="AM402" s="50">
        <f t="shared" si="285"/>
        <v>0</v>
      </c>
      <c r="AN402" s="50">
        <f t="shared" si="285"/>
        <v>0</v>
      </c>
      <c r="AO402" s="50">
        <f t="shared" si="285"/>
        <v>0</v>
      </c>
      <c r="AP402" s="50">
        <f t="shared" si="285"/>
        <v>0</v>
      </c>
      <c r="AQ402" s="50">
        <f t="shared" si="285"/>
        <v>0</v>
      </c>
      <c r="AR402" s="50">
        <f t="shared" si="285"/>
        <v>0</v>
      </c>
      <c r="AS402" s="50">
        <f t="shared" si="285"/>
        <v>0</v>
      </c>
      <c r="AT402" s="50">
        <f t="shared" si="285"/>
        <v>0</v>
      </c>
      <c r="AU402" s="50">
        <f t="shared" si="285"/>
        <v>0</v>
      </c>
    </row>
    <row r="403" spans="1:47">
      <c r="A403" s="38" t="str">
        <f t="shared" si="278"/>
        <v>Custom-</v>
      </c>
      <c r="B403" s="38" t="s">
        <v>273</v>
      </c>
      <c r="C403" s="38" t="str">
        <f>C401</f>
        <v xml:space="preserve">Pre-Dewatering </v>
      </c>
      <c r="D403" s="186">
        <f>LaborEsc</f>
        <v>0.02</v>
      </c>
      <c r="E403" s="325"/>
      <c r="G403" s="36" t="s">
        <v>291</v>
      </c>
      <c r="I403" s="39"/>
      <c r="K403" s="39"/>
      <c r="L403" s="43" t="str">
        <f>"["&amp;CostBaseYr&amp;" $]"</f>
        <v>[2013 $]</v>
      </c>
      <c r="N403" s="70">
        <f ca="1">IF(VLOOKUP($C403,$G$69:$J$87,4,FALSE)="Off",0,SUMIFS(OFFSET(Assumptions!$I$90,0,MATCH($A403,Configurations,0)-1,COUNT(Assumptions!$A$90:$A$183),1),Assumptions!$D$90:$D$183,$B403&amp;$C403))</f>
        <v>0</v>
      </c>
      <c r="O403" s="313"/>
      <c r="P403" s="323"/>
      <c r="Q403" s="313"/>
      <c r="R403" s="50">
        <f t="shared" ref="R403:AU403" ca="1" si="286">IF(OR(R$99&lt;InServiceYr,R$99&gt;(InServiceYr+analysis_period-1)),0,IF($P403=0,$N403,$P403)*(1+$D403)^(R$99-CostBaseYr))*R$509</f>
        <v>0</v>
      </c>
      <c r="S403" s="50">
        <f t="shared" ca="1" si="286"/>
        <v>0</v>
      </c>
      <c r="T403" s="50">
        <f t="shared" ca="1" si="286"/>
        <v>0</v>
      </c>
      <c r="U403" s="50">
        <f t="shared" ca="1" si="286"/>
        <v>0</v>
      </c>
      <c r="V403" s="50">
        <f t="shared" ca="1" si="286"/>
        <v>0</v>
      </c>
      <c r="W403" s="50">
        <f t="shared" ca="1" si="286"/>
        <v>0</v>
      </c>
      <c r="X403" s="50">
        <f t="shared" ca="1" si="286"/>
        <v>0</v>
      </c>
      <c r="Y403" s="50">
        <f t="shared" ca="1" si="286"/>
        <v>0</v>
      </c>
      <c r="Z403" s="50">
        <f t="shared" ca="1" si="286"/>
        <v>0</v>
      </c>
      <c r="AA403" s="50">
        <f t="shared" ca="1" si="286"/>
        <v>0</v>
      </c>
      <c r="AB403" s="50">
        <f t="shared" ca="1" si="286"/>
        <v>0</v>
      </c>
      <c r="AC403" s="50">
        <f t="shared" ca="1" si="286"/>
        <v>0</v>
      </c>
      <c r="AD403" s="50">
        <f t="shared" ca="1" si="286"/>
        <v>0</v>
      </c>
      <c r="AE403" s="50">
        <f t="shared" ca="1" si="286"/>
        <v>0</v>
      </c>
      <c r="AF403" s="50">
        <f t="shared" ca="1" si="286"/>
        <v>0</v>
      </c>
      <c r="AG403" s="50">
        <f t="shared" ca="1" si="286"/>
        <v>0</v>
      </c>
      <c r="AH403" s="50">
        <f t="shared" ca="1" si="286"/>
        <v>0</v>
      </c>
      <c r="AI403" s="50">
        <f t="shared" ca="1" si="286"/>
        <v>0</v>
      </c>
      <c r="AJ403" s="50">
        <f t="shared" ca="1" si="286"/>
        <v>0</v>
      </c>
      <c r="AK403" s="50">
        <f t="shared" ca="1" si="286"/>
        <v>0</v>
      </c>
      <c r="AL403" s="50">
        <f t="shared" si="286"/>
        <v>0</v>
      </c>
      <c r="AM403" s="50">
        <f t="shared" si="286"/>
        <v>0</v>
      </c>
      <c r="AN403" s="50">
        <f t="shared" si="286"/>
        <v>0</v>
      </c>
      <c r="AO403" s="50">
        <f t="shared" si="286"/>
        <v>0</v>
      </c>
      <c r="AP403" s="50">
        <f t="shared" si="286"/>
        <v>0</v>
      </c>
      <c r="AQ403" s="50">
        <f t="shared" si="286"/>
        <v>0</v>
      </c>
      <c r="AR403" s="50">
        <f t="shared" si="286"/>
        <v>0</v>
      </c>
      <c r="AS403" s="50">
        <f t="shared" si="286"/>
        <v>0</v>
      </c>
      <c r="AT403" s="50">
        <f t="shared" si="286"/>
        <v>0</v>
      </c>
      <c r="AU403" s="50">
        <f t="shared" si="286"/>
        <v>0</v>
      </c>
    </row>
    <row r="404" spans="1:47">
      <c r="D404" s="186"/>
      <c r="E404" s="325"/>
      <c r="G404" s="39" t="s">
        <v>304</v>
      </c>
      <c r="I404" s="39"/>
      <c r="K404" s="39"/>
      <c r="L404" s="43"/>
      <c r="N404" s="70"/>
      <c r="O404" s="313"/>
      <c r="P404" s="70"/>
      <c r="Q404" s="313"/>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row>
    <row r="405" spans="1:47">
      <c r="A405" s="38" t="str">
        <f>$J$4&amp;"-"</f>
        <v>Custom-</v>
      </c>
      <c r="B405" s="38" t="s">
        <v>265</v>
      </c>
      <c r="C405" s="38" t="str">
        <f>C396</f>
        <v xml:space="preserve">Pre-Dewatering </v>
      </c>
      <c r="D405" s="186"/>
      <c r="E405" s="325"/>
      <c r="G405" s="36" t="s">
        <v>108</v>
      </c>
      <c r="I405" s="39"/>
      <c r="K405" s="39"/>
      <c r="L405" s="43" t="s">
        <v>293</v>
      </c>
      <c r="N405" s="70">
        <f ca="1">IF(VLOOKUP($C405,$G$69:$J$87,4,FALSE)="Off",0,SUMIFS(OFFSET(Assumptions!$I$90,0,MATCH($A405,Configurations,0)-1,COUNT(Assumptions!$A$90:$A$183),1),Assumptions!$D$90:$D$183,$B405&amp;$C405))</f>
        <v>0</v>
      </c>
      <c r="O405" s="313"/>
      <c r="P405" s="323"/>
      <c r="Q405" s="313"/>
      <c r="R405" s="50">
        <f t="shared" ref="R405:AU405" ca="1" si="287">IF(OR(R$99&lt;InServiceYr,R$99&gt;(InServiceYr+analysis_period-1)),0,IF($P405=0,$N405,$P405)*R$501)</f>
        <v>0</v>
      </c>
      <c r="S405" s="50">
        <f t="shared" ca="1" si="287"/>
        <v>0</v>
      </c>
      <c r="T405" s="50">
        <f t="shared" ca="1" si="287"/>
        <v>0</v>
      </c>
      <c r="U405" s="50">
        <f t="shared" ca="1" si="287"/>
        <v>0</v>
      </c>
      <c r="V405" s="50">
        <f t="shared" ca="1" si="287"/>
        <v>0</v>
      </c>
      <c r="W405" s="50">
        <f t="shared" ca="1" si="287"/>
        <v>0</v>
      </c>
      <c r="X405" s="50">
        <f t="shared" ca="1" si="287"/>
        <v>0</v>
      </c>
      <c r="Y405" s="50">
        <f t="shared" ca="1" si="287"/>
        <v>0</v>
      </c>
      <c r="Z405" s="50">
        <f t="shared" ca="1" si="287"/>
        <v>0</v>
      </c>
      <c r="AA405" s="50">
        <f t="shared" ca="1" si="287"/>
        <v>0</v>
      </c>
      <c r="AB405" s="50">
        <f t="shared" ca="1" si="287"/>
        <v>0</v>
      </c>
      <c r="AC405" s="50">
        <f t="shared" ca="1" si="287"/>
        <v>0</v>
      </c>
      <c r="AD405" s="50">
        <f t="shared" ca="1" si="287"/>
        <v>0</v>
      </c>
      <c r="AE405" s="50">
        <f t="shared" ca="1" si="287"/>
        <v>0</v>
      </c>
      <c r="AF405" s="50">
        <f t="shared" ca="1" si="287"/>
        <v>0</v>
      </c>
      <c r="AG405" s="50">
        <f t="shared" ca="1" si="287"/>
        <v>0</v>
      </c>
      <c r="AH405" s="50">
        <f t="shared" ca="1" si="287"/>
        <v>0</v>
      </c>
      <c r="AI405" s="50">
        <f t="shared" ca="1" si="287"/>
        <v>0</v>
      </c>
      <c r="AJ405" s="50">
        <f t="shared" ca="1" si="287"/>
        <v>0</v>
      </c>
      <c r="AK405" s="50">
        <f t="shared" ca="1" si="287"/>
        <v>0</v>
      </c>
      <c r="AL405" s="50">
        <f t="shared" si="287"/>
        <v>0</v>
      </c>
      <c r="AM405" s="50">
        <f t="shared" si="287"/>
        <v>0</v>
      </c>
      <c r="AN405" s="50">
        <f t="shared" si="287"/>
        <v>0</v>
      </c>
      <c r="AO405" s="50">
        <f t="shared" si="287"/>
        <v>0</v>
      </c>
      <c r="AP405" s="50">
        <f t="shared" si="287"/>
        <v>0</v>
      </c>
      <c r="AQ405" s="50">
        <f t="shared" si="287"/>
        <v>0</v>
      </c>
      <c r="AR405" s="50">
        <f t="shared" si="287"/>
        <v>0</v>
      </c>
      <c r="AS405" s="50">
        <f t="shared" si="287"/>
        <v>0</v>
      </c>
      <c r="AT405" s="50">
        <f t="shared" si="287"/>
        <v>0</v>
      </c>
      <c r="AU405" s="50">
        <f t="shared" si="287"/>
        <v>0</v>
      </c>
    </row>
    <row r="406" spans="1:47">
      <c r="A406" s="38" t="str">
        <f>$J$4&amp;"-"</f>
        <v>Custom-</v>
      </c>
      <c r="B406" s="38" t="s">
        <v>289</v>
      </c>
      <c r="C406" s="38" t="str">
        <f>C396</f>
        <v xml:space="preserve">Pre-Dewatering </v>
      </c>
      <c r="D406" s="186">
        <f>LaborEsc</f>
        <v>0.02</v>
      </c>
      <c r="E406" s="325"/>
      <c r="G406" s="36" t="s">
        <v>292</v>
      </c>
      <c r="I406" s="39"/>
      <c r="K406" s="39"/>
      <c r="L406" s="43" t="str">
        <f>"["&amp;CostBaseYr&amp;" $]"</f>
        <v>[2013 $]</v>
      </c>
      <c r="N406" s="70">
        <f ca="1">IF(VLOOKUP($C406,$G$69:$J$87,4,FALSE)="Off",0,SUMIFS(OFFSET(Assumptions!$I$90,0,MATCH($A406,Configurations,0)-1,COUNT(Assumptions!$A$90:$A$183),1),Assumptions!$D$90:$D$183,$B406&amp;$C406))</f>
        <v>0</v>
      </c>
      <c r="O406" s="313"/>
      <c r="P406" s="323"/>
      <c r="Q406" s="313"/>
      <c r="R406" s="50">
        <f t="shared" ref="R406:AU406" ca="1" si="288">IF(OR(R$99&lt;InServiceYr,R$99&gt;(InServiceYr+analysis_period-1)),0,IF($P406=0,$N406,$P406)*(1+$D406)^(R$99-CostBaseYr))</f>
        <v>0</v>
      </c>
      <c r="S406" s="50">
        <f t="shared" ca="1" si="288"/>
        <v>0</v>
      </c>
      <c r="T406" s="50">
        <f t="shared" ca="1" si="288"/>
        <v>0</v>
      </c>
      <c r="U406" s="50">
        <f t="shared" ca="1" si="288"/>
        <v>0</v>
      </c>
      <c r="V406" s="50">
        <f t="shared" ca="1" si="288"/>
        <v>0</v>
      </c>
      <c r="W406" s="50">
        <f t="shared" ca="1" si="288"/>
        <v>0</v>
      </c>
      <c r="X406" s="50">
        <f t="shared" ca="1" si="288"/>
        <v>0</v>
      </c>
      <c r="Y406" s="50">
        <f t="shared" ca="1" si="288"/>
        <v>0</v>
      </c>
      <c r="Z406" s="50">
        <f t="shared" ca="1" si="288"/>
        <v>0</v>
      </c>
      <c r="AA406" s="50">
        <f t="shared" ca="1" si="288"/>
        <v>0</v>
      </c>
      <c r="AB406" s="50">
        <f t="shared" ca="1" si="288"/>
        <v>0</v>
      </c>
      <c r="AC406" s="50">
        <f t="shared" ca="1" si="288"/>
        <v>0</v>
      </c>
      <c r="AD406" s="50">
        <f t="shared" ca="1" si="288"/>
        <v>0</v>
      </c>
      <c r="AE406" s="50">
        <f t="shared" ca="1" si="288"/>
        <v>0</v>
      </c>
      <c r="AF406" s="50">
        <f t="shared" ca="1" si="288"/>
        <v>0</v>
      </c>
      <c r="AG406" s="50">
        <f t="shared" ca="1" si="288"/>
        <v>0</v>
      </c>
      <c r="AH406" s="50">
        <f t="shared" ca="1" si="288"/>
        <v>0</v>
      </c>
      <c r="AI406" s="50">
        <f t="shared" ca="1" si="288"/>
        <v>0</v>
      </c>
      <c r="AJ406" s="50">
        <f t="shared" ca="1" si="288"/>
        <v>0</v>
      </c>
      <c r="AK406" s="50">
        <f t="shared" ca="1" si="288"/>
        <v>0</v>
      </c>
      <c r="AL406" s="50">
        <f t="shared" si="288"/>
        <v>0</v>
      </c>
      <c r="AM406" s="50">
        <f t="shared" si="288"/>
        <v>0</v>
      </c>
      <c r="AN406" s="50">
        <f t="shared" si="288"/>
        <v>0</v>
      </c>
      <c r="AO406" s="50">
        <f t="shared" si="288"/>
        <v>0</v>
      </c>
      <c r="AP406" s="50">
        <f t="shared" si="288"/>
        <v>0</v>
      </c>
      <c r="AQ406" s="50">
        <f t="shared" si="288"/>
        <v>0</v>
      </c>
      <c r="AR406" s="50">
        <f t="shared" si="288"/>
        <v>0</v>
      </c>
      <c r="AS406" s="50">
        <f t="shared" si="288"/>
        <v>0</v>
      </c>
      <c r="AT406" s="50">
        <f t="shared" si="288"/>
        <v>0</v>
      </c>
      <c r="AU406" s="50">
        <f t="shared" si="288"/>
        <v>0</v>
      </c>
    </row>
    <row r="407" spans="1:47" s="60" customFormat="1">
      <c r="D407" s="187"/>
      <c r="E407" s="325"/>
      <c r="G407" s="39" t="s">
        <v>305</v>
      </c>
      <c r="I407" s="39"/>
      <c r="K407" s="39"/>
      <c r="L407" s="174"/>
      <c r="N407" s="188"/>
      <c r="O407" s="314"/>
      <c r="P407" s="185"/>
      <c r="Q407" s="314"/>
      <c r="R407" s="185">
        <f ca="1">SUM(R396:R403)-SUM(R405:R406)</f>
        <v>0</v>
      </c>
      <c r="S407" s="185">
        <f t="shared" ref="S407:AU407" ca="1" si="289">SUM(S396:S403)-SUM(S405:S406)</f>
        <v>0</v>
      </c>
      <c r="T407" s="185">
        <f t="shared" ca="1" si="289"/>
        <v>0</v>
      </c>
      <c r="U407" s="185">
        <f t="shared" ca="1" si="289"/>
        <v>0</v>
      </c>
      <c r="V407" s="185">
        <f t="shared" ca="1" si="289"/>
        <v>0</v>
      </c>
      <c r="W407" s="185">
        <f t="shared" ca="1" si="289"/>
        <v>0</v>
      </c>
      <c r="X407" s="185">
        <f t="shared" ca="1" si="289"/>
        <v>0</v>
      </c>
      <c r="Y407" s="185">
        <f t="shared" ca="1" si="289"/>
        <v>0</v>
      </c>
      <c r="Z407" s="185">
        <f t="shared" ca="1" si="289"/>
        <v>0</v>
      </c>
      <c r="AA407" s="185">
        <f t="shared" ca="1" si="289"/>
        <v>0</v>
      </c>
      <c r="AB407" s="185">
        <f t="shared" ca="1" si="289"/>
        <v>0</v>
      </c>
      <c r="AC407" s="185">
        <f t="shared" ca="1" si="289"/>
        <v>0</v>
      </c>
      <c r="AD407" s="185">
        <f t="shared" ca="1" si="289"/>
        <v>0</v>
      </c>
      <c r="AE407" s="185">
        <f t="shared" ca="1" si="289"/>
        <v>0</v>
      </c>
      <c r="AF407" s="185">
        <f t="shared" ca="1" si="289"/>
        <v>0</v>
      </c>
      <c r="AG407" s="185">
        <f t="shared" ca="1" si="289"/>
        <v>0</v>
      </c>
      <c r="AH407" s="185">
        <f t="shared" ca="1" si="289"/>
        <v>0</v>
      </c>
      <c r="AI407" s="185">
        <f t="shared" ca="1" si="289"/>
        <v>0</v>
      </c>
      <c r="AJ407" s="185">
        <f t="shared" ca="1" si="289"/>
        <v>0</v>
      </c>
      <c r="AK407" s="185">
        <f t="shared" ca="1" si="289"/>
        <v>0</v>
      </c>
      <c r="AL407" s="185">
        <f t="shared" si="289"/>
        <v>0</v>
      </c>
      <c r="AM407" s="185">
        <f t="shared" si="289"/>
        <v>0</v>
      </c>
      <c r="AN407" s="185">
        <f t="shared" si="289"/>
        <v>0</v>
      </c>
      <c r="AO407" s="185">
        <f t="shared" si="289"/>
        <v>0</v>
      </c>
      <c r="AP407" s="185">
        <f t="shared" si="289"/>
        <v>0</v>
      </c>
      <c r="AQ407" s="185">
        <f t="shared" si="289"/>
        <v>0</v>
      </c>
      <c r="AR407" s="185">
        <f t="shared" si="289"/>
        <v>0</v>
      </c>
      <c r="AS407" s="185">
        <f t="shared" si="289"/>
        <v>0</v>
      </c>
      <c r="AT407" s="185">
        <f t="shared" si="289"/>
        <v>0</v>
      </c>
      <c r="AU407" s="185">
        <f t="shared" si="289"/>
        <v>0</v>
      </c>
    </row>
    <row r="408" spans="1:47">
      <c r="E408" s="36"/>
      <c r="G408" s="39"/>
      <c r="H408" s="39"/>
      <c r="I408" s="39"/>
      <c r="J408" s="39"/>
      <c r="K408" s="39"/>
    </row>
    <row r="409" spans="1:47">
      <c r="E409" s="327"/>
      <c r="F409" s="28"/>
      <c r="G409" s="324" t="str">
        <f>C411&amp;" Capital Costs"</f>
        <v>Pre-Treatment (CAMBI) Capital Costs</v>
      </c>
      <c r="H409" s="324"/>
      <c r="I409" s="324"/>
      <c r="J409" s="324"/>
      <c r="K409" s="324"/>
      <c r="L409" s="405" t="s">
        <v>79</v>
      </c>
      <c r="M409" s="256"/>
      <c r="N409" s="325" t="s">
        <v>490</v>
      </c>
      <c r="O409" s="311"/>
      <c r="P409" s="325" t="s">
        <v>491</v>
      </c>
      <c r="Q409" s="310"/>
      <c r="R409" s="325">
        <f>R$8</f>
        <v>2014</v>
      </c>
      <c r="S409" s="325">
        <f t="shared" ref="S409:AU409" si="290">S$8</f>
        <v>2015</v>
      </c>
      <c r="T409" s="325">
        <f t="shared" si="290"/>
        <v>2016</v>
      </c>
      <c r="U409" s="325">
        <f t="shared" si="290"/>
        <v>2017</v>
      </c>
      <c r="V409" s="325">
        <f t="shared" si="290"/>
        <v>2018</v>
      </c>
      <c r="W409" s="325">
        <f t="shared" si="290"/>
        <v>2019</v>
      </c>
      <c r="X409" s="325">
        <f t="shared" si="290"/>
        <v>2020</v>
      </c>
      <c r="Y409" s="325">
        <f t="shared" si="290"/>
        <v>2021</v>
      </c>
      <c r="Z409" s="325">
        <f t="shared" si="290"/>
        <v>2022</v>
      </c>
      <c r="AA409" s="325">
        <f t="shared" si="290"/>
        <v>2023</v>
      </c>
      <c r="AB409" s="325">
        <f t="shared" si="290"/>
        <v>2024</v>
      </c>
      <c r="AC409" s="325">
        <f t="shared" si="290"/>
        <v>2025</v>
      </c>
      <c r="AD409" s="325">
        <f t="shared" si="290"/>
        <v>2026</v>
      </c>
      <c r="AE409" s="325">
        <f t="shared" si="290"/>
        <v>2027</v>
      </c>
      <c r="AF409" s="325">
        <f t="shared" si="290"/>
        <v>2028</v>
      </c>
      <c r="AG409" s="325">
        <f t="shared" si="290"/>
        <v>2029</v>
      </c>
      <c r="AH409" s="325">
        <f t="shared" si="290"/>
        <v>2030</v>
      </c>
      <c r="AI409" s="325">
        <f t="shared" si="290"/>
        <v>2031</v>
      </c>
      <c r="AJ409" s="325">
        <f t="shared" si="290"/>
        <v>2032</v>
      </c>
      <c r="AK409" s="325">
        <f t="shared" si="290"/>
        <v>2033</v>
      </c>
      <c r="AL409" s="325">
        <f t="shared" si="290"/>
        <v>2034</v>
      </c>
      <c r="AM409" s="325">
        <f t="shared" si="290"/>
        <v>2035</v>
      </c>
      <c r="AN409" s="325">
        <f t="shared" si="290"/>
        <v>2036</v>
      </c>
      <c r="AO409" s="325">
        <f t="shared" si="290"/>
        <v>2037</v>
      </c>
      <c r="AP409" s="325">
        <f t="shared" si="290"/>
        <v>2038</v>
      </c>
      <c r="AQ409" s="325">
        <f t="shared" si="290"/>
        <v>2039</v>
      </c>
      <c r="AR409" s="325">
        <f t="shared" si="290"/>
        <v>2040</v>
      </c>
      <c r="AS409" s="325">
        <f t="shared" si="290"/>
        <v>2041</v>
      </c>
      <c r="AT409" s="325">
        <f t="shared" si="290"/>
        <v>2042</v>
      </c>
      <c r="AU409" s="325">
        <f t="shared" si="290"/>
        <v>2043</v>
      </c>
    </row>
    <row r="410" spans="1:47">
      <c r="E410" s="325"/>
      <c r="G410" s="39"/>
      <c r="H410" s="39"/>
      <c r="I410" s="39"/>
      <c r="J410" s="39"/>
      <c r="K410" s="39"/>
    </row>
    <row r="411" spans="1:47">
      <c r="A411" s="38" t="str">
        <f>$J$4&amp;"-"</f>
        <v>Custom-</v>
      </c>
      <c r="B411" s="38" t="s">
        <v>306</v>
      </c>
      <c r="C411" s="38" t="s">
        <v>138</v>
      </c>
      <c r="D411" s="186">
        <f>CapExEsc</f>
        <v>0.03</v>
      </c>
      <c r="E411" s="325"/>
      <c r="G411" s="36" t="s">
        <v>8</v>
      </c>
      <c r="H411" s="39"/>
      <c r="I411" s="39"/>
      <c r="J411" s="70"/>
      <c r="K411" s="39"/>
      <c r="L411" s="43" t="str">
        <f>"["&amp;CostBaseYr&amp;" $]"</f>
        <v>[2013 $]</v>
      </c>
      <c r="N411" s="52">
        <f ca="1">IF(VLOOKUP($C411,$G$69:$J$87,4,FALSE)="Off", 0,SUMIFS(OFFSET(Assumptions!$I$65,0,MATCH($A411,Configurations,0)-1,COUNT(Assumptions!$A$65:$A$84),1),Assumptions!$E$65:$E$84,$C411))</f>
        <v>0</v>
      </c>
      <c r="O411" s="52"/>
      <c r="P411" s="322"/>
      <c r="Q411" s="52"/>
      <c r="R411" s="52">
        <f t="shared" ref="R411:AU411" ca="1" si="291">R412*IF($P411=0,$N411,$P411)*(1+$D411)^(R$8-CostBaseYr)</f>
        <v>0</v>
      </c>
      <c r="S411" s="52">
        <f t="shared" ca="1" si="291"/>
        <v>0</v>
      </c>
      <c r="T411" s="52">
        <f t="shared" ca="1" si="291"/>
        <v>0</v>
      </c>
      <c r="U411" s="52">
        <f t="shared" ca="1" si="291"/>
        <v>0</v>
      </c>
      <c r="V411" s="52">
        <f t="shared" ca="1" si="291"/>
        <v>0</v>
      </c>
      <c r="W411" s="52">
        <f t="shared" ca="1" si="291"/>
        <v>0</v>
      </c>
      <c r="X411" s="52">
        <f t="shared" ca="1" si="291"/>
        <v>0</v>
      </c>
      <c r="Y411" s="52">
        <f t="shared" ca="1" si="291"/>
        <v>0</v>
      </c>
      <c r="Z411" s="52">
        <f t="shared" ca="1" si="291"/>
        <v>0</v>
      </c>
      <c r="AA411" s="52">
        <f t="shared" ca="1" si="291"/>
        <v>0</v>
      </c>
      <c r="AB411" s="52">
        <f t="shared" ca="1" si="291"/>
        <v>0</v>
      </c>
      <c r="AC411" s="52">
        <f t="shared" ca="1" si="291"/>
        <v>0</v>
      </c>
      <c r="AD411" s="52">
        <f t="shared" ca="1" si="291"/>
        <v>0</v>
      </c>
      <c r="AE411" s="52">
        <f t="shared" ca="1" si="291"/>
        <v>0</v>
      </c>
      <c r="AF411" s="52">
        <f t="shared" ca="1" si="291"/>
        <v>0</v>
      </c>
      <c r="AG411" s="52">
        <f t="shared" ca="1" si="291"/>
        <v>0</v>
      </c>
      <c r="AH411" s="52">
        <f t="shared" ca="1" si="291"/>
        <v>0</v>
      </c>
      <c r="AI411" s="52">
        <f t="shared" ca="1" si="291"/>
        <v>0</v>
      </c>
      <c r="AJ411" s="52">
        <f t="shared" ca="1" si="291"/>
        <v>0</v>
      </c>
      <c r="AK411" s="52">
        <f t="shared" ca="1" si="291"/>
        <v>0</v>
      </c>
      <c r="AL411" s="52">
        <f t="shared" ca="1" si="291"/>
        <v>0</v>
      </c>
      <c r="AM411" s="52">
        <f t="shared" ca="1" si="291"/>
        <v>0</v>
      </c>
      <c r="AN411" s="52">
        <f t="shared" ca="1" si="291"/>
        <v>0</v>
      </c>
      <c r="AO411" s="52">
        <f t="shared" ca="1" si="291"/>
        <v>0</v>
      </c>
      <c r="AP411" s="52">
        <f t="shared" ca="1" si="291"/>
        <v>0</v>
      </c>
      <c r="AQ411" s="52">
        <f t="shared" ca="1" si="291"/>
        <v>0</v>
      </c>
      <c r="AR411" s="52">
        <f t="shared" ca="1" si="291"/>
        <v>0</v>
      </c>
      <c r="AS411" s="52">
        <f t="shared" ca="1" si="291"/>
        <v>0</v>
      </c>
      <c r="AT411" s="52">
        <f t="shared" ca="1" si="291"/>
        <v>0</v>
      </c>
      <c r="AU411" s="52">
        <f t="shared" ca="1" si="291"/>
        <v>0</v>
      </c>
    </row>
    <row r="412" spans="1:47">
      <c r="E412" s="325"/>
      <c r="G412" s="36" t="s">
        <v>10</v>
      </c>
      <c r="H412" s="39"/>
      <c r="I412" s="39"/>
      <c r="J412" s="39"/>
      <c r="K412" s="39"/>
      <c r="L412" s="43"/>
      <c r="R412" s="54">
        <f>Assumptions!M$60</f>
        <v>1</v>
      </c>
      <c r="S412" s="54">
        <f>Assumptions!N$60</f>
        <v>0</v>
      </c>
      <c r="T412" s="54">
        <f>Assumptions!O$60</f>
        <v>0</v>
      </c>
      <c r="U412" s="54">
        <f>Assumptions!P$60</f>
        <v>0</v>
      </c>
      <c r="V412" s="54">
        <f>Assumptions!Q$60</f>
        <v>0</v>
      </c>
      <c r="W412" s="54">
        <f>Assumptions!R$60</f>
        <v>0</v>
      </c>
      <c r="X412" s="54">
        <f>Assumptions!S$60</f>
        <v>0</v>
      </c>
      <c r="Y412" s="54">
        <f>Assumptions!T$60</f>
        <v>0</v>
      </c>
      <c r="Z412" s="54">
        <f>Assumptions!U$60</f>
        <v>0</v>
      </c>
      <c r="AA412" s="54">
        <f>Assumptions!V$60</f>
        <v>0</v>
      </c>
      <c r="AB412" s="54">
        <f>Assumptions!W$60</f>
        <v>0</v>
      </c>
      <c r="AC412" s="54">
        <f>Assumptions!X$60</f>
        <v>0</v>
      </c>
      <c r="AD412" s="54">
        <f>Assumptions!Y$60</f>
        <v>0</v>
      </c>
      <c r="AE412" s="54">
        <f>Assumptions!Z$60</f>
        <v>0</v>
      </c>
      <c r="AF412" s="54">
        <f>Assumptions!AA$60</f>
        <v>0</v>
      </c>
      <c r="AG412" s="54">
        <f>Assumptions!AB$60</f>
        <v>0</v>
      </c>
      <c r="AH412" s="54">
        <f>Assumptions!AC$60</f>
        <v>0</v>
      </c>
      <c r="AI412" s="54">
        <f>Assumptions!AD$60</f>
        <v>0</v>
      </c>
      <c r="AJ412" s="54">
        <f>Assumptions!AE$60</f>
        <v>0</v>
      </c>
      <c r="AK412" s="54">
        <f>Assumptions!AF$60</f>
        <v>0</v>
      </c>
      <c r="AL412" s="54">
        <f>Assumptions!AG$60</f>
        <v>0</v>
      </c>
      <c r="AM412" s="54">
        <f>Assumptions!AH$60</f>
        <v>0</v>
      </c>
      <c r="AN412" s="54">
        <f>Assumptions!AI$60</f>
        <v>0</v>
      </c>
      <c r="AO412" s="54">
        <f>Assumptions!AJ$60</f>
        <v>0</v>
      </c>
      <c r="AP412" s="54">
        <f>Assumptions!AK$60</f>
        <v>0</v>
      </c>
      <c r="AQ412" s="54">
        <f>Assumptions!AL$60</f>
        <v>0</v>
      </c>
      <c r="AR412" s="54">
        <f>Assumptions!AM$60</f>
        <v>0</v>
      </c>
      <c r="AS412" s="54">
        <f>Assumptions!AN$60</f>
        <v>0</v>
      </c>
      <c r="AT412" s="54">
        <f>Assumptions!AO$60</f>
        <v>0</v>
      </c>
      <c r="AU412" s="54">
        <f>Assumptions!AP$60</f>
        <v>0</v>
      </c>
    </row>
    <row r="413" spans="1:47">
      <c r="E413" s="326"/>
      <c r="G413" s="39"/>
      <c r="H413" s="39"/>
      <c r="I413" s="39"/>
      <c r="J413" s="39"/>
      <c r="K413" s="39"/>
    </row>
    <row r="414" spans="1:47">
      <c r="E414" s="327"/>
      <c r="F414" s="28"/>
      <c r="G414" s="324" t="str">
        <f>C411&amp;" O&amp;M"</f>
        <v>Pre-Treatment (CAMBI) O&amp;M</v>
      </c>
      <c r="H414" s="324"/>
      <c r="I414" s="324"/>
      <c r="J414" s="324"/>
      <c r="K414" s="324"/>
      <c r="L414" s="405" t="s">
        <v>79</v>
      </c>
      <c r="M414" s="256"/>
      <c r="N414" s="325" t="s">
        <v>490</v>
      </c>
      <c r="O414" s="311"/>
      <c r="P414" s="325" t="s">
        <v>491</v>
      </c>
      <c r="Q414" s="310"/>
      <c r="R414" s="325">
        <f>R$8</f>
        <v>2014</v>
      </c>
      <c r="S414" s="325">
        <f t="shared" ref="S414:AU414" si="292">S$8</f>
        <v>2015</v>
      </c>
      <c r="T414" s="325">
        <f t="shared" si="292"/>
        <v>2016</v>
      </c>
      <c r="U414" s="325">
        <f t="shared" si="292"/>
        <v>2017</v>
      </c>
      <c r="V414" s="325">
        <f t="shared" si="292"/>
        <v>2018</v>
      </c>
      <c r="W414" s="325">
        <f t="shared" si="292"/>
        <v>2019</v>
      </c>
      <c r="X414" s="325">
        <f t="shared" si="292"/>
        <v>2020</v>
      </c>
      <c r="Y414" s="325">
        <f t="shared" si="292"/>
        <v>2021</v>
      </c>
      <c r="Z414" s="325">
        <f t="shared" si="292"/>
        <v>2022</v>
      </c>
      <c r="AA414" s="325">
        <f t="shared" si="292"/>
        <v>2023</v>
      </c>
      <c r="AB414" s="325">
        <f t="shared" si="292"/>
        <v>2024</v>
      </c>
      <c r="AC414" s="325">
        <f t="shared" si="292"/>
        <v>2025</v>
      </c>
      <c r="AD414" s="325">
        <f t="shared" si="292"/>
        <v>2026</v>
      </c>
      <c r="AE414" s="325">
        <f t="shared" si="292"/>
        <v>2027</v>
      </c>
      <c r="AF414" s="325">
        <f t="shared" si="292"/>
        <v>2028</v>
      </c>
      <c r="AG414" s="325">
        <f t="shared" si="292"/>
        <v>2029</v>
      </c>
      <c r="AH414" s="325">
        <f t="shared" si="292"/>
        <v>2030</v>
      </c>
      <c r="AI414" s="325">
        <f t="shared" si="292"/>
        <v>2031</v>
      </c>
      <c r="AJ414" s="325">
        <f t="shared" si="292"/>
        <v>2032</v>
      </c>
      <c r="AK414" s="325">
        <f t="shared" si="292"/>
        <v>2033</v>
      </c>
      <c r="AL414" s="325">
        <f t="shared" si="292"/>
        <v>2034</v>
      </c>
      <c r="AM414" s="325">
        <f t="shared" si="292"/>
        <v>2035</v>
      </c>
      <c r="AN414" s="325">
        <f t="shared" si="292"/>
        <v>2036</v>
      </c>
      <c r="AO414" s="325">
        <f t="shared" si="292"/>
        <v>2037</v>
      </c>
      <c r="AP414" s="325">
        <f t="shared" si="292"/>
        <v>2038</v>
      </c>
      <c r="AQ414" s="325">
        <f t="shared" si="292"/>
        <v>2039</v>
      </c>
      <c r="AR414" s="325">
        <f t="shared" si="292"/>
        <v>2040</v>
      </c>
      <c r="AS414" s="325">
        <f t="shared" si="292"/>
        <v>2041</v>
      </c>
      <c r="AT414" s="325">
        <f t="shared" si="292"/>
        <v>2042</v>
      </c>
      <c r="AU414" s="325">
        <f t="shared" si="292"/>
        <v>2043</v>
      </c>
    </row>
    <row r="415" spans="1:47">
      <c r="E415" s="325"/>
      <c r="G415" s="39"/>
      <c r="H415" s="39"/>
      <c r="I415" s="39"/>
      <c r="J415" s="39"/>
      <c r="K415" s="39"/>
    </row>
    <row r="416" spans="1:47">
      <c r="E416" s="325"/>
      <c r="G416" s="39" t="s">
        <v>23</v>
      </c>
      <c r="H416" s="39"/>
      <c r="I416" s="39"/>
      <c r="J416" s="39"/>
      <c r="K416" s="39"/>
    </row>
    <row r="417" spans="1:47">
      <c r="A417" s="38" t="str">
        <f t="shared" ref="A417:A424" si="293">$J$4&amp;"-"</f>
        <v>Custom-</v>
      </c>
      <c r="B417" s="38" t="s">
        <v>262</v>
      </c>
      <c r="C417" s="38" t="str">
        <f>C411</f>
        <v>Pre-Treatment (CAMBI)</v>
      </c>
      <c r="D417" s="186">
        <f>LaborEsc</f>
        <v>0.02</v>
      </c>
      <c r="E417" s="325"/>
      <c r="G417" s="36" t="s">
        <v>125</v>
      </c>
      <c r="I417" s="39"/>
      <c r="K417" s="39"/>
      <c r="L417" s="43" t="s">
        <v>266</v>
      </c>
      <c r="N417" s="70">
        <f ca="1">IF(VLOOKUP($C417,$G$69:$J$87,4,FALSE)="Off",0,SUMIFS(OFFSET(Assumptions!$I$90,0,MATCH($A417,Configurations,0)-1,COUNT(Assumptions!$A$90:$A$183),1),Assumptions!$D$90:$D$183,$B417&amp;$C417))</f>
        <v>0</v>
      </c>
      <c r="O417" s="313"/>
      <c r="P417" s="323"/>
      <c r="Q417" s="313"/>
      <c r="R417" s="50">
        <f t="shared" ref="R417:AU417" ca="1" si="294">IF(OR(R$99&lt;InServiceYr,R$99&gt;(InServiceYr+analysis_period-1)),0,IF($P417=0,$N417,$P417)*LaborCost*(1+$D417)^(R$99-CostBaseYr))</f>
        <v>0</v>
      </c>
      <c r="S417" s="50">
        <f t="shared" ca="1" si="294"/>
        <v>0</v>
      </c>
      <c r="T417" s="50">
        <f t="shared" ca="1" si="294"/>
        <v>0</v>
      </c>
      <c r="U417" s="50">
        <f t="shared" ca="1" si="294"/>
        <v>0</v>
      </c>
      <c r="V417" s="50">
        <f t="shared" ca="1" si="294"/>
        <v>0</v>
      </c>
      <c r="W417" s="50">
        <f t="shared" ca="1" si="294"/>
        <v>0</v>
      </c>
      <c r="X417" s="50">
        <f t="shared" ca="1" si="294"/>
        <v>0</v>
      </c>
      <c r="Y417" s="50">
        <f t="shared" ca="1" si="294"/>
        <v>0</v>
      </c>
      <c r="Z417" s="50">
        <f t="shared" ca="1" si="294"/>
        <v>0</v>
      </c>
      <c r="AA417" s="50">
        <f t="shared" ca="1" si="294"/>
        <v>0</v>
      </c>
      <c r="AB417" s="50">
        <f t="shared" ca="1" si="294"/>
        <v>0</v>
      </c>
      <c r="AC417" s="50">
        <f t="shared" ca="1" si="294"/>
        <v>0</v>
      </c>
      <c r="AD417" s="50">
        <f t="shared" ca="1" si="294"/>
        <v>0</v>
      </c>
      <c r="AE417" s="50">
        <f t="shared" ca="1" si="294"/>
        <v>0</v>
      </c>
      <c r="AF417" s="50">
        <f t="shared" ca="1" si="294"/>
        <v>0</v>
      </c>
      <c r="AG417" s="50">
        <f t="shared" ca="1" si="294"/>
        <v>0</v>
      </c>
      <c r="AH417" s="50">
        <f t="shared" ca="1" si="294"/>
        <v>0</v>
      </c>
      <c r="AI417" s="50">
        <f t="shared" ca="1" si="294"/>
        <v>0</v>
      </c>
      <c r="AJ417" s="50">
        <f t="shared" ca="1" si="294"/>
        <v>0</v>
      </c>
      <c r="AK417" s="50">
        <f t="shared" ca="1" si="294"/>
        <v>0</v>
      </c>
      <c r="AL417" s="50">
        <f t="shared" si="294"/>
        <v>0</v>
      </c>
      <c r="AM417" s="50">
        <f t="shared" si="294"/>
        <v>0</v>
      </c>
      <c r="AN417" s="50">
        <f t="shared" si="294"/>
        <v>0</v>
      </c>
      <c r="AO417" s="50">
        <f t="shared" si="294"/>
        <v>0</v>
      </c>
      <c r="AP417" s="50">
        <f t="shared" si="294"/>
        <v>0</v>
      </c>
      <c r="AQ417" s="50">
        <f t="shared" si="294"/>
        <v>0</v>
      </c>
      <c r="AR417" s="50">
        <f t="shared" si="294"/>
        <v>0</v>
      </c>
      <c r="AS417" s="50">
        <f t="shared" si="294"/>
        <v>0</v>
      </c>
      <c r="AT417" s="50">
        <f t="shared" si="294"/>
        <v>0</v>
      </c>
      <c r="AU417" s="50">
        <f t="shared" si="294"/>
        <v>0</v>
      </c>
    </row>
    <row r="418" spans="1:47">
      <c r="A418" s="38" t="str">
        <f t="shared" si="293"/>
        <v>Custom-</v>
      </c>
      <c r="B418" s="38" t="s">
        <v>270</v>
      </c>
      <c r="C418" s="38" t="str">
        <f>C417</f>
        <v>Pre-Treatment (CAMBI)</v>
      </c>
      <c r="D418" s="186">
        <f>OMEsc</f>
        <v>0.02</v>
      </c>
      <c r="E418" s="325"/>
      <c r="G418" s="36" t="s">
        <v>126</v>
      </c>
      <c r="I418" s="39"/>
      <c r="K418" s="39"/>
      <c r="L418" s="43" t="str">
        <f>"["&amp;CostBaseYr&amp;" $]"</f>
        <v>[2013 $]</v>
      </c>
      <c r="N418" s="70">
        <f ca="1">IF(VLOOKUP($C418,$G$69:$J$87,4,FALSE)="Off",0,SUMIFS(OFFSET(Assumptions!$I$90,0,MATCH($A418,Configurations,0)-1,COUNT(Assumptions!$A$90:$A$183),1),Assumptions!$D$90:$D$183,$B418&amp;$C418))</f>
        <v>0</v>
      </c>
      <c r="O418" s="313"/>
      <c r="P418" s="323"/>
      <c r="Q418" s="313"/>
      <c r="R418" s="50">
        <f t="shared" ref="R418:AG420" ca="1" si="295">IF(OR(R$99&lt;InServiceYr,R$99&gt;(InServiceYr+analysis_period-1)),0,IF($P418=0,$N418,$P418)*(1+$D418)^(R$99-CostBaseYr))</f>
        <v>0</v>
      </c>
      <c r="S418" s="50">
        <f t="shared" ca="1" si="295"/>
        <v>0</v>
      </c>
      <c r="T418" s="50">
        <f t="shared" ca="1" si="295"/>
        <v>0</v>
      </c>
      <c r="U418" s="50">
        <f t="shared" ca="1" si="295"/>
        <v>0</v>
      </c>
      <c r="V418" s="50">
        <f t="shared" ca="1" si="295"/>
        <v>0</v>
      </c>
      <c r="W418" s="50">
        <f t="shared" ca="1" si="295"/>
        <v>0</v>
      </c>
      <c r="X418" s="50">
        <f t="shared" ca="1" si="295"/>
        <v>0</v>
      </c>
      <c r="Y418" s="50">
        <f t="shared" ca="1" si="295"/>
        <v>0</v>
      </c>
      <c r="Z418" s="50">
        <f t="shared" ca="1" si="295"/>
        <v>0</v>
      </c>
      <c r="AA418" s="50">
        <f t="shared" ca="1" si="295"/>
        <v>0</v>
      </c>
      <c r="AB418" s="50">
        <f t="shared" ca="1" si="295"/>
        <v>0</v>
      </c>
      <c r="AC418" s="50">
        <f t="shared" ca="1" si="295"/>
        <v>0</v>
      </c>
      <c r="AD418" s="50">
        <f t="shared" ca="1" si="295"/>
        <v>0</v>
      </c>
      <c r="AE418" s="50">
        <f t="shared" ca="1" si="295"/>
        <v>0</v>
      </c>
      <c r="AF418" s="50">
        <f t="shared" ca="1" si="295"/>
        <v>0</v>
      </c>
      <c r="AG418" s="50">
        <f t="shared" ca="1" si="295"/>
        <v>0</v>
      </c>
      <c r="AH418" s="50">
        <f t="shared" ref="S418:AU420" ca="1" si="296">IF(OR(AH$99&lt;InServiceYr,AH$99&gt;(InServiceYr+analysis_period-1)),0,IF($P418=0,$N418,$P418)*(1+$D418)^(AH$99-CostBaseYr))</f>
        <v>0</v>
      </c>
      <c r="AI418" s="50">
        <f t="shared" ca="1" si="296"/>
        <v>0</v>
      </c>
      <c r="AJ418" s="50">
        <f t="shared" ca="1" si="296"/>
        <v>0</v>
      </c>
      <c r="AK418" s="50">
        <f t="shared" ca="1" si="296"/>
        <v>0</v>
      </c>
      <c r="AL418" s="50">
        <f t="shared" si="296"/>
        <v>0</v>
      </c>
      <c r="AM418" s="50">
        <f t="shared" si="296"/>
        <v>0</v>
      </c>
      <c r="AN418" s="50">
        <f t="shared" si="296"/>
        <v>0</v>
      </c>
      <c r="AO418" s="50">
        <f t="shared" si="296"/>
        <v>0</v>
      </c>
      <c r="AP418" s="50">
        <f t="shared" si="296"/>
        <v>0</v>
      </c>
      <c r="AQ418" s="50">
        <f t="shared" si="296"/>
        <v>0</v>
      </c>
      <c r="AR418" s="50">
        <f t="shared" si="296"/>
        <v>0</v>
      </c>
      <c r="AS418" s="50">
        <f t="shared" si="296"/>
        <v>0</v>
      </c>
      <c r="AT418" s="50">
        <f t="shared" si="296"/>
        <v>0</v>
      </c>
      <c r="AU418" s="50">
        <f t="shared" si="296"/>
        <v>0</v>
      </c>
    </row>
    <row r="419" spans="1:47">
      <c r="A419" s="38" t="str">
        <f t="shared" si="293"/>
        <v>Custom-</v>
      </c>
      <c r="B419" s="38" t="s">
        <v>263</v>
      </c>
      <c r="C419" s="38" t="str">
        <f t="shared" ref="C419:C423" si="297">C418</f>
        <v>Pre-Treatment (CAMBI)</v>
      </c>
      <c r="D419" s="186">
        <f>OMEsc</f>
        <v>0.02</v>
      </c>
      <c r="E419" s="325"/>
      <c r="G419" s="36" t="s">
        <v>127</v>
      </c>
      <c r="I419" s="39"/>
      <c r="K419" s="39"/>
      <c r="L419" s="43" t="str">
        <f>"["&amp;CostBaseYr&amp;" $]"</f>
        <v>[2013 $]</v>
      </c>
      <c r="N419" s="70">
        <f ca="1">IF(VLOOKUP($C419,$G$69:$J$87,4,FALSE)="Off",0,SUMIFS(OFFSET(Assumptions!$I$90,0,MATCH($A419,Configurations,0)-1,COUNT(Assumptions!$A$90:$A$183),1),Assumptions!$D$90:$D$183,$B419&amp;$C419))</f>
        <v>0</v>
      </c>
      <c r="O419" s="313"/>
      <c r="P419" s="323"/>
      <c r="Q419" s="313"/>
      <c r="R419" s="50">
        <f t="shared" ca="1" si="295"/>
        <v>0</v>
      </c>
      <c r="S419" s="50">
        <f t="shared" ca="1" si="296"/>
        <v>0</v>
      </c>
      <c r="T419" s="50">
        <f t="shared" ca="1" si="296"/>
        <v>0</v>
      </c>
      <c r="U419" s="50">
        <f t="shared" ca="1" si="296"/>
        <v>0</v>
      </c>
      <c r="V419" s="50">
        <f t="shared" ca="1" si="296"/>
        <v>0</v>
      </c>
      <c r="W419" s="50">
        <f t="shared" ca="1" si="296"/>
        <v>0</v>
      </c>
      <c r="X419" s="50">
        <f t="shared" ca="1" si="296"/>
        <v>0</v>
      </c>
      <c r="Y419" s="50">
        <f t="shared" ca="1" si="296"/>
        <v>0</v>
      </c>
      <c r="Z419" s="50">
        <f t="shared" ca="1" si="296"/>
        <v>0</v>
      </c>
      <c r="AA419" s="50">
        <f t="shared" ca="1" si="296"/>
        <v>0</v>
      </c>
      <c r="AB419" s="50">
        <f t="shared" ca="1" si="296"/>
        <v>0</v>
      </c>
      <c r="AC419" s="50">
        <f t="shared" ca="1" si="296"/>
        <v>0</v>
      </c>
      <c r="AD419" s="50">
        <f t="shared" ca="1" si="296"/>
        <v>0</v>
      </c>
      <c r="AE419" s="50">
        <f t="shared" ca="1" si="296"/>
        <v>0</v>
      </c>
      <c r="AF419" s="50">
        <f t="shared" ca="1" si="296"/>
        <v>0</v>
      </c>
      <c r="AG419" s="50">
        <f t="shared" ca="1" si="296"/>
        <v>0</v>
      </c>
      <c r="AH419" s="50">
        <f t="shared" ca="1" si="296"/>
        <v>0</v>
      </c>
      <c r="AI419" s="50">
        <f t="shared" ca="1" si="296"/>
        <v>0</v>
      </c>
      <c r="AJ419" s="50">
        <f t="shared" ca="1" si="296"/>
        <v>0</v>
      </c>
      <c r="AK419" s="50">
        <f t="shared" ca="1" si="296"/>
        <v>0</v>
      </c>
      <c r="AL419" s="50">
        <f t="shared" si="296"/>
        <v>0</v>
      </c>
      <c r="AM419" s="50">
        <f t="shared" si="296"/>
        <v>0</v>
      </c>
      <c r="AN419" s="50">
        <f t="shared" si="296"/>
        <v>0</v>
      </c>
      <c r="AO419" s="50">
        <f t="shared" si="296"/>
        <v>0</v>
      </c>
      <c r="AP419" s="50">
        <f t="shared" si="296"/>
        <v>0</v>
      </c>
      <c r="AQ419" s="50">
        <f t="shared" si="296"/>
        <v>0</v>
      </c>
      <c r="AR419" s="50">
        <f t="shared" si="296"/>
        <v>0</v>
      </c>
      <c r="AS419" s="50">
        <f t="shared" si="296"/>
        <v>0</v>
      </c>
      <c r="AT419" s="50">
        <f t="shared" si="296"/>
        <v>0</v>
      </c>
      <c r="AU419" s="50">
        <f t="shared" si="296"/>
        <v>0</v>
      </c>
    </row>
    <row r="420" spans="1:47">
      <c r="A420" s="38" t="str">
        <f t="shared" si="293"/>
        <v>Custom-</v>
      </c>
      <c r="B420" s="38" t="s">
        <v>277</v>
      </c>
      <c r="C420" s="38" t="str">
        <f t="shared" si="297"/>
        <v>Pre-Treatment (CAMBI)</v>
      </c>
      <c r="D420" s="186">
        <f>OMEsc</f>
        <v>0.02</v>
      </c>
      <c r="E420" s="325"/>
      <c r="G420" s="36" t="s">
        <v>276</v>
      </c>
      <c r="I420" s="39"/>
      <c r="K420" s="39"/>
      <c r="L420" s="43" t="str">
        <f>"["&amp;CostBaseYr&amp;" $]"</f>
        <v>[2013 $]</v>
      </c>
      <c r="N420" s="70">
        <f ca="1">IF(VLOOKUP($C420,$G$69:$J$87,4,FALSE)="Off",0,SUMIFS(OFFSET(Assumptions!$I$90,0,MATCH($A420,Configurations,0)-1,COUNT(Assumptions!$A$90:$A$183),1),Assumptions!$D$90:$D$183,$B420&amp;$C420))</f>
        <v>0</v>
      </c>
      <c r="O420" s="313"/>
      <c r="P420" s="323"/>
      <c r="Q420" s="313"/>
      <c r="R420" s="50">
        <f t="shared" ca="1" si="295"/>
        <v>0</v>
      </c>
      <c r="S420" s="50">
        <f t="shared" ca="1" si="296"/>
        <v>0</v>
      </c>
      <c r="T420" s="50">
        <f t="shared" ca="1" si="296"/>
        <v>0</v>
      </c>
      <c r="U420" s="50">
        <f t="shared" ca="1" si="296"/>
        <v>0</v>
      </c>
      <c r="V420" s="50">
        <f t="shared" ca="1" si="296"/>
        <v>0</v>
      </c>
      <c r="W420" s="50">
        <f t="shared" ca="1" si="296"/>
        <v>0</v>
      </c>
      <c r="X420" s="50">
        <f t="shared" ca="1" si="296"/>
        <v>0</v>
      </c>
      <c r="Y420" s="50">
        <f t="shared" ca="1" si="296"/>
        <v>0</v>
      </c>
      <c r="Z420" s="50">
        <f t="shared" ca="1" si="296"/>
        <v>0</v>
      </c>
      <c r="AA420" s="50">
        <f t="shared" ca="1" si="296"/>
        <v>0</v>
      </c>
      <c r="AB420" s="50">
        <f t="shared" ca="1" si="296"/>
        <v>0</v>
      </c>
      <c r="AC420" s="50">
        <f t="shared" ca="1" si="296"/>
        <v>0</v>
      </c>
      <c r="AD420" s="50">
        <f t="shared" ca="1" si="296"/>
        <v>0</v>
      </c>
      <c r="AE420" s="50">
        <f t="shared" ca="1" si="296"/>
        <v>0</v>
      </c>
      <c r="AF420" s="50">
        <f t="shared" ca="1" si="296"/>
        <v>0</v>
      </c>
      <c r="AG420" s="50">
        <f t="shared" ca="1" si="296"/>
        <v>0</v>
      </c>
      <c r="AH420" s="50">
        <f t="shared" ca="1" si="296"/>
        <v>0</v>
      </c>
      <c r="AI420" s="50">
        <f t="shared" ca="1" si="296"/>
        <v>0</v>
      </c>
      <c r="AJ420" s="50">
        <f t="shared" ca="1" si="296"/>
        <v>0</v>
      </c>
      <c r="AK420" s="50">
        <f t="shared" ca="1" si="296"/>
        <v>0</v>
      </c>
      <c r="AL420" s="50">
        <f t="shared" si="296"/>
        <v>0</v>
      </c>
      <c r="AM420" s="50">
        <f t="shared" si="296"/>
        <v>0</v>
      </c>
      <c r="AN420" s="50">
        <f t="shared" si="296"/>
        <v>0</v>
      </c>
      <c r="AO420" s="50">
        <f t="shared" si="296"/>
        <v>0</v>
      </c>
      <c r="AP420" s="50">
        <f t="shared" si="296"/>
        <v>0</v>
      </c>
      <c r="AQ420" s="50">
        <f t="shared" si="296"/>
        <v>0</v>
      </c>
      <c r="AR420" s="50">
        <f t="shared" si="296"/>
        <v>0</v>
      </c>
      <c r="AS420" s="50">
        <f t="shared" si="296"/>
        <v>0</v>
      </c>
      <c r="AT420" s="50">
        <f t="shared" si="296"/>
        <v>0</v>
      </c>
      <c r="AU420" s="50">
        <f t="shared" si="296"/>
        <v>0</v>
      </c>
    </row>
    <row r="421" spans="1:47">
      <c r="A421" s="38" t="str">
        <f t="shared" si="293"/>
        <v>Custom-</v>
      </c>
      <c r="B421" s="38" t="s">
        <v>274</v>
      </c>
      <c r="C421" s="38" t="str">
        <f t="shared" si="297"/>
        <v>Pre-Treatment (CAMBI)</v>
      </c>
      <c r="D421" s="186"/>
      <c r="E421" s="325"/>
      <c r="G421" s="36" t="s">
        <v>16</v>
      </c>
      <c r="I421" s="39"/>
      <c r="K421" s="39"/>
      <c r="L421" s="43" t="s">
        <v>275</v>
      </c>
      <c r="N421" s="70">
        <f ca="1">IF(VLOOKUP($C421,$G$69:$J$87,4,FALSE)="Off",0,SUMIFS(OFFSET(Assumptions!$I$90,0,MATCH($A421,Configurations,0)-1,COUNT(Assumptions!$A$90:$A$183),1),Assumptions!$D$90:$D$183,$B421&amp;$C421))</f>
        <v>0</v>
      </c>
      <c r="O421" s="313"/>
      <c r="P421" s="323"/>
      <c r="Q421" s="313"/>
      <c r="R421" s="50">
        <f t="shared" ref="R421:AU421" ca="1" si="298">IF(OR(R$99&lt;InServiceYr,R$99&gt;(InServiceYr+analysis_period-1)),0,IF($P421=0,$N421,$P421)*R$505)</f>
        <v>0</v>
      </c>
      <c r="S421" s="50">
        <f t="shared" ca="1" si="298"/>
        <v>0</v>
      </c>
      <c r="T421" s="50">
        <f t="shared" ca="1" si="298"/>
        <v>0</v>
      </c>
      <c r="U421" s="50">
        <f t="shared" ca="1" si="298"/>
        <v>0</v>
      </c>
      <c r="V421" s="50">
        <f t="shared" ca="1" si="298"/>
        <v>0</v>
      </c>
      <c r="W421" s="50">
        <f t="shared" ca="1" si="298"/>
        <v>0</v>
      </c>
      <c r="X421" s="50">
        <f t="shared" ca="1" si="298"/>
        <v>0</v>
      </c>
      <c r="Y421" s="50">
        <f t="shared" ca="1" si="298"/>
        <v>0</v>
      </c>
      <c r="Z421" s="50">
        <f t="shared" ca="1" si="298"/>
        <v>0</v>
      </c>
      <c r="AA421" s="50">
        <f t="shared" ca="1" si="298"/>
        <v>0</v>
      </c>
      <c r="AB421" s="50">
        <f t="shared" ca="1" si="298"/>
        <v>0</v>
      </c>
      <c r="AC421" s="50">
        <f t="shared" ca="1" si="298"/>
        <v>0</v>
      </c>
      <c r="AD421" s="50">
        <f t="shared" ca="1" si="298"/>
        <v>0</v>
      </c>
      <c r="AE421" s="50">
        <f t="shared" ca="1" si="298"/>
        <v>0</v>
      </c>
      <c r="AF421" s="50">
        <f t="shared" ca="1" si="298"/>
        <v>0</v>
      </c>
      <c r="AG421" s="50">
        <f t="shared" ca="1" si="298"/>
        <v>0</v>
      </c>
      <c r="AH421" s="50">
        <f t="shared" ca="1" si="298"/>
        <v>0</v>
      </c>
      <c r="AI421" s="50">
        <f t="shared" ca="1" si="298"/>
        <v>0</v>
      </c>
      <c r="AJ421" s="50">
        <f t="shared" ca="1" si="298"/>
        <v>0</v>
      </c>
      <c r="AK421" s="50">
        <f t="shared" ca="1" si="298"/>
        <v>0</v>
      </c>
      <c r="AL421" s="50">
        <f t="shared" si="298"/>
        <v>0</v>
      </c>
      <c r="AM421" s="50">
        <f t="shared" si="298"/>
        <v>0</v>
      </c>
      <c r="AN421" s="50">
        <f t="shared" si="298"/>
        <v>0</v>
      </c>
      <c r="AO421" s="50">
        <f t="shared" si="298"/>
        <v>0</v>
      </c>
      <c r="AP421" s="50">
        <f t="shared" si="298"/>
        <v>0</v>
      </c>
      <c r="AQ421" s="50">
        <f t="shared" si="298"/>
        <v>0</v>
      </c>
      <c r="AR421" s="50">
        <f t="shared" si="298"/>
        <v>0</v>
      </c>
      <c r="AS421" s="50">
        <f t="shared" si="298"/>
        <v>0</v>
      </c>
      <c r="AT421" s="50">
        <f t="shared" si="298"/>
        <v>0</v>
      </c>
      <c r="AU421" s="50">
        <f t="shared" si="298"/>
        <v>0</v>
      </c>
    </row>
    <row r="422" spans="1:47">
      <c r="A422" s="38" t="str">
        <f t="shared" si="293"/>
        <v>Custom-</v>
      </c>
      <c r="B422" s="38" t="s">
        <v>257</v>
      </c>
      <c r="C422" s="38" t="str">
        <f t="shared" si="297"/>
        <v>Pre-Treatment (CAMBI)</v>
      </c>
      <c r="D422" s="186"/>
      <c r="E422" s="325"/>
      <c r="G422" s="36" t="s">
        <v>284</v>
      </c>
      <c r="I422" s="39"/>
      <c r="K422" s="39"/>
      <c r="L422" s="43" t="s">
        <v>293</v>
      </c>
      <c r="N422" s="70">
        <f ca="1">IF(VLOOKUP($C422,$G$69:$J$87,4,FALSE)="Off",0,SUMIFS(OFFSET(Assumptions!$I$90,0,MATCH($A422,Configurations,0)-1,COUNT(Assumptions!$A$90:$A$183),1),Assumptions!$D$90:$D$183,$B422&amp;$C422))</f>
        <v>0</v>
      </c>
      <c r="O422" s="313"/>
      <c r="P422" s="323"/>
      <c r="Q422" s="313"/>
      <c r="R422" s="50">
        <f t="shared" ref="R422:AU422" ca="1" si="299">IF(OR(R$99&lt;InServiceYr,R$99&gt;(InServiceYr+analysis_period-1)),0,IF($P422=0,$N422,$P422)*R$501)</f>
        <v>0</v>
      </c>
      <c r="S422" s="50">
        <f t="shared" ca="1" si="299"/>
        <v>0</v>
      </c>
      <c r="T422" s="50">
        <f t="shared" ca="1" si="299"/>
        <v>0</v>
      </c>
      <c r="U422" s="50">
        <f t="shared" ca="1" si="299"/>
        <v>0</v>
      </c>
      <c r="V422" s="50">
        <f t="shared" ca="1" si="299"/>
        <v>0</v>
      </c>
      <c r="W422" s="50">
        <f t="shared" ca="1" si="299"/>
        <v>0</v>
      </c>
      <c r="X422" s="50">
        <f t="shared" ca="1" si="299"/>
        <v>0</v>
      </c>
      <c r="Y422" s="50">
        <f t="shared" ca="1" si="299"/>
        <v>0</v>
      </c>
      <c r="Z422" s="50">
        <f t="shared" ca="1" si="299"/>
        <v>0</v>
      </c>
      <c r="AA422" s="50">
        <f t="shared" ca="1" si="299"/>
        <v>0</v>
      </c>
      <c r="AB422" s="50">
        <f t="shared" ca="1" si="299"/>
        <v>0</v>
      </c>
      <c r="AC422" s="50">
        <f t="shared" ca="1" si="299"/>
        <v>0</v>
      </c>
      <c r="AD422" s="50">
        <f t="shared" ca="1" si="299"/>
        <v>0</v>
      </c>
      <c r="AE422" s="50">
        <f t="shared" ca="1" si="299"/>
        <v>0</v>
      </c>
      <c r="AF422" s="50">
        <f t="shared" ca="1" si="299"/>
        <v>0</v>
      </c>
      <c r="AG422" s="50">
        <f t="shared" ca="1" si="299"/>
        <v>0</v>
      </c>
      <c r="AH422" s="50">
        <f t="shared" ca="1" si="299"/>
        <v>0</v>
      </c>
      <c r="AI422" s="50">
        <f t="shared" ca="1" si="299"/>
        <v>0</v>
      </c>
      <c r="AJ422" s="50">
        <f t="shared" ca="1" si="299"/>
        <v>0</v>
      </c>
      <c r="AK422" s="50">
        <f t="shared" ca="1" si="299"/>
        <v>0</v>
      </c>
      <c r="AL422" s="50">
        <f t="shared" si="299"/>
        <v>0</v>
      </c>
      <c r="AM422" s="50">
        <f t="shared" si="299"/>
        <v>0</v>
      </c>
      <c r="AN422" s="50">
        <f t="shared" si="299"/>
        <v>0</v>
      </c>
      <c r="AO422" s="50">
        <f t="shared" si="299"/>
        <v>0</v>
      </c>
      <c r="AP422" s="50">
        <f t="shared" si="299"/>
        <v>0</v>
      </c>
      <c r="AQ422" s="50">
        <f t="shared" si="299"/>
        <v>0</v>
      </c>
      <c r="AR422" s="50">
        <f t="shared" si="299"/>
        <v>0</v>
      </c>
      <c r="AS422" s="50">
        <f t="shared" si="299"/>
        <v>0</v>
      </c>
      <c r="AT422" s="50">
        <f t="shared" si="299"/>
        <v>0</v>
      </c>
      <c r="AU422" s="50">
        <f t="shared" si="299"/>
        <v>0</v>
      </c>
    </row>
    <row r="423" spans="1:47">
      <c r="A423" s="38" t="str">
        <f t="shared" si="293"/>
        <v>Custom-</v>
      </c>
      <c r="B423" s="38" t="s">
        <v>864</v>
      </c>
      <c r="C423" s="38" t="str">
        <f t="shared" si="297"/>
        <v>Pre-Treatment (CAMBI)</v>
      </c>
      <c r="D423" s="186">
        <f>GHGEsc</f>
        <v>0.02</v>
      </c>
      <c r="E423" s="325"/>
      <c r="G423" s="36" t="s">
        <v>865</v>
      </c>
      <c r="I423" s="39"/>
      <c r="K423" s="39"/>
      <c r="L423" s="43" t="s">
        <v>866</v>
      </c>
      <c r="N423" s="70">
        <f ca="1">IF(VLOOKUP($C423,$G$69:$J$87,4,FALSE)="Off",0,SUMIFS(OFFSET(Assumptions!$I$90,0,MATCH($A423,Configurations,0)-1,COUNT(Assumptions!$A$90:$A$183),1),Assumptions!$D$90:$D$183,$B423&amp;$C423))</f>
        <v>0</v>
      </c>
      <c r="O423" s="313"/>
      <c r="P423" s="323"/>
      <c r="Q423" s="313"/>
      <c r="R423" s="50">
        <f t="shared" ref="R423:AU423" ca="1" si="300">IF(OR(R$99&lt;InServiceYr,R$99&gt;(InServiceYr+analysis_period-1)),0,IF($P423=0,$N423,$P423)*R$513)</f>
        <v>0</v>
      </c>
      <c r="S423" s="50">
        <f t="shared" ca="1" si="300"/>
        <v>0</v>
      </c>
      <c r="T423" s="50">
        <f t="shared" ca="1" si="300"/>
        <v>0</v>
      </c>
      <c r="U423" s="50">
        <f t="shared" ca="1" si="300"/>
        <v>0</v>
      </c>
      <c r="V423" s="50">
        <f t="shared" ca="1" si="300"/>
        <v>0</v>
      </c>
      <c r="W423" s="50">
        <f t="shared" ca="1" si="300"/>
        <v>0</v>
      </c>
      <c r="X423" s="50">
        <f t="shared" ca="1" si="300"/>
        <v>0</v>
      </c>
      <c r="Y423" s="50">
        <f t="shared" ca="1" si="300"/>
        <v>0</v>
      </c>
      <c r="Z423" s="50">
        <f t="shared" ca="1" si="300"/>
        <v>0</v>
      </c>
      <c r="AA423" s="50">
        <f t="shared" ca="1" si="300"/>
        <v>0</v>
      </c>
      <c r="AB423" s="50">
        <f t="shared" ca="1" si="300"/>
        <v>0</v>
      </c>
      <c r="AC423" s="50">
        <f t="shared" ca="1" si="300"/>
        <v>0</v>
      </c>
      <c r="AD423" s="50">
        <f t="shared" ca="1" si="300"/>
        <v>0</v>
      </c>
      <c r="AE423" s="50">
        <f t="shared" ca="1" si="300"/>
        <v>0</v>
      </c>
      <c r="AF423" s="50">
        <f t="shared" ca="1" si="300"/>
        <v>0</v>
      </c>
      <c r="AG423" s="50">
        <f t="shared" ca="1" si="300"/>
        <v>0</v>
      </c>
      <c r="AH423" s="50">
        <f t="shared" ca="1" si="300"/>
        <v>0</v>
      </c>
      <c r="AI423" s="50">
        <f t="shared" ca="1" si="300"/>
        <v>0</v>
      </c>
      <c r="AJ423" s="50">
        <f t="shared" ca="1" si="300"/>
        <v>0</v>
      </c>
      <c r="AK423" s="50">
        <f t="shared" ca="1" si="300"/>
        <v>0</v>
      </c>
      <c r="AL423" s="50">
        <f t="shared" si="300"/>
        <v>0</v>
      </c>
      <c r="AM423" s="50">
        <f t="shared" si="300"/>
        <v>0</v>
      </c>
      <c r="AN423" s="50">
        <f t="shared" si="300"/>
        <v>0</v>
      </c>
      <c r="AO423" s="50">
        <f t="shared" si="300"/>
        <v>0</v>
      </c>
      <c r="AP423" s="50">
        <f t="shared" si="300"/>
        <v>0</v>
      </c>
      <c r="AQ423" s="50">
        <f t="shared" si="300"/>
        <v>0</v>
      </c>
      <c r="AR423" s="50">
        <f t="shared" si="300"/>
        <v>0</v>
      </c>
      <c r="AS423" s="50">
        <f t="shared" si="300"/>
        <v>0</v>
      </c>
      <c r="AT423" s="50">
        <f t="shared" si="300"/>
        <v>0</v>
      </c>
      <c r="AU423" s="50">
        <f t="shared" si="300"/>
        <v>0</v>
      </c>
    </row>
    <row r="424" spans="1:47">
      <c r="A424" s="38" t="str">
        <f t="shared" si="293"/>
        <v>Custom-</v>
      </c>
      <c r="B424" s="38" t="s">
        <v>273</v>
      </c>
      <c r="C424" s="38" t="str">
        <f>C422</f>
        <v>Pre-Treatment (CAMBI)</v>
      </c>
      <c r="D424" s="186">
        <f>LaborEsc</f>
        <v>0.02</v>
      </c>
      <c r="E424" s="325"/>
      <c r="G424" s="36" t="s">
        <v>291</v>
      </c>
      <c r="I424" s="39"/>
      <c r="K424" s="39"/>
      <c r="L424" s="43" t="str">
        <f>"["&amp;CostBaseYr&amp;" $]"</f>
        <v>[2013 $]</v>
      </c>
      <c r="N424" s="70">
        <f ca="1">IF(VLOOKUP($C424,$G$69:$J$87,4,FALSE)="Off",0,SUMIFS(OFFSET(Assumptions!$I$90,0,MATCH($A424,Configurations,0)-1,COUNT(Assumptions!$A$90:$A$183),1),Assumptions!$D$90:$D$183,$B424&amp;$C424))</f>
        <v>0</v>
      </c>
      <c r="O424" s="313"/>
      <c r="P424" s="323"/>
      <c r="Q424" s="313"/>
      <c r="R424" s="50">
        <f t="shared" ref="R424:AU424" ca="1" si="301">IF(OR(R$99&lt;InServiceYr,R$99&gt;(InServiceYr+analysis_period-1)),0,IF($P424=0,$N424,$P424)*(1+$D424)^(R$99-CostBaseYr))*R$509</f>
        <v>0</v>
      </c>
      <c r="S424" s="50">
        <f t="shared" ca="1" si="301"/>
        <v>0</v>
      </c>
      <c r="T424" s="50">
        <f t="shared" ca="1" si="301"/>
        <v>0</v>
      </c>
      <c r="U424" s="50">
        <f t="shared" ca="1" si="301"/>
        <v>0</v>
      </c>
      <c r="V424" s="50">
        <f t="shared" ca="1" si="301"/>
        <v>0</v>
      </c>
      <c r="W424" s="50">
        <f t="shared" ca="1" si="301"/>
        <v>0</v>
      </c>
      <c r="X424" s="50">
        <f t="shared" ca="1" si="301"/>
        <v>0</v>
      </c>
      <c r="Y424" s="50">
        <f t="shared" ca="1" si="301"/>
        <v>0</v>
      </c>
      <c r="Z424" s="50">
        <f t="shared" ca="1" si="301"/>
        <v>0</v>
      </c>
      <c r="AA424" s="50">
        <f t="shared" ca="1" si="301"/>
        <v>0</v>
      </c>
      <c r="AB424" s="50">
        <f t="shared" ca="1" si="301"/>
        <v>0</v>
      </c>
      <c r="AC424" s="50">
        <f t="shared" ca="1" si="301"/>
        <v>0</v>
      </c>
      <c r="AD424" s="50">
        <f t="shared" ca="1" si="301"/>
        <v>0</v>
      </c>
      <c r="AE424" s="50">
        <f t="shared" ca="1" si="301"/>
        <v>0</v>
      </c>
      <c r="AF424" s="50">
        <f t="shared" ca="1" si="301"/>
        <v>0</v>
      </c>
      <c r="AG424" s="50">
        <f t="shared" ca="1" si="301"/>
        <v>0</v>
      </c>
      <c r="AH424" s="50">
        <f t="shared" ca="1" si="301"/>
        <v>0</v>
      </c>
      <c r="AI424" s="50">
        <f t="shared" ca="1" si="301"/>
        <v>0</v>
      </c>
      <c r="AJ424" s="50">
        <f t="shared" ca="1" si="301"/>
        <v>0</v>
      </c>
      <c r="AK424" s="50">
        <f t="shared" ca="1" si="301"/>
        <v>0</v>
      </c>
      <c r="AL424" s="50">
        <f t="shared" si="301"/>
        <v>0</v>
      </c>
      <c r="AM424" s="50">
        <f t="shared" si="301"/>
        <v>0</v>
      </c>
      <c r="AN424" s="50">
        <f t="shared" si="301"/>
        <v>0</v>
      </c>
      <c r="AO424" s="50">
        <f t="shared" si="301"/>
        <v>0</v>
      </c>
      <c r="AP424" s="50">
        <f t="shared" si="301"/>
        <v>0</v>
      </c>
      <c r="AQ424" s="50">
        <f t="shared" si="301"/>
        <v>0</v>
      </c>
      <c r="AR424" s="50">
        <f t="shared" si="301"/>
        <v>0</v>
      </c>
      <c r="AS424" s="50">
        <f t="shared" si="301"/>
        <v>0</v>
      </c>
      <c r="AT424" s="50">
        <f t="shared" si="301"/>
        <v>0</v>
      </c>
      <c r="AU424" s="50">
        <f t="shared" si="301"/>
        <v>0</v>
      </c>
    </row>
    <row r="425" spans="1:47">
      <c r="D425" s="186"/>
      <c r="E425" s="325"/>
      <c r="G425" s="39" t="s">
        <v>304</v>
      </c>
      <c r="I425" s="39"/>
      <c r="K425" s="39"/>
      <c r="L425" s="43"/>
      <c r="N425" s="70"/>
      <c r="O425" s="313"/>
      <c r="P425" s="70"/>
      <c r="Q425" s="313"/>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row>
    <row r="426" spans="1:47">
      <c r="A426" s="38" t="str">
        <f>$J$4&amp;"-"</f>
        <v>Custom-</v>
      </c>
      <c r="B426" s="38" t="s">
        <v>265</v>
      </c>
      <c r="C426" s="38" t="str">
        <f>C417</f>
        <v>Pre-Treatment (CAMBI)</v>
      </c>
      <c r="D426" s="186"/>
      <c r="E426" s="325"/>
      <c r="G426" s="36" t="s">
        <v>108</v>
      </c>
      <c r="I426" s="39"/>
      <c r="K426" s="39"/>
      <c r="L426" s="43" t="s">
        <v>293</v>
      </c>
      <c r="N426" s="70">
        <f ca="1">IF(VLOOKUP($C426,$G$69:$J$87,4,FALSE)="Off",0,SUMIFS(OFFSET(Assumptions!$I$90,0,MATCH($A426,Configurations,0)-1,COUNT(Assumptions!$A$90:$A$183),1),Assumptions!$D$90:$D$183,$B426&amp;$C426))</f>
        <v>0</v>
      </c>
      <c r="O426" s="313"/>
      <c r="P426" s="323"/>
      <c r="Q426" s="313"/>
      <c r="R426" s="50">
        <f t="shared" ref="R426:AU426" ca="1" si="302">IF(OR(R$99&lt;InServiceYr,R$99&gt;(InServiceYr+analysis_period-1)),0,IF($P426=0,$N426,$P426)*R$501)</f>
        <v>0</v>
      </c>
      <c r="S426" s="50">
        <f t="shared" ca="1" si="302"/>
        <v>0</v>
      </c>
      <c r="T426" s="50">
        <f t="shared" ca="1" si="302"/>
        <v>0</v>
      </c>
      <c r="U426" s="50">
        <f t="shared" ca="1" si="302"/>
        <v>0</v>
      </c>
      <c r="V426" s="50">
        <f t="shared" ca="1" si="302"/>
        <v>0</v>
      </c>
      <c r="W426" s="50">
        <f t="shared" ca="1" si="302"/>
        <v>0</v>
      </c>
      <c r="X426" s="50">
        <f t="shared" ca="1" si="302"/>
        <v>0</v>
      </c>
      <c r="Y426" s="50">
        <f t="shared" ca="1" si="302"/>
        <v>0</v>
      </c>
      <c r="Z426" s="50">
        <f t="shared" ca="1" si="302"/>
        <v>0</v>
      </c>
      <c r="AA426" s="50">
        <f t="shared" ca="1" si="302"/>
        <v>0</v>
      </c>
      <c r="AB426" s="50">
        <f t="shared" ca="1" si="302"/>
        <v>0</v>
      </c>
      <c r="AC426" s="50">
        <f t="shared" ca="1" si="302"/>
        <v>0</v>
      </c>
      <c r="AD426" s="50">
        <f t="shared" ca="1" si="302"/>
        <v>0</v>
      </c>
      <c r="AE426" s="50">
        <f t="shared" ca="1" si="302"/>
        <v>0</v>
      </c>
      <c r="AF426" s="50">
        <f t="shared" ca="1" si="302"/>
        <v>0</v>
      </c>
      <c r="AG426" s="50">
        <f t="shared" ca="1" si="302"/>
        <v>0</v>
      </c>
      <c r="AH426" s="50">
        <f t="shared" ca="1" si="302"/>
        <v>0</v>
      </c>
      <c r="AI426" s="50">
        <f t="shared" ca="1" si="302"/>
        <v>0</v>
      </c>
      <c r="AJ426" s="50">
        <f t="shared" ca="1" si="302"/>
        <v>0</v>
      </c>
      <c r="AK426" s="50">
        <f t="shared" ca="1" si="302"/>
        <v>0</v>
      </c>
      <c r="AL426" s="50">
        <f t="shared" si="302"/>
        <v>0</v>
      </c>
      <c r="AM426" s="50">
        <f t="shared" si="302"/>
        <v>0</v>
      </c>
      <c r="AN426" s="50">
        <f t="shared" si="302"/>
        <v>0</v>
      </c>
      <c r="AO426" s="50">
        <f t="shared" si="302"/>
        <v>0</v>
      </c>
      <c r="AP426" s="50">
        <f t="shared" si="302"/>
        <v>0</v>
      </c>
      <c r="AQ426" s="50">
        <f t="shared" si="302"/>
        <v>0</v>
      </c>
      <c r="AR426" s="50">
        <f t="shared" si="302"/>
        <v>0</v>
      </c>
      <c r="AS426" s="50">
        <f t="shared" si="302"/>
        <v>0</v>
      </c>
      <c r="AT426" s="50">
        <f t="shared" si="302"/>
        <v>0</v>
      </c>
      <c r="AU426" s="50">
        <f t="shared" si="302"/>
        <v>0</v>
      </c>
    </row>
    <row r="427" spans="1:47">
      <c r="A427" s="38" t="str">
        <f>$J$4&amp;"-"</f>
        <v>Custom-</v>
      </c>
      <c r="B427" s="38" t="s">
        <v>289</v>
      </c>
      <c r="C427" s="38" t="str">
        <f>C417</f>
        <v>Pre-Treatment (CAMBI)</v>
      </c>
      <c r="D427" s="186">
        <f>LaborEsc</f>
        <v>0.02</v>
      </c>
      <c r="E427" s="325"/>
      <c r="G427" s="36" t="s">
        <v>292</v>
      </c>
      <c r="I427" s="39"/>
      <c r="K427" s="39"/>
      <c r="L427" s="43" t="str">
        <f>"["&amp;CostBaseYr&amp;" $]"</f>
        <v>[2013 $]</v>
      </c>
      <c r="N427" s="70">
        <f ca="1">IF(VLOOKUP($C427,$G$69:$J$87,4,FALSE)="Off",0,SUMIFS(OFFSET(Assumptions!$I$90,0,MATCH($A427,Configurations,0)-1,COUNT(Assumptions!$A$90:$A$183),1),Assumptions!$D$90:$D$183,$B427&amp;$C427))</f>
        <v>0</v>
      </c>
      <c r="O427" s="313"/>
      <c r="P427" s="323"/>
      <c r="Q427" s="313"/>
      <c r="R427" s="50">
        <f t="shared" ref="R427:AU427" ca="1" si="303">IF(OR(R$99&lt;InServiceYr,R$99&gt;(InServiceYr+analysis_period-1)),0,IF($P427=0,$N427,$P427)*(1+$D427)^(R$99-CostBaseYr))</f>
        <v>0</v>
      </c>
      <c r="S427" s="50">
        <f t="shared" ca="1" si="303"/>
        <v>0</v>
      </c>
      <c r="T427" s="50">
        <f t="shared" ca="1" si="303"/>
        <v>0</v>
      </c>
      <c r="U427" s="50">
        <f t="shared" ca="1" si="303"/>
        <v>0</v>
      </c>
      <c r="V427" s="50">
        <f t="shared" ca="1" si="303"/>
        <v>0</v>
      </c>
      <c r="W427" s="50">
        <f t="shared" ca="1" si="303"/>
        <v>0</v>
      </c>
      <c r="X427" s="50">
        <f t="shared" ca="1" si="303"/>
        <v>0</v>
      </c>
      <c r="Y427" s="50">
        <f t="shared" ca="1" si="303"/>
        <v>0</v>
      </c>
      <c r="Z427" s="50">
        <f t="shared" ca="1" si="303"/>
        <v>0</v>
      </c>
      <c r="AA427" s="50">
        <f t="shared" ca="1" si="303"/>
        <v>0</v>
      </c>
      <c r="AB427" s="50">
        <f t="shared" ca="1" si="303"/>
        <v>0</v>
      </c>
      <c r="AC427" s="50">
        <f t="shared" ca="1" si="303"/>
        <v>0</v>
      </c>
      <c r="AD427" s="50">
        <f t="shared" ca="1" si="303"/>
        <v>0</v>
      </c>
      <c r="AE427" s="50">
        <f t="shared" ca="1" si="303"/>
        <v>0</v>
      </c>
      <c r="AF427" s="50">
        <f t="shared" ca="1" si="303"/>
        <v>0</v>
      </c>
      <c r="AG427" s="50">
        <f t="shared" ca="1" si="303"/>
        <v>0</v>
      </c>
      <c r="AH427" s="50">
        <f t="shared" ca="1" si="303"/>
        <v>0</v>
      </c>
      <c r="AI427" s="50">
        <f t="shared" ca="1" si="303"/>
        <v>0</v>
      </c>
      <c r="AJ427" s="50">
        <f t="shared" ca="1" si="303"/>
        <v>0</v>
      </c>
      <c r="AK427" s="50">
        <f t="shared" ca="1" si="303"/>
        <v>0</v>
      </c>
      <c r="AL427" s="50">
        <f t="shared" si="303"/>
        <v>0</v>
      </c>
      <c r="AM427" s="50">
        <f t="shared" si="303"/>
        <v>0</v>
      </c>
      <c r="AN427" s="50">
        <f t="shared" si="303"/>
        <v>0</v>
      </c>
      <c r="AO427" s="50">
        <f t="shared" si="303"/>
        <v>0</v>
      </c>
      <c r="AP427" s="50">
        <f t="shared" si="303"/>
        <v>0</v>
      </c>
      <c r="AQ427" s="50">
        <f t="shared" si="303"/>
        <v>0</v>
      </c>
      <c r="AR427" s="50">
        <f t="shared" si="303"/>
        <v>0</v>
      </c>
      <c r="AS427" s="50">
        <f t="shared" si="303"/>
        <v>0</v>
      </c>
      <c r="AT427" s="50">
        <f t="shared" si="303"/>
        <v>0</v>
      </c>
      <c r="AU427" s="50">
        <f t="shared" si="303"/>
        <v>0</v>
      </c>
    </row>
    <row r="428" spans="1:47" s="60" customFormat="1">
      <c r="D428" s="187"/>
      <c r="E428" s="325"/>
      <c r="G428" s="39" t="s">
        <v>305</v>
      </c>
      <c r="I428" s="39"/>
      <c r="K428" s="39"/>
      <c r="L428" s="174"/>
      <c r="N428" s="188"/>
      <c r="O428" s="314"/>
      <c r="P428" s="185"/>
      <c r="Q428" s="314"/>
      <c r="R428" s="185">
        <f ca="1">SUM(R417:R424)-SUM(R426:R427)</f>
        <v>0</v>
      </c>
      <c r="S428" s="185">
        <f t="shared" ref="S428:AU428" ca="1" si="304">SUM(S417:S424)-SUM(S426:S427)</f>
        <v>0</v>
      </c>
      <c r="T428" s="185">
        <f t="shared" ca="1" si="304"/>
        <v>0</v>
      </c>
      <c r="U428" s="185">
        <f t="shared" ca="1" si="304"/>
        <v>0</v>
      </c>
      <c r="V428" s="185">
        <f t="shared" ca="1" si="304"/>
        <v>0</v>
      </c>
      <c r="W428" s="185">
        <f t="shared" ca="1" si="304"/>
        <v>0</v>
      </c>
      <c r="X428" s="185">
        <f t="shared" ca="1" si="304"/>
        <v>0</v>
      </c>
      <c r="Y428" s="185">
        <f t="shared" ca="1" si="304"/>
        <v>0</v>
      </c>
      <c r="Z428" s="185">
        <f t="shared" ca="1" si="304"/>
        <v>0</v>
      </c>
      <c r="AA428" s="185">
        <f t="shared" ca="1" si="304"/>
        <v>0</v>
      </c>
      <c r="AB428" s="185">
        <f t="shared" ca="1" si="304"/>
        <v>0</v>
      </c>
      <c r="AC428" s="185">
        <f t="shared" ca="1" si="304"/>
        <v>0</v>
      </c>
      <c r="AD428" s="185">
        <f t="shared" ca="1" si="304"/>
        <v>0</v>
      </c>
      <c r="AE428" s="185">
        <f t="shared" ca="1" si="304"/>
        <v>0</v>
      </c>
      <c r="AF428" s="185">
        <f t="shared" ca="1" si="304"/>
        <v>0</v>
      </c>
      <c r="AG428" s="185">
        <f t="shared" ca="1" si="304"/>
        <v>0</v>
      </c>
      <c r="AH428" s="185">
        <f t="shared" ca="1" si="304"/>
        <v>0</v>
      </c>
      <c r="AI428" s="185">
        <f t="shared" ca="1" si="304"/>
        <v>0</v>
      </c>
      <c r="AJ428" s="185">
        <f t="shared" ca="1" si="304"/>
        <v>0</v>
      </c>
      <c r="AK428" s="185">
        <f t="shared" ca="1" si="304"/>
        <v>0</v>
      </c>
      <c r="AL428" s="185">
        <f t="shared" si="304"/>
        <v>0</v>
      </c>
      <c r="AM428" s="185">
        <f t="shared" si="304"/>
        <v>0</v>
      </c>
      <c r="AN428" s="185">
        <f t="shared" si="304"/>
        <v>0</v>
      </c>
      <c r="AO428" s="185">
        <f t="shared" si="304"/>
        <v>0</v>
      </c>
      <c r="AP428" s="185">
        <f t="shared" si="304"/>
        <v>0</v>
      </c>
      <c r="AQ428" s="185">
        <f t="shared" si="304"/>
        <v>0</v>
      </c>
      <c r="AR428" s="185">
        <f t="shared" si="304"/>
        <v>0</v>
      </c>
      <c r="AS428" s="185">
        <f t="shared" si="304"/>
        <v>0</v>
      </c>
      <c r="AT428" s="185">
        <f t="shared" si="304"/>
        <v>0</v>
      </c>
      <c r="AU428" s="185">
        <f t="shared" si="304"/>
        <v>0</v>
      </c>
    </row>
    <row r="429" spans="1:47">
      <c r="E429" s="36"/>
      <c r="G429" s="39"/>
      <c r="H429" s="39"/>
      <c r="I429" s="39"/>
      <c r="J429" s="39"/>
      <c r="K429" s="39"/>
    </row>
    <row r="430" spans="1:47">
      <c r="E430" s="327"/>
      <c r="F430" s="28"/>
      <c r="G430" s="324" t="str">
        <f>C432&amp;" Capital Costs"</f>
        <v>Sitework Capital Costs</v>
      </c>
      <c r="H430" s="324"/>
      <c r="I430" s="324"/>
      <c r="J430" s="324"/>
      <c r="K430" s="324"/>
      <c r="L430" s="405" t="s">
        <v>79</v>
      </c>
      <c r="M430" s="256"/>
      <c r="N430" s="325" t="s">
        <v>490</v>
      </c>
      <c r="O430" s="311"/>
      <c r="P430" s="325" t="s">
        <v>491</v>
      </c>
      <c r="Q430" s="310"/>
      <c r="R430" s="325">
        <f>R$8</f>
        <v>2014</v>
      </c>
      <c r="S430" s="325">
        <f t="shared" ref="S430:AU430" si="305">S$8</f>
        <v>2015</v>
      </c>
      <c r="T430" s="325">
        <f t="shared" si="305"/>
        <v>2016</v>
      </c>
      <c r="U430" s="325">
        <f t="shared" si="305"/>
        <v>2017</v>
      </c>
      <c r="V430" s="325">
        <f t="shared" si="305"/>
        <v>2018</v>
      </c>
      <c r="W430" s="325">
        <f t="shared" si="305"/>
        <v>2019</v>
      </c>
      <c r="X430" s="325">
        <f t="shared" si="305"/>
        <v>2020</v>
      </c>
      <c r="Y430" s="325">
        <f t="shared" si="305"/>
        <v>2021</v>
      </c>
      <c r="Z430" s="325">
        <f t="shared" si="305"/>
        <v>2022</v>
      </c>
      <c r="AA430" s="325">
        <f t="shared" si="305"/>
        <v>2023</v>
      </c>
      <c r="AB430" s="325">
        <f t="shared" si="305"/>
        <v>2024</v>
      </c>
      <c r="AC430" s="325">
        <f t="shared" si="305"/>
        <v>2025</v>
      </c>
      <c r="AD430" s="325">
        <f t="shared" si="305"/>
        <v>2026</v>
      </c>
      <c r="AE430" s="325">
        <f t="shared" si="305"/>
        <v>2027</v>
      </c>
      <c r="AF430" s="325">
        <f t="shared" si="305"/>
        <v>2028</v>
      </c>
      <c r="AG430" s="325">
        <f t="shared" si="305"/>
        <v>2029</v>
      </c>
      <c r="AH430" s="325">
        <f t="shared" si="305"/>
        <v>2030</v>
      </c>
      <c r="AI430" s="325">
        <f t="shared" si="305"/>
        <v>2031</v>
      </c>
      <c r="AJ430" s="325">
        <f t="shared" si="305"/>
        <v>2032</v>
      </c>
      <c r="AK430" s="325">
        <f t="shared" si="305"/>
        <v>2033</v>
      </c>
      <c r="AL430" s="325">
        <f t="shared" si="305"/>
        <v>2034</v>
      </c>
      <c r="AM430" s="325">
        <f t="shared" si="305"/>
        <v>2035</v>
      </c>
      <c r="AN430" s="325">
        <f t="shared" si="305"/>
        <v>2036</v>
      </c>
      <c r="AO430" s="325">
        <f t="shared" si="305"/>
        <v>2037</v>
      </c>
      <c r="AP430" s="325">
        <f t="shared" si="305"/>
        <v>2038</v>
      </c>
      <c r="AQ430" s="325">
        <f t="shared" si="305"/>
        <v>2039</v>
      </c>
      <c r="AR430" s="325">
        <f t="shared" si="305"/>
        <v>2040</v>
      </c>
      <c r="AS430" s="325">
        <f t="shared" si="305"/>
        <v>2041</v>
      </c>
      <c r="AT430" s="325">
        <f t="shared" si="305"/>
        <v>2042</v>
      </c>
      <c r="AU430" s="325">
        <f t="shared" si="305"/>
        <v>2043</v>
      </c>
    </row>
    <row r="431" spans="1:47">
      <c r="E431" s="325"/>
      <c r="G431" s="39"/>
      <c r="H431" s="39"/>
      <c r="I431" s="39"/>
      <c r="J431" s="39"/>
      <c r="K431" s="39"/>
    </row>
    <row r="432" spans="1:47">
      <c r="A432" s="38" t="str">
        <f>$J$4&amp;"-"</f>
        <v>Custom-</v>
      </c>
      <c r="B432" s="38" t="s">
        <v>306</v>
      </c>
      <c r="C432" s="38" t="s">
        <v>113</v>
      </c>
      <c r="D432" s="186">
        <f>CapExEsc</f>
        <v>0.03</v>
      </c>
      <c r="E432" s="325"/>
      <c r="G432" s="36" t="s">
        <v>8</v>
      </c>
      <c r="H432" s="39"/>
      <c r="I432" s="39"/>
      <c r="J432" s="70"/>
      <c r="K432" s="39"/>
      <c r="L432" s="43" t="str">
        <f>"["&amp;CostBaseYr&amp;" $]"</f>
        <v>[2013 $]</v>
      </c>
      <c r="N432" s="320"/>
      <c r="O432" s="52"/>
      <c r="P432" s="972"/>
      <c r="Q432" s="52"/>
      <c r="R432" s="52">
        <f t="shared" ref="R432:AU432" si="306">R433*IF($P432=0,$N432,$P432)*(1+$D432)^(R$8-CostBaseYr)</f>
        <v>0</v>
      </c>
      <c r="S432" s="52">
        <f t="shared" si="306"/>
        <v>0</v>
      </c>
      <c r="T432" s="52">
        <f t="shared" si="306"/>
        <v>0</v>
      </c>
      <c r="U432" s="52">
        <f t="shared" si="306"/>
        <v>0</v>
      </c>
      <c r="V432" s="52">
        <f t="shared" si="306"/>
        <v>0</v>
      </c>
      <c r="W432" s="52">
        <f t="shared" si="306"/>
        <v>0</v>
      </c>
      <c r="X432" s="52">
        <f t="shared" si="306"/>
        <v>0</v>
      </c>
      <c r="Y432" s="52">
        <f t="shared" si="306"/>
        <v>0</v>
      </c>
      <c r="Z432" s="52">
        <f t="shared" si="306"/>
        <v>0</v>
      </c>
      <c r="AA432" s="52">
        <f t="shared" si="306"/>
        <v>0</v>
      </c>
      <c r="AB432" s="52">
        <f t="shared" si="306"/>
        <v>0</v>
      </c>
      <c r="AC432" s="52">
        <f t="shared" si="306"/>
        <v>0</v>
      </c>
      <c r="AD432" s="52">
        <f t="shared" si="306"/>
        <v>0</v>
      </c>
      <c r="AE432" s="52">
        <f t="shared" si="306"/>
        <v>0</v>
      </c>
      <c r="AF432" s="52">
        <f t="shared" si="306"/>
        <v>0</v>
      </c>
      <c r="AG432" s="52">
        <f t="shared" si="306"/>
        <v>0</v>
      </c>
      <c r="AH432" s="52">
        <f t="shared" si="306"/>
        <v>0</v>
      </c>
      <c r="AI432" s="52">
        <f t="shared" si="306"/>
        <v>0</v>
      </c>
      <c r="AJ432" s="52">
        <f t="shared" si="306"/>
        <v>0</v>
      </c>
      <c r="AK432" s="52">
        <f t="shared" si="306"/>
        <v>0</v>
      </c>
      <c r="AL432" s="52">
        <f t="shared" si="306"/>
        <v>0</v>
      </c>
      <c r="AM432" s="52">
        <f t="shared" si="306"/>
        <v>0</v>
      </c>
      <c r="AN432" s="52">
        <f t="shared" si="306"/>
        <v>0</v>
      </c>
      <c r="AO432" s="52">
        <f t="shared" si="306"/>
        <v>0</v>
      </c>
      <c r="AP432" s="52">
        <f t="shared" si="306"/>
        <v>0</v>
      </c>
      <c r="AQ432" s="52">
        <f t="shared" si="306"/>
        <v>0</v>
      </c>
      <c r="AR432" s="52">
        <f t="shared" si="306"/>
        <v>0</v>
      </c>
      <c r="AS432" s="52">
        <f t="shared" si="306"/>
        <v>0</v>
      </c>
      <c r="AT432" s="52">
        <f t="shared" si="306"/>
        <v>0</v>
      </c>
      <c r="AU432" s="52">
        <f t="shared" si="306"/>
        <v>0</v>
      </c>
    </row>
    <row r="433" spans="1:47">
      <c r="E433" s="325"/>
      <c r="G433" s="36" t="s">
        <v>10</v>
      </c>
      <c r="H433" s="39"/>
      <c r="I433" s="39"/>
      <c r="J433" s="39"/>
      <c r="K433" s="39"/>
      <c r="L433" s="43"/>
      <c r="R433" s="54">
        <f>Assumptions!M$60</f>
        <v>1</v>
      </c>
      <c r="S433" s="54">
        <f>Assumptions!N$60</f>
        <v>0</v>
      </c>
      <c r="T433" s="54">
        <f>Assumptions!O$60</f>
        <v>0</v>
      </c>
      <c r="U433" s="54">
        <f>Assumptions!P$60</f>
        <v>0</v>
      </c>
      <c r="V433" s="54">
        <f>Assumptions!Q$60</f>
        <v>0</v>
      </c>
      <c r="W433" s="54">
        <f>Assumptions!R$60</f>
        <v>0</v>
      </c>
      <c r="X433" s="54">
        <f>Assumptions!S$60</f>
        <v>0</v>
      </c>
      <c r="Y433" s="54">
        <f>Assumptions!T$60</f>
        <v>0</v>
      </c>
      <c r="Z433" s="54">
        <f>Assumptions!U$60</f>
        <v>0</v>
      </c>
      <c r="AA433" s="54">
        <f>Assumptions!V$60</f>
        <v>0</v>
      </c>
      <c r="AB433" s="54">
        <f>Assumptions!W$60</f>
        <v>0</v>
      </c>
      <c r="AC433" s="54">
        <f>Assumptions!X$60</f>
        <v>0</v>
      </c>
      <c r="AD433" s="54">
        <f>Assumptions!Y$60</f>
        <v>0</v>
      </c>
      <c r="AE433" s="54">
        <f>Assumptions!Z$60</f>
        <v>0</v>
      </c>
      <c r="AF433" s="54">
        <f>Assumptions!AA$60</f>
        <v>0</v>
      </c>
      <c r="AG433" s="54">
        <f>Assumptions!AB$60</f>
        <v>0</v>
      </c>
      <c r="AH433" s="54">
        <f>Assumptions!AC$60</f>
        <v>0</v>
      </c>
      <c r="AI433" s="54">
        <f>Assumptions!AD$60</f>
        <v>0</v>
      </c>
      <c r="AJ433" s="54">
        <f>Assumptions!AE$60</f>
        <v>0</v>
      </c>
      <c r="AK433" s="54">
        <f>Assumptions!AF$60</f>
        <v>0</v>
      </c>
      <c r="AL433" s="54">
        <f>Assumptions!AG$60</f>
        <v>0</v>
      </c>
      <c r="AM433" s="54">
        <f>Assumptions!AH$60</f>
        <v>0</v>
      </c>
      <c r="AN433" s="54">
        <f>Assumptions!AI$60</f>
        <v>0</v>
      </c>
      <c r="AO433" s="54">
        <f>Assumptions!AJ$60</f>
        <v>0</v>
      </c>
      <c r="AP433" s="54">
        <f>Assumptions!AK$60</f>
        <v>0</v>
      </c>
      <c r="AQ433" s="54">
        <f>Assumptions!AL$60</f>
        <v>0</v>
      </c>
      <c r="AR433" s="54">
        <f>Assumptions!AM$60</f>
        <v>0</v>
      </c>
      <c r="AS433" s="54">
        <f>Assumptions!AN$60</f>
        <v>0</v>
      </c>
      <c r="AT433" s="54">
        <f>Assumptions!AO$60</f>
        <v>0</v>
      </c>
      <c r="AU433" s="54">
        <f>Assumptions!AP$60</f>
        <v>0</v>
      </c>
    </row>
    <row r="434" spans="1:47">
      <c r="E434" s="36"/>
      <c r="G434" s="39"/>
      <c r="H434" s="39"/>
      <c r="I434" s="39"/>
      <c r="J434" s="39"/>
      <c r="K434" s="39"/>
    </row>
    <row r="435" spans="1:47">
      <c r="E435" s="327"/>
      <c r="F435" s="28"/>
      <c r="G435" s="324" t="str">
        <f>C437&amp;" Capital Costs"</f>
        <v>General Requirements Capital Costs</v>
      </c>
      <c r="H435" s="324"/>
      <c r="I435" s="324"/>
      <c r="J435" s="324"/>
      <c r="K435" s="324"/>
      <c r="L435" s="405" t="s">
        <v>79</v>
      </c>
      <c r="M435" s="256"/>
      <c r="N435" s="325" t="s">
        <v>490</v>
      </c>
      <c r="O435" s="311"/>
      <c r="P435" s="325" t="s">
        <v>491</v>
      </c>
      <c r="Q435" s="310"/>
      <c r="R435" s="325">
        <f>R$8</f>
        <v>2014</v>
      </c>
      <c r="S435" s="325">
        <f t="shared" ref="S435:AU435" si="307">S$8</f>
        <v>2015</v>
      </c>
      <c r="T435" s="325">
        <f t="shared" si="307"/>
        <v>2016</v>
      </c>
      <c r="U435" s="325">
        <f t="shared" si="307"/>
        <v>2017</v>
      </c>
      <c r="V435" s="325">
        <f t="shared" si="307"/>
        <v>2018</v>
      </c>
      <c r="W435" s="325">
        <f t="shared" si="307"/>
        <v>2019</v>
      </c>
      <c r="X435" s="325">
        <f t="shared" si="307"/>
        <v>2020</v>
      </c>
      <c r="Y435" s="325">
        <f t="shared" si="307"/>
        <v>2021</v>
      </c>
      <c r="Z435" s="325">
        <f t="shared" si="307"/>
        <v>2022</v>
      </c>
      <c r="AA435" s="325">
        <f t="shared" si="307"/>
        <v>2023</v>
      </c>
      <c r="AB435" s="325">
        <f t="shared" si="307"/>
        <v>2024</v>
      </c>
      <c r="AC435" s="325">
        <f t="shared" si="307"/>
        <v>2025</v>
      </c>
      <c r="AD435" s="325">
        <f t="shared" si="307"/>
        <v>2026</v>
      </c>
      <c r="AE435" s="325">
        <f t="shared" si="307"/>
        <v>2027</v>
      </c>
      <c r="AF435" s="325">
        <f t="shared" si="307"/>
        <v>2028</v>
      </c>
      <c r="AG435" s="325">
        <f t="shared" si="307"/>
        <v>2029</v>
      </c>
      <c r="AH435" s="325">
        <f t="shared" si="307"/>
        <v>2030</v>
      </c>
      <c r="AI435" s="325">
        <f t="shared" si="307"/>
        <v>2031</v>
      </c>
      <c r="AJ435" s="325">
        <f t="shared" si="307"/>
        <v>2032</v>
      </c>
      <c r="AK435" s="325">
        <f t="shared" si="307"/>
        <v>2033</v>
      </c>
      <c r="AL435" s="325">
        <f t="shared" si="307"/>
        <v>2034</v>
      </c>
      <c r="AM435" s="325">
        <f t="shared" si="307"/>
        <v>2035</v>
      </c>
      <c r="AN435" s="325">
        <f t="shared" si="307"/>
        <v>2036</v>
      </c>
      <c r="AO435" s="325">
        <f t="shared" si="307"/>
        <v>2037</v>
      </c>
      <c r="AP435" s="325">
        <f t="shared" si="307"/>
        <v>2038</v>
      </c>
      <c r="AQ435" s="325">
        <f t="shared" si="307"/>
        <v>2039</v>
      </c>
      <c r="AR435" s="325">
        <f t="shared" si="307"/>
        <v>2040</v>
      </c>
      <c r="AS435" s="325">
        <f t="shared" si="307"/>
        <v>2041</v>
      </c>
      <c r="AT435" s="325">
        <f t="shared" si="307"/>
        <v>2042</v>
      </c>
      <c r="AU435" s="325">
        <f t="shared" si="307"/>
        <v>2043</v>
      </c>
    </row>
    <row r="436" spans="1:47">
      <c r="E436" s="325"/>
      <c r="G436" s="39"/>
      <c r="H436" s="39"/>
      <c r="I436" s="39"/>
      <c r="J436" s="39"/>
      <c r="K436" s="39"/>
    </row>
    <row r="437" spans="1:47">
      <c r="A437" s="38" t="str">
        <f>$J$4&amp;"-"</f>
        <v>Custom-</v>
      </c>
      <c r="B437" s="38" t="s">
        <v>306</v>
      </c>
      <c r="C437" s="38" t="s">
        <v>115</v>
      </c>
      <c r="D437" s="186">
        <f>CapExEsc</f>
        <v>0.03</v>
      </c>
      <c r="E437" s="325"/>
      <c r="G437" s="36" t="s">
        <v>8</v>
      </c>
      <c r="H437" s="39"/>
      <c r="I437" s="39"/>
      <c r="J437" s="70"/>
      <c r="K437" s="39"/>
      <c r="L437" s="43" t="str">
        <f>"["&amp;CostBaseYr&amp;" $]"</f>
        <v>[2013 $]</v>
      </c>
      <c r="N437" s="320"/>
      <c r="O437" s="52"/>
      <c r="P437" s="972"/>
      <c r="Q437" s="52"/>
      <c r="R437" s="52">
        <f t="shared" ref="R437:AU437" si="308">R438*IF($P437=0,$N437,$P437)*(1+$D437)^(R$8-CostBaseYr)</f>
        <v>0</v>
      </c>
      <c r="S437" s="52">
        <f t="shared" si="308"/>
        <v>0</v>
      </c>
      <c r="T437" s="52">
        <f t="shared" si="308"/>
        <v>0</v>
      </c>
      <c r="U437" s="52">
        <f t="shared" si="308"/>
        <v>0</v>
      </c>
      <c r="V437" s="52">
        <f t="shared" si="308"/>
        <v>0</v>
      </c>
      <c r="W437" s="52">
        <f t="shared" si="308"/>
        <v>0</v>
      </c>
      <c r="X437" s="52">
        <f t="shared" si="308"/>
        <v>0</v>
      </c>
      <c r="Y437" s="52">
        <f t="shared" si="308"/>
        <v>0</v>
      </c>
      <c r="Z437" s="52">
        <f t="shared" si="308"/>
        <v>0</v>
      </c>
      <c r="AA437" s="52">
        <f t="shared" si="308"/>
        <v>0</v>
      </c>
      <c r="AB437" s="52">
        <f t="shared" si="308"/>
        <v>0</v>
      </c>
      <c r="AC437" s="52">
        <f t="shared" si="308"/>
        <v>0</v>
      </c>
      <c r="AD437" s="52">
        <f t="shared" si="308"/>
        <v>0</v>
      </c>
      <c r="AE437" s="52">
        <f t="shared" si="308"/>
        <v>0</v>
      </c>
      <c r="AF437" s="52">
        <f t="shared" si="308"/>
        <v>0</v>
      </c>
      <c r="AG437" s="52">
        <f t="shared" si="308"/>
        <v>0</v>
      </c>
      <c r="AH437" s="52">
        <f t="shared" si="308"/>
        <v>0</v>
      </c>
      <c r="AI437" s="52">
        <f t="shared" si="308"/>
        <v>0</v>
      </c>
      <c r="AJ437" s="52">
        <f t="shared" si="308"/>
        <v>0</v>
      </c>
      <c r="AK437" s="52">
        <f t="shared" si="308"/>
        <v>0</v>
      </c>
      <c r="AL437" s="52">
        <f t="shared" si="308"/>
        <v>0</v>
      </c>
      <c r="AM437" s="52">
        <f t="shared" si="308"/>
        <v>0</v>
      </c>
      <c r="AN437" s="52">
        <f t="shared" si="308"/>
        <v>0</v>
      </c>
      <c r="AO437" s="52">
        <f t="shared" si="308"/>
        <v>0</v>
      </c>
      <c r="AP437" s="52">
        <f t="shared" si="308"/>
        <v>0</v>
      </c>
      <c r="AQ437" s="52">
        <f t="shared" si="308"/>
        <v>0</v>
      </c>
      <c r="AR437" s="52">
        <f t="shared" si="308"/>
        <v>0</v>
      </c>
      <c r="AS437" s="52">
        <f t="shared" si="308"/>
        <v>0</v>
      </c>
      <c r="AT437" s="52">
        <f t="shared" si="308"/>
        <v>0</v>
      </c>
      <c r="AU437" s="52">
        <f t="shared" si="308"/>
        <v>0</v>
      </c>
    </row>
    <row r="438" spans="1:47">
      <c r="E438" s="325"/>
      <c r="G438" s="36" t="s">
        <v>10</v>
      </c>
      <c r="H438" s="39"/>
      <c r="I438" s="39"/>
      <c r="J438" s="39"/>
      <c r="K438" s="39"/>
      <c r="L438" s="43"/>
      <c r="R438" s="54">
        <f>Assumptions!M$60</f>
        <v>1</v>
      </c>
      <c r="S438" s="54">
        <f>Assumptions!N$60</f>
        <v>0</v>
      </c>
      <c r="T438" s="54">
        <f>Assumptions!O$60</f>
        <v>0</v>
      </c>
      <c r="U438" s="54">
        <f>Assumptions!P$60</f>
        <v>0</v>
      </c>
      <c r="V438" s="54">
        <f>Assumptions!Q$60</f>
        <v>0</v>
      </c>
      <c r="W438" s="54">
        <f>Assumptions!R$60</f>
        <v>0</v>
      </c>
      <c r="X438" s="54">
        <f>Assumptions!S$60</f>
        <v>0</v>
      </c>
      <c r="Y438" s="54">
        <f>Assumptions!T$60</f>
        <v>0</v>
      </c>
      <c r="Z438" s="54">
        <f>Assumptions!U$60</f>
        <v>0</v>
      </c>
      <c r="AA438" s="54">
        <f>Assumptions!V$60</f>
        <v>0</v>
      </c>
      <c r="AB438" s="54">
        <f>Assumptions!W$60</f>
        <v>0</v>
      </c>
      <c r="AC438" s="54">
        <f>Assumptions!X$60</f>
        <v>0</v>
      </c>
      <c r="AD438" s="54">
        <f>Assumptions!Y$60</f>
        <v>0</v>
      </c>
      <c r="AE438" s="54">
        <f>Assumptions!Z$60</f>
        <v>0</v>
      </c>
      <c r="AF438" s="54">
        <f>Assumptions!AA$60</f>
        <v>0</v>
      </c>
      <c r="AG438" s="54">
        <f>Assumptions!AB$60</f>
        <v>0</v>
      </c>
      <c r="AH438" s="54">
        <f>Assumptions!AC$60</f>
        <v>0</v>
      </c>
      <c r="AI438" s="54">
        <f>Assumptions!AD$60</f>
        <v>0</v>
      </c>
      <c r="AJ438" s="54">
        <f>Assumptions!AE$60</f>
        <v>0</v>
      </c>
      <c r="AK438" s="54">
        <f>Assumptions!AF$60</f>
        <v>0</v>
      </c>
      <c r="AL438" s="54">
        <f>Assumptions!AG$60</f>
        <v>0</v>
      </c>
      <c r="AM438" s="54">
        <f>Assumptions!AH$60</f>
        <v>0</v>
      </c>
      <c r="AN438" s="54">
        <f>Assumptions!AI$60</f>
        <v>0</v>
      </c>
      <c r="AO438" s="54">
        <f>Assumptions!AJ$60</f>
        <v>0</v>
      </c>
      <c r="AP438" s="54">
        <f>Assumptions!AK$60</f>
        <v>0</v>
      </c>
      <c r="AQ438" s="54">
        <f>Assumptions!AL$60</f>
        <v>0</v>
      </c>
      <c r="AR438" s="54">
        <f>Assumptions!AM$60</f>
        <v>0</v>
      </c>
      <c r="AS438" s="54">
        <f>Assumptions!AN$60</f>
        <v>0</v>
      </c>
      <c r="AT438" s="54">
        <f>Assumptions!AO$60</f>
        <v>0</v>
      </c>
      <c r="AU438" s="54">
        <f>Assumptions!AP$60</f>
        <v>0</v>
      </c>
    </row>
    <row r="439" spans="1:47">
      <c r="E439" s="36"/>
      <c r="G439" s="39"/>
      <c r="H439" s="39"/>
      <c r="I439" s="39"/>
      <c r="J439" s="39"/>
      <c r="K439" s="39"/>
    </row>
    <row r="440" spans="1:47">
      <c r="E440" s="327"/>
      <c r="F440" s="28"/>
      <c r="G440" s="324" t="str">
        <f>C442&amp;" Capital Costs"</f>
        <v>Contingencies Capital Costs</v>
      </c>
      <c r="H440" s="324"/>
      <c r="I440" s="324"/>
      <c r="J440" s="324"/>
      <c r="K440" s="324"/>
      <c r="L440" s="405" t="s">
        <v>79</v>
      </c>
      <c r="M440" s="256"/>
      <c r="N440" s="325" t="s">
        <v>490</v>
      </c>
      <c r="O440" s="311"/>
      <c r="P440" s="325" t="s">
        <v>491</v>
      </c>
      <c r="Q440" s="310"/>
      <c r="R440" s="325">
        <f>R$8</f>
        <v>2014</v>
      </c>
      <c r="S440" s="325">
        <f t="shared" ref="S440:AU440" si="309">S$8</f>
        <v>2015</v>
      </c>
      <c r="T440" s="325">
        <f t="shared" si="309"/>
        <v>2016</v>
      </c>
      <c r="U440" s="325">
        <f t="shared" si="309"/>
        <v>2017</v>
      </c>
      <c r="V440" s="325">
        <f t="shared" si="309"/>
        <v>2018</v>
      </c>
      <c r="W440" s="325">
        <f t="shared" si="309"/>
        <v>2019</v>
      </c>
      <c r="X440" s="325">
        <f t="shared" si="309"/>
        <v>2020</v>
      </c>
      <c r="Y440" s="325">
        <f t="shared" si="309"/>
        <v>2021</v>
      </c>
      <c r="Z440" s="325">
        <f t="shared" si="309"/>
        <v>2022</v>
      </c>
      <c r="AA440" s="325">
        <f t="shared" si="309"/>
        <v>2023</v>
      </c>
      <c r="AB440" s="325">
        <f t="shared" si="309"/>
        <v>2024</v>
      </c>
      <c r="AC440" s="325">
        <f t="shared" si="309"/>
        <v>2025</v>
      </c>
      <c r="AD440" s="325">
        <f t="shared" si="309"/>
        <v>2026</v>
      </c>
      <c r="AE440" s="325">
        <f t="shared" si="309"/>
        <v>2027</v>
      </c>
      <c r="AF440" s="325">
        <f t="shared" si="309"/>
        <v>2028</v>
      </c>
      <c r="AG440" s="325">
        <f t="shared" si="309"/>
        <v>2029</v>
      </c>
      <c r="AH440" s="325">
        <f t="shared" si="309"/>
        <v>2030</v>
      </c>
      <c r="AI440" s="325">
        <f t="shared" si="309"/>
        <v>2031</v>
      </c>
      <c r="AJ440" s="325">
        <f t="shared" si="309"/>
        <v>2032</v>
      </c>
      <c r="AK440" s="325">
        <f t="shared" si="309"/>
        <v>2033</v>
      </c>
      <c r="AL440" s="325">
        <f t="shared" si="309"/>
        <v>2034</v>
      </c>
      <c r="AM440" s="325">
        <f t="shared" si="309"/>
        <v>2035</v>
      </c>
      <c r="AN440" s="325">
        <f t="shared" si="309"/>
        <v>2036</v>
      </c>
      <c r="AO440" s="325">
        <f t="shared" si="309"/>
        <v>2037</v>
      </c>
      <c r="AP440" s="325">
        <f t="shared" si="309"/>
        <v>2038</v>
      </c>
      <c r="AQ440" s="325">
        <f t="shared" si="309"/>
        <v>2039</v>
      </c>
      <c r="AR440" s="325">
        <f t="shared" si="309"/>
        <v>2040</v>
      </c>
      <c r="AS440" s="325">
        <f t="shared" si="309"/>
        <v>2041</v>
      </c>
      <c r="AT440" s="325">
        <f t="shared" si="309"/>
        <v>2042</v>
      </c>
      <c r="AU440" s="325">
        <f t="shared" si="309"/>
        <v>2043</v>
      </c>
    </row>
    <row r="441" spans="1:47">
      <c r="E441" s="325"/>
      <c r="G441" s="39"/>
      <c r="H441" s="39"/>
      <c r="I441" s="39"/>
      <c r="J441" s="39"/>
      <c r="K441" s="39"/>
    </row>
    <row r="442" spans="1:47">
      <c r="A442" s="38" t="str">
        <f>$J$4&amp;"-"</f>
        <v>Custom-</v>
      </c>
      <c r="B442" s="38" t="s">
        <v>306</v>
      </c>
      <c r="C442" s="38" t="s">
        <v>146</v>
      </c>
      <c r="D442" s="186">
        <f>CapExEsc</f>
        <v>0.03</v>
      </c>
      <c r="E442" s="325"/>
      <c r="G442" s="36" t="s">
        <v>8</v>
      </c>
      <c r="H442" s="39"/>
      <c r="I442" s="39"/>
      <c r="J442" s="70"/>
      <c r="K442" s="39"/>
      <c r="L442" s="43" t="str">
        <f>"["&amp;CostBaseYr&amp;" $]"</f>
        <v>[2013 $]</v>
      </c>
      <c r="N442" s="320"/>
      <c r="O442" s="52"/>
      <c r="P442" s="972"/>
      <c r="Q442" s="52"/>
      <c r="R442" s="52">
        <f t="shared" ref="R442:AU442" si="310">R443*IF($P442=0,$N442,$P442)*(1+$D442)^(R$8-CostBaseYr)</f>
        <v>0</v>
      </c>
      <c r="S442" s="52">
        <f t="shared" si="310"/>
        <v>0</v>
      </c>
      <c r="T442" s="52">
        <f t="shared" si="310"/>
        <v>0</v>
      </c>
      <c r="U442" s="52">
        <f t="shared" si="310"/>
        <v>0</v>
      </c>
      <c r="V442" s="52">
        <f t="shared" si="310"/>
        <v>0</v>
      </c>
      <c r="W442" s="52">
        <f t="shared" si="310"/>
        <v>0</v>
      </c>
      <c r="X442" s="52">
        <f t="shared" si="310"/>
        <v>0</v>
      </c>
      <c r="Y442" s="52">
        <f t="shared" si="310"/>
        <v>0</v>
      </c>
      <c r="Z442" s="52">
        <f t="shared" si="310"/>
        <v>0</v>
      </c>
      <c r="AA442" s="52">
        <f t="shared" si="310"/>
        <v>0</v>
      </c>
      <c r="AB442" s="52">
        <f t="shared" si="310"/>
        <v>0</v>
      </c>
      <c r="AC442" s="52">
        <f t="shared" si="310"/>
        <v>0</v>
      </c>
      <c r="AD442" s="52">
        <f t="shared" si="310"/>
        <v>0</v>
      </c>
      <c r="AE442" s="52">
        <f t="shared" si="310"/>
        <v>0</v>
      </c>
      <c r="AF442" s="52">
        <f t="shared" si="310"/>
        <v>0</v>
      </c>
      <c r="AG442" s="52">
        <f t="shared" si="310"/>
        <v>0</v>
      </c>
      <c r="AH442" s="52">
        <f t="shared" si="310"/>
        <v>0</v>
      </c>
      <c r="AI442" s="52">
        <f t="shared" si="310"/>
        <v>0</v>
      </c>
      <c r="AJ442" s="52">
        <f t="shared" si="310"/>
        <v>0</v>
      </c>
      <c r="AK442" s="52">
        <f t="shared" si="310"/>
        <v>0</v>
      </c>
      <c r="AL442" s="52">
        <f t="shared" si="310"/>
        <v>0</v>
      </c>
      <c r="AM442" s="52">
        <f t="shared" si="310"/>
        <v>0</v>
      </c>
      <c r="AN442" s="52">
        <f t="shared" si="310"/>
        <v>0</v>
      </c>
      <c r="AO442" s="52">
        <f t="shared" si="310"/>
        <v>0</v>
      </c>
      <c r="AP442" s="52">
        <f t="shared" si="310"/>
        <v>0</v>
      </c>
      <c r="AQ442" s="52">
        <f t="shared" si="310"/>
        <v>0</v>
      </c>
      <c r="AR442" s="52">
        <f t="shared" si="310"/>
        <v>0</v>
      </c>
      <c r="AS442" s="52">
        <f t="shared" si="310"/>
        <v>0</v>
      </c>
      <c r="AT442" s="52">
        <f t="shared" si="310"/>
        <v>0</v>
      </c>
      <c r="AU442" s="52">
        <f t="shared" si="310"/>
        <v>0</v>
      </c>
    </row>
    <row r="443" spans="1:47">
      <c r="E443" s="325"/>
      <c r="G443" s="36" t="s">
        <v>10</v>
      </c>
      <c r="H443" s="39"/>
      <c r="I443" s="39"/>
      <c r="J443" s="39"/>
      <c r="K443" s="39"/>
      <c r="L443" s="43"/>
      <c r="R443" s="54">
        <f>Assumptions!M$60</f>
        <v>1</v>
      </c>
      <c r="S443" s="54">
        <f>Assumptions!N$60</f>
        <v>0</v>
      </c>
      <c r="T443" s="54">
        <f>Assumptions!O$60</f>
        <v>0</v>
      </c>
      <c r="U443" s="54">
        <f>Assumptions!P$60</f>
        <v>0</v>
      </c>
      <c r="V443" s="54">
        <f>Assumptions!Q$60</f>
        <v>0</v>
      </c>
      <c r="W443" s="54">
        <f>Assumptions!R$60</f>
        <v>0</v>
      </c>
      <c r="X443" s="54">
        <f>Assumptions!S$60</f>
        <v>0</v>
      </c>
      <c r="Y443" s="54">
        <f>Assumptions!T$60</f>
        <v>0</v>
      </c>
      <c r="Z443" s="54">
        <f>Assumptions!U$60</f>
        <v>0</v>
      </c>
      <c r="AA443" s="54">
        <f>Assumptions!V$60</f>
        <v>0</v>
      </c>
      <c r="AB443" s="54">
        <f>Assumptions!W$60</f>
        <v>0</v>
      </c>
      <c r="AC443" s="54">
        <f>Assumptions!X$60</f>
        <v>0</v>
      </c>
      <c r="AD443" s="54">
        <f>Assumptions!Y$60</f>
        <v>0</v>
      </c>
      <c r="AE443" s="54">
        <f>Assumptions!Z$60</f>
        <v>0</v>
      </c>
      <c r="AF443" s="54">
        <f>Assumptions!AA$60</f>
        <v>0</v>
      </c>
      <c r="AG443" s="54">
        <f>Assumptions!AB$60</f>
        <v>0</v>
      </c>
      <c r="AH443" s="54">
        <f>Assumptions!AC$60</f>
        <v>0</v>
      </c>
      <c r="AI443" s="54">
        <f>Assumptions!AD$60</f>
        <v>0</v>
      </c>
      <c r="AJ443" s="54">
        <f>Assumptions!AE$60</f>
        <v>0</v>
      </c>
      <c r="AK443" s="54">
        <f>Assumptions!AF$60</f>
        <v>0</v>
      </c>
      <c r="AL443" s="54">
        <f>Assumptions!AG$60</f>
        <v>0</v>
      </c>
      <c r="AM443" s="54">
        <f>Assumptions!AH$60</f>
        <v>0</v>
      </c>
      <c r="AN443" s="54">
        <f>Assumptions!AI$60</f>
        <v>0</v>
      </c>
      <c r="AO443" s="54">
        <f>Assumptions!AJ$60</f>
        <v>0</v>
      </c>
      <c r="AP443" s="54">
        <f>Assumptions!AK$60</f>
        <v>0</v>
      </c>
      <c r="AQ443" s="54">
        <f>Assumptions!AL$60</f>
        <v>0</v>
      </c>
      <c r="AR443" s="54">
        <f>Assumptions!AM$60</f>
        <v>0</v>
      </c>
      <c r="AS443" s="54">
        <f>Assumptions!AN$60</f>
        <v>0</v>
      </c>
      <c r="AT443" s="54">
        <f>Assumptions!AO$60</f>
        <v>0</v>
      </c>
      <c r="AU443" s="54">
        <f>Assumptions!AP$60</f>
        <v>0</v>
      </c>
    </row>
    <row r="444" spans="1:47">
      <c r="E444" s="36"/>
      <c r="G444" s="39"/>
      <c r="H444" s="39"/>
      <c r="I444" s="39"/>
      <c r="J444" s="39"/>
      <c r="K444" s="39"/>
    </row>
    <row r="445" spans="1:47">
      <c r="E445" s="327"/>
      <c r="F445" s="28"/>
      <c r="G445" s="324" t="str">
        <f>C447&amp;" Capital Costs"</f>
        <v>Engineering, Legal &amp; Admin Capital Costs</v>
      </c>
      <c r="H445" s="324"/>
      <c r="I445" s="324"/>
      <c r="J445" s="324"/>
      <c r="K445" s="324"/>
      <c r="L445" s="405" t="s">
        <v>79</v>
      </c>
      <c r="M445" s="256"/>
      <c r="N445" s="325" t="s">
        <v>490</v>
      </c>
      <c r="O445" s="311"/>
      <c r="P445" s="325" t="s">
        <v>491</v>
      </c>
      <c r="Q445" s="310"/>
      <c r="R445" s="325">
        <f>R$8</f>
        <v>2014</v>
      </c>
      <c r="S445" s="325">
        <f t="shared" ref="S445:AU445" si="311">S$8</f>
        <v>2015</v>
      </c>
      <c r="T445" s="325">
        <f t="shared" si="311"/>
        <v>2016</v>
      </c>
      <c r="U445" s="325">
        <f t="shared" si="311"/>
        <v>2017</v>
      </c>
      <c r="V445" s="325">
        <f t="shared" si="311"/>
        <v>2018</v>
      </c>
      <c r="W445" s="325">
        <f t="shared" si="311"/>
        <v>2019</v>
      </c>
      <c r="X445" s="325">
        <f t="shared" si="311"/>
        <v>2020</v>
      </c>
      <c r="Y445" s="325">
        <f t="shared" si="311"/>
        <v>2021</v>
      </c>
      <c r="Z445" s="325">
        <f t="shared" si="311"/>
        <v>2022</v>
      </c>
      <c r="AA445" s="325">
        <f t="shared" si="311"/>
        <v>2023</v>
      </c>
      <c r="AB445" s="325">
        <f t="shared" si="311"/>
        <v>2024</v>
      </c>
      <c r="AC445" s="325">
        <f t="shared" si="311"/>
        <v>2025</v>
      </c>
      <c r="AD445" s="325">
        <f t="shared" si="311"/>
        <v>2026</v>
      </c>
      <c r="AE445" s="325">
        <f t="shared" si="311"/>
        <v>2027</v>
      </c>
      <c r="AF445" s="325">
        <f t="shared" si="311"/>
        <v>2028</v>
      </c>
      <c r="AG445" s="325">
        <f t="shared" si="311"/>
        <v>2029</v>
      </c>
      <c r="AH445" s="325">
        <f t="shared" si="311"/>
        <v>2030</v>
      </c>
      <c r="AI445" s="325">
        <f t="shared" si="311"/>
        <v>2031</v>
      </c>
      <c r="AJ445" s="325">
        <f t="shared" si="311"/>
        <v>2032</v>
      </c>
      <c r="AK445" s="325">
        <f t="shared" si="311"/>
        <v>2033</v>
      </c>
      <c r="AL445" s="325">
        <f t="shared" si="311"/>
        <v>2034</v>
      </c>
      <c r="AM445" s="325">
        <f t="shared" si="311"/>
        <v>2035</v>
      </c>
      <c r="AN445" s="325">
        <f t="shared" si="311"/>
        <v>2036</v>
      </c>
      <c r="AO445" s="325">
        <f t="shared" si="311"/>
        <v>2037</v>
      </c>
      <c r="AP445" s="325">
        <f t="shared" si="311"/>
        <v>2038</v>
      </c>
      <c r="AQ445" s="325">
        <f t="shared" si="311"/>
        <v>2039</v>
      </c>
      <c r="AR445" s="325">
        <f t="shared" si="311"/>
        <v>2040</v>
      </c>
      <c r="AS445" s="325">
        <f t="shared" si="311"/>
        <v>2041</v>
      </c>
      <c r="AT445" s="325">
        <f t="shared" si="311"/>
        <v>2042</v>
      </c>
      <c r="AU445" s="325">
        <f t="shared" si="311"/>
        <v>2043</v>
      </c>
    </row>
    <row r="446" spans="1:47">
      <c r="E446" s="325"/>
      <c r="G446" s="39"/>
      <c r="H446" s="39"/>
      <c r="I446" s="39"/>
      <c r="J446" s="39"/>
      <c r="K446" s="39"/>
    </row>
    <row r="447" spans="1:47">
      <c r="A447" s="38" t="str">
        <f>$J$4&amp;"-"</f>
        <v>Custom-</v>
      </c>
      <c r="B447" s="38" t="s">
        <v>306</v>
      </c>
      <c r="C447" s="38" t="s">
        <v>147</v>
      </c>
      <c r="D447" s="186">
        <f>CapExEsc</f>
        <v>0.03</v>
      </c>
      <c r="E447" s="325"/>
      <c r="G447" s="36" t="s">
        <v>8</v>
      </c>
      <c r="H447" s="39"/>
      <c r="I447" s="39"/>
      <c r="J447" s="70"/>
      <c r="K447" s="39"/>
      <c r="L447" s="43" t="str">
        <f>"["&amp;CostBaseYr&amp;" $]"</f>
        <v>[2013 $]</v>
      </c>
      <c r="N447" s="320"/>
      <c r="O447" s="52"/>
      <c r="P447" s="972"/>
      <c r="Q447" s="52"/>
      <c r="R447" s="52">
        <f t="shared" ref="R447:AU447" si="312">R448*IF($P447=0,$N447,$P447)*(1+$D447)^(R$8-CostBaseYr)</f>
        <v>0</v>
      </c>
      <c r="S447" s="52">
        <f t="shared" si="312"/>
        <v>0</v>
      </c>
      <c r="T447" s="52">
        <f t="shared" si="312"/>
        <v>0</v>
      </c>
      <c r="U447" s="52">
        <f t="shared" si="312"/>
        <v>0</v>
      </c>
      <c r="V447" s="52">
        <f t="shared" si="312"/>
        <v>0</v>
      </c>
      <c r="W447" s="52">
        <f t="shared" si="312"/>
        <v>0</v>
      </c>
      <c r="X447" s="52">
        <f t="shared" si="312"/>
        <v>0</v>
      </c>
      <c r="Y447" s="52">
        <f t="shared" si="312"/>
        <v>0</v>
      </c>
      <c r="Z447" s="52">
        <f t="shared" si="312"/>
        <v>0</v>
      </c>
      <c r="AA447" s="52">
        <f t="shared" si="312"/>
        <v>0</v>
      </c>
      <c r="AB447" s="52">
        <f t="shared" si="312"/>
        <v>0</v>
      </c>
      <c r="AC447" s="52">
        <f t="shared" si="312"/>
        <v>0</v>
      </c>
      <c r="AD447" s="52">
        <f t="shared" si="312"/>
        <v>0</v>
      </c>
      <c r="AE447" s="52">
        <f t="shared" si="312"/>
        <v>0</v>
      </c>
      <c r="AF447" s="52">
        <f t="shared" si="312"/>
        <v>0</v>
      </c>
      <c r="AG447" s="52">
        <f t="shared" si="312"/>
        <v>0</v>
      </c>
      <c r="AH447" s="52">
        <f t="shared" si="312"/>
        <v>0</v>
      </c>
      <c r="AI447" s="52">
        <f t="shared" si="312"/>
        <v>0</v>
      </c>
      <c r="AJ447" s="52">
        <f t="shared" si="312"/>
        <v>0</v>
      </c>
      <c r="AK447" s="52">
        <f t="shared" si="312"/>
        <v>0</v>
      </c>
      <c r="AL447" s="52">
        <f t="shared" si="312"/>
        <v>0</v>
      </c>
      <c r="AM447" s="52">
        <f t="shared" si="312"/>
        <v>0</v>
      </c>
      <c r="AN447" s="52">
        <f t="shared" si="312"/>
        <v>0</v>
      </c>
      <c r="AO447" s="52">
        <f t="shared" si="312"/>
        <v>0</v>
      </c>
      <c r="AP447" s="52">
        <f t="shared" si="312"/>
        <v>0</v>
      </c>
      <c r="AQ447" s="52">
        <f t="shared" si="312"/>
        <v>0</v>
      </c>
      <c r="AR447" s="52">
        <f t="shared" si="312"/>
        <v>0</v>
      </c>
      <c r="AS447" s="52">
        <f t="shared" si="312"/>
        <v>0</v>
      </c>
      <c r="AT447" s="52">
        <f t="shared" si="312"/>
        <v>0</v>
      </c>
      <c r="AU447" s="52">
        <f t="shared" si="312"/>
        <v>0</v>
      </c>
    </row>
    <row r="448" spans="1:47">
      <c r="E448" s="325"/>
      <c r="G448" s="36" t="s">
        <v>10</v>
      </c>
      <c r="H448" s="39"/>
      <c r="I448" s="39"/>
      <c r="J448" s="39"/>
      <c r="K448" s="39"/>
      <c r="L448" s="43"/>
      <c r="R448" s="54">
        <f>Assumptions!M$60</f>
        <v>1</v>
      </c>
      <c r="S448" s="54">
        <f>Assumptions!N$60</f>
        <v>0</v>
      </c>
      <c r="T448" s="54">
        <f>Assumptions!O$60</f>
        <v>0</v>
      </c>
      <c r="U448" s="54">
        <f>Assumptions!P$60</f>
        <v>0</v>
      </c>
      <c r="V448" s="54">
        <f>Assumptions!Q$60</f>
        <v>0</v>
      </c>
      <c r="W448" s="54">
        <f>Assumptions!R$60</f>
        <v>0</v>
      </c>
      <c r="X448" s="54">
        <f>Assumptions!S$60</f>
        <v>0</v>
      </c>
      <c r="Y448" s="54">
        <f>Assumptions!T$60</f>
        <v>0</v>
      </c>
      <c r="Z448" s="54">
        <f>Assumptions!U$60</f>
        <v>0</v>
      </c>
      <c r="AA448" s="54">
        <f>Assumptions!V$60</f>
        <v>0</v>
      </c>
      <c r="AB448" s="54">
        <f>Assumptions!W$60</f>
        <v>0</v>
      </c>
      <c r="AC448" s="54">
        <f>Assumptions!X$60</f>
        <v>0</v>
      </c>
      <c r="AD448" s="54">
        <f>Assumptions!Y$60</f>
        <v>0</v>
      </c>
      <c r="AE448" s="54">
        <f>Assumptions!Z$60</f>
        <v>0</v>
      </c>
      <c r="AF448" s="54">
        <f>Assumptions!AA$60</f>
        <v>0</v>
      </c>
      <c r="AG448" s="54">
        <f>Assumptions!AB$60</f>
        <v>0</v>
      </c>
      <c r="AH448" s="54">
        <f>Assumptions!AC$60</f>
        <v>0</v>
      </c>
      <c r="AI448" s="54">
        <f>Assumptions!AD$60</f>
        <v>0</v>
      </c>
      <c r="AJ448" s="54">
        <f>Assumptions!AE$60</f>
        <v>0</v>
      </c>
      <c r="AK448" s="54">
        <f>Assumptions!AF$60</f>
        <v>0</v>
      </c>
      <c r="AL448" s="54">
        <f>Assumptions!AG$60</f>
        <v>0</v>
      </c>
      <c r="AM448" s="54">
        <f>Assumptions!AH$60</f>
        <v>0</v>
      </c>
      <c r="AN448" s="54">
        <f>Assumptions!AI$60</f>
        <v>0</v>
      </c>
      <c r="AO448" s="54">
        <f>Assumptions!AJ$60</f>
        <v>0</v>
      </c>
      <c r="AP448" s="54">
        <f>Assumptions!AK$60</f>
        <v>0</v>
      </c>
      <c r="AQ448" s="54">
        <f>Assumptions!AL$60</f>
        <v>0</v>
      </c>
      <c r="AR448" s="54">
        <f>Assumptions!AM$60</f>
        <v>0</v>
      </c>
      <c r="AS448" s="54">
        <f>Assumptions!AN$60</f>
        <v>0</v>
      </c>
      <c r="AT448" s="54">
        <f>Assumptions!AO$60</f>
        <v>0</v>
      </c>
      <c r="AU448" s="54">
        <f>Assumptions!AP$60</f>
        <v>0</v>
      </c>
    </row>
    <row r="449" spans="1:47">
      <c r="E449" s="36"/>
      <c r="G449" s="39"/>
      <c r="H449" s="39"/>
      <c r="I449" s="39"/>
      <c r="J449" s="39"/>
      <c r="K449" s="39"/>
    </row>
    <row r="450" spans="1:47">
      <c r="E450" s="327"/>
      <c r="F450" s="28"/>
      <c r="G450" s="324" t="str">
        <f>C453&amp;" O&amp;M"</f>
        <v>Land Application O&amp;M</v>
      </c>
      <c r="H450" s="324"/>
      <c r="I450" s="324"/>
      <c r="J450" s="324"/>
      <c r="K450" s="324"/>
      <c r="L450" s="405" t="s">
        <v>79</v>
      </c>
      <c r="M450" s="256"/>
      <c r="N450" s="325" t="s">
        <v>490</v>
      </c>
      <c r="O450" s="311"/>
      <c r="P450" s="325" t="s">
        <v>491</v>
      </c>
      <c r="Q450" s="310"/>
      <c r="R450" s="325">
        <f>R$8</f>
        <v>2014</v>
      </c>
      <c r="S450" s="325">
        <f t="shared" ref="S450:AU450" si="313">S$8</f>
        <v>2015</v>
      </c>
      <c r="T450" s="325">
        <f t="shared" si="313"/>
        <v>2016</v>
      </c>
      <c r="U450" s="325">
        <f t="shared" si="313"/>
        <v>2017</v>
      </c>
      <c r="V450" s="325">
        <f t="shared" si="313"/>
        <v>2018</v>
      </c>
      <c r="W450" s="325">
        <f t="shared" si="313"/>
        <v>2019</v>
      </c>
      <c r="X450" s="325">
        <f t="shared" si="313"/>
        <v>2020</v>
      </c>
      <c r="Y450" s="325">
        <f t="shared" si="313"/>
        <v>2021</v>
      </c>
      <c r="Z450" s="325">
        <f t="shared" si="313"/>
        <v>2022</v>
      </c>
      <c r="AA450" s="325">
        <f t="shared" si="313"/>
        <v>2023</v>
      </c>
      <c r="AB450" s="325">
        <f t="shared" si="313"/>
        <v>2024</v>
      </c>
      <c r="AC450" s="325">
        <f t="shared" si="313"/>
        <v>2025</v>
      </c>
      <c r="AD450" s="325">
        <f t="shared" si="313"/>
        <v>2026</v>
      </c>
      <c r="AE450" s="325">
        <f t="shared" si="313"/>
        <v>2027</v>
      </c>
      <c r="AF450" s="325">
        <f t="shared" si="313"/>
        <v>2028</v>
      </c>
      <c r="AG450" s="325">
        <f t="shared" si="313"/>
        <v>2029</v>
      </c>
      <c r="AH450" s="325">
        <f t="shared" si="313"/>
        <v>2030</v>
      </c>
      <c r="AI450" s="325">
        <f t="shared" si="313"/>
        <v>2031</v>
      </c>
      <c r="AJ450" s="325">
        <f t="shared" si="313"/>
        <v>2032</v>
      </c>
      <c r="AK450" s="325">
        <f t="shared" si="313"/>
        <v>2033</v>
      </c>
      <c r="AL450" s="325">
        <f t="shared" si="313"/>
        <v>2034</v>
      </c>
      <c r="AM450" s="325">
        <f t="shared" si="313"/>
        <v>2035</v>
      </c>
      <c r="AN450" s="325">
        <f t="shared" si="313"/>
        <v>2036</v>
      </c>
      <c r="AO450" s="325">
        <f t="shared" si="313"/>
        <v>2037</v>
      </c>
      <c r="AP450" s="325">
        <f t="shared" si="313"/>
        <v>2038</v>
      </c>
      <c r="AQ450" s="325">
        <f t="shared" si="313"/>
        <v>2039</v>
      </c>
      <c r="AR450" s="325">
        <f t="shared" si="313"/>
        <v>2040</v>
      </c>
      <c r="AS450" s="325">
        <f t="shared" si="313"/>
        <v>2041</v>
      </c>
      <c r="AT450" s="325">
        <f t="shared" si="313"/>
        <v>2042</v>
      </c>
      <c r="AU450" s="325">
        <f t="shared" si="313"/>
        <v>2043</v>
      </c>
    </row>
    <row r="451" spans="1:47">
      <c r="E451" s="325"/>
      <c r="G451" s="39"/>
      <c r="H451" s="39"/>
      <c r="I451" s="39"/>
      <c r="J451" s="39"/>
      <c r="K451" s="39"/>
    </row>
    <row r="452" spans="1:47">
      <c r="E452" s="325"/>
      <c r="G452" s="39" t="s">
        <v>23</v>
      </c>
      <c r="H452" s="39"/>
      <c r="I452" s="39"/>
      <c r="J452" s="39"/>
      <c r="K452" s="39"/>
    </row>
    <row r="453" spans="1:47">
      <c r="A453" s="38" t="str">
        <f t="shared" ref="A453:A460" si="314">$J$4&amp;"-"</f>
        <v>Custom-</v>
      </c>
      <c r="B453" s="38" t="s">
        <v>262</v>
      </c>
      <c r="C453" s="38" t="s">
        <v>309</v>
      </c>
      <c r="D453" s="186">
        <f>LaborEsc</f>
        <v>0.02</v>
      </c>
      <c r="E453" s="325"/>
      <c r="G453" s="36" t="s">
        <v>125</v>
      </c>
      <c r="I453" s="39"/>
      <c r="K453" s="39"/>
      <c r="L453" s="43" t="s">
        <v>266</v>
      </c>
      <c r="N453" s="70">
        <f ca="1">IF(VLOOKUP($C453,$G$69:$J$87,4,FALSE)="Off",0,SUMIFS(OFFSET(Assumptions!$I$90,0,MATCH($A453,Configurations,0)-1,COUNT(Assumptions!$A$90:$A$183),1),Assumptions!$D$90:$D$183,$B453&amp;$C453))</f>
        <v>0</v>
      </c>
      <c r="O453" s="313"/>
      <c r="P453" s="323"/>
      <c r="Q453" s="313"/>
      <c r="R453" s="50">
        <f t="shared" ref="R453:AU453" ca="1" si="315">IF(OR(R$99&lt;InServiceYr,R$99&gt;(InServiceYr+analysis_period-1)),0,IF($P453=0,$N453,$P453)*LaborCost*(1+$D453)^(R$99-CostBaseYr))</f>
        <v>0</v>
      </c>
      <c r="S453" s="50">
        <f t="shared" ca="1" si="315"/>
        <v>0</v>
      </c>
      <c r="T453" s="50">
        <f t="shared" ca="1" si="315"/>
        <v>0</v>
      </c>
      <c r="U453" s="50">
        <f t="shared" ca="1" si="315"/>
        <v>0</v>
      </c>
      <c r="V453" s="50">
        <f t="shared" ca="1" si="315"/>
        <v>0</v>
      </c>
      <c r="W453" s="50">
        <f t="shared" ca="1" si="315"/>
        <v>0</v>
      </c>
      <c r="X453" s="50">
        <f t="shared" ca="1" si="315"/>
        <v>0</v>
      </c>
      <c r="Y453" s="50">
        <f t="shared" ca="1" si="315"/>
        <v>0</v>
      </c>
      <c r="Z453" s="50">
        <f t="shared" ca="1" si="315"/>
        <v>0</v>
      </c>
      <c r="AA453" s="50">
        <f t="shared" ca="1" si="315"/>
        <v>0</v>
      </c>
      <c r="AB453" s="50">
        <f t="shared" ca="1" si="315"/>
        <v>0</v>
      </c>
      <c r="AC453" s="50">
        <f t="shared" ca="1" si="315"/>
        <v>0</v>
      </c>
      <c r="AD453" s="50">
        <f t="shared" ca="1" si="315"/>
        <v>0</v>
      </c>
      <c r="AE453" s="50">
        <f t="shared" ca="1" si="315"/>
        <v>0</v>
      </c>
      <c r="AF453" s="50">
        <f t="shared" ca="1" si="315"/>
        <v>0</v>
      </c>
      <c r="AG453" s="50">
        <f t="shared" ca="1" si="315"/>
        <v>0</v>
      </c>
      <c r="AH453" s="50">
        <f t="shared" ca="1" si="315"/>
        <v>0</v>
      </c>
      <c r="AI453" s="50">
        <f t="shared" ca="1" si="315"/>
        <v>0</v>
      </c>
      <c r="AJ453" s="50">
        <f t="shared" ca="1" si="315"/>
        <v>0</v>
      </c>
      <c r="AK453" s="50">
        <f t="shared" ca="1" si="315"/>
        <v>0</v>
      </c>
      <c r="AL453" s="50">
        <f t="shared" si="315"/>
        <v>0</v>
      </c>
      <c r="AM453" s="50">
        <f t="shared" si="315"/>
        <v>0</v>
      </c>
      <c r="AN453" s="50">
        <f t="shared" si="315"/>
        <v>0</v>
      </c>
      <c r="AO453" s="50">
        <f t="shared" si="315"/>
        <v>0</v>
      </c>
      <c r="AP453" s="50">
        <f t="shared" si="315"/>
        <v>0</v>
      </c>
      <c r="AQ453" s="50">
        <f t="shared" si="315"/>
        <v>0</v>
      </c>
      <c r="AR453" s="50">
        <f t="shared" si="315"/>
        <v>0</v>
      </c>
      <c r="AS453" s="50">
        <f t="shared" si="315"/>
        <v>0</v>
      </c>
      <c r="AT453" s="50">
        <f t="shared" si="315"/>
        <v>0</v>
      </c>
      <c r="AU453" s="50">
        <f t="shared" si="315"/>
        <v>0</v>
      </c>
    </row>
    <row r="454" spans="1:47">
      <c r="A454" s="38" t="str">
        <f t="shared" si="314"/>
        <v>Custom-</v>
      </c>
      <c r="B454" s="38" t="s">
        <v>270</v>
      </c>
      <c r="C454" s="38" t="str">
        <f>C453</f>
        <v>Land Application</v>
      </c>
      <c r="D454" s="186">
        <f>OMEsc</f>
        <v>0.02</v>
      </c>
      <c r="E454" s="325"/>
      <c r="G454" s="36" t="s">
        <v>126</v>
      </c>
      <c r="I454" s="39"/>
      <c r="K454" s="39"/>
      <c r="L454" s="43" t="str">
        <f>"["&amp;CostBaseYr&amp;" $]"</f>
        <v>[2013 $]</v>
      </c>
      <c r="N454" s="70">
        <f ca="1">IF(VLOOKUP($C454,$G$69:$J$87,4,FALSE)="Off",0,SUMIFS(OFFSET(Assumptions!$I$90,0,MATCH($A454,Configurations,0)-1,COUNT(Assumptions!$A$90:$A$183),1),Assumptions!$D$90:$D$183,$B454&amp;$C454))</f>
        <v>0</v>
      </c>
      <c r="O454" s="313"/>
      <c r="P454" s="323"/>
      <c r="Q454" s="313"/>
      <c r="R454" s="50">
        <f t="shared" ref="R454:AG456" ca="1" si="316">IF(OR(R$99&lt;InServiceYr,R$99&gt;(InServiceYr+analysis_period-1)),0,IF($P454=0,$N454,$P454)*(1+$D454)^(R$99-CostBaseYr))</f>
        <v>0</v>
      </c>
      <c r="S454" s="50">
        <f t="shared" ca="1" si="316"/>
        <v>0</v>
      </c>
      <c r="T454" s="50">
        <f t="shared" ca="1" si="316"/>
        <v>0</v>
      </c>
      <c r="U454" s="50">
        <f t="shared" ca="1" si="316"/>
        <v>0</v>
      </c>
      <c r="V454" s="50">
        <f t="shared" ca="1" si="316"/>
        <v>0</v>
      </c>
      <c r="W454" s="50">
        <f t="shared" ca="1" si="316"/>
        <v>0</v>
      </c>
      <c r="X454" s="50">
        <f t="shared" ca="1" si="316"/>
        <v>0</v>
      </c>
      <c r="Y454" s="50">
        <f t="shared" ca="1" si="316"/>
        <v>0</v>
      </c>
      <c r="Z454" s="50">
        <f t="shared" ca="1" si="316"/>
        <v>0</v>
      </c>
      <c r="AA454" s="50">
        <f t="shared" ca="1" si="316"/>
        <v>0</v>
      </c>
      <c r="AB454" s="50">
        <f t="shared" ca="1" si="316"/>
        <v>0</v>
      </c>
      <c r="AC454" s="50">
        <f t="shared" ca="1" si="316"/>
        <v>0</v>
      </c>
      <c r="AD454" s="50">
        <f t="shared" ca="1" si="316"/>
        <v>0</v>
      </c>
      <c r="AE454" s="50">
        <f t="shared" ca="1" si="316"/>
        <v>0</v>
      </c>
      <c r="AF454" s="50">
        <f t="shared" ca="1" si="316"/>
        <v>0</v>
      </c>
      <c r="AG454" s="50">
        <f t="shared" ca="1" si="316"/>
        <v>0</v>
      </c>
      <c r="AH454" s="50">
        <f t="shared" ref="S454:AU456" ca="1" si="317">IF(OR(AH$99&lt;InServiceYr,AH$99&gt;(InServiceYr+analysis_period-1)),0,IF($P454=0,$N454,$P454)*(1+$D454)^(AH$99-CostBaseYr))</f>
        <v>0</v>
      </c>
      <c r="AI454" s="50">
        <f t="shared" ca="1" si="317"/>
        <v>0</v>
      </c>
      <c r="AJ454" s="50">
        <f t="shared" ca="1" si="317"/>
        <v>0</v>
      </c>
      <c r="AK454" s="50">
        <f t="shared" ca="1" si="317"/>
        <v>0</v>
      </c>
      <c r="AL454" s="50">
        <f t="shared" si="317"/>
        <v>0</v>
      </c>
      <c r="AM454" s="50">
        <f t="shared" si="317"/>
        <v>0</v>
      </c>
      <c r="AN454" s="50">
        <f t="shared" si="317"/>
        <v>0</v>
      </c>
      <c r="AO454" s="50">
        <f t="shared" si="317"/>
        <v>0</v>
      </c>
      <c r="AP454" s="50">
        <f t="shared" si="317"/>
        <v>0</v>
      </c>
      <c r="AQ454" s="50">
        <f t="shared" si="317"/>
        <v>0</v>
      </c>
      <c r="AR454" s="50">
        <f t="shared" si="317"/>
        <v>0</v>
      </c>
      <c r="AS454" s="50">
        <f t="shared" si="317"/>
        <v>0</v>
      </c>
      <c r="AT454" s="50">
        <f t="shared" si="317"/>
        <v>0</v>
      </c>
      <c r="AU454" s="50">
        <f t="shared" si="317"/>
        <v>0</v>
      </c>
    </row>
    <row r="455" spans="1:47">
      <c r="A455" s="38" t="str">
        <f t="shared" si="314"/>
        <v>Custom-</v>
      </c>
      <c r="B455" s="38" t="s">
        <v>263</v>
      </c>
      <c r="C455" s="38" t="str">
        <f t="shared" ref="C455:C459" si="318">C454</f>
        <v>Land Application</v>
      </c>
      <c r="D455" s="186">
        <f>OMEsc</f>
        <v>0.02</v>
      </c>
      <c r="E455" s="325"/>
      <c r="G455" s="36" t="s">
        <v>127</v>
      </c>
      <c r="I455" s="39"/>
      <c r="K455" s="39"/>
      <c r="L455" s="43" t="str">
        <f>"["&amp;CostBaseYr&amp;" $]"</f>
        <v>[2013 $]</v>
      </c>
      <c r="N455" s="70">
        <f ca="1">IF(VLOOKUP($C455,$G$69:$J$87,4,FALSE)="Off",0,SUMIFS(OFFSET(Assumptions!$I$90,0,MATCH($A455,Configurations,0)-1,COUNT(Assumptions!$A$90:$A$183),1),Assumptions!$D$90:$D$183,$B455&amp;$C455))</f>
        <v>0</v>
      </c>
      <c r="O455" s="313"/>
      <c r="P455" s="323"/>
      <c r="Q455" s="313"/>
      <c r="R455" s="50">
        <f t="shared" ca="1" si="316"/>
        <v>0</v>
      </c>
      <c r="S455" s="50">
        <f t="shared" ca="1" si="317"/>
        <v>0</v>
      </c>
      <c r="T455" s="50">
        <f t="shared" ca="1" si="317"/>
        <v>0</v>
      </c>
      <c r="U455" s="50">
        <f t="shared" ca="1" si="317"/>
        <v>0</v>
      </c>
      <c r="V455" s="50">
        <f t="shared" ca="1" si="317"/>
        <v>0</v>
      </c>
      <c r="W455" s="50">
        <f t="shared" ca="1" si="317"/>
        <v>0</v>
      </c>
      <c r="X455" s="50">
        <f t="shared" ca="1" si="317"/>
        <v>0</v>
      </c>
      <c r="Y455" s="50">
        <f t="shared" ca="1" si="317"/>
        <v>0</v>
      </c>
      <c r="Z455" s="50">
        <f t="shared" ca="1" si="317"/>
        <v>0</v>
      </c>
      <c r="AA455" s="50">
        <f t="shared" ca="1" si="317"/>
        <v>0</v>
      </c>
      <c r="AB455" s="50">
        <f t="shared" ca="1" si="317"/>
        <v>0</v>
      </c>
      <c r="AC455" s="50">
        <f t="shared" ca="1" si="317"/>
        <v>0</v>
      </c>
      <c r="AD455" s="50">
        <f t="shared" ca="1" si="317"/>
        <v>0</v>
      </c>
      <c r="AE455" s="50">
        <f t="shared" ca="1" si="317"/>
        <v>0</v>
      </c>
      <c r="AF455" s="50">
        <f t="shared" ca="1" si="317"/>
        <v>0</v>
      </c>
      <c r="AG455" s="50">
        <f t="shared" ca="1" si="317"/>
        <v>0</v>
      </c>
      <c r="AH455" s="50">
        <f t="shared" ca="1" si="317"/>
        <v>0</v>
      </c>
      <c r="AI455" s="50">
        <f t="shared" ca="1" si="317"/>
        <v>0</v>
      </c>
      <c r="AJ455" s="50">
        <f t="shared" ca="1" si="317"/>
        <v>0</v>
      </c>
      <c r="AK455" s="50">
        <f t="shared" ca="1" si="317"/>
        <v>0</v>
      </c>
      <c r="AL455" s="50">
        <f t="shared" si="317"/>
        <v>0</v>
      </c>
      <c r="AM455" s="50">
        <f t="shared" si="317"/>
        <v>0</v>
      </c>
      <c r="AN455" s="50">
        <f t="shared" si="317"/>
        <v>0</v>
      </c>
      <c r="AO455" s="50">
        <f t="shared" si="317"/>
        <v>0</v>
      </c>
      <c r="AP455" s="50">
        <f t="shared" si="317"/>
        <v>0</v>
      </c>
      <c r="AQ455" s="50">
        <f t="shared" si="317"/>
        <v>0</v>
      </c>
      <c r="AR455" s="50">
        <f t="shared" si="317"/>
        <v>0</v>
      </c>
      <c r="AS455" s="50">
        <f t="shared" si="317"/>
        <v>0</v>
      </c>
      <c r="AT455" s="50">
        <f t="shared" si="317"/>
        <v>0</v>
      </c>
      <c r="AU455" s="50">
        <f t="shared" si="317"/>
        <v>0</v>
      </c>
    </row>
    <row r="456" spans="1:47">
      <c r="A456" s="38" t="str">
        <f t="shared" si="314"/>
        <v>Custom-</v>
      </c>
      <c r="B456" s="38" t="s">
        <v>277</v>
      </c>
      <c r="C456" s="38" t="str">
        <f t="shared" si="318"/>
        <v>Land Application</v>
      </c>
      <c r="D456" s="186">
        <f>OMEsc</f>
        <v>0.02</v>
      </c>
      <c r="E456" s="325"/>
      <c r="G456" s="36" t="s">
        <v>276</v>
      </c>
      <c r="I456" s="39"/>
      <c r="K456" s="39"/>
      <c r="L456" s="43" t="str">
        <f>"["&amp;CostBaseYr&amp;" $]"</f>
        <v>[2013 $]</v>
      </c>
      <c r="N456" s="70">
        <f ca="1">IF(VLOOKUP($C456,$G$69:$J$87,4,FALSE)="Off",0,SUMIFS(OFFSET(Assumptions!$I$90,0,MATCH($A456,Configurations,0)-1,COUNT(Assumptions!$A$90:$A$183),1),Assumptions!$D$90:$D$183,$B456&amp;$C456))</f>
        <v>0</v>
      </c>
      <c r="O456" s="313"/>
      <c r="P456" s="323"/>
      <c r="Q456" s="313"/>
      <c r="R456" s="50">
        <f t="shared" ca="1" si="316"/>
        <v>0</v>
      </c>
      <c r="S456" s="50">
        <f t="shared" ca="1" si="317"/>
        <v>0</v>
      </c>
      <c r="T456" s="50">
        <f t="shared" ca="1" si="317"/>
        <v>0</v>
      </c>
      <c r="U456" s="50">
        <f t="shared" ca="1" si="317"/>
        <v>0</v>
      </c>
      <c r="V456" s="50">
        <f t="shared" ca="1" si="317"/>
        <v>0</v>
      </c>
      <c r="W456" s="50">
        <f t="shared" ca="1" si="317"/>
        <v>0</v>
      </c>
      <c r="X456" s="50">
        <f t="shared" ca="1" si="317"/>
        <v>0</v>
      </c>
      <c r="Y456" s="50">
        <f t="shared" ca="1" si="317"/>
        <v>0</v>
      </c>
      <c r="Z456" s="50">
        <f t="shared" ca="1" si="317"/>
        <v>0</v>
      </c>
      <c r="AA456" s="50">
        <f t="shared" ca="1" si="317"/>
        <v>0</v>
      </c>
      <c r="AB456" s="50">
        <f t="shared" ca="1" si="317"/>
        <v>0</v>
      </c>
      <c r="AC456" s="50">
        <f t="shared" ca="1" si="317"/>
        <v>0</v>
      </c>
      <c r="AD456" s="50">
        <f t="shared" ca="1" si="317"/>
        <v>0</v>
      </c>
      <c r="AE456" s="50">
        <f t="shared" ca="1" si="317"/>
        <v>0</v>
      </c>
      <c r="AF456" s="50">
        <f t="shared" ca="1" si="317"/>
        <v>0</v>
      </c>
      <c r="AG456" s="50">
        <f t="shared" ca="1" si="317"/>
        <v>0</v>
      </c>
      <c r="AH456" s="50">
        <f t="shared" ca="1" si="317"/>
        <v>0</v>
      </c>
      <c r="AI456" s="50">
        <f t="shared" ca="1" si="317"/>
        <v>0</v>
      </c>
      <c r="AJ456" s="50">
        <f t="shared" ca="1" si="317"/>
        <v>0</v>
      </c>
      <c r="AK456" s="50">
        <f t="shared" ca="1" si="317"/>
        <v>0</v>
      </c>
      <c r="AL456" s="50">
        <f t="shared" si="317"/>
        <v>0</v>
      </c>
      <c r="AM456" s="50">
        <f t="shared" si="317"/>
        <v>0</v>
      </c>
      <c r="AN456" s="50">
        <f t="shared" si="317"/>
        <v>0</v>
      </c>
      <c r="AO456" s="50">
        <f t="shared" si="317"/>
        <v>0</v>
      </c>
      <c r="AP456" s="50">
        <f t="shared" si="317"/>
        <v>0</v>
      </c>
      <c r="AQ456" s="50">
        <f t="shared" si="317"/>
        <v>0</v>
      </c>
      <c r="AR456" s="50">
        <f t="shared" si="317"/>
        <v>0</v>
      </c>
      <c r="AS456" s="50">
        <f t="shared" si="317"/>
        <v>0</v>
      </c>
      <c r="AT456" s="50">
        <f t="shared" si="317"/>
        <v>0</v>
      </c>
      <c r="AU456" s="50">
        <f t="shared" si="317"/>
        <v>0</v>
      </c>
    </row>
    <row r="457" spans="1:47">
      <c r="A457" s="38" t="str">
        <f t="shared" si="314"/>
        <v>Custom-</v>
      </c>
      <c r="B457" s="38" t="s">
        <v>274</v>
      </c>
      <c r="C457" s="38" t="str">
        <f t="shared" si="318"/>
        <v>Land Application</v>
      </c>
      <c r="D457" s="186"/>
      <c r="E457" s="325"/>
      <c r="G457" s="36" t="s">
        <v>16</v>
      </c>
      <c r="I457" s="39"/>
      <c r="K457" s="39"/>
      <c r="L457" s="43" t="s">
        <v>275</v>
      </c>
      <c r="N457" s="70">
        <f ca="1">IF(VLOOKUP($C457,$G$69:$J$87,4,FALSE)="Off",0,SUMIFS(OFFSET(Assumptions!$I$90,0,MATCH($A457,Configurations,0)-1,COUNT(Assumptions!$A$90:$A$183),1),Assumptions!$D$90:$D$183,$B457&amp;$C457))</f>
        <v>0</v>
      </c>
      <c r="O457" s="313"/>
      <c r="P457" s="323"/>
      <c r="Q457" s="313"/>
      <c r="R457" s="50">
        <f t="shared" ref="R457:AU457" ca="1" si="319">IF(OR(R$99&lt;InServiceYr,R$99&gt;(InServiceYr+analysis_period-1)),0,IF($P457=0,$N457,$P457)*R$505)</f>
        <v>0</v>
      </c>
      <c r="S457" s="50">
        <f t="shared" ca="1" si="319"/>
        <v>0</v>
      </c>
      <c r="T457" s="50">
        <f t="shared" ca="1" si="319"/>
        <v>0</v>
      </c>
      <c r="U457" s="50">
        <f t="shared" ca="1" si="319"/>
        <v>0</v>
      </c>
      <c r="V457" s="50">
        <f t="shared" ca="1" si="319"/>
        <v>0</v>
      </c>
      <c r="W457" s="50">
        <f t="shared" ca="1" si="319"/>
        <v>0</v>
      </c>
      <c r="X457" s="50">
        <f t="shared" ca="1" si="319"/>
        <v>0</v>
      </c>
      <c r="Y457" s="50">
        <f t="shared" ca="1" si="319"/>
        <v>0</v>
      </c>
      <c r="Z457" s="50">
        <f t="shared" ca="1" si="319"/>
        <v>0</v>
      </c>
      <c r="AA457" s="50">
        <f t="shared" ca="1" si="319"/>
        <v>0</v>
      </c>
      <c r="AB457" s="50">
        <f t="shared" ca="1" si="319"/>
        <v>0</v>
      </c>
      <c r="AC457" s="50">
        <f t="shared" ca="1" si="319"/>
        <v>0</v>
      </c>
      <c r="AD457" s="50">
        <f t="shared" ca="1" si="319"/>
        <v>0</v>
      </c>
      <c r="AE457" s="50">
        <f t="shared" ca="1" si="319"/>
        <v>0</v>
      </c>
      <c r="AF457" s="50">
        <f t="shared" ca="1" si="319"/>
        <v>0</v>
      </c>
      <c r="AG457" s="50">
        <f t="shared" ca="1" si="319"/>
        <v>0</v>
      </c>
      <c r="AH457" s="50">
        <f t="shared" ca="1" si="319"/>
        <v>0</v>
      </c>
      <c r="AI457" s="50">
        <f t="shared" ca="1" si="319"/>
        <v>0</v>
      </c>
      <c r="AJ457" s="50">
        <f t="shared" ca="1" si="319"/>
        <v>0</v>
      </c>
      <c r="AK457" s="50">
        <f t="shared" ca="1" si="319"/>
        <v>0</v>
      </c>
      <c r="AL457" s="50">
        <f t="shared" si="319"/>
        <v>0</v>
      </c>
      <c r="AM457" s="50">
        <f t="shared" si="319"/>
        <v>0</v>
      </c>
      <c r="AN457" s="50">
        <f t="shared" si="319"/>
        <v>0</v>
      </c>
      <c r="AO457" s="50">
        <f t="shared" si="319"/>
        <v>0</v>
      </c>
      <c r="AP457" s="50">
        <f t="shared" si="319"/>
        <v>0</v>
      </c>
      <c r="AQ457" s="50">
        <f t="shared" si="319"/>
        <v>0</v>
      </c>
      <c r="AR457" s="50">
        <f t="shared" si="319"/>
        <v>0</v>
      </c>
      <c r="AS457" s="50">
        <f t="shared" si="319"/>
        <v>0</v>
      </c>
      <c r="AT457" s="50">
        <f t="shared" si="319"/>
        <v>0</v>
      </c>
      <c r="AU457" s="50">
        <f t="shared" si="319"/>
        <v>0</v>
      </c>
    </row>
    <row r="458" spans="1:47">
      <c r="A458" s="38" t="str">
        <f t="shared" si="314"/>
        <v>Custom-</v>
      </c>
      <c r="B458" s="38" t="s">
        <v>257</v>
      </c>
      <c r="C458" s="38" t="str">
        <f t="shared" si="318"/>
        <v>Land Application</v>
      </c>
      <c r="D458" s="186"/>
      <c r="E458" s="325"/>
      <c r="G458" s="36" t="s">
        <v>284</v>
      </c>
      <c r="I458" s="39"/>
      <c r="K458" s="39"/>
      <c r="L458" s="43" t="s">
        <v>293</v>
      </c>
      <c r="N458" s="70">
        <f ca="1">IF(VLOOKUP($C458,$G$69:$J$87,4,FALSE)="Off",0,SUMIFS(OFFSET(Assumptions!$I$90,0,MATCH($A458,Configurations,0)-1,COUNT(Assumptions!$A$90:$A$183),1),Assumptions!$D$90:$D$183,$B458&amp;$C458))</f>
        <v>0</v>
      </c>
      <c r="O458" s="313"/>
      <c r="P458" s="323"/>
      <c r="Q458" s="313"/>
      <c r="R458" s="50">
        <f t="shared" ref="R458:AU458" ca="1" si="320">IF(OR(R$99&lt;InServiceYr,R$99&gt;(InServiceYr+analysis_period-1)),0,IF($P458=0,$N458,$P458)*R$501)</f>
        <v>0</v>
      </c>
      <c r="S458" s="50">
        <f t="shared" ca="1" si="320"/>
        <v>0</v>
      </c>
      <c r="T458" s="50">
        <f t="shared" ca="1" si="320"/>
        <v>0</v>
      </c>
      <c r="U458" s="50">
        <f t="shared" ca="1" si="320"/>
        <v>0</v>
      </c>
      <c r="V458" s="50">
        <f t="shared" ca="1" si="320"/>
        <v>0</v>
      </c>
      <c r="W458" s="50">
        <f t="shared" ca="1" si="320"/>
        <v>0</v>
      </c>
      <c r="X458" s="50">
        <f t="shared" ca="1" si="320"/>
        <v>0</v>
      </c>
      <c r="Y458" s="50">
        <f t="shared" ca="1" si="320"/>
        <v>0</v>
      </c>
      <c r="Z458" s="50">
        <f t="shared" ca="1" si="320"/>
        <v>0</v>
      </c>
      <c r="AA458" s="50">
        <f t="shared" ca="1" si="320"/>
        <v>0</v>
      </c>
      <c r="AB458" s="50">
        <f t="shared" ca="1" si="320"/>
        <v>0</v>
      </c>
      <c r="AC458" s="50">
        <f t="shared" ca="1" si="320"/>
        <v>0</v>
      </c>
      <c r="AD458" s="50">
        <f t="shared" ca="1" si="320"/>
        <v>0</v>
      </c>
      <c r="AE458" s="50">
        <f t="shared" ca="1" si="320"/>
        <v>0</v>
      </c>
      <c r="AF458" s="50">
        <f t="shared" ca="1" si="320"/>
        <v>0</v>
      </c>
      <c r="AG458" s="50">
        <f t="shared" ca="1" si="320"/>
        <v>0</v>
      </c>
      <c r="AH458" s="50">
        <f t="shared" ca="1" si="320"/>
        <v>0</v>
      </c>
      <c r="AI458" s="50">
        <f t="shared" ca="1" si="320"/>
        <v>0</v>
      </c>
      <c r="AJ458" s="50">
        <f t="shared" ca="1" si="320"/>
        <v>0</v>
      </c>
      <c r="AK458" s="50">
        <f t="shared" ca="1" si="320"/>
        <v>0</v>
      </c>
      <c r="AL458" s="50">
        <f t="shared" si="320"/>
        <v>0</v>
      </c>
      <c r="AM458" s="50">
        <f t="shared" si="320"/>
        <v>0</v>
      </c>
      <c r="AN458" s="50">
        <f t="shared" si="320"/>
        <v>0</v>
      </c>
      <c r="AO458" s="50">
        <f t="shared" si="320"/>
        <v>0</v>
      </c>
      <c r="AP458" s="50">
        <f t="shared" si="320"/>
        <v>0</v>
      </c>
      <c r="AQ458" s="50">
        <f t="shared" si="320"/>
        <v>0</v>
      </c>
      <c r="AR458" s="50">
        <f t="shared" si="320"/>
        <v>0</v>
      </c>
      <c r="AS458" s="50">
        <f t="shared" si="320"/>
        <v>0</v>
      </c>
      <c r="AT458" s="50">
        <f t="shared" si="320"/>
        <v>0</v>
      </c>
      <c r="AU458" s="50">
        <f t="shared" si="320"/>
        <v>0</v>
      </c>
    </row>
    <row r="459" spans="1:47">
      <c r="A459" s="38" t="str">
        <f t="shared" si="314"/>
        <v>Custom-</v>
      </c>
      <c r="B459" s="38" t="s">
        <v>864</v>
      </c>
      <c r="C459" s="38" t="str">
        <f t="shared" si="318"/>
        <v>Land Application</v>
      </c>
      <c r="D459" s="186">
        <f>GHGEsc</f>
        <v>0.02</v>
      </c>
      <c r="E459" s="325"/>
      <c r="G459" s="36" t="s">
        <v>865</v>
      </c>
      <c r="I459" s="39"/>
      <c r="K459" s="39"/>
      <c r="L459" s="43" t="s">
        <v>866</v>
      </c>
      <c r="N459" s="70">
        <f ca="1">IF(VLOOKUP($C459,$G$69:$J$87,4,FALSE)="Off",0,SUMIFS(OFFSET(Assumptions!$I$90,0,MATCH($A459,Configurations,0)-1,COUNT(Assumptions!$A$90:$A$183),1),Assumptions!$D$90:$D$183,$B459&amp;$C459))</f>
        <v>0</v>
      </c>
      <c r="O459" s="313"/>
      <c r="P459" s="323"/>
      <c r="Q459" s="313"/>
      <c r="R459" s="50">
        <f t="shared" ref="R459:AU459" ca="1" si="321">IF(OR(R$99&lt;InServiceYr,R$99&gt;(InServiceYr+analysis_period-1)),0,IF($P459=0,$N459,$P459)*R$513)</f>
        <v>0</v>
      </c>
      <c r="S459" s="50">
        <f t="shared" ca="1" si="321"/>
        <v>0</v>
      </c>
      <c r="T459" s="50">
        <f t="shared" ca="1" si="321"/>
        <v>0</v>
      </c>
      <c r="U459" s="50">
        <f t="shared" ca="1" si="321"/>
        <v>0</v>
      </c>
      <c r="V459" s="50">
        <f t="shared" ca="1" si="321"/>
        <v>0</v>
      </c>
      <c r="W459" s="50">
        <f t="shared" ca="1" si="321"/>
        <v>0</v>
      </c>
      <c r="X459" s="50">
        <f t="shared" ca="1" si="321"/>
        <v>0</v>
      </c>
      <c r="Y459" s="50">
        <f t="shared" ca="1" si="321"/>
        <v>0</v>
      </c>
      <c r="Z459" s="50">
        <f t="shared" ca="1" si="321"/>
        <v>0</v>
      </c>
      <c r="AA459" s="50">
        <f t="shared" ca="1" si="321"/>
        <v>0</v>
      </c>
      <c r="AB459" s="50">
        <f t="shared" ca="1" si="321"/>
        <v>0</v>
      </c>
      <c r="AC459" s="50">
        <f t="shared" ca="1" si="321"/>
        <v>0</v>
      </c>
      <c r="AD459" s="50">
        <f t="shared" ca="1" si="321"/>
        <v>0</v>
      </c>
      <c r="AE459" s="50">
        <f t="shared" ca="1" si="321"/>
        <v>0</v>
      </c>
      <c r="AF459" s="50">
        <f t="shared" ca="1" si="321"/>
        <v>0</v>
      </c>
      <c r="AG459" s="50">
        <f t="shared" ca="1" si="321"/>
        <v>0</v>
      </c>
      <c r="AH459" s="50">
        <f t="shared" ca="1" si="321"/>
        <v>0</v>
      </c>
      <c r="AI459" s="50">
        <f t="shared" ca="1" si="321"/>
        <v>0</v>
      </c>
      <c r="AJ459" s="50">
        <f t="shared" ca="1" si="321"/>
        <v>0</v>
      </c>
      <c r="AK459" s="50">
        <f t="shared" ca="1" si="321"/>
        <v>0</v>
      </c>
      <c r="AL459" s="50">
        <f t="shared" si="321"/>
        <v>0</v>
      </c>
      <c r="AM459" s="50">
        <f t="shared" si="321"/>
        <v>0</v>
      </c>
      <c r="AN459" s="50">
        <f t="shared" si="321"/>
        <v>0</v>
      </c>
      <c r="AO459" s="50">
        <f t="shared" si="321"/>
        <v>0</v>
      </c>
      <c r="AP459" s="50">
        <f t="shared" si="321"/>
        <v>0</v>
      </c>
      <c r="AQ459" s="50">
        <f t="shared" si="321"/>
        <v>0</v>
      </c>
      <c r="AR459" s="50">
        <f t="shared" si="321"/>
        <v>0</v>
      </c>
      <c r="AS459" s="50">
        <f t="shared" si="321"/>
        <v>0</v>
      </c>
      <c r="AT459" s="50">
        <f t="shared" si="321"/>
        <v>0</v>
      </c>
      <c r="AU459" s="50">
        <f t="shared" si="321"/>
        <v>0</v>
      </c>
    </row>
    <row r="460" spans="1:47">
      <c r="A460" s="38" t="str">
        <f t="shared" si="314"/>
        <v>Custom-</v>
      </c>
      <c r="B460" s="38" t="s">
        <v>273</v>
      </c>
      <c r="C460" s="38" t="str">
        <f>C458</f>
        <v>Land Application</v>
      </c>
      <c r="D460" s="186">
        <f>LaborEsc</f>
        <v>0.02</v>
      </c>
      <c r="E460" s="325"/>
      <c r="G460" s="36" t="s">
        <v>291</v>
      </c>
      <c r="I460" s="39"/>
      <c r="K460" s="39"/>
      <c r="L460" s="43" t="str">
        <f>"["&amp;CostBaseYr&amp;" $]"</f>
        <v>[2013 $]</v>
      </c>
      <c r="N460" s="70">
        <f ca="1">IF(VLOOKUP($C460,$G$69:$J$87,4,FALSE)="Off",0,SUMIFS(OFFSET(Assumptions!$I$90,0,MATCH($A460,Configurations,0)-1,COUNT(Assumptions!$A$90:$A$183),1),Assumptions!$D$90:$D$183,$B460&amp;$C460))</f>
        <v>0</v>
      </c>
      <c r="O460" s="313"/>
      <c r="P460" s="323"/>
      <c r="Q460" s="313"/>
      <c r="R460" s="50">
        <f t="shared" ref="R460:AU460" ca="1" si="322">IF(OR(R$99&lt;InServiceYr,R$99&gt;(InServiceYr+analysis_period-1)),0,IF($P460=0,$N460,$P460)*(1+$D460)^(R$99-CostBaseYr))*R$509</f>
        <v>0</v>
      </c>
      <c r="S460" s="50">
        <f t="shared" ca="1" si="322"/>
        <v>0</v>
      </c>
      <c r="T460" s="50">
        <f t="shared" ca="1" si="322"/>
        <v>0</v>
      </c>
      <c r="U460" s="50">
        <f t="shared" ca="1" si="322"/>
        <v>0</v>
      </c>
      <c r="V460" s="50">
        <f t="shared" ca="1" si="322"/>
        <v>0</v>
      </c>
      <c r="W460" s="50">
        <f t="shared" ca="1" si="322"/>
        <v>0</v>
      </c>
      <c r="X460" s="50">
        <f t="shared" ca="1" si="322"/>
        <v>0</v>
      </c>
      <c r="Y460" s="50">
        <f t="shared" ca="1" si="322"/>
        <v>0</v>
      </c>
      <c r="Z460" s="50">
        <f t="shared" ca="1" si="322"/>
        <v>0</v>
      </c>
      <c r="AA460" s="50">
        <f t="shared" ca="1" si="322"/>
        <v>0</v>
      </c>
      <c r="AB460" s="50">
        <f t="shared" ca="1" si="322"/>
        <v>0</v>
      </c>
      <c r="AC460" s="50">
        <f t="shared" ca="1" si="322"/>
        <v>0</v>
      </c>
      <c r="AD460" s="50">
        <f t="shared" ca="1" si="322"/>
        <v>0</v>
      </c>
      <c r="AE460" s="50">
        <f t="shared" ca="1" si="322"/>
        <v>0</v>
      </c>
      <c r="AF460" s="50">
        <f t="shared" ca="1" si="322"/>
        <v>0</v>
      </c>
      <c r="AG460" s="50">
        <f t="shared" ca="1" si="322"/>
        <v>0</v>
      </c>
      <c r="AH460" s="50">
        <f t="shared" ca="1" si="322"/>
        <v>0</v>
      </c>
      <c r="AI460" s="50">
        <f t="shared" ca="1" si="322"/>
        <v>0</v>
      </c>
      <c r="AJ460" s="50">
        <f t="shared" ca="1" si="322"/>
        <v>0</v>
      </c>
      <c r="AK460" s="50">
        <f t="shared" ca="1" si="322"/>
        <v>0</v>
      </c>
      <c r="AL460" s="50">
        <f t="shared" si="322"/>
        <v>0</v>
      </c>
      <c r="AM460" s="50">
        <f t="shared" si="322"/>
        <v>0</v>
      </c>
      <c r="AN460" s="50">
        <f t="shared" si="322"/>
        <v>0</v>
      </c>
      <c r="AO460" s="50">
        <f t="shared" si="322"/>
        <v>0</v>
      </c>
      <c r="AP460" s="50">
        <f t="shared" si="322"/>
        <v>0</v>
      </c>
      <c r="AQ460" s="50">
        <f t="shared" si="322"/>
        <v>0</v>
      </c>
      <c r="AR460" s="50">
        <f t="shared" si="322"/>
        <v>0</v>
      </c>
      <c r="AS460" s="50">
        <f t="shared" si="322"/>
        <v>0</v>
      </c>
      <c r="AT460" s="50">
        <f t="shared" si="322"/>
        <v>0</v>
      </c>
      <c r="AU460" s="50">
        <f t="shared" si="322"/>
        <v>0</v>
      </c>
    </row>
    <row r="461" spans="1:47">
      <c r="D461" s="186"/>
      <c r="E461" s="325"/>
      <c r="G461" s="39" t="s">
        <v>304</v>
      </c>
      <c r="I461" s="39"/>
      <c r="K461" s="39"/>
      <c r="L461" s="43"/>
      <c r="N461" s="70"/>
      <c r="O461" s="313"/>
      <c r="P461" s="70"/>
      <c r="Q461" s="313"/>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row>
    <row r="462" spans="1:47">
      <c r="A462" s="38" t="str">
        <f>$J$4&amp;"-"</f>
        <v>Custom-</v>
      </c>
      <c r="B462" s="38" t="s">
        <v>265</v>
      </c>
      <c r="C462" s="38" t="str">
        <f>C453</f>
        <v>Land Application</v>
      </c>
      <c r="D462" s="186"/>
      <c r="E462" s="325"/>
      <c r="G462" s="36" t="s">
        <v>108</v>
      </c>
      <c r="I462" s="39"/>
      <c r="K462" s="39"/>
      <c r="L462" s="43" t="s">
        <v>293</v>
      </c>
      <c r="N462" s="70">
        <f ca="1">IF(VLOOKUP($C462,$G$69:$J$87,4,FALSE)="Off",0,SUMIFS(OFFSET(Assumptions!$I$90,0,MATCH($A462,Configurations,0)-1,COUNT(Assumptions!$A$90:$A$183),1),Assumptions!$D$90:$D$183,$B462&amp;$C462))</f>
        <v>0</v>
      </c>
      <c r="O462" s="313"/>
      <c r="P462" s="323"/>
      <c r="Q462" s="313"/>
      <c r="R462" s="50">
        <f t="shared" ref="R462:AU462" ca="1" si="323">IF(OR(R$99&lt;InServiceYr,R$99&gt;(InServiceYr+analysis_period-1)),0,IF($P462=0,$N462,$P462)*R$501)</f>
        <v>0</v>
      </c>
      <c r="S462" s="50">
        <f t="shared" ca="1" si="323"/>
        <v>0</v>
      </c>
      <c r="T462" s="50">
        <f t="shared" ca="1" si="323"/>
        <v>0</v>
      </c>
      <c r="U462" s="50">
        <f t="shared" ca="1" si="323"/>
        <v>0</v>
      </c>
      <c r="V462" s="50">
        <f t="shared" ca="1" si="323"/>
        <v>0</v>
      </c>
      <c r="W462" s="50">
        <f t="shared" ca="1" si="323"/>
        <v>0</v>
      </c>
      <c r="X462" s="50">
        <f t="shared" ca="1" si="323"/>
        <v>0</v>
      </c>
      <c r="Y462" s="50">
        <f t="shared" ca="1" si="323"/>
        <v>0</v>
      </c>
      <c r="Z462" s="50">
        <f t="shared" ca="1" si="323"/>
        <v>0</v>
      </c>
      <c r="AA462" s="50">
        <f t="shared" ca="1" si="323"/>
        <v>0</v>
      </c>
      <c r="AB462" s="50">
        <f t="shared" ca="1" si="323"/>
        <v>0</v>
      </c>
      <c r="AC462" s="50">
        <f t="shared" ca="1" si="323"/>
        <v>0</v>
      </c>
      <c r="AD462" s="50">
        <f t="shared" ca="1" si="323"/>
        <v>0</v>
      </c>
      <c r="AE462" s="50">
        <f t="shared" ca="1" si="323"/>
        <v>0</v>
      </c>
      <c r="AF462" s="50">
        <f t="shared" ca="1" si="323"/>
        <v>0</v>
      </c>
      <c r="AG462" s="50">
        <f t="shared" ca="1" si="323"/>
        <v>0</v>
      </c>
      <c r="AH462" s="50">
        <f t="shared" ca="1" si="323"/>
        <v>0</v>
      </c>
      <c r="AI462" s="50">
        <f t="shared" ca="1" si="323"/>
        <v>0</v>
      </c>
      <c r="AJ462" s="50">
        <f t="shared" ca="1" si="323"/>
        <v>0</v>
      </c>
      <c r="AK462" s="50">
        <f t="shared" ca="1" si="323"/>
        <v>0</v>
      </c>
      <c r="AL462" s="50">
        <f t="shared" si="323"/>
        <v>0</v>
      </c>
      <c r="AM462" s="50">
        <f t="shared" si="323"/>
        <v>0</v>
      </c>
      <c r="AN462" s="50">
        <f t="shared" si="323"/>
        <v>0</v>
      </c>
      <c r="AO462" s="50">
        <f t="shared" si="323"/>
        <v>0</v>
      </c>
      <c r="AP462" s="50">
        <f t="shared" si="323"/>
        <v>0</v>
      </c>
      <c r="AQ462" s="50">
        <f t="shared" si="323"/>
        <v>0</v>
      </c>
      <c r="AR462" s="50">
        <f t="shared" si="323"/>
        <v>0</v>
      </c>
      <c r="AS462" s="50">
        <f t="shared" si="323"/>
        <v>0</v>
      </c>
      <c r="AT462" s="50">
        <f t="shared" si="323"/>
        <v>0</v>
      </c>
      <c r="AU462" s="50">
        <f t="shared" si="323"/>
        <v>0</v>
      </c>
    </row>
    <row r="463" spans="1:47">
      <c r="A463" s="38" t="str">
        <f>$J$4&amp;"-"</f>
        <v>Custom-</v>
      </c>
      <c r="B463" s="38" t="s">
        <v>289</v>
      </c>
      <c r="C463" s="38" t="str">
        <f>C453</f>
        <v>Land Application</v>
      </c>
      <c r="D463" s="186">
        <f>LaborEsc</f>
        <v>0.02</v>
      </c>
      <c r="E463" s="325"/>
      <c r="G463" s="36" t="s">
        <v>292</v>
      </c>
      <c r="I463" s="39"/>
      <c r="K463" s="39"/>
      <c r="L463" s="43" t="str">
        <f>"["&amp;CostBaseYr&amp;" $]"</f>
        <v>[2013 $]</v>
      </c>
      <c r="N463" s="70">
        <f ca="1">IF(VLOOKUP($C463,$G$69:$J$87,4,FALSE)="Off",0,SUMIFS(OFFSET(Assumptions!$I$90,0,MATCH($A463,Configurations,0)-1,COUNT(Assumptions!$A$90:$A$183),1),Assumptions!$D$90:$D$183,$B463&amp;$C463))</f>
        <v>0</v>
      </c>
      <c r="O463" s="313"/>
      <c r="P463" s="323"/>
      <c r="Q463" s="313"/>
      <c r="R463" s="50">
        <f t="shared" ref="R463:AU463" ca="1" si="324">IF(OR(R$99&lt;InServiceYr,R$99&gt;(InServiceYr+analysis_period-1)),0,IF($P463=0,$N463,$P463)*(1+$D463)^(R$99-CostBaseYr))</f>
        <v>0</v>
      </c>
      <c r="S463" s="50">
        <f t="shared" ca="1" si="324"/>
        <v>0</v>
      </c>
      <c r="T463" s="50">
        <f t="shared" ca="1" si="324"/>
        <v>0</v>
      </c>
      <c r="U463" s="50">
        <f t="shared" ca="1" si="324"/>
        <v>0</v>
      </c>
      <c r="V463" s="50">
        <f t="shared" ca="1" si="324"/>
        <v>0</v>
      </c>
      <c r="W463" s="50">
        <f t="shared" ca="1" si="324"/>
        <v>0</v>
      </c>
      <c r="X463" s="50">
        <f t="shared" ca="1" si="324"/>
        <v>0</v>
      </c>
      <c r="Y463" s="50">
        <f t="shared" ca="1" si="324"/>
        <v>0</v>
      </c>
      <c r="Z463" s="50">
        <f t="shared" ca="1" si="324"/>
        <v>0</v>
      </c>
      <c r="AA463" s="50">
        <f t="shared" ca="1" si="324"/>
        <v>0</v>
      </c>
      <c r="AB463" s="50">
        <f t="shared" ca="1" si="324"/>
        <v>0</v>
      </c>
      <c r="AC463" s="50">
        <f t="shared" ca="1" si="324"/>
        <v>0</v>
      </c>
      <c r="AD463" s="50">
        <f t="shared" ca="1" si="324"/>
        <v>0</v>
      </c>
      <c r="AE463" s="50">
        <f t="shared" ca="1" si="324"/>
        <v>0</v>
      </c>
      <c r="AF463" s="50">
        <f t="shared" ca="1" si="324"/>
        <v>0</v>
      </c>
      <c r="AG463" s="50">
        <f t="shared" ca="1" si="324"/>
        <v>0</v>
      </c>
      <c r="AH463" s="50">
        <f t="shared" ca="1" si="324"/>
        <v>0</v>
      </c>
      <c r="AI463" s="50">
        <f t="shared" ca="1" si="324"/>
        <v>0</v>
      </c>
      <c r="AJ463" s="50">
        <f t="shared" ca="1" si="324"/>
        <v>0</v>
      </c>
      <c r="AK463" s="50">
        <f t="shared" ca="1" si="324"/>
        <v>0</v>
      </c>
      <c r="AL463" s="50">
        <f t="shared" si="324"/>
        <v>0</v>
      </c>
      <c r="AM463" s="50">
        <f t="shared" si="324"/>
        <v>0</v>
      </c>
      <c r="AN463" s="50">
        <f t="shared" si="324"/>
        <v>0</v>
      </c>
      <c r="AO463" s="50">
        <f t="shared" si="324"/>
        <v>0</v>
      </c>
      <c r="AP463" s="50">
        <f t="shared" si="324"/>
        <v>0</v>
      </c>
      <c r="AQ463" s="50">
        <f t="shared" si="324"/>
        <v>0</v>
      </c>
      <c r="AR463" s="50">
        <f t="shared" si="324"/>
        <v>0</v>
      </c>
      <c r="AS463" s="50">
        <f t="shared" si="324"/>
        <v>0</v>
      </c>
      <c r="AT463" s="50">
        <f t="shared" si="324"/>
        <v>0</v>
      </c>
      <c r="AU463" s="50">
        <f t="shared" si="324"/>
        <v>0</v>
      </c>
    </row>
    <row r="464" spans="1:47" s="60" customFormat="1">
      <c r="D464" s="187"/>
      <c r="E464" s="325"/>
      <c r="G464" s="39" t="s">
        <v>305</v>
      </c>
      <c r="I464" s="39"/>
      <c r="K464" s="39"/>
      <c r="L464" s="174"/>
      <c r="N464" s="188"/>
      <c r="O464" s="314"/>
      <c r="P464" s="185"/>
      <c r="Q464" s="314"/>
      <c r="R464" s="185">
        <f ca="1">SUM(R453:R460)-SUM(R462:R463)</f>
        <v>0</v>
      </c>
      <c r="S464" s="185">
        <f t="shared" ref="S464:AU464" ca="1" si="325">SUM(S453:S460)-SUM(S462:S463)</f>
        <v>0</v>
      </c>
      <c r="T464" s="185">
        <f t="shared" ca="1" si="325"/>
        <v>0</v>
      </c>
      <c r="U464" s="185">
        <f t="shared" ca="1" si="325"/>
        <v>0</v>
      </c>
      <c r="V464" s="185">
        <f t="shared" ca="1" si="325"/>
        <v>0</v>
      </c>
      <c r="W464" s="185">
        <f t="shared" ca="1" si="325"/>
        <v>0</v>
      </c>
      <c r="X464" s="185">
        <f t="shared" ca="1" si="325"/>
        <v>0</v>
      </c>
      <c r="Y464" s="185">
        <f t="shared" ca="1" si="325"/>
        <v>0</v>
      </c>
      <c r="Z464" s="185">
        <f t="shared" ca="1" si="325"/>
        <v>0</v>
      </c>
      <c r="AA464" s="185">
        <f t="shared" ca="1" si="325"/>
        <v>0</v>
      </c>
      <c r="AB464" s="185">
        <f t="shared" ca="1" si="325"/>
        <v>0</v>
      </c>
      <c r="AC464" s="185">
        <f t="shared" ca="1" si="325"/>
        <v>0</v>
      </c>
      <c r="AD464" s="185">
        <f t="shared" ca="1" si="325"/>
        <v>0</v>
      </c>
      <c r="AE464" s="185">
        <f t="shared" ca="1" si="325"/>
        <v>0</v>
      </c>
      <c r="AF464" s="185">
        <f t="shared" ca="1" si="325"/>
        <v>0</v>
      </c>
      <c r="AG464" s="185">
        <f t="shared" ca="1" si="325"/>
        <v>0</v>
      </c>
      <c r="AH464" s="185">
        <f t="shared" ca="1" si="325"/>
        <v>0</v>
      </c>
      <c r="AI464" s="185">
        <f t="shared" ca="1" si="325"/>
        <v>0</v>
      </c>
      <c r="AJ464" s="185">
        <f t="shared" ca="1" si="325"/>
        <v>0</v>
      </c>
      <c r="AK464" s="185">
        <f t="shared" ca="1" si="325"/>
        <v>0</v>
      </c>
      <c r="AL464" s="185">
        <f t="shared" si="325"/>
        <v>0</v>
      </c>
      <c r="AM464" s="185">
        <f t="shared" si="325"/>
        <v>0</v>
      </c>
      <c r="AN464" s="185">
        <f t="shared" si="325"/>
        <v>0</v>
      </c>
      <c r="AO464" s="185">
        <f t="shared" si="325"/>
        <v>0</v>
      </c>
      <c r="AP464" s="185">
        <f t="shared" si="325"/>
        <v>0</v>
      </c>
      <c r="AQ464" s="185">
        <f t="shared" si="325"/>
        <v>0</v>
      </c>
      <c r="AR464" s="185">
        <f t="shared" si="325"/>
        <v>0</v>
      </c>
      <c r="AS464" s="185">
        <f t="shared" si="325"/>
        <v>0</v>
      </c>
      <c r="AT464" s="185">
        <f t="shared" si="325"/>
        <v>0</v>
      </c>
      <c r="AU464" s="185">
        <f t="shared" si="325"/>
        <v>0</v>
      </c>
    </row>
    <row r="465" spans="1:47">
      <c r="E465" s="36"/>
      <c r="G465" s="39"/>
      <c r="H465" s="39"/>
      <c r="I465" s="39"/>
      <c r="J465" s="39"/>
      <c r="K465" s="39"/>
    </row>
    <row r="466" spans="1:47">
      <c r="E466" s="327"/>
      <c r="F466" s="28"/>
      <c r="G466" s="324" t="str">
        <f>C469&amp;" O&amp;M"</f>
        <v>Land Disposal O&amp;M</v>
      </c>
      <c r="H466" s="324"/>
      <c r="I466" s="324"/>
      <c r="J466" s="324"/>
      <c r="K466" s="324"/>
      <c r="L466" s="405" t="s">
        <v>79</v>
      </c>
      <c r="M466" s="256"/>
      <c r="N466" s="325" t="s">
        <v>490</v>
      </c>
      <c r="O466" s="311"/>
      <c r="P466" s="325" t="s">
        <v>491</v>
      </c>
      <c r="Q466" s="310"/>
      <c r="R466" s="325">
        <f>R$8</f>
        <v>2014</v>
      </c>
      <c r="S466" s="325">
        <f t="shared" ref="S466:AU466" si="326">S$8</f>
        <v>2015</v>
      </c>
      <c r="T466" s="325">
        <f t="shared" si="326"/>
        <v>2016</v>
      </c>
      <c r="U466" s="325">
        <f t="shared" si="326"/>
        <v>2017</v>
      </c>
      <c r="V466" s="325">
        <f t="shared" si="326"/>
        <v>2018</v>
      </c>
      <c r="W466" s="325">
        <f t="shared" si="326"/>
        <v>2019</v>
      </c>
      <c r="X466" s="325">
        <f t="shared" si="326"/>
        <v>2020</v>
      </c>
      <c r="Y466" s="325">
        <f t="shared" si="326"/>
        <v>2021</v>
      </c>
      <c r="Z466" s="325">
        <f t="shared" si="326"/>
        <v>2022</v>
      </c>
      <c r="AA466" s="325">
        <f t="shared" si="326"/>
        <v>2023</v>
      </c>
      <c r="AB466" s="325">
        <f t="shared" si="326"/>
        <v>2024</v>
      </c>
      <c r="AC466" s="325">
        <f t="shared" si="326"/>
        <v>2025</v>
      </c>
      <c r="AD466" s="325">
        <f t="shared" si="326"/>
        <v>2026</v>
      </c>
      <c r="AE466" s="325">
        <f t="shared" si="326"/>
        <v>2027</v>
      </c>
      <c r="AF466" s="325">
        <f t="shared" si="326"/>
        <v>2028</v>
      </c>
      <c r="AG466" s="325">
        <f t="shared" si="326"/>
        <v>2029</v>
      </c>
      <c r="AH466" s="325">
        <f t="shared" si="326"/>
        <v>2030</v>
      </c>
      <c r="AI466" s="325">
        <f t="shared" si="326"/>
        <v>2031</v>
      </c>
      <c r="AJ466" s="325">
        <f t="shared" si="326"/>
        <v>2032</v>
      </c>
      <c r="AK466" s="325">
        <f t="shared" si="326"/>
        <v>2033</v>
      </c>
      <c r="AL466" s="325">
        <f t="shared" si="326"/>
        <v>2034</v>
      </c>
      <c r="AM466" s="325">
        <f t="shared" si="326"/>
        <v>2035</v>
      </c>
      <c r="AN466" s="325">
        <f t="shared" si="326"/>
        <v>2036</v>
      </c>
      <c r="AO466" s="325">
        <f t="shared" si="326"/>
        <v>2037</v>
      </c>
      <c r="AP466" s="325">
        <f t="shared" si="326"/>
        <v>2038</v>
      </c>
      <c r="AQ466" s="325">
        <f t="shared" si="326"/>
        <v>2039</v>
      </c>
      <c r="AR466" s="325">
        <f t="shared" si="326"/>
        <v>2040</v>
      </c>
      <c r="AS466" s="325">
        <f t="shared" si="326"/>
        <v>2041</v>
      </c>
      <c r="AT466" s="325">
        <f t="shared" si="326"/>
        <v>2042</v>
      </c>
      <c r="AU466" s="325">
        <f t="shared" si="326"/>
        <v>2043</v>
      </c>
    </row>
    <row r="467" spans="1:47">
      <c r="E467" s="325"/>
      <c r="G467" s="39"/>
      <c r="H467" s="39"/>
      <c r="I467" s="39"/>
      <c r="J467" s="39"/>
      <c r="K467" s="39"/>
    </row>
    <row r="468" spans="1:47">
      <c r="E468" s="325"/>
      <c r="G468" s="39" t="s">
        <v>23</v>
      </c>
      <c r="H468" s="39"/>
      <c r="I468" s="39"/>
      <c r="J468" s="39"/>
      <c r="K468" s="39"/>
    </row>
    <row r="469" spans="1:47">
      <c r="A469" s="38" t="str">
        <f t="shared" ref="A469:A476" si="327">$J$4&amp;"-"</f>
        <v>Custom-</v>
      </c>
      <c r="B469" s="38" t="s">
        <v>262</v>
      </c>
      <c r="C469" s="38" t="s">
        <v>311</v>
      </c>
      <c r="D469" s="186">
        <f>LaborEsc</f>
        <v>0.02</v>
      </c>
      <c r="E469" s="325"/>
      <c r="G469" s="36" t="s">
        <v>125</v>
      </c>
      <c r="I469" s="39"/>
      <c r="K469" s="39"/>
      <c r="L469" s="43" t="s">
        <v>266</v>
      </c>
      <c r="N469" s="70">
        <f ca="1">IF(VLOOKUP($C469,$G$69:$J$87,4,FALSE)="Off",0,SUMIFS(OFFSET(Assumptions!$I$90,0,MATCH($A469,Configurations,0)-1,COUNT(Assumptions!$A$90:$A$183),1),Assumptions!$D$90:$D$183,$B469&amp;$C469))</f>
        <v>0</v>
      </c>
      <c r="O469" s="313"/>
      <c r="P469" s="323"/>
      <c r="Q469" s="313"/>
      <c r="R469" s="50">
        <f t="shared" ref="R469:AU469" ca="1" si="328">IF(OR(R$99&lt;InServiceYr,R$99&gt;(InServiceYr+analysis_period-1)),0,IF($P469=0,$N469,$P469)*LaborCost*(1+$D469)^(R$99-CostBaseYr))</f>
        <v>0</v>
      </c>
      <c r="S469" s="50">
        <f t="shared" ca="1" si="328"/>
        <v>0</v>
      </c>
      <c r="T469" s="50">
        <f t="shared" ca="1" si="328"/>
        <v>0</v>
      </c>
      <c r="U469" s="50">
        <f t="shared" ca="1" si="328"/>
        <v>0</v>
      </c>
      <c r="V469" s="50">
        <f t="shared" ca="1" si="328"/>
        <v>0</v>
      </c>
      <c r="W469" s="50">
        <f t="shared" ca="1" si="328"/>
        <v>0</v>
      </c>
      <c r="X469" s="50">
        <f t="shared" ca="1" si="328"/>
        <v>0</v>
      </c>
      <c r="Y469" s="50">
        <f t="shared" ca="1" si="328"/>
        <v>0</v>
      </c>
      <c r="Z469" s="50">
        <f t="shared" ca="1" si="328"/>
        <v>0</v>
      </c>
      <c r="AA469" s="50">
        <f t="shared" ca="1" si="328"/>
        <v>0</v>
      </c>
      <c r="AB469" s="50">
        <f t="shared" ca="1" si="328"/>
        <v>0</v>
      </c>
      <c r="AC469" s="50">
        <f t="shared" ca="1" si="328"/>
        <v>0</v>
      </c>
      <c r="AD469" s="50">
        <f t="shared" ca="1" si="328"/>
        <v>0</v>
      </c>
      <c r="AE469" s="50">
        <f t="shared" ca="1" si="328"/>
        <v>0</v>
      </c>
      <c r="AF469" s="50">
        <f t="shared" ca="1" si="328"/>
        <v>0</v>
      </c>
      <c r="AG469" s="50">
        <f t="shared" ca="1" si="328"/>
        <v>0</v>
      </c>
      <c r="AH469" s="50">
        <f t="shared" ca="1" si="328"/>
        <v>0</v>
      </c>
      <c r="AI469" s="50">
        <f t="shared" ca="1" si="328"/>
        <v>0</v>
      </c>
      <c r="AJ469" s="50">
        <f t="shared" ca="1" si="328"/>
        <v>0</v>
      </c>
      <c r="AK469" s="50">
        <f t="shared" ca="1" si="328"/>
        <v>0</v>
      </c>
      <c r="AL469" s="50">
        <f t="shared" si="328"/>
        <v>0</v>
      </c>
      <c r="AM469" s="50">
        <f t="shared" si="328"/>
        <v>0</v>
      </c>
      <c r="AN469" s="50">
        <f t="shared" si="328"/>
        <v>0</v>
      </c>
      <c r="AO469" s="50">
        <f t="shared" si="328"/>
        <v>0</v>
      </c>
      <c r="AP469" s="50">
        <f t="shared" si="328"/>
        <v>0</v>
      </c>
      <c r="AQ469" s="50">
        <f t="shared" si="328"/>
        <v>0</v>
      </c>
      <c r="AR469" s="50">
        <f t="shared" si="328"/>
        <v>0</v>
      </c>
      <c r="AS469" s="50">
        <f t="shared" si="328"/>
        <v>0</v>
      </c>
      <c r="AT469" s="50">
        <f t="shared" si="328"/>
        <v>0</v>
      </c>
      <c r="AU469" s="50">
        <f t="shared" si="328"/>
        <v>0</v>
      </c>
    </row>
    <row r="470" spans="1:47">
      <c r="A470" s="38" t="str">
        <f t="shared" si="327"/>
        <v>Custom-</v>
      </c>
      <c r="B470" s="38" t="s">
        <v>270</v>
      </c>
      <c r="C470" s="38" t="str">
        <f>C469</f>
        <v>Land Disposal</v>
      </c>
      <c r="D470" s="186">
        <f>OMEsc</f>
        <v>0.02</v>
      </c>
      <c r="E470" s="325"/>
      <c r="G470" s="36" t="s">
        <v>126</v>
      </c>
      <c r="I470" s="39"/>
      <c r="K470" s="39"/>
      <c r="L470" s="43" t="str">
        <f>"["&amp;CostBaseYr&amp;" $]"</f>
        <v>[2013 $]</v>
      </c>
      <c r="N470" s="70">
        <f ca="1">IF(VLOOKUP($C470,$G$69:$J$87,4,FALSE)="Off",0,SUMIFS(OFFSET(Assumptions!$I$90,0,MATCH($A470,Configurations,0)-1,COUNT(Assumptions!$A$90:$A$183),1),Assumptions!$D$90:$D$183,$B470&amp;$C470))</f>
        <v>0</v>
      </c>
      <c r="O470" s="313"/>
      <c r="P470" s="323"/>
      <c r="Q470" s="313"/>
      <c r="R470" s="50">
        <f t="shared" ref="R470:AG472" ca="1" si="329">IF(OR(R$99&lt;InServiceYr,R$99&gt;(InServiceYr+analysis_period-1)),0,IF($P470=0,$N470,$P470)*(1+$D470)^(R$99-CostBaseYr))</f>
        <v>0</v>
      </c>
      <c r="S470" s="50">
        <f t="shared" ca="1" si="329"/>
        <v>0</v>
      </c>
      <c r="T470" s="50">
        <f t="shared" ca="1" si="329"/>
        <v>0</v>
      </c>
      <c r="U470" s="50">
        <f t="shared" ca="1" si="329"/>
        <v>0</v>
      </c>
      <c r="V470" s="50">
        <f t="shared" ca="1" si="329"/>
        <v>0</v>
      </c>
      <c r="W470" s="50">
        <f t="shared" ca="1" si="329"/>
        <v>0</v>
      </c>
      <c r="X470" s="50">
        <f t="shared" ca="1" si="329"/>
        <v>0</v>
      </c>
      <c r="Y470" s="50">
        <f t="shared" ca="1" si="329"/>
        <v>0</v>
      </c>
      <c r="Z470" s="50">
        <f t="shared" ca="1" si="329"/>
        <v>0</v>
      </c>
      <c r="AA470" s="50">
        <f t="shared" ca="1" si="329"/>
        <v>0</v>
      </c>
      <c r="AB470" s="50">
        <f t="shared" ca="1" si="329"/>
        <v>0</v>
      </c>
      <c r="AC470" s="50">
        <f t="shared" ca="1" si="329"/>
        <v>0</v>
      </c>
      <c r="AD470" s="50">
        <f t="shared" ca="1" si="329"/>
        <v>0</v>
      </c>
      <c r="AE470" s="50">
        <f t="shared" ca="1" si="329"/>
        <v>0</v>
      </c>
      <c r="AF470" s="50">
        <f t="shared" ca="1" si="329"/>
        <v>0</v>
      </c>
      <c r="AG470" s="50">
        <f t="shared" ca="1" si="329"/>
        <v>0</v>
      </c>
      <c r="AH470" s="50">
        <f t="shared" ref="S470:AU472" ca="1" si="330">IF(OR(AH$99&lt;InServiceYr,AH$99&gt;(InServiceYr+analysis_period-1)),0,IF($P470=0,$N470,$P470)*(1+$D470)^(AH$99-CostBaseYr))</f>
        <v>0</v>
      </c>
      <c r="AI470" s="50">
        <f t="shared" ca="1" si="330"/>
        <v>0</v>
      </c>
      <c r="AJ470" s="50">
        <f t="shared" ca="1" si="330"/>
        <v>0</v>
      </c>
      <c r="AK470" s="50">
        <f t="shared" ca="1" si="330"/>
        <v>0</v>
      </c>
      <c r="AL470" s="50">
        <f t="shared" si="330"/>
        <v>0</v>
      </c>
      <c r="AM470" s="50">
        <f t="shared" si="330"/>
        <v>0</v>
      </c>
      <c r="AN470" s="50">
        <f t="shared" si="330"/>
        <v>0</v>
      </c>
      <c r="AO470" s="50">
        <f t="shared" si="330"/>
        <v>0</v>
      </c>
      <c r="AP470" s="50">
        <f t="shared" si="330"/>
        <v>0</v>
      </c>
      <c r="AQ470" s="50">
        <f t="shared" si="330"/>
        <v>0</v>
      </c>
      <c r="AR470" s="50">
        <f t="shared" si="330"/>
        <v>0</v>
      </c>
      <c r="AS470" s="50">
        <f t="shared" si="330"/>
        <v>0</v>
      </c>
      <c r="AT470" s="50">
        <f t="shared" si="330"/>
        <v>0</v>
      </c>
      <c r="AU470" s="50">
        <f t="shared" si="330"/>
        <v>0</v>
      </c>
    </row>
    <row r="471" spans="1:47">
      <c r="A471" s="38" t="str">
        <f t="shared" si="327"/>
        <v>Custom-</v>
      </c>
      <c r="B471" s="38" t="s">
        <v>263</v>
      </c>
      <c r="C471" s="38" t="str">
        <f t="shared" ref="C471:C475" si="331">C470</f>
        <v>Land Disposal</v>
      </c>
      <c r="D471" s="186">
        <f>OMEsc</f>
        <v>0.02</v>
      </c>
      <c r="E471" s="325"/>
      <c r="G471" s="36" t="s">
        <v>127</v>
      </c>
      <c r="I471" s="39"/>
      <c r="K471" s="39"/>
      <c r="L471" s="43" t="str">
        <f>"["&amp;CostBaseYr&amp;" $]"</f>
        <v>[2013 $]</v>
      </c>
      <c r="N471" s="70">
        <f ca="1">IF(VLOOKUP($C471,$G$69:$J$87,4,FALSE)="Off",0,SUMIFS(OFFSET(Assumptions!$I$90,0,MATCH($A471,Configurations,0)-1,COUNT(Assumptions!$A$90:$A$183),1),Assumptions!$D$90:$D$183,$B471&amp;$C471))</f>
        <v>0</v>
      </c>
      <c r="O471" s="313"/>
      <c r="P471" s="323"/>
      <c r="Q471" s="313"/>
      <c r="R471" s="50">
        <f t="shared" ca="1" si="329"/>
        <v>0</v>
      </c>
      <c r="S471" s="50">
        <f t="shared" ca="1" si="330"/>
        <v>0</v>
      </c>
      <c r="T471" s="50">
        <f t="shared" ca="1" si="330"/>
        <v>0</v>
      </c>
      <c r="U471" s="50">
        <f t="shared" ca="1" si="330"/>
        <v>0</v>
      </c>
      <c r="V471" s="50">
        <f t="shared" ca="1" si="330"/>
        <v>0</v>
      </c>
      <c r="W471" s="50">
        <f t="shared" ca="1" si="330"/>
        <v>0</v>
      </c>
      <c r="X471" s="50">
        <f t="shared" ca="1" si="330"/>
        <v>0</v>
      </c>
      <c r="Y471" s="50">
        <f t="shared" ca="1" si="330"/>
        <v>0</v>
      </c>
      <c r="Z471" s="50">
        <f t="shared" ca="1" si="330"/>
        <v>0</v>
      </c>
      <c r="AA471" s="50">
        <f t="shared" ca="1" si="330"/>
        <v>0</v>
      </c>
      <c r="AB471" s="50">
        <f t="shared" ca="1" si="330"/>
        <v>0</v>
      </c>
      <c r="AC471" s="50">
        <f t="shared" ca="1" si="330"/>
        <v>0</v>
      </c>
      <c r="AD471" s="50">
        <f t="shared" ca="1" si="330"/>
        <v>0</v>
      </c>
      <c r="AE471" s="50">
        <f t="shared" ca="1" si="330"/>
        <v>0</v>
      </c>
      <c r="AF471" s="50">
        <f t="shared" ca="1" si="330"/>
        <v>0</v>
      </c>
      <c r="AG471" s="50">
        <f t="shared" ca="1" si="330"/>
        <v>0</v>
      </c>
      <c r="AH471" s="50">
        <f t="shared" ca="1" si="330"/>
        <v>0</v>
      </c>
      <c r="AI471" s="50">
        <f t="shared" ca="1" si="330"/>
        <v>0</v>
      </c>
      <c r="AJ471" s="50">
        <f t="shared" ca="1" si="330"/>
        <v>0</v>
      </c>
      <c r="AK471" s="50">
        <f t="shared" ca="1" si="330"/>
        <v>0</v>
      </c>
      <c r="AL471" s="50">
        <f t="shared" si="330"/>
        <v>0</v>
      </c>
      <c r="AM471" s="50">
        <f t="shared" si="330"/>
        <v>0</v>
      </c>
      <c r="AN471" s="50">
        <f t="shared" si="330"/>
        <v>0</v>
      </c>
      <c r="AO471" s="50">
        <f t="shared" si="330"/>
        <v>0</v>
      </c>
      <c r="AP471" s="50">
        <f t="shared" si="330"/>
        <v>0</v>
      </c>
      <c r="AQ471" s="50">
        <f t="shared" si="330"/>
        <v>0</v>
      </c>
      <c r="AR471" s="50">
        <f t="shared" si="330"/>
        <v>0</v>
      </c>
      <c r="AS471" s="50">
        <f t="shared" si="330"/>
        <v>0</v>
      </c>
      <c r="AT471" s="50">
        <f t="shared" si="330"/>
        <v>0</v>
      </c>
      <c r="AU471" s="50">
        <f t="shared" si="330"/>
        <v>0</v>
      </c>
    </row>
    <row r="472" spans="1:47">
      <c r="A472" s="38" t="str">
        <f t="shared" si="327"/>
        <v>Custom-</v>
      </c>
      <c r="B472" s="38" t="s">
        <v>277</v>
      </c>
      <c r="C472" s="38" t="str">
        <f t="shared" si="331"/>
        <v>Land Disposal</v>
      </c>
      <c r="D472" s="186">
        <f>OMEsc</f>
        <v>0.02</v>
      </c>
      <c r="E472" s="325"/>
      <c r="G472" s="36" t="s">
        <v>276</v>
      </c>
      <c r="I472" s="39"/>
      <c r="K472" s="39"/>
      <c r="L472" s="43" t="str">
        <f>"["&amp;CostBaseYr&amp;" $]"</f>
        <v>[2013 $]</v>
      </c>
      <c r="N472" s="70">
        <f ca="1">IF(VLOOKUP($C472,$G$69:$J$87,4,FALSE)="Off",0,SUMIFS(OFFSET(Assumptions!$I$90,0,MATCH($A472,Configurations,0)-1,COUNT(Assumptions!$A$90:$A$183),1),Assumptions!$D$90:$D$183,$B472&amp;$C472))</f>
        <v>0</v>
      </c>
      <c r="O472" s="313"/>
      <c r="P472" s="323"/>
      <c r="Q472" s="313"/>
      <c r="R472" s="50">
        <f t="shared" ca="1" si="329"/>
        <v>0</v>
      </c>
      <c r="S472" s="50">
        <f t="shared" ca="1" si="330"/>
        <v>0</v>
      </c>
      <c r="T472" s="50">
        <f t="shared" ca="1" si="330"/>
        <v>0</v>
      </c>
      <c r="U472" s="50">
        <f t="shared" ca="1" si="330"/>
        <v>0</v>
      </c>
      <c r="V472" s="50">
        <f t="shared" ca="1" si="330"/>
        <v>0</v>
      </c>
      <c r="W472" s="50">
        <f t="shared" ca="1" si="330"/>
        <v>0</v>
      </c>
      <c r="X472" s="50">
        <f t="shared" ca="1" si="330"/>
        <v>0</v>
      </c>
      <c r="Y472" s="50">
        <f t="shared" ca="1" si="330"/>
        <v>0</v>
      </c>
      <c r="Z472" s="50">
        <f t="shared" ca="1" si="330"/>
        <v>0</v>
      </c>
      <c r="AA472" s="50">
        <f t="shared" ca="1" si="330"/>
        <v>0</v>
      </c>
      <c r="AB472" s="50">
        <f t="shared" ca="1" si="330"/>
        <v>0</v>
      </c>
      <c r="AC472" s="50">
        <f t="shared" ca="1" si="330"/>
        <v>0</v>
      </c>
      <c r="AD472" s="50">
        <f t="shared" ca="1" si="330"/>
        <v>0</v>
      </c>
      <c r="AE472" s="50">
        <f t="shared" ca="1" si="330"/>
        <v>0</v>
      </c>
      <c r="AF472" s="50">
        <f t="shared" ca="1" si="330"/>
        <v>0</v>
      </c>
      <c r="AG472" s="50">
        <f t="shared" ca="1" si="330"/>
        <v>0</v>
      </c>
      <c r="AH472" s="50">
        <f t="shared" ca="1" si="330"/>
        <v>0</v>
      </c>
      <c r="AI472" s="50">
        <f t="shared" ca="1" si="330"/>
        <v>0</v>
      </c>
      <c r="AJ472" s="50">
        <f t="shared" ca="1" si="330"/>
        <v>0</v>
      </c>
      <c r="AK472" s="50">
        <f t="shared" ca="1" si="330"/>
        <v>0</v>
      </c>
      <c r="AL472" s="50">
        <f t="shared" si="330"/>
        <v>0</v>
      </c>
      <c r="AM472" s="50">
        <f t="shared" si="330"/>
        <v>0</v>
      </c>
      <c r="AN472" s="50">
        <f t="shared" si="330"/>
        <v>0</v>
      </c>
      <c r="AO472" s="50">
        <f t="shared" si="330"/>
        <v>0</v>
      </c>
      <c r="AP472" s="50">
        <f t="shared" si="330"/>
        <v>0</v>
      </c>
      <c r="AQ472" s="50">
        <f t="shared" si="330"/>
        <v>0</v>
      </c>
      <c r="AR472" s="50">
        <f t="shared" si="330"/>
        <v>0</v>
      </c>
      <c r="AS472" s="50">
        <f t="shared" si="330"/>
        <v>0</v>
      </c>
      <c r="AT472" s="50">
        <f t="shared" si="330"/>
        <v>0</v>
      </c>
      <c r="AU472" s="50">
        <f t="shared" si="330"/>
        <v>0</v>
      </c>
    </row>
    <row r="473" spans="1:47">
      <c r="A473" s="38" t="str">
        <f t="shared" si="327"/>
        <v>Custom-</v>
      </c>
      <c r="B473" s="38" t="s">
        <v>274</v>
      </c>
      <c r="C473" s="38" t="str">
        <f t="shared" si="331"/>
        <v>Land Disposal</v>
      </c>
      <c r="D473" s="186"/>
      <c r="E473" s="325"/>
      <c r="G473" s="36" t="s">
        <v>16</v>
      </c>
      <c r="I473" s="39"/>
      <c r="K473" s="39"/>
      <c r="L473" s="43" t="s">
        <v>275</v>
      </c>
      <c r="N473" s="70">
        <f ca="1">IF(VLOOKUP($C473,$G$69:$J$87,4,FALSE)="Off",0,SUMIFS(OFFSET(Assumptions!$I$90,0,MATCH($A473,Configurations,0)-1,COUNT(Assumptions!$A$90:$A$183),1),Assumptions!$D$90:$D$183,$B473&amp;$C473))</f>
        <v>0</v>
      </c>
      <c r="O473" s="313"/>
      <c r="P473" s="323"/>
      <c r="Q473" s="313"/>
      <c r="R473" s="50">
        <f t="shared" ref="R473:AU473" ca="1" si="332">IF(OR(R$99&lt;InServiceYr,R$99&gt;(InServiceYr+analysis_period-1)),0,IF($P473=0,$N473,$P473)*R$505)</f>
        <v>0</v>
      </c>
      <c r="S473" s="50">
        <f t="shared" ca="1" si="332"/>
        <v>0</v>
      </c>
      <c r="T473" s="50">
        <f t="shared" ca="1" si="332"/>
        <v>0</v>
      </c>
      <c r="U473" s="50">
        <f t="shared" ca="1" si="332"/>
        <v>0</v>
      </c>
      <c r="V473" s="50">
        <f t="shared" ca="1" si="332"/>
        <v>0</v>
      </c>
      <c r="W473" s="50">
        <f t="shared" ca="1" si="332"/>
        <v>0</v>
      </c>
      <c r="X473" s="50">
        <f t="shared" ca="1" si="332"/>
        <v>0</v>
      </c>
      <c r="Y473" s="50">
        <f t="shared" ca="1" si="332"/>
        <v>0</v>
      </c>
      <c r="Z473" s="50">
        <f t="shared" ca="1" si="332"/>
        <v>0</v>
      </c>
      <c r="AA473" s="50">
        <f t="shared" ca="1" si="332"/>
        <v>0</v>
      </c>
      <c r="AB473" s="50">
        <f t="shared" ca="1" si="332"/>
        <v>0</v>
      </c>
      <c r="AC473" s="50">
        <f t="shared" ca="1" si="332"/>
        <v>0</v>
      </c>
      <c r="AD473" s="50">
        <f t="shared" ca="1" si="332"/>
        <v>0</v>
      </c>
      <c r="AE473" s="50">
        <f t="shared" ca="1" si="332"/>
        <v>0</v>
      </c>
      <c r="AF473" s="50">
        <f t="shared" ca="1" si="332"/>
        <v>0</v>
      </c>
      <c r="AG473" s="50">
        <f t="shared" ca="1" si="332"/>
        <v>0</v>
      </c>
      <c r="AH473" s="50">
        <f t="shared" ca="1" si="332"/>
        <v>0</v>
      </c>
      <c r="AI473" s="50">
        <f t="shared" ca="1" si="332"/>
        <v>0</v>
      </c>
      <c r="AJ473" s="50">
        <f t="shared" ca="1" si="332"/>
        <v>0</v>
      </c>
      <c r="AK473" s="50">
        <f t="shared" ca="1" si="332"/>
        <v>0</v>
      </c>
      <c r="AL473" s="50">
        <f t="shared" si="332"/>
        <v>0</v>
      </c>
      <c r="AM473" s="50">
        <f t="shared" si="332"/>
        <v>0</v>
      </c>
      <c r="AN473" s="50">
        <f t="shared" si="332"/>
        <v>0</v>
      </c>
      <c r="AO473" s="50">
        <f t="shared" si="332"/>
        <v>0</v>
      </c>
      <c r="AP473" s="50">
        <f t="shared" si="332"/>
        <v>0</v>
      </c>
      <c r="AQ473" s="50">
        <f t="shared" si="332"/>
        <v>0</v>
      </c>
      <c r="AR473" s="50">
        <f t="shared" si="332"/>
        <v>0</v>
      </c>
      <c r="AS473" s="50">
        <f t="shared" si="332"/>
        <v>0</v>
      </c>
      <c r="AT473" s="50">
        <f t="shared" si="332"/>
        <v>0</v>
      </c>
      <c r="AU473" s="50">
        <f t="shared" si="332"/>
        <v>0</v>
      </c>
    </row>
    <row r="474" spans="1:47">
      <c r="A474" s="38" t="str">
        <f t="shared" si="327"/>
        <v>Custom-</v>
      </c>
      <c r="B474" s="38" t="s">
        <v>257</v>
      </c>
      <c r="C474" s="38" t="str">
        <f t="shared" si="331"/>
        <v>Land Disposal</v>
      </c>
      <c r="D474" s="186"/>
      <c r="E474" s="325"/>
      <c r="G474" s="36" t="s">
        <v>284</v>
      </c>
      <c r="I474" s="39"/>
      <c r="K474" s="39"/>
      <c r="L474" s="43" t="s">
        <v>293</v>
      </c>
      <c r="N474" s="70">
        <f ca="1">IF(VLOOKUP($C474,$G$69:$J$87,4,FALSE)="Off",0,SUMIFS(OFFSET(Assumptions!$I$90,0,MATCH($A474,Configurations,0)-1,COUNT(Assumptions!$A$90:$A$183),1),Assumptions!$D$90:$D$183,$B474&amp;$C474))</f>
        <v>0</v>
      </c>
      <c r="O474" s="313"/>
      <c r="P474" s="323"/>
      <c r="Q474" s="313"/>
      <c r="R474" s="50">
        <f t="shared" ref="R474:AU474" ca="1" si="333">IF(OR(R$99&lt;InServiceYr,R$99&gt;(InServiceYr+analysis_period-1)),0,IF($P474=0,$N474,$P474)*R$501)</f>
        <v>0</v>
      </c>
      <c r="S474" s="50">
        <f t="shared" ca="1" si="333"/>
        <v>0</v>
      </c>
      <c r="T474" s="50">
        <f t="shared" ca="1" si="333"/>
        <v>0</v>
      </c>
      <c r="U474" s="50">
        <f t="shared" ca="1" si="333"/>
        <v>0</v>
      </c>
      <c r="V474" s="50">
        <f t="shared" ca="1" si="333"/>
        <v>0</v>
      </c>
      <c r="W474" s="50">
        <f t="shared" ca="1" si="333"/>
        <v>0</v>
      </c>
      <c r="X474" s="50">
        <f t="shared" ca="1" si="333"/>
        <v>0</v>
      </c>
      <c r="Y474" s="50">
        <f t="shared" ca="1" si="333"/>
        <v>0</v>
      </c>
      <c r="Z474" s="50">
        <f t="shared" ca="1" si="333"/>
        <v>0</v>
      </c>
      <c r="AA474" s="50">
        <f t="shared" ca="1" si="333"/>
        <v>0</v>
      </c>
      <c r="AB474" s="50">
        <f t="shared" ca="1" si="333"/>
        <v>0</v>
      </c>
      <c r="AC474" s="50">
        <f t="shared" ca="1" si="333"/>
        <v>0</v>
      </c>
      <c r="AD474" s="50">
        <f t="shared" ca="1" si="333"/>
        <v>0</v>
      </c>
      <c r="AE474" s="50">
        <f t="shared" ca="1" si="333"/>
        <v>0</v>
      </c>
      <c r="AF474" s="50">
        <f t="shared" ca="1" si="333"/>
        <v>0</v>
      </c>
      <c r="AG474" s="50">
        <f t="shared" ca="1" si="333"/>
        <v>0</v>
      </c>
      <c r="AH474" s="50">
        <f t="shared" ca="1" si="333"/>
        <v>0</v>
      </c>
      <c r="AI474" s="50">
        <f t="shared" ca="1" si="333"/>
        <v>0</v>
      </c>
      <c r="AJ474" s="50">
        <f t="shared" ca="1" si="333"/>
        <v>0</v>
      </c>
      <c r="AK474" s="50">
        <f t="shared" ca="1" si="333"/>
        <v>0</v>
      </c>
      <c r="AL474" s="50">
        <f t="shared" si="333"/>
        <v>0</v>
      </c>
      <c r="AM474" s="50">
        <f t="shared" si="333"/>
        <v>0</v>
      </c>
      <c r="AN474" s="50">
        <f t="shared" si="333"/>
        <v>0</v>
      </c>
      <c r="AO474" s="50">
        <f t="shared" si="333"/>
        <v>0</v>
      </c>
      <c r="AP474" s="50">
        <f t="shared" si="333"/>
        <v>0</v>
      </c>
      <c r="AQ474" s="50">
        <f t="shared" si="333"/>
        <v>0</v>
      </c>
      <c r="AR474" s="50">
        <f t="shared" si="333"/>
        <v>0</v>
      </c>
      <c r="AS474" s="50">
        <f t="shared" si="333"/>
        <v>0</v>
      </c>
      <c r="AT474" s="50">
        <f t="shared" si="333"/>
        <v>0</v>
      </c>
      <c r="AU474" s="50">
        <f t="shared" si="333"/>
        <v>0</v>
      </c>
    </row>
    <row r="475" spans="1:47">
      <c r="A475" s="38" t="str">
        <f t="shared" si="327"/>
        <v>Custom-</v>
      </c>
      <c r="B475" s="38" t="s">
        <v>864</v>
      </c>
      <c r="C475" s="38" t="str">
        <f t="shared" si="331"/>
        <v>Land Disposal</v>
      </c>
      <c r="D475" s="186">
        <f>GHGEsc</f>
        <v>0.02</v>
      </c>
      <c r="E475" s="325"/>
      <c r="G475" s="36" t="s">
        <v>865</v>
      </c>
      <c r="I475" s="39"/>
      <c r="K475" s="39"/>
      <c r="L475" s="43" t="s">
        <v>866</v>
      </c>
      <c r="N475" s="70">
        <f ca="1">IF(VLOOKUP($C475,$G$69:$J$87,4,FALSE)="Off",0,SUMIFS(OFFSET(Assumptions!$I$90,0,MATCH($A475,Configurations,0)-1,COUNT(Assumptions!$A$90:$A$183),1),Assumptions!$D$90:$D$183,$B475&amp;$C475))</f>
        <v>0</v>
      </c>
      <c r="O475" s="313"/>
      <c r="P475" s="323"/>
      <c r="Q475" s="313"/>
      <c r="R475" s="50">
        <f t="shared" ref="R475:AU475" ca="1" si="334">IF(OR(R$99&lt;InServiceYr,R$99&gt;(InServiceYr+analysis_period-1)),0,IF($P475=0,$N475,$P475)*R$513)</f>
        <v>0</v>
      </c>
      <c r="S475" s="50">
        <f t="shared" ca="1" si="334"/>
        <v>0</v>
      </c>
      <c r="T475" s="50">
        <f t="shared" ca="1" si="334"/>
        <v>0</v>
      </c>
      <c r="U475" s="50">
        <f t="shared" ca="1" si="334"/>
        <v>0</v>
      </c>
      <c r="V475" s="50">
        <f t="shared" ca="1" si="334"/>
        <v>0</v>
      </c>
      <c r="W475" s="50">
        <f t="shared" ca="1" si="334"/>
        <v>0</v>
      </c>
      <c r="X475" s="50">
        <f t="shared" ca="1" si="334"/>
        <v>0</v>
      </c>
      <c r="Y475" s="50">
        <f t="shared" ca="1" si="334"/>
        <v>0</v>
      </c>
      <c r="Z475" s="50">
        <f t="shared" ca="1" si="334"/>
        <v>0</v>
      </c>
      <c r="AA475" s="50">
        <f t="shared" ca="1" si="334"/>
        <v>0</v>
      </c>
      <c r="AB475" s="50">
        <f t="shared" ca="1" si="334"/>
        <v>0</v>
      </c>
      <c r="AC475" s="50">
        <f t="shared" ca="1" si="334"/>
        <v>0</v>
      </c>
      <c r="AD475" s="50">
        <f t="shared" ca="1" si="334"/>
        <v>0</v>
      </c>
      <c r="AE475" s="50">
        <f t="shared" ca="1" si="334"/>
        <v>0</v>
      </c>
      <c r="AF475" s="50">
        <f t="shared" ca="1" si="334"/>
        <v>0</v>
      </c>
      <c r="AG475" s="50">
        <f t="shared" ca="1" si="334"/>
        <v>0</v>
      </c>
      <c r="AH475" s="50">
        <f t="shared" ca="1" si="334"/>
        <v>0</v>
      </c>
      <c r="AI475" s="50">
        <f t="shared" ca="1" si="334"/>
        <v>0</v>
      </c>
      <c r="AJ475" s="50">
        <f t="shared" ca="1" si="334"/>
        <v>0</v>
      </c>
      <c r="AK475" s="50">
        <f t="shared" ca="1" si="334"/>
        <v>0</v>
      </c>
      <c r="AL475" s="50">
        <f t="shared" si="334"/>
        <v>0</v>
      </c>
      <c r="AM475" s="50">
        <f t="shared" si="334"/>
        <v>0</v>
      </c>
      <c r="AN475" s="50">
        <f t="shared" si="334"/>
        <v>0</v>
      </c>
      <c r="AO475" s="50">
        <f t="shared" si="334"/>
        <v>0</v>
      </c>
      <c r="AP475" s="50">
        <f t="shared" si="334"/>
        <v>0</v>
      </c>
      <c r="AQ475" s="50">
        <f t="shared" si="334"/>
        <v>0</v>
      </c>
      <c r="AR475" s="50">
        <f t="shared" si="334"/>
        <v>0</v>
      </c>
      <c r="AS475" s="50">
        <f t="shared" si="334"/>
        <v>0</v>
      </c>
      <c r="AT475" s="50">
        <f t="shared" si="334"/>
        <v>0</v>
      </c>
      <c r="AU475" s="50">
        <f t="shared" si="334"/>
        <v>0</v>
      </c>
    </row>
    <row r="476" spans="1:47">
      <c r="A476" s="38" t="str">
        <f t="shared" si="327"/>
        <v>Custom-</v>
      </c>
      <c r="B476" s="38" t="s">
        <v>273</v>
      </c>
      <c r="C476" s="38" t="str">
        <f>C474</f>
        <v>Land Disposal</v>
      </c>
      <c r="D476" s="186">
        <f>LaborEsc</f>
        <v>0.02</v>
      </c>
      <c r="E476" s="325"/>
      <c r="G476" s="36" t="s">
        <v>291</v>
      </c>
      <c r="I476" s="39"/>
      <c r="K476" s="39"/>
      <c r="L476" s="43" t="str">
        <f>"["&amp;CostBaseYr&amp;" $]"</f>
        <v>[2013 $]</v>
      </c>
      <c r="N476" s="70">
        <f ca="1">IF(VLOOKUP($C476,$G$69:$J$87,4,FALSE)="Off",0,SUMIFS(OFFSET(Assumptions!$I$90,0,MATCH($A476,Configurations,0)-1,COUNT(Assumptions!$A$90:$A$183),1),Assumptions!$D$90:$D$183,$B476&amp;$C476))</f>
        <v>0</v>
      </c>
      <c r="O476" s="313"/>
      <c r="P476" s="323"/>
      <c r="Q476" s="313"/>
      <c r="R476" s="50">
        <f t="shared" ref="R476:AU476" ca="1" si="335">IF(OR(R$99&lt;InServiceYr,R$99&gt;(InServiceYr+analysis_period-1)),0,IF($P476=0,$N476,$P476)*(1+$D476)^(R$99-CostBaseYr))*R$509</f>
        <v>0</v>
      </c>
      <c r="S476" s="50">
        <f t="shared" ca="1" si="335"/>
        <v>0</v>
      </c>
      <c r="T476" s="50">
        <f t="shared" ca="1" si="335"/>
        <v>0</v>
      </c>
      <c r="U476" s="50">
        <f t="shared" ca="1" si="335"/>
        <v>0</v>
      </c>
      <c r="V476" s="50">
        <f t="shared" ca="1" si="335"/>
        <v>0</v>
      </c>
      <c r="W476" s="50">
        <f t="shared" ca="1" si="335"/>
        <v>0</v>
      </c>
      <c r="X476" s="50">
        <f t="shared" ca="1" si="335"/>
        <v>0</v>
      </c>
      <c r="Y476" s="50">
        <f t="shared" ca="1" si="335"/>
        <v>0</v>
      </c>
      <c r="Z476" s="50">
        <f t="shared" ca="1" si="335"/>
        <v>0</v>
      </c>
      <c r="AA476" s="50">
        <f t="shared" ca="1" si="335"/>
        <v>0</v>
      </c>
      <c r="AB476" s="50">
        <f t="shared" ca="1" si="335"/>
        <v>0</v>
      </c>
      <c r="AC476" s="50">
        <f t="shared" ca="1" si="335"/>
        <v>0</v>
      </c>
      <c r="AD476" s="50">
        <f t="shared" ca="1" si="335"/>
        <v>0</v>
      </c>
      <c r="AE476" s="50">
        <f t="shared" ca="1" si="335"/>
        <v>0</v>
      </c>
      <c r="AF476" s="50">
        <f t="shared" ca="1" si="335"/>
        <v>0</v>
      </c>
      <c r="AG476" s="50">
        <f t="shared" ca="1" si="335"/>
        <v>0</v>
      </c>
      <c r="AH476" s="50">
        <f t="shared" ca="1" si="335"/>
        <v>0</v>
      </c>
      <c r="AI476" s="50">
        <f t="shared" ca="1" si="335"/>
        <v>0</v>
      </c>
      <c r="AJ476" s="50">
        <f t="shared" ca="1" si="335"/>
        <v>0</v>
      </c>
      <c r="AK476" s="50">
        <f t="shared" ca="1" si="335"/>
        <v>0</v>
      </c>
      <c r="AL476" s="50">
        <f t="shared" si="335"/>
        <v>0</v>
      </c>
      <c r="AM476" s="50">
        <f t="shared" si="335"/>
        <v>0</v>
      </c>
      <c r="AN476" s="50">
        <f t="shared" si="335"/>
        <v>0</v>
      </c>
      <c r="AO476" s="50">
        <f t="shared" si="335"/>
        <v>0</v>
      </c>
      <c r="AP476" s="50">
        <f t="shared" si="335"/>
        <v>0</v>
      </c>
      <c r="AQ476" s="50">
        <f t="shared" si="335"/>
        <v>0</v>
      </c>
      <c r="AR476" s="50">
        <f t="shared" si="335"/>
        <v>0</v>
      </c>
      <c r="AS476" s="50">
        <f t="shared" si="335"/>
        <v>0</v>
      </c>
      <c r="AT476" s="50">
        <f t="shared" si="335"/>
        <v>0</v>
      </c>
      <c r="AU476" s="50">
        <f t="shared" si="335"/>
        <v>0</v>
      </c>
    </row>
    <row r="477" spans="1:47">
      <c r="D477" s="186"/>
      <c r="E477" s="325"/>
      <c r="G477" s="39" t="s">
        <v>304</v>
      </c>
      <c r="I477" s="39"/>
      <c r="K477" s="39"/>
      <c r="L477" s="43"/>
      <c r="N477" s="70"/>
      <c r="O477" s="313"/>
      <c r="P477" s="70"/>
      <c r="Q477" s="313"/>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row>
    <row r="478" spans="1:47">
      <c r="A478" s="38" t="str">
        <f>$J$4&amp;"-"</f>
        <v>Custom-</v>
      </c>
      <c r="B478" s="38" t="s">
        <v>265</v>
      </c>
      <c r="C478" s="38" t="str">
        <f>C469</f>
        <v>Land Disposal</v>
      </c>
      <c r="D478" s="186"/>
      <c r="E478" s="325"/>
      <c r="G478" s="36" t="s">
        <v>108</v>
      </c>
      <c r="I478" s="39"/>
      <c r="K478" s="39"/>
      <c r="L478" s="43" t="s">
        <v>293</v>
      </c>
      <c r="N478" s="70">
        <f ca="1">IF(VLOOKUP($C478,$G$69:$J$87,4,FALSE)="Off",0,SUMIFS(OFFSET(Assumptions!$I$90,0,MATCH($A478,Configurations,0)-1,COUNT(Assumptions!$A$90:$A$183),1),Assumptions!$D$90:$D$183,$B478&amp;$C478))</f>
        <v>0</v>
      </c>
      <c r="O478" s="313"/>
      <c r="P478" s="323"/>
      <c r="Q478" s="313"/>
      <c r="R478" s="50">
        <f t="shared" ref="R478:AU478" ca="1" si="336">IF(OR(R$99&lt;InServiceYr,R$99&gt;(InServiceYr+analysis_period-1)),0,IF($P478=0,$N478,$P478)*R$501)</f>
        <v>0</v>
      </c>
      <c r="S478" s="50">
        <f t="shared" ca="1" si="336"/>
        <v>0</v>
      </c>
      <c r="T478" s="50">
        <f t="shared" ca="1" si="336"/>
        <v>0</v>
      </c>
      <c r="U478" s="50">
        <f t="shared" ca="1" si="336"/>
        <v>0</v>
      </c>
      <c r="V478" s="50">
        <f t="shared" ca="1" si="336"/>
        <v>0</v>
      </c>
      <c r="W478" s="50">
        <f t="shared" ca="1" si="336"/>
        <v>0</v>
      </c>
      <c r="X478" s="50">
        <f t="shared" ca="1" si="336"/>
        <v>0</v>
      </c>
      <c r="Y478" s="50">
        <f t="shared" ca="1" si="336"/>
        <v>0</v>
      </c>
      <c r="Z478" s="50">
        <f t="shared" ca="1" si="336"/>
        <v>0</v>
      </c>
      <c r="AA478" s="50">
        <f t="shared" ca="1" si="336"/>
        <v>0</v>
      </c>
      <c r="AB478" s="50">
        <f t="shared" ca="1" si="336"/>
        <v>0</v>
      </c>
      <c r="AC478" s="50">
        <f t="shared" ca="1" si="336"/>
        <v>0</v>
      </c>
      <c r="AD478" s="50">
        <f t="shared" ca="1" si="336"/>
        <v>0</v>
      </c>
      <c r="AE478" s="50">
        <f t="shared" ca="1" si="336"/>
        <v>0</v>
      </c>
      <c r="AF478" s="50">
        <f t="shared" ca="1" si="336"/>
        <v>0</v>
      </c>
      <c r="AG478" s="50">
        <f t="shared" ca="1" si="336"/>
        <v>0</v>
      </c>
      <c r="AH478" s="50">
        <f t="shared" ca="1" si="336"/>
        <v>0</v>
      </c>
      <c r="AI478" s="50">
        <f t="shared" ca="1" si="336"/>
        <v>0</v>
      </c>
      <c r="AJ478" s="50">
        <f t="shared" ca="1" si="336"/>
        <v>0</v>
      </c>
      <c r="AK478" s="50">
        <f t="shared" ca="1" si="336"/>
        <v>0</v>
      </c>
      <c r="AL478" s="50">
        <f t="shared" si="336"/>
        <v>0</v>
      </c>
      <c r="AM478" s="50">
        <f t="shared" si="336"/>
        <v>0</v>
      </c>
      <c r="AN478" s="50">
        <f t="shared" si="336"/>
        <v>0</v>
      </c>
      <c r="AO478" s="50">
        <f t="shared" si="336"/>
        <v>0</v>
      </c>
      <c r="AP478" s="50">
        <f t="shared" si="336"/>
        <v>0</v>
      </c>
      <c r="AQ478" s="50">
        <f t="shared" si="336"/>
        <v>0</v>
      </c>
      <c r="AR478" s="50">
        <f t="shared" si="336"/>
        <v>0</v>
      </c>
      <c r="AS478" s="50">
        <f t="shared" si="336"/>
        <v>0</v>
      </c>
      <c r="AT478" s="50">
        <f t="shared" si="336"/>
        <v>0</v>
      </c>
      <c r="AU478" s="50">
        <f t="shared" si="336"/>
        <v>0</v>
      </c>
    </row>
    <row r="479" spans="1:47">
      <c r="A479" s="38" t="str">
        <f>$J$4&amp;"-"</f>
        <v>Custom-</v>
      </c>
      <c r="B479" s="38" t="s">
        <v>289</v>
      </c>
      <c r="C479" s="38" t="str">
        <f>C469</f>
        <v>Land Disposal</v>
      </c>
      <c r="D479" s="186">
        <f>LaborEsc</f>
        <v>0.02</v>
      </c>
      <c r="E479" s="325"/>
      <c r="G479" s="36" t="s">
        <v>292</v>
      </c>
      <c r="I479" s="39"/>
      <c r="K479" s="39"/>
      <c r="L479" s="43" t="str">
        <f>"["&amp;CostBaseYr&amp;" $]"</f>
        <v>[2013 $]</v>
      </c>
      <c r="N479" s="70">
        <f ca="1">IF(VLOOKUP($C479,$G$69:$J$87,4,FALSE)="Off",0,SUMIFS(OFFSET(Assumptions!$I$90,0,MATCH($A479,Configurations,0)-1,COUNT(Assumptions!$A$90:$A$183),1),Assumptions!$D$90:$D$183,$B479&amp;$C479))</f>
        <v>0</v>
      </c>
      <c r="O479" s="313"/>
      <c r="P479" s="323"/>
      <c r="Q479" s="313"/>
      <c r="R479" s="50">
        <f t="shared" ref="R479:AU479" ca="1" si="337">IF(OR(R$99&lt;InServiceYr,R$99&gt;(InServiceYr+analysis_period-1)),0,IF($P479=0,$N479,$P479)*(1+$D479)^(R$99-CostBaseYr))</f>
        <v>0</v>
      </c>
      <c r="S479" s="50">
        <f t="shared" ca="1" si="337"/>
        <v>0</v>
      </c>
      <c r="T479" s="50">
        <f t="shared" ca="1" si="337"/>
        <v>0</v>
      </c>
      <c r="U479" s="50">
        <f t="shared" ca="1" si="337"/>
        <v>0</v>
      </c>
      <c r="V479" s="50">
        <f t="shared" ca="1" si="337"/>
        <v>0</v>
      </c>
      <c r="W479" s="50">
        <f t="shared" ca="1" si="337"/>
        <v>0</v>
      </c>
      <c r="X479" s="50">
        <f t="shared" ca="1" si="337"/>
        <v>0</v>
      </c>
      <c r="Y479" s="50">
        <f t="shared" ca="1" si="337"/>
        <v>0</v>
      </c>
      <c r="Z479" s="50">
        <f t="shared" ca="1" si="337"/>
        <v>0</v>
      </c>
      <c r="AA479" s="50">
        <f t="shared" ca="1" si="337"/>
        <v>0</v>
      </c>
      <c r="AB479" s="50">
        <f t="shared" ca="1" si="337"/>
        <v>0</v>
      </c>
      <c r="AC479" s="50">
        <f t="shared" ca="1" si="337"/>
        <v>0</v>
      </c>
      <c r="AD479" s="50">
        <f t="shared" ca="1" si="337"/>
        <v>0</v>
      </c>
      <c r="AE479" s="50">
        <f t="shared" ca="1" si="337"/>
        <v>0</v>
      </c>
      <c r="AF479" s="50">
        <f t="shared" ca="1" si="337"/>
        <v>0</v>
      </c>
      <c r="AG479" s="50">
        <f t="shared" ca="1" si="337"/>
        <v>0</v>
      </c>
      <c r="AH479" s="50">
        <f t="shared" ca="1" si="337"/>
        <v>0</v>
      </c>
      <c r="AI479" s="50">
        <f t="shared" ca="1" si="337"/>
        <v>0</v>
      </c>
      <c r="AJ479" s="50">
        <f t="shared" ca="1" si="337"/>
        <v>0</v>
      </c>
      <c r="AK479" s="50">
        <f t="shared" ca="1" si="337"/>
        <v>0</v>
      </c>
      <c r="AL479" s="50">
        <f t="shared" si="337"/>
        <v>0</v>
      </c>
      <c r="AM479" s="50">
        <f t="shared" si="337"/>
        <v>0</v>
      </c>
      <c r="AN479" s="50">
        <f t="shared" si="337"/>
        <v>0</v>
      </c>
      <c r="AO479" s="50">
        <f t="shared" si="337"/>
        <v>0</v>
      </c>
      <c r="AP479" s="50">
        <f t="shared" si="337"/>
        <v>0</v>
      </c>
      <c r="AQ479" s="50">
        <f t="shared" si="337"/>
        <v>0</v>
      </c>
      <c r="AR479" s="50">
        <f t="shared" si="337"/>
        <v>0</v>
      </c>
      <c r="AS479" s="50">
        <f t="shared" si="337"/>
        <v>0</v>
      </c>
      <c r="AT479" s="50">
        <f t="shared" si="337"/>
        <v>0</v>
      </c>
      <c r="AU479" s="50">
        <f t="shared" si="337"/>
        <v>0</v>
      </c>
    </row>
    <row r="480" spans="1:47" s="60" customFormat="1">
      <c r="D480" s="187"/>
      <c r="E480" s="325"/>
      <c r="G480" s="39" t="s">
        <v>305</v>
      </c>
      <c r="I480" s="39"/>
      <c r="K480" s="39"/>
      <c r="L480" s="174"/>
      <c r="N480" s="188"/>
      <c r="O480" s="314"/>
      <c r="P480" s="185"/>
      <c r="Q480" s="314"/>
      <c r="R480" s="185">
        <f ca="1">SUM(R469:R476)-SUM(R478:R479)</f>
        <v>0</v>
      </c>
      <c r="S480" s="185">
        <f t="shared" ref="S480:AU480" ca="1" si="338">SUM(S469:S476)-SUM(S478:S479)</f>
        <v>0</v>
      </c>
      <c r="T480" s="185">
        <f t="shared" ca="1" si="338"/>
        <v>0</v>
      </c>
      <c r="U480" s="185">
        <f t="shared" ca="1" si="338"/>
        <v>0</v>
      </c>
      <c r="V480" s="185">
        <f t="shared" ca="1" si="338"/>
        <v>0</v>
      </c>
      <c r="W480" s="185">
        <f t="shared" ca="1" si="338"/>
        <v>0</v>
      </c>
      <c r="X480" s="185">
        <f t="shared" ca="1" si="338"/>
        <v>0</v>
      </c>
      <c r="Y480" s="185">
        <f t="shared" ca="1" si="338"/>
        <v>0</v>
      </c>
      <c r="Z480" s="185">
        <f t="shared" ca="1" si="338"/>
        <v>0</v>
      </c>
      <c r="AA480" s="185">
        <f t="shared" ca="1" si="338"/>
        <v>0</v>
      </c>
      <c r="AB480" s="185">
        <f t="shared" ca="1" si="338"/>
        <v>0</v>
      </c>
      <c r="AC480" s="185">
        <f t="shared" ca="1" si="338"/>
        <v>0</v>
      </c>
      <c r="AD480" s="185">
        <f t="shared" ca="1" si="338"/>
        <v>0</v>
      </c>
      <c r="AE480" s="185">
        <f t="shared" ca="1" si="338"/>
        <v>0</v>
      </c>
      <c r="AF480" s="185">
        <f t="shared" ca="1" si="338"/>
        <v>0</v>
      </c>
      <c r="AG480" s="185">
        <f t="shared" ca="1" si="338"/>
        <v>0</v>
      </c>
      <c r="AH480" s="185">
        <f t="shared" ca="1" si="338"/>
        <v>0</v>
      </c>
      <c r="AI480" s="185">
        <f t="shared" ca="1" si="338"/>
        <v>0</v>
      </c>
      <c r="AJ480" s="185">
        <f t="shared" ca="1" si="338"/>
        <v>0</v>
      </c>
      <c r="AK480" s="185">
        <f t="shared" ca="1" si="338"/>
        <v>0</v>
      </c>
      <c r="AL480" s="185">
        <f t="shared" si="338"/>
        <v>0</v>
      </c>
      <c r="AM480" s="185">
        <f t="shared" si="338"/>
        <v>0</v>
      </c>
      <c r="AN480" s="185">
        <f t="shared" si="338"/>
        <v>0</v>
      </c>
      <c r="AO480" s="185">
        <f t="shared" si="338"/>
        <v>0</v>
      </c>
      <c r="AP480" s="185">
        <f t="shared" si="338"/>
        <v>0</v>
      </c>
      <c r="AQ480" s="185">
        <f t="shared" si="338"/>
        <v>0</v>
      </c>
      <c r="AR480" s="185">
        <f t="shared" si="338"/>
        <v>0</v>
      </c>
      <c r="AS480" s="185">
        <f t="shared" si="338"/>
        <v>0</v>
      </c>
      <c r="AT480" s="185">
        <f t="shared" si="338"/>
        <v>0</v>
      </c>
      <c r="AU480" s="185">
        <f t="shared" si="338"/>
        <v>0</v>
      </c>
    </row>
    <row r="481" spans="1:47">
      <c r="E481" s="36"/>
      <c r="G481" s="39"/>
      <c r="H481" s="39"/>
      <c r="I481" s="39"/>
      <c r="J481" s="39"/>
      <c r="K481" s="39"/>
    </row>
    <row r="482" spans="1:47">
      <c r="E482" s="327"/>
      <c r="F482" s="28"/>
      <c r="G482" s="324" t="str">
        <f>C485&amp;" O&amp;M"</f>
        <v>General O&amp;M O&amp;M</v>
      </c>
      <c r="H482" s="324"/>
      <c r="I482" s="324"/>
      <c r="J482" s="324"/>
      <c r="K482" s="324"/>
      <c r="L482" s="405" t="s">
        <v>79</v>
      </c>
      <c r="M482" s="256"/>
      <c r="N482" s="325" t="s">
        <v>490</v>
      </c>
      <c r="O482" s="311"/>
      <c r="P482" s="325" t="s">
        <v>491</v>
      </c>
      <c r="Q482" s="310"/>
      <c r="R482" s="325">
        <f>R$8</f>
        <v>2014</v>
      </c>
      <c r="S482" s="325">
        <f t="shared" ref="S482:AU482" si="339">S$8</f>
        <v>2015</v>
      </c>
      <c r="T482" s="325">
        <f t="shared" si="339"/>
        <v>2016</v>
      </c>
      <c r="U482" s="325">
        <f t="shared" si="339"/>
        <v>2017</v>
      </c>
      <c r="V482" s="325">
        <f t="shared" si="339"/>
        <v>2018</v>
      </c>
      <c r="W482" s="325">
        <f t="shared" si="339"/>
        <v>2019</v>
      </c>
      <c r="X482" s="325">
        <f t="shared" si="339"/>
        <v>2020</v>
      </c>
      <c r="Y482" s="325">
        <f t="shared" si="339"/>
        <v>2021</v>
      </c>
      <c r="Z482" s="325">
        <f t="shared" si="339"/>
        <v>2022</v>
      </c>
      <c r="AA482" s="325">
        <f t="shared" si="339"/>
        <v>2023</v>
      </c>
      <c r="AB482" s="325">
        <f t="shared" si="339"/>
        <v>2024</v>
      </c>
      <c r="AC482" s="325">
        <f t="shared" si="339"/>
        <v>2025</v>
      </c>
      <c r="AD482" s="325">
        <f t="shared" si="339"/>
        <v>2026</v>
      </c>
      <c r="AE482" s="325">
        <f t="shared" si="339"/>
        <v>2027</v>
      </c>
      <c r="AF482" s="325">
        <f t="shared" si="339"/>
        <v>2028</v>
      </c>
      <c r="AG482" s="325">
        <f t="shared" si="339"/>
        <v>2029</v>
      </c>
      <c r="AH482" s="325">
        <f t="shared" si="339"/>
        <v>2030</v>
      </c>
      <c r="AI482" s="325">
        <f t="shared" si="339"/>
        <v>2031</v>
      </c>
      <c r="AJ482" s="325">
        <f t="shared" si="339"/>
        <v>2032</v>
      </c>
      <c r="AK482" s="325">
        <f t="shared" si="339"/>
        <v>2033</v>
      </c>
      <c r="AL482" s="325">
        <f t="shared" si="339"/>
        <v>2034</v>
      </c>
      <c r="AM482" s="325">
        <f t="shared" si="339"/>
        <v>2035</v>
      </c>
      <c r="AN482" s="325">
        <f t="shared" si="339"/>
        <v>2036</v>
      </c>
      <c r="AO482" s="325">
        <f t="shared" si="339"/>
        <v>2037</v>
      </c>
      <c r="AP482" s="325">
        <f t="shared" si="339"/>
        <v>2038</v>
      </c>
      <c r="AQ482" s="325">
        <f t="shared" si="339"/>
        <v>2039</v>
      </c>
      <c r="AR482" s="325">
        <f t="shared" si="339"/>
        <v>2040</v>
      </c>
      <c r="AS482" s="325">
        <f t="shared" si="339"/>
        <v>2041</v>
      </c>
      <c r="AT482" s="325">
        <f t="shared" si="339"/>
        <v>2042</v>
      </c>
      <c r="AU482" s="325">
        <f t="shared" si="339"/>
        <v>2043</v>
      </c>
    </row>
    <row r="483" spans="1:47">
      <c r="E483" s="325"/>
      <c r="G483" s="39"/>
      <c r="H483" s="39"/>
      <c r="I483" s="39"/>
      <c r="J483" s="39"/>
      <c r="K483" s="39"/>
    </row>
    <row r="484" spans="1:47">
      <c r="E484" s="325"/>
      <c r="G484" s="39" t="s">
        <v>23</v>
      </c>
      <c r="H484" s="39"/>
      <c r="I484" s="39"/>
      <c r="J484" s="39"/>
      <c r="K484" s="39"/>
    </row>
    <row r="485" spans="1:47">
      <c r="A485" s="38" t="str">
        <f t="shared" ref="A485:A492" si="340">$J$4&amp;"-"</f>
        <v>Custom-</v>
      </c>
      <c r="B485" s="38" t="s">
        <v>262</v>
      </c>
      <c r="C485" s="38" t="s">
        <v>308</v>
      </c>
      <c r="D485" s="186">
        <f>LaborEsc</f>
        <v>0.02</v>
      </c>
      <c r="E485" s="325"/>
      <c r="G485" s="36" t="s">
        <v>125</v>
      </c>
      <c r="I485" s="39"/>
      <c r="K485" s="39"/>
      <c r="L485" s="43" t="s">
        <v>266</v>
      </c>
      <c r="N485" s="70">
        <f ca="1">IF(VLOOKUP($C485,$G$69:$J$87,4,FALSE)="Off",0,SUMIFS(OFFSET(Assumptions!$I$90,0,MATCH($A485,Configurations,0)-1,COUNT(Assumptions!$A$90:$A$183),1),Assumptions!$D$90:$D$183,$B485&amp;$C485))</f>
        <v>0</v>
      </c>
      <c r="O485" s="313"/>
      <c r="P485" s="323"/>
      <c r="Q485" s="313"/>
      <c r="R485" s="50">
        <f t="shared" ref="R485:AU485" ca="1" si="341">IF(OR(R$99&lt;InServiceYr,R$99&gt;(InServiceYr+analysis_period-1)),0,IF($P485=0,$N485,$P485)*LaborCost*(1+$D485)^(R$99-CostBaseYr))</f>
        <v>0</v>
      </c>
      <c r="S485" s="50">
        <f t="shared" ca="1" si="341"/>
        <v>0</v>
      </c>
      <c r="T485" s="50">
        <f t="shared" ca="1" si="341"/>
        <v>0</v>
      </c>
      <c r="U485" s="50">
        <f t="shared" ca="1" si="341"/>
        <v>0</v>
      </c>
      <c r="V485" s="50">
        <f t="shared" ca="1" si="341"/>
        <v>0</v>
      </c>
      <c r="W485" s="50">
        <f t="shared" ca="1" si="341"/>
        <v>0</v>
      </c>
      <c r="X485" s="50">
        <f t="shared" ca="1" si="341"/>
        <v>0</v>
      </c>
      <c r="Y485" s="50">
        <f t="shared" ca="1" si="341"/>
        <v>0</v>
      </c>
      <c r="Z485" s="50">
        <f t="shared" ca="1" si="341"/>
        <v>0</v>
      </c>
      <c r="AA485" s="50">
        <f t="shared" ca="1" si="341"/>
        <v>0</v>
      </c>
      <c r="AB485" s="50">
        <f t="shared" ca="1" si="341"/>
        <v>0</v>
      </c>
      <c r="AC485" s="50">
        <f t="shared" ca="1" si="341"/>
        <v>0</v>
      </c>
      <c r="AD485" s="50">
        <f t="shared" ca="1" si="341"/>
        <v>0</v>
      </c>
      <c r="AE485" s="50">
        <f t="shared" ca="1" si="341"/>
        <v>0</v>
      </c>
      <c r="AF485" s="50">
        <f t="shared" ca="1" si="341"/>
        <v>0</v>
      </c>
      <c r="AG485" s="50">
        <f t="shared" ca="1" si="341"/>
        <v>0</v>
      </c>
      <c r="AH485" s="50">
        <f t="shared" ca="1" si="341"/>
        <v>0</v>
      </c>
      <c r="AI485" s="50">
        <f t="shared" ca="1" si="341"/>
        <v>0</v>
      </c>
      <c r="AJ485" s="50">
        <f t="shared" ca="1" si="341"/>
        <v>0</v>
      </c>
      <c r="AK485" s="50">
        <f t="shared" ca="1" si="341"/>
        <v>0</v>
      </c>
      <c r="AL485" s="50">
        <f t="shared" si="341"/>
        <v>0</v>
      </c>
      <c r="AM485" s="50">
        <f t="shared" si="341"/>
        <v>0</v>
      </c>
      <c r="AN485" s="50">
        <f t="shared" si="341"/>
        <v>0</v>
      </c>
      <c r="AO485" s="50">
        <f t="shared" si="341"/>
        <v>0</v>
      </c>
      <c r="AP485" s="50">
        <f t="shared" si="341"/>
        <v>0</v>
      </c>
      <c r="AQ485" s="50">
        <f t="shared" si="341"/>
        <v>0</v>
      </c>
      <c r="AR485" s="50">
        <f t="shared" si="341"/>
        <v>0</v>
      </c>
      <c r="AS485" s="50">
        <f t="shared" si="341"/>
        <v>0</v>
      </c>
      <c r="AT485" s="50">
        <f t="shared" si="341"/>
        <v>0</v>
      </c>
      <c r="AU485" s="50">
        <f t="shared" si="341"/>
        <v>0</v>
      </c>
    </row>
    <row r="486" spans="1:47">
      <c r="A486" s="38" t="str">
        <f t="shared" si="340"/>
        <v>Custom-</v>
      </c>
      <c r="B486" s="38" t="s">
        <v>270</v>
      </c>
      <c r="C486" s="38" t="str">
        <f>C485</f>
        <v>General O&amp;M</v>
      </c>
      <c r="D486" s="186">
        <f>OMEsc</f>
        <v>0.02</v>
      </c>
      <c r="E486" s="325"/>
      <c r="G486" s="36" t="s">
        <v>126</v>
      </c>
      <c r="I486" s="39"/>
      <c r="K486" s="39"/>
      <c r="L486" s="43" t="str">
        <f>"["&amp;CostBaseYr&amp;" $]"</f>
        <v>[2013 $]</v>
      </c>
      <c r="N486" s="70">
        <f ca="1">IF(VLOOKUP($C486,$G$69:$J$87,4,FALSE)="Off",0,SUMIFS(OFFSET(Assumptions!$I$90,0,MATCH($A486,Configurations,0)-1,COUNT(Assumptions!$A$90:$A$183),1),Assumptions!$D$90:$D$183,$B486&amp;$C486))</f>
        <v>0</v>
      </c>
      <c r="O486" s="313"/>
      <c r="P486" s="323"/>
      <c r="Q486" s="313"/>
      <c r="R486" s="50">
        <f t="shared" ref="R486:AG488" ca="1" si="342">IF(OR(R$99&lt;InServiceYr,R$99&gt;(InServiceYr+analysis_period-1)),0,IF($P486=0,$N486,$P486)*(1+$D486)^(R$99-CostBaseYr))</f>
        <v>0</v>
      </c>
      <c r="S486" s="50">
        <f t="shared" ca="1" si="342"/>
        <v>0</v>
      </c>
      <c r="T486" s="50">
        <f t="shared" ca="1" si="342"/>
        <v>0</v>
      </c>
      <c r="U486" s="50">
        <f t="shared" ca="1" si="342"/>
        <v>0</v>
      </c>
      <c r="V486" s="50">
        <f t="shared" ca="1" si="342"/>
        <v>0</v>
      </c>
      <c r="W486" s="50">
        <f t="shared" ca="1" si="342"/>
        <v>0</v>
      </c>
      <c r="X486" s="50">
        <f t="shared" ca="1" si="342"/>
        <v>0</v>
      </c>
      <c r="Y486" s="50">
        <f t="shared" ca="1" si="342"/>
        <v>0</v>
      </c>
      <c r="Z486" s="50">
        <f t="shared" ca="1" si="342"/>
        <v>0</v>
      </c>
      <c r="AA486" s="50">
        <f t="shared" ca="1" si="342"/>
        <v>0</v>
      </c>
      <c r="AB486" s="50">
        <f t="shared" ca="1" si="342"/>
        <v>0</v>
      </c>
      <c r="AC486" s="50">
        <f t="shared" ca="1" si="342"/>
        <v>0</v>
      </c>
      <c r="AD486" s="50">
        <f t="shared" ca="1" si="342"/>
        <v>0</v>
      </c>
      <c r="AE486" s="50">
        <f t="shared" ca="1" si="342"/>
        <v>0</v>
      </c>
      <c r="AF486" s="50">
        <f t="shared" ca="1" si="342"/>
        <v>0</v>
      </c>
      <c r="AG486" s="50">
        <f t="shared" ca="1" si="342"/>
        <v>0</v>
      </c>
      <c r="AH486" s="50">
        <f t="shared" ref="S486:AU488" ca="1" si="343">IF(OR(AH$99&lt;InServiceYr,AH$99&gt;(InServiceYr+analysis_period-1)),0,IF($P486=0,$N486,$P486)*(1+$D486)^(AH$99-CostBaseYr))</f>
        <v>0</v>
      </c>
      <c r="AI486" s="50">
        <f t="shared" ca="1" si="343"/>
        <v>0</v>
      </c>
      <c r="AJ486" s="50">
        <f t="shared" ca="1" si="343"/>
        <v>0</v>
      </c>
      <c r="AK486" s="50">
        <f t="shared" ca="1" si="343"/>
        <v>0</v>
      </c>
      <c r="AL486" s="50">
        <f t="shared" si="343"/>
        <v>0</v>
      </c>
      <c r="AM486" s="50">
        <f t="shared" si="343"/>
        <v>0</v>
      </c>
      <c r="AN486" s="50">
        <f t="shared" si="343"/>
        <v>0</v>
      </c>
      <c r="AO486" s="50">
        <f t="shared" si="343"/>
        <v>0</v>
      </c>
      <c r="AP486" s="50">
        <f t="shared" si="343"/>
        <v>0</v>
      </c>
      <c r="AQ486" s="50">
        <f t="shared" si="343"/>
        <v>0</v>
      </c>
      <c r="AR486" s="50">
        <f t="shared" si="343"/>
        <v>0</v>
      </c>
      <c r="AS486" s="50">
        <f t="shared" si="343"/>
        <v>0</v>
      </c>
      <c r="AT486" s="50">
        <f t="shared" si="343"/>
        <v>0</v>
      </c>
      <c r="AU486" s="50">
        <f t="shared" si="343"/>
        <v>0</v>
      </c>
    </row>
    <row r="487" spans="1:47">
      <c r="A487" s="38" t="str">
        <f t="shared" si="340"/>
        <v>Custom-</v>
      </c>
      <c r="B487" s="38" t="s">
        <v>263</v>
      </c>
      <c r="C487" s="38" t="str">
        <f t="shared" ref="C487:C491" si="344">C486</f>
        <v>General O&amp;M</v>
      </c>
      <c r="D487" s="186">
        <f>OMEsc</f>
        <v>0.02</v>
      </c>
      <c r="E487" s="325"/>
      <c r="G487" s="36" t="s">
        <v>127</v>
      </c>
      <c r="I487" s="39"/>
      <c r="K487" s="39"/>
      <c r="L487" s="43" t="str">
        <f>"["&amp;CostBaseYr&amp;" $]"</f>
        <v>[2013 $]</v>
      </c>
      <c r="N487" s="70">
        <f ca="1">IF(VLOOKUP($C487,$G$69:$J$87,4,FALSE)="Off",0,SUMIFS(OFFSET(Assumptions!$I$90,0,MATCH($A487,Configurations,0)-1,COUNT(Assumptions!$A$90:$A$183),1),Assumptions!$D$90:$D$183,$B487&amp;$C487))</f>
        <v>0</v>
      </c>
      <c r="O487" s="313"/>
      <c r="P487" s="323"/>
      <c r="Q487" s="313"/>
      <c r="R487" s="50">
        <f t="shared" ca="1" si="342"/>
        <v>0</v>
      </c>
      <c r="S487" s="50">
        <f t="shared" ca="1" si="343"/>
        <v>0</v>
      </c>
      <c r="T487" s="50">
        <f t="shared" ca="1" si="343"/>
        <v>0</v>
      </c>
      <c r="U487" s="50">
        <f t="shared" ca="1" si="343"/>
        <v>0</v>
      </c>
      <c r="V487" s="50">
        <f t="shared" ca="1" si="343"/>
        <v>0</v>
      </c>
      <c r="W487" s="50">
        <f t="shared" ca="1" si="343"/>
        <v>0</v>
      </c>
      <c r="X487" s="50">
        <f t="shared" ca="1" si="343"/>
        <v>0</v>
      </c>
      <c r="Y487" s="50">
        <f t="shared" ca="1" si="343"/>
        <v>0</v>
      </c>
      <c r="Z487" s="50">
        <f t="shared" ca="1" si="343"/>
        <v>0</v>
      </c>
      <c r="AA487" s="50">
        <f t="shared" ca="1" si="343"/>
        <v>0</v>
      </c>
      <c r="AB487" s="50">
        <f t="shared" ca="1" si="343"/>
        <v>0</v>
      </c>
      <c r="AC487" s="50">
        <f t="shared" ca="1" si="343"/>
        <v>0</v>
      </c>
      <c r="AD487" s="50">
        <f t="shared" ca="1" si="343"/>
        <v>0</v>
      </c>
      <c r="AE487" s="50">
        <f t="shared" ca="1" si="343"/>
        <v>0</v>
      </c>
      <c r="AF487" s="50">
        <f t="shared" ca="1" si="343"/>
        <v>0</v>
      </c>
      <c r="AG487" s="50">
        <f t="shared" ca="1" si="343"/>
        <v>0</v>
      </c>
      <c r="AH487" s="50">
        <f t="shared" ca="1" si="343"/>
        <v>0</v>
      </c>
      <c r="AI487" s="50">
        <f t="shared" ca="1" si="343"/>
        <v>0</v>
      </c>
      <c r="AJ487" s="50">
        <f t="shared" ca="1" si="343"/>
        <v>0</v>
      </c>
      <c r="AK487" s="50">
        <f t="shared" ca="1" si="343"/>
        <v>0</v>
      </c>
      <c r="AL487" s="50">
        <f t="shared" si="343"/>
        <v>0</v>
      </c>
      <c r="AM487" s="50">
        <f t="shared" si="343"/>
        <v>0</v>
      </c>
      <c r="AN487" s="50">
        <f t="shared" si="343"/>
        <v>0</v>
      </c>
      <c r="AO487" s="50">
        <f t="shared" si="343"/>
        <v>0</v>
      </c>
      <c r="AP487" s="50">
        <f t="shared" si="343"/>
        <v>0</v>
      </c>
      <c r="AQ487" s="50">
        <f t="shared" si="343"/>
        <v>0</v>
      </c>
      <c r="AR487" s="50">
        <f t="shared" si="343"/>
        <v>0</v>
      </c>
      <c r="AS487" s="50">
        <f t="shared" si="343"/>
        <v>0</v>
      </c>
      <c r="AT487" s="50">
        <f t="shared" si="343"/>
        <v>0</v>
      </c>
      <c r="AU487" s="50">
        <f t="shared" si="343"/>
        <v>0</v>
      </c>
    </row>
    <row r="488" spans="1:47">
      <c r="A488" s="38" t="str">
        <f t="shared" si="340"/>
        <v>Custom-</v>
      </c>
      <c r="B488" s="38" t="s">
        <v>277</v>
      </c>
      <c r="C488" s="38" t="str">
        <f t="shared" si="344"/>
        <v>General O&amp;M</v>
      </c>
      <c r="D488" s="186">
        <f>OMEsc</f>
        <v>0.02</v>
      </c>
      <c r="E488" s="325"/>
      <c r="G488" s="36" t="s">
        <v>276</v>
      </c>
      <c r="I488" s="39"/>
      <c r="K488" s="39"/>
      <c r="L488" s="43" t="str">
        <f>"["&amp;CostBaseYr&amp;" $]"</f>
        <v>[2013 $]</v>
      </c>
      <c r="N488" s="70">
        <f ca="1">IF(VLOOKUP($C488,$G$69:$J$87,4,FALSE)="Off",0,SUMIFS(OFFSET(Assumptions!$I$90,0,MATCH($A488,Configurations,0)-1,COUNT(Assumptions!$A$90:$A$183),1),Assumptions!$D$90:$D$183,$B488&amp;$C488))</f>
        <v>0</v>
      </c>
      <c r="O488" s="313"/>
      <c r="P488" s="323"/>
      <c r="Q488" s="313"/>
      <c r="R488" s="50">
        <f t="shared" ca="1" si="342"/>
        <v>0</v>
      </c>
      <c r="S488" s="50">
        <f t="shared" ca="1" si="343"/>
        <v>0</v>
      </c>
      <c r="T488" s="50">
        <f t="shared" ca="1" si="343"/>
        <v>0</v>
      </c>
      <c r="U488" s="50">
        <f t="shared" ca="1" si="343"/>
        <v>0</v>
      </c>
      <c r="V488" s="50">
        <f t="shared" ca="1" si="343"/>
        <v>0</v>
      </c>
      <c r="W488" s="50">
        <f t="shared" ca="1" si="343"/>
        <v>0</v>
      </c>
      <c r="X488" s="50">
        <f t="shared" ca="1" si="343"/>
        <v>0</v>
      </c>
      <c r="Y488" s="50">
        <f t="shared" ca="1" si="343"/>
        <v>0</v>
      </c>
      <c r="Z488" s="50">
        <f t="shared" ca="1" si="343"/>
        <v>0</v>
      </c>
      <c r="AA488" s="50">
        <f t="shared" ca="1" si="343"/>
        <v>0</v>
      </c>
      <c r="AB488" s="50">
        <f t="shared" ca="1" si="343"/>
        <v>0</v>
      </c>
      <c r="AC488" s="50">
        <f t="shared" ca="1" si="343"/>
        <v>0</v>
      </c>
      <c r="AD488" s="50">
        <f t="shared" ca="1" si="343"/>
        <v>0</v>
      </c>
      <c r="AE488" s="50">
        <f t="shared" ca="1" si="343"/>
        <v>0</v>
      </c>
      <c r="AF488" s="50">
        <f t="shared" ca="1" si="343"/>
        <v>0</v>
      </c>
      <c r="AG488" s="50">
        <f t="shared" ca="1" si="343"/>
        <v>0</v>
      </c>
      <c r="AH488" s="50">
        <f t="shared" ca="1" si="343"/>
        <v>0</v>
      </c>
      <c r="AI488" s="50">
        <f t="shared" ca="1" si="343"/>
        <v>0</v>
      </c>
      <c r="AJ488" s="50">
        <f t="shared" ca="1" si="343"/>
        <v>0</v>
      </c>
      <c r="AK488" s="50">
        <f t="shared" ca="1" si="343"/>
        <v>0</v>
      </c>
      <c r="AL488" s="50">
        <f t="shared" si="343"/>
        <v>0</v>
      </c>
      <c r="AM488" s="50">
        <f t="shared" si="343"/>
        <v>0</v>
      </c>
      <c r="AN488" s="50">
        <f t="shared" si="343"/>
        <v>0</v>
      </c>
      <c r="AO488" s="50">
        <f t="shared" si="343"/>
        <v>0</v>
      </c>
      <c r="AP488" s="50">
        <f t="shared" si="343"/>
        <v>0</v>
      </c>
      <c r="AQ488" s="50">
        <f t="shared" si="343"/>
        <v>0</v>
      </c>
      <c r="AR488" s="50">
        <f t="shared" si="343"/>
        <v>0</v>
      </c>
      <c r="AS488" s="50">
        <f t="shared" si="343"/>
        <v>0</v>
      </c>
      <c r="AT488" s="50">
        <f t="shared" si="343"/>
        <v>0</v>
      </c>
      <c r="AU488" s="50">
        <f t="shared" si="343"/>
        <v>0</v>
      </c>
    </row>
    <row r="489" spans="1:47">
      <c r="A489" s="38" t="str">
        <f t="shared" si="340"/>
        <v>Custom-</v>
      </c>
      <c r="B489" s="38" t="s">
        <v>274</v>
      </c>
      <c r="C489" s="38" t="str">
        <f t="shared" si="344"/>
        <v>General O&amp;M</v>
      </c>
      <c r="D489" s="186"/>
      <c r="E489" s="325"/>
      <c r="G489" s="36" t="s">
        <v>16</v>
      </c>
      <c r="I489" s="39"/>
      <c r="K489" s="39"/>
      <c r="L489" s="43" t="s">
        <v>275</v>
      </c>
      <c r="N489" s="70">
        <f ca="1">IF(VLOOKUP($C489,$G$69:$J$87,4,FALSE)="Off",0,SUMIFS(OFFSET(Assumptions!$I$90,0,MATCH($A489,Configurations,0)-1,COUNT(Assumptions!$A$90:$A$183),1),Assumptions!$D$90:$D$183,$B489&amp;$C489))</f>
        <v>0</v>
      </c>
      <c r="O489" s="313"/>
      <c r="P489" s="323"/>
      <c r="Q489" s="313"/>
      <c r="R489" s="50">
        <f t="shared" ref="R489:AU489" ca="1" si="345">IF(OR(R$99&lt;InServiceYr,R$99&gt;(InServiceYr+analysis_period-1)),0,IF($P489=0,$N489,$P489)*R$505)</f>
        <v>0</v>
      </c>
      <c r="S489" s="50">
        <f t="shared" ca="1" si="345"/>
        <v>0</v>
      </c>
      <c r="T489" s="50">
        <f t="shared" ca="1" si="345"/>
        <v>0</v>
      </c>
      <c r="U489" s="50">
        <f t="shared" ca="1" si="345"/>
        <v>0</v>
      </c>
      <c r="V489" s="50">
        <f t="shared" ca="1" si="345"/>
        <v>0</v>
      </c>
      <c r="W489" s="50">
        <f t="shared" ca="1" si="345"/>
        <v>0</v>
      </c>
      <c r="X489" s="50">
        <f t="shared" ca="1" si="345"/>
        <v>0</v>
      </c>
      <c r="Y489" s="50">
        <f t="shared" ca="1" si="345"/>
        <v>0</v>
      </c>
      <c r="Z489" s="50">
        <f t="shared" ca="1" si="345"/>
        <v>0</v>
      </c>
      <c r="AA489" s="50">
        <f t="shared" ca="1" si="345"/>
        <v>0</v>
      </c>
      <c r="AB489" s="50">
        <f t="shared" ca="1" si="345"/>
        <v>0</v>
      </c>
      <c r="AC489" s="50">
        <f t="shared" ca="1" si="345"/>
        <v>0</v>
      </c>
      <c r="AD489" s="50">
        <f t="shared" ca="1" si="345"/>
        <v>0</v>
      </c>
      <c r="AE489" s="50">
        <f t="shared" ca="1" si="345"/>
        <v>0</v>
      </c>
      <c r="AF489" s="50">
        <f t="shared" ca="1" si="345"/>
        <v>0</v>
      </c>
      <c r="AG489" s="50">
        <f t="shared" ca="1" si="345"/>
        <v>0</v>
      </c>
      <c r="AH489" s="50">
        <f t="shared" ca="1" si="345"/>
        <v>0</v>
      </c>
      <c r="AI489" s="50">
        <f t="shared" ca="1" si="345"/>
        <v>0</v>
      </c>
      <c r="AJ489" s="50">
        <f t="shared" ca="1" si="345"/>
        <v>0</v>
      </c>
      <c r="AK489" s="50">
        <f t="shared" ca="1" si="345"/>
        <v>0</v>
      </c>
      <c r="AL489" s="50">
        <f t="shared" si="345"/>
        <v>0</v>
      </c>
      <c r="AM489" s="50">
        <f t="shared" si="345"/>
        <v>0</v>
      </c>
      <c r="AN489" s="50">
        <f t="shared" si="345"/>
        <v>0</v>
      </c>
      <c r="AO489" s="50">
        <f t="shared" si="345"/>
        <v>0</v>
      </c>
      <c r="AP489" s="50">
        <f t="shared" si="345"/>
        <v>0</v>
      </c>
      <c r="AQ489" s="50">
        <f t="shared" si="345"/>
        <v>0</v>
      </c>
      <c r="AR489" s="50">
        <f t="shared" si="345"/>
        <v>0</v>
      </c>
      <c r="AS489" s="50">
        <f t="shared" si="345"/>
        <v>0</v>
      </c>
      <c r="AT489" s="50">
        <f t="shared" si="345"/>
        <v>0</v>
      </c>
      <c r="AU489" s="50">
        <f t="shared" si="345"/>
        <v>0</v>
      </c>
    </row>
    <row r="490" spans="1:47">
      <c r="A490" s="38" t="str">
        <f t="shared" si="340"/>
        <v>Custom-</v>
      </c>
      <c r="B490" s="38" t="s">
        <v>257</v>
      </c>
      <c r="C490" s="38" t="str">
        <f t="shared" si="344"/>
        <v>General O&amp;M</v>
      </c>
      <c r="D490" s="186"/>
      <c r="E490" s="325"/>
      <c r="G490" s="36" t="s">
        <v>284</v>
      </c>
      <c r="I490" s="39"/>
      <c r="K490" s="39"/>
      <c r="L490" s="43" t="s">
        <v>293</v>
      </c>
      <c r="N490" s="70">
        <f ca="1">IF(VLOOKUP($C490,$G$69:$J$87,4,FALSE)="Off",0,SUMIFS(OFFSET(Assumptions!$I$90,0,MATCH($A490,Configurations,0)-1,COUNT(Assumptions!$A$90:$A$183),1),Assumptions!$D$90:$D$183,$B490&amp;$C490))</f>
        <v>0</v>
      </c>
      <c r="O490" s="313"/>
      <c r="P490" s="323"/>
      <c r="Q490" s="313"/>
      <c r="R490" s="50">
        <f t="shared" ref="R490:AU490" ca="1" si="346">IF(OR(R$99&lt;InServiceYr,R$99&gt;(InServiceYr+analysis_period-1)),0,IF($P490=0,$N490,$P490)*R$501)</f>
        <v>0</v>
      </c>
      <c r="S490" s="50">
        <f t="shared" ca="1" si="346"/>
        <v>0</v>
      </c>
      <c r="T490" s="50">
        <f t="shared" ca="1" si="346"/>
        <v>0</v>
      </c>
      <c r="U490" s="50">
        <f t="shared" ca="1" si="346"/>
        <v>0</v>
      </c>
      <c r="V490" s="50">
        <f t="shared" ca="1" si="346"/>
        <v>0</v>
      </c>
      <c r="W490" s="50">
        <f t="shared" ca="1" si="346"/>
        <v>0</v>
      </c>
      <c r="X490" s="50">
        <f t="shared" ca="1" si="346"/>
        <v>0</v>
      </c>
      <c r="Y490" s="50">
        <f t="shared" ca="1" si="346"/>
        <v>0</v>
      </c>
      <c r="Z490" s="50">
        <f t="shared" ca="1" si="346"/>
        <v>0</v>
      </c>
      <c r="AA490" s="50">
        <f t="shared" ca="1" si="346"/>
        <v>0</v>
      </c>
      <c r="AB490" s="50">
        <f t="shared" ca="1" si="346"/>
        <v>0</v>
      </c>
      <c r="AC490" s="50">
        <f t="shared" ca="1" si="346"/>
        <v>0</v>
      </c>
      <c r="AD490" s="50">
        <f t="shared" ca="1" si="346"/>
        <v>0</v>
      </c>
      <c r="AE490" s="50">
        <f t="shared" ca="1" si="346"/>
        <v>0</v>
      </c>
      <c r="AF490" s="50">
        <f t="shared" ca="1" si="346"/>
        <v>0</v>
      </c>
      <c r="AG490" s="50">
        <f t="shared" ca="1" si="346"/>
        <v>0</v>
      </c>
      <c r="AH490" s="50">
        <f t="shared" ca="1" si="346"/>
        <v>0</v>
      </c>
      <c r="AI490" s="50">
        <f t="shared" ca="1" si="346"/>
        <v>0</v>
      </c>
      <c r="AJ490" s="50">
        <f t="shared" ca="1" si="346"/>
        <v>0</v>
      </c>
      <c r="AK490" s="50">
        <f t="shared" ca="1" si="346"/>
        <v>0</v>
      </c>
      <c r="AL490" s="50">
        <f t="shared" si="346"/>
        <v>0</v>
      </c>
      <c r="AM490" s="50">
        <f t="shared" si="346"/>
        <v>0</v>
      </c>
      <c r="AN490" s="50">
        <f t="shared" si="346"/>
        <v>0</v>
      </c>
      <c r="AO490" s="50">
        <f t="shared" si="346"/>
        <v>0</v>
      </c>
      <c r="AP490" s="50">
        <f t="shared" si="346"/>
        <v>0</v>
      </c>
      <c r="AQ490" s="50">
        <f t="shared" si="346"/>
        <v>0</v>
      </c>
      <c r="AR490" s="50">
        <f t="shared" si="346"/>
        <v>0</v>
      </c>
      <c r="AS490" s="50">
        <f t="shared" si="346"/>
        <v>0</v>
      </c>
      <c r="AT490" s="50">
        <f t="shared" si="346"/>
        <v>0</v>
      </c>
      <c r="AU490" s="50">
        <f t="shared" si="346"/>
        <v>0</v>
      </c>
    </row>
    <row r="491" spans="1:47">
      <c r="A491" s="38" t="str">
        <f t="shared" si="340"/>
        <v>Custom-</v>
      </c>
      <c r="B491" s="38" t="s">
        <v>864</v>
      </c>
      <c r="C491" s="38" t="str">
        <f t="shared" si="344"/>
        <v>General O&amp;M</v>
      </c>
      <c r="D491" s="186">
        <f>GHGEsc</f>
        <v>0.02</v>
      </c>
      <c r="E491" s="325"/>
      <c r="G491" s="36" t="s">
        <v>865</v>
      </c>
      <c r="I491" s="39"/>
      <c r="K491" s="39"/>
      <c r="L491" s="43" t="s">
        <v>866</v>
      </c>
      <c r="N491" s="70">
        <f ca="1">IF(VLOOKUP($C491,$G$69:$J$87,4,FALSE)="Off",0,SUMIFS(OFFSET(Assumptions!$I$90,0,MATCH($A491,Configurations,0)-1,COUNT(Assumptions!$A$90:$A$183),1),Assumptions!$D$90:$D$183,$B491&amp;$C491))</f>
        <v>0</v>
      </c>
      <c r="O491" s="313"/>
      <c r="P491" s="323"/>
      <c r="Q491" s="313"/>
      <c r="R491" s="50">
        <f t="shared" ref="R491:AU491" ca="1" si="347">IF(OR(R$99&lt;InServiceYr,R$99&gt;(InServiceYr+analysis_period-1)),0,IF($P491=0,$N491,$P491)*R$513)</f>
        <v>0</v>
      </c>
      <c r="S491" s="50">
        <f t="shared" ca="1" si="347"/>
        <v>0</v>
      </c>
      <c r="T491" s="50">
        <f t="shared" ca="1" si="347"/>
        <v>0</v>
      </c>
      <c r="U491" s="50">
        <f t="shared" ca="1" si="347"/>
        <v>0</v>
      </c>
      <c r="V491" s="50">
        <f t="shared" ca="1" si="347"/>
        <v>0</v>
      </c>
      <c r="W491" s="50">
        <f t="shared" ca="1" si="347"/>
        <v>0</v>
      </c>
      <c r="X491" s="50">
        <f t="shared" ca="1" si="347"/>
        <v>0</v>
      </c>
      <c r="Y491" s="50">
        <f t="shared" ca="1" si="347"/>
        <v>0</v>
      </c>
      <c r="Z491" s="50">
        <f t="shared" ca="1" si="347"/>
        <v>0</v>
      </c>
      <c r="AA491" s="50">
        <f t="shared" ca="1" si="347"/>
        <v>0</v>
      </c>
      <c r="AB491" s="50">
        <f t="shared" ca="1" si="347"/>
        <v>0</v>
      </c>
      <c r="AC491" s="50">
        <f t="shared" ca="1" si="347"/>
        <v>0</v>
      </c>
      <c r="AD491" s="50">
        <f t="shared" ca="1" si="347"/>
        <v>0</v>
      </c>
      <c r="AE491" s="50">
        <f t="shared" ca="1" si="347"/>
        <v>0</v>
      </c>
      <c r="AF491" s="50">
        <f t="shared" ca="1" si="347"/>
        <v>0</v>
      </c>
      <c r="AG491" s="50">
        <f t="shared" ca="1" si="347"/>
        <v>0</v>
      </c>
      <c r="AH491" s="50">
        <f t="shared" ca="1" si="347"/>
        <v>0</v>
      </c>
      <c r="AI491" s="50">
        <f t="shared" ca="1" si="347"/>
        <v>0</v>
      </c>
      <c r="AJ491" s="50">
        <f t="shared" ca="1" si="347"/>
        <v>0</v>
      </c>
      <c r="AK491" s="50">
        <f t="shared" ca="1" si="347"/>
        <v>0</v>
      </c>
      <c r="AL491" s="50">
        <f t="shared" si="347"/>
        <v>0</v>
      </c>
      <c r="AM491" s="50">
        <f t="shared" si="347"/>
        <v>0</v>
      </c>
      <c r="AN491" s="50">
        <f t="shared" si="347"/>
        <v>0</v>
      </c>
      <c r="AO491" s="50">
        <f t="shared" si="347"/>
        <v>0</v>
      </c>
      <c r="AP491" s="50">
        <f t="shared" si="347"/>
        <v>0</v>
      </c>
      <c r="AQ491" s="50">
        <f t="shared" si="347"/>
        <v>0</v>
      </c>
      <c r="AR491" s="50">
        <f t="shared" si="347"/>
        <v>0</v>
      </c>
      <c r="AS491" s="50">
        <f t="shared" si="347"/>
        <v>0</v>
      </c>
      <c r="AT491" s="50">
        <f t="shared" si="347"/>
        <v>0</v>
      </c>
      <c r="AU491" s="50">
        <f t="shared" si="347"/>
        <v>0</v>
      </c>
    </row>
    <row r="492" spans="1:47">
      <c r="A492" s="38" t="str">
        <f t="shared" si="340"/>
        <v>Custom-</v>
      </c>
      <c r="B492" s="38" t="s">
        <v>273</v>
      </c>
      <c r="C492" s="38" t="str">
        <f>C490</f>
        <v>General O&amp;M</v>
      </c>
      <c r="D492" s="186">
        <f>LaborEsc</f>
        <v>0.02</v>
      </c>
      <c r="E492" s="325"/>
      <c r="G492" s="36" t="s">
        <v>291</v>
      </c>
      <c r="I492" s="39"/>
      <c r="K492" s="39"/>
      <c r="L492" s="43" t="str">
        <f>"["&amp;CostBaseYr&amp;" $]"</f>
        <v>[2013 $]</v>
      </c>
      <c r="N492" s="70">
        <f ca="1">IF(VLOOKUP($C492,$G$69:$J$87,4,FALSE)="Off",0,SUMIFS(OFFSET(Assumptions!$I$90,0,MATCH($A492,Configurations,0)-1,COUNT(Assumptions!$A$90:$A$183),1),Assumptions!$D$90:$D$183,$B492&amp;$C492))</f>
        <v>0</v>
      </c>
      <c r="O492" s="313"/>
      <c r="P492" s="323"/>
      <c r="Q492" s="313"/>
      <c r="R492" s="50">
        <f t="shared" ref="R492:AU492" ca="1" si="348">IF(OR(R$99&lt;InServiceYr,R$99&gt;(InServiceYr+analysis_period-1)),0,IF($P492=0,$N492,$P492)*(1+$D492)^(R$99-CostBaseYr))*R$509</f>
        <v>0</v>
      </c>
      <c r="S492" s="50">
        <f t="shared" ca="1" si="348"/>
        <v>0</v>
      </c>
      <c r="T492" s="50">
        <f t="shared" ca="1" si="348"/>
        <v>0</v>
      </c>
      <c r="U492" s="50">
        <f t="shared" ca="1" si="348"/>
        <v>0</v>
      </c>
      <c r="V492" s="50">
        <f t="shared" ca="1" si="348"/>
        <v>0</v>
      </c>
      <c r="W492" s="50">
        <f t="shared" ca="1" si="348"/>
        <v>0</v>
      </c>
      <c r="X492" s="50">
        <f t="shared" ca="1" si="348"/>
        <v>0</v>
      </c>
      <c r="Y492" s="50">
        <f t="shared" ca="1" si="348"/>
        <v>0</v>
      </c>
      <c r="Z492" s="50">
        <f t="shared" ca="1" si="348"/>
        <v>0</v>
      </c>
      <c r="AA492" s="50">
        <f t="shared" ca="1" si="348"/>
        <v>0</v>
      </c>
      <c r="AB492" s="50">
        <f t="shared" ca="1" si="348"/>
        <v>0</v>
      </c>
      <c r="AC492" s="50">
        <f t="shared" ca="1" si="348"/>
        <v>0</v>
      </c>
      <c r="AD492" s="50">
        <f t="shared" ca="1" si="348"/>
        <v>0</v>
      </c>
      <c r="AE492" s="50">
        <f t="shared" ca="1" si="348"/>
        <v>0</v>
      </c>
      <c r="AF492" s="50">
        <f t="shared" ca="1" si="348"/>
        <v>0</v>
      </c>
      <c r="AG492" s="50">
        <f t="shared" ca="1" si="348"/>
        <v>0</v>
      </c>
      <c r="AH492" s="50">
        <f t="shared" ca="1" si="348"/>
        <v>0</v>
      </c>
      <c r="AI492" s="50">
        <f t="shared" ca="1" si="348"/>
        <v>0</v>
      </c>
      <c r="AJ492" s="50">
        <f t="shared" ca="1" si="348"/>
        <v>0</v>
      </c>
      <c r="AK492" s="50">
        <f t="shared" ca="1" si="348"/>
        <v>0</v>
      </c>
      <c r="AL492" s="50">
        <f t="shared" si="348"/>
        <v>0</v>
      </c>
      <c r="AM492" s="50">
        <f t="shared" si="348"/>
        <v>0</v>
      </c>
      <c r="AN492" s="50">
        <f t="shared" si="348"/>
        <v>0</v>
      </c>
      <c r="AO492" s="50">
        <f t="shared" si="348"/>
        <v>0</v>
      </c>
      <c r="AP492" s="50">
        <f t="shared" si="348"/>
        <v>0</v>
      </c>
      <c r="AQ492" s="50">
        <f t="shared" si="348"/>
        <v>0</v>
      </c>
      <c r="AR492" s="50">
        <f t="shared" si="348"/>
        <v>0</v>
      </c>
      <c r="AS492" s="50">
        <f t="shared" si="348"/>
        <v>0</v>
      </c>
      <c r="AT492" s="50">
        <f t="shared" si="348"/>
        <v>0</v>
      </c>
      <c r="AU492" s="50">
        <f t="shared" si="348"/>
        <v>0</v>
      </c>
    </row>
    <row r="493" spans="1:47">
      <c r="D493" s="186"/>
      <c r="E493" s="325"/>
      <c r="G493" s="39" t="s">
        <v>304</v>
      </c>
      <c r="I493" s="39"/>
      <c r="K493" s="39"/>
      <c r="L493" s="43"/>
      <c r="N493" s="70"/>
      <c r="O493" s="313"/>
      <c r="P493" s="70"/>
      <c r="Q493" s="313"/>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row>
    <row r="494" spans="1:47">
      <c r="A494" s="38" t="str">
        <f>$J$4&amp;"-"</f>
        <v>Custom-</v>
      </c>
      <c r="B494" s="38" t="s">
        <v>265</v>
      </c>
      <c r="C494" s="38" t="str">
        <f>C485</f>
        <v>General O&amp;M</v>
      </c>
      <c r="D494" s="186"/>
      <c r="E494" s="325"/>
      <c r="G494" s="36" t="s">
        <v>108</v>
      </c>
      <c r="I494" s="39"/>
      <c r="K494" s="39"/>
      <c r="L494" s="43" t="s">
        <v>293</v>
      </c>
      <c r="N494" s="70">
        <f ca="1">IF(VLOOKUP($C494,$G$69:$J$87,4,FALSE)="Off",0,SUMIFS(OFFSET(Assumptions!$I$90,0,MATCH($A494,Configurations,0)-1,COUNT(Assumptions!$A$90:$A$183),1),Assumptions!$D$90:$D$183,$B494&amp;$C494))</f>
        <v>0</v>
      </c>
      <c r="O494" s="313"/>
      <c r="P494" s="323"/>
      <c r="Q494" s="313"/>
      <c r="R494" s="50">
        <f t="shared" ref="R494:AU494" ca="1" si="349">IF(OR(R$99&lt;InServiceYr,R$99&gt;(InServiceYr+analysis_period-1)),0,IF($P494=0,$N494,$P494)*R$501)</f>
        <v>0</v>
      </c>
      <c r="S494" s="50">
        <f t="shared" ca="1" si="349"/>
        <v>0</v>
      </c>
      <c r="T494" s="50">
        <f t="shared" ca="1" si="349"/>
        <v>0</v>
      </c>
      <c r="U494" s="50">
        <f t="shared" ca="1" si="349"/>
        <v>0</v>
      </c>
      <c r="V494" s="50">
        <f t="shared" ca="1" si="349"/>
        <v>0</v>
      </c>
      <c r="W494" s="50">
        <f t="shared" ca="1" si="349"/>
        <v>0</v>
      </c>
      <c r="X494" s="50">
        <f t="shared" ca="1" si="349"/>
        <v>0</v>
      </c>
      <c r="Y494" s="50">
        <f t="shared" ca="1" si="349"/>
        <v>0</v>
      </c>
      <c r="Z494" s="50">
        <f t="shared" ca="1" si="349"/>
        <v>0</v>
      </c>
      <c r="AA494" s="50">
        <f t="shared" ca="1" si="349"/>
        <v>0</v>
      </c>
      <c r="AB494" s="50">
        <f t="shared" ca="1" si="349"/>
        <v>0</v>
      </c>
      <c r="AC494" s="50">
        <f t="shared" ca="1" si="349"/>
        <v>0</v>
      </c>
      <c r="AD494" s="50">
        <f t="shared" ca="1" si="349"/>
        <v>0</v>
      </c>
      <c r="AE494" s="50">
        <f t="shared" ca="1" si="349"/>
        <v>0</v>
      </c>
      <c r="AF494" s="50">
        <f t="shared" ca="1" si="349"/>
        <v>0</v>
      </c>
      <c r="AG494" s="50">
        <f t="shared" ca="1" si="349"/>
        <v>0</v>
      </c>
      <c r="AH494" s="50">
        <f t="shared" ca="1" si="349"/>
        <v>0</v>
      </c>
      <c r="AI494" s="50">
        <f t="shared" ca="1" si="349"/>
        <v>0</v>
      </c>
      <c r="AJ494" s="50">
        <f t="shared" ca="1" si="349"/>
        <v>0</v>
      </c>
      <c r="AK494" s="50">
        <f t="shared" ca="1" si="349"/>
        <v>0</v>
      </c>
      <c r="AL494" s="50">
        <f t="shared" si="349"/>
        <v>0</v>
      </c>
      <c r="AM494" s="50">
        <f t="shared" si="349"/>
        <v>0</v>
      </c>
      <c r="AN494" s="50">
        <f t="shared" si="349"/>
        <v>0</v>
      </c>
      <c r="AO494" s="50">
        <f t="shared" si="349"/>
        <v>0</v>
      </c>
      <c r="AP494" s="50">
        <f t="shared" si="349"/>
        <v>0</v>
      </c>
      <c r="AQ494" s="50">
        <f t="shared" si="349"/>
        <v>0</v>
      </c>
      <c r="AR494" s="50">
        <f t="shared" si="349"/>
        <v>0</v>
      </c>
      <c r="AS494" s="50">
        <f t="shared" si="349"/>
        <v>0</v>
      </c>
      <c r="AT494" s="50">
        <f t="shared" si="349"/>
        <v>0</v>
      </c>
      <c r="AU494" s="50">
        <f t="shared" si="349"/>
        <v>0</v>
      </c>
    </row>
    <row r="495" spans="1:47">
      <c r="A495" s="38" t="str">
        <f>$J$4&amp;"-"</f>
        <v>Custom-</v>
      </c>
      <c r="B495" s="38" t="s">
        <v>289</v>
      </c>
      <c r="C495" s="38" t="str">
        <f>C485</f>
        <v>General O&amp;M</v>
      </c>
      <c r="D495" s="186">
        <f>LaborEsc</f>
        <v>0.02</v>
      </c>
      <c r="E495" s="325"/>
      <c r="G495" s="36" t="s">
        <v>292</v>
      </c>
      <c r="I495" s="39"/>
      <c r="K495" s="39"/>
      <c r="L495" s="43" t="str">
        <f>"["&amp;CostBaseYr&amp;" $]"</f>
        <v>[2013 $]</v>
      </c>
      <c r="N495" s="70">
        <f ca="1">IF(VLOOKUP($C495,$G$69:$J$87,4,FALSE)="Off",0,SUMIFS(OFFSET(Assumptions!$I$90,0,MATCH($A495,Configurations,0)-1,COUNT(Assumptions!$A$90:$A$183),1),Assumptions!$D$90:$D$183,$B495&amp;$C495))</f>
        <v>0</v>
      </c>
      <c r="O495" s="313"/>
      <c r="P495" s="323"/>
      <c r="Q495" s="313"/>
      <c r="R495" s="50">
        <f t="shared" ref="R495:AU495" ca="1" si="350">IF(OR(R$99&lt;InServiceYr,R$99&gt;(InServiceYr+analysis_period-1)),0,IF($P495=0,$N495,$P495)*(1+$D495)^(R$99-CostBaseYr))</f>
        <v>0</v>
      </c>
      <c r="S495" s="50">
        <f t="shared" ca="1" si="350"/>
        <v>0</v>
      </c>
      <c r="T495" s="50">
        <f t="shared" ca="1" si="350"/>
        <v>0</v>
      </c>
      <c r="U495" s="50">
        <f t="shared" ca="1" si="350"/>
        <v>0</v>
      </c>
      <c r="V495" s="50">
        <f t="shared" ca="1" si="350"/>
        <v>0</v>
      </c>
      <c r="W495" s="50">
        <f t="shared" ca="1" si="350"/>
        <v>0</v>
      </c>
      <c r="X495" s="50">
        <f t="shared" ca="1" si="350"/>
        <v>0</v>
      </c>
      <c r="Y495" s="50">
        <f t="shared" ca="1" si="350"/>
        <v>0</v>
      </c>
      <c r="Z495" s="50">
        <f t="shared" ca="1" si="350"/>
        <v>0</v>
      </c>
      <c r="AA495" s="50">
        <f t="shared" ca="1" si="350"/>
        <v>0</v>
      </c>
      <c r="AB495" s="50">
        <f t="shared" ca="1" si="350"/>
        <v>0</v>
      </c>
      <c r="AC495" s="50">
        <f t="shared" ca="1" si="350"/>
        <v>0</v>
      </c>
      <c r="AD495" s="50">
        <f t="shared" ca="1" si="350"/>
        <v>0</v>
      </c>
      <c r="AE495" s="50">
        <f t="shared" ca="1" si="350"/>
        <v>0</v>
      </c>
      <c r="AF495" s="50">
        <f t="shared" ca="1" si="350"/>
        <v>0</v>
      </c>
      <c r="AG495" s="50">
        <f t="shared" ca="1" si="350"/>
        <v>0</v>
      </c>
      <c r="AH495" s="50">
        <f t="shared" ca="1" si="350"/>
        <v>0</v>
      </c>
      <c r="AI495" s="50">
        <f t="shared" ca="1" si="350"/>
        <v>0</v>
      </c>
      <c r="AJ495" s="50">
        <f t="shared" ca="1" si="350"/>
        <v>0</v>
      </c>
      <c r="AK495" s="50">
        <f t="shared" ca="1" si="350"/>
        <v>0</v>
      </c>
      <c r="AL495" s="50">
        <f t="shared" si="350"/>
        <v>0</v>
      </c>
      <c r="AM495" s="50">
        <f t="shared" si="350"/>
        <v>0</v>
      </c>
      <c r="AN495" s="50">
        <f t="shared" si="350"/>
        <v>0</v>
      </c>
      <c r="AO495" s="50">
        <f t="shared" si="350"/>
        <v>0</v>
      </c>
      <c r="AP495" s="50">
        <f t="shared" si="350"/>
        <v>0</v>
      </c>
      <c r="AQ495" s="50">
        <f t="shared" si="350"/>
        <v>0</v>
      </c>
      <c r="AR495" s="50">
        <f t="shared" si="350"/>
        <v>0</v>
      </c>
      <c r="AS495" s="50">
        <f t="shared" si="350"/>
        <v>0</v>
      </c>
      <c r="AT495" s="50">
        <f t="shared" si="350"/>
        <v>0</v>
      </c>
      <c r="AU495" s="50">
        <f t="shared" si="350"/>
        <v>0</v>
      </c>
    </row>
    <row r="496" spans="1:47" s="60" customFormat="1">
      <c r="D496" s="187"/>
      <c r="E496" s="325"/>
      <c r="G496" s="39" t="s">
        <v>305</v>
      </c>
      <c r="I496" s="39"/>
      <c r="K496" s="39"/>
      <c r="L496" s="174"/>
      <c r="N496" s="188"/>
      <c r="O496" s="314"/>
      <c r="P496" s="185"/>
      <c r="Q496" s="314"/>
      <c r="R496" s="185">
        <f ca="1">SUM(R485:R492)-SUM(R494:R495)</f>
        <v>0</v>
      </c>
      <c r="S496" s="185">
        <f t="shared" ref="S496:AU496" ca="1" si="351">SUM(S485:S492)-SUM(S494:S495)</f>
        <v>0</v>
      </c>
      <c r="T496" s="185">
        <f t="shared" ca="1" si="351"/>
        <v>0</v>
      </c>
      <c r="U496" s="185">
        <f t="shared" ca="1" si="351"/>
        <v>0</v>
      </c>
      <c r="V496" s="185">
        <f t="shared" ca="1" si="351"/>
        <v>0</v>
      </c>
      <c r="W496" s="185">
        <f t="shared" ca="1" si="351"/>
        <v>0</v>
      </c>
      <c r="X496" s="185">
        <f t="shared" ca="1" si="351"/>
        <v>0</v>
      </c>
      <c r="Y496" s="185">
        <f t="shared" ca="1" si="351"/>
        <v>0</v>
      </c>
      <c r="Z496" s="185">
        <f t="shared" ca="1" si="351"/>
        <v>0</v>
      </c>
      <c r="AA496" s="185">
        <f t="shared" ca="1" si="351"/>
        <v>0</v>
      </c>
      <c r="AB496" s="185">
        <f t="shared" ca="1" si="351"/>
        <v>0</v>
      </c>
      <c r="AC496" s="185">
        <f t="shared" ca="1" si="351"/>
        <v>0</v>
      </c>
      <c r="AD496" s="185">
        <f t="shared" ca="1" si="351"/>
        <v>0</v>
      </c>
      <c r="AE496" s="185">
        <f t="shared" ca="1" si="351"/>
        <v>0</v>
      </c>
      <c r="AF496" s="185">
        <f t="shared" ca="1" si="351"/>
        <v>0</v>
      </c>
      <c r="AG496" s="185">
        <f t="shared" ca="1" si="351"/>
        <v>0</v>
      </c>
      <c r="AH496" s="185">
        <f t="shared" ca="1" si="351"/>
        <v>0</v>
      </c>
      <c r="AI496" s="185">
        <f t="shared" ca="1" si="351"/>
        <v>0</v>
      </c>
      <c r="AJ496" s="185">
        <f t="shared" ca="1" si="351"/>
        <v>0</v>
      </c>
      <c r="AK496" s="185">
        <f t="shared" ca="1" si="351"/>
        <v>0</v>
      </c>
      <c r="AL496" s="185">
        <f t="shared" si="351"/>
        <v>0</v>
      </c>
      <c r="AM496" s="185">
        <f t="shared" si="351"/>
        <v>0</v>
      </c>
      <c r="AN496" s="185">
        <f t="shared" si="351"/>
        <v>0</v>
      </c>
      <c r="AO496" s="185">
        <f t="shared" si="351"/>
        <v>0</v>
      </c>
      <c r="AP496" s="185">
        <f t="shared" si="351"/>
        <v>0</v>
      </c>
      <c r="AQ496" s="185">
        <f t="shared" si="351"/>
        <v>0</v>
      </c>
      <c r="AR496" s="185">
        <f t="shared" si="351"/>
        <v>0</v>
      </c>
      <c r="AS496" s="185">
        <f t="shared" si="351"/>
        <v>0</v>
      </c>
      <c r="AT496" s="185">
        <f t="shared" si="351"/>
        <v>0</v>
      </c>
      <c r="AU496" s="185">
        <f t="shared" si="351"/>
        <v>0</v>
      </c>
    </row>
    <row r="497" spans="1:16384">
      <c r="E497" s="36"/>
      <c r="G497" s="39"/>
      <c r="H497" s="39"/>
      <c r="I497" s="39"/>
      <c r="J497" s="39"/>
      <c r="K497" s="39"/>
    </row>
    <row r="498" spans="1:16384">
      <c r="E498" s="36"/>
      <c r="G498" s="39"/>
      <c r="H498" s="39"/>
      <c r="I498" s="39"/>
      <c r="J498" s="39"/>
      <c r="K498" s="39"/>
    </row>
    <row r="499" spans="1:16384">
      <c r="E499" s="327"/>
      <c r="F499" s="28"/>
      <c r="G499" s="324" t="s">
        <v>6</v>
      </c>
      <c r="H499" s="324"/>
      <c r="I499" s="324"/>
      <c r="J499" s="324"/>
      <c r="K499" s="324"/>
      <c r="L499" s="405" t="s">
        <v>79</v>
      </c>
      <c r="M499" s="256"/>
      <c r="N499" s="325"/>
      <c r="O499" s="311"/>
      <c r="P499" s="325"/>
      <c r="Q499" s="310"/>
      <c r="R499" s="325">
        <f>R$8</f>
        <v>2014</v>
      </c>
      <c r="S499" s="325">
        <f t="shared" ref="S499:AU499" si="352">S$8</f>
        <v>2015</v>
      </c>
      <c r="T499" s="325">
        <f t="shared" si="352"/>
        <v>2016</v>
      </c>
      <c r="U499" s="325">
        <f t="shared" si="352"/>
        <v>2017</v>
      </c>
      <c r="V499" s="325">
        <f t="shared" si="352"/>
        <v>2018</v>
      </c>
      <c r="W499" s="325">
        <f t="shared" si="352"/>
        <v>2019</v>
      </c>
      <c r="X499" s="325">
        <f t="shared" si="352"/>
        <v>2020</v>
      </c>
      <c r="Y499" s="325">
        <f t="shared" si="352"/>
        <v>2021</v>
      </c>
      <c r="Z499" s="325">
        <f t="shared" si="352"/>
        <v>2022</v>
      </c>
      <c r="AA499" s="325">
        <f t="shared" si="352"/>
        <v>2023</v>
      </c>
      <c r="AB499" s="325">
        <f t="shared" si="352"/>
        <v>2024</v>
      </c>
      <c r="AC499" s="325">
        <f t="shared" si="352"/>
        <v>2025</v>
      </c>
      <c r="AD499" s="325">
        <f t="shared" si="352"/>
        <v>2026</v>
      </c>
      <c r="AE499" s="325">
        <f t="shared" si="352"/>
        <v>2027</v>
      </c>
      <c r="AF499" s="325">
        <f t="shared" si="352"/>
        <v>2028</v>
      </c>
      <c r="AG499" s="325">
        <f t="shared" si="352"/>
        <v>2029</v>
      </c>
      <c r="AH499" s="325">
        <f t="shared" si="352"/>
        <v>2030</v>
      </c>
      <c r="AI499" s="325">
        <f t="shared" si="352"/>
        <v>2031</v>
      </c>
      <c r="AJ499" s="325">
        <f t="shared" si="352"/>
        <v>2032</v>
      </c>
      <c r="AK499" s="325">
        <f t="shared" si="352"/>
        <v>2033</v>
      </c>
      <c r="AL499" s="325">
        <f t="shared" si="352"/>
        <v>2034</v>
      </c>
      <c r="AM499" s="325">
        <f t="shared" si="352"/>
        <v>2035</v>
      </c>
      <c r="AN499" s="325">
        <f t="shared" si="352"/>
        <v>2036</v>
      </c>
      <c r="AO499" s="325">
        <f t="shared" si="352"/>
        <v>2037</v>
      </c>
      <c r="AP499" s="325">
        <f t="shared" si="352"/>
        <v>2038</v>
      </c>
      <c r="AQ499" s="325">
        <f t="shared" si="352"/>
        <v>2039</v>
      </c>
      <c r="AR499" s="325">
        <f t="shared" si="352"/>
        <v>2040</v>
      </c>
      <c r="AS499" s="325">
        <f t="shared" si="352"/>
        <v>2041</v>
      </c>
      <c r="AT499" s="325">
        <f t="shared" si="352"/>
        <v>2042</v>
      </c>
      <c r="AU499" s="325">
        <f t="shared" si="352"/>
        <v>2043</v>
      </c>
    </row>
    <row r="500" spans="1:16384">
      <c r="E500" s="325"/>
      <c r="G500" s="39"/>
      <c r="H500" s="39"/>
      <c r="I500" s="39"/>
      <c r="J500" s="39"/>
      <c r="K500" s="39"/>
    </row>
    <row r="501" spans="1:16384">
      <c r="E501" s="325"/>
      <c r="G501" s="36" t="s">
        <v>90</v>
      </c>
      <c r="H501" s="39"/>
      <c r="I501" s="39"/>
      <c r="J501" s="70"/>
      <c r="K501" s="39"/>
      <c r="L501" s="43" t="str">
        <f>Assumptions!G29</f>
        <v>[Nominal $/kWh]</v>
      </c>
      <c r="N501" s="320"/>
      <c r="P501" s="320"/>
      <c r="Q501" s="52"/>
      <c r="R501" s="52">
        <f>Assumptions!M29</f>
        <v>6.4581556062773368E-2</v>
      </c>
      <c r="S501" s="52">
        <f>Assumptions!N29</f>
        <v>6.4984127212630846E-2</v>
      </c>
      <c r="T501" s="52">
        <f>Assumptions!O29</f>
        <v>6.7785589135026608E-2</v>
      </c>
      <c r="U501" s="52">
        <f>Assumptions!P29</f>
        <v>6.981898718592304E-2</v>
      </c>
      <c r="V501" s="52">
        <f>Assumptions!Q29</f>
        <v>7.1503796868933267E-2</v>
      </c>
      <c r="W501" s="52">
        <f>Assumptions!R29</f>
        <v>7.2418565164272669E-2</v>
      </c>
      <c r="X501" s="52">
        <f>Assumptions!S29</f>
        <v>7.3596994326953685E-2</v>
      </c>
      <c r="Y501" s="52">
        <f>Assumptions!T29</f>
        <v>7.5410274370898506E-2</v>
      </c>
      <c r="Z501" s="52">
        <f>Assumptions!U29</f>
        <v>7.7215647759667966E-2</v>
      </c>
      <c r="AA501" s="52">
        <f>Assumptions!V29</f>
        <v>7.9146228607689051E-2</v>
      </c>
      <c r="AB501" s="52">
        <f>Assumptions!W29</f>
        <v>8.0860520329207805E-2</v>
      </c>
      <c r="AC501" s="52">
        <f>Assumptions!X29</f>
        <v>8.2417599515092449E-2</v>
      </c>
      <c r="AD501" s="52">
        <f>Assumptions!Y29</f>
        <v>8.4321429342628054E-2</v>
      </c>
      <c r="AE501" s="52">
        <f>Assumptions!Z29</f>
        <v>8.6243254567324276E-2</v>
      </c>
      <c r="AF501" s="52">
        <f>Assumptions!AA29</f>
        <v>8.829382632331699E-2</v>
      </c>
      <c r="AG501" s="52">
        <f>Assumptions!AB29</f>
        <v>9.0590950022257213E-2</v>
      </c>
      <c r="AH501" s="52">
        <f>Assumptions!AC29</f>
        <v>9.2811104018487828E-2</v>
      </c>
      <c r="AI501" s="52">
        <f>Assumptions!AD29</f>
        <v>9.521877087141481E-2</v>
      </c>
      <c r="AJ501" s="52">
        <f>Assumptions!AE29</f>
        <v>9.776763578849744E-2</v>
      </c>
      <c r="AK501" s="52">
        <f>Assumptions!AF29</f>
        <v>0.10042723479216267</v>
      </c>
      <c r="AL501" s="52">
        <f>Assumptions!AG29</f>
        <v>0.10338391809597851</v>
      </c>
      <c r="AM501" s="52">
        <f>Assumptions!AH29</f>
        <v>0.10713549812003452</v>
      </c>
      <c r="AN501" s="52">
        <f>Assumptions!AI29</f>
        <v>0.11152585678161221</v>
      </c>
      <c r="AO501" s="52">
        <f>Assumptions!AJ29</f>
        <v>0.11570324377054081</v>
      </c>
      <c r="AP501" s="52">
        <f>Assumptions!AK29</f>
        <v>0.11992306893841188</v>
      </c>
      <c r="AQ501" s="52">
        <f>Assumptions!AL29</f>
        <v>0.12437235076287895</v>
      </c>
      <c r="AR501" s="52">
        <f>Assumptions!AM29</f>
        <v>0.12798765946565488</v>
      </c>
      <c r="AS501" s="52">
        <f>Assumptions!AN29</f>
        <v>0.13080338797389929</v>
      </c>
      <c r="AT501" s="52">
        <f>Assumptions!AO29</f>
        <v>0.13368106250932507</v>
      </c>
      <c r="AU501" s="52">
        <f>Assumptions!AP29</f>
        <v>0.13662204588453022</v>
      </c>
    </row>
    <row r="502" spans="1:16384">
      <c r="E502" s="36"/>
      <c r="G502" s="37"/>
      <c r="H502" s="37"/>
      <c r="I502" s="37"/>
      <c r="J502" s="37"/>
      <c r="K502" s="37"/>
      <c r="L502" s="43"/>
      <c r="M502" s="43"/>
      <c r="N502" s="48"/>
      <c r="O502" s="43"/>
      <c r="P502" s="48"/>
      <c r="Q502" s="43"/>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row>
    <row r="503" spans="1:16384">
      <c r="E503" s="327"/>
      <c r="F503" s="28"/>
      <c r="G503" s="324" t="s">
        <v>16</v>
      </c>
      <c r="H503" s="324"/>
      <c r="I503" s="324"/>
      <c r="J503" s="324"/>
      <c r="K503" s="324"/>
      <c r="L503" s="405" t="s">
        <v>79</v>
      </c>
      <c r="M503" s="256"/>
      <c r="N503" s="325"/>
      <c r="O503" s="311"/>
      <c r="P503" s="325"/>
      <c r="Q503" s="310"/>
      <c r="R503" s="325">
        <f>R$8</f>
        <v>2014</v>
      </c>
      <c r="S503" s="325">
        <f t="shared" ref="S503:AU503" si="353">S$8</f>
        <v>2015</v>
      </c>
      <c r="T503" s="325">
        <f t="shared" si="353"/>
        <v>2016</v>
      </c>
      <c r="U503" s="325">
        <f t="shared" si="353"/>
        <v>2017</v>
      </c>
      <c r="V503" s="325">
        <f t="shared" si="353"/>
        <v>2018</v>
      </c>
      <c r="W503" s="325">
        <f t="shared" si="353"/>
        <v>2019</v>
      </c>
      <c r="X503" s="325">
        <f t="shared" si="353"/>
        <v>2020</v>
      </c>
      <c r="Y503" s="325">
        <f t="shared" si="353"/>
        <v>2021</v>
      </c>
      <c r="Z503" s="325">
        <f t="shared" si="353"/>
        <v>2022</v>
      </c>
      <c r="AA503" s="325">
        <f t="shared" si="353"/>
        <v>2023</v>
      </c>
      <c r="AB503" s="325">
        <f t="shared" si="353"/>
        <v>2024</v>
      </c>
      <c r="AC503" s="325">
        <f t="shared" si="353"/>
        <v>2025</v>
      </c>
      <c r="AD503" s="325">
        <f t="shared" si="353"/>
        <v>2026</v>
      </c>
      <c r="AE503" s="325">
        <f t="shared" si="353"/>
        <v>2027</v>
      </c>
      <c r="AF503" s="325">
        <f t="shared" si="353"/>
        <v>2028</v>
      </c>
      <c r="AG503" s="325">
        <f t="shared" si="353"/>
        <v>2029</v>
      </c>
      <c r="AH503" s="325">
        <f t="shared" si="353"/>
        <v>2030</v>
      </c>
      <c r="AI503" s="325">
        <f t="shared" si="353"/>
        <v>2031</v>
      </c>
      <c r="AJ503" s="325">
        <f t="shared" si="353"/>
        <v>2032</v>
      </c>
      <c r="AK503" s="325">
        <f t="shared" si="353"/>
        <v>2033</v>
      </c>
      <c r="AL503" s="325">
        <f t="shared" si="353"/>
        <v>2034</v>
      </c>
      <c r="AM503" s="325">
        <f t="shared" si="353"/>
        <v>2035</v>
      </c>
      <c r="AN503" s="325">
        <f t="shared" si="353"/>
        <v>2036</v>
      </c>
      <c r="AO503" s="325">
        <f t="shared" si="353"/>
        <v>2037</v>
      </c>
      <c r="AP503" s="325">
        <f t="shared" si="353"/>
        <v>2038</v>
      </c>
      <c r="AQ503" s="325">
        <f t="shared" si="353"/>
        <v>2039</v>
      </c>
      <c r="AR503" s="325">
        <f t="shared" si="353"/>
        <v>2040</v>
      </c>
      <c r="AS503" s="325">
        <f t="shared" si="353"/>
        <v>2041</v>
      </c>
      <c r="AT503" s="325">
        <f t="shared" si="353"/>
        <v>2042</v>
      </c>
      <c r="AU503" s="325">
        <f t="shared" si="353"/>
        <v>2043</v>
      </c>
    </row>
    <row r="504" spans="1:16384">
      <c r="E504" s="325"/>
      <c r="G504" s="39"/>
      <c r="H504" s="39"/>
      <c r="I504" s="39"/>
      <c r="J504" s="39"/>
      <c r="K504" s="39"/>
    </row>
    <row r="505" spans="1:16384">
      <c r="E505" s="325"/>
      <c r="G505" s="36" t="s">
        <v>4</v>
      </c>
      <c r="H505" s="39"/>
      <c r="I505" s="39"/>
      <c r="J505" s="70"/>
      <c r="K505" s="39"/>
      <c r="L505" s="43" t="str">
        <f>Assumptions!G30</f>
        <v>[Nominal $/GJ]</v>
      </c>
      <c r="N505" s="320"/>
      <c r="P505" s="320"/>
      <c r="Q505" s="52"/>
      <c r="R505" s="52">
        <f>Assumptions!M30/1000</f>
        <v>4.349162302177351E-3</v>
      </c>
      <c r="S505" s="52">
        <f>Assumptions!N30/1000</f>
        <v>4.4637464839421513E-3</v>
      </c>
      <c r="T505" s="52">
        <f>Assumptions!O30/1000</f>
        <v>4.9882201407370225E-3</v>
      </c>
      <c r="U505" s="52">
        <f>Assumptions!P30/1000</f>
        <v>5.274039417731349E-3</v>
      </c>
      <c r="V505" s="52">
        <f>Assumptions!Q30/1000</f>
        <v>5.6269550228721333E-3</v>
      </c>
      <c r="W505" s="52">
        <f>Assumptions!R30/1000</f>
        <v>5.8540511616013337E-3</v>
      </c>
      <c r="X505" s="52">
        <f>Assumptions!S30/1000</f>
        <v>6.038428026177464E-3</v>
      </c>
      <c r="Y505" s="52">
        <f>Assumptions!T30/1000</f>
        <v>6.2668036784831469E-3</v>
      </c>
      <c r="Z505" s="52">
        <f>Assumptions!U30/1000</f>
        <v>6.5922054798412668E-3</v>
      </c>
      <c r="AA505" s="52">
        <f>Assumptions!V30/1000</f>
        <v>6.9223010408478308E-3</v>
      </c>
      <c r="AB505" s="52">
        <f>Assumptions!W30/1000</f>
        <v>7.1632208510517392E-3</v>
      </c>
      <c r="AC505" s="52">
        <f>Assumptions!X30/1000</f>
        <v>7.3414909032361933E-3</v>
      </c>
      <c r="AD505" s="52">
        <f>Assumptions!Y30/1000</f>
        <v>7.6021404150132107E-3</v>
      </c>
      <c r="AE505" s="52">
        <f>Assumptions!Z30/1000</f>
        <v>7.7884635419133022E-3</v>
      </c>
      <c r="AF505" s="52">
        <f>Assumptions!AA30/1000</f>
        <v>8.0591711100798397E-3</v>
      </c>
      <c r="AG505" s="52">
        <f>Assumptions!AB30/1000</f>
        <v>8.3231988786498338E-3</v>
      </c>
      <c r="AH505" s="52">
        <f>Assumptions!AC30/1000</f>
        <v>8.5753643914497045E-3</v>
      </c>
      <c r="AI505" s="52">
        <f>Assumptions!AD30/1000</f>
        <v>8.8888916249159466E-3</v>
      </c>
      <c r="AJ505" s="52">
        <f>Assumptions!AE30/1000</f>
        <v>9.1809181054485871E-3</v>
      </c>
      <c r="AK505" s="52">
        <f>Assumptions!AF30/1000</f>
        <v>9.5487976739560727E-3</v>
      </c>
      <c r="AL505" s="52">
        <f>Assumptions!AG30/1000</f>
        <v>1.0077524695274986E-2</v>
      </c>
      <c r="AM505" s="52">
        <f>Assumptions!AH30/1000</f>
        <v>1.0655171564681258E-2</v>
      </c>
      <c r="AN505" s="52">
        <f>Assumptions!AI30/1000</f>
        <v>1.1383030107873128E-2</v>
      </c>
      <c r="AO505" s="52">
        <f>Assumptions!AJ30/1000</f>
        <v>1.2092621250722151E-2</v>
      </c>
      <c r="AP505" s="52">
        <f>Assumptions!AK30/1000</f>
        <v>1.2829558563080681E-2</v>
      </c>
      <c r="AQ505" s="52">
        <f>Assumptions!AL30/1000</f>
        <v>1.3272130091772659E-2</v>
      </c>
      <c r="AR505" s="52">
        <f>Assumptions!AM30/1000</f>
        <v>1.3882156894314641E-2</v>
      </c>
      <c r="AS505" s="52">
        <f>Assumptions!AN30/1000</f>
        <v>1.442356101319291E-2</v>
      </c>
      <c r="AT505" s="52">
        <f>Assumptions!AO30/1000</f>
        <v>1.4986079892707432E-2</v>
      </c>
      <c r="AU505" s="52">
        <f>Assumptions!AP30/1000</f>
        <v>1.5570537008523021E-2</v>
      </c>
    </row>
    <row r="506" spans="1:16384">
      <c r="G506" s="37"/>
      <c r="H506" s="37"/>
      <c r="I506" s="37"/>
      <c r="J506" s="37"/>
      <c r="K506" s="37"/>
      <c r="L506" s="43"/>
      <c r="M506" s="43"/>
      <c r="N506" s="51"/>
      <c r="O506" s="43"/>
      <c r="P506" s="51"/>
      <c r="Q506" s="43"/>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0"/>
      <c r="AW506" s="50"/>
      <c r="AX506" s="50"/>
      <c r="AY506" s="50"/>
      <c r="AZ506" s="50"/>
      <c r="BA506" s="50"/>
      <c r="BB506" s="50"/>
      <c r="BC506" s="50"/>
      <c r="BD506" s="50"/>
      <c r="BE506" s="50"/>
      <c r="BF506" s="50"/>
      <c r="BG506" s="50"/>
      <c r="BH506" s="50"/>
      <c r="BI506" s="50"/>
      <c r="BJ506" s="50"/>
      <c r="BK506" s="50"/>
      <c r="BL506" s="50"/>
      <c r="BM506" s="50"/>
      <c r="BN506" s="50"/>
      <c r="BO506" s="50"/>
      <c r="BP506" s="50"/>
      <c r="BQ506" s="50"/>
      <c r="BR506" s="50"/>
      <c r="BS506" s="50"/>
      <c r="BT506" s="50"/>
      <c r="BU506" s="50"/>
    </row>
    <row r="507" spans="1:16384">
      <c r="A507" s="327"/>
      <c r="B507" s="28"/>
      <c r="C507" s="324"/>
      <c r="D507" s="324"/>
      <c r="E507" s="324"/>
      <c r="F507" s="324"/>
      <c r="G507" s="324" t="s">
        <v>303</v>
      </c>
      <c r="H507" s="324"/>
      <c r="I507" s="256"/>
      <c r="J507" s="325"/>
      <c r="K507" s="311"/>
      <c r="L507" s="325"/>
      <c r="M507" s="310"/>
      <c r="N507" s="325"/>
      <c r="O507" s="325"/>
      <c r="P507" s="325"/>
      <c r="Q507" s="325"/>
      <c r="R507" s="325">
        <f>R$8</f>
        <v>2014</v>
      </c>
      <c r="S507" s="325">
        <f t="shared" ref="S507:AU507" si="354">S$8</f>
        <v>2015</v>
      </c>
      <c r="T507" s="325">
        <f t="shared" si="354"/>
        <v>2016</v>
      </c>
      <c r="U507" s="325">
        <f t="shared" si="354"/>
        <v>2017</v>
      </c>
      <c r="V507" s="325">
        <f t="shared" si="354"/>
        <v>2018</v>
      </c>
      <c r="W507" s="325">
        <f t="shared" si="354"/>
        <v>2019</v>
      </c>
      <c r="X507" s="325">
        <f t="shared" si="354"/>
        <v>2020</v>
      </c>
      <c r="Y507" s="325">
        <f t="shared" si="354"/>
        <v>2021</v>
      </c>
      <c r="Z507" s="325">
        <f t="shared" si="354"/>
        <v>2022</v>
      </c>
      <c r="AA507" s="325">
        <f t="shared" si="354"/>
        <v>2023</v>
      </c>
      <c r="AB507" s="325">
        <f t="shared" si="354"/>
        <v>2024</v>
      </c>
      <c r="AC507" s="325">
        <f t="shared" si="354"/>
        <v>2025</v>
      </c>
      <c r="AD507" s="325">
        <f t="shared" si="354"/>
        <v>2026</v>
      </c>
      <c r="AE507" s="325">
        <f t="shared" si="354"/>
        <v>2027</v>
      </c>
      <c r="AF507" s="325">
        <f t="shared" si="354"/>
        <v>2028</v>
      </c>
      <c r="AG507" s="325">
        <f t="shared" si="354"/>
        <v>2029</v>
      </c>
      <c r="AH507" s="325">
        <f t="shared" si="354"/>
        <v>2030</v>
      </c>
      <c r="AI507" s="325">
        <f t="shared" si="354"/>
        <v>2031</v>
      </c>
      <c r="AJ507" s="325">
        <f t="shared" si="354"/>
        <v>2032</v>
      </c>
      <c r="AK507" s="325">
        <f t="shared" si="354"/>
        <v>2033</v>
      </c>
      <c r="AL507" s="325">
        <f t="shared" si="354"/>
        <v>2034</v>
      </c>
      <c r="AM507" s="325">
        <f t="shared" si="354"/>
        <v>2035</v>
      </c>
      <c r="AN507" s="325">
        <f t="shared" si="354"/>
        <v>2036</v>
      </c>
      <c r="AO507" s="325">
        <f t="shared" si="354"/>
        <v>2037</v>
      </c>
      <c r="AP507" s="325">
        <f t="shared" si="354"/>
        <v>2038</v>
      </c>
      <c r="AQ507" s="325">
        <f t="shared" si="354"/>
        <v>2039</v>
      </c>
      <c r="AR507" s="325">
        <f t="shared" si="354"/>
        <v>2040</v>
      </c>
      <c r="AS507" s="325">
        <f t="shared" si="354"/>
        <v>2041</v>
      </c>
      <c r="AT507" s="325">
        <f t="shared" si="354"/>
        <v>2042</v>
      </c>
      <c r="AU507" s="325">
        <f t="shared" si="354"/>
        <v>2043</v>
      </c>
      <c r="BB507" s="311"/>
      <c r="BC507" s="325"/>
      <c r="BD507" s="310"/>
      <c r="BE507" s="325"/>
      <c r="BF507" s="325"/>
      <c r="BG507" s="325"/>
      <c r="BH507" s="325"/>
      <c r="BI507" s="325"/>
      <c r="BJ507" s="325"/>
      <c r="BK507" s="325"/>
      <c r="BL507" s="325"/>
      <c r="BM507" s="325"/>
      <c r="BN507" s="325"/>
      <c r="BO507" s="325"/>
      <c r="BP507" s="325"/>
      <c r="BQ507" s="325"/>
      <c r="BR507" s="325"/>
      <c r="BS507" s="325"/>
      <c r="BT507" s="325"/>
      <c r="BU507" s="325"/>
      <c r="BV507" s="325"/>
      <c r="BW507" s="325"/>
      <c r="BX507" s="325"/>
      <c r="BY507" s="325"/>
      <c r="BZ507" s="325"/>
      <c r="CA507" s="325"/>
      <c r="CB507" s="325"/>
      <c r="CC507" s="325"/>
      <c r="CD507" s="325"/>
      <c r="CE507" s="325"/>
      <c r="CF507" s="325"/>
      <c r="CG507" s="325"/>
      <c r="CH507" s="325"/>
      <c r="CI507" s="327"/>
      <c r="CJ507" s="28"/>
      <c r="CK507" s="324"/>
      <c r="CL507" s="324"/>
      <c r="CM507" s="324"/>
      <c r="CN507" s="324"/>
      <c r="CO507" s="324"/>
      <c r="CP507" s="324"/>
      <c r="CQ507" s="256"/>
      <c r="CR507" s="325"/>
      <c r="CS507" s="311"/>
      <c r="CT507" s="325"/>
      <c r="CU507" s="310"/>
      <c r="CV507" s="325"/>
      <c r="CW507" s="325"/>
      <c r="CX507" s="325"/>
      <c r="CY507" s="325"/>
      <c r="CZ507" s="325"/>
      <c r="DA507" s="325"/>
      <c r="DB507" s="325"/>
      <c r="DC507" s="325"/>
      <c r="DD507" s="325"/>
      <c r="DE507" s="325"/>
      <c r="DF507" s="325"/>
      <c r="DG507" s="325"/>
      <c r="DH507" s="325"/>
      <c r="DI507" s="325"/>
      <c r="DJ507" s="325"/>
      <c r="DK507" s="325"/>
      <c r="DL507" s="325"/>
      <c r="DM507" s="325"/>
      <c r="DN507" s="325"/>
      <c r="DO507" s="325"/>
      <c r="DP507" s="325"/>
      <c r="DQ507" s="325"/>
      <c r="DR507" s="325"/>
      <c r="DS507" s="325"/>
      <c r="DT507" s="325"/>
      <c r="DU507" s="325"/>
      <c r="DV507" s="325"/>
      <c r="DW507" s="325"/>
      <c r="DX507" s="325"/>
      <c r="DY507" s="325"/>
      <c r="DZ507" s="327"/>
      <c r="EA507" s="28"/>
      <c r="EB507" s="324"/>
      <c r="EC507" s="324"/>
      <c r="ED507" s="324"/>
      <c r="EE507" s="324"/>
      <c r="EF507" s="324"/>
      <c r="EG507" s="324"/>
      <c r="EH507" s="256"/>
      <c r="EI507" s="325"/>
      <c r="EJ507" s="311"/>
      <c r="EK507" s="325"/>
      <c r="EL507" s="310"/>
      <c r="EM507" s="325"/>
      <c r="EN507" s="325"/>
      <c r="EO507" s="325"/>
      <c r="EP507" s="325"/>
      <c r="EQ507" s="325"/>
      <c r="ER507" s="325"/>
      <c r="ES507" s="325"/>
      <c r="ET507" s="325"/>
      <c r="EU507" s="325"/>
      <c r="EV507" s="325"/>
      <c r="EW507" s="325"/>
      <c r="EX507" s="325"/>
      <c r="EY507" s="325"/>
      <c r="EZ507" s="325"/>
      <c r="FA507" s="325"/>
      <c r="FB507" s="325"/>
      <c r="FC507" s="325"/>
      <c r="FD507" s="325"/>
      <c r="FE507" s="325"/>
      <c r="FF507" s="325"/>
      <c r="FG507" s="325"/>
      <c r="FH507" s="325"/>
      <c r="FI507" s="325"/>
      <c r="FJ507" s="325"/>
      <c r="FK507" s="325"/>
      <c r="FL507" s="325"/>
      <c r="FM507" s="325"/>
      <c r="FN507" s="325"/>
      <c r="FO507" s="325"/>
      <c r="FP507" s="325"/>
      <c r="FQ507" s="327"/>
      <c r="FR507" s="28"/>
      <c r="FS507" s="324"/>
      <c r="FT507" s="324"/>
      <c r="FU507" s="324"/>
      <c r="FV507" s="324"/>
      <c r="FW507" s="324"/>
      <c r="FX507" s="324"/>
      <c r="FY507" s="256"/>
      <c r="FZ507" s="325"/>
      <c r="GA507" s="311"/>
      <c r="GB507" s="325"/>
      <c r="GC507" s="310"/>
      <c r="GD507" s="325"/>
      <c r="GE507" s="325"/>
      <c r="GF507" s="325"/>
      <c r="GG507" s="325"/>
      <c r="GH507" s="325"/>
      <c r="GI507" s="325"/>
      <c r="GJ507" s="325"/>
      <c r="GK507" s="325"/>
      <c r="GL507" s="325"/>
      <c r="GM507" s="325"/>
      <c r="GN507" s="325"/>
      <c r="GO507" s="325"/>
      <c r="GP507" s="325"/>
      <c r="GQ507" s="325"/>
      <c r="GR507" s="325"/>
      <c r="GS507" s="325"/>
      <c r="GT507" s="325"/>
      <c r="GU507" s="325"/>
      <c r="GV507" s="325"/>
      <c r="GW507" s="325"/>
      <c r="GX507" s="325"/>
      <c r="GY507" s="325"/>
      <c r="GZ507" s="325"/>
      <c r="HA507" s="325"/>
      <c r="HB507" s="325"/>
      <c r="HC507" s="325"/>
      <c r="HD507" s="325"/>
      <c r="HE507" s="325"/>
      <c r="HF507" s="325"/>
      <c r="HG507" s="325"/>
      <c r="HH507" s="327"/>
      <c r="HI507" s="28"/>
      <c r="HJ507" s="324"/>
      <c r="HK507" s="324"/>
      <c r="HL507" s="324"/>
      <c r="HM507" s="324"/>
      <c r="HN507" s="324"/>
      <c r="HO507" s="324"/>
      <c r="HP507" s="256"/>
      <c r="HQ507" s="325"/>
      <c r="HR507" s="311"/>
      <c r="HS507" s="325"/>
      <c r="HT507" s="310"/>
      <c r="HU507" s="325"/>
      <c r="HV507" s="325"/>
      <c r="HW507" s="325"/>
      <c r="HX507" s="325"/>
      <c r="HY507" s="325"/>
      <c r="HZ507" s="325"/>
      <c r="IA507" s="325"/>
      <c r="IB507" s="325"/>
      <c r="IC507" s="325"/>
      <c r="ID507" s="325"/>
      <c r="IE507" s="325"/>
      <c r="IF507" s="325"/>
      <c r="IG507" s="325"/>
      <c r="IH507" s="325"/>
      <c r="II507" s="325"/>
      <c r="IJ507" s="325"/>
      <c r="IK507" s="325"/>
      <c r="IL507" s="325"/>
      <c r="IM507" s="325"/>
      <c r="IN507" s="325"/>
      <c r="IO507" s="325"/>
      <c r="IP507" s="325"/>
      <c r="IQ507" s="325"/>
      <c r="IR507" s="325"/>
      <c r="IS507" s="325"/>
      <c r="IT507" s="325"/>
      <c r="IU507" s="325"/>
      <c r="IV507" s="325"/>
      <c r="IW507" s="325"/>
      <c r="IX507" s="325"/>
      <c r="IY507" s="327"/>
      <c r="IZ507" s="28"/>
      <c r="JA507" s="324"/>
      <c r="JB507" s="324"/>
      <c r="JC507" s="324"/>
      <c r="JD507" s="324"/>
      <c r="JE507" s="324"/>
      <c r="JF507" s="324"/>
      <c r="JG507" s="256"/>
      <c r="JH507" s="325"/>
      <c r="JI507" s="311"/>
      <c r="JJ507" s="325"/>
      <c r="JK507" s="310"/>
      <c r="JL507" s="325"/>
      <c r="JM507" s="325"/>
      <c r="JN507" s="325"/>
      <c r="JO507" s="325"/>
      <c r="JP507" s="325"/>
      <c r="JQ507" s="325"/>
      <c r="JR507" s="325"/>
      <c r="JS507" s="325"/>
      <c r="JT507" s="325"/>
      <c r="JU507" s="325"/>
      <c r="JV507" s="325"/>
      <c r="JW507" s="325"/>
      <c r="JX507" s="325"/>
      <c r="JY507" s="325"/>
      <c r="JZ507" s="325"/>
      <c r="KA507" s="325"/>
      <c r="KB507" s="325"/>
      <c r="KC507" s="325"/>
      <c r="KD507" s="325"/>
      <c r="KE507" s="325"/>
      <c r="KF507" s="325"/>
      <c r="KG507" s="325"/>
      <c r="KH507" s="325"/>
      <c r="KI507" s="325"/>
      <c r="KJ507" s="325"/>
      <c r="KK507" s="325"/>
      <c r="KL507" s="325"/>
      <c r="KM507" s="325"/>
      <c r="KN507" s="325"/>
      <c r="KO507" s="325"/>
      <c r="KP507" s="327"/>
      <c r="KQ507" s="28"/>
      <c r="KR507" s="324"/>
      <c r="KS507" s="324"/>
      <c r="KT507" s="324"/>
      <c r="KU507" s="324"/>
      <c r="KV507" s="324"/>
      <c r="KW507" s="324"/>
      <c r="KX507" s="256"/>
      <c r="KY507" s="325"/>
      <c r="KZ507" s="311"/>
      <c r="LA507" s="325"/>
      <c r="LB507" s="310"/>
      <c r="LC507" s="325"/>
      <c r="LD507" s="325"/>
      <c r="LE507" s="325"/>
      <c r="LF507" s="325"/>
      <c r="LG507" s="325"/>
      <c r="LH507" s="325"/>
      <c r="LI507" s="325"/>
      <c r="LJ507" s="325"/>
      <c r="LK507" s="325"/>
      <c r="LL507" s="325"/>
      <c r="LM507" s="325"/>
      <c r="LN507" s="325"/>
      <c r="LO507" s="325"/>
      <c r="LP507" s="325"/>
      <c r="LQ507" s="325"/>
      <c r="LR507" s="325"/>
      <c r="LS507" s="325"/>
      <c r="LT507" s="325"/>
      <c r="LU507" s="325"/>
      <c r="LV507" s="325"/>
      <c r="LW507" s="325"/>
      <c r="LX507" s="325"/>
      <c r="LY507" s="325"/>
      <c r="LZ507" s="325"/>
      <c r="MA507" s="325"/>
      <c r="MB507" s="325"/>
      <c r="MC507" s="325"/>
      <c r="MD507" s="325"/>
      <c r="ME507" s="325"/>
      <c r="MF507" s="325"/>
      <c r="MG507" s="327"/>
      <c r="MH507" s="28"/>
      <c r="MI507" s="324"/>
      <c r="MJ507" s="324"/>
      <c r="MK507" s="324"/>
      <c r="ML507" s="324"/>
      <c r="MM507" s="324"/>
      <c r="MN507" s="324"/>
      <c r="MO507" s="256"/>
      <c r="MP507" s="325"/>
      <c r="MQ507" s="311"/>
      <c r="MR507" s="325"/>
      <c r="MS507" s="310"/>
      <c r="MT507" s="325"/>
      <c r="MU507" s="325"/>
      <c r="MV507" s="325"/>
      <c r="MW507" s="325"/>
      <c r="MX507" s="325"/>
      <c r="MY507" s="325"/>
      <c r="MZ507" s="325"/>
      <c r="NA507" s="325"/>
      <c r="NB507" s="325"/>
      <c r="NC507" s="325"/>
      <c r="ND507" s="325"/>
      <c r="NE507" s="325"/>
      <c r="NF507" s="325"/>
      <c r="NG507" s="325"/>
      <c r="NH507" s="325"/>
      <c r="NI507" s="325"/>
      <c r="NJ507" s="325"/>
      <c r="NK507" s="325"/>
      <c r="NL507" s="325"/>
      <c r="NM507" s="325"/>
      <c r="NN507" s="325"/>
      <c r="NO507" s="325"/>
      <c r="NP507" s="325"/>
      <c r="NQ507" s="325"/>
      <c r="NR507" s="325"/>
      <c r="NS507" s="325"/>
      <c r="NT507" s="325"/>
      <c r="NU507" s="325"/>
      <c r="NV507" s="325"/>
      <c r="NW507" s="325"/>
      <c r="NX507" s="327"/>
      <c r="NY507" s="28"/>
      <c r="NZ507" s="324"/>
      <c r="OA507" s="324"/>
      <c r="OB507" s="324"/>
      <c r="OC507" s="324"/>
      <c r="OD507" s="324"/>
      <c r="OE507" s="324"/>
      <c r="OF507" s="256"/>
      <c r="OG507" s="325"/>
      <c r="OH507" s="311"/>
      <c r="OI507" s="325"/>
      <c r="OJ507" s="310"/>
      <c r="OK507" s="325"/>
      <c r="OL507" s="325"/>
      <c r="OM507" s="325"/>
      <c r="ON507" s="325"/>
      <c r="OO507" s="325"/>
      <c r="OP507" s="325"/>
      <c r="OQ507" s="325"/>
      <c r="OR507" s="325"/>
      <c r="OS507" s="325"/>
      <c r="OT507" s="325"/>
      <c r="OU507" s="325"/>
      <c r="OV507" s="325"/>
      <c r="OW507" s="325"/>
      <c r="OX507" s="325"/>
      <c r="OY507" s="325"/>
      <c r="OZ507" s="325"/>
      <c r="PA507" s="325"/>
      <c r="PB507" s="325"/>
      <c r="PC507" s="325"/>
      <c r="PD507" s="325"/>
      <c r="PE507" s="325"/>
      <c r="PF507" s="325"/>
      <c r="PG507" s="325"/>
      <c r="PH507" s="325"/>
      <c r="PI507" s="325"/>
      <c r="PJ507" s="325"/>
      <c r="PK507" s="325"/>
      <c r="PL507" s="325"/>
      <c r="PM507" s="325"/>
      <c r="PN507" s="325"/>
      <c r="PO507" s="327"/>
      <c r="PP507" s="28"/>
      <c r="PQ507" s="324"/>
      <c r="PR507" s="324"/>
      <c r="PS507" s="324"/>
      <c r="PT507" s="324"/>
      <c r="PU507" s="324"/>
      <c r="PV507" s="324"/>
      <c r="PW507" s="256"/>
      <c r="PX507" s="325"/>
      <c r="PY507" s="311"/>
      <c r="PZ507" s="325"/>
      <c r="QA507" s="310"/>
      <c r="QB507" s="325"/>
      <c r="QC507" s="325"/>
      <c r="QD507" s="325"/>
      <c r="QE507" s="325"/>
      <c r="QF507" s="325"/>
      <c r="QG507" s="325"/>
      <c r="QH507" s="325"/>
      <c r="QI507" s="325"/>
      <c r="QJ507" s="325"/>
      <c r="QK507" s="325"/>
      <c r="QL507" s="325"/>
      <c r="QM507" s="325"/>
      <c r="QN507" s="325"/>
      <c r="QO507" s="325"/>
      <c r="QP507" s="325"/>
      <c r="QQ507" s="325"/>
      <c r="QR507" s="325"/>
      <c r="QS507" s="325"/>
      <c r="QT507" s="325"/>
      <c r="QU507" s="325"/>
      <c r="QV507" s="325"/>
      <c r="QW507" s="325"/>
      <c r="QX507" s="325"/>
      <c r="QY507" s="325"/>
      <c r="QZ507" s="325"/>
      <c r="RA507" s="325"/>
      <c r="RB507" s="325"/>
      <c r="RC507" s="325"/>
      <c r="RD507" s="325"/>
      <c r="RE507" s="325"/>
      <c r="RF507" s="327"/>
      <c r="RG507" s="28"/>
      <c r="RH507" s="324"/>
      <c r="RI507" s="324"/>
      <c r="RJ507" s="324"/>
      <c r="RK507" s="324"/>
      <c r="RL507" s="324"/>
      <c r="RM507" s="324"/>
      <c r="RN507" s="256"/>
      <c r="RO507" s="325"/>
      <c r="RP507" s="311"/>
      <c r="RQ507" s="325"/>
      <c r="RR507" s="310"/>
      <c r="RS507" s="325"/>
      <c r="RT507" s="325"/>
      <c r="RU507" s="325"/>
      <c r="RV507" s="325"/>
      <c r="RW507" s="325"/>
      <c r="RX507" s="325"/>
      <c r="RY507" s="325"/>
      <c r="RZ507" s="325"/>
      <c r="SA507" s="325"/>
      <c r="SB507" s="325"/>
      <c r="SC507" s="325"/>
      <c r="SD507" s="325"/>
      <c r="SE507" s="325"/>
      <c r="SF507" s="325"/>
      <c r="SG507" s="325"/>
      <c r="SH507" s="325"/>
      <c r="SI507" s="325"/>
      <c r="SJ507" s="325"/>
      <c r="SK507" s="325"/>
      <c r="SL507" s="325"/>
      <c r="SM507" s="325"/>
      <c r="SN507" s="325"/>
      <c r="SO507" s="325"/>
      <c r="SP507" s="325"/>
      <c r="SQ507" s="325"/>
      <c r="SR507" s="325"/>
      <c r="SS507" s="325"/>
      <c r="ST507" s="325"/>
      <c r="SU507" s="325"/>
      <c r="SV507" s="325"/>
      <c r="SW507" s="327"/>
      <c r="SX507" s="28"/>
      <c r="SY507" s="324"/>
      <c r="SZ507" s="324"/>
      <c r="TA507" s="324"/>
      <c r="TB507" s="324"/>
      <c r="TC507" s="324"/>
      <c r="TD507" s="324"/>
      <c r="TE507" s="256"/>
      <c r="TF507" s="325"/>
      <c r="TG507" s="311"/>
      <c r="TH507" s="325"/>
      <c r="TI507" s="310"/>
      <c r="TJ507" s="325"/>
      <c r="TK507" s="325"/>
      <c r="TL507" s="325"/>
      <c r="TM507" s="325"/>
      <c r="TN507" s="325"/>
      <c r="TO507" s="325"/>
      <c r="TP507" s="325"/>
      <c r="TQ507" s="325"/>
      <c r="TR507" s="325"/>
      <c r="TS507" s="325"/>
      <c r="TT507" s="325"/>
      <c r="TU507" s="325"/>
      <c r="TV507" s="325"/>
      <c r="TW507" s="325"/>
      <c r="TX507" s="325"/>
      <c r="TY507" s="325"/>
      <c r="TZ507" s="325"/>
      <c r="UA507" s="325"/>
      <c r="UB507" s="325"/>
      <c r="UC507" s="325"/>
      <c r="UD507" s="325"/>
      <c r="UE507" s="325"/>
      <c r="UF507" s="325"/>
      <c r="UG507" s="325"/>
      <c r="UH507" s="325"/>
      <c r="UI507" s="325"/>
      <c r="UJ507" s="325"/>
      <c r="UK507" s="325"/>
      <c r="UL507" s="325"/>
      <c r="UM507" s="325"/>
      <c r="UN507" s="327"/>
      <c r="UO507" s="28"/>
      <c r="UP507" s="324"/>
      <c r="UQ507" s="324"/>
      <c r="UR507" s="324"/>
      <c r="US507" s="324"/>
      <c r="UT507" s="324"/>
      <c r="UU507" s="324"/>
      <c r="UV507" s="256"/>
      <c r="UW507" s="325"/>
      <c r="UX507" s="311"/>
      <c r="UY507" s="325"/>
      <c r="UZ507" s="310"/>
      <c r="VA507" s="325"/>
      <c r="VB507" s="325"/>
      <c r="VC507" s="325"/>
      <c r="VD507" s="325"/>
      <c r="VE507" s="325"/>
      <c r="VF507" s="325"/>
      <c r="VG507" s="325"/>
      <c r="VH507" s="325"/>
      <c r="VI507" s="325"/>
      <c r="VJ507" s="325"/>
      <c r="VK507" s="325"/>
      <c r="VL507" s="325"/>
      <c r="VM507" s="325"/>
      <c r="VN507" s="325"/>
      <c r="VO507" s="325"/>
      <c r="VP507" s="325"/>
      <c r="VQ507" s="325"/>
      <c r="VR507" s="325"/>
      <c r="VS507" s="325"/>
      <c r="VT507" s="325"/>
      <c r="VU507" s="325"/>
      <c r="VV507" s="325"/>
      <c r="VW507" s="325"/>
      <c r="VX507" s="325"/>
      <c r="VY507" s="325"/>
      <c r="VZ507" s="325"/>
      <c r="WA507" s="325"/>
      <c r="WB507" s="325"/>
      <c r="WC507" s="325"/>
      <c r="WD507" s="325"/>
      <c r="WE507" s="327"/>
      <c r="WF507" s="28"/>
      <c r="WG507" s="324"/>
      <c r="WH507" s="324"/>
      <c r="WI507" s="324"/>
      <c r="WJ507" s="324"/>
      <c r="WK507" s="324"/>
      <c r="WL507" s="324"/>
      <c r="WM507" s="256"/>
      <c r="WN507" s="325"/>
      <c r="WO507" s="311"/>
      <c r="WP507" s="325"/>
      <c r="WQ507" s="310"/>
      <c r="WR507" s="325"/>
      <c r="WS507" s="325"/>
      <c r="WT507" s="325"/>
      <c r="WU507" s="325"/>
      <c r="WV507" s="325"/>
      <c r="WW507" s="325"/>
      <c r="WX507" s="325"/>
      <c r="WY507" s="325"/>
      <c r="WZ507" s="325"/>
      <c r="XA507" s="325"/>
      <c r="XB507" s="325"/>
      <c r="XC507" s="325"/>
      <c r="XD507" s="325"/>
      <c r="XE507" s="325"/>
      <c r="XF507" s="325"/>
      <c r="XG507" s="325"/>
      <c r="XH507" s="325"/>
      <c r="XI507" s="325"/>
      <c r="XJ507" s="325"/>
      <c r="XK507" s="325"/>
      <c r="XL507" s="325"/>
      <c r="XM507" s="325"/>
      <c r="XN507" s="325"/>
      <c r="XO507" s="325"/>
      <c r="XP507" s="325"/>
      <c r="XQ507" s="325"/>
      <c r="XR507" s="325"/>
      <c r="XS507" s="325"/>
      <c r="XT507" s="325"/>
      <c r="XU507" s="325"/>
      <c r="XV507" s="327"/>
      <c r="XW507" s="28"/>
      <c r="XX507" s="324"/>
      <c r="XY507" s="324"/>
      <c r="XZ507" s="324"/>
      <c r="YA507" s="324"/>
      <c r="YB507" s="324"/>
      <c r="YC507" s="324"/>
      <c r="YD507" s="256"/>
      <c r="YE507" s="325"/>
      <c r="YF507" s="311"/>
      <c r="YG507" s="325"/>
      <c r="YH507" s="310"/>
      <c r="YI507" s="325"/>
      <c r="YJ507" s="325"/>
      <c r="YK507" s="325"/>
      <c r="YL507" s="325"/>
      <c r="YM507" s="325"/>
      <c r="YN507" s="325"/>
      <c r="YO507" s="325"/>
      <c r="YP507" s="325"/>
      <c r="YQ507" s="325"/>
      <c r="YR507" s="325"/>
      <c r="YS507" s="325"/>
      <c r="YT507" s="325"/>
      <c r="YU507" s="325"/>
      <c r="YV507" s="325"/>
      <c r="YW507" s="325"/>
      <c r="YX507" s="325"/>
      <c r="YY507" s="325"/>
      <c r="YZ507" s="325"/>
      <c r="ZA507" s="325"/>
      <c r="ZB507" s="325"/>
      <c r="ZC507" s="325"/>
      <c r="ZD507" s="325"/>
      <c r="ZE507" s="325"/>
      <c r="ZF507" s="325"/>
      <c r="ZG507" s="325"/>
      <c r="ZH507" s="325"/>
      <c r="ZI507" s="325"/>
      <c r="ZJ507" s="325"/>
      <c r="ZK507" s="325"/>
      <c r="ZL507" s="325"/>
      <c r="ZM507" s="327"/>
      <c r="ZN507" s="28"/>
      <c r="ZO507" s="324"/>
      <c r="ZP507" s="324"/>
      <c r="ZQ507" s="324"/>
      <c r="ZR507" s="324"/>
      <c r="ZS507" s="324"/>
      <c r="ZT507" s="324"/>
      <c r="ZU507" s="256"/>
      <c r="ZV507" s="325"/>
      <c r="ZW507" s="311"/>
      <c r="ZX507" s="325"/>
      <c r="ZY507" s="310"/>
      <c r="ZZ507" s="325"/>
      <c r="AAA507" s="325"/>
      <c r="AAB507" s="325"/>
      <c r="AAC507" s="325"/>
      <c r="AAD507" s="325"/>
      <c r="AAE507" s="325"/>
      <c r="AAF507" s="325"/>
      <c r="AAG507" s="325"/>
      <c r="AAH507" s="325"/>
      <c r="AAI507" s="325"/>
      <c r="AAJ507" s="325"/>
      <c r="AAK507" s="325"/>
      <c r="AAL507" s="325"/>
      <c r="AAM507" s="325"/>
      <c r="AAN507" s="325"/>
      <c r="AAO507" s="325"/>
      <c r="AAP507" s="325"/>
      <c r="AAQ507" s="325"/>
      <c r="AAR507" s="325"/>
      <c r="AAS507" s="325"/>
      <c r="AAT507" s="325"/>
      <c r="AAU507" s="325"/>
      <c r="AAV507" s="325"/>
      <c r="AAW507" s="325"/>
      <c r="AAX507" s="325"/>
      <c r="AAY507" s="325"/>
      <c r="AAZ507" s="325"/>
      <c r="ABA507" s="325"/>
      <c r="ABB507" s="325"/>
      <c r="ABC507" s="325"/>
      <c r="ABD507" s="327"/>
      <c r="ABE507" s="28"/>
      <c r="ABF507" s="324"/>
      <c r="ABG507" s="324"/>
      <c r="ABH507" s="324"/>
      <c r="ABI507" s="324"/>
      <c r="ABJ507" s="324"/>
      <c r="ABK507" s="324"/>
      <c r="ABL507" s="256"/>
      <c r="ABM507" s="325"/>
      <c r="ABN507" s="311"/>
      <c r="ABO507" s="325"/>
      <c r="ABP507" s="310"/>
      <c r="ABQ507" s="325"/>
      <c r="ABR507" s="325"/>
      <c r="ABS507" s="325"/>
      <c r="ABT507" s="325"/>
      <c r="ABU507" s="325"/>
      <c r="ABV507" s="325"/>
      <c r="ABW507" s="325"/>
      <c r="ABX507" s="325"/>
      <c r="ABY507" s="325"/>
      <c r="ABZ507" s="325"/>
      <c r="ACA507" s="325"/>
      <c r="ACB507" s="325"/>
      <c r="ACC507" s="325"/>
      <c r="ACD507" s="325"/>
      <c r="ACE507" s="325"/>
      <c r="ACF507" s="325"/>
      <c r="ACG507" s="325"/>
      <c r="ACH507" s="325"/>
      <c r="ACI507" s="325"/>
      <c r="ACJ507" s="325"/>
      <c r="ACK507" s="325"/>
      <c r="ACL507" s="325"/>
      <c r="ACM507" s="325"/>
      <c r="ACN507" s="325"/>
      <c r="ACO507" s="325"/>
      <c r="ACP507" s="325"/>
      <c r="ACQ507" s="325"/>
      <c r="ACR507" s="325"/>
      <c r="ACS507" s="325"/>
      <c r="ACT507" s="325"/>
      <c r="ACU507" s="327"/>
      <c r="ACV507" s="28"/>
      <c r="ACW507" s="324"/>
      <c r="ACX507" s="324"/>
      <c r="ACY507" s="324"/>
      <c r="ACZ507" s="324"/>
      <c r="ADA507" s="324"/>
      <c r="ADB507" s="324"/>
      <c r="ADC507" s="256"/>
      <c r="ADD507" s="325"/>
      <c r="ADE507" s="311"/>
      <c r="ADF507" s="325"/>
      <c r="ADG507" s="310"/>
      <c r="ADH507" s="325"/>
      <c r="ADI507" s="325"/>
      <c r="ADJ507" s="325"/>
      <c r="ADK507" s="325"/>
      <c r="ADL507" s="325"/>
      <c r="ADM507" s="325"/>
      <c r="ADN507" s="325"/>
      <c r="ADO507" s="325"/>
      <c r="ADP507" s="325"/>
      <c r="ADQ507" s="325"/>
      <c r="ADR507" s="325"/>
      <c r="ADS507" s="325"/>
      <c r="ADT507" s="325"/>
      <c r="ADU507" s="325"/>
      <c r="ADV507" s="325"/>
      <c r="ADW507" s="325"/>
      <c r="ADX507" s="325"/>
      <c r="ADY507" s="325"/>
      <c r="ADZ507" s="325"/>
      <c r="AEA507" s="325"/>
      <c r="AEB507" s="325"/>
      <c r="AEC507" s="325"/>
      <c r="AED507" s="325"/>
      <c r="AEE507" s="325"/>
      <c r="AEF507" s="325"/>
      <c r="AEG507" s="325"/>
      <c r="AEH507" s="325"/>
      <c r="AEI507" s="325"/>
      <c r="AEJ507" s="325"/>
      <c r="AEK507" s="325"/>
      <c r="AEL507" s="327"/>
      <c r="AEM507" s="28"/>
      <c r="AEN507" s="324"/>
      <c r="AEO507" s="324"/>
      <c r="AEP507" s="324"/>
      <c r="AEQ507" s="324"/>
      <c r="AER507" s="324"/>
      <c r="AES507" s="324"/>
      <c r="AET507" s="256"/>
      <c r="AEU507" s="325"/>
      <c r="AEV507" s="311"/>
      <c r="AEW507" s="325"/>
      <c r="AEX507" s="310"/>
      <c r="AEY507" s="325"/>
      <c r="AEZ507" s="325"/>
      <c r="AFA507" s="325"/>
      <c r="AFB507" s="325"/>
      <c r="AFC507" s="325"/>
      <c r="AFD507" s="325"/>
      <c r="AFE507" s="325"/>
      <c r="AFF507" s="325"/>
      <c r="AFG507" s="325"/>
      <c r="AFH507" s="325"/>
      <c r="AFI507" s="325"/>
      <c r="AFJ507" s="325"/>
      <c r="AFK507" s="325"/>
      <c r="AFL507" s="325"/>
      <c r="AFM507" s="325"/>
      <c r="AFN507" s="325"/>
      <c r="AFO507" s="325"/>
      <c r="AFP507" s="325"/>
      <c r="AFQ507" s="325"/>
      <c r="AFR507" s="325"/>
      <c r="AFS507" s="325"/>
      <c r="AFT507" s="325"/>
      <c r="AFU507" s="325"/>
      <c r="AFV507" s="325"/>
      <c r="AFW507" s="325"/>
      <c r="AFX507" s="325"/>
      <c r="AFY507" s="325"/>
      <c r="AFZ507" s="325"/>
      <c r="AGA507" s="325"/>
      <c r="AGB507" s="325"/>
      <c r="AGC507" s="327"/>
      <c r="AGD507" s="28"/>
      <c r="AGE507" s="324"/>
      <c r="AGF507" s="324"/>
      <c r="AGG507" s="324"/>
      <c r="AGH507" s="324"/>
      <c r="AGI507" s="324"/>
      <c r="AGJ507" s="324"/>
      <c r="AGK507" s="256"/>
      <c r="AGL507" s="325"/>
      <c r="AGM507" s="311"/>
      <c r="AGN507" s="325"/>
      <c r="AGO507" s="310"/>
      <c r="AGP507" s="325"/>
      <c r="AGQ507" s="325"/>
      <c r="AGR507" s="325"/>
      <c r="AGS507" s="325"/>
      <c r="AGT507" s="325"/>
      <c r="AGU507" s="325"/>
      <c r="AGV507" s="325"/>
      <c r="AGW507" s="325"/>
      <c r="AGX507" s="325"/>
      <c r="AGY507" s="325"/>
      <c r="AGZ507" s="325"/>
      <c r="AHA507" s="325"/>
      <c r="AHB507" s="325"/>
      <c r="AHC507" s="325"/>
      <c r="AHD507" s="325"/>
      <c r="AHE507" s="325"/>
      <c r="AHF507" s="325"/>
      <c r="AHG507" s="325"/>
      <c r="AHH507" s="325"/>
      <c r="AHI507" s="325"/>
      <c r="AHJ507" s="325"/>
      <c r="AHK507" s="325"/>
      <c r="AHL507" s="325"/>
      <c r="AHM507" s="325"/>
      <c r="AHN507" s="325"/>
      <c r="AHO507" s="325"/>
      <c r="AHP507" s="325"/>
      <c r="AHQ507" s="325"/>
      <c r="AHR507" s="325"/>
      <c r="AHS507" s="325"/>
      <c r="AHT507" s="327"/>
      <c r="AHU507" s="28"/>
      <c r="AHV507" s="324"/>
      <c r="AHW507" s="324"/>
      <c r="AHX507" s="324"/>
      <c r="AHY507" s="324"/>
      <c r="AHZ507" s="324"/>
      <c r="AIA507" s="324"/>
      <c r="AIB507" s="256"/>
      <c r="AIC507" s="325"/>
      <c r="AID507" s="311"/>
      <c r="AIE507" s="325"/>
      <c r="AIF507" s="310"/>
      <c r="AIG507" s="325"/>
      <c r="AIH507" s="325"/>
      <c r="AII507" s="325"/>
      <c r="AIJ507" s="325"/>
      <c r="AIK507" s="325"/>
      <c r="AIL507" s="325"/>
      <c r="AIM507" s="325"/>
      <c r="AIN507" s="325"/>
      <c r="AIO507" s="325"/>
      <c r="AIP507" s="325"/>
      <c r="AIQ507" s="325"/>
      <c r="AIR507" s="325"/>
      <c r="AIS507" s="325"/>
      <c r="AIT507" s="325"/>
      <c r="AIU507" s="325"/>
      <c r="AIV507" s="325"/>
      <c r="AIW507" s="325"/>
      <c r="AIX507" s="325"/>
      <c r="AIY507" s="325"/>
      <c r="AIZ507" s="325"/>
      <c r="AJA507" s="325"/>
      <c r="AJB507" s="325"/>
      <c r="AJC507" s="325"/>
      <c r="AJD507" s="325"/>
      <c r="AJE507" s="325"/>
      <c r="AJF507" s="325"/>
      <c r="AJG507" s="325"/>
      <c r="AJH507" s="325"/>
      <c r="AJI507" s="325"/>
      <c r="AJJ507" s="325"/>
      <c r="AJK507" s="327"/>
      <c r="AJL507" s="28"/>
      <c r="AJM507" s="324"/>
      <c r="AJN507" s="324"/>
      <c r="AJO507" s="324"/>
      <c r="AJP507" s="324"/>
      <c r="AJQ507" s="324"/>
      <c r="AJR507" s="324"/>
      <c r="AJS507" s="256"/>
      <c r="AJT507" s="325"/>
      <c r="AJU507" s="311"/>
      <c r="AJV507" s="325"/>
      <c r="AJW507" s="310"/>
      <c r="AJX507" s="325"/>
      <c r="AJY507" s="325"/>
      <c r="AJZ507" s="325"/>
      <c r="AKA507" s="325"/>
      <c r="AKB507" s="325"/>
      <c r="AKC507" s="325"/>
      <c r="AKD507" s="325"/>
      <c r="AKE507" s="325"/>
      <c r="AKF507" s="325"/>
      <c r="AKG507" s="325"/>
      <c r="AKH507" s="325"/>
      <c r="AKI507" s="325"/>
      <c r="AKJ507" s="325"/>
      <c r="AKK507" s="325"/>
      <c r="AKL507" s="325"/>
      <c r="AKM507" s="325"/>
      <c r="AKN507" s="325"/>
      <c r="AKO507" s="325"/>
      <c r="AKP507" s="325"/>
      <c r="AKQ507" s="325"/>
      <c r="AKR507" s="325"/>
      <c r="AKS507" s="325"/>
      <c r="AKT507" s="325"/>
      <c r="AKU507" s="325"/>
      <c r="AKV507" s="325"/>
      <c r="AKW507" s="325"/>
      <c r="AKX507" s="325"/>
      <c r="AKY507" s="325"/>
      <c r="AKZ507" s="325"/>
      <c r="ALA507" s="325"/>
      <c r="ALB507" s="327"/>
      <c r="ALC507" s="28"/>
      <c r="ALD507" s="324"/>
      <c r="ALE507" s="324"/>
      <c r="ALF507" s="324"/>
      <c r="ALG507" s="324"/>
      <c r="ALH507" s="324"/>
      <c r="ALI507" s="324"/>
      <c r="ALJ507" s="256"/>
      <c r="ALK507" s="325"/>
      <c r="ALL507" s="311"/>
      <c r="ALM507" s="325"/>
      <c r="ALN507" s="310"/>
      <c r="ALO507" s="325"/>
      <c r="ALP507" s="325"/>
      <c r="ALQ507" s="325"/>
      <c r="ALR507" s="325"/>
      <c r="ALS507" s="325"/>
      <c r="ALT507" s="325"/>
      <c r="ALU507" s="325"/>
      <c r="ALV507" s="325"/>
      <c r="ALW507" s="325"/>
      <c r="ALX507" s="325"/>
      <c r="ALY507" s="325"/>
      <c r="ALZ507" s="325"/>
      <c r="AMA507" s="325"/>
      <c r="AMB507" s="325"/>
      <c r="AMC507" s="325"/>
      <c r="AMD507" s="325"/>
      <c r="AME507" s="325"/>
      <c r="AMF507" s="325"/>
      <c r="AMG507" s="325"/>
      <c r="AMH507" s="325"/>
      <c r="AMI507" s="325"/>
      <c r="AMJ507" s="325"/>
      <c r="AMK507" s="325"/>
      <c r="AML507" s="325"/>
      <c r="AMM507" s="325"/>
      <c r="AMN507" s="325"/>
      <c r="AMO507" s="325"/>
      <c r="AMP507" s="325"/>
      <c r="AMQ507" s="325"/>
      <c r="AMR507" s="325"/>
      <c r="AMS507" s="327"/>
      <c r="AMT507" s="28"/>
      <c r="AMU507" s="324"/>
      <c r="AMV507" s="324"/>
      <c r="AMW507" s="324"/>
      <c r="AMX507" s="324"/>
      <c r="AMY507" s="324"/>
      <c r="AMZ507" s="324"/>
      <c r="ANA507" s="256"/>
      <c r="ANB507" s="325"/>
      <c r="ANC507" s="311"/>
      <c r="AND507" s="325"/>
      <c r="ANE507" s="310"/>
      <c r="ANF507" s="325"/>
      <c r="ANG507" s="325"/>
      <c r="ANH507" s="325"/>
      <c r="ANI507" s="325"/>
      <c r="ANJ507" s="325"/>
      <c r="ANK507" s="325"/>
      <c r="ANL507" s="325"/>
      <c r="ANM507" s="325"/>
      <c r="ANN507" s="325"/>
      <c r="ANO507" s="325"/>
      <c r="ANP507" s="325"/>
      <c r="ANQ507" s="325"/>
      <c r="ANR507" s="325"/>
      <c r="ANS507" s="325"/>
      <c r="ANT507" s="325"/>
      <c r="ANU507" s="325"/>
      <c r="ANV507" s="325"/>
      <c r="ANW507" s="325"/>
      <c r="ANX507" s="325"/>
      <c r="ANY507" s="325"/>
      <c r="ANZ507" s="325"/>
      <c r="AOA507" s="325"/>
      <c r="AOB507" s="325"/>
      <c r="AOC507" s="325"/>
      <c r="AOD507" s="325"/>
      <c r="AOE507" s="325"/>
      <c r="AOF507" s="325"/>
      <c r="AOG507" s="325"/>
      <c r="AOH507" s="325"/>
      <c r="AOI507" s="325"/>
      <c r="AOJ507" s="327"/>
      <c r="AOK507" s="28"/>
      <c r="AOL507" s="324"/>
      <c r="AOM507" s="324"/>
      <c r="AON507" s="324"/>
      <c r="AOO507" s="324"/>
      <c r="AOP507" s="324"/>
      <c r="AOQ507" s="324"/>
      <c r="AOR507" s="256"/>
      <c r="AOS507" s="325"/>
      <c r="AOT507" s="311"/>
      <c r="AOU507" s="325"/>
      <c r="AOV507" s="310"/>
      <c r="AOW507" s="325"/>
      <c r="AOX507" s="325"/>
      <c r="AOY507" s="325"/>
      <c r="AOZ507" s="325"/>
      <c r="APA507" s="325"/>
      <c r="APB507" s="325"/>
      <c r="APC507" s="325"/>
      <c r="APD507" s="325"/>
      <c r="APE507" s="325"/>
      <c r="APF507" s="325"/>
      <c r="APG507" s="325"/>
      <c r="APH507" s="325"/>
      <c r="API507" s="325"/>
      <c r="APJ507" s="325"/>
      <c r="APK507" s="325"/>
      <c r="APL507" s="325"/>
      <c r="APM507" s="325"/>
      <c r="APN507" s="325"/>
      <c r="APO507" s="325"/>
      <c r="APP507" s="325"/>
      <c r="APQ507" s="325"/>
      <c r="APR507" s="325"/>
      <c r="APS507" s="325"/>
      <c r="APT507" s="325"/>
      <c r="APU507" s="325"/>
      <c r="APV507" s="325"/>
      <c r="APW507" s="325"/>
      <c r="APX507" s="325"/>
      <c r="APY507" s="325"/>
      <c r="APZ507" s="325"/>
      <c r="AQA507" s="327"/>
      <c r="AQB507" s="28"/>
      <c r="AQC507" s="324"/>
      <c r="AQD507" s="324"/>
      <c r="AQE507" s="324"/>
      <c r="AQF507" s="324"/>
      <c r="AQG507" s="324"/>
      <c r="AQH507" s="324"/>
      <c r="AQI507" s="256"/>
      <c r="AQJ507" s="325"/>
      <c r="AQK507" s="311"/>
      <c r="AQL507" s="325"/>
      <c r="AQM507" s="310"/>
      <c r="AQN507" s="325"/>
      <c r="AQO507" s="325"/>
      <c r="AQP507" s="325"/>
      <c r="AQQ507" s="325"/>
      <c r="AQR507" s="325"/>
      <c r="AQS507" s="325"/>
      <c r="AQT507" s="325"/>
      <c r="AQU507" s="325"/>
      <c r="AQV507" s="325"/>
      <c r="AQW507" s="325"/>
      <c r="AQX507" s="325"/>
      <c r="AQY507" s="325"/>
      <c r="AQZ507" s="325"/>
      <c r="ARA507" s="325"/>
      <c r="ARB507" s="325"/>
      <c r="ARC507" s="325"/>
      <c r="ARD507" s="325"/>
      <c r="ARE507" s="325"/>
      <c r="ARF507" s="325"/>
      <c r="ARG507" s="325"/>
      <c r="ARH507" s="325"/>
      <c r="ARI507" s="325"/>
      <c r="ARJ507" s="325"/>
      <c r="ARK507" s="325"/>
      <c r="ARL507" s="325"/>
      <c r="ARM507" s="325"/>
      <c r="ARN507" s="325"/>
      <c r="ARO507" s="325"/>
      <c r="ARP507" s="325"/>
      <c r="ARQ507" s="325"/>
      <c r="ARR507" s="327"/>
      <c r="ARS507" s="28"/>
      <c r="ART507" s="324"/>
      <c r="ARU507" s="324"/>
      <c r="ARV507" s="324"/>
      <c r="ARW507" s="324"/>
      <c r="ARX507" s="324"/>
      <c r="ARY507" s="324"/>
      <c r="ARZ507" s="256"/>
      <c r="ASA507" s="325"/>
      <c r="ASB507" s="311"/>
      <c r="ASC507" s="325"/>
      <c r="ASD507" s="310"/>
      <c r="ASE507" s="325"/>
      <c r="ASF507" s="325"/>
      <c r="ASG507" s="325"/>
      <c r="ASH507" s="325"/>
      <c r="ASI507" s="325"/>
      <c r="ASJ507" s="325"/>
      <c r="ASK507" s="325"/>
      <c r="ASL507" s="325"/>
      <c r="ASM507" s="325"/>
      <c r="ASN507" s="325"/>
      <c r="ASO507" s="325"/>
      <c r="ASP507" s="325"/>
      <c r="ASQ507" s="325"/>
      <c r="ASR507" s="325"/>
      <c r="ASS507" s="325"/>
      <c r="AST507" s="325"/>
      <c r="ASU507" s="325"/>
      <c r="ASV507" s="325"/>
      <c r="ASW507" s="325"/>
      <c r="ASX507" s="325"/>
      <c r="ASY507" s="325"/>
      <c r="ASZ507" s="325"/>
      <c r="ATA507" s="325"/>
      <c r="ATB507" s="325"/>
      <c r="ATC507" s="325"/>
      <c r="ATD507" s="325"/>
      <c r="ATE507" s="325"/>
      <c r="ATF507" s="325"/>
      <c r="ATG507" s="325"/>
      <c r="ATH507" s="325"/>
      <c r="ATI507" s="327"/>
      <c r="ATJ507" s="28"/>
      <c r="ATK507" s="324"/>
      <c r="ATL507" s="324"/>
      <c r="ATM507" s="324"/>
      <c r="ATN507" s="324"/>
      <c r="ATO507" s="324"/>
      <c r="ATP507" s="324"/>
      <c r="ATQ507" s="256"/>
      <c r="ATR507" s="325"/>
      <c r="ATS507" s="311"/>
      <c r="ATT507" s="325"/>
      <c r="ATU507" s="310"/>
      <c r="ATV507" s="325"/>
      <c r="ATW507" s="325"/>
      <c r="ATX507" s="325"/>
      <c r="ATY507" s="325"/>
      <c r="ATZ507" s="325"/>
      <c r="AUA507" s="325"/>
      <c r="AUB507" s="325"/>
      <c r="AUC507" s="325"/>
      <c r="AUD507" s="325"/>
      <c r="AUE507" s="325"/>
      <c r="AUF507" s="325"/>
      <c r="AUG507" s="325"/>
      <c r="AUH507" s="325"/>
      <c r="AUI507" s="325"/>
      <c r="AUJ507" s="325"/>
      <c r="AUK507" s="325"/>
      <c r="AUL507" s="325"/>
      <c r="AUM507" s="325"/>
      <c r="AUN507" s="325"/>
      <c r="AUO507" s="325"/>
      <c r="AUP507" s="325"/>
      <c r="AUQ507" s="325"/>
      <c r="AUR507" s="325"/>
      <c r="AUS507" s="325"/>
      <c r="AUT507" s="325"/>
      <c r="AUU507" s="325"/>
      <c r="AUV507" s="325"/>
      <c r="AUW507" s="325"/>
      <c r="AUX507" s="325"/>
      <c r="AUY507" s="325"/>
      <c r="AUZ507" s="327"/>
      <c r="AVA507" s="28"/>
      <c r="AVB507" s="324"/>
      <c r="AVC507" s="324"/>
      <c r="AVD507" s="324"/>
      <c r="AVE507" s="324"/>
      <c r="AVF507" s="324"/>
      <c r="AVG507" s="324"/>
      <c r="AVH507" s="256"/>
      <c r="AVI507" s="325"/>
      <c r="AVJ507" s="311"/>
      <c r="AVK507" s="325"/>
      <c r="AVL507" s="310"/>
      <c r="AVM507" s="325"/>
      <c r="AVN507" s="325"/>
      <c r="AVO507" s="325"/>
      <c r="AVP507" s="325"/>
      <c r="AVQ507" s="325"/>
      <c r="AVR507" s="325"/>
      <c r="AVS507" s="325"/>
      <c r="AVT507" s="325"/>
      <c r="AVU507" s="325"/>
      <c r="AVV507" s="325"/>
      <c r="AVW507" s="325"/>
      <c r="AVX507" s="325"/>
      <c r="AVY507" s="325"/>
      <c r="AVZ507" s="325"/>
      <c r="AWA507" s="325"/>
      <c r="AWB507" s="325"/>
      <c r="AWC507" s="325"/>
      <c r="AWD507" s="325"/>
      <c r="AWE507" s="325"/>
      <c r="AWF507" s="325"/>
      <c r="AWG507" s="325"/>
      <c r="AWH507" s="325"/>
      <c r="AWI507" s="325"/>
      <c r="AWJ507" s="325"/>
      <c r="AWK507" s="325"/>
      <c r="AWL507" s="325"/>
      <c r="AWM507" s="325"/>
      <c r="AWN507" s="325"/>
      <c r="AWO507" s="325"/>
      <c r="AWP507" s="325"/>
      <c r="AWQ507" s="327"/>
      <c r="AWR507" s="28"/>
      <c r="AWS507" s="324"/>
      <c r="AWT507" s="324"/>
      <c r="AWU507" s="324"/>
      <c r="AWV507" s="324"/>
      <c r="AWW507" s="324"/>
      <c r="AWX507" s="324"/>
      <c r="AWY507" s="256"/>
      <c r="AWZ507" s="325"/>
      <c r="AXA507" s="311"/>
      <c r="AXB507" s="325"/>
      <c r="AXC507" s="310"/>
      <c r="AXD507" s="325"/>
      <c r="AXE507" s="325"/>
      <c r="AXF507" s="325"/>
      <c r="AXG507" s="325"/>
      <c r="AXH507" s="325"/>
      <c r="AXI507" s="325"/>
      <c r="AXJ507" s="325"/>
      <c r="AXK507" s="325"/>
      <c r="AXL507" s="325"/>
      <c r="AXM507" s="325"/>
      <c r="AXN507" s="325"/>
      <c r="AXO507" s="325"/>
      <c r="AXP507" s="325"/>
      <c r="AXQ507" s="325"/>
      <c r="AXR507" s="325"/>
      <c r="AXS507" s="325"/>
      <c r="AXT507" s="325"/>
      <c r="AXU507" s="325"/>
      <c r="AXV507" s="325"/>
      <c r="AXW507" s="325"/>
      <c r="AXX507" s="325"/>
      <c r="AXY507" s="325"/>
      <c r="AXZ507" s="325"/>
      <c r="AYA507" s="325"/>
      <c r="AYB507" s="325"/>
      <c r="AYC507" s="325"/>
      <c r="AYD507" s="325"/>
      <c r="AYE507" s="325"/>
      <c r="AYF507" s="325"/>
      <c r="AYG507" s="325"/>
      <c r="AYH507" s="327"/>
      <c r="AYI507" s="28"/>
      <c r="AYJ507" s="324"/>
      <c r="AYK507" s="324"/>
      <c r="AYL507" s="324"/>
      <c r="AYM507" s="324"/>
      <c r="AYN507" s="324"/>
      <c r="AYO507" s="324"/>
      <c r="AYP507" s="256"/>
      <c r="AYQ507" s="325"/>
      <c r="AYR507" s="311"/>
      <c r="AYS507" s="325"/>
      <c r="AYT507" s="310"/>
      <c r="AYU507" s="325"/>
      <c r="AYV507" s="325"/>
      <c r="AYW507" s="325"/>
      <c r="AYX507" s="325"/>
      <c r="AYY507" s="325"/>
      <c r="AYZ507" s="325"/>
      <c r="AZA507" s="325"/>
      <c r="AZB507" s="325"/>
      <c r="AZC507" s="325"/>
      <c r="AZD507" s="325"/>
      <c r="AZE507" s="325"/>
      <c r="AZF507" s="325"/>
      <c r="AZG507" s="325"/>
      <c r="AZH507" s="325"/>
      <c r="AZI507" s="325"/>
      <c r="AZJ507" s="325"/>
      <c r="AZK507" s="325"/>
      <c r="AZL507" s="325"/>
      <c r="AZM507" s="325"/>
      <c r="AZN507" s="325"/>
      <c r="AZO507" s="325"/>
      <c r="AZP507" s="325"/>
      <c r="AZQ507" s="325"/>
      <c r="AZR507" s="325"/>
      <c r="AZS507" s="325"/>
      <c r="AZT507" s="325"/>
      <c r="AZU507" s="325"/>
      <c r="AZV507" s="325"/>
      <c r="AZW507" s="325"/>
      <c r="AZX507" s="325"/>
      <c r="AZY507" s="327"/>
      <c r="AZZ507" s="28"/>
      <c r="BAA507" s="324"/>
      <c r="BAB507" s="324"/>
      <c r="BAC507" s="324"/>
      <c r="BAD507" s="324"/>
      <c r="BAE507" s="324"/>
      <c r="BAF507" s="324"/>
      <c r="BAG507" s="256"/>
      <c r="BAH507" s="325"/>
      <c r="BAI507" s="311"/>
      <c r="BAJ507" s="325"/>
      <c r="BAK507" s="310"/>
      <c r="BAL507" s="325"/>
      <c r="BAM507" s="325"/>
      <c r="BAN507" s="325"/>
      <c r="BAO507" s="325"/>
      <c r="BAP507" s="325"/>
      <c r="BAQ507" s="325"/>
      <c r="BAR507" s="325"/>
      <c r="BAS507" s="325"/>
      <c r="BAT507" s="325"/>
      <c r="BAU507" s="325"/>
      <c r="BAV507" s="325"/>
      <c r="BAW507" s="325"/>
      <c r="BAX507" s="325"/>
      <c r="BAY507" s="325"/>
      <c r="BAZ507" s="325"/>
      <c r="BBA507" s="325"/>
      <c r="BBB507" s="325"/>
      <c r="BBC507" s="325"/>
      <c r="BBD507" s="325"/>
      <c r="BBE507" s="325"/>
      <c r="BBF507" s="325"/>
      <c r="BBG507" s="325"/>
      <c r="BBH507" s="325"/>
      <c r="BBI507" s="325"/>
      <c r="BBJ507" s="325"/>
      <c r="BBK507" s="325"/>
      <c r="BBL507" s="325"/>
      <c r="BBM507" s="325"/>
      <c r="BBN507" s="325"/>
      <c r="BBO507" s="325"/>
      <c r="BBP507" s="327"/>
      <c r="BBQ507" s="28"/>
      <c r="BBR507" s="324"/>
      <c r="BBS507" s="324"/>
      <c r="BBT507" s="324"/>
      <c r="BBU507" s="324"/>
      <c r="BBV507" s="324"/>
      <c r="BBW507" s="324"/>
      <c r="BBX507" s="256"/>
      <c r="BBY507" s="325"/>
      <c r="BBZ507" s="311"/>
      <c r="BCA507" s="325"/>
      <c r="BCB507" s="310"/>
      <c r="BCC507" s="325"/>
      <c r="BCD507" s="325"/>
      <c r="BCE507" s="325"/>
      <c r="BCF507" s="325"/>
      <c r="BCG507" s="325"/>
      <c r="BCH507" s="325"/>
      <c r="BCI507" s="325"/>
      <c r="BCJ507" s="325"/>
      <c r="BCK507" s="325"/>
      <c r="BCL507" s="325"/>
      <c r="BCM507" s="325"/>
      <c r="BCN507" s="325"/>
      <c r="BCO507" s="325"/>
      <c r="BCP507" s="325"/>
      <c r="BCQ507" s="325"/>
      <c r="BCR507" s="325"/>
      <c r="BCS507" s="325"/>
      <c r="BCT507" s="325"/>
      <c r="BCU507" s="325"/>
      <c r="BCV507" s="325"/>
      <c r="BCW507" s="325"/>
      <c r="BCX507" s="325"/>
      <c r="BCY507" s="325"/>
      <c r="BCZ507" s="325"/>
      <c r="BDA507" s="325"/>
      <c r="BDB507" s="325"/>
      <c r="BDC507" s="325"/>
      <c r="BDD507" s="325"/>
      <c r="BDE507" s="325"/>
      <c r="BDF507" s="325"/>
      <c r="BDG507" s="327"/>
      <c r="BDH507" s="28"/>
      <c r="BDI507" s="324"/>
      <c r="BDJ507" s="324"/>
      <c r="BDK507" s="324"/>
      <c r="BDL507" s="324"/>
      <c r="BDM507" s="324"/>
      <c r="BDN507" s="324"/>
      <c r="BDO507" s="256"/>
      <c r="BDP507" s="325"/>
      <c r="BDQ507" s="311"/>
      <c r="BDR507" s="325"/>
      <c r="BDS507" s="310"/>
      <c r="BDT507" s="325"/>
      <c r="BDU507" s="325"/>
      <c r="BDV507" s="325"/>
      <c r="BDW507" s="325"/>
      <c r="BDX507" s="325"/>
      <c r="BDY507" s="325"/>
      <c r="BDZ507" s="325"/>
      <c r="BEA507" s="325"/>
      <c r="BEB507" s="325"/>
      <c r="BEC507" s="325"/>
      <c r="BED507" s="325"/>
      <c r="BEE507" s="325"/>
      <c r="BEF507" s="325"/>
      <c r="BEG507" s="325"/>
      <c r="BEH507" s="325"/>
      <c r="BEI507" s="325"/>
      <c r="BEJ507" s="325"/>
      <c r="BEK507" s="325"/>
      <c r="BEL507" s="325"/>
      <c r="BEM507" s="325"/>
      <c r="BEN507" s="325"/>
      <c r="BEO507" s="325"/>
      <c r="BEP507" s="325"/>
      <c r="BEQ507" s="325"/>
      <c r="BER507" s="325"/>
      <c r="BES507" s="325"/>
      <c r="BET507" s="325"/>
      <c r="BEU507" s="325"/>
      <c r="BEV507" s="325"/>
      <c r="BEW507" s="325"/>
      <c r="BEX507" s="327"/>
      <c r="BEY507" s="28"/>
      <c r="BEZ507" s="324"/>
      <c r="BFA507" s="324"/>
      <c r="BFB507" s="324"/>
      <c r="BFC507" s="324"/>
      <c r="BFD507" s="324"/>
      <c r="BFE507" s="324"/>
      <c r="BFF507" s="256"/>
      <c r="BFG507" s="325"/>
      <c r="BFH507" s="311"/>
      <c r="BFI507" s="325"/>
      <c r="BFJ507" s="310"/>
      <c r="BFK507" s="325"/>
      <c r="BFL507" s="325"/>
      <c r="BFM507" s="325"/>
      <c r="BFN507" s="325"/>
      <c r="BFO507" s="325"/>
      <c r="BFP507" s="325"/>
      <c r="BFQ507" s="325"/>
      <c r="BFR507" s="325"/>
      <c r="BFS507" s="325"/>
      <c r="BFT507" s="325"/>
      <c r="BFU507" s="325"/>
      <c r="BFV507" s="325"/>
      <c r="BFW507" s="325"/>
      <c r="BFX507" s="325"/>
      <c r="BFY507" s="325"/>
      <c r="BFZ507" s="325"/>
      <c r="BGA507" s="325"/>
      <c r="BGB507" s="325"/>
      <c r="BGC507" s="325"/>
      <c r="BGD507" s="325"/>
      <c r="BGE507" s="325"/>
      <c r="BGF507" s="325"/>
      <c r="BGG507" s="325"/>
      <c r="BGH507" s="325"/>
      <c r="BGI507" s="325"/>
      <c r="BGJ507" s="325"/>
      <c r="BGK507" s="325"/>
      <c r="BGL507" s="325"/>
      <c r="BGM507" s="325"/>
      <c r="BGN507" s="325"/>
      <c r="BGO507" s="327"/>
      <c r="BGP507" s="28"/>
      <c r="BGQ507" s="324"/>
      <c r="BGR507" s="324"/>
      <c r="BGS507" s="324"/>
      <c r="BGT507" s="324"/>
      <c r="BGU507" s="324"/>
      <c r="BGV507" s="324"/>
      <c r="BGW507" s="256"/>
      <c r="BGX507" s="325"/>
      <c r="BGY507" s="311"/>
      <c r="BGZ507" s="325"/>
      <c r="BHA507" s="310"/>
      <c r="BHB507" s="325"/>
      <c r="BHC507" s="325"/>
      <c r="BHD507" s="325"/>
      <c r="BHE507" s="325"/>
      <c r="BHF507" s="325"/>
      <c r="BHG507" s="325"/>
      <c r="BHH507" s="325"/>
      <c r="BHI507" s="325"/>
      <c r="BHJ507" s="325"/>
      <c r="BHK507" s="325"/>
      <c r="BHL507" s="325"/>
      <c r="BHM507" s="325"/>
      <c r="BHN507" s="325"/>
      <c r="BHO507" s="325"/>
      <c r="BHP507" s="325"/>
      <c r="BHQ507" s="325"/>
      <c r="BHR507" s="325"/>
      <c r="BHS507" s="325"/>
      <c r="BHT507" s="325"/>
      <c r="BHU507" s="325"/>
      <c r="BHV507" s="325"/>
      <c r="BHW507" s="325"/>
      <c r="BHX507" s="325"/>
      <c r="BHY507" s="325"/>
      <c r="BHZ507" s="325"/>
      <c r="BIA507" s="325"/>
      <c r="BIB507" s="325"/>
      <c r="BIC507" s="325"/>
      <c r="BID507" s="325"/>
      <c r="BIE507" s="325"/>
      <c r="BIF507" s="327"/>
      <c r="BIG507" s="28"/>
      <c r="BIH507" s="324"/>
      <c r="BII507" s="324"/>
      <c r="BIJ507" s="324"/>
      <c r="BIK507" s="324"/>
      <c r="BIL507" s="324"/>
      <c r="BIM507" s="324"/>
      <c r="BIN507" s="256"/>
      <c r="BIO507" s="325"/>
      <c r="BIP507" s="311"/>
      <c r="BIQ507" s="325"/>
      <c r="BIR507" s="310"/>
      <c r="BIS507" s="325"/>
      <c r="BIT507" s="325"/>
      <c r="BIU507" s="325"/>
      <c r="BIV507" s="325"/>
      <c r="BIW507" s="325"/>
      <c r="BIX507" s="325"/>
      <c r="BIY507" s="325"/>
      <c r="BIZ507" s="325"/>
      <c r="BJA507" s="325"/>
      <c r="BJB507" s="325"/>
      <c r="BJC507" s="325"/>
      <c r="BJD507" s="325"/>
      <c r="BJE507" s="325"/>
      <c r="BJF507" s="325"/>
      <c r="BJG507" s="325"/>
      <c r="BJH507" s="325"/>
      <c r="BJI507" s="325"/>
      <c r="BJJ507" s="325"/>
      <c r="BJK507" s="325"/>
      <c r="BJL507" s="325"/>
      <c r="BJM507" s="325"/>
      <c r="BJN507" s="325"/>
      <c r="BJO507" s="325"/>
      <c r="BJP507" s="325"/>
      <c r="BJQ507" s="325"/>
      <c r="BJR507" s="325"/>
      <c r="BJS507" s="325"/>
      <c r="BJT507" s="325"/>
      <c r="BJU507" s="325"/>
      <c r="BJV507" s="325"/>
      <c r="BJW507" s="327"/>
      <c r="BJX507" s="28"/>
      <c r="BJY507" s="324"/>
      <c r="BJZ507" s="324"/>
      <c r="BKA507" s="324"/>
      <c r="BKB507" s="324"/>
      <c r="BKC507" s="324"/>
      <c r="BKD507" s="324"/>
      <c r="BKE507" s="256"/>
      <c r="BKF507" s="325"/>
      <c r="BKG507" s="311"/>
      <c r="BKH507" s="325"/>
      <c r="BKI507" s="310"/>
      <c r="BKJ507" s="325"/>
      <c r="BKK507" s="325"/>
      <c r="BKL507" s="325"/>
      <c r="BKM507" s="325"/>
      <c r="BKN507" s="325"/>
      <c r="BKO507" s="325"/>
      <c r="BKP507" s="325"/>
      <c r="BKQ507" s="325"/>
      <c r="BKR507" s="325"/>
      <c r="BKS507" s="325"/>
      <c r="BKT507" s="325"/>
      <c r="BKU507" s="325"/>
      <c r="BKV507" s="325"/>
      <c r="BKW507" s="325"/>
      <c r="BKX507" s="325"/>
      <c r="BKY507" s="325"/>
      <c r="BKZ507" s="325"/>
      <c r="BLA507" s="325"/>
      <c r="BLB507" s="325"/>
      <c r="BLC507" s="325"/>
      <c r="BLD507" s="325"/>
      <c r="BLE507" s="325"/>
      <c r="BLF507" s="325"/>
      <c r="BLG507" s="325"/>
      <c r="BLH507" s="325"/>
      <c r="BLI507" s="325"/>
      <c r="BLJ507" s="325"/>
      <c r="BLK507" s="325"/>
      <c r="BLL507" s="325"/>
      <c r="BLM507" s="325"/>
      <c r="BLN507" s="327"/>
      <c r="BLO507" s="28"/>
      <c r="BLP507" s="324"/>
      <c r="BLQ507" s="324"/>
      <c r="BLR507" s="324"/>
      <c r="BLS507" s="324"/>
      <c r="BLT507" s="324"/>
      <c r="BLU507" s="324"/>
      <c r="BLV507" s="256"/>
      <c r="BLW507" s="325"/>
      <c r="BLX507" s="311"/>
      <c r="BLY507" s="325"/>
      <c r="BLZ507" s="310"/>
      <c r="BMA507" s="325"/>
      <c r="BMB507" s="325"/>
      <c r="BMC507" s="325"/>
      <c r="BMD507" s="325"/>
      <c r="BME507" s="325"/>
      <c r="BMF507" s="325"/>
      <c r="BMG507" s="325"/>
      <c r="BMH507" s="325"/>
      <c r="BMI507" s="325"/>
      <c r="BMJ507" s="325"/>
      <c r="BMK507" s="325"/>
      <c r="BML507" s="325"/>
      <c r="BMM507" s="325"/>
      <c r="BMN507" s="325"/>
      <c r="BMO507" s="325"/>
      <c r="BMP507" s="325"/>
      <c r="BMQ507" s="325"/>
      <c r="BMR507" s="325"/>
      <c r="BMS507" s="325"/>
      <c r="BMT507" s="325"/>
      <c r="BMU507" s="325"/>
      <c r="BMV507" s="325"/>
      <c r="BMW507" s="325"/>
      <c r="BMX507" s="325"/>
      <c r="BMY507" s="325"/>
      <c r="BMZ507" s="325"/>
      <c r="BNA507" s="325"/>
      <c r="BNB507" s="325"/>
      <c r="BNC507" s="325"/>
      <c r="BND507" s="325"/>
      <c r="BNE507" s="327"/>
      <c r="BNF507" s="28"/>
      <c r="BNG507" s="324"/>
      <c r="BNH507" s="324"/>
      <c r="BNI507" s="324"/>
      <c r="BNJ507" s="324"/>
      <c r="BNK507" s="324"/>
      <c r="BNL507" s="324"/>
      <c r="BNM507" s="256"/>
      <c r="BNN507" s="325"/>
      <c r="BNO507" s="311"/>
      <c r="BNP507" s="325"/>
      <c r="BNQ507" s="310"/>
      <c r="BNR507" s="325"/>
      <c r="BNS507" s="325"/>
      <c r="BNT507" s="325"/>
      <c r="BNU507" s="325"/>
      <c r="BNV507" s="325"/>
      <c r="BNW507" s="325"/>
      <c r="BNX507" s="325"/>
      <c r="BNY507" s="325"/>
      <c r="BNZ507" s="325"/>
      <c r="BOA507" s="325"/>
      <c r="BOB507" s="325"/>
      <c r="BOC507" s="325"/>
      <c r="BOD507" s="325"/>
      <c r="BOE507" s="325"/>
      <c r="BOF507" s="325"/>
      <c r="BOG507" s="325"/>
      <c r="BOH507" s="325"/>
      <c r="BOI507" s="325"/>
      <c r="BOJ507" s="325"/>
      <c r="BOK507" s="325"/>
      <c r="BOL507" s="325"/>
      <c r="BOM507" s="325"/>
      <c r="BON507" s="325"/>
      <c r="BOO507" s="325"/>
      <c r="BOP507" s="325"/>
      <c r="BOQ507" s="325"/>
      <c r="BOR507" s="325"/>
      <c r="BOS507" s="325"/>
      <c r="BOT507" s="325"/>
      <c r="BOU507" s="325"/>
      <c r="BOV507" s="327"/>
      <c r="BOW507" s="28"/>
      <c r="BOX507" s="324"/>
      <c r="BOY507" s="324"/>
      <c r="BOZ507" s="324"/>
      <c r="BPA507" s="324"/>
      <c r="BPB507" s="324"/>
      <c r="BPC507" s="324"/>
      <c r="BPD507" s="256"/>
      <c r="BPE507" s="325"/>
      <c r="BPF507" s="311"/>
      <c r="BPG507" s="325"/>
      <c r="BPH507" s="310"/>
      <c r="BPI507" s="325"/>
      <c r="BPJ507" s="325"/>
      <c r="BPK507" s="325"/>
      <c r="BPL507" s="325"/>
      <c r="BPM507" s="325"/>
      <c r="BPN507" s="325"/>
      <c r="BPO507" s="325"/>
      <c r="BPP507" s="325"/>
      <c r="BPQ507" s="325"/>
      <c r="BPR507" s="325"/>
      <c r="BPS507" s="325"/>
      <c r="BPT507" s="325"/>
      <c r="BPU507" s="325"/>
      <c r="BPV507" s="325"/>
      <c r="BPW507" s="325"/>
      <c r="BPX507" s="325"/>
      <c r="BPY507" s="325"/>
      <c r="BPZ507" s="325"/>
      <c r="BQA507" s="325"/>
      <c r="BQB507" s="325"/>
      <c r="BQC507" s="325"/>
      <c r="BQD507" s="325"/>
      <c r="BQE507" s="325"/>
      <c r="BQF507" s="325"/>
      <c r="BQG507" s="325"/>
      <c r="BQH507" s="325"/>
      <c r="BQI507" s="325"/>
      <c r="BQJ507" s="325"/>
      <c r="BQK507" s="325"/>
      <c r="BQL507" s="325"/>
      <c r="BQM507" s="327"/>
      <c r="BQN507" s="28"/>
      <c r="BQO507" s="324"/>
      <c r="BQP507" s="324"/>
      <c r="BQQ507" s="324"/>
      <c r="BQR507" s="324"/>
      <c r="BQS507" s="324"/>
      <c r="BQT507" s="324"/>
      <c r="BQU507" s="256"/>
      <c r="BQV507" s="325"/>
      <c r="BQW507" s="311"/>
      <c r="BQX507" s="325"/>
      <c r="BQY507" s="310"/>
      <c r="BQZ507" s="325"/>
      <c r="BRA507" s="325"/>
      <c r="BRB507" s="325"/>
      <c r="BRC507" s="325"/>
      <c r="BRD507" s="325"/>
      <c r="BRE507" s="325"/>
      <c r="BRF507" s="325"/>
      <c r="BRG507" s="325"/>
      <c r="BRH507" s="325"/>
      <c r="BRI507" s="325"/>
      <c r="BRJ507" s="325"/>
      <c r="BRK507" s="325"/>
      <c r="BRL507" s="325"/>
      <c r="BRM507" s="325"/>
      <c r="BRN507" s="325"/>
      <c r="BRO507" s="325"/>
      <c r="BRP507" s="325"/>
      <c r="BRQ507" s="325"/>
      <c r="BRR507" s="325"/>
      <c r="BRS507" s="325"/>
      <c r="BRT507" s="325"/>
      <c r="BRU507" s="325"/>
      <c r="BRV507" s="325"/>
      <c r="BRW507" s="325"/>
      <c r="BRX507" s="325"/>
      <c r="BRY507" s="325"/>
      <c r="BRZ507" s="325"/>
      <c r="BSA507" s="325"/>
      <c r="BSB507" s="325"/>
      <c r="BSC507" s="325"/>
      <c r="BSD507" s="327"/>
      <c r="BSE507" s="28"/>
      <c r="BSF507" s="324"/>
      <c r="BSG507" s="324"/>
      <c r="BSH507" s="324"/>
      <c r="BSI507" s="324"/>
      <c r="BSJ507" s="324"/>
      <c r="BSK507" s="324"/>
      <c r="BSL507" s="256"/>
      <c r="BSM507" s="325"/>
      <c r="BSN507" s="311"/>
      <c r="BSO507" s="325"/>
      <c r="BSP507" s="310"/>
      <c r="BSQ507" s="325"/>
      <c r="BSR507" s="325"/>
      <c r="BSS507" s="325"/>
      <c r="BST507" s="325"/>
      <c r="BSU507" s="325"/>
      <c r="BSV507" s="325"/>
      <c r="BSW507" s="325"/>
      <c r="BSX507" s="325"/>
      <c r="BSY507" s="325"/>
      <c r="BSZ507" s="325"/>
      <c r="BTA507" s="325"/>
      <c r="BTB507" s="325"/>
      <c r="BTC507" s="325"/>
      <c r="BTD507" s="325"/>
      <c r="BTE507" s="325"/>
      <c r="BTF507" s="325"/>
      <c r="BTG507" s="325"/>
      <c r="BTH507" s="325"/>
      <c r="BTI507" s="325"/>
      <c r="BTJ507" s="325"/>
      <c r="BTK507" s="325"/>
      <c r="BTL507" s="325"/>
      <c r="BTM507" s="325"/>
      <c r="BTN507" s="325"/>
      <c r="BTO507" s="325"/>
      <c r="BTP507" s="325"/>
      <c r="BTQ507" s="325"/>
      <c r="BTR507" s="325"/>
      <c r="BTS507" s="325"/>
      <c r="BTT507" s="325"/>
      <c r="BTU507" s="327"/>
      <c r="BTV507" s="28"/>
      <c r="BTW507" s="324"/>
      <c r="BTX507" s="324"/>
      <c r="BTY507" s="324"/>
      <c r="BTZ507" s="324"/>
      <c r="BUA507" s="324"/>
      <c r="BUB507" s="324"/>
      <c r="BUC507" s="256"/>
      <c r="BUD507" s="325"/>
      <c r="BUE507" s="311"/>
      <c r="BUF507" s="325"/>
      <c r="BUG507" s="310"/>
      <c r="BUH507" s="325"/>
      <c r="BUI507" s="325"/>
      <c r="BUJ507" s="325"/>
      <c r="BUK507" s="325"/>
      <c r="BUL507" s="325"/>
      <c r="BUM507" s="325"/>
      <c r="BUN507" s="325"/>
      <c r="BUO507" s="325"/>
      <c r="BUP507" s="325"/>
      <c r="BUQ507" s="325"/>
      <c r="BUR507" s="325"/>
      <c r="BUS507" s="325"/>
      <c r="BUT507" s="325"/>
      <c r="BUU507" s="325"/>
      <c r="BUV507" s="325"/>
      <c r="BUW507" s="325"/>
      <c r="BUX507" s="325"/>
      <c r="BUY507" s="325"/>
      <c r="BUZ507" s="325"/>
      <c r="BVA507" s="325"/>
      <c r="BVB507" s="325"/>
      <c r="BVC507" s="325"/>
      <c r="BVD507" s="325"/>
      <c r="BVE507" s="325"/>
      <c r="BVF507" s="325"/>
      <c r="BVG507" s="325"/>
      <c r="BVH507" s="325"/>
      <c r="BVI507" s="325"/>
      <c r="BVJ507" s="325"/>
      <c r="BVK507" s="325"/>
      <c r="BVL507" s="327"/>
      <c r="BVM507" s="28"/>
      <c r="BVN507" s="324"/>
      <c r="BVO507" s="324"/>
      <c r="BVP507" s="324"/>
      <c r="BVQ507" s="324"/>
      <c r="BVR507" s="324"/>
      <c r="BVS507" s="324"/>
      <c r="BVT507" s="256"/>
      <c r="BVU507" s="325"/>
      <c r="BVV507" s="311"/>
      <c r="BVW507" s="325"/>
      <c r="BVX507" s="310"/>
      <c r="BVY507" s="325"/>
      <c r="BVZ507" s="325"/>
      <c r="BWA507" s="325"/>
      <c r="BWB507" s="325"/>
      <c r="BWC507" s="325"/>
      <c r="BWD507" s="325"/>
      <c r="BWE507" s="325"/>
      <c r="BWF507" s="325"/>
      <c r="BWG507" s="325"/>
      <c r="BWH507" s="325"/>
      <c r="BWI507" s="325"/>
      <c r="BWJ507" s="325"/>
      <c r="BWK507" s="325"/>
      <c r="BWL507" s="325"/>
      <c r="BWM507" s="325"/>
      <c r="BWN507" s="325"/>
      <c r="BWO507" s="325"/>
      <c r="BWP507" s="325"/>
      <c r="BWQ507" s="325"/>
      <c r="BWR507" s="325"/>
      <c r="BWS507" s="325"/>
      <c r="BWT507" s="325"/>
      <c r="BWU507" s="325"/>
      <c r="BWV507" s="325"/>
      <c r="BWW507" s="325"/>
      <c r="BWX507" s="325"/>
      <c r="BWY507" s="325"/>
      <c r="BWZ507" s="325"/>
      <c r="BXA507" s="325"/>
      <c r="BXB507" s="325"/>
      <c r="BXC507" s="327"/>
      <c r="BXD507" s="28"/>
      <c r="BXE507" s="324"/>
      <c r="BXF507" s="324"/>
      <c r="BXG507" s="324"/>
      <c r="BXH507" s="324"/>
      <c r="BXI507" s="324"/>
      <c r="BXJ507" s="324"/>
      <c r="BXK507" s="256"/>
      <c r="BXL507" s="325"/>
      <c r="BXM507" s="311"/>
      <c r="BXN507" s="325"/>
      <c r="BXO507" s="310"/>
      <c r="BXP507" s="325"/>
      <c r="BXQ507" s="325"/>
      <c r="BXR507" s="325"/>
      <c r="BXS507" s="325"/>
      <c r="BXT507" s="325"/>
      <c r="BXU507" s="325"/>
      <c r="BXV507" s="325"/>
      <c r="BXW507" s="325"/>
      <c r="BXX507" s="325"/>
      <c r="BXY507" s="325"/>
      <c r="BXZ507" s="325"/>
      <c r="BYA507" s="325"/>
      <c r="BYB507" s="325"/>
      <c r="BYC507" s="325"/>
      <c r="BYD507" s="325"/>
      <c r="BYE507" s="325"/>
      <c r="BYF507" s="325"/>
      <c r="BYG507" s="325"/>
      <c r="BYH507" s="325"/>
      <c r="BYI507" s="325"/>
      <c r="BYJ507" s="325"/>
      <c r="BYK507" s="325"/>
      <c r="BYL507" s="325"/>
      <c r="BYM507" s="325"/>
      <c r="BYN507" s="325"/>
      <c r="BYO507" s="325"/>
      <c r="BYP507" s="325"/>
      <c r="BYQ507" s="325"/>
      <c r="BYR507" s="325"/>
      <c r="BYS507" s="325"/>
      <c r="BYT507" s="327"/>
      <c r="BYU507" s="28"/>
      <c r="BYV507" s="324"/>
      <c r="BYW507" s="324"/>
      <c r="BYX507" s="324"/>
      <c r="BYY507" s="324"/>
      <c r="BYZ507" s="324"/>
      <c r="BZA507" s="324"/>
      <c r="BZB507" s="256"/>
      <c r="BZC507" s="325"/>
      <c r="BZD507" s="311"/>
      <c r="BZE507" s="325"/>
      <c r="BZF507" s="310"/>
      <c r="BZG507" s="325"/>
      <c r="BZH507" s="325"/>
      <c r="BZI507" s="325"/>
      <c r="BZJ507" s="325"/>
      <c r="BZK507" s="325"/>
      <c r="BZL507" s="325"/>
      <c r="BZM507" s="325"/>
      <c r="BZN507" s="325"/>
      <c r="BZO507" s="325"/>
      <c r="BZP507" s="325"/>
      <c r="BZQ507" s="325"/>
      <c r="BZR507" s="325"/>
      <c r="BZS507" s="325"/>
      <c r="BZT507" s="325"/>
      <c r="BZU507" s="325"/>
      <c r="BZV507" s="325"/>
      <c r="BZW507" s="325"/>
      <c r="BZX507" s="325"/>
      <c r="BZY507" s="325"/>
      <c r="BZZ507" s="325"/>
      <c r="CAA507" s="325"/>
      <c r="CAB507" s="325"/>
      <c r="CAC507" s="325"/>
      <c r="CAD507" s="325"/>
      <c r="CAE507" s="325"/>
      <c r="CAF507" s="325"/>
      <c r="CAG507" s="325"/>
      <c r="CAH507" s="325"/>
      <c r="CAI507" s="325"/>
      <c r="CAJ507" s="325"/>
      <c r="CAK507" s="327"/>
      <c r="CAL507" s="28"/>
      <c r="CAM507" s="324"/>
      <c r="CAN507" s="324"/>
      <c r="CAO507" s="324"/>
      <c r="CAP507" s="324"/>
      <c r="CAQ507" s="324"/>
      <c r="CAR507" s="324"/>
      <c r="CAS507" s="256"/>
      <c r="CAT507" s="325"/>
      <c r="CAU507" s="311"/>
      <c r="CAV507" s="325"/>
      <c r="CAW507" s="310"/>
      <c r="CAX507" s="325"/>
      <c r="CAY507" s="325"/>
      <c r="CAZ507" s="325"/>
      <c r="CBA507" s="325"/>
      <c r="CBB507" s="325"/>
      <c r="CBC507" s="325"/>
      <c r="CBD507" s="325"/>
      <c r="CBE507" s="325"/>
      <c r="CBF507" s="325"/>
      <c r="CBG507" s="325"/>
      <c r="CBH507" s="325"/>
      <c r="CBI507" s="325"/>
      <c r="CBJ507" s="325"/>
      <c r="CBK507" s="325"/>
      <c r="CBL507" s="325"/>
      <c r="CBM507" s="325"/>
      <c r="CBN507" s="325"/>
      <c r="CBO507" s="325"/>
      <c r="CBP507" s="325"/>
      <c r="CBQ507" s="325"/>
      <c r="CBR507" s="325"/>
      <c r="CBS507" s="325"/>
      <c r="CBT507" s="325"/>
      <c r="CBU507" s="325"/>
      <c r="CBV507" s="325"/>
      <c r="CBW507" s="325"/>
      <c r="CBX507" s="325"/>
      <c r="CBY507" s="325"/>
      <c r="CBZ507" s="325"/>
      <c r="CCA507" s="325"/>
      <c r="CCB507" s="327"/>
      <c r="CCC507" s="28"/>
      <c r="CCD507" s="324"/>
      <c r="CCE507" s="324"/>
      <c r="CCF507" s="324"/>
      <c r="CCG507" s="324"/>
      <c r="CCH507" s="324"/>
      <c r="CCI507" s="324"/>
      <c r="CCJ507" s="256"/>
      <c r="CCK507" s="325"/>
      <c r="CCL507" s="311"/>
      <c r="CCM507" s="325"/>
      <c r="CCN507" s="310"/>
      <c r="CCO507" s="325"/>
      <c r="CCP507" s="325"/>
      <c r="CCQ507" s="325"/>
      <c r="CCR507" s="325"/>
      <c r="CCS507" s="325"/>
      <c r="CCT507" s="325"/>
      <c r="CCU507" s="325"/>
      <c r="CCV507" s="325"/>
      <c r="CCW507" s="325"/>
      <c r="CCX507" s="325"/>
      <c r="CCY507" s="325"/>
      <c r="CCZ507" s="325"/>
      <c r="CDA507" s="325"/>
      <c r="CDB507" s="325"/>
      <c r="CDC507" s="325"/>
      <c r="CDD507" s="325"/>
      <c r="CDE507" s="325"/>
      <c r="CDF507" s="325"/>
      <c r="CDG507" s="325"/>
      <c r="CDH507" s="325"/>
      <c r="CDI507" s="325"/>
      <c r="CDJ507" s="325"/>
      <c r="CDK507" s="325"/>
      <c r="CDL507" s="325"/>
      <c r="CDM507" s="325"/>
      <c r="CDN507" s="325"/>
      <c r="CDO507" s="325"/>
      <c r="CDP507" s="325"/>
      <c r="CDQ507" s="325"/>
      <c r="CDR507" s="325"/>
      <c r="CDS507" s="327"/>
      <c r="CDT507" s="28"/>
      <c r="CDU507" s="324"/>
      <c r="CDV507" s="324"/>
      <c r="CDW507" s="324"/>
      <c r="CDX507" s="324"/>
      <c r="CDY507" s="324"/>
      <c r="CDZ507" s="324"/>
      <c r="CEA507" s="256"/>
      <c r="CEB507" s="325"/>
      <c r="CEC507" s="311"/>
      <c r="CED507" s="325"/>
      <c r="CEE507" s="310"/>
      <c r="CEF507" s="325"/>
      <c r="CEG507" s="325"/>
      <c r="CEH507" s="325"/>
      <c r="CEI507" s="325"/>
      <c r="CEJ507" s="325"/>
      <c r="CEK507" s="325"/>
      <c r="CEL507" s="325"/>
      <c r="CEM507" s="325"/>
      <c r="CEN507" s="325"/>
      <c r="CEO507" s="325"/>
      <c r="CEP507" s="325"/>
      <c r="CEQ507" s="325"/>
      <c r="CER507" s="325"/>
      <c r="CES507" s="325"/>
      <c r="CET507" s="325"/>
      <c r="CEU507" s="325"/>
      <c r="CEV507" s="325"/>
      <c r="CEW507" s="325"/>
      <c r="CEX507" s="325"/>
      <c r="CEY507" s="325"/>
      <c r="CEZ507" s="325"/>
      <c r="CFA507" s="325"/>
      <c r="CFB507" s="325"/>
      <c r="CFC507" s="325"/>
      <c r="CFD507" s="325"/>
      <c r="CFE507" s="325"/>
      <c r="CFF507" s="325"/>
      <c r="CFG507" s="325"/>
      <c r="CFH507" s="325"/>
      <c r="CFI507" s="325"/>
      <c r="CFJ507" s="327"/>
      <c r="CFK507" s="28"/>
      <c r="CFL507" s="324"/>
      <c r="CFM507" s="324"/>
      <c r="CFN507" s="324"/>
      <c r="CFO507" s="324"/>
      <c r="CFP507" s="324"/>
      <c r="CFQ507" s="324"/>
      <c r="CFR507" s="256"/>
      <c r="CFS507" s="325"/>
      <c r="CFT507" s="311"/>
      <c r="CFU507" s="325"/>
      <c r="CFV507" s="310"/>
      <c r="CFW507" s="325"/>
      <c r="CFX507" s="325"/>
      <c r="CFY507" s="325"/>
      <c r="CFZ507" s="325"/>
      <c r="CGA507" s="325"/>
      <c r="CGB507" s="325"/>
      <c r="CGC507" s="325"/>
      <c r="CGD507" s="325"/>
      <c r="CGE507" s="325"/>
      <c r="CGF507" s="325"/>
      <c r="CGG507" s="325"/>
      <c r="CGH507" s="325"/>
      <c r="CGI507" s="325"/>
      <c r="CGJ507" s="325"/>
      <c r="CGK507" s="325"/>
      <c r="CGL507" s="325"/>
      <c r="CGM507" s="325"/>
      <c r="CGN507" s="325"/>
      <c r="CGO507" s="325"/>
      <c r="CGP507" s="325"/>
      <c r="CGQ507" s="325"/>
      <c r="CGR507" s="325"/>
      <c r="CGS507" s="325"/>
      <c r="CGT507" s="325"/>
      <c r="CGU507" s="325"/>
      <c r="CGV507" s="325"/>
      <c r="CGW507" s="325"/>
      <c r="CGX507" s="325"/>
      <c r="CGY507" s="325"/>
      <c r="CGZ507" s="325"/>
      <c r="CHA507" s="327"/>
      <c r="CHB507" s="28"/>
      <c r="CHC507" s="324"/>
      <c r="CHD507" s="324"/>
      <c r="CHE507" s="324"/>
      <c r="CHF507" s="324"/>
      <c r="CHG507" s="324"/>
      <c r="CHH507" s="324"/>
      <c r="CHI507" s="256"/>
      <c r="CHJ507" s="325"/>
      <c r="CHK507" s="311"/>
      <c r="CHL507" s="325"/>
      <c r="CHM507" s="310"/>
      <c r="CHN507" s="325"/>
      <c r="CHO507" s="325"/>
      <c r="CHP507" s="325"/>
      <c r="CHQ507" s="325"/>
      <c r="CHR507" s="325"/>
      <c r="CHS507" s="325"/>
      <c r="CHT507" s="325"/>
      <c r="CHU507" s="325"/>
      <c r="CHV507" s="325"/>
      <c r="CHW507" s="325"/>
      <c r="CHX507" s="325"/>
      <c r="CHY507" s="325"/>
      <c r="CHZ507" s="325"/>
      <c r="CIA507" s="325"/>
      <c r="CIB507" s="325"/>
      <c r="CIC507" s="325"/>
      <c r="CID507" s="325"/>
      <c r="CIE507" s="325"/>
      <c r="CIF507" s="325"/>
      <c r="CIG507" s="325"/>
      <c r="CIH507" s="325"/>
      <c r="CII507" s="325"/>
      <c r="CIJ507" s="325"/>
      <c r="CIK507" s="325"/>
      <c r="CIL507" s="325"/>
      <c r="CIM507" s="325"/>
      <c r="CIN507" s="325"/>
      <c r="CIO507" s="325"/>
      <c r="CIP507" s="325"/>
      <c r="CIQ507" s="325"/>
      <c r="CIR507" s="327"/>
      <c r="CIS507" s="28"/>
      <c r="CIT507" s="324"/>
      <c r="CIU507" s="324"/>
      <c r="CIV507" s="324"/>
      <c r="CIW507" s="324"/>
      <c r="CIX507" s="324"/>
      <c r="CIY507" s="324"/>
      <c r="CIZ507" s="256"/>
      <c r="CJA507" s="325"/>
      <c r="CJB507" s="311"/>
      <c r="CJC507" s="325"/>
      <c r="CJD507" s="310"/>
      <c r="CJE507" s="325"/>
      <c r="CJF507" s="325"/>
      <c r="CJG507" s="325"/>
      <c r="CJH507" s="325"/>
      <c r="CJI507" s="325"/>
      <c r="CJJ507" s="325"/>
      <c r="CJK507" s="325"/>
      <c r="CJL507" s="325"/>
      <c r="CJM507" s="325"/>
      <c r="CJN507" s="325"/>
      <c r="CJO507" s="325"/>
      <c r="CJP507" s="325"/>
      <c r="CJQ507" s="325"/>
      <c r="CJR507" s="325"/>
      <c r="CJS507" s="325"/>
      <c r="CJT507" s="325"/>
      <c r="CJU507" s="325"/>
      <c r="CJV507" s="325"/>
      <c r="CJW507" s="325"/>
      <c r="CJX507" s="325"/>
      <c r="CJY507" s="325"/>
      <c r="CJZ507" s="325"/>
      <c r="CKA507" s="325"/>
      <c r="CKB507" s="325"/>
      <c r="CKC507" s="325"/>
      <c r="CKD507" s="325"/>
      <c r="CKE507" s="325"/>
      <c r="CKF507" s="325"/>
      <c r="CKG507" s="325"/>
      <c r="CKH507" s="325"/>
      <c r="CKI507" s="327"/>
      <c r="CKJ507" s="28"/>
      <c r="CKK507" s="324"/>
      <c r="CKL507" s="324"/>
      <c r="CKM507" s="324"/>
      <c r="CKN507" s="324"/>
      <c r="CKO507" s="324"/>
      <c r="CKP507" s="324"/>
      <c r="CKQ507" s="256"/>
      <c r="CKR507" s="325"/>
      <c r="CKS507" s="311"/>
      <c r="CKT507" s="325"/>
      <c r="CKU507" s="310"/>
      <c r="CKV507" s="325"/>
      <c r="CKW507" s="325"/>
      <c r="CKX507" s="325"/>
      <c r="CKY507" s="325"/>
      <c r="CKZ507" s="325"/>
      <c r="CLA507" s="325"/>
      <c r="CLB507" s="325"/>
      <c r="CLC507" s="325"/>
      <c r="CLD507" s="325"/>
      <c r="CLE507" s="325"/>
      <c r="CLF507" s="325"/>
      <c r="CLG507" s="325"/>
      <c r="CLH507" s="325"/>
      <c r="CLI507" s="325"/>
      <c r="CLJ507" s="325"/>
      <c r="CLK507" s="325"/>
      <c r="CLL507" s="325"/>
      <c r="CLM507" s="325"/>
      <c r="CLN507" s="325"/>
      <c r="CLO507" s="325"/>
      <c r="CLP507" s="325"/>
      <c r="CLQ507" s="325"/>
      <c r="CLR507" s="325"/>
      <c r="CLS507" s="325"/>
      <c r="CLT507" s="325"/>
      <c r="CLU507" s="325"/>
      <c r="CLV507" s="325"/>
      <c r="CLW507" s="325"/>
      <c r="CLX507" s="325"/>
      <c r="CLY507" s="325"/>
      <c r="CLZ507" s="327"/>
      <c r="CMA507" s="28"/>
      <c r="CMB507" s="324"/>
      <c r="CMC507" s="324"/>
      <c r="CMD507" s="324"/>
      <c r="CME507" s="324"/>
      <c r="CMF507" s="324"/>
      <c r="CMG507" s="324"/>
      <c r="CMH507" s="256"/>
      <c r="CMI507" s="325"/>
      <c r="CMJ507" s="311"/>
      <c r="CMK507" s="325"/>
      <c r="CML507" s="310"/>
      <c r="CMM507" s="325"/>
      <c r="CMN507" s="325"/>
      <c r="CMO507" s="325"/>
      <c r="CMP507" s="325"/>
      <c r="CMQ507" s="325"/>
      <c r="CMR507" s="325"/>
      <c r="CMS507" s="325"/>
      <c r="CMT507" s="325"/>
      <c r="CMU507" s="325"/>
      <c r="CMV507" s="325"/>
      <c r="CMW507" s="325"/>
      <c r="CMX507" s="325"/>
      <c r="CMY507" s="325"/>
      <c r="CMZ507" s="325"/>
      <c r="CNA507" s="325"/>
      <c r="CNB507" s="325"/>
      <c r="CNC507" s="325"/>
      <c r="CND507" s="325"/>
      <c r="CNE507" s="325"/>
      <c r="CNF507" s="325"/>
      <c r="CNG507" s="325"/>
      <c r="CNH507" s="325"/>
      <c r="CNI507" s="325"/>
      <c r="CNJ507" s="325"/>
      <c r="CNK507" s="325"/>
      <c r="CNL507" s="325"/>
      <c r="CNM507" s="325"/>
      <c r="CNN507" s="325"/>
      <c r="CNO507" s="325"/>
      <c r="CNP507" s="325"/>
      <c r="CNQ507" s="327"/>
      <c r="CNR507" s="28"/>
      <c r="CNS507" s="324"/>
      <c r="CNT507" s="324"/>
      <c r="CNU507" s="324"/>
      <c r="CNV507" s="324"/>
      <c r="CNW507" s="324"/>
      <c r="CNX507" s="324"/>
      <c r="CNY507" s="256"/>
      <c r="CNZ507" s="325"/>
      <c r="COA507" s="311"/>
      <c r="COB507" s="325"/>
      <c r="COC507" s="310"/>
      <c r="COD507" s="325"/>
      <c r="COE507" s="325"/>
      <c r="COF507" s="325"/>
      <c r="COG507" s="325"/>
      <c r="COH507" s="325"/>
      <c r="COI507" s="325"/>
      <c r="COJ507" s="325"/>
      <c r="COK507" s="325"/>
      <c r="COL507" s="325"/>
      <c r="COM507" s="325"/>
      <c r="CON507" s="325"/>
      <c r="COO507" s="325"/>
      <c r="COP507" s="325"/>
      <c r="COQ507" s="325"/>
      <c r="COR507" s="325"/>
      <c r="COS507" s="325"/>
      <c r="COT507" s="325"/>
      <c r="COU507" s="325"/>
      <c r="COV507" s="325"/>
      <c r="COW507" s="325"/>
      <c r="COX507" s="325"/>
      <c r="COY507" s="325"/>
      <c r="COZ507" s="325"/>
      <c r="CPA507" s="325"/>
      <c r="CPB507" s="325"/>
      <c r="CPC507" s="325"/>
      <c r="CPD507" s="325"/>
      <c r="CPE507" s="325"/>
      <c r="CPF507" s="325"/>
      <c r="CPG507" s="325"/>
      <c r="CPH507" s="327"/>
      <c r="CPI507" s="28"/>
      <c r="CPJ507" s="324"/>
      <c r="CPK507" s="324"/>
      <c r="CPL507" s="324"/>
      <c r="CPM507" s="324"/>
      <c r="CPN507" s="324"/>
      <c r="CPO507" s="324"/>
      <c r="CPP507" s="256"/>
      <c r="CPQ507" s="325"/>
      <c r="CPR507" s="311"/>
      <c r="CPS507" s="325"/>
      <c r="CPT507" s="310"/>
      <c r="CPU507" s="325"/>
      <c r="CPV507" s="325"/>
      <c r="CPW507" s="325"/>
      <c r="CPX507" s="325"/>
      <c r="CPY507" s="325"/>
      <c r="CPZ507" s="325"/>
      <c r="CQA507" s="325"/>
      <c r="CQB507" s="325"/>
      <c r="CQC507" s="325"/>
      <c r="CQD507" s="325"/>
      <c r="CQE507" s="325"/>
      <c r="CQF507" s="325"/>
      <c r="CQG507" s="325"/>
      <c r="CQH507" s="325"/>
      <c r="CQI507" s="325"/>
      <c r="CQJ507" s="325"/>
      <c r="CQK507" s="325"/>
      <c r="CQL507" s="325"/>
      <c r="CQM507" s="325"/>
      <c r="CQN507" s="325"/>
      <c r="CQO507" s="325"/>
      <c r="CQP507" s="325"/>
      <c r="CQQ507" s="325"/>
      <c r="CQR507" s="325"/>
      <c r="CQS507" s="325"/>
      <c r="CQT507" s="325"/>
      <c r="CQU507" s="325"/>
      <c r="CQV507" s="325"/>
      <c r="CQW507" s="325"/>
      <c r="CQX507" s="325"/>
      <c r="CQY507" s="327"/>
      <c r="CQZ507" s="28"/>
      <c r="CRA507" s="324"/>
      <c r="CRB507" s="324"/>
      <c r="CRC507" s="324"/>
      <c r="CRD507" s="324"/>
      <c r="CRE507" s="324"/>
      <c r="CRF507" s="324"/>
      <c r="CRG507" s="256"/>
      <c r="CRH507" s="325"/>
      <c r="CRI507" s="311"/>
      <c r="CRJ507" s="325"/>
      <c r="CRK507" s="310"/>
      <c r="CRL507" s="325"/>
      <c r="CRM507" s="325"/>
      <c r="CRN507" s="325"/>
      <c r="CRO507" s="325"/>
      <c r="CRP507" s="325"/>
      <c r="CRQ507" s="325"/>
      <c r="CRR507" s="325"/>
      <c r="CRS507" s="325"/>
      <c r="CRT507" s="325"/>
      <c r="CRU507" s="325"/>
      <c r="CRV507" s="325"/>
      <c r="CRW507" s="325"/>
      <c r="CRX507" s="325"/>
      <c r="CRY507" s="325"/>
      <c r="CRZ507" s="325"/>
      <c r="CSA507" s="325"/>
      <c r="CSB507" s="325"/>
      <c r="CSC507" s="325"/>
      <c r="CSD507" s="325"/>
      <c r="CSE507" s="325"/>
      <c r="CSF507" s="325"/>
      <c r="CSG507" s="325"/>
      <c r="CSH507" s="325"/>
      <c r="CSI507" s="325"/>
      <c r="CSJ507" s="325"/>
      <c r="CSK507" s="325"/>
      <c r="CSL507" s="325"/>
      <c r="CSM507" s="325"/>
      <c r="CSN507" s="325"/>
      <c r="CSO507" s="325"/>
      <c r="CSP507" s="327"/>
      <c r="CSQ507" s="28"/>
      <c r="CSR507" s="324"/>
      <c r="CSS507" s="324"/>
      <c r="CST507" s="324"/>
      <c r="CSU507" s="324"/>
      <c r="CSV507" s="324"/>
      <c r="CSW507" s="324"/>
      <c r="CSX507" s="256"/>
      <c r="CSY507" s="325"/>
      <c r="CSZ507" s="311"/>
      <c r="CTA507" s="325"/>
      <c r="CTB507" s="310"/>
      <c r="CTC507" s="325"/>
      <c r="CTD507" s="325"/>
      <c r="CTE507" s="325"/>
      <c r="CTF507" s="325"/>
      <c r="CTG507" s="325"/>
      <c r="CTH507" s="325"/>
      <c r="CTI507" s="325"/>
      <c r="CTJ507" s="325"/>
      <c r="CTK507" s="325"/>
      <c r="CTL507" s="325"/>
      <c r="CTM507" s="325"/>
      <c r="CTN507" s="325"/>
      <c r="CTO507" s="325"/>
      <c r="CTP507" s="325"/>
      <c r="CTQ507" s="325"/>
      <c r="CTR507" s="325"/>
      <c r="CTS507" s="325"/>
      <c r="CTT507" s="325"/>
      <c r="CTU507" s="325"/>
      <c r="CTV507" s="325"/>
      <c r="CTW507" s="325"/>
      <c r="CTX507" s="325"/>
      <c r="CTY507" s="325"/>
      <c r="CTZ507" s="325"/>
      <c r="CUA507" s="325"/>
      <c r="CUB507" s="325"/>
      <c r="CUC507" s="325"/>
      <c r="CUD507" s="325"/>
      <c r="CUE507" s="325"/>
      <c r="CUF507" s="325"/>
      <c r="CUG507" s="327"/>
      <c r="CUH507" s="28"/>
      <c r="CUI507" s="324"/>
      <c r="CUJ507" s="324"/>
      <c r="CUK507" s="324"/>
      <c r="CUL507" s="324"/>
      <c r="CUM507" s="324"/>
      <c r="CUN507" s="324"/>
      <c r="CUO507" s="256"/>
      <c r="CUP507" s="325"/>
      <c r="CUQ507" s="311"/>
      <c r="CUR507" s="325"/>
      <c r="CUS507" s="310"/>
      <c r="CUT507" s="325"/>
      <c r="CUU507" s="325"/>
      <c r="CUV507" s="325"/>
      <c r="CUW507" s="325"/>
      <c r="CUX507" s="325"/>
      <c r="CUY507" s="325"/>
      <c r="CUZ507" s="325"/>
      <c r="CVA507" s="325"/>
      <c r="CVB507" s="325"/>
      <c r="CVC507" s="325"/>
      <c r="CVD507" s="325"/>
      <c r="CVE507" s="325"/>
      <c r="CVF507" s="325"/>
      <c r="CVG507" s="325"/>
      <c r="CVH507" s="325"/>
      <c r="CVI507" s="325"/>
      <c r="CVJ507" s="325"/>
      <c r="CVK507" s="325"/>
      <c r="CVL507" s="325"/>
      <c r="CVM507" s="325"/>
      <c r="CVN507" s="325"/>
      <c r="CVO507" s="325"/>
      <c r="CVP507" s="325"/>
      <c r="CVQ507" s="325"/>
      <c r="CVR507" s="325"/>
      <c r="CVS507" s="325"/>
      <c r="CVT507" s="325"/>
      <c r="CVU507" s="325"/>
      <c r="CVV507" s="325"/>
      <c r="CVW507" s="325"/>
      <c r="CVX507" s="327"/>
      <c r="CVY507" s="28"/>
      <c r="CVZ507" s="324"/>
      <c r="CWA507" s="324"/>
      <c r="CWB507" s="324"/>
      <c r="CWC507" s="324"/>
      <c r="CWD507" s="324"/>
      <c r="CWE507" s="324"/>
      <c r="CWF507" s="256"/>
      <c r="CWG507" s="325"/>
      <c r="CWH507" s="311"/>
      <c r="CWI507" s="325"/>
      <c r="CWJ507" s="310"/>
      <c r="CWK507" s="325"/>
      <c r="CWL507" s="325"/>
      <c r="CWM507" s="325"/>
      <c r="CWN507" s="325"/>
      <c r="CWO507" s="325"/>
      <c r="CWP507" s="325"/>
      <c r="CWQ507" s="325"/>
      <c r="CWR507" s="325"/>
      <c r="CWS507" s="325"/>
      <c r="CWT507" s="325"/>
      <c r="CWU507" s="325"/>
      <c r="CWV507" s="325"/>
      <c r="CWW507" s="325"/>
      <c r="CWX507" s="325"/>
      <c r="CWY507" s="325"/>
      <c r="CWZ507" s="325"/>
      <c r="CXA507" s="325"/>
      <c r="CXB507" s="325"/>
      <c r="CXC507" s="325"/>
      <c r="CXD507" s="325"/>
      <c r="CXE507" s="325"/>
      <c r="CXF507" s="325"/>
      <c r="CXG507" s="325"/>
      <c r="CXH507" s="325"/>
      <c r="CXI507" s="325"/>
      <c r="CXJ507" s="325"/>
      <c r="CXK507" s="325"/>
      <c r="CXL507" s="325"/>
      <c r="CXM507" s="325"/>
      <c r="CXN507" s="325"/>
      <c r="CXO507" s="327"/>
      <c r="CXP507" s="28"/>
      <c r="CXQ507" s="324"/>
      <c r="CXR507" s="324"/>
      <c r="CXS507" s="324"/>
      <c r="CXT507" s="324"/>
      <c r="CXU507" s="324"/>
      <c r="CXV507" s="324"/>
      <c r="CXW507" s="256"/>
      <c r="CXX507" s="325"/>
      <c r="CXY507" s="311"/>
      <c r="CXZ507" s="325"/>
      <c r="CYA507" s="310"/>
      <c r="CYB507" s="325"/>
      <c r="CYC507" s="325"/>
      <c r="CYD507" s="325"/>
      <c r="CYE507" s="325"/>
      <c r="CYF507" s="325"/>
      <c r="CYG507" s="325"/>
      <c r="CYH507" s="325"/>
      <c r="CYI507" s="325"/>
      <c r="CYJ507" s="325"/>
      <c r="CYK507" s="325"/>
      <c r="CYL507" s="325"/>
      <c r="CYM507" s="325"/>
      <c r="CYN507" s="325"/>
      <c r="CYO507" s="325"/>
      <c r="CYP507" s="325"/>
      <c r="CYQ507" s="325"/>
      <c r="CYR507" s="325"/>
      <c r="CYS507" s="325"/>
      <c r="CYT507" s="325"/>
      <c r="CYU507" s="325"/>
      <c r="CYV507" s="325"/>
      <c r="CYW507" s="325"/>
      <c r="CYX507" s="325"/>
      <c r="CYY507" s="325"/>
      <c r="CYZ507" s="325"/>
      <c r="CZA507" s="325"/>
      <c r="CZB507" s="325"/>
      <c r="CZC507" s="325"/>
      <c r="CZD507" s="325"/>
      <c r="CZE507" s="325"/>
      <c r="CZF507" s="327"/>
      <c r="CZG507" s="28"/>
      <c r="CZH507" s="324"/>
      <c r="CZI507" s="324"/>
      <c r="CZJ507" s="324"/>
      <c r="CZK507" s="324"/>
      <c r="CZL507" s="324"/>
      <c r="CZM507" s="324"/>
      <c r="CZN507" s="256"/>
      <c r="CZO507" s="325"/>
      <c r="CZP507" s="311"/>
      <c r="CZQ507" s="325"/>
      <c r="CZR507" s="310"/>
      <c r="CZS507" s="325"/>
      <c r="CZT507" s="325"/>
      <c r="CZU507" s="325"/>
      <c r="CZV507" s="325"/>
      <c r="CZW507" s="325"/>
      <c r="CZX507" s="325"/>
      <c r="CZY507" s="325"/>
      <c r="CZZ507" s="325"/>
      <c r="DAA507" s="325"/>
      <c r="DAB507" s="325"/>
      <c r="DAC507" s="325"/>
      <c r="DAD507" s="325"/>
      <c r="DAE507" s="325"/>
      <c r="DAF507" s="325"/>
      <c r="DAG507" s="325"/>
      <c r="DAH507" s="325"/>
      <c r="DAI507" s="325"/>
      <c r="DAJ507" s="325"/>
      <c r="DAK507" s="325"/>
      <c r="DAL507" s="325"/>
      <c r="DAM507" s="325"/>
      <c r="DAN507" s="325"/>
      <c r="DAO507" s="325"/>
      <c r="DAP507" s="325"/>
      <c r="DAQ507" s="325"/>
      <c r="DAR507" s="325"/>
      <c r="DAS507" s="325"/>
      <c r="DAT507" s="325"/>
      <c r="DAU507" s="325"/>
      <c r="DAV507" s="325"/>
      <c r="DAW507" s="327"/>
      <c r="DAX507" s="28"/>
      <c r="DAY507" s="324"/>
      <c r="DAZ507" s="324"/>
      <c r="DBA507" s="324"/>
      <c r="DBB507" s="324"/>
      <c r="DBC507" s="324"/>
      <c r="DBD507" s="324"/>
      <c r="DBE507" s="256"/>
      <c r="DBF507" s="325"/>
      <c r="DBG507" s="311"/>
      <c r="DBH507" s="325"/>
      <c r="DBI507" s="310"/>
      <c r="DBJ507" s="325"/>
      <c r="DBK507" s="325"/>
      <c r="DBL507" s="325"/>
      <c r="DBM507" s="325"/>
      <c r="DBN507" s="325"/>
      <c r="DBO507" s="325"/>
      <c r="DBP507" s="325"/>
      <c r="DBQ507" s="325"/>
      <c r="DBR507" s="325"/>
      <c r="DBS507" s="325"/>
      <c r="DBT507" s="325"/>
      <c r="DBU507" s="325"/>
      <c r="DBV507" s="325"/>
      <c r="DBW507" s="325"/>
      <c r="DBX507" s="325"/>
      <c r="DBY507" s="325"/>
      <c r="DBZ507" s="325"/>
      <c r="DCA507" s="325"/>
      <c r="DCB507" s="325"/>
      <c r="DCC507" s="325"/>
      <c r="DCD507" s="325"/>
      <c r="DCE507" s="325"/>
      <c r="DCF507" s="325"/>
      <c r="DCG507" s="325"/>
      <c r="DCH507" s="325"/>
      <c r="DCI507" s="325"/>
      <c r="DCJ507" s="325"/>
      <c r="DCK507" s="325"/>
      <c r="DCL507" s="325"/>
      <c r="DCM507" s="325"/>
      <c r="DCN507" s="327"/>
      <c r="DCO507" s="28"/>
      <c r="DCP507" s="324"/>
      <c r="DCQ507" s="324"/>
      <c r="DCR507" s="324"/>
      <c r="DCS507" s="324"/>
      <c r="DCT507" s="324"/>
      <c r="DCU507" s="324"/>
      <c r="DCV507" s="256"/>
      <c r="DCW507" s="325"/>
      <c r="DCX507" s="311"/>
      <c r="DCY507" s="325"/>
      <c r="DCZ507" s="310"/>
      <c r="DDA507" s="325"/>
      <c r="DDB507" s="325"/>
      <c r="DDC507" s="325"/>
      <c r="DDD507" s="325"/>
      <c r="DDE507" s="325"/>
      <c r="DDF507" s="325"/>
      <c r="DDG507" s="325"/>
      <c r="DDH507" s="325"/>
      <c r="DDI507" s="325"/>
      <c r="DDJ507" s="325"/>
      <c r="DDK507" s="325"/>
      <c r="DDL507" s="325"/>
      <c r="DDM507" s="325"/>
      <c r="DDN507" s="325"/>
      <c r="DDO507" s="325"/>
      <c r="DDP507" s="325"/>
      <c r="DDQ507" s="325"/>
      <c r="DDR507" s="325"/>
      <c r="DDS507" s="325"/>
      <c r="DDT507" s="325"/>
      <c r="DDU507" s="325"/>
      <c r="DDV507" s="325"/>
      <c r="DDW507" s="325"/>
      <c r="DDX507" s="325"/>
      <c r="DDY507" s="325"/>
      <c r="DDZ507" s="325"/>
      <c r="DEA507" s="325"/>
      <c r="DEB507" s="325"/>
      <c r="DEC507" s="325"/>
      <c r="DED507" s="325"/>
      <c r="DEE507" s="327"/>
      <c r="DEF507" s="28"/>
      <c r="DEG507" s="324"/>
      <c r="DEH507" s="324"/>
      <c r="DEI507" s="324"/>
      <c r="DEJ507" s="324"/>
      <c r="DEK507" s="324"/>
      <c r="DEL507" s="324"/>
      <c r="DEM507" s="256"/>
      <c r="DEN507" s="325"/>
      <c r="DEO507" s="311"/>
      <c r="DEP507" s="325"/>
      <c r="DEQ507" s="310"/>
      <c r="DER507" s="325"/>
      <c r="DES507" s="325"/>
      <c r="DET507" s="325"/>
      <c r="DEU507" s="325"/>
      <c r="DEV507" s="325"/>
      <c r="DEW507" s="325"/>
      <c r="DEX507" s="325"/>
      <c r="DEY507" s="325"/>
      <c r="DEZ507" s="325"/>
      <c r="DFA507" s="325"/>
      <c r="DFB507" s="325"/>
      <c r="DFC507" s="325"/>
      <c r="DFD507" s="325"/>
      <c r="DFE507" s="325"/>
      <c r="DFF507" s="325"/>
      <c r="DFG507" s="325"/>
      <c r="DFH507" s="325"/>
      <c r="DFI507" s="325"/>
      <c r="DFJ507" s="325"/>
      <c r="DFK507" s="325"/>
      <c r="DFL507" s="325"/>
      <c r="DFM507" s="325"/>
      <c r="DFN507" s="325"/>
      <c r="DFO507" s="325"/>
      <c r="DFP507" s="325"/>
      <c r="DFQ507" s="325"/>
      <c r="DFR507" s="325"/>
      <c r="DFS507" s="325"/>
      <c r="DFT507" s="325"/>
      <c r="DFU507" s="325"/>
      <c r="DFV507" s="327"/>
      <c r="DFW507" s="28"/>
      <c r="DFX507" s="324"/>
      <c r="DFY507" s="324"/>
      <c r="DFZ507" s="324"/>
      <c r="DGA507" s="324"/>
      <c r="DGB507" s="324"/>
      <c r="DGC507" s="324"/>
      <c r="DGD507" s="256"/>
      <c r="DGE507" s="325"/>
      <c r="DGF507" s="311"/>
      <c r="DGG507" s="325"/>
      <c r="DGH507" s="310"/>
      <c r="DGI507" s="325"/>
      <c r="DGJ507" s="325"/>
      <c r="DGK507" s="325"/>
      <c r="DGL507" s="325"/>
      <c r="DGM507" s="325"/>
      <c r="DGN507" s="325"/>
      <c r="DGO507" s="325"/>
      <c r="DGP507" s="325"/>
      <c r="DGQ507" s="325"/>
      <c r="DGR507" s="325"/>
      <c r="DGS507" s="325"/>
      <c r="DGT507" s="325"/>
      <c r="DGU507" s="325"/>
      <c r="DGV507" s="325"/>
      <c r="DGW507" s="325"/>
      <c r="DGX507" s="325"/>
      <c r="DGY507" s="325"/>
      <c r="DGZ507" s="325"/>
      <c r="DHA507" s="325"/>
      <c r="DHB507" s="325"/>
      <c r="DHC507" s="325"/>
      <c r="DHD507" s="325"/>
      <c r="DHE507" s="325"/>
      <c r="DHF507" s="325"/>
      <c r="DHG507" s="325"/>
      <c r="DHH507" s="325"/>
      <c r="DHI507" s="325"/>
      <c r="DHJ507" s="325"/>
      <c r="DHK507" s="325"/>
      <c r="DHL507" s="325"/>
      <c r="DHM507" s="327"/>
      <c r="DHN507" s="28"/>
      <c r="DHO507" s="324"/>
      <c r="DHP507" s="324"/>
      <c r="DHQ507" s="324"/>
      <c r="DHR507" s="324"/>
      <c r="DHS507" s="324"/>
      <c r="DHT507" s="324"/>
      <c r="DHU507" s="256"/>
      <c r="DHV507" s="325"/>
      <c r="DHW507" s="311"/>
      <c r="DHX507" s="325"/>
      <c r="DHY507" s="310"/>
      <c r="DHZ507" s="325"/>
      <c r="DIA507" s="325"/>
      <c r="DIB507" s="325"/>
      <c r="DIC507" s="325"/>
      <c r="DID507" s="325"/>
      <c r="DIE507" s="325"/>
      <c r="DIF507" s="325"/>
      <c r="DIG507" s="325"/>
      <c r="DIH507" s="325"/>
      <c r="DII507" s="325"/>
      <c r="DIJ507" s="325"/>
      <c r="DIK507" s="325"/>
      <c r="DIL507" s="325"/>
      <c r="DIM507" s="325"/>
      <c r="DIN507" s="325"/>
      <c r="DIO507" s="325"/>
      <c r="DIP507" s="325"/>
      <c r="DIQ507" s="325"/>
      <c r="DIR507" s="325"/>
      <c r="DIS507" s="325"/>
      <c r="DIT507" s="325"/>
      <c r="DIU507" s="325"/>
      <c r="DIV507" s="325"/>
      <c r="DIW507" s="325"/>
      <c r="DIX507" s="325"/>
      <c r="DIY507" s="325"/>
      <c r="DIZ507" s="325"/>
      <c r="DJA507" s="325"/>
      <c r="DJB507" s="325"/>
      <c r="DJC507" s="325"/>
      <c r="DJD507" s="327"/>
      <c r="DJE507" s="28"/>
      <c r="DJF507" s="324"/>
      <c r="DJG507" s="324"/>
      <c r="DJH507" s="324"/>
      <c r="DJI507" s="324"/>
      <c r="DJJ507" s="324"/>
      <c r="DJK507" s="324"/>
      <c r="DJL507" s="256"/>
      <c r="DJM507" s="325"/>
      <c r="DJN507" s="311"/>
      <c r="DJO507" s="325"/>
      <c r="DJP507" s="310"/>
      <c r="DJQ507" s="325"/>
      <c r="DJR507" s="325"/>
      <c r="DJS507" s="325"/>
      <c r="DJT507" s="325"/>
      <c r="DJU507" s="325"/>
      <c r="DJV507" s="325"/>
      <c r="DJW507" s="325"/>
      <c r="DJX507" s="325"/>
      <c r="DJY507" s="325"/>
      <c r="DJZ507" s="325"/>
      <c r="DKA507" s="325"/>
      <c r="DKB507" s="325"/>
      <c r="DKC507" s="325"/>
      <c r="DKD507" s="325"/>
      <c r="DKE507" s="325"/>
      <c r="DKF507" s="325"/>
      <c r="DKG507" s="325"/>
      <c r="DKH507" s="325"/>
      <c r="DKI507" s="325"/>
      <c r="DKJ507" s="325"/>
      <c r="DKK507" s="325"/>
      <c r="DKL507" s="325"/>
      <c r="DKM507" s="325"/>
      <c r="DKN507" s="325"/>
      <c r="DKO507" s="325"/>
      <c r="DKP507" s="325"/>
      <c r="DKQ507" s="325"/>
      <c r="DKR507" s="325"/>
      <c r="DKS507" s="325"/>
      <c r="DKT507" s="325"/>
      <c r="DKU507" s="327"/>
      <c r="DKV507" s="28"/>
      <c r="DKW507" s="324"/>
      <c r="DKX507" s="324"/>
      <c r="DKY507" s="324"/>
      <c r="DKZ507" s="324"/>
      <c r="DLA507" s="324"/>
      <c r="DLB507" s="324"/>
      <c r="DLC507" s="256"/>
      <c r="DLD507" s="325"/>
      <c r="DLE507" s="311"/>
      <c r="DLF507" s="325"/>
      <c r="DLG507" s="310"/>
      <c r="DLH507" s="325"/>
      <c r="DLI507" s="325"/>
      <c r="DLJ507" s="325"/>
      <c r="DLK507" s="325"/>
      <c r="DLL507" s="325"/>
      <c r="DLM507" s="325"/>
      <c r="DLN507" s="325"/>
      <c r="DLO507" s="325"/>
      <c r="DLP507" s="325"/>
      <c r="DLQ507" s="325"/>
      <c r="DLR507" s="325"/>
      <c r="DLS507" s="325"/>
      <c r="DLT507" s="325"/>
      <c r="DLU507" s="325"/>
      <c r="DLV507" s="325"/>
      <c r="DLW507" s="325"/>
      <c r="DLX507" s="325"/>
      <c r="DLY507" s="325"/>
      <c r="DLZ507" s="325"/>
      <c r="DMA507" s="325"/>
      <c r="DMB507" s="325"/>
      <c r="DMC507" s="325"/>
      <c r="DMD507" s="325"/>
      <c r="DME507" s="325"/>
      <c r="DMF507" s="325"/>
      <c r="DMG507" s="325"/>
      <c r="DMH507" s="325"/>
      <c r="DMI507" s="325"/>
      <c r="DMJ507" s="325"/>
      <c r="DMK507" s="325"/>
      <c r="DML507" s="327"/>
      <c r="DMM507" s="28"/>
      <c r="DMN507" s="324"/>
      <c r="DMO507" s="324"/>
      <c r="DMP507" s="324"/>
      <c r="DMQ507" s="324"/>
      <c r="DMR507" s="324"/>
      <c r="DMS507" s="324"/>
      <c r="DMT507" s="256"/>
      <c r="DMU507" s="325"/>
      <c r="DMV507" s="311"/>
      <c r="DMW507" s="325"/>
      <c r="DMX507" s="310"/>
      <c r="DMY507" s="325"/>
      <c r="DMZ507" s="325"/>
      <c r="DNA507" s="325"/>
      <c r="DNB507" s="325"/>
      <c r="DNC507" s="325"/>
      <c r="DND507" s="325"/>
      <c r="DNE507" s="325"/>
      <c r="DNF507" s="325"/>
      <c r="DNG507" s="325"/>
      <c r="DNH507" s="325"/>
      <c r="DNI507" s="325"/>
      <c r="DNJ507" s="325"/>
      <c r="DNK507" s="325"/>
      <c r="DNL507" s="325"/>
      <c r="DNM507" s="325"/>
      <c r="DNN507" s="325"/>
      <c r="DNO507" s="325"/>
      <c r="DNP507" s="325"/>
      <c r="DNQ507" s="325"/>
      <c r="DNR507" s="325"/>
      <c r="DNS507" s="325"/>
      <c r="DNT507" s="325"/>
      <c r="DNU507" s="325"/>
      <c r="DNV507" s="325"/>
      <c r="DNW507" s="325"/>
      <c r="DNX507" s="325"/>
      <c r="DNY507" s="325"/>
      <c r="DNZ507" s="325"/>
      <c r="DOA507" s="325"/>
      <c r="DOB507" s="325"/>
      <c r="DOC507" s="327"/>
      <c r="DOD507" s="28"/>
      <c r="DOE507" s="324"/>
      <c r="DOF507" s="324"/>
      <c r="DOG507" s="324"/>
      <c r="DOH507" s="324"/>
      <c r="DOI507" s="324"/>
      <c r="DOJ507" s="324"/>
      <c r="DOK507" s="256"/>
      <c r="DOL507" s="325"/>
      <c r="DOM507" s="311"/>
      <c r="DON507" s="325"/>
      <c r="DOO507" s="310"/>
      <c r="DOP507" s="325"/>
      <c r="DOQ507" s="325"/>
      <c r="DOR507" s="325"/>
      <c r="DOS507" s="325"/>
      <c r="DOT507" s="325"/>
      <c r="DOU507" s="325"/>
      <c r="DOV507" s="325"/>
      <c r="DOW507" s="325"/>
      <c r="DOX507" s="325"/>
      <c r="DOY507" s="325"/>
      <c r="DOZ507" s="325"/>
      <c r="DPA507" s="325"/>
      <c r="DPB507" s="325"/>
      <c r="DPC507" s="325"/>
      <c r="DPD507" s="325"/>
      <c r="DPE507" s="325"/>
      <c r="DPF507" s="325"/>
      <c r="DPG507" s="325"/>
      <c r="DPH507" s="325"/>
      <c r="DPI507" s="325"/>
      <c r="DPJ507" s="325"/>
      <c r="DPK507" s="325"/>
      <c r="DPL507" s="325"/>
      <c r="DPM507" s="325"/>
      <c r="DPN507" s="325"/>
      <c r="DPO507" s="325"/>
      <c r="DPP507" s="325"/>
      <c r="DPQ507" s="325"/>
      <c r="DPR507" s="325"/>
      <c r="DPS507" s="325"/>
      <c r="DPT507" s="327"/>
      <c r="DPU507" s="28"/>
      <c r="DPV507" s="324"/>
      <c r="DPW507" s="324"/>
      <c r="DPX507" s="324"/>
      <c r="DPY507" s="324"/>
      <c r="DPZ507" s="324"/>
      <c r="DQA507" s="324"/>
      <c r="DQB507" s="256"/>
      <c r="DQC507" s="325"/>
      <c r="DQD507" s="311"/>
      <c r="DQE507" s="325"/>
      <c r="DQF507" s="310"/>
      <c r="DQG507" s="325"/>
      <c r="DQH507" s="325"/>
      <c r="DQI507" s="325"/>
      <c r="DQJ507" s="325"/>
      <c r="DQK507" s="325"/>
      <c r="DQL507" s="325"/>
      <c r="DQM507" s="325"/>
      <c r="DQN507" s="325"/>
      <c r="DQO507" s="325"/>
      <c r="DQP507" s="325"/>
      <c r="DQQ507" s="325"/>
      <c r="DQR507" s="325"/>
      <c r="DQS507" s="325"/>
      <c r="DQT507" s="325"/>
      <c r="DQU507" s="325"/>
      <c r="DQV507" s="325"/>
      <c r="DQW507" s="325"/>
      <c r="DQX507" s="325"/>
      <c r="DQY507" s="325"/>
      <c r="DQZ507" s="325"/>
      <c r="DRA507" s="325"/>
      <c r="DRB507" s="325"/>
      <c r="DRC507" s="325"/>
      <c r="DRD507" s="325"/>
      <c r="DRE507" s="325"/>
      <c r="DRF507" s="325"/>
      <c r="DRG507" s="325"/>
      <c r="DRH507" s="325"/>
      <c r="DRI507" s="325"/>
      <c r="DRJ507" s="325"/>
      <c r="DRK507" s="327"/>
      <c r="DRL507" s="28"/>
      <c r="DRM507" s="324"/>
      <c r="DRN507" s="324"/>
      <c r="DRO507" s="324"/>
      <c r="DRP507" s="324"/>
      <c r="DRQ507" s="324"/>
      <c r="DRR507" s="324"/>
      <c r="DRS507" s="256"/>
      <c r="DRT507" s="325"/>
      <c r="DRU507" s="311"/>
      <c r="DRV507" s="325"/>
      <c r="DRW507" s="310"/>
      <c r="DRX507" s="325"/>
      <c r="DRY507" s="325"/>
      <c r="DRZ507" s="325"/>
      <c r="DSA507" s="325"/>
      <c r="DSB507" s="325"/>
      <c r="DSC507" s="325"/>
      <c r="DSD507" s="325"/>
      <c r="DSE507" s="325"/>
      <c r="DSF507" s="325"/>
      <c r="DSG507" s="325"/>
      <c r="DSH507" s="325"/>
      <c r="DSI507" s="325"/>
      <c r="DSJ507" s="325"/>
      <c r="DSK507" s="325"/>
      <c r="DSL507" s="325"/>
      <c r="DSM507" s="325"/>
      <c r="DSN507" s="325"/>
      <c r="DSO507" s="325"/>
      <c r="DSP507" s="325"/>
      <c r="DSQ507" s="325"/>
      <c r="DSR507" s="325"/>
      <c r="DSS507" s="325"/>
      <c r="DST507" s="325"/>
      <c r="DSU507" s="325"/>
      <c r="DSV507" s="325"/>
      <c r="DSW507" s="325"/>
      <c r="DSX507" s="325"/>
      <c r="DSY507" s="325"/>
      <c r="DSZ507" s="325"/>
      <c r="DTA507" s="325"/>
      <c r="DTB507" s="327"/>
      <c r="DTC507" s="28"/>
      <c r="DTD507" s="324"/>
      <c r="DTE507" s="324"/>
      <c r="DTF507" s="324"/>
      <c r="DTG507" s="324"/>
      <c r="DTH507" s="324"/>
      <c r="DTI507" s="324"/>
      <c r="DTJ507" s="256"/>
      <c r="DTK507" s="325"/>
      <c r="DTL507" s="311"/>
      <c r="DTM507" s="325"/>
      <c r="DTN507" s="310"/>
      <c r="DTO507" s="325"/>
      <c r="DTP507" s="325"/>
      <c r="DTQ507" s="325"/>
      <c r="DTR507" s="325"/>
      <c r="DTS507" s="325"/>
      <c r="DTT507" s="325"/>
      <c r="DTU507" s="325"/>
      <c r="DTV507" s="325"/>
      <c r="DTW507" s="325"/>
      <c r="DTX507" s="325"/>
      <c r="DTY507" s="325"/>
      <c r="DTZ507" s="325"/>
      <c r="DUA507" s="325"/>
      <c r="DUB507" s="325"/>
      <c r="DUC507" s="325"/>
      <c r="DUD507" s="325"/>
      <c r="DUE507" s="325"/>
      <c r="DUF507" s="325"/>
      <c r="DUG507" s="325"/>
      <c r="DUH507" s="325"/>
      <c r="DUI507" s="325"/>
      <c r="DUJ507" s="325"/>
      <c r="DUK507" s="325"/>
      <c r="DUL507" s="325"/>
      <c r="DUM507" s="325"/>
      <c r="DUN507" s="325"/>
      <c r="DUO507" s="325"/>
      <c r="DUP507" s="325"/>
      <c r="DUQ507" s="325"/>
      <c r="DUR507" s="325"/>
      <c r="DUS507" s="327"/>
      <c r="DUT507" s="28"/>
      <c r="DUU507" s="324"/>
      <c r="DUV507" s="324"/>
      <c r="DUW507" s="324"/>
      <c r="DUX507" s="324"/>
      <c r="DUY507" s="324"/>
      <c r="DUZ507" s="324"/>
      <c r="DVA507" s="256"/>
      <c r="DVB507" s="325"/>
      <c r="DVC507" s="311"/>
      <c r="DVD507" s="325"/>
      <c r="DVE507" s="310"/>
      <c r="DVF507" s="325"/>
      <c r="DVG507" s="325"/>
      <c r="DVH507" s="325"/>
      <c r="DVI507" s="325"/>
      <c r="DVJ507" s="325"/>
      <c r="DVK507" s="325"/>
      <c r="DVL507" s="325"/>
      <c r="DVM507" s="325"/>
      <c r="DVN507" s="325"/>
      <c r="DVO507" s="325"/>
      <c r="DVP507" s="325"/>
      <c r="DVQ507" s="325"/>
      <c r="DVR507" s="325"/>
      <c r="DVS507" s="325"/>
      <c r="DVT507" s="325"/>
      <c r="DVU507" s="325"/>
      <c r="DVV507" s="325"/>
      <c r="DVW507" s="325"/>
      <c r="DVX507" s="325"/>
      <c r="DVY507" s="325"/>
      <c r="DVZ507" s="325"/>
      <c r="DWA507" s="325"/>
      <c r="DWB507" s="325"/>
      <c r="DWC507" s="325"/>
      <c r="DWD507" s="325"/>
      <c r="DWE507" s="325"/>
      <c r="DWF507" s="325"/>
      <c r="DWG507" s="325"/>
      <c r="DWH507" s="325"/>
      <c r="DWI507" s="325"/>
      <c r="DWJ507" s="327"/>
      <c r="DWK507" s="28"/>
      <c r="DWL507" s="324"/>
      <c r="DWM507" s="324"/>
      <c r="DWN507" s="324"/>
      <c r="DWO507" s="324"/>
      <c r="DWP507" s="324"/>
      <c r="DWQ507" s="324"/>
      <c r="DWR507" s="256"/>
      <c r="DWS507" s="325"/>
      <c r="DWT507" s="311"/>
      <c r="DWU507" s="325"/>
      <c r="DWV507" s="310"/>
      <c r="DWW507" s="325"/>
      <c r="DWX507" s="325"/>
      <c r="DWY507" s="325"/>
      <c r="DWZ507" s="325"/>
      <c r="DXA507" s="325"/>
      <c r="DXB507" s="325"/>
      <c r="DXC507" s="325"/>
      <c r="DXD507" s="325"/>
      <c r="DXE507" s="325"/>
      <c r="DXF507" s="325"/>
      <c r="DXG507" s="325"/>
      <c r="DXH507" s="325"/>
      <c r="DXI507" s="325"/>
      <c r="DXJ507" s="325"/>
      <c r="DXK507" s="325"/>
      <c r="DXL507" s="325"/>
      <c r="DXM507" s="325"/>
      <c r="DXN507" s="325"/>
      <c r="DXO507" s="325"/>
      <c r="DXP507" s="325"/>
      <c r="DXQ507" s="325"/>
      <c r="DXR507" s="325"/>
      <c r="DXS507" s="325"/>
      <c r="DXT507" s="325"/>
      <c r="DXU507" s="325"/>
      <c r="DXV507" s="325"/>
      <c r="DXW507" s="325"/>
      <c r="DXX507" s="325"/>
      <c r="DXY507" s="325"/>
      <c r="DXZ507" s="325"/>
      <c r="DYA507" s="327"/>
      <c r="DYB507" s="28"/>
      <c r="DYC507" s="324"/>
      <c r="DYD507" s="324"/>
      <c r="DYE507" s="324"/>
      <c r="DYF507" s="324"/>
      <c r="DYG507" s="324"/>
      <c r="DYH507" s="324"/>
      <c r="DYI507" s="256"/>
      <c r="DYJ507" s="325"/>
      <c r="DYK507" s="311"/>
      <c r="DYL507" s="325"/>
      <c r="DYM507" s="310"/>
      <c r="DYN507" s="325"/>
      <c r="DYO507" s="325"/>
      <c r="DYP507" s="325"/>
      <c r="DYQ507" s="325"/>
      <c r="DYR507" s="325"/>
      <c r="DYS507" s="325"/>
      <c r="DYT507" s="325"/>
      <c r="DYU507" s="325"/>
      <c r="DYV507" s="325"/>
      <c r="DYW507" s="325"/>
      <c r="DYX507" s="325"/>
      <c r="DYY507" s="325"/>
      <c r="DYZ507" s="325"/>
      <c r="DZA507" s="325"/>
      <c r="DZB507" s="325"/>
      <c r="DZC507" s="325"/>
      <c r="DZD507" s="325"/>
      <c r="DZE507" s="325"/>
      <c r="DZF507" s="325"/>
      <c r="DZG507" s="325"/>
      <c r="DZH507" s="325"/>
      <c r="DZI507" s="325"/>
      <c r="DZJ507" s="325"/>
      <c r="DZK507" s="325"/>
      <c r="DZL507" s="325"/>
      <c r="DZM507" s="325"/>
      <c r="DZN507" s="325"/>
      <c r="DZO507" s="325"/>
      <c r="DZP507" s="325"/>
      <c r="DZQ507" s="325"/>
      <c r="DZR507" s="327"/>
      <c r="DZS507" s="28"/>
      <c r="DZT507" s="324"/>
      <c r="DZU507" s="324"/>
      <c r="DZV507" s="324"/>
      <c r="DZW507" s="324"/>
      <c r="DZX507" s="324"/>
      <c r="DZY507" s="324"/>
      <c r="DZZ507" s="256"/>
      <c r="EAA507" s="325"/>
      <c r="EAB507" s="311"/>
      <c r="EAC507" s="325"/>
      <c r="EAD507" s="310"/>
      <c r="EAE507" s="325"/>
      <c r="EAF507" s="325"/>
      <c r="EAG507" s="325"/>
      <c r="EAH507" s="325"/>
      <c r="EAI507" s="325"/>
      <c r="EAJ507" s="325"/>
      <c r="EAK507" s="325"/>
      <c r="EAL507" s="325"/>
      <c r="EAM507" s="325"/>
      <c r="EAN507" s="325"/>
      <c r="EAO507" s="325"/>
      <c r="EAP507" s="325"/>
      <c r="EAQ507" s="325"/>
      <c r="EAR507" s="325"/>
      <c r="EAS507" s="325"/>
      <c r="EAT507" s="325"/>
      <c r="EAU507" s="325"/>
      <c r="EAV507" s="325"/>
      <c r="EAW507" s="325"/>
      <c r="EAX507" s="325"/>
      <c r="EAY507" s="325"/>
      <c r="EAZ507" s="325"/>
      <c r="EBA507" s="325"/>
      <c r="EBB507" s="325"/>
      <c r="EBC507" s="325"/>
      <c r="EBD507" s="325"/>
      <c r="EBE507" s="325"/>
      <c r="EBF507" s="325"/>
      <c r="EBG507" s="325"/>
      <c r="EBH507" s="325"/>
      <c r="EBI507" s="327"/>
      <c r="EBJ507" s="28"/>
      <c r="EBK507" s="324"/>
      <c r="EBL507" s="324"/>
      <c r="EBM507" s="324"/>
      <c r="EBN507" s="324"/>
      <c r="EBO507" s="324"/>
      <c r="EBP507" s="324"/>
      <c r="EBQ507" s="256"/>
      <c r="EBR507" s="325"/>
      <c r="EBS507" s="311"/>
      <c r="EBT507" s="325"/>
      <c r="EBU507" s="310"/>
      <c r="EBV507" s="325"/>
      <c r="EBW507" s="325"/>
      <c r="EBX507" s="325"/>
      <c r="EBY507" s="325"/>
      <c r="EBZ507" s="325"/>
      <c r="ECA507" s="325"/>
      <c r="ECB507" s="325"/>
      <c r="ECC507" s="325"/>
      <c r="ECD507" s="325"/>
      <c r="ECE507" s="325"/>
      <c r="ECF507" s="325"/>
      <c r="ECG507" s="325"/>
      <c r="ECH507" s="325"/>
      <c r="ECI507" s="325"/>
      <c r="ECJ507" s="325"/>
      <c r="ECK507" s="325"/>
      <c r="ECL507" s="325"/>
      <c r="ECM507" s="325"/>
      <c r="ECN507" s="325"/>
      <c r="ECO507" s="325"/>
      <c r="ECP507" s="325"/>
      <c r="ECQ507" s="325"/>
      <c r="ECR507" s="325"/>
      <c r="ECS507" s="325"/>
      <c r="ECT507" s="325"/>
      <c r="ECU507" s="325"/>
      <c r="ECV507" s="325"/>
      <c r="ECW507" s="325"/>
      <c r="ECX507" s="325"/>
      <c r="ECY507" s="325"/>
      <c r="ECZ507" s="327"/>
      <c r="EDA507" s="28"/>
      <c r="EDB507" s="324"/>
      <c r="EDC507" s="324"/>
      <c r="EDD507" s="324"/>
      <c r="EDE507" s="324"/>
      <c r="EDF507" s="324"/>
      <c r="EDG507" s="324"/>
      <c r="EDH507" s="256"/>
      <c r="EDI507" s="325"/>
      <c r="EDJ507" s="311"/>
      <c r="EDK507" s="325"/>
      <c r="EDL507" s="310"/>
      <c r="EDM507" s="325"/>
      <c r="EDN507" s="325"/>
      <c r="EDO507" s="325"/>
      <c r="EDP507" s="325"/>
      <c r="EDQ507" s="325"/>
      <c r="EDR507" s="325"/>
      <c r="EDS507" s="325"/>
      <c r="EDT507" s="325"/>
      <c r="EDU507" s="325"/>
      <c r="EDV507" s="325"/>
      <c r="EDW507" s="325"/>
      <c r="EDX507" s="325"/>
      <c r="EDY507" s="325"/>
      <c r="EDZ507" s="325"/>
      <c r="EEA507" s="325"/>
      <c r="EEB507" s="325"/>
      <c r="EEC507" s="325"/>
      <c r="EED507" s="325"/>
      <c r="EEE507" s="325"/>
      <c r="EEF507" s="325"/>
      <c r="EEG507" s="325"/>
      <c r="EEH507" s="325"/>
      <c r="EEI507" s="325"/>
      <c r="EEJ507" s="325"/>
      <c r="EEK507" s="325"/>
      <c r="EEL507" s="325"/>
      <c r="EEM507" s="325"/>
      <c r="EEN507" s="325"/>
      <c r="EEO507" s="325"/>
      <c r="EEP507" s="325"/>
      <c r="EEQ507" s="327"/>
      <c r="EER507" s="28"/>
      <c r="EES507" s="324"/>
      <c r="EET507" s="324"/>
      <c r="EEU507" s="324"/>
      <c r="EEV507" s="324"/>
      <c r="EEW507" s="324"/>
      <c r="EEX507" s="324"/>
      <c r="EEY507" s="256"/>
      <c r="EEZ507" s="325"/>
      <c r="EFA507" s="311"/>
      <c r="EFB507" s="325"/>
      <c r="EFC507" s="310"/>
      <c r="EFD507" s="325"/>
      <c r="EFE507" s="325"/>
      <c r="EFF507" s="325"/>
      <c r="EFG507" s="325"/>
      <c r="EFH507" s="325"/>
      <c r="EFI507" s="325"/>
      <c r="EFJ507" s="325"/>
      <c r="EFK507" s="325"/>
      <c r="EFL507" s="325"/>
      <c r="EFM507" s="325"/>
      <c r="EFN507" s="325"/>
      <c r="EFO507" s="325"/>
      <c r="EFP507" s="325"/>
      <c r="EFQ507" s="325"/>
      <c r="EFR507" s="325"/>
      <c r="EFS507" s="325"/>
      <c r="EFT507" s="325"/>
      <c r="EFU507" s="325"/>
      <c r="EFV507" s="325"/>
      <c r="EFW507" s="325"/>
      <c r="EFX507" s="325"/>
      <c r="EFY507" s="325"/>
      <c r="EFZ507" s="325"/>
      <c r="EGA507" s="325"/>
      <c r="EGB507" s="325"/>
      <c r="EGC507" s="325"/>
      <c r="EGD507" s="325"/>
      <c r="EGE507" s="325"/>
      <c r="EGF507" s="325"/>
      <c r="EGG507" s="325"/>
      <c r="EGH507" s="327"/>
      <c r="EGI507" s="28"/>
      <c r="EGJ507" s="324"/>
      <c r="EGK507" s="324"/>
      <c r="EGL507" s="324"/>
      <c r="EGM507" s="324"/>
      <c r="EGN507" s="324"/>
      <c r="EGO507" s="324"/>
      <c r="EGP507" s="256"/>
      <c r="EGQ507" s="325"/>
      <c r="EGR507" s="311"/>
      <c r="EGS507" s="325"/>
      <c r="EGT507" s="310"/>
      <c r="EGU507" s="325"/>
      <c r="EGV507" s="325"/>
      <c r="EGW507" s="325"/>
      <c r="EGX507" s="325"/>
      <c r="EGY507" s="325"/>
      <c r="EGZ507" s="325"/>
      <c r="EHA507" s="325"/>
      <c r="EHB507" s="325"/>
      <c r="EHC507" s="325"/>
      <c r="EHD507" s="325"/>
      <c r="EHE507" s="325"/>
      <c r="EHF507" s="325"/>
      <c r="EHG507" s="325"/>
      <c r="EHH507" s="325"/>
      <c r="EHI507" s="325"/>
      <c r="EHJ507" s="325"/>
      <c r="EHK507" s="325"/>
      <c r="EHL507" s="325"/>
      <c r="EHM507" s="325"/>
      <c r="EHN507" s="325"/>
      <c r="EHO507" s="325"/>
      <c r="EHP507" s="325"/>
      <c r="EHQ507" s="325"/>
      <c r="EHR507" s="325"/>
      <c r="EHS507" s="325"/>
      <c r="EHT507" s="325"/>
      <c r="EHU507" s="325"/>
      <c r="EHV507" s="325"/>
      <c r="EHW507" s="325"/>
      <c r="EHX507" s="325"/>
      <c r="EHY507" s="327"/>
      <c r="EHZ507" s="28"/>
      <c r="EIA507" s="324"/>
      <c r="EIB507" s="324"/>
      <c r="EIC507" s="324"/>
      <c r="EID507" s="324"/>
      <c r="EIE507" s="324"/>
      <c r="EIF507" s="324"/>
      <c r="EIG507" s="256"/>
      <c r="EIH507" s="325"/>
      <c r="EII507" s="311"/>
      <c r="EIJ507" s="325"/>
      <c r="EIK507" s="310"/>
      <c r="EIL507" s="325"/>
      <c r="EIM507" s="325"/>
      <c r="EIN507" s="325"/>
      <c r="EIO507" s="325"/>
      <c r="EIP507" s="325"/>
      <c r="EIQ507" s="325"/>
      <c r="EIR507" s="325"/>
      <c r="EIS507" s="325"/>
      <c r="EIT507" s="325"/>
      <c r="EIU507" s="325"/>
      <c r="EIV507" s="325"/>
      <c r="EIW507" s="325"/>
      <c r="EIX507" s="325"/>
      <c r="EIY507" s="325"/>
      <c r="EIZ507" s="325"/>
      <c r="EJA507" s="325"/>
      <c r="EJB507" s="325"/>
      <c r="EJC507" s="325"/>
      <c r="EJD507" s="325"/>
      <c r="EJE507" s="325"/>
      <c r="EJF507" s="325"/>
      <c r="EJG507" s="325"/>
      <c r="EJH507" s="325"/>
      <c r="EJI507" s="325"/>
      <c r="EJJ507" s="325"/>
      <c r="EJK507" s="325"/>
      <c r="EJL507" s="325"/>
      <c r="EJM507" s="325"/>
      <c r="EJN507" s="325"/>
      <c r="EJO507" s="325"/>
      <c r="EJP507" s="327"/>
      <c r="EJQ507" s="28"/>
      <c r="EJR507" s="324"/>
      <c r="EJS507" s="324"/>
      <c r="EJT507" s="324"/>
      <c r="EJU507" s="324"/>
      <c r="EJV507" s="324"/>
      <c r="EJW507" s="324"/>
      <c r="EJX507" s="256"/>
      <c r="EJY507" s="325"/>
      <c r="EJZ507" s="311"/>
      <c r="EKA507" s="325"/>
      <c r="EKB507" s="310"/>
      <c r="EKC507" s="325"/>
      <c r="EKD507" s="325"/>
      <c r="EKE507" s="325"/>
      <c r="EKF507" s="325"/>
      <c r="EKG507" s="325"/>
      <c r="EKH507" s="325"/>
      <c r="EKI507" s="325"/>
      <c r="EKJ507" s="325"/>
      <c r="EKK507" s="325"/>
      <c r="EKL507" s="325"/>
      <c r="EKM507" s="325"/>
      <c r="EKN507" s="325"/>
      <c r="EKO507" s="325"/>
      <c r="EKP507" s="325"/>
      <c r="EKQ507" s="325"/>
      <c r="EKR507" s="325"/>
      <c r="EKS507" s="325"/>
      <c r="EKT507" s="325"/>
      <c r="EKU507" s="325"/>
      <c r="EKV507" s="325"/>
      <c r="EKW507" s="325"/>
      <c r="EKX507" s="325"/>
      <c r="EKY507" s="325"/>
      <c r="EKZ507" s="325"/>
      <c r="ELA507" s="325"/>
      <c r="ELB507" s="325"/>
      <c r="ELC507" s="325"/>
      <c r="ELD507" s="325"/>
      <c r="ELE507" s="325"/>
      <c r="ELF507" s="325"/>
      <c r="ELG507" s="327"/>
      <c r="ELH507" s="28"/>
      <c r="ELI507" s="324"/>
      <c r="ELJ507" s="324"/>
      <c r="ELK507" s="324"/>
      <c r="ELL507" s="324"/>
      <c r="ELM507" s="324"/>
      <c r="ELN507" s="324"/>
      <c r="ELO507" s="256"/>
      <c r="ELP507" s="325"/>
      <c r="ELQ507" s="311"/>
      <c r="ELR507" s="325"/>
      <c r="ELS507" s="310"/>
      <c r="ELT507" s="325"/>
      <c r="ELU507" s="325"/>
      <c r="ELV507" s="325"/>
      <c r="ELW507" s="325"/>
      <c r="ELX507" s="325"/>
      <c r="ELY507" s="325"/>
      <c r="ELZ507" s="325"/>
      <c r="EMA507" s="325"/>
      <c r="EMB507" s="325"/>
      <c r="EMC507" s="325"/>
      <c r="EMD507" s="325"/>
      <c r="EME507" s="325"/>
      <c r="EMF507" s="325"/>
      <c r="EMG507" s="325"/>
      <c r="EMH507" s="325"/>
      <c r="EMI507" s="325"/>
      <c r="EMJ507" s="325"/>
      <c r="EMK507" s="325"/>
      <c r="EML507" s="325"/>
      <c r="EMM507" s="325"/>
      <c r="EMN507" s="325"/>
      <c r="EMO507" s="325"/>
      <c r="EMP507" s="325"/>
      <c r="EMQ507" s="325"/>
      <c r="EMR507" s="325"/>
      <c r="EMS507" s="325"/>
      <c r="EMT507" s="325"/>
      <c r="EMU507" s="325"/>
      <c r="EMV507" s="325"/>
      <c r="EMW507" s="325"/>
      <c r="EMX507" s="327"/>
      <c r="EMY507" s="28"/>
      <c r="EMZ507" s="324"/>
      <c r="ENA507" s="324"/>
      <c r="ENB507" s="324"/>
      <c r="ENC507" s="324"/>
      <c r="END507" s="324"/>
      <c r="ENE507" s="324"/>
      <c r="ENF507" s="256"/>
      <c r="ENG507" s="325"/>
      <c r="ENH507" s="311"/>
      <c r="ENI507" s="325"/>
      <c r="ENJ507" s="310"/>
      <c r="ENK507" s="325"/>
      <c r="ENL507" s="325"/>
      <c r="ENM507" s="325"/>
      <c r="ENN507" s="325"/>
      <c r="ENO507" s="325"/>
      <c r="ENP507" s="325"/>
      <c r="ENQ507" s="325"/>
      <c r="ENR507" s="325"/>
      <c r="ENS507" s="325"/>
      <c r="ENT507" s="325"/>
      <c r="ENU507" s="325"/>
      <c r="ENV507" s="325"/>
      <c r="ENW507" s="325"/>
      <c r="ENX507" s="325"/>
      <c r="ENY507" s="325"/>
      <c r="ENZ507" s="325"/>
      <c r="EOA507" s="325"/>
      <c r="EOB507" s="325"/>
      <c r="EOC507" s="325"/>
      <c r="EOD507" s="325"/>
      <c r="EOE507" s="325"/>
      <c r="EOF507" s="325"/>
      <c r="EOG507" s="325"/>
      <c r="EOH507" s="325"/>
      <c r="EOI507" s="325"/>
      <c r="EOJ507" s="325"/>
      <c r="EOK507" s="325"/>
      <c r="EOL507" s="325"/>
      <c r="EOM507" s="325"/>
      <c r="EON507" s="325"/>
      <c r="EOO507" s="327"/>
      <c r="EOP507" s="28"/>
      <c r="EOQ507" s="324"/>
      <c r="EOR507" s="324"/>
      <c r="EOS507" s="324"/>
      <c r="EOT507" s="324"/>
      <c r="EOU507" s="324"/>
      <c r="EOV507" s="324"/>
      <c r="EOW507" s="256"/>
      <c r="EOX507" s="325"/>
      <c r="EOY507" s="311"/>
      <c r="EOZ507" s="325"/>
      <c r="EPA507" s="310"/>
      <c r="EPB507" s="325"/>
      <c r="EPC507" s="325"/>
      <c r="EPD507" s="325"/>
      <c r="EPE507" s="325"/>
      <c r="EPF507" s="325"/>
      <c r="EPG507" s="325"/>
      <c r="EPH507" s="325"/>
      <c r="EPI507" s="325"/>
      <c r="EPJ507" s="325"/>
      <c r="EPK507" s="325"/>
      <c r="EPL507" s="325"/>
      <c r="EPM507" s="325"/>
      <c r="EPN507" s="325"/>
      <c r="EPO507" s="325"/>
      <c r="EPP507" s="325"/>
      <c r="EPQ507" s="325"/>
      <c r="EPR507" s="325"/>
      <c r="EPS507" s="325"/>
      <c r="EPT507" s="325"/>
      <c r="EPU507" s="325"/>
      <c r="EPV507" s="325"/>
      <c r="EPW507" s="325"/>
      <c r="EPX507" s="325"/>
      <c r="EPY507" s="325"/>
      <c r="EPZ507" s="325"/>
      <c r="EQA507" s="325"/>
      <c r="EQB507" s="325"/>
      <c r="EQC507" s="325"/>
      <c r="EQD507" s="325"/>
      <c r="EQE507" s="325"/>
      <c r="EQF507" s="327"/>
      <c r="EQG507" s="28"/>
      <c r="EQH507" s="324"/>
      <c r="EQI507" s="324"/>
      <c r="EQJ507" s="324"/>
      <c r="EQK507" s="324"/>
      <c r="EQL507" s="324"/>
      <c r="EQM507" s="324"/>
      <c r="EQN507" s="256"/>
      <c r="EQO507" s="325"/>
      <c r="EQP507" s="311"/>
      <c r="EQQ507" s="325"/>
      <c r="EQR507" s="310"/>
      <c r="EQS507" s="325"/>
      <c r="EQT507" s="325"/>
      <c r="EQU507" s="325"/>
      <c r="EQV507" s="325"/>
      <c r="EQW507" s="325"/>
      <c r="EQX507" s="325"/>
      <c r="EQY507" s="325"/>
      <c r="EQZ507" s="325"/>
      <c r="ERA507" s="325"/>
      <c r="ERB507" s="325"/>
      <c r="ERC507" s="325"/>
      <c r="ERD507" s="325"/>
      <c r="ERE507" s="325"/>
      <c r="ERF507" s="325"/>
      <c r="ERG507" s="325"/>
      <c r="ERH507" s="325"/>
      <c r="ERI507" s="325"/>
      <c r="ERJ507" s="325"/>
      <c r="ERK507" s="325"/>
      <c r="ERL507" s="325"/>
      <c r="ERM507" s="325"/>
      <c r="ERN507" s="325"/>
      <c r="ERO507" s="325"/>
      <c r="ERP507" s="325"/>
      <c r="ERQ507" s="325"/>
      <c r="ERR507" s="325"/>
      <c r="ERS507" s="325"/>
      <c r="ERT507" s="325"/>
      <c r="ERU507" s="325"/>
      <c r="ERV507" s="325"/>
      <c r="ERW507" s="327"/>
      <c r="ERX507" s="28"/>
      <c r="ERY507" s="324"/>
      <c r="ERZ507" s="324"/>
      <c r="ESA507" s="324"/>
      <c r="ESB507" s="324"/>
      <c r="ESC507" s="324"/>
      <c r="ESD507" s="324"/>
      <c r="ESE507" s="256"/>
      <c r="ESF507" s="325"/>
      <c r="ESG507" s="311"/>
      <c r="ESH507" s="325"/>
      <c r="ESI507" s="310"/>
      <c r="ESJ507" s="325"/>
      <c r="ESK507" s="325"/>
      <c r="ESL507" s="325"/>
      <c r="ESM507" s="325"/>
      <c r="ESN507" s="325"/>
      <c r="ESO507" s="325"/>
      <c r="ESP507" s="325"/>
      <c r="ESQ507" s="325"/>
      <c r="ESR507" s="325"/>
      <c r="ESS507" s="325"/>
      <c r="EST507" s="325"/>
      <c r="ESU507" s="325"/>
      <c r="ESV507" s="325"/>
      <c r="ESW507" s="325"/>
      <c r="ESX507" s="325"/>
      <c r="ESY507" s="325"/>
      <c r="ESZ507" s="325"/>
      <c r="ETA507" s="325"/>
      <c r="ETB507" s="325"/>
      <c r="ETC507" s="325"/>
      <c r="ETD507" s="325"/>
      <c r="ETE507" s="325"/>
      <c r="ETF507" s="325"/>
      <c r="ETG507" s="325"/>
      <c r="ETH507" s="325"/>
      <c r="ETI507" s="325"/>
      <c r="ETJ507" s="325"/>
      <c r="ETK507" s="325"/>
      <c r="ETL507" s="325"/>
      <c r="ETM507" s="325"/>
      <c r="ETN507" s="327"/>
      <c r="ETO507" s="28"/>
      <c r="ETP507" s="324"/>
      <c r="ETQ507" s="324"/>
      <c r="ETR507" s="324"/>
      <c r="ETS507" s="324"/>
      <c r="ETT507" s="324"/>
      <c r="ETU507" s="324"/>
      <c r="ETV507" s="256"/>
      <c r="ETW507" s="325"/>
      <c r="ETX507" s="311"/>
      <c r="ETY507" s="325"/>
      <c r="ETZ507" s="310"/>
      <c r="EUA507" s="325"/>
      <c r="EUB507" s="325"/>
      <c r="EUC507" s="325"/>
      <c r="EUD507" s="325"/>
      <c r="EUE507" s="325"/>
      <c r="EUF507" s="325"/>
      <c r="EUG507" s="325"/>
      <c r="EUH507" s="325"/>
      <c r="EUI507" s="325"/>
      <c r="EUJ507" s="325"/>
      <c r="EUK507" s="325"/>
      <c r="EUL507" s="325"/>
      <c r="EUM507" s="325"/>
      <c r="EUN507" s="325"/>
      <c r="EUO507" s="325"/>
      <c r="EUP507" s="325"/>
      <c r="EUQ507" s="325"/>
      <c r="EUR507" s="325"/>
      <c r="EUS507" s="325"/>
      <c r="EUT507" s="325"/>
      <c r="EUU507" s="325"/>
      <c r="EUV507" s="325"/>
      <c r="EUW507" s="325"/>
      <c r="EUX507" s="325"/>
      <c r="EUY507" s="325"/>
      <c r="EUZ507" s="325"/>
      <c r="EVA507" s="325"/>
      <c r="EVB507" s="325"/>
      <c r="EVC507" s="325"/>
      <c r="EVD507" s="325"/>
      <c r="EVE507" s="327"/>
      <c r="EVF507" s="28"/>
      <c r="EVG507" s="324"/>
      <c r="EVH507" s="324"/>
      <c r="EVI507" s="324"/>
      <c r="EVJ507" s="324"/>
      <c r="EVK507" s="324"/>
      <c r="EVL507" s="324"/>
      <c r="EVM507" s="256"/>
      <c r="EVN507" s="325"/>
      <c r="EVO507" s="311"/>
      <c r="EVP507" s="325"/>
      <c r="EVQ507" s="310"/>
      <c r="EVR507" s="325"/>
      <c r="EVS507" s="325"/>
      <c r="EVT507" s="325"/>
      <c r="EVU507" s="325"/>
      <c r="EVV507" s="325"/>
      <c r="EVW507" s="325"/>
      <c r="EVX507" s="325"/>
      <c r="EVY507" s="325"/>
      <c r="EVZ507" s="325"/>
      <c r="EWA507" s="325"/>
      <c r="EWB507" s="325"/>
      <c r="EWC507" s="325"/>
      <c r="EWD507" s="325"/>
      <c r="EWE507" s="325"/>
      <c r="EWF507" s="325"/>
      <c r="EWG507" s="325"/>
      <c r="EWH507" s="325"/>
      <c r="EWI507" s="325"/>
      <c r="EWJ507" s="325"/>
      <c r="EWK507" s="325"/>
      <c r="EWL507" s="325"/>
      <c r="EWM507" s="325"/>
      <c r="EWN507" s="325"/>
      <c r="EWO507" s="325"/>
      <c r="EWP507" s="325"/>
      <c r="EWQ507" s="325"/>
      <c r="EWR507" s="325"/>
      <c r="EWS507" s="325"/>
      <c r="EWT507" s="325"/>
      <c r="EWU507" s="325"/>
      <c r="EWV507" s="327"/>
      <c r="EWW507" s="28"/>
      <c r="EWX507" s="324"/>
      <c r="EWY507" s="324"/>
      <c r="EWZ507" s="324"/>
      <c r="EXA507" s="324"/>
      <c r="EXB507" s="324"/>
      <c r="EXC507" s="324"/>
      <c r="EXD507" s="256"/>
      <c r="EXE507" s="325"/>
      <c r="EXF507" s="311"/>
      <c r="EXG507" s="325"/>
      <c r="EXH507" s="310"/>
      <c r="EXI507" s="325"/>
      <c r="EXJ507" s="325"/>
      <c r="EXK507" s="325"/>
      <c r="EXL507" s="325"/>
      <c r="EXM507" s="325"/>
      <c r="EXN507" s="325"/>
      <c r="EXO507" s="325"/>
      <c r="EXP507" s="325"/>
      <c r="EXQ507" s="325"/>
      <c r="EXR507" s="325"/>
      <c r="EXS507" s="325"/>
      <c r="EXT507" s="325"/>
      <c r="EXU507" s="325"/>
      <c r="EXV507" s="325"/>
      <c r="EXW507" s="325"/>
      <c r="EXX507" s="325"/>
      <c r="EXY507" s="325"/>
      <c r="EXZ507" s="325"/>
      <c r="EYA507" s="325"/>
      <c r="EYB507" s="325"/>
      <c r="EYC507" s="325"/>
      <c r="EYD507" s="325"/>
      <c r="EYE507" s="325"/>
      <c r="EYF507" s="325"/>
      <c r="EYG507" s="325"/>
      <c r="EYH507" s="325"/>
      <c r="EYI507" s="325"/>
      <c r="EYJ507" s="325"/>
      <c r="EYK507" s="325"/>
      <c r="EYL507" s="325"/>
      <c r="EYM507" s="327"/>
      <c r="EYN507" s="28"/>
      <c r="EYO507" s="324"/>
      <c r="EYP507" s="324"/>
      <c r="EYQ507" s="324"/>
      <c r="EYR507" s="324"/>
      <c r="EYS507" s="324"/>
      <c r="EYT507" s="324"/>
      <c r="EYU507" s="256"/>
      <c r="EYV507" s="325"/>
      <c r="EYW507" s="311"/>
      <c r="EYX507" s="325"/>
      <c r="EYY507" s="310"/>
      <c r="EYZ507" s="325"/>
      <c r="EZA507" s="325"/>
      <c r="EZB507" s="325"/>
      <c r="EZC507" s="325"/>
      <c r="EZD507" s="325"/>
      <c r="EZE507" s="325"/>
      <c r="EZF507" s="325"/>
      <c r="EZG507" s="325"/>
      <c r="EZH507" s="325"/>
      <c r="EZI507" s="325"/>
      <c r="EZJ507" s="325"/>
      <c r="EZK507" s="325"/>
      <c r="EZL507" s="325"/>
      <c r="EZM507" s="325"/>
      <c r="EZN507" s="325"/>
      <c r="EZO507" s="325"/>
      <c r="EZP507" s="325"/>
      <c r="EZQ507" s="325"/>
      <c r="EZR507" s="325"/>
      <c r="EZS507" s="325"/>
      <c r="EZT507" s="325"/>
      <c r="EZU507" s="325"/>
      <c r="EZV507" s="325"/>
      <c r="EZW507" s="325"/>
      <c r="EZX507" s="325"/>
      <c r="EZY507" s="325"/>
      <c r="EZZ507" s="325"/>
      <c r="FAA507" s="325"/>
      <c r="FAB507" s="325"/>
      <c r="FAC507" s="325"/>
      <c r="FAD507" s="327"/>
      <c r="FAE507" s="28"/>
      <c r="FAF507" s="324"/>
      <c r="FAG507" s="324"/>
      <c r="FAH507" s="324"/>
      <c r="FAI507" s="324"/>
      <c r="FAJ507" s="324"/>
      <c r="FAK507" s="324"/>
      <c r="FAL507" s="256"/>
      <c r="FAM507" s="325"/>
      <c r="FAN507" s="311"/>
      <c r="FAO507" s="325"/>
      <c r="FAP507" s="310"/>
      <c r="FAQ507" s="325"/>
      <c r="FAR507" s="325"/>
      <c r="FAS507" s="325"/>
      <c r="FAT507" s="325"/>
      <c r="FAU507" s="325"/>
      <c r="FAV507" s="325"/>
      <c r="FAW507" s="325"/>
      <c r="FAX507" s="325"/>
      <c r="FAY507" s="325"/>
      <c r="FAZ507" s="325"/>
      <c r="FBA507" s="325"/>
      <c r="FBB507" s="325"/>
      <c r="FBC507" s="325"/>
      <c r="FBD507" s="325"/>
      <c r="FBE507" s="325"/>
      <c r="FBF507" s="325"/>
      <c r="FBG507" s="325"/>
      <c r="FBH507" s="325"/>
      <c r="FBI507" s="325"/>
      <c r="FBJ507" s="325"/>
      <c r="FBK507" s="325"/>
      <c r="FBL507" s="325"/>
      <c r="FBM507" s="325"/>
      <c r="FBN507" s="325"/>
      <c r="FBO507" s="325"/>
      <c r="FBP507" s="325"/>
      <c r="FBQ507" s="325"/>
      <c r="FBR507" s="325"/>
      <c r="FBS507" s="325"/>
      <c r="FBT507" s="325"/>
      <c r="FBU507" s="327"/>
      <c r="FBV507" s="28"/>
      <c r="FBW507" s="324"/>
      <c r="FBX507" s="324"/>
      <c r="FBY507" s="324"/>
      <c r="FBZ507" s="324"/>
      <c r="FCA507" s="324"/>
      <c r="FCB507" s="324"/>
      <c r="FCC507" s="256"/>
      <c r="FCD507" s="325"/>
      <c r="FCE507" s="311"/>
      <c r="FCF507" s="325"/>
      <c r="FCG507" s="310"/>
      <c r="FCH507" s="325"/>
      <c r="FCI507" s="325"/>
      <c r="FCJ507" s="325"/>
      <c r="FCK507" s="325"/>
      <c r="FCL507" s="325"/>
      <c r="FCM507" s="325"/>
      <c r="FCN507" s="325"/>
      <c r="FCO507" s="325"/>
      <c r="FCP507" s="325"/>
      <c r="FCQ507" s="325"/>
      <c r="FCR507" s="325"/>
      <c r="FCS507" s="325"/>
      <c r="FCT507" s="325"/>
      <c r="FCU507" s="325"/>
      <c r="FCV507" s="325"/>
      <c r="FCW507" s="325"/>
      <c r="FCX507" s="325"/>
      <c r="FCY507" s="325"/>
      <c r="FCZ507" s="325"/>
      <c r="FDA507" s="325"/>
      <c r="FDB507" s="325"/>
      <c r="FDC507" s="325"/>
      <c r="FDD507" s="325"/>
      <c r="FDE507" s="325"/>
      <c r="FDF507" s="325"/>
      <c r="FDG507" s="325"/>
      <c r="FDH507" s="325"/>
      <c r="FDI507" s="325"/>
      <c r="FDJ507" s="325"/>
      <c r="FDK507" s="325"/>
      <c r="FDL507" s="327"/>
      <c r="FDM507" s="28"/>
      <c r="FDN507" s="324"/>
      <c r="FDO507" s="324"/>
      <c r="FDP507" s="324"/>
      <c r="FDQ507" s="324"/>
      <c r="FDR507" s="324"/>
      <c r="FDS507" s="324"/>
      <c r="FDT507" s="256"/>
      <c r="FDU507" s="325"/>
      <c r="FDV507" s="311"/>
      <c r="FDW507" s="325"/>
      <c r="FDX507" s="310"/>
      <c r="FDY507" s="325"/>
      <c r="FDZ507" s="325"/>
      <c r="FEA507" s="325"/>
      <c r="FEB507" s="325"/>
      <c r="FEC507" s="325"/>
      <c r="FED507" s="325"/>
      <c r="FEE507" s="325"/>
      <c r="FEF507" s="325"/>
      <c r="FEG507" s="325"/>
      <c r="FEH507" s="325"/>
      <c r="FEI507" s="325"/>
      <c r="FEJ507" s="325"/>
      <c r="FEK507" s="325"/>
      <c r="FEL507" s="325"/>
      <c r="FEM507" s="325"/>
      <c r="FEN507" s="325"/>
      <c r="FEO507" s="325"/>
      <c r="FEP507" s="325"/>
      <c r="FEQ507" s="325"/>
      <c r="FER507" s="325"/>
      <c r="FES507" s="325"/>
      <c r="FET507" s="325"/>
      <c r="FEU507" s="325"/>
      <c r="FEV507" s="325"/>
      <c r="FEW507" s="325"/>
      <c r="FEX507" s="325"/>
      <c r="FEY507" s="325"/>
      <c r="FEZ507" s="325"/>
      <c r="FFA507" s="325"/>
      <c r="FFB507" s="325"/>
      <c r="FFC507" s="327"/>
      <c r="FFD507" s="28"/>
      <c r="FFE507" s="324"/>
      <c r="FFF507" s="324"/>
      <c r="FFG507" s="324"/>
      <c r="FFH507" s="324"/>
      <c r="FFI507" s="324"/>
      <c r="FFJ507" s="324"/>
      <c r="FFK507" s="256"/>
      <c r="FFL507" s="325"/>
      <c r="FFM507" s="311"/>
      <c r="FFN507" s="325"/>
      <c r="FFO507" s="310"/>
      <c r="FFP507" s="325"/>
      <c r="FFQ507" s="325"/>
      <c r="FFR507" s="325"/>
      <c r="FFS507" s="325"/>
      <c r="FFT507" s="325"/>
      <c r="FFU507" s="325"/>
      <c r="FFV507" s="325"/>
      <c r="FFW507" s="325"/>
      <c r="FFX507" s="325"/>
      <c r="FFY507" s="325"/>
      <c r="FFZ507" s="325"/>
      <c r="FGA507" s="325"/>
      <c r="FGB507" s="325"/>
      <c r="FGC507" s="325"/>
      <c r="FGD507" s="325"/>
      <c r="FGE507" s="325"/>
      <c r="FGF507" s="325"/>
      <c r="FGG507" s="325"/>
      <c r="FGH507" s="325"/>
      <c r="FGI507" s="325"/>
      <c r="FGJ507" s="325"/>
      <c r="FGK507" s="325"/>
      <c r="FGL507" s="325"/>
      <c r="FGM507" s="325"/>
      <c r="FGN507" s="325"/>
      <c r="FGO507" s="325"/>
      <c r="FGP507" s="325"/>
      <c r="FGQ507" s="325"/>
      <c r="FGR507" s="325"/>
      <c r="FGS507" s="325"/>
      <c r="FGT507" s="327"/>
      <c r="FGU507" s="28"/>
      <c r="FGV507" s="324"/>
      <c r="FGW507" s="324"/>
      <c r="FGX507" s="324"/>
      <c r="FGY507" s="324"/>
      <c r="FGZ507" s="324"/>
      <c r="FHA507" s="324"/>
      <c r="FHB507" s="256"/>
      <c r="FHC507" s="325"/>
      <c r="FHD507" s="311"/>
      <c r="FHE507" s="325"/>
      <c r="FHF507" s="310"/>
      <c r="FHG507" s="325"/>
      <c r="FHH507" s="325"/>
      <c r="FHI507" s="325"/>
      <c r="FHJ507" s="325"/>
      <c r="FHK507" s="325"/>
      <c r="FHL507" s="325"/>
      <c r="FHM507" s="325"/>
      <c r="FHN507" s="325"/>
      <c r="FHO507" s="325"/>
      <c r="FHP507" s="325"/>
      <c r="FHQ507" s="325"/>
      <c r="FHR507" s="325"/>
      <c r="FHS507" s="325"/>
      <c r="FHT507" s="325"/>
      <c r="FHU507" s="325"/>
      <c r="FHV507" s="325"/>
      <c r="FHW507" s="325"/>
      <c r="FHX507" s="325"/>
      <c r="FHY507" s="325"/>
      <c r="FHZ507" s="325"/>
      <c r="FIA507" s="325"/>
      <c r="FIB507" s="325"/>
      <c r="FIC507" s="325"/>
      <c r="FID507" s="325"/>
      <c r="FIE507" s="325"/>
      <c r="FIF507" s="325"/>
      <c r="FIG507" s="325"/>
      <c r="FIH507" s="325"/>
      <c r="FII507" s="325"/>
      <c r="FIJ507" s="325"/>
      <c r="FIK507" s="327"/>
      <c r="FIL507" s="28"/>
      <c r="FIM507" s="324"/>
      <c r="FIN507" s="324"/>
      <c r="FIO507" s="324"/>
      <c r="FIP507" s="324"/>
      <c r="FIQ507" s="324"/>
      <c r="FIR507" s="324"/>
      <c r="FIS507" s="256"/>
      <c r="FIT507" s="325"/>
      <c r="FIU507" s="311"/>
      <c r="FIV507" s="325"/>
      <c r="FIW507" s="310"/>
      <c r="FIX507" s="325"/>
      <c r="FIY507" s="325"/>
      <c r="FIZ507" s="325"/>
      <c r="FJA507" s="325"/>
      <c r="FJB507" s="325"/>
      <c r="FJC507" s="325"/>
      <c r="FJD507" s="325"/>
      <c r="FJE507" s="325"/>
      <c r="FJF507" s="325"/>
      <c r="FJG507" s="325"/>
      <c r="FJH507" s="325"/>
      <c r="FJI507" s="325"/>
      <c r="FJJ507" s="325"/>
      <c r="FJK507" s="325"/>
      <c r="FJL507" s="325"/>
      <c r="FJM507" s="325"/>
      <c r="FJN507" s="325"/>
      <c r="FJO507" s="325"/>
      <c r="FJP507" s="325"/>
      <c r="FJQ507" s="325"/>
      <c r="FJR507" s="325"/>
      <c r="FJS507" s="325"/>
      <c r="FJT507" s="325"/>
      <c r="FJU507" s="325"/>
      <c r="FJV507" s="325"/>
      <c r="FJW507" s="325"/>
      <c r="FJX507" s="325"/>
      <c r="FJY507" s="325"/>
      <c r="FJZ507" s="325"/>
      <c r="FKA507" s="325"/>
      <c r="FKB507" s="327"/>
      <c r="FKC507" s="28"/>
      <c r="FKD507" s="324"/>
      <c r="FKE507" s="324"/>
      <c r="FKF507" s="324"/>
      <c r="FKG507" s="324"/>
      <c r="FKH507" s="324"/>
      <c r="FKI507" s="324"/>
      <c r="FKJ507" s="256"/>
      <c r="FKK507" s="325"/>
      <c r="FKL507" s="311"/>
      <c r="FKM507" s="325"/>
      <c r="FKN507" s="310"/>
      <c r="FKO507" s="325"/>
      <c r="FKP507" s="325"/>
      <c r="FKQ507" s="325"/>
      <c r="FKR507" s="325"/>
      <c r="FKS507" s="325"/>
      <c r="FKT507" s="325"/>
      <c r="FKU507" s="325"/>
      <c r="FKV507" s="325"/>
      <c r="FKW507" s="325"/>
      <c r="FKX507" s="325"/>
      <c r="FKY507" s="325"/>
      <c r="FKZ507" s="325"/>
      <c r="FLA507" s="325"/>
      <c r="FLB507" s="325"/>
      <c r="FLC507" s="325"/>
      <c r="FLD507" s="325"/>
      <c r="FLE507" s="325"/>
      <c r="FLF507" s="325"/>
      <c r="FLG507" s="325"/>
      <c r="FLH507" s="325"/>
      <c r="FLI507" s="325"/>
      <c r="FLJ507" s="325"/>
      <c r="FLK507" s="325"/>
      <c r="FLL507" s="325"/>
      <c r="FLM507" s="325"/>
      <c r="FLN507" s="325"/>
      <c r="FLO507" s="325"/>
      <c r="FLP507" s="325"/>
      <c r="FLQ507" s="325"/>
      <c r="FLR507" s="325"/>
      <c r="FLS507" s="327"/>
      <c r="FLT507" s="28"/>
      <c r="FLU507" s="324"/>
      <c r="FLV507" s="324"/>
      <c r="FLW507" s="324"/>
      <c r="FLX507" s="324"/>
      <c r="FLY507" s="324"/>
      <c r="FLZ507" s="324"/>
      <c r="FMA507" s="256"/>
      <c r="FMB507" s="325"/>
      <c r="FMC507" s="311"/>
      <c r="FMD507" s="325"/>
      <c r="FME507" s="310"/>
      <c r="FMF507" s="325"/>
      <c r="FMG507" s="325"/>
      <c r="FMH507" s="325"/>
      <c r="FMI507" s="325"/>
      <c r="FMJ507" s="325"/>
      <c r="FMK507" s="325"/>
      <c r="FML507" s="325"/>
      <c r="FMM507" s="325"/>
      <c r="FMN507" s="325"/>
      <c r="FMO507" s="325"/>
      <c r="FMP507" s="325"/>
      <c r="FMQ507" s="325"/>
      <c r="FMR507" s="325"/>
      <c r="FMS507" s="325"/>
      <c r="FMT507" s="325"/>
      <c r="FMU507" s="325"/>
      <c r="FMV507" s="325"/>
      <c r="FMW507" s="325"/>
      <c r="FMX507" s="325"/>
      <c r="FMY507" s="325"/>
      <c r="FMZ507" s="325"/>
      <c r="FNA507" s="325"/>
      <c r="FNB507" s="325"/>
      <c r="FNC507" s="325"/>
      <c r="FND507" s="325"/>
      <c r="FNE507" s="325"/>
      <c r="FNF507" s="325"/>
      <c r="FNG507" s="325"/>
      <c r="FNH507" s="325"/>
      <c r="FNI507" s="325"/>
      <c r="FNJ507" s="327"/>
      <c r="FNK507" s="28"/>
      <c r="FNL507" s="324"/>
      <c r="FNM507" s="324"/>
      <c r="FNN507" s="324"/>
      <c r="FNO507" s="324"/>
      <c r="FNP507" s="324"/>
      <c r="FNQ507" s="324"/>
      <c r="FNR507" s="256"/>
      <c r="FNS507" s="325"/>
      <c r="FNT507" s="311"/>
      <c r="FNU507" s="325"/>
      <c r="FNV507" s="310"/>
      <c r="FNW507" s="325"/>
      <c r="FNX507" s="325"/>
      <c r="FNY507" s="325"/>
      <c r="FNZ507" s="325"/>
      <c r="FOA507" s="325"/>
      <c r="FOB507" s="325"/>
      <c r="FOC507" s="325"/>
      <c r="FOD507" s="325"/>
      <c r="FOE507" s="325"/>
      <c r="FOF507" s="325"/>
      <c r="FOG507" s="325"/>
      <c r="FOH507" s="325"/>
      <c r="FOI507" s="325"/>
      <c r="FOJ507" s="325"/>
      <c r="FOK507" s="325"/>
      <c r="FOL507" s="325"/>
      <c r="FOM507" s="325"/>
      <c r="FON507" s="325"/>
      <c r="FOO507" s="325"/>
      <c r="FOP507" s="325"/>
      <c r="FOQ507" s="325"/>
      <c r="FOR507" s="325"/>
      <c r="FOS507" s="325"/>
      <c r="FOT507" s="325"/>
      <c r="FOU507" s="325"/>
      <c r="FOV507" s="325"/>
      <c r="FOW507" s="325"/>
      <c r="FOX507" s="325"/>
      <c r="FOY507" s="325"/>
      <c r="FOZ507" s="325"/>
      <c r="FPA507" s="327"/>
      <c r="FPB507" s="28"/>
      <c r="FPC507" s="324"/>
      <c r="FPD507" s="324"/>
      <c r="FPE507" s="324"/>
      <c r="FPF507" s="324"/>
      <c r="FPG507" s="324"/>
      <c r="FPH507" s="324"/>
      <c r="FPI507" s="256"/>
      <c r="FPJ507" s="325"/>
      <c r="FPK507" s="311"/>
      <c r="FPL507" s="325"/>
      <c r="FPM507" s="310"/>
      <c r="FPN507" s="325"/>
      <c r="FPO507" s="325"/>
      <c r="FPP507" s="325"/>
      <c r="FPQ507" s="325"/>
      <c r="FPR507" s="325"/>
      <c r="FPS507" s="325"/>
      <c r="FPT507" s="325"/>
      <c r="FPU507" s="325"/>
      <c r="FPV507" s="325"/>
      <c r="FPW507" s="325"/>
      <c r="FPX507" s="325"/>
      <c r="FPY507" s="325"/>
      <c r="FPZ507" s="325"/>
      <c r="FQA507" s="325"/>
      <c r="FQB507" s="325"/>
      <c r="FQC507" s="325"/>
      <c r="FQD507" s="325"/>
      <c r="FQE507" s="325"/>
      <c r="FQF507" s="325"/>
      <c r="FQG507" s="325"/>
      <c r="FQH507" s="325"/>
      <c r="FQI507" s="325"/>
      <c r="FQJ507" s="325"/>
      <c r="FQK507" s="325"/>
      <c r="FQL507" s="325"/>
      <c r="FQM507" s="325"/>
      <c r="FQN507" s="325"/>
      <c r="FQO507" s="325"/>
      <c r="FQP507" s="325"/>
      <c r="FQQ507" s="325"/>
      <c r="FQR507" s="327"/>
      <c r="FQS507" s="28"/>
      <c r="FQT507" s="324"/>
      <c r="FQU507" s="324"/>
      <c r="FQV507" s="324"/>
      <c r="FQW507" s="324"/>
      <c r="FQX507" s="324"/>
      <c r="FQY507" s="324"/>
      <c r="FQZ507" s="256"/>
      <c r="FRA507" s="325"/>
      <c r="FRB507" s="311"/>
      <c r="FRC507" s="325"/>
      <c r="FRD507" s="310"/>
      <c r="FRE507" s="325"/>
      <c r="FRF507" s="325"/>
      <c r="FRG507" s="325"/>
      <c r="FRH507" s="325"/>
      <c r="FRI507" s="325"/>
      <c r="FRJ507" s="325"/>
      <c r="FRK507" s="325"/>
      <c r="FRL507" s="325"/>
      <c r="FRM507" s="325"/>
      <c r="FRN507" s="325"/>
      <c r="FRO507" s="325"/>
      <c r="FRP507" s="325"/>
      <c r="FRQ507" s="325"/>
      <c r="FRR507" s="325"/>
      <c r="FRS507" s="325"/>
      <c r="FRT507" s="325"/>
      <c r="FRU507" s="325"/>
      <c r="FRV507" s="325"/>
      <c r="FRW507" s="325"/>
      <c r="FRX507" s="325"/>
      <c r="FRY507" s="325"/>
      <c r="FRZ507" s="325"/>
      <c r="FSA507" s="325"/>
      <c r="FSB507" s="325"/>
      <c r="FSC507" s="325"/>
      <c r="FSD507" s="325"/>
      <c r="FSE507" s="325"/>
      <c r="FSF507" s="325"/>
      <c r="FSG507" s="325"/>
      <c r="FSH507" s="325"/>
      <c r="FSI507" s="327"/>
      <c r="FSJ507" s="28"/>
      <c r="FSK507" s="324"/>
      <c r="FSL507" s="324"/>
      <c r="FSM507" s="324"/>
      <c r="FSN507" s="324"/>
      <c r="FSO507" s="324"/>
      <c r="FSP507" s="324"/>
      <c r="FSQ507" s="256"/>
      <c r="FSR507" s="325"/>
      <c r="FSS507" s="311"/>
      <c r="FST507" s="325"/>
      <c r="FSU507" s="310"/>
      <c r="FSV507" s="325"/>
      <c r="FSW507" s="325"/>
      <c r="FSX507" s="325"/>
      <c r="FSY507" s="325"/>
      <c r="FSZ507" s="325"/>
      <c r="FTA507" s="325"/>
      <c r="FTB507" s="325"/>
      <c r="FTC507" s="325"/>
      <c r="FTD507" s="325"/>
      <c r="FTE507" s="325"/>
      <c r="FTF507" s="325"/>
      <c r="FTG507" s="325"/>
      <c r="FTH507" s="325"/>
      <c r="FTI507" s="325"/>
      <c r="FTJ507" s="325"/>
      <c r="FTK507" s="325"/>
      <c r="FTL507" s="325"/>
      <c r="FTM507" s="325"/>
      <c r="FTN507" s="325"/>
      <c r="FTO507" s="325"/>
      <c r="FTP507" s="325"/>
      <c r="FTQ507" s="325"/>
      <c r="FTR507" s="325"/>
      <c r="FTS507" s="325"/>
      <c r="FTT507" s="325"/>
      <c r="FTU507" s="325"/>
      <c r="FTV507" s="325"/>
      <c r="FTW507" s="325"/>
      <c r="FTX507" s="325"/>
      <c r="FTY507" s="325"/>
      <c r="FTZ507" s="327"/>
      <c r="FUA507" s="28"/>
      <c r="FUB507" s="324"/>
      <c r="FUC507" s="324"/>
      <c r="FUD507" s="324"/>
      <c r="FUE507" s="324"/>
      <c r="FUF507" s="324"/>
      <c r="FUG507" s="324"/>
      <c r="FUH507" s="256"/>
      <c r="FUI507" s="325"/>
      <c r="FUJ507" s="311"/>
      <c r="FUK507" s="325"/>
      <c r="FUL507" s="310"/>
      <c r="FUM507" s="325"/>
      <c r="FUN507" s="325"/>
      <c r="FUO507" s="325"/>
      <c r="FUP507" s="325"/>
      <c r="FUQ507" s="325"/>
      <c r="FUR507" s="325"/>
      <c r="FUS507" s="325"/>
      <c r="FUT507" s="325"/>
      <c r="FUU507" s="325"/>
      <c r="FUV507" s="325"/>
      <c r="FUW507" s="325"/>
      <c r="FUX507" s="325"/>
      <c r="FUY507" s="325"/>
      <c r="FUZ507" s="325"/>
      <c r="FVA507" s="325"/>
      <c r="FVB507" s="325"/>
      <c r="FVC507" s="325"/>
      <c r="FVD507" s="325"/>
      <c r="FVE507" s="325"/>
      <c r="FVF507" s="325"/>
      <c r="FVG507" s="325"/>
      <c r="FVH507" s="325"/>
      <c r="FVI507" s="325"/>
      <c r="FVJ507" s="325"/>
      <c r="FVK507" s="325"/>
      <c r="FVL507" s="325"/>
      <c r="FVM507" s="325"/>
      <c r="FVN507" s="325"/>
      <c r="FVO507" s="325"/>
      <c r="FVP507" s="325"/>
      <c r="FVQ507" s="327"/>
      <c r="FVR507" s="28"/>
      <c r="FVS507" s="324"/>
      <c r="FVT507" s="324"/>
      <c r="FVU507" s="324"/>
      <c r="FVV507" s="324"/>
      <c r="FVW507" s="324"/>
      <c r="FVX507" s="324"/>
      <c r="FVY507" s="256"/>
      <c r="FVZ507" s="325"/>
      <c r="FWA507" s="311"/>
      <c r="FWB507" s="325"/>
      <c r="FWC507" s="310"/>
      <c r="FWD507" s="325"/>
      <c r="FWE507" s="325"/>
      <c r="FWF507" s="325"/>
      <c r="FWG507" s="325"/>
      <c r="FWH507" s="325"/>
      <c r="FWI507" s="325"/>
      <c r="FWJ507" s="325"/>
      <c r="FWK507" s="325"/>
      <c r="FWL507" s="325"/>
      <c r="FWM507" s="325"/>
      <c r="FWN507" s="325"/>
      <c r="FWO507" s="325"/>
      <c r="FWP507" s="325"/>
      <c r="FWQ507" s="325"/>
      <c r="FWR507" s="325"/>
      <c r="FWS507" s="325"/>
      <c r="FWT507" s="325"/>
      <c r="FWU507" s="325"/>
      <c r="FWV507" s="325"/>
      <c r="FWW507" s="325"/>
      <c r="FWX507" s="325"/>
      <c r="FWY507" s="325"/>
      <c r="FWZ507" s="325"/>
      <c r="FXA507" s="325"/>
      <c r="FXB507" s="325"/>
      <c r="FXC507" s="325"/>
      <c r="FXD507" s="325"/>
      <c r="FXE507" s="325"/>
      <c r="FXF507" s="325"/>
      <c r="FXG507" s="325"/>
      <c r="FXH507" s="327"/>
      <c r="FXI507" s="28"/>
      <c r="FXJ507" s="324"/>
      <c r="FXK507" s="324"/>
      <c r="FXL507" s="324"/>
      <c r="FXM507" s="324"/>
      <c r="FXN507" s="324"/>
      <c r="FXO507" s="324"/>
      <c r="FXP507" s="256"/>
      <c r="FXQ507" s="325"/>
      <c r="FXR507" s="311"/>
      <c r="FXS507" s="325"/>
      <c r="FXT507" s="310"/>
      <c r="FXU507" s="325"/>
      <c r="FXV507" s="325"/>
      <c r="FXW507" s="325"/>
      <c r="FXX507" s="325"/>
      <c r="FXY507" s="325"/>
      <c r="FXZ507" s="325"/>
      <c r="FYA507" s="325"/>
      <c r="FYB507" s="325"/>
      <c r="FYC507" s="325"/>
      <c r="FYD507" s="325"/>
      <c r="FYE507" s="325"/>
      <c r="FYF507" s="325"/>
      <c r="FYG507" s="325"/>
      <c r="FYH507" s="325"/>
      <c r="FYI507" s="325"/>
      <c r="FYJ507" s="325"/>
      <c r="FYK507" s="325"/>
      <c r="FYL507" s="325"/>
      <c r="FYM507" s="325"/>
      <c r="FYN507" s="325"/>
      <c r="FYO507" s="325"/>
      <c r="FYP507" s="325"/>
      <c r="FYQ507" s="325"/>
      <c r="FYR507" s="325"/>
      <c r="FYS507" s="325"/>
      <c r="FYT507" s="325"/>
      <c r="FYU507" s="325"/>
      <c r="FYV507" s="325"/>
      <c r="FYW507" s="325"/>
      <c r="FYX507" s="325"/>
      <c r="FYY507" s="327"/>
      <c r="FYZ507" s="28"/>
      <c r="FZA507" s="324"/>
      <c r="FZB507" s="324"/>
      <c r="FZC507" s="324"/>
      <c r="FZD507" s="324"/>
      <c r="FZE507" s="324"/>
      <c r="FZF507" s="324"/>
      <c r="FZG507" s="256"/>
      <c r="FZH507" s="325"/>
      <c r="FZI507" s="311"/>
      <c r="FZJ507" s="325"/>
      <c r="FZK507" s="310"/>
      <c r="FZL507" s="325"/>
      <c r="FZM507" s="325"/>
      <c r="FZN507" s="325"/>
      <c r="FZO507" s="325"/>
      <c r="FZP507" s="325"/>
      <c r="FZQ507" s="325"/>
      <c r="FZR507" s="325"/>
      <c r="FZS507" s="325"/>
      <c r="FZT507" s="325"/>
      <c r="FZU507" s="325"/>
      <c r="FZV507" s="325"/>
      <c r="FZW507" s="325"/>
      <c r="FZX507" s="325"/>
      <c r="FZY507" s="325"/>
      <c r="FZZ507" s="325"/>
      <c r="GAA507" s="325"/>
      <c r="GAB507" s="325"/>
      <c r="GAC507" s="325"/>
      <c r="GAD507" s="325"/>
      <c r="GAE507" s="325"/>
      <c r="GAF507" s="325"/>
      <c r="GAG507" s="325"/>
      <c r="GAH507" s="325"/>
      <c r="GAI507" s="325"/>
      <c r="GAJ507" s="325"/>
      <c r="GAK507" s="325"/>
      <c r="GAL507" s="325"/>
      <c r="GAM507" s="325"/>
      <c r="GAN507" s="325"/>
      <c r="GAO507" s="325"/>
      <c r="GAP507" s="327"/>
      <c r="GAQ507" s="28"/>
      <c r="GAR507" s="324"/>
      <c r="GAS507" s="324"/>
      <c r="GAT507" s="324"/>
      <c r="GAU507" s="324"/>
      <c r="GAV507" s="324"/>
      <c r="GAW507" s="324"/>
      <c r="GAX507" s="256"/>
      <c r="GAY507" s="325"/>
      <c r="GAZ507" s="311"/>
      <c r="GBA507" s="325"/>
      <c r="GBB507" s="310"/>
      <c r="GBC507" s="325"/>
      <c r="GBD507" s="325"/>
      <c r="GBE507" s="325"/>
      <c r="GBF507" s="325"/>
      <c r="GBG507" s="325"/>
      <c r="GBH507" s="325"/>
      <c r="GBI507" s="325"/>
      <c r="GBJ507" s="325"/>
      <c r="GBK507" s="325"/>
      <c r="GBL507" s="325"/>
      <c r="GBM507" s="325"/>
      <c r="GBN507" s="325"/>
      <c r="GBO507" s="325"/>
      <c r="GBP507" s="325"/>
      <c r="GBQ507" s="325"/>
      <c r="GBR507" s="325"/>
      <c r="GBS507" s="325"/>
      <c r="GBT507" s="325"/>
      <c r="GBU507" s="325"/>
      <c r="GBV507" s="325"/>
      <c r="GBW507" s="325"/>
      <c r="GBX507" s="325"/>
      <c r="GBY507" s="325"/>
      <c r="GBZ507" s="325"/>
      <c r="GCA507" s="325"/>
      <c r="GCB507" s="325"/>
      <c r="GCC507" s="325"/>
      <c r="GCD507" s="325"/>
      <c r="GCE507" s="325"/>
      <c r="GCF507" s="325"/>
      <c r="GCG507" s="327"/>
      <c r="GCH507" s="28"/>
      <c r="GCI507" s="324"/>
      <c r="GCJ507" s="324"/>
      <c r="GCK507" s="324"/>
      <c r="GCL507" s="324"/>
      <c r="GCM507" s="324"/>
      <c r="GCN507" s="324"/>
      <c r="GCO507" s="256"/>
      <c r="GCP507" s="325"/>
      <c r="GCQ507" s="311"/>
      <c r="GCR507" s="325"/>
      <c r="GCS507" s="310"/>
      <c r="GCT507" s="325"/>
      <c r="GCU507" s="325"/>
      <c r="GCV507" s="325"/>
      <c r="GCW507" s="325"/>
      <c r="GCX507" s="325"/>
      <c r="GCY507" s="325"/>
      <c r="GCZ507" s="325"/>
      <c r="GDA507" s="325"/>
      <c r="GDB507" s="325"/>
      <c r="GDC507" s="325"/>
      <c r="GDD507" s="325"/>
      <c r="GDE507" s="325"/>
      <c r="GDF507" s="325"/>
      <c r="GDG507" s="325"/>
      <c r="GDH507" s="325"/>
      <c r="GDI507" s="325"/>
      <c r="GDJ507" s="325"/>
      <c r="GDK507" s="325"/>
      <c r="GDL507" s="325"/>
      <c r="GDM507" s="325"/>
      <c r="GDN507" s="325"/>
      <c r="GDO507" s="325"/>
      <c r="GDP507" s="325"/>
      <c r="GDQ507" s="325"/>
      <c r="GDR507" s="325"/>
      <c r="GDS507" s="325"/>
      <c r="GDT507" s="325"/>
      <c r="GDU507" s="325"/>
      <c r="GDV507" s="325"/>
      <c r="GDW507" s="325"/>
      <c r="GDX507" s="327"/>
      <c r="GDY507" s="28"/>
      <c r="GDZ507" s="324"/>
      <c r="GEA507" s="324"/>
      <c r="GEB507" s="324"/>
      <c r="GEC507" s="324"/>
      <c r="GED507" s="324"/>
      <c r="GEE507" s="324"/>
      <c r="GEF507" s="256"/>
      <c r="GEG507" s="325"/>
      <c r="GEH507" s="311"/>
      <c r="GEI507" s="325"/>
      <c r="GEJ507" s="310"/>
      <c r="GEK507" s="325"/>
      <c r="GEL507" s="325"/>
      <c r="GEM507" s="325"/>
      <c r="GEN507" s="325"/>
      <c r="GEO507" s="325"/>
      <c r="GEP507" s="325"/>
      <c r="GEQ507" s="325"/>
      <c r="GER507" s="325"/>
      <c r="GES507" s="325"/>
      <c r="GET507" s="325"/>
      <c r="GEU507" s="325"/>
      <c r="GEV507" s="325"/>
      <c r="GEW507" s="325"/>
      <c r="GEX507" s="325"/>
      <c r="GEY507" s="325"/>
      <c r="GEZ507" s="325"/>
      <c r="GFA507" s="325"/>
      <c r="GFB507" s="325"/>
      <c r="GFC507" s="325"/>
      <c r="GFD507" s="325"/>
      <c r="GFE507" s="325"/>
      <c r="GFF507" s="325"/>
      <c r="GFG507" s="325"/>
      <c r="GFH507" s="325"/>
      <c r="GFI507" s="325"/>
      <c r="GFJ507" s="325"/>
      <c r="GFK507" s="325"/>
      <c r="GFL507" s="325"/>
      <c r="GFM507" s="325"/>
      <c r="GFN507" s="325"/>
      <c r="GFO507" s="327"/>
      <c r="GFP507" s="28"/>
      <c r="GFQ507" s="324"/>
      <c r="GFR507" s="324"/>
      <c r="GFS507" s="324"/>
      <c r="GFT507" s="324"/>
      <c r="GFU507" s="324"/>
      <c r="GFV507" s="324"/>
      <c r="GFW507" s="256"/>
      <c r="GFX507" s="325"/>
      <c r="GFY507" s="311"/>
      <c r="GFZ507" s="325"/>
      <c r="GGA507" s="310"/>
      <c r="GGB507" s="325"/>
      <c r="GGC507" s="325"/>
      <c r="GGD507" s="325"/>
      <c r="GGE507" s="325"/>
      <c r="GGF507" s="325"/>
      <c r="GGG507" s="325"/>
      <c r="GGH507" s="325"/>
      <c r="GGI507" s="325"/>
      <c r="GGJ507" s="325"/>
      <c r="GGK507" s="325"/>
      <c r="GGL507" s="325"/>
      <c r="GGM507" s="325"/>
      <c r="GGN507" s="325"/>
      <c r="GGO507" s="325"/>
      <c r="GGP507" s="325"/>
      <c r="GGQ507" s="325"/>
      <c r="GGR507" s="325"/>
      <c r="GGS507" s="325"/>
      <c r="GGT507" s="325"/>
      <c r="GGU507" s="325"/>
      <c r="GGV507" s="325"/>
      <c r="GGW507" s="325"/>
      <c r="GGX507" s="325"/>
      <c r="GGY507" s="325"/>
      <c r="GGZ507" s="325"/>
      <c r="GHA507" s="325"/>
      <c r="GHB507" s="325"/>
      <c r="GHC507" s="325"/>
      <c r="GHD507" s="325"/>
      <c r="GHE507" s="325"/>
      <c r="GHF507" s="327"/>
      <c r="GHG507" s="28"/>
      <c r="GHH507" s="324"/>
      <c r="GHI507" s="324"/>
      <c r="GHJ507" s="324"/>
      <c r="GHK507" s="324"/>
      <c r="GHL507" s="324"/>
      <c r="GHM507" s="324"/>
      <c r="GHN507" s="256"/>
      <c r="GHO507" s="325"/>
      <c r="GHP507" s="311"/>
      <c r="GHQ507" s="325"/>
      <c r="GHR507" s="310"/>
      <c r="GHS507" s="325"/>
      <c r="GHT507" s="325"/>
      <c r="GHU507" s="325"/>
      <c r="GHV507" s="325"/>
      <c r="GHW507" s="325"/>
      <c r="GHX507" s="325"/>
      <c r="GHY507" s="325"/>
      <c r="GHZ507" s="325"/>
      <c r="GIA507" s="325"/>
      <c r="GIB507" s="325"/>
      <c r="GIC507" s="325"/>
      <c r="GID507" s="325"/>
      <c r="GIE507" s="325"/>
      <c r="GIF507" s="325"/>
      <c r="GIG507" s="325"/>
      <c r="GIH507" s="325"/>
      <c r="GII507" s="325"/>
      <c r="GIJ507" s="325"/>
      <c r="GIK507" s="325"/>
      <c r="GIL507" s="325"/>
      <c r="GIM507" s="325"/>
      <c r="GIN507" s="325"/>
      <c r="GIO507" s="325"/>
      <c r="GIP507" s="325"/>
      <c r="GIQ507" s="325"/>
      <c r="GIR507" s="325"/>
      <c r="GIS507" s="325"/>
      <c r="GIT507" s="325"/>
      <c r="GIU507" s="325"/>
      <c r="GIV507" s="325"/>
      <c r="GIW507" s="327"/>
      <c r="GIX507" s="28"/>
      <c r="GIY507" s="324"/>
      <c r="GIZ507" s="324"/>
      <c r="GJA507" s="324"/>
      <c r="GJB507" s="324"/>
      <c r="GJC507" s="324"/>
      <c r="GJD507" s="324"/>
      <c r="GJE507" s="256"/>
      <c r="GJF507" s="325"/>
      <c r="GJG507" s="311"/>
      <c r="GJH507" s="325"/>
      <c r="GJI507" s="310"/>
      <c r="GJJ507" s="325"/>
      <c r="GJK507" s="325"/>
      <c r="GJL507" s="325"/>
      <c r="GJM507" s="325"/>
      <c r="GJN507" s="325"/>
      <c r="GJO507" s="325"/>
      <c r="GJP507" s="325"/>
      <c r="GJQ507" s="325"/>
      <c r="GJR507" s="325"/>
      <c r="GJS507" s="325"/>
      <c r="GJT507" s="325"/>
      <c r="GJU507" s="325"/>
      <c r="GJV507" s="325"/>
      <c r="GJW507" s="325"/>
      <c r="GJX507" s="325"/>
      <c r="GJY507" s="325"/>
      <c r="GJZ507" s="325"/>
      <c r="GKA507" s="325"/>
      <c r="GKB507" s="325"/>
      <c r="GKC507" s="325"/>
      <c r="GKD507" s="325"/>
      <c r="GKE507" s="325"/>
      <c r="GKF507" s="325"/>
      <c r="GKG507" s="325"/>
      <c r="GKH507" s="325"/>
      <c r="GKI507" s="325"/>
      <c r="GKJ507" s="325"/>
      <c r="GKK507" s="325"/>
      <c r="GKL507" s="325"/>
      <c r="GKM507" s="325"/>
      <c r="GKN507" s="327"/>
      <c r="GKO507" s="28"/>
      <c r="GKP507" s="324"/>
      <c r="GKQ507" s="324"/>
      <c r="GKR507" s="324"/>
      <c r="GKS507" s="324"/>
      <c r="GKT507" s="324"/>
      <c r="GKU507" s="324"/>
      <c r="GKV507" s="256"/>
      <c r="GKW507" s="325"/>
      <c r="GKX507" s="311"/>
      <c r="GKY507" s="325"/>
      <c r="GKZ507" s="310"/>
      <c r="GLA507" s="325"/>
      <c r="GLB507" s="325"/>
      <c r="GLC507" s="325"/>
      <c r="GLD507" s="325"/>
      <c r="GLE507" s="325"/>
      <c r="GLF507" s="325"/>
      <c r="GLG507" s="325"/>
      <c r="GLH507" s="325"/>
      <c r="GLI507" s="325"/>
      <c r="GLJ507" s="325"/>
      <c r="GLK507" s="325"/>
      <c r="GLL507" s="325"/>
      <c r="GLM507" s="325"/>
      <c r="GLN507" s="325"/>
      <c r="GLO507" s="325"/>
      <c r="GLP507" s="325"/>
      <c r="GLQ507" s="325"/>
      <c r="GLR507" s="325"/>
      <c r="GLS507" s="325"/>
      <c r="GLT507" s="325"/>
      <c r="GLU507" s="325"/>
      <c r="GLV507" s="325"/>
      <c r="GLW507" s="325"/>
      <c r="GLX507" s="325"/>
      <c r="GLY507" s="325"/>
      <c r="GLZ507" s="325"/>
      <c r="GMA507" s="325"/>
      <c r="GMB507" s="325"/>
      <c r="GMC507" s="325"/>
      <c r="GMD507" s="325"/>
      <c r="GME507" s="327"/>
      <c r="GMF507" s="28"/>
      <c r="GMG507" s="324"/>
      <c r="GMH507" s="324"/>
      <c r="GMI507" s="324"/>
      <c r="GMJ507" s="324"/>
      <c r="GMK507" s="324"/>
      <c r="GML507" s="324"/>
      <c r="GMM507" s="256"/>
      <c r="GMN507" s="325"/>
      <c r="GMO507" s="311"/>
      <c r="GMP507" s="325"/>
      <c r="GMQ507" s="310"/>
      <c r="GMR507" s="325"/>
      <c r="GMS507" s="325"/>
      <c r="GMT507" s="325"/>
      <c r="GMU507" s="325"/>
      <c r="GMV507" s="325"/>
      <c r="GMW507" s="325"/>
      <c r="GMX507" s="325"/>
      <c r="GMY507" s="325"/>
      <c r="GMZ507" s="325"/>
      <c r="GNA507" s="325"/>
      <c r="GNB507" s="325"/>
      <c r="GNC507" s="325"/>
      <c r="GND507" s="325"/>
      <c r="GNE507" s="325"/>
      <c r="GNF507" s="325"/>
      <c r="GNG507" s="325"/>
      <c r="GNH507" s="325"/>
      <c r="GNI507" s="325"/>
      <c r="GNJ507" s="325"/>
      <c r="GNK507" s="325"/>
      <c r="GNL507" s="325"/>
      <c r="GNM507" s="325"/>
      <c r="GNN507" s="325"/>
      <c r="GNO507" s="325"/>
      <c r="GNP507" s="325"/>
      <c r="GNQ507" s="325"/>
      <c r="GNR507" s="325"/>
      <c r="GNS507" s="325"/>
      <c r="GNT507" s="325"/>
      <c r="GNU507" s="325"/>
      <c r="GNV507" s="327"/>
      <c r="GNW507" s="28"/>
      <c r="GNX507" s="324"/>
      <c r="GNY507" s="324"/>
      <c r="GNZ507" s="324"/>
      <c r="GOA507" s="324"/>
      <c r="GOB507" s="324"/>
      <c r="GOC507" s="324"/>
      <c r="GOD507" s="256"/>
      <c r="GOE507" s="325"/>
      <c r="GOF507" s="311"/>
      <c r="GOG507" s="325"/>
      <c r="GOH507" s="310"/>
      <c r="GOI507" s="325"/>
      <c r="GOJ507" s="325"/>
      <c r="GOK507" s="325"/>
      <c r="GOL507" s="325"/>
      <c r="GOM507" s="325"/>
      <c r="GON507" s="325"/>
      <c r="GOO507" s="325"/>
      <c r="GOP507" s="325"/>
      <c r="GOQ507" s="325"/>
      <c r="GOR507" s="325"/>
      <c r="GOS507" s="325"/>
      <c r="GOT507" s="325"/>
      <c r="GOU507" s="325"/>
      <c r="GOV507" s="325"/>
      <c r="GOW507" s="325"/>
      <c r="GOX507" s="325"/>
      <c r="GOY507" s="325"/>
      <c r="GOZ507" s="325"/>
      <c r="GPA507" s="325"/>
      <c r="GPB507" s="325"/>
      <c r="GPC507" s="325"/>
      <c r="GPD507" s="325"/>
      <c r="GPE507" s="325"/>
      <c r="GPF507" s="325"/>
      <c r="GPG507" s="325"/>
      <c r="GPH507" s="325"/>
      <c r="GPI507" s="325"/>
      <c r="GPJ507" s="325"/>
      <c r="GPK507" s="325"/>
      <c r="GPL507" s="325"/>
      <c r="GPM507" s="327"/>
      <c r="GPN507" s="28"/>
      <c r="GPO507" s="324"/>
      <c r="GPP507" s="324"/>
      <c r="GPQ507" s="324"/>
      <c r="GPR507" s="324"/>
      <c r="GPS507" s="324"/>
      <c r="GPT507" s="324"/>
      <c r="GPU507" s="256"/>
      <c r="GPV507" s="325"/>
      <c r="GPW507" s="311"/>
      <c r="GPX507" s="325"/>
      <c r="GPY507" s="310"/>
      <c r="GPZ507" s="325"/>
      <c r="GQA507" s="325"/>
      <c r="GQB507" s="325"/>
      <c r="GQC507" s="325"/>
      <c r="GQD507" s="325"/>
      <c r="GQE507" s="325"/>
      <c r="GQF507" s="325"/>
      <c r="GQG507" s="325"/>
      <c r="GQH507" s="325"/>
      <c r="GQI507" s="325"/>
      <c r="GQJ507" s="325"/>
      <c r="GQK507" s="325"/>
      <c r="GQL507" s="325"/>
      <c r="GQM507" s="325"/>
      <c r="GQN507" s="325"/>
      <c r="GQO507" s="325"/>
      <c r="GQP507" s="325"/>
      <c r="GQQ507" s="325"/>
      <c r="GQR507" s="325"/>
      <c r="GQS507" s="325"/>
      <c r="GQT507" s="325"/>
      <c r="GQU507" s="325"/>
      <c r="GQV507" s="325"/>
      <c r="GQW507" s="325"/>
      <c r="GQX507" s="325"/>
      <c r="GQY507" s="325"/>
      <c r="GQZ507" s="325"/>
      <c r="GRA507" s="325"/>
      <c r="GRB507" s="325"/>
      <c r="GRC507" s="325"/>
      <c r="GRD507" s="327"/>
      <c r="GRE507" s="28"/>
      <c r="GRF507" s="324"/>
      <c r="GRG507" s="324"/>
      <c r="GRH507" s="324"/>
      <c r="GRI507" s="324"/>
      <c r="GRJ507" s="324"/>
      <c r="GRK507" s="324"/>
      <c r="GRL507" s="256"/>
      <c r="GRM507" s="325"/>
      <c r="GRN507" s="311"/>
      <c r="GRO507" s="325"/>
      <c r="GRP507" s="310"/>
      <c r="GRQ507" s="325"/>
      <c r="GRR507" s="325"/>
      <c r="GRS507" s="325"/>
      <c r="GRT507" s="325"/>
      <c r="GRU507" s="325"/>
      <c r="GRV507" s="325"/>
      <c r="GRW507" s="325"/>
      <c r="GRX507" s="325"/>
      <c r="GRY507" s="325"/>
      <c r="GRZ507" s="325"/>
      <c r="GSA507" s="325"/>
      <c r="GSB507" s="325"/>
      <c r="GSC507" s="325"/>
      <c r="GSD507" s="325"/>
      <c r="GSE507" s="325"/>
      <c r="GSF507" s="325"/>
      <c r="GSG507" s="325"/>
      <c r="GSH507" s="325"/>
      <c r="GSI507" s="325"/>
      <c r="GSJ507" s="325"/>
      <c r="GSK507" s="325"/>
      <c r="GSL507" s="325"/>
      <c r="GSM507" s="325"/>
      <c r="GSN507" s="325"/>
      <c r="GSO507" s="325"/>
      <c r="GSP507" s="325"/>
      <c r="GSQ507" s="325"/>
      <c r="GSR507" s="325"/>
      <c r="GSS507" s="325"/>
      <c r="GST507" s="325"/>
      <c r="GSU507" s="327"/>
      <c r="GSV507" s="28"/>
      <c r="GSW507" s="324"/>
      <c r="GSX507" s="324"/>
      <c r="GSY507" s="324"/>
      <c r="GSZ507" s="324"/>
      <c r="GTA507" s="324"/>
      <c r="GTB507" s="324"/>
      <c r="GTC507" s="256"/>
      <c r="GTD507" s="325"/>
      <c r="GTE507" s="311"/>
      <c r="GTF507" s="325"/>
      <c r="GTG507" s="310"/>
      <c r="GTH507" s="325"/>
      <c r="GTI507" s="325"/>
      <c r="GTJ507" s="325"/>
      <c r="GTK507" s="325"/>
      <c r="GTL507" s="325"/>
      <c r="GTM507" s="325"/>
      <c r="GTN507" s="325"/>
      <c r="GTO507" s="325"/>
      <c r="GTP507" s="325"/>
      <c r="GTQ507" s="325"/>
      <c r="GTR507" s="325"/>
      <c r="GTS507" s="325"/>
      <c r="GTT507" s="325"/>
      <c r="GTU507" s="325"/>
      <c r="GTV507" s="325"/>
      <c r="GTW507" s="325"/>
      <c r="GTX507" s="325"/>
      <c r="GTY507" s="325"/>
      <c r="GTZ507" s="325"/>
      <c r="GUA507" s="325"/>
      <c r="GUB507" s="325"/>
      <c r="GUC507" s="325"/>
      <c r="GUD507" s="325"/>
      <c r="GUE507" s="325"/>
      <c r="GUF507" s="325"/>
      <c r="GUG507" s="325"/>
      <c r="GUH507" s="325"/>
      <c r="GUI507" s="325"/>
      <c r="GUJ507" s="325"/>
      <c r="GUK507" s="325"/>
      <c r="GUL507" s="327"/>
      <c r="GUM507" s="28"/>
      <c r="GUN507" s="324"/>
      <c r="GUO507" s="324"/>
      <c r="GUP507" s="324"/>
      <c r="GUQ507" s="324"/>
      <c r="GUR507" s="324"/>
      <c r="GUS507" s="324"/>
      <c r="GUT507" s="256"/>
      <c r="GUU507" s="325"/>
      <c r="GUV507" s="311"/>
      <c r="GUW507" s="325"/>
      <c r="GUX507" s="310"/>
      <c r="GUY507" s="325"/>
      <c r="GUZ507" s="325"/>
      <c r="GVA507" s="325"/>
      <c r="GVB507" s="325"/>
      <c r="GVC507" s="325"/>
      <c r="GVD507" s="325"/>
      <c r="GVE507" s="325"/>
      <c r="GVF507" s="325"/>
      <c r="GVG507" s="325"/>
      <c r="GVH507" s="325"/>
      <c r="GVI507" s="325"/>
      <c r="GVJ507" s="325"/>
      <c r="GVK507" s="325"/>
      <c r="GVL507" s="325"/>
      <c r="GVM507" s="325"/>
      <c r="GVN507" s="325"/>
      <c r="GVO507" s="325"/>
      <c r="GVP507" s="325"/>
      <c r="GVQ507" s="325"/>
      <c r="GVR507" s="325"/>
      <c r="GVS507" s="325"/>
      <c r="GVT507" s="325"/>
      <c r="GVU507" s="325"/>
      <c r="GVV507" s="325"/>
      <c r="GVW507" s="325"/>
      <c r="GVX507" s="325"/>
      <c r="GVY507" s="325"/>
      <c r="GVZ507" s="325"/>
      <c r="GWA507" s="325"/>
      <c r="GWB507" s="325"/>
      <c r="GWC507" s="327"/>
      <c r="GWD507" s="28"/>
      <c r="GWE507" s="324"/>
      <c r="GWF507" s="324"/>
      <c r="GWG507" s="324"/>
      <c r="GWH507" s="324"/>
      <c r="GWI507" s="324"/>
      <c r="GWJ507" s="324"/>
      <c r="GWK507" s="256"/>
      <c r="GWL507" s="325"/>
      <c r="GWM507" s="311"/>
      <c r="GWN507" s="325"/>
      <c r="GWO507" s="310"/>
      <c r="GWP507" s="325"/>
      <c r="GWQ507" s="325"/>
      <c r="GWR507" s="325"/>
      <c r="GWS507" s="325"/>
      <c r="GWT507" s="325"/>
      <c r="GWU507" s="325"/>
      <c r="GWV507" s="325"/>
      <c r="GWW507" s="325"/>
      <c r="GWX507" s="325"/>
      <c r="GWY507" s="325"/>
      <c r="GWZ507" s="325"/>
      <c r="GXA507" s="325"/>
      <c r="GXB507" s="325"/>
      <c r="GXC507" s="325"/>
      <c r="GXD507" s="325"/>
      <c r="GXE507" s="325"/>
      <c r="GXF507" s="325"/>
      <c r="GXG507" s="325"/>
      <c r="GXH507" s="325"/>
      <c r="GXI507" s="325"/>
      <c r="GXJ507" s="325"/>
      <c r="GXK507" s="325"/>
      <c r="GXL507" s="325"/>
      <c r="GXM507" s="325"/>
      <c r="GXN507" s="325"/>
      <c r="GXO507" s="325"/>
      <c r="GXP507" s="325"/>
      <c r="GXQ507" s="325"/>
      <c r="GXR507" s="325"/>
      <c r="GXS507" s="325"/>
      <c r="GXT507" s="327"/>
      <c r="GXU507" s="28"/>
      <c r="GXV507" s="324"/>
      <c r="GXW507" s="324"/>
      <c r="GXX507" s="324"/>
      <c r="GXY507" s="324"/>
      <c r="GXZ507" s="324"/>
      <c r="GYA507" s="324"/>
      <c r="GYB507" s="256"/>
      <c r="GYC507" s="325"/>
      <c r="GYD507" s="311"/>
      <c r="GYE507" s="325"/>
      <c r="GYF507" s="310"/>
      <c r="GYG507" s="325"/>
      <c r="GYH507" s="325"/>
      <c r="GYI507" s="325"/>
      <c r="GYJ507" s="325"/>
      <c r="GYK507" s="325"/>
      <c r="GYL507" s="325"/>
      <c r="GYM507" s="325"/>
      <c r="GYN507" s="325"/>
      <c r="GYO507" s="325"/>
      <c r="GYP507" s="325"/>
      <c r="GYQ507" s="325"/>
      <c r="GYR507" s="325"/>
      <c r="GYS507" s="325"/>
      <c r="GYT507" s="325"/>
      <c r="GYU507" s="325"/>
      <c r="GYV507" s="325"/>
      <c r="GYW507" s="325"/>
      <c r="GYX507" s="325"/>
      <c r="GYY507" s="325"/>
      <c r="GYZ507" s="325"/>
      <c r="GZA507" s="325"/>
      <c r="GZB507" s="325"/>
      <c r="GZC507" s="325"/>
      <c r="GZD507" s="325"/>
      <c r="GZE507" s="325"/>
      <c r="GZF507" s="325"/>
      <c r="GZG507" s="325"/>
      <c r="GZH507" s="325"/>
      <c r="GZI507" s="325"/>
      <c r="GZJ507" s="325"/>
      <c r="GZK507" s="327"/>
      <c r="GZL507" s="28"/>
      <c r="GZM507" s="324"/>
      <c r="GZN507" s="324"/>
      <c r="GZO507" s="324"/>
      <c r="GZP507" s="324"/>
      <c r="GZQ507" s="324"/>
      <c r="GZR507" s="324"/>
      <c r="GZS507" s="256"/>
      <c r="GZT507" s="325"/>
      <c r="GZU507" s="311"/>
      <c r="GZV507" s="325"/>
      <c r="GZW507" s="310"/>
      <c r="GZX507" s="325"/>
      <c r="GZY507" s="325"/>
      <c r="GZZ507" s="325"/>
      <c r="HAA507" s="325"/>
      <c r="HAB507" s="325"/>
      <c r="HAC507" s="325"/>
      <c r="HAD507" s="325"/>
      <c r="HAE507" s="325"/>
      <c r="HAF507" s="325"/>
      <c r="HAG507" s="325"/>
      <c r="HAH507" s="325"/>
      <c r="HAI507" s="325"/>
      <c r="HAJ507" s="325"/>
      <c r="HAK507" s="325"/>
      <c r="HAL507" s="325"/>
      <c r="HAM507" s="325"/>
      <c r="HAN507" s="325"/>
      <c r="HAO507" s="325"/>
      <c r="HAP507" s="325"/>
      <c r="HAQ507" s="325"/>
      <c r="HAR507" s="325"/>
      <c r="HAS507" s="325"/>
      <c r="HAT507" s="325"/>
      <c r="HAU507" s="325"/>
      <c r="HAV507" s="325"/>
      <c r="HAW507" s="325"/>
      <c r="HAX507" s="325"/>
      <c r="HAY507" s="325"/>
      <c r="HAZ507" s="325"/>
      <c r="HBA507" s="325"/>
      <c r="HBB507" s="327"/>
      <c r="HBC507" s="28"/>
      <c r="HBD507" s="324"/>
      <c r="HBE507" s="324"/>
      <c r="HBF507" s="324"/>
      <c r="HBG507" s="324"/>
      <c r="HBH507" s="324"/>
      <c r="HBI507" s="324"/>
      <c r="HBJ507" s="256"/>
      <c r="HBK507" s="325"/>
      <c r="HBL507" s="311"/>
      <c r="HBM507" s="325"/>
      <c r="HBN507" s="310"/>
      <c r="HBO507" s="325"/>
      <c r="HBP507" s="325"/>
      <c r="HBQ507" s="325"/>
      <c r="HBR507" s="325"/>
      <c r="HBS507" s="325"/>
      <c r="HBT507" s="325"/>
      <c r="HBU507" s="325"/>
      <c r="HBV507" s="325"/>
      <c r="HBW507" s="325"/>
      <c r="HBX507" s="325"/>
      <c r="HBY507" s="325"/>
      <c r="HBZ507" s="325"/>
      <c r="HCA507" s="325"/>
      <c r="HCB507" s="325"/>
      <c r="HCC507" s="325"/>
      <c r="HCD507" s="325"/>
      <c r="HCE507" s="325"/>
      <c r="HCF507" s="325"/>
      <c r="HCG507" s="325"/>
      <c r="HCH507" s="325"/>
      <c r="HCI507" s="325"/>
      <c r="HCJ507" s="325"/>
      <c r="HCK507" s="325"/>
      <c r="HCL507" s="325"/>
      <c r="HCM507" s="325"/>
      <c r="HCN507" s="325"/>
      <c r="HCO507" s="325"/>
      <c r="HCP507" s="325"/>
      <c r="HCQ507" s="325"/>
      <c r="HCR507" s="325"/>
      <c r="HCS507" s="327"/>
      <c r="HCT507" s="28"/>
      <c r="HCU507" s="324"/>
      <c r="HCV507" s="324"/>
      <c r="HCW507" s="324"/>
      <c r="HCX507" s="324"/>
      <c r="HCY507" s="324"/>
      <c r="HCZ507" s="324"/>
      <c r="HDA507" s="256"/>
      <c r="HDB507" s="325"/>
      <c r="HDC507" s="311"/>
      <c r="HDD507" s="325"/>
      <c r="HDE507" s="310"/>
      <c r="HDF507" s="325"/>
      <c r="HDG507" s="325"/>
      <c r="HDH507" s="325"/>
      <c r="HDI507" s="325"/>
      <c r="HDJ507" s="325"/>
      <c r="HDK507" s="325"/>
      <c r="HDL507" s="325"/>
      <c r="HDM507" s="325"/>
      <c r="HDN507" s="325"/>
      <c r="HDO507" s="325"/>
      <c r="HDP507" s="325"/>
      <c r="HDQ507" s="325"/>
      <c r="HDR507" s="325"/>
      <c r="HDS507" s="325"/>
      <c r="HDT507" s="325"/>
      <c r="HDU507" s="325"/>
      <c r="HDV507" s="325"/>
      <c r="HDW507" s="325"/>
      <c r="HDX507" s="325"/>
      <c r="HDY507" s="325"/>
      <c r="HDZ507" s="325"/>
      <c r="HEA507" s="325"/>
      <c r="HEB507" s="325"/>
      <c r="HEC507" s="325"/>
      <c r="HED507" s="325"/>
      <c r="HEE507" s="325"/>
      <c r="HEF507" s="325"/>
      <c r="HEG507" s="325"/>
      <c r="HEH507" s="325"/>
      <c r="HEI507" s="325"/>
      <c r="HEJ507" s="327"/>
      <c r="HEK507" s="28"/>
      <c r="HEL507" s="324"/>
      <c r="HEM507" s="324"/>
      <c r="HEN507" s="324"/>
      <c r="HEO507" s="324"/>
      <c r="HEP507" s="324"/>
      <c r="HEQ507" s="324"/>
      <c r="HER507" s="256"/>
      <c r="HES507" s="325"/>
      <c r="HET507" s="311"/>
      <c r="HEU507" s="325"/>
      <c r="HEV507" s="310"/>
      <c r="HEW507" s="325"/>
      <c r="HEX507" s="325"/>
      <c r="HEY507" s="325"/>
      <c r="HEZ507" s="325"/>
      <c r="HFA507" s="325"/>
      <c r="HFB507" s="325"/>
      <c r="HFC507" s="325"/>
      <c r="HFD507" s="325"/>
      <c r="HFE507" s="325"/>
      <c r="HFF507" s="325"/>
      <c r="HFG507" s="325"/>
      <c r="HFH507" s="325"/>
      <c r="HFI507" s="325"/>
      <c r="HFJ507" s="325"/>
      <c r="HFK507" s="325"/>
      <c r="HFL507" s="325"/>
      <c r="HFM507" s="325"/>
      <c r="HFN507" s="325"/>
      <c r="HFO507" s="325"/>
      <c r="HFP507" s="325"/>
      <c r="HFQ507" s="325"/>
      <c r="HFR507" s="325"/>
      <c r="HFS507" s="325"/>
      <c r="HFT507" s="325"/>
      <c r="HFU507" s="325"/>
      <c r="HFV507" s="325"/>
      <c r="HFW507" s="325"/>
      <c r="HFX507" s="325"/>
      <c r="HFY507" s="325"/>
      <c r="HFZ507" s="325"/>
      <c r="HGA507" s="327"/>
      <c r="HGB507" s="28"/>
      <c r="HGC507" s="324"/>
      <c r="HGD507" s="324"/>
      <c r="HGE507" s="324"/>
      <c r="HGF507" s="324"/>
      <c r="HGG507" s="324"/>
      <c r="HGH507" s="324"/>
      <c r="HGI507" s="256"/>
      <c r="HGJ507" s="325"/>
      <c r="HGK507" s="311"/>
      <c r="HGL507" s="325"/>
      <c r="HGM507" s="310"/>
      <c r="HGN507" s="325"/>
      <c r="HGO507" s="325"/>
      <c r="HGP507" s="325"/>
      <c r="HGQ507" s="325"/>
      <c r="HGR507" s="325"/>
      <c r="HGS507" s="325"/>
      <c r="HGT507" s="325"/>
      <c r="HGU507" s="325"/>
      <c r="HGV507" s="325"/>
      <c r="HGW507" s="325"/>
      <c r="HGX507" s="325"/>
      <c r="HGY507" s="325"/>
      <c r="HGZ507" s="325"/>
      <c r="HHA507" s="325"/>
      <c r="HHB507" s="325"/>
      <c r="HHC507" s="325"/>
      <c r="HHD507" s="325"/>
      <c r="HHE507" s="325"/>
      <c r="HHF507" s="325"/>
      <c r="HHG507" s="325"/>
      <c r="HHH507" s="325"/>
      <c r="HHI507" s="325"/>
      <c r="HHJ507" s="325"/>
      <c r="HHK507" s="325"/>
      <c r="HHL507" s="325"/>
      <c r="HHM507" s="325"/>
      <c r="HHN507" s="325"/>
      <c r="HHO507" s="325"/>
      <c r="HHP507" s="325"/>
      <c r="HHQ507" s="325"/>
      <c r="HHR507" s="327"/>
      <c r="HHS507" s="28"/>
      <c r="HHT507" s="324"/>
      <c r="HHU507" s="324"/>
      <c r="HHV507" s="324"/>
      <c r="HHW507" s="324"/>
      <c r="HHX507" s="324"/>
      <c r="HHY507" s="324"/>
      <c r="HHZ507" s="256"/>
      <c r="HIA507" s="325"/>
      <c r="HIB507" s="311"/>
      <c r="HIC507" s="325"/>
      <c r="HID507" s="310"/>
      <c r="HIE507" s="325"/>
      <c r="HIF507" s="325"/>
      <c r="HIG507" s="325"/>
      <c r="HIH507" s="325"/>
      <c r="HII507" s="325"/>
      <c r="HIJ507" s="325"/>
      <c r="HIK507" s="325"/>
      <c r="HIL507" s="325"/>
      <c r="HIM507" s="325"/>
      <c r="HIN507" s="325"/>
      <c r="HIO507" s="325"/>
      <c r="HIP507" s="325"/>
      <c r="HIQ507" s="325"/>
      <c r="HIR507" s="325"/>
      <c r="HIS507" s="325"/>
      <c r="HIT507" s="325"/>
      <c r="HIU507" s="325"/>
      <c r="HIV507" s="325"/>
      <c r="HIW507" s="325"/>
      <c r="HIX507" s="325"/>
      <c r="HIY507" s="325"/>
      <c r="HIZ507" s="325"/>
      <c r="HJA507" s="325"/>
      <c r="HJB507" s="325"/>
      <c r="HJC507" s="325"/>
      <c r="HJD507" s="325"/>
      <c r="HJE507" s="325"/>
      <c r="HJF507" s="325"/>
      <c r="HJG507" s="325"/>
      <c r="HJH507" s="325"/>
      <c r="HJI507" s="327"/>
      <c r="HJJ507" s="28"/>
      <c r="HJK507" s="324"/>
      <c r="HJL507" s="324"/>
      <c r="HJM507" s="324"/>
      <c r="HJN507" s="324"/>
      <c r="HJO507" s="324"/>
      <c r="HJP507" s="324"/>
      <c r="HJQ507" s="256"/>
      <c r="HJR507" s="325"/>
      <c r="HJS507" s="311"/>
      <c r="HJT507" s="325"/>
      <c r="HJU507" s="310"/>
      <c r="HJV507" s="325"/>
      <c r="HJW507" s="325"/>
      <c r="HJX507" s="325"/>
      <c r="HJY507" s="325"/>
      <c r="HJZ507" s="325"/>
      <c r="HKA507" s="325"/>
      <c r="HKB507" s="325"/>
      <c r="HKC507" s="325"/>
      <c r="HKD507" s="325"/>
      <c r="HKE507" s="325"/>
      <c r="HKF507" s="325"/>
      <c r="HKG507" s="325"/>
      <c r="HKH507" s="325"/>
      <c r="HKI507" s="325"/>
      <c r="HKJ507" s="325"/>
      <c r="HKK507" s="325"/>
      <c r="HKL507" s="325"/>
      <c r="HKM507" s="325"/>
      <c r="HKN507" s="325"/>
      <c r="HKO507" s="325"/>
      <c r="HKP507" s="325"/>
      <c r="HKQ507" s="325"/>
      <c r="HKR507" s="325"/>
      <c r="HKS507" s="325"/>
      <c r="HKT507" s="325"/>
      <c r="HKU507" s="325"/>
      <c r="HKV507" s="325"/>
      <c r="HKW507" s="325"/>
      <c r="HKX507" s="325"/>
      <c r="HKY507" s="325"/>
      <c r="HKZ507" s="327"/>
      <c r="HLA507" s="28"/>
      <c r="HLB507" s="324"/>
      <c r="HLC507" s="324"/>
      <c r="HLD507" s="324"/>
      <c r="HLE507" s="324"/>
      <c r="HLF507" s="324"/>
      <c r="HLG507" s="324"/>
      <c r="HLH507" s="256"/>
      <c r="HLI507" s="325"/>
      <c r="HLJ507" s="311"/>
      <c r="HLK507" s="325"/>
      <c r="HLL507" s="310"/>
      <c r="HLM507" s="325"/>
      <c r="HLN507" s="325"/>
      <c r="HLO507" s="325"/>
      <c r="HLP507" s="325"/>
      <c r="HLQ507" s="325"/>
      <c r="HLR507" s="325"/>
      <c r="HLS507" s="325"/>
      <c r="HLT507" s="325"/>
      <c r="HLU507" s="325"/>
      <c r="HLV507" s="325"/>
      <c r="HLW507" s="325"/>
      <c r="HLX507" s="325"/>
      <c r="HLY507" s="325"/>
      <c r="HLZ507" s="325"/>
      <c r="HMA507" s="325"/>
      <c r="HMB507" s="325"/>
      <c r="HMC507" s="325"/>
      <c r="HMD507" s="325"/>
      <c r="HME507" s="325"/>
      <c r="HMF507" s="325"/>
      <c r="HMG507" s="325"/>
      <c r="HMH507" s="325"/>
      <c r="HMI507" s="325"/>
      <c r="HMJ507" s="325"/>
      <c r="HMK507" s="325"/>
      <c r="HML507" s="325"/>
      <c r="HMM507" s="325"/>
      <c r="HMN507" s="325"/>
      <c r="HMO507" s="325"/>
      <c r="HMP507" s="325"/>
      <c r="HMQ507" s="327"/>
      <c r="HMR507" s="28"/>
      <c r="HMS507" s="324"/>
      <c r="HMT507" s="324"/>
      <c r="HMU507" s="324"/>
      <c r="HMV507" s="324"/>
      <c r="HMW507" s="324"/>
      <c r="HMX507" s="324"/>
      <c r="HMY507" s="256"/>
      <c r="HMZ507" s="325"/>
      <c r="HNA507" s="311"/>
      <c r="HNB507" s="325"/>
      <c r="HNC507" s="310"/>
      <c r="HND507" s="325"/>
      <c r="HNE507" s="325"/>
      <c r="HNF507" s="325"/>
      <c r="HNG507" s="325"/>
      <c r="HNH507" s="325"/>
      <c r="HNI507" s="325"/>
      <c r="HNJ507" s="325"/>
      <c r="HNK507" s="325"/>
      <c r="HNL507" s="325"/>
      <c r="HNM507" s="325"/>
      <c r="HNN507" s="325"/>
      <c r="HNO507" s="325"/>
      <c r="HNP507" s="325"/>
      <c r="HNQ507" s="325"/>
      <c r="HNR507" s="325"/>
      <c r="HNS507" s="325"/>
      <c r="HNT507" s="325"/>
      <c r="HNU507" s="325"/>
      <c r="HNV507" s="325"/>
      <c r="HNW507" s="325"/>
      <c r="HNX507" s="325"/>
      <c r="HNY507" s="325"/>
      <c r="HNZ507" s="325"/>
      <c r="HOA507" s="325"/>
      <c r="HOB507" s="325"/>
      <c r="HOC507" s="325"/>
      <c r="HOD507" s="325"/>
      <c r="HOE507" s="325"/>
      <c r="HOF507" s="325"/>
      <c r="HOG507" s="325"/>
      <c r="HOH507" s="327"/>
      <c r="HOI507" s="28"/>
      <c r="HOJ507" s="324"/>
      <c r="HOK507" s="324"/>
      <c r="HOL507" s="324"/>
      <c r="HOM507" s="324"/>
      <c r="HON507" s="324"/>
      <c r="HOO507" s="324"/>
      <c r="HOP507" s="256"/>
      <c r="HOQ507" s="325"/>
      <c r="HOR507" s="311"/>
      <c r="HOS507" s="325"/>
      <c r="HOT507" s="310"/>
      <c r="HOU507" s="325"/>
      <c r="HOV507" s="325"/>
      <c r="HOW507" s="325"/>
      <c r="HOX507" s="325"/>
      <c r="HOY507" s="325"/>
      <c r="HOZ507" s="325"/>
      <c r="HPA507" s="325"/>
      <c r="HPB507" s="325"/>
      <c r="HPC507" s="325"/>
      <c r="HPD507" s="325"/>
      <c r="HPE507" s="325"/>
      <c r="HPF507" s="325"/>
      <c r="HPG507" s="325"/>
      <c r="HPH507" s="325"/>
      <c r="HPI507" s="325"/>
      <c r="HPJ507" s="325"/>
      <c r="HPK507" s="325"/>
      <c r="HPL507" s="325"/>
      <c r="HPM507" s="325"/>
      <c r="HPN507" s="325"/>
      <c r="HPO507" s="325"/>
      <c r="HPP507" s="325"/>
      <c r="HPQ507" s="325"/>
      <c r="HPR507" s="325"/>
      <c r="HPS507" s="325"/>
      <c r="HPT507" s="325"/>
      <c r="HPU507" s="325"/>
      <c r="HPV507" s="325"/>
      <c r="HPW507" s="325"/>
      <c r="HPX507" s="325"/>
      <c r="HPY507" s="327"/>
      <c r="HPZ507" s="28"/>
      <c r="HQA507" s="324"/>
      <c r="HQB507" s="324"/>
      <c r="HQC507" s="324"/>
      <c r="HQD507" s="324"/>
      <c r="HQE507" s="324"/>
      <c r="HQF507" s="324"/>
      <c r="HQG507" s="256"/>
      <c r="HQH507" s="325"/>
      <c r="HQI507" s="311"/>
      <c r="HQJ507" s="325"/>
      <c r="HQK507" s="310"/>
      <c r="HQL507" s="325"/>
      <c r="HQM507" s="325"/>
      <c r="HQN507" s="325"/>
      <c r="HQO507" s="325"/>
      <c r="HQP507" s="325"/>
      <c r="HQQ507" s="325"/>
      <c r="HQR507" s="325"/>
      <c r="HQS507" s="325"/>
      <c r="HQT507" s="325"/>
      <c r="HQU507" s="325"/>
      <c r="HQV507" s="325"/>
      <c r="HQW507" s="325"/>
      <c r="HQX507" s="325"/>
      <c r="HQY507" s="325"/>
      <c r="HQZ507" s="325"/>
      <c r="HRA507" s="325"/>
      <c r="HRB507" s="325"/>
      <c r="HRC507" s="325"/>
      <c r="HRD507" s="325"/>
      <c r="HRE507" s="325"/>
      <c r="HRF507" s="325"/>
      <c r="HRG507" s="325"/>
      <c r="HRH507" s="325"/>
      <c r="HRI507" s="325"/>
      <c r="HRJ507" s="325"/>
      <c r="HRK507" s="325"/>
      <c r="HRL507" s="325"/>
      <c r="HRM507" s="325"/>
      <c r="HRN507" s="325"/>
      <c r="HRO507" s="325"/>
      <c r="HRP507" s="327"/>
      <c r="HRQ507" s="28"/>
      <c r="HRR507" s="324"/>
      <c r="HRS507" s="324"/>
      <c r="HRT507" s="324"/>
      <c r="HRU507" s="324"/>
      <c r="HRV507" s="324"/>
      <c r="HRW507" s="324"/>
      <c r="HRX507" s="256"/>
      <c r="HRY507" s="325"/>
      <c r="HRZ507" s="311"/>
      <c r="HSA507" s="325"/>
      <c r="HSB507" s="310"/>
      <c r="HSC507" s="325"/>
      <c r="HSD507" s="325"/>
      <c r="HSE507" s="325"/>
      <c r="HSF507" s="325"/>
      <c r="HSG507" s="325"/>
      <c r="HSH507" s="325"/>
      <c r="HSI507" s="325"/>
      <c r="HSJ507" s="325"/>
      <c r="HSK507" s="325"/>
      <c r="HSL507" s="325"/>
      <c r="HSM507" s="325"/>
      <c r="HSN507" s="325"/>
      <c r="HSO507" s="325"/>
      <c r="HSP507" s="325"/>
      <c r="HSQ507" s="325"/>
      <c r="HSR507" s="325"/>
      <c r="HSS507" s="325"/>
      <c r="HST507" s="325"/>
      <c r="HSU507" s="325"/>
      <c r="HSV507" s="325"/>
      <c r="HSW507" s="325"/>
      <c r="HSX507" s="325"/>
      <c r="HSY507" s="325"/>
      <c r="HSZ507" s="325"/>
      <c r="HTA507" s="325"/>
      <c r="HTB507" s="325"/>
      <c r="HTC507" s="325"/>
      <c r="HTD507" s="325"/>
      <c r="HTE507" s="325"/>
      <c r="HTF507" s="325"/>
      <c r="HTG507" s="327"/>
      <c r="HTH507" s="28"/>
      <c r="HTI507" s="324"/>
      <c r="HTJ507" s="324"/>
      <c r="HTK507" s="324"/>
      <c r="HTL507" s="324"/>
      <c r="HTM507" s="324"/>
      <c r="HTN507" s="324"/>
      <c r="HTO507" s="256"/>
      <c r="HTP507" s="325"/>
      <c r="HTQ507" s="311"/>
      <c r="HTR507" s="325"/>
      <c r="HTS507" s="310"/>
      <c r="HTT507" s="325"/>
      <c r="HTU507" s="325"/>
      <c r="HTV507" s="325"/>
      <c r="HTW507" s="325"/>
      <c r="HTX507" s="325"/>
      <c r="HTY507" s="325"/>
      <c r="HTZ507" s="325"/>
      <c r="HUA507" s="325"/>
      <c r="HUB507" s="325"/>
      <c r="HUC507" s="325"/>
      <c r="HUD507" s="325"/>
      <c r="HUE507" s="325"/>
      <c r="HUF507" s="325"/>
      <c r="HUG507" s="325"/>
      <c r="HUH507" s="325"/>
      <c r="HUI507" s="325"/>
      <c r="HUJ507" s="325"/>
      <c r="HUK507" s="325"/>
      <c r="HUL507" s="325"/>
      <c r="HUM507" s="325"/>
      <c r="HUN507" s="325"/>
      <c r="HUO507" s="325"/>
      <c r="HUP507" s="325"/>
      <c r="HUQ507" s="325"/>
      <c r="HUR507" s="325"/>
      <c r="HUS507" s="325"/>
      <c r="HUT507" s="325"/>
      <c r="HUU507" s="325"/>
      <c r="HUV507" s="325"/>
      <c r="HUW507" s="325"/>
      <c r="HUX507" s="327"/>
      <c r="HUY507" s="28"/>
      <c r="HUZ507" s="324"/>
      <c r="HVA507" s="324"/>
      <c r="HVB507" s="324"/>
      <c r="HVC507" s="324"/>
      <c r="HVD507" s="324"/>
      <c r="HVE507" s="324"/>
      <c r="HVF507" s="256"/>
      <c r="HVG507" s="325"/>
      <c r="HVH507" s="311"/>
      <c r="HVI507" s="325"/>
      <c r="HVJ507" s="310"/>
      <c r="HVK507" s="325"/>
      <c r="HVL507" s="325"/>
      <c r="HVM507" s="325"/>
      <c r="HVN507" s="325"/>
      <c r="HVO507" s="325"/>
      <c r="HVP507" s="325"/>
      <c r="HVQ507" s="325"/>
      <c r="HVR507" s="325"/>
      <c r="HVS507" s="325"/>
      <c r="HVT507" s="325"/>
      <c r="HVU507" s="325"/>
      <c r="HVV507" s="325"/>
      <c r="HVW507" s="325"/>
      <c r="HVX507" s="325"/>
      <c r="HVY507" s="325"/>
      <c r="HVZ507" s="325"/>
      <c r="HWA507" s="325"/>
      <c r="HWB507" s="325"/>
      <c r="HWC507" s="325"/>
      <c r="HWD507" s="325"/>
      <c r="HWE507" s="325"/>
      <c r="HWF507" s="325"/>
      <c r="HWG507" s="325"/>
      <c r="HWH507" s="325"/>
      <c r="HWI507" s="325"/>
      <c r="HWJ507" s="325"/>
      <c r="HWK507" s="325"/>
      <c r="HWL507" s="325"/>
      <c r="HWM507" s="325"/>
      <c r="HWN507" s="325"/>
      <c r="HWO507" s="327"/>
      <c r="HWP507" s="28"/>
      <c r="HWQ507" s="324"/>
      <c r="HWR507" s="324"/>
      <c r="HWS507" s="324"/>
      <c r="HWT507" s="324"/>
      <c r="HWU507" s="324"/>
      <c r="HWV507" s="324"/>
      <c r="HWW507" s="256"/>
      <c r="HWX507" s="325"/>
      <c r="HWY507" s="311"/>
      <c r="HWZ507" s="325"/>
      <c r="HXA507" s="310"/>
      <c r="HXB507" s="325"/>
      <c r="HXC507" s="325"/>
      <c r="HXD507" s="325"/>
      <c r="HXE507" s="325"/>
      <c r="HXF507" s="325"/>
      <c r="HXG507" s="325"/>
      <c r="HXH507" s="325"/>
      <c r="HXI507" s="325"/>
      <c r="HXJ507" s="325"/>
      <c r="HXK507" s="325"/>
      <c r="HXL507" s="325"/>
      <c r="HXM507" s="325"/>
      <c r="HXN507" s="325"/>
      <c r="HXO507" s="325"/>
      <c r="HXP507" s="325"/>
      <c r="HXQ507" s="325"/>
      <c r="HXR507" s="325"/>
      <c r="HXS507" s="325"/>
      <c r="HXT507" s="325"/>
      <c r="HXU507" s="325"/>
      <c r="HXV507" s="325"/>
      <c r="HXW507" s="325"/>
      <c r="HXX507" s="325"/>
      <c r="HXY507" s="325"/>
      <c r="HXZ507" s="325"/>
      <c r="HYA507" s="325"/>
      <c r="HYB507" s="325"/>
      <c r="HYC507" s="325"/>
      <c r="HYD507" s="325"/>
      <c r="HYE507" s="325"/>
      <c r="HYF507" s="327"/>
      <c r="HYG507" s="28"/>
      <c r="HYH507" s="324"/>
      <c r="HYI507" s="324"/>
      <c r="HYJ507" s="324"/>
      <c r="HYK507" s="324"/>
      <c r="HYL507" s="324"/>
      <c r="HYM507" s="324"/>
      <c r="HYN507" s="256"/>
      <c r="HYO507" s="325"/>
      <c r="HYP507" s="311"/>
      <c r="HYQ507" s="325"/>
      <c r="HYR507" s="310"/>
      <c r="HYS507" s="325"/>
      <c r="HYT507" s="325"/>
      <c r="HYU507" s="325"/>
      <c r="HYV507" s="325"/>
      <c r="HYW507" s="325"/>
      <c r="HYX507" s="325"/>
      <c r="HYY507" s="325"/>
      <c r="HYZ507" s="325"/>
      <c r="HZA507" s="325"/>
      <c r="HZB507" s="325"/>
      <c r="HZC507" s="325"/>
      <c r="HZD507" s="325"/>
      <c r="HZE507" s="325"/>
      <c r="HZF507" s="325"/>
      <c r="HZG507" s="325"/>
      <c r="HZH507" s="325"/>
      <c r="HZI507" s="325"/>
      <c r="HZJ507" s="325"/>
      <c r="HZK507" s="325"/>
      <c r="HZL507" s="325"/>
      <c r="HZM507" s="325"/>
      <c r="HZN507" s="325"/>
      <c r="HZO507" s="325"/>
      <c r="HZP507" s="325"/>
      <c r="HZQ507" s="325"/>
      <c r="HZR507" s="325"/>
      <c r="HZS507" s="325"/>
      <c r="HZT507" s="325"/>
      <c r="HZU507" s="325"/>
      <c r="HZV507" s="325"/>
      <c r="HZW507" s="327"/>
      <c r="HZX507" s="28"/>
      <c r="HZY507" s="324"/>
      <c r="HZZ507" s="324"/>
      <c r="IAA507" s="324"/>
      <c r="IAB507" s="324"/>
      <c r="IAC507" s="324"/>
      <c r="IAD507" s="324"/>
      <c r="IAE507" s="256"/>
      <c r="IAF507" s="325"/>
      <c r="IAG507" s="311"/>
      <c r="IAH507" s="325"/>
      <c r="IAI507" s="310"/>
      <c r="IAJ507" s="325"/>
      <c r="IAK507" s="325"/>
      <c r="IAL507" s="325"/>
      <c r="IAM507" s="325"/>
      <c r="IAN507" s="325"/>
      <c r="IAO507" s="325"/>
      <c r="IAP507" s="325"/>
      <c r="IAQ507" s="325"/>
      <c r="IAR507" s="325"/>
      <c r="IAS507" s="325"/>
      <c r="IAT507" s="325"/>
      <c r="IAU507" s="325"/>
      <c r="IAV507" s="325"/>
      <c r="IAW507" s="325"/>
      <c r="IAX507" s="325"/>
      <c r="IAY507" s="325"/>
      <c r="IAZ507" s="325"/>
      <c r="IBA507" s="325"/>
      <c r="IBB507" s="325"/>
      <c r="IBC507" s="325"/>
      <c r="IBD507" s="325"/>
      <c r="IBE507" s="325"/>
      <c r="IBF507" s="325"/>
      <c r="IBG507" s="325"/>
      <c r="IBH507" s="325"/>
      <c r="IBI507" s="325"/>
      <c r="IBJ507" s="325"/>
      <c r="IBK507" s="325"/>
      <c r="IBL507" s="325"/>
      <c r="IBM507" s="325"/>
      <c r="IBN507" s="327"/>
      <c r="IBO507" s="28"/>
      <c r="IBP507" s="324"/>
      <c r="IBQ507" s="324"/>
      <c r="IBR507" s="324"/>
      <c r="IBS507" s="324"/>
      <c r="IBT507" s="324"/>
      <c r="IBU507" s="324"/>
      <c r="IBV507" s="256"/>
      <c r="IBW507" s="325"/>
      <c r="IBX507" s="311"/>
      <c r="IBY507" s="325"/>
      <c r="IBZ507" s="310"/>
      <c r="ICA507" s="325"/>
      <c r="ICB507" s="325"/>
      <c r="ICC507" s="325"/>
      <c r="ICD507" s="325"/>
      <c r="ICE507" s="325"/>
      <c r="ICF507" s="325"/>
      <c r="ICG507" s="325"/>
      <c r="ICH507" s="325"/>
      <c r="ICI507" s="325"/>
      <c r="ICJ507" s="325"/>
      <c r="ICK507" s="325"/>
      <c r="ICL507" s="325"/>
      <c r="ICM507" s="325"/>
      <c r="ICN507" s="325"/>
      <c r="ICO507" s="325"/>
      <c r="ICP507" s="325"/>
      <c r="ICQ507" s="325"/>
      <c r="ICR507" s="325"/>
      <c r="ICS507" s="325"/>
      <c r="ICT507" s="325"/>
      <c r="ICU507" s="325"/>
      <c r="ICV507" s="325"/>
      <c r="ICW507" s="325"/>
      <c r="ICX507" s="325"/>
      <c r="ICY507" s="325"/>
      <c r="ICZ507" s="325"/>
      <c r="IDA507" s="325"/>
      <c r="IDB507" s="325"/>
      <c r="IDC507" s="325"/>
      <c r="IDD507" s="325"/>
      <c r="IDE507" s="327"/>
      <c r="IDF507" s="28"/>
      <c r="IDG507" s="324"/>
      <c r="IDH507" s="324"/>
      <c r="IDI507" s="324"/>
      <c r="IDJ507" s="324"/>
      <c r="IDK507" s="324"/>
      <c r="IDL507" s="324"/>
      <c r="IDM507" s="256"/>
      <c r="IDN507" s="325"/>
      <c r="IDO507" s="311"/>
      <c r="IDP507" s="325"/>
      <c r="IDQ507" s="310"/>
      <c r="IDR507" s="325"/>
      <c r="IDS507" s="325"/>
      <c r="IDT507" s="325"/>
      <c r="IDU507" s="325"/>
      <c r="IDV507" s="325"/>
      <c r="IDW507" s="325"/>
      <c r="IDX507" s="325"/>
      <c r="IDY507" s="325"/>
      <c r="IDZ507" s="325"/>
      <c r="IEA507" s="325"/>
      <c r="IEB507" s="325"/>
      <c r="IEC507" s="325"/>
      <c r="IED507" s="325"/>
      <c r="IEE507" s="325"/>
      <c r="IEF507" s="325"/>
      <c r="IEG507" s="325"/>
      <c r="IEH507" s="325"/>
      <c r="IEI507" s="325"/>
      <c r="IEJ507" s="325"/>
      <c r="IEK507" s="325"/>
      <c r="IEL507" s="325"/>
      <c r="IEM507" s="325"/>
      <c r="IEN507" s="325"/>
      <c r="IEO507" s="325"/>
      <c r="IEP507" s="325"/>
      <c r="IEQ507" s="325"/>
      <c r="IER507" s="325"/>
      <c r="IES507" s="325"/>
      <c r="IET507" s="325"/>
      <c r="IEU507" s="325"/>
      <c r="IEV507" s="327"/>
      <c r="IEW507" s="28"/>
      <c r="IEX507" s="324"/>
      <c r="IEY507" s="324"/>
      <c r="IEZ507" s="324"/>
      <c r="IFA507" s="324"/>
      <c r="IFB507" s="324"/>
      <c r="IFC507" s="324"/>
      <c r="IFD507" s="256"/>
      <c r="IFE507" s="325"/>
      <c r="IFF507" s="311"/>
      <c r="IFG507" s="325"/>
      <c r="IFH507" s="310"/>
      <c r="IFI507" s="325"/>
      <c r="IFJ507" s="325"/>
      <c r="IFK507" s="325"/>
      <c r="IFL507" s="325"/>
      <c r="IFM507" s="325"/>
      <c r="IFN507" s="325"/>
      <c r="IFO507" s="325"/>
      <c r="IFP507" s="325"/>
      <c r="IFQ507" s="325"/>
      <c r="IFR507" s="325"/>
      <c r="IFS507" s="325"/>
      <c r="IFT507" s="325"/>
      <c r="IFU507" s="325"/>
      <c r="IFV507" s="325"/>
      <c r="IFW507" s="325"/>
      <c r="IFX507" s="325"/>
      <c r="IFY507" s="325"/>
      <c r="IFZ507" s="325"/>
      <c r="IGA507" s="325"/>
      <c r="IGB507" s="325"/>
      <c r="IGC507" s="325"/>
      <c r="IGD507" s="325"/>
      <c r="IGE507" s="325"/>
      <c r="IGF507" s="325"/>
      <c r="IGG507" s="325"/>
      <c r="IGH507" s="325"/>
      <c r="IGI507" s="325"/>
      <c r="IGJ507" s="325"/>
      <c r="IGK507" s="325"/>
      <c r="IGL507" s="325"/>
      <c r="IGM507" s="327"/>
      <c r="IGN507" s="28"/>
      <c r="IGO507" s="324"/>
      <c r="IGP507" s="324"/>
      <c r="IGQ507" s="324"/>
      <c r="IGR507" s="324"/>
      <c r="IGS507" s="324"/>
      <c r="IGT507" s="324"/>
      <c r="IGU507" s="256"/>
      <c r="IGV507" s="325"/>
      <c r="IGW507" s="311"/>
      <c r="IGX507" s="325"/>
      <c r="IGY507" s="310"/>
      <c r="IGZ507" s="325"/>
      <c r="IHA507" s="325"/>
      <c r="IHB507" s="325"/>
      <c r="IHC507" s="325"/>
      <c r="IHD507" s="325"/>
      <c r="IHE507" s="325"/>
      <c r="IHF507" s="325"/>
      <c r="IHG507" s="325"/>
      <c r="IHH507" s="325"/>
      <c r="IHI507" s="325"/>
      <c r="IHJ507" s="325"/>
      <c r="IHK507" s="325"/>
      <c r="IHL507" s="325"/>
      <c r="IHM507" s="325"/>
      <c r="IHN507" s="325"/>
      <c r="IHO507" s="325"/>
      <c r="IHP507" s="325"/>
      <c r="IHQ507" s="325"/>
      <c r="IHR507" s="325"/>
      <c r="IHS507" s="325"/>
      <c r="IHT507" s="325"/>
      <c r="IHU507" s="325"/>
      <c r="IHV507" s="325"/>
      <c r="IHW507" s="325"/>
      <c r="IHX507" s="325"/>
      <c r="IHY507" s="325"/>
      <c r="IHZ507" s="325"/>
      <c r="IIA507" s="325"/>
      <c r="IIB507" s="325"/>
      <c r="IIC507" s="325"/>
      <c r="IID507" s="327"/>
      <c r="IIE507" s="28"/>
      <c r="IIF507" s="324"/>
      <c r="IIG507" s="324"/>
      <c r="IIH507" s="324"/>
      <c r="III507" s="324"/>
      <c r="IIJ507" s="324"/>
      <c r="IIK507" s="324"/>
      <c r="IIL507" s="256"/>
      <c r="IIM507" s="325"/>
      <c r="IIN507" s="311"/>
      <c r="IIO507" s="325"/>
      <c r="IIP507" s="310"/>
      <c r="IIQ507" s="325"/>
      <c r="IIR507" s="325"/>
      <c r="IIS507" s="325"/>
      <c r="IIT507" s="325"/>
      <c r="IIU507" s="325"/>
      <c r="IIV507" s="325"/>
      <c r="IIW507" s="325"/>
      <c r="IIX507" s="325"/>
      <c r="IIY507" s="325"/>
      <c r="IIZ507" s="325"/>
      <c r="IJA507" s="325"/>
      <c r="IJB507" s="325"/>
      <c r="IJC507" s="325"/>
      <c r="IJD507" s="325"/>
      <c r="IJE507" s="325"/>
      <c r="IJF507" s="325"/>
      <c r="IJG507" s="325"/>
      <c r="IJH507" s="325"/>
      <c r="IJI507" s="325"/>
      <c r="IJJ507" s="325"/>
      <c r="IJK507" s="325"/>
      <c r="IJL507" s="325"/>
      <c r="IJM507" s="325"/>
      <c r="IJN507" s="325"/>
      <c r="IJO507" s="325"/>
      <c r="IJP507" s="325"/>
      <c r="IJQ507" s="325"/>
      <c r="IJR507" s="325"/>
      <c r="IJS507" s="325"/>
      <c r="IJT507" s="325"/>
      <c r="IJU507" s="327"/>
      <c r="IJV507" s="28"/>
      <c r="IJW507" s="324"/>
      <c r="IJX507" s="324"/>
      <c r="IJY507" s="324"/>
      <c r="IJZ507" s="324"/>
      <c r="IKA507" s="324"/>
      <c r="IKB507" s="324"/>
      <c r="IKC507" s="256"/>
      <c r="IKD507" s="325"/>
      <c r="IKE507" s="311"/>
      <c r="IKF507" s="325"/>
      <c r="IKG507" s="310"/>
      <c r="IKH507" s="325"/>
      <c r="IKI507" s="325"/>
      <c r="IKJ507" s="325"/>
      <c r="IKK507" s="325"/>
      <c r="IKL507" s="325"/>
      <c r="IKM507" s="325"/>
      <c r="IKN507" s="325"/>
      <c r="IKO507" s="325"/>
      <c r="IKP507" s="325"/>
      <c r="IKQ507" s="325"/>
      <c r="IKR507" s="325"/>
      <c r="IKS507" s="325"/>
      <c r="IKT507" s="325"/>
      <c r="IKU507" s="325"/>
      <c r="IKV507" s="325"/>
      <c r="IKW507" s="325"/>
      <c r="IKX507" s="325"/>
      <c r="IKY507" s="325"/>
      <c r="IKZ507" s="325"/>
      <c r="ILA507" s="325"/>
      <c r="ILB507" s="325"/>
      <c r="ILC507" s="325"/>
      <c r="ILD507" s="325"/>
      <c r="ILE507" s="325"/>
      <c r="ILF507" s="325"/>
      <c r="ILG507" s="325"/>
      <c r="ILH507" s="325"/>
      <c r="ILI507" s="325"/>
      <c r="ILJ507" s="325"/>
      <c r="ILK507" s="325"/>
      <c r="ILL507" s="327"/>
      <c r="ILM507" s="28"/>
      <c r="ILN507" s="324"/>
      <c r="ILO507" s="324"/>
      <c r="ILP507" s="324"/>
      <c r="ILQ507" s="324"/>
      <c r="ILR507" s="324"/>
      <c r="ILS507" s="324"/>
      <c r="ILT507" s="256"/>
      <c r="ILU507" s="325"/>
      <c r="ILV507" s="311"/>
      <c r="ILW507" s="325"/>
      <c r="ILX507" s="310"/>
      <c r="ILY507" s="325"/>
      <c r="ILZ507" s="325"/>
      <c r="IMA507" s="325"/>
      <c r="IMB507" s="325"/>
      <c r="IMC507" s="325"/>
      <c r="IMD507" s="325"/>
      <c r="IME507" s="325"/>
      <c r="IMF507" s="325"/>
      <c r="IMG507" s="325"/>
      <c r="IMH507" s="325"/>
      <c r="IMI507" s="325"/>
      <c r="IMJ507" s="325"/>
      <c r="IMK507" s="325"/>
      <c r="IML507" s="325"/>
      <c r="IMM507" s="325"/>
      <c r="IMN507" s="325"/>
      <c r="IMO507" s="325"/>
      <c r="IMP507" s="325"/>
      <c r="IMQ507" s="325"/>
      <c r="IMR507" s="325"/>
      <c r="IMS507" s="325"/>
      <c r="IMT507" s="325"/>
      <c r="IMU507" s="325"/>
      <c r="IMV507" s="325"/>
      <c r="IMW507" s="325"/>
      <c r="IMX507" s="325"/>
      <c r="IMY507" s="325"/>
      <c r="IMZ507" s="325"/>
      <c r="INA507" s="325"/>
      <c r="INB507" s="325"/>
      <c r="INC507" s="327"/>
      <c r="IND507" s="28"/>
      <c r="INE507" s="324"/>
      <c r="INF507" s="324"/>
      <c r="ING507" s="324"/>
      <c r="INH507" s="324"/>
      <c r="INI507" s="324"/>
      <c r="INJ507" s="324"/>
      <c r="INK507" s="256"/>
      <c r="INL507" s="325"/>
      <c r="INM507" s="311"/>
      <c r="INN507" s="325"/>
      <c r="INO507" s="310"/>
      <c r="INP507" s="325"/>
      <c r="INQ507" s="325"/>
      <c r="INR507" s="325"/>
      <c r="INS507" s="325"/>
      <c r="INT507" s="325"/>
      <c r="INU507" s="325"/>
      <c r="INV507" s="325"/>
      <c r="INW507" s="325"/>
      <c r="INX507" s="325"/>
      <c r="INY507" s="325"/>
      <c r="INZ507" s="325"/>
      <c r="IOA507" s="325"/>
      <c r="IOB507" s="325"/>
      <c r="IOC507" s="325"/>
      <c r="IOD507" s="325"/>
      <c r="IOE507" s="325"/>
      <c r="IOF507" s="325"/>
      <c r="IOG507" s="325"/>
      <c r="IOH507" s="325"/>
      <c r="IOI507" s="325"/>
      <c r="IOJ507" s="325"/>
      <c r="IOK507" s="325"/>
      <c r="IOL507" s="325"/>
      <c r="IOM507" s="325"/>
      <c r="ION507" s="325"/>
      <c r="IOO507" s="325"/>
      <c r="IOP507" s="325"/>
      <c r="IOQ507" s="325"/>
      <c r="IOR507" s="325"/>
      <c r="IOS507" s="325"/>
      <c r="IOT507" s="327"/>
      <c r="IOU507" s="28"/>
      <c r="IOV507" s="324"/>
      <c r="IOW507" s="324"/>
      <c r="IOX507" s="324"/>
      <c r="IOY507" s="324"/>
      <c r="IOZ507" s="324"/>
      <c r="IPA507" s="324"/>
      <c r="IPB507" s="256"/>
      <c r="IPC507" s="325"/>
      <c r="IPD507" s="311"/>
      <c r="IPE507" s="325"/>
      <c r="IPF507" s="310"/>
      <c r="IPG507" s="325"/>
      <c r="IPH507" s="325"/>
      <c r="IPI507" s="325"/>
      <c r="IPJ507" s="325"/>
      <c r="IPK507" s="325"/>
      <c r="IPL507" s="325"/>
      <c r="IPM507" s="325"/>
      <c r="IPN507" s="325"/>
      <c r="IPO507" s="325"/>
      <c r="IPP507" s="325"/>
      <c r="IPQ507" s="325"/>
      <c r="IPR507" s="325"/>
      <c r="IPS507" s="325"/>
      <c r="IPT507" s="325"/>
      <c r="IPU507" s="325"/>
      <c r="IPV507" s="325"/>
      <c r="IPW507" s="325"/>
      <c r="IPX507" s="325"/>
      <c r="IPY507" s="325"/>
      <c r="IPZ507" s="325"/>
      <c r="IQA507" s="325"/>
      <c r="IQB507" s="325"/>
      <c r="IQC507" s="325"/>
      <c r="IQD507" s="325"/>
      <c r="IQE507" s="325"/>
      <c r="IQF507" s="325"/>
      <c r="IQG507" s="325"/>
      <c r="IQH507" s="325"/>
      <c r="IQI507" s="325"/>
      <c r="IQJ507" s="325"/>
      <c r="IQK507" s="327"/>
      <c r="IQL507" s="28"/>
      <c r="IQM507" s="324"/>
      <c r="IQN507" s="324"/>
      <c r="IQO507" s="324"/>
      <c r="IQP507" s="324"/>
      <c r="IQQ507" s="324"/>
      <c r="IQR507" s="324"/>
      <c r="IQS507" s="256"/>
      <c r="IQT507" s="325"/>
      <c r="IQU507" s="311"/>
      <c r="IQV507" s="325"/>
      <c r="IQW507" s="310"/>
      <c r="IQX507" s="325"/>
      <c r="IQY507" s="325"/>
      <c r="IQZ507" s="325"/>
      <c r="IRA507" s="325"/>
      <c r="IRB507" s="325"/>
      <c r="IRC507" s="325"/>
      <c r="IRD507" s="325"/>
      <c r="IRE507" s="325"/>
      <c r="IRF507" s="325"/>
      <c r="IRG507" s="325"/>
      <c r="IRH507" s="325"/>
      <c r="IRI507" s="325"/>
      <c r="IRJ507" s="325"/>
      <c r="IRK507" s="325"/>
      <c r="IRL507" s="325"/>
      <c r="IRM507" s="325"/>
      <c r="IRN507" s="325"/>
      <c r="IRO507" s="325"/>
      <c r="IRP507" s="325"/>
      <c r="IRQ507" s="325"/>
      <c r="IRR507" s="325"/>
      <c r="IRS507" s="325"/>
      <c r="IRT507" s="325"/>
      <c r="IRU507" s="325"/>
      <c r="IRV507" s="325"/>
      <c r="IRW507" s="325"/>
      <c r="IRX507" s="325"/>
      <c r="IRY507" s="325"/>
      <c r="IRZ507" s="325"/>
      <c r="ISA507" s="325"/>
      <c r="ISB507" s="327"/>
      <c r="ISC507" s="28"/>
      <c r="ISD507" s="324"/>
      <c r="ISE507" s="324"/>
      <c r="ISF507" s="324"/>
      <c r="ISG507" s="324"/>
      <c r="ISH507" s="324"/>
      <c r="ISI507" s="324"/>
      <c r="ISJ507" s="256"/>
      <c r="ISK507" s="325"/>
      <c r="ISL507" s="311"/>
      <c r="ISM507" s="325"/>
      <c r="ISN507" s="310"/>
      <c r="ISO507" s="325"/>
      <c r="ISP507" s="325"/>
      <c r="ISQ507" s="325"/>
      <c r="ISR507" s="325"/>
      <c r="ISS507" s="325"/>
      <c r="IST507" s="325"/>
      <c r="ISU507" s="325"/>
      <c r="ISV507" s="325"/>
      <c r="ISW507" s="325"/>
      <c r="ISX507" s="325"/>
      <c r="ISY507" s="325"/>
      <c r="ISZ507" s="325"/>
      <c r="ITA507" s="325"/>
      <c r="ITB507" s="325"/>
      <c r="ITC507" s="325"/>
      <c r="ITD507" s="325"/>
      <c r="ITE507" s="325"/>
      <c r="ITF507" s="325"/>
      <c r="ITG507" s="325"/>
      <c r="ITH507" s="325"/>
      <c r="ITI507" s="325"/>
      <c r="ITJ507" s="325"/>
      <c r="ITK507" s="325"/>
      <c r="ITL507" s="325"/>
      <c r="ITM507" s="325"/>
      <c r="ITN507" s="325"/>
      <c r="ITO507" s="325"/>
      <c r="ITP507" s="325"/>
      <c r="ITQ507" s="325"/>
      <c r="ITR507" s="325"/>
      <c r="ITS507" s="327"/>
      <c r="ITT507" s="28"/>
      <c r="ITU507" s="324"/>
      <c r="ITV507" s="324"/>
      <c r="ITW507" s="324"/>
      <c r="ITX507" s="324"/>
      <c r="ITY507" s="324"/>
      <c r="ITZ507" s="324"/>
      <c r="IUA507" s="256"/>
      <c r="IUB507" s="325"/>
      <c r="IUC507" s="311"/>
      <c r="IUD507" s="325"/>
      <c r="IUE507" s="310"/>
      <c r="IUF507" s="325"/>
      <c r="IUG507" s="325"/>
      <c r="IUH507" s="325"/>
      <c r="IUI507" s="325"/>
      <c r="IUJ507" s="325"/>
      <c r="IUK507" s="325"/>
      <c r="IUL507" s="325"/>
      <c r="IUM507" s="325"/>
      <c r="IUN507" s="325"/>
      <c r="IUO507" s="325"/>
      <c r="IUP507" s="325"/>
      <c r="IUQ507" s="325"/>
      <c r="IUR507" s="325"/>
      <c r="IUS507" s="325"/>
      <c r="IUT507" s="325"/>
      <c r="IUU507" s="325"/>
      <c r="IUV507" s="325"/>
      <c r="IUW507" s="325"/>
      <c r="IUX507" s="325"/>
      <c r="IUY507" s="325"/>
      <c r="IUZ507" s="325"/>
      <c r="IVA507" s="325"/>
      <c r="IVB507" s="325"/>
      <c r="IVC507" s="325"/>
      <c r="IVD507" s="325"/>
      <c r="IVE507" s="325"/>
      <c r="IVF507" s="325"/>
      <c r="IVG507" s="325"/>
      <c r="IVH507" s="325"/>
      <c r="IVI507" s="325"/>
      <c r="IVJ507" s="327"/>
      <c r="IVK507" s="28"/>
      <c r="IVL507" s="324"/>
      <c r="IVM507" s="324"/>
      <c r="IVN507" s="324"/>
      <c r="IVO507" s="324"/>
      <c r="IVP507" s="324"/>
      <c r="IVQ507" s="324"/>
      <c r="IVR507" s="256"/>
      <c r="IVS507" s="325"/>
      <c r="IVT507" s="311"/>
      <c r="IVU507" s="325"/>
      <c r="IVV507" s="310"/>
      <c r="IVW507" s="325"/>
      <c r="IVX507" s="325"/>
      <c r="IVY507" s="325"/>
      <c r="IVZ507" s="325"/>
      <c r="IWA507" s="325"/>
      <c r="IWB507" s="325"/>
      <c r="IWC507" s="325"/>
      <c r="IWD507" s="325"/>
      <c r="IWE507" s="325"/>
      <c r="IWF507" s="325"/>
      <c r="IWG507" s="325"/>
      <c r="IWH507" s="325"/>
      <c r="IWI507" s="325"/>
      <c r="IWJ507" s="325"/>
      <c r="IWK507" s="325"/>
      <c r="IWL507" s="325"/>
      <c r="IWM507" s="325"/>
      <c r="IWN507" s="325"/>
      <c r="IWO507" s="325"/>
      <c r="IWP507" s="325"/>
      <c r="IWQ507" s="325"/>
      <c r="IWR507" s="325"/>
      <c r="IWS507" s="325"/>
      <c r="IWT507" s="325"/>
      <c r="IWU507" s="325"/>
      <c r="IWV507" s="325"/>
      <c r="IWW507" s="325"/>
      <c r="IWX507" s="325"/>
      <c r="IWY507" s="325"/>
      <c r="IWZ507" s="325"/>
      <c r="IXA507" s="327"/>
      <c r="IXB507" s="28"/>
      <c r="IXC507" s="324"/>
      <c r="IXD507" s="324"/>
      <c r="IXE507" s="324"/>
      <c r="IXF507" s="324"/>
      <c r="IXG507" s="324"/>
      <c r="IXH507" s="324"/>
      <c r="IXI507" s="256"/>
      <c r="IXJ507" s="325"/>
      <c r="IXK507" s="311"/>
      <c r="IXL507" s="325"/>
      <c r="IXM507" s="310"/>
      <c r="IXN507" s="325"/>
      <c r="IXO507" s="325"/>
      <c r="IXP507" s="325"/>
      <c r="IXQ507" s="325"/>
      <c r="IXR507" s="325"/>
      <c r="IXS507" s="325"/>
      <c r="IXT507" s="325"/>
      <c r="IXU507" s="325"/>
      <c r="IXV507" s="325"/>
      <c r="IXW507" s="325"/>
      <c r="IXX507" s="325"/>
      <c r="IXY507" s="325"/>
      <c r="IXZ507" s="325"/>
      <c r="IYA507" s="325"/>
      <c r="IYB507" s="325"/>
      <c r="IYC507" s="325"/>
      <c r="IYD507" s="325"/>
      <c r="IYE507" s="325"/>
      <c r="IYF507" s="325"/>
      <c r="IYG507" s="325"/>
      <c r="IYH507" s="325"/>
      <c r="IYI507" s="325"/>
      <c r="IYJ507" s="325"/>
      <c r="IYK507" s="325"/>
      <c r="IYL507" s="325"/>
      <c r="IYM507" s="325"/>
      <c r="IYN507" s="325"/>
      <c r="IYO507" s="325"/>
      <c r="IYP507" s="325"/>
      <c r="IYQ507" s="325"/>
      <c r="IYR507" s="327"/>
      <c r="IYS507" s="28"/>
      <c r="IYT507" s="324"/>
      <c r="IYU507" s="324"/>
      <c r="IYV507" s="324"/>
      <c r="IYW507" s="324"/>
      <c r="IYX507" s="324"/>
      <c r="IYY507" s="324"/>
      <c r="IYZ507" s="256"/>
      <c r="IZA507" s="325"/>
      <c r="IZB507" s="311"/>
      <c r="IZC507" s="325"/>
      <c r="IZD507" s="310"/>
      <c r="IZE507" s="325"/>
      <c r="IZF507" s="325"/>
      <c r="IZG507" s="325"/>
      <c r="IZH507" s="325"/>
      <c r="IZI507" s="325"/>
      <c r="IZJ507" s="325"/>
      <c r="IZK507" s="325"/>
      <c r="IZL507" s="325"/>
      <c r="IZM507" s="325"/>
      <c r="IZN507" s="325"/>
      <c r="IZO507" s="325"/>
      <c r="IZP507" s="325"/>
      <c r="IZQ507" s="325"/>
      <c r="IZR507" s="325"/>
      <c r="IZS507" s="325"/>
      <c r="IZT507" s="325"/>
      <c r="IZU507" s="325"/>
      <c r="IZV507" s="325"/>
      <c r="IZW507" s="325"/>
      <c r="IZX507" s="325"/>
      <c r="IZY507" s="325"/>
      <c r="IZZ507" s="325"/>
      <c r="JAA507" s="325"/>
      <c r="JAB507" s="325"/>
      <c r="JAC507" s="325"/>
      <c r="JAD507" s="325"/>
      <c r="JAE507" s="325"/>
      <c r="JAF507" s="325"/>
      <c r="JAG507" s="325"/>
      <c r="JAH507" s="325"/>
      <c r="JAI507" s="327"/>
      <c r="JAJ507" s="28"/>
      <c r="JAK507" s="324"/>
      <c r="JAL507" s="324"/>
      <c r="JAM507" s="324"/>
      <c r="JAN507" s="324"/>
      <c r="JAO507" s="324"/>
      <c r="JAP507" s="324"/>
      <c r="JAQ507" s="256"/>
      <c r="JAR507" s="325"/>
      <c r="JAS507" s="311"/>
      <c r="JAT507" s="325"/>
      <c r="JAU507" s="310"/>
      <c r="JAV507" s="325"/>
      <c r="JAW507" s="325"/>
      <c r="JAX507" s="325"/>
      <c r="JAY507" s="325"/>
      <c r="JAZ507" s="325"/>
      <c r="JBA507" s="325"/>
      <c r="JBB507" s="325"/>
      <c r="JBC507" s="325"/>
      <c r="JBD507" s="325"/>
      <c r="JBE507" s="325"/>
      <c r="JBF507" s="325"/>
      <c r="JBG507" s="325"/>
      <c r="JBH507" s="325"/>
      <c r="JBI507" s="325"/>
      <c r="JBJ507" s="325"/>
      <c r="JBK507" s="325"/>
      <c r="JBL507" s="325"/>
      <c r="JBM507" s="325"/>
      <c r="JBN507" s="325"/>
      <c r="JBO507" s="325"/>
      <c r="JBP507" s="325"/>
      <c r="JBQ507" s="325"/>
      <c r="JBR507" s="325"/>
      <c r="JBS507" s="325"/>
      <c r="JBT507" s="325"/>
      <c r="JBU507" s="325"/>
      <c r="JBV507" s="325"/>
      <c r="JBW507" s="325"/>
      <c r="JBX507" s="325"/>
      <c r="JBY507" s="325"/>
      <c r="JBZ507" s="327"/>
      <c r="JCA507" s="28"/>
      <c r="JCB507" s="324"/>
      <c r="JCC507" s="324"/>
      <c r="JCD507" s="324"/>
      <c r="JCE507" s="324"/>
      <c r="JCF507" s="324"/>
      <c r="JCG507" s="324"/>
      <c r="JCH507" s="256"/>
      <c r="JCI507" s="325"/>
      <c r="JCJ507" s="311"/>
      <c r="JCK507" s="325"/>
      <c r="JCL507" s="310"/>
      <c r="JCM507" s="325"/>
      <c r="JCN507" s="325"/>
      <c r="JCO507" s="325"/>
      <c r="JCP507" s="325"/>
      <c r="JCQ507" s="325"/>
      <c r="JCR507" s="325"/>
      <c r="JCS507" s="325"/>
      <c r="JCT507" s="325"/>
      <c r="JCU507" s="325"/>
      <c r="JCV507" s="325"/>
      <c r="JCW507" s="325"/>
      <c r="JCX507" s="325"/>
      <c r="JCY507" s="325"/>
      <c r="JCZ507" s="325"/>
      <c r="JDA507" s="325"/>
      <c r="JDB507" s="325"/>
      <c r="JDC507" s="325"/>
      <c r="JDD507" s="325"/>
      <c r="JDE507" s="325"/>
      <c r="JDF507" s="325"/>
      <c r="JDG507" s="325"/>
      <c r="JDH507" s="325"/>
      <c r="JDI507" s="325"/>
      <c r="JDJ507" s="325"/>
      <c r="JDK507" s="325"/>
      <c r="JDL507" s="325"/>
      <c r="JDM507" s="325"/>
      <c r="JDN507" s="325"/>
      <c r="JDO507" s="325"/>
      <c r="JDP507" s="325"/>
      <c r="JDQ507" s="327"/>
      <c r="JDR507" s="28"/>
      <c r="JDS507" s="324"/>
      <c r="JDT507" s="324"/>
      <c r="JDU507" s="324"/>
      <c r="JDV507" s="324"/>
      <c r="JDW507" s="324"/>
      <c r="JDX507" s="324"/>
      <c r="JDY507" s="256"/>
      <c r="JDZ507" s="325"/>
      <c r="JEA507" s="311"/>
      <c r="JEB507" s="325"/>
      <c r="JEC507" s="310"/>
      <c r="JED507" s="325"/>
      <c r="JEE507" s="325"/>
      <c r="JEF507" s="325"/>
      <c r="JEG507" s="325"/>
      <c r="JEH507" s="325"/>
      <c r="JEI507" s="325"/>
      <c r="JEJ507" s="325"/>
      <c r="JEK507" s="325"/>
      <c r="JEL507" s="325"/>
      <c r="JEM507" s="325"/>
      <c r="JEN507" s="325"/>
      <c r="JEO507" s="325"/>
      <c r="JEP507" s="325"/>
      <c r="JEQ507" s="325"/>
      <c r="JER507" s="325"/>
      <c r="JES507" s="325"/>
      <c r="JET507" s="325"/>
      <c r="JEU507" s="325"/>
      <c r="JEV507" s="325"/>
      <c r="JEW507" s="325"/>
      <c r="JEX507" s="325"/>
      <c r="JEY507" s="325"/>
      <c r="JEZ507" s="325"/>
      <c r="JFA507" s="325"/>
      <c r="JFB507" s="325"/>
      <c r="JFC507" s="325"/>
      <c r="JFD507" s="325"/>
      <c r="JFE507" s="325"/>
      <c r="JFF507" s="325"/>
      <c r="JFG507" s="325"/>
      <c r="JFH507" s="327"/>
      <c r="JFI507" s="28"/>
      <c r="JFJ507" s="324"/>
      <c r="JFK507" s="324"/>
      <c r="JFL507" s="324"/>
      <c r="JFM507" s="324"/>
      <c r="JFN507" s="324"/>
      <c r="JFO507" s="324"/>
      <c r="JFP507" s="256"/>
      <c r="JFQ507" s="325"/>
      <c r="JFR507" s="311"/>
      <c r="JFS507" s="325"/>
      <c r="JFT507" s="310"/>
      <c r="JFU507" s="325"/>
      <c r="JFV507" s="325"/>
      <c r="JFW507" s="325"/>
      <c r="JFX507" s="325"/>
      <c r="JFY507" s="325"/>
      <c r="JFZ507" s="325"/>
      <c r="JGA507" s="325"/>
      <c r="JGB507" s="325"/>
      <c r="JGC507" s="325"/>
      <c r="JGD507" s="325"/>
      <c r="JGE507" s="325"/>
      <c r="JGF507" s="325"/>
      <c r="JGG507" s="325"/>
      <c r="JGH507" s="325"/>
      <c r="JGI507" s="325"/>
      <c r="JGJ507" s="325"/>
      <c r="JGK507" s="325"/>
      <c r="JGL507" s="325"/>
      <c r="JGM507" s="325"/>
      <c r="JGN507" s="325"/>
      <c r="JGO507" s="325"/>
      <c r="JGP507" s="325"/>
      <c r="JGQ507" s="325"/>
      <c r="JGR507" s="325"/>
      <c r="JGS507" s="325"/>
      <c r="JGT507" s="325"/>
      <c r="JGU507" s="325"/>
      <c r="JGV507" s="325"/>
      <c r="JGW507" s="325"/>
      <c r="JGX507" s="325"/>
      <c r="JGY507" s="327"/>
      <c r="JGZ507" s="28"/>
      <c r="JHA507" s="324"/>
      <c r="JHB507" s="324"/>
      <c r="JHC507" s="324"/>
      <c r="JHD507" s="324"/>
      <c r="JHE507" s="324"/>
      <c r="JHF507" s="324"/>
      <c r="JHG507" s="256"/>
      <c r="JHH507" s="325"/>
      <c r="JHI507" s="311"/>
      <c r="JHJ507" s="325"/>
      <c r="JHK507" s="310"/>
      <c r="JHL507" s="325"/>
      <c r="JHM507" s="325"/>
      <c r="JHN507" s="325"/>
      <c r="JHO507" s="325"/>
      <c r="JHP507" s="325"/>
      <c r="JHQ507" s="325"/>
      <c r="JHR507" s="325"/>
      <c r="JHS507" s="325"/>
      <c r="JHT507" s="325"/>
      <c r="JHU507" s="325"/>
      <c r="JHV507" s="325"/>
      <c r="JHW507" s="325"/>
      <c r="JHX507" s="325"/>
      <c r="JHY507" s="325"/>
      <c r="JHZ507" s="325"/>
      <c r="JIA507" s="325"/>
      <c r="JIB507" s="325"/>
      <c r="JIC507" s="325"/>
      <c r="JID507" s="325"/>
      <c r="JIE507" s="325"/>
      <c r="JIF507" s="325"/>
      <c r="JIG507" s="325"/>
      <c r="JIH507" s="325"/>
      <c r="JII507" s="325"/>
      <c r="JIJ507" s="325"/>
      <c r="JIK507" s="325"/>
      <c r="JIL507" s="325"/>
      <c r="JIM507" s="325"/>
      <c r="JIN507" s="325"/>
      <c r="JIO507" s="325"/>
      <c r="JIP507" s="327"/>
      <c r="JIQ507" s="28"/>
      <c r="JIR507" s="324"/>
      <c r="JIS507" s="324"/>
      <c r="JIT507" s="324"/>
      <c r="JIU507" s="324"/>
      <c r="JIV507" s="324"/>
      <c r="JIW507" s="324"/>
      <c r="JIX507" s="256"/>
      <c r="JIY507" s="325"/>
      <c r="JIZ507" s="311"/>
      <c r="JJA507" s="325"/>
      <c r="JJB507" s="310"/>
      <c r="JJC507" s="325"/>
      <c r="JJD507" s="325"/>
      <c r="JJE507" s="325"/>
      <c r="JJF507" s="325"/>
      <c r="JJG507" s="325"/>
      <c r="JJH507" s="325"/>
      <c r="JJI507" s="325"/>
      <c r="JJJ507" s="325"/>
      <c r="JJK507" s="325"/>
      <c r="JJL507" s="325"/>
      <c r="JJM507" s="325"/>
      <c r="JJN507" s="325"/>
      <c r="JJO507" s="325"/>
      <c r="JJP507" s="325"/>
      <c r="JJQ507" s="325"/>
      <c r="JJR507" s="325"/>
      <c r="JJS507" s="325"/>
      <c r="JJT507" s="325"/>
      <c r="JJU507" s="325"/>
      <c r="JJV507" s="325"/>
      <c r="JJW507" s="325"/>
      <c r="JJX507" s="325"/>
      <c r="JJY507" s="325"/>
      <c r="JJZ507" s="325"/>
      <c r="JKA507" s="325"/>
      <c r="JKB507" s="325"/>
      <c r="JKC507" s="325"/>
      <c r="JKD507" s="325"/>
      <c r="JKE507" s="325"/>
      <c r="JKF507" s="325"/>
      <c r="JKG507" s="327"/>
      <c r="JKH507" s="28"/>
      <c r="JKI507" s="324"/>
      <c r="JKJ507" s="324"/>
      <c r="JKK507" s="324"/>
      <c r="JKL507" s="324"/>
      <c r="JKM507" s="324"/>
      <c r="JKN507" s="324"/>
      <c r="JKO507" s="256"/>
      <c r="JKP507" s="325"/>
      <c r="JKQ507" s="311"/>
      <c r="JKR507" s="325"/>
      <c r="JKS507" s="310"/>
      <c r="JKT507" s="325"/>
      <c r="JKU507" s="325"/>
      <c r="JKV507" s="325"/>
      <c r="JKW507" s="325"/>
      <c r="JKX507" s="325"/>
      <c r="JKY507" s="325"/>
      <c r="JKZ507" s="325"/>
      <c r="JLA507" s="325"/>
      <c r="JLB507" s="325"/>
      <c r="JLC507" s="325"/>
      <c r="JLD507" s="325"/>
      <c r="JLE507" s="325"/>
      <c r="JLF507" s="325"/>
      <c r="JLG507" s="325"/>
      <c r="JLH507" s="325"/>
      <c r="JLI507" s="325"/>
      <c r="JLJ507" s="325"/>
      <c r="JLK507" s="325"/>
      <c r="JLL507" s="325"/>
      <c r="JLM507" s="325"/>
      <c r="JLN507" s="325"/>
      <c r="JLO507" s="325"/>
      <c r="JLP507" s="325"/>
      <c r="JLQ507" s="325"/>
      <c r="JLR507" s="325"/>
      <c r="JLS507" s="325"/>
      <c r="JLT507" s="325"/>
      <c r="JLU507" s="325"/>
      <c r="JLV507" s="325"/>
      <c r="JLW507" s="325"/>
      <c r="JLX507" s="327"/>
      <c r="JLY507" s="28"/>
      <c r="JLZ507" s="324"/>
      <c r="JMA507" s="324"/>
      <c r="JMB507" s="324"/>
      <c r="JMC507" s="324"/>
      <c r="JMD507" s="324"/>
      <c r="JME507" s="324"/>
      <c r="JMF507" s="256"/>
      <c r="JMG507" s="325"/>
      <c r="JMH507" s="311"/>
      <c r="JMI507" s="325"/>
      <c r="JMJ507" s="310"/>
      <c r="JMK507" s="325"/>
      <c r="JML507" s="325"/>
      <c r="JMM507" s="325"/>
      <c r="JMN507" s="325"/>
      <c r="JMO507" s="325"/>
      <c r="JMP507" s="325"/>
      <c r="JMQ507" s="325"/>
      <c r="JMR507" s="325"/>
      <c r="JMS507" s="325"/>
      <c r="JMT507" s="325"/>
      <c r="JMU507" s="325"/>
      <c r="JMV507" s="325"/>
      <c r="JMW507" s="325"/>
      <c r="JMX507" s="325"/>
      <c r="JMY507" s="325"/>
      <c r="JMZ507" s="325"/>
      <c r="JNA507" s="325"/>
      <c r="JNB507" s="325"/>
      <c r="JNC507" s="325"/>
      <c r="JND507" s="325"/>
      <c r="JNE507" s="325"/>
      <c r="JNF507" s="325"/>
      <c r="JNG507" s="325"/>
      <c r="JNH507" s="325"/>
      <c r="JNI507" s="325"/>
      <c r="JNJ507" s="325"/>
      <c r="JNK507" s="325"/>
      <c r="JNL507" s="325"/>
      <c r="JNM507" s="325"/>
      <c r="JNN507" s="325"/>
      <c r="JNO507" s="327"/>
      <c r="JNP507" s="28"/>
      <c r="JNQ507" s="324"/>
      <c r="JNR507" s="324"/>
      <c r="JNS507" s="324"/>
      <c r="JNT507" s="324"/>
      <c r="JNU507" s="324"/>
      <c r="JNV507" s="324"/>
      <c r="JNW507" s="256"/>
      <c r="JNX507" s="325"/>
      <c r="JNY507" s="311"/>
      <c r="JNZ507" s="325"/>
      <c r="JOA507" s="310"/>
      <c r="JOB507" s="325"/>
      <c r="JOC507" s="325"/>
      <c r="JOD507" s="325"/>
      <c r="JOE507" s="325"/>
      <c r="JOF507" s="325"/>
      <c r="JOG507" s="325"/>
      <c r="JOH507" s="325"/>
      <c r="JOI507" s="325"/>
      <c r="JOJ507" s="325"/>
      <c r="JOK507" s="325"/>
      <c r="JOL507" s="325"/>
      <c r="JOM507" s="325"/>
      <c r="JON507" s="325"/>
      <c r="JOO507" s="325"/>
      <c r="JOP507" s="325"/>
      <c r="JOQ507" s="325"/>
      <c r="JOR507" s="325"/>
      <c r="JOS507" s="325"/>
      <c r="JOT507" s="325"/>
      <c r="JOU507" s="325"/>
      <c r="JOV507" s="325"/>
      <c r="JOW507" s="325"/>
      <c r="JOX507" s="325"/>
      <c r="JOY507" s="325"/>
      <c r="JOZ507" s="325"/>
      <c r="JPA507" s="325"/>
      <c r="JPB507" s="325"/>
      <c r="JPC507" s="325"/>
      <c r="JPD507" s="325"/>
      <c r="JPE507" s="325"/>
      <c r="JPF507" s="327"/>
      <c r="JPG507" s="28"/>
      <c r="JPH507" s="324"/>
      <c r="JPI507" s="324"/>
      <c r="JPJ507" s="324"/>
      <c r="JPK507" s="324"/>
      <c r="JPL507" s="324"/>
      <c r="JPM507" s="324"/>
      <c r="JPN507" s="256"/>
      <c r="JPO507" s="325"/>
      <c r="JPP507" s="311"/>
      <c r="JPQ507" s="325"/>
      <c r="JPR507" s="310"/>
      <c r="JPS507" s="325"/>
      <c r="JPT507" s="325"/>
      <c r="JPU507" s="325"/>
      <c r="JPV507" s="325"/>
      <c r="JPW507" s="325"/>
      <c r="JPX507" s="325"/>
      <c r="JPY507" s="325"/>
      <c r="JPZ507" s="325"/>
      <c r="JQA507" s="325"/>
      <c r="JQB507" s="325"/>
      <c r="JQC507" s="325"/>
      <c r="JQD507" s="325"/>
      <c r="JQE507" s="325"/>
      <c r="JQF507" s="325"/>
      <c r="JQG507" s="325"/>
      <c r="JQH507" s="325"/>
      <c r="JQI507" s="325"/>
      <c r="JQJ507" s="325"/>
      <c r="JQK507" s="325"/>
      <c r="JQL507" s="325"/>
      <c r="JQM507" s="325"/>
      <c r="JQN507" s="325"/>
      <c r="JQO507" s="325"/>
      <c r="JQP507" s="325"/>
      <c r="JQQ507" s="325"/>
      <c r="JQR507" s="325"/>
      <c r="JQS507" s="325"/>
      <c r="JQT507" s="325"/>
      <c r="JQU507" s="325"/>
      <c r="JQV507" s="325"/>
      <c r="JQW507" s="327"/>
      <c r="JQX507" s="28"/>
      <c r="JQY507" s="324"/>
      <c r="JQZ507" s="324"/>
      <c r="JRA507" s="324"/>
      <c r="JRB507" s="324"/>
      <c r="JRC507" s="324"/>
      <c r="JRD507" s="324"/>
      <c r="JRE507" s="256"/>
      <c r="JRF507" s="325"/>
      <c r="JRG507" s="311"/>
      <c r="JRH507" s="325"/>
      <c r="JRI507" s="310"/>
      <c r="JRJ507" s="325"/>
      <c r="JRK507" s="325"/>
      <c r="JRL507" s="325"/>
      <c r="JRM507" s="325"/>
      <c r="JRN507" s="325"/>
      <c r="JRO507" s="325"/>
      <c r="JRP507" s="325"/>
      <c r="JRQ507" s="325"/>
      <c r="JRR507" s="325"/>
      <c r="JRS507" s="325"/>
      <c r="JRT507" s="325"/>
      <c r="JRU507" s="325"/>
      <c r="JRV507" s="325"/>
      <c r="JRW507" s="325"/>
      <c r="JRX507" s="325"/>
      <c r="JRY507" s="325"/>
      <c r="JRZ507" s="325"/>
      <c r="JSA507" s="325"/>
      <c r="JSB507" s="325"/>
      <c r="JSC507" s="325"/>
      <c r="JSD507" s="325"/>
      <c r="JSE507" s="325"/>
      <c r="JSF507" s="325"/>
      <c r="JSG507" s="325"/>
      <c r="JSH507" s="325"/>
      <c r="JSI507" s="325"/>
      <c r="JSJ507" s="325"/>
      <c r="JSK507" s="325"/>
      <c r="JSL507" s="325"/>
      <c r="JSM507" s="325"/>
      <c r="JSN507" s="327"/>
      <c r="JSO507" s="28"/>
      <c r="JSP507" s="324"/>
      <c r="JSQ507" s="324"/>
      <c r="JSR507" s="324"/>
      <c r="JSS507" s="324"/>
      <c r="JST507" s="324"/>
      <c r="JSU507" s="324"/>
      <c r="JSV507" s="256"/>
      <c r="JSW507" s="325"/>
      <c r="JSX507" s="311"/>
      <c r="JSY507" s="325"/>
      <c r="JSZ507" s="310"/>
      <c r="JTA507" s="325"/>
      <c r="JTB507" s="325"/>
      <c r="JTC507" s="325"/>
      <c r="JTD507" s="325"/>
      <c r="JTE507" s="325"/>
      <c r="JTF507" s="325"/>
      <c r="JTG507" s="325"/>
      <c r="JTH507" s="325"/>
      <c r="JTI507" s="325"/>
      <c r="JTJ507" s="325"/>
      <c r="JTK507" s="325"/>
      <c r="JTL507" s="325"/>
      <c r="JTM507" s="325"/>
      <c r="JTN507" s="325"/>
      <c r="JTO507" s="325"/>
      <c r="JTP507" s="325"/>
      <c r="JTQ507" s="325"/>
      <c r="JTR507" s="325"/>
      <c r="JTS507" s="325"/>
      <c r="JTT507" s="325"/>
      <c r="JTU507" s="325"/>
      <c r="JTV507" s="325"/>
      <c r="JTW507" s="325"/>
      <c r="JTX507" s="325"/>
      <c r="JTY507" s="325"/>
      <c r="JTZ507" s="325"/>
      <c r="JUA507" s="325"/>
      <c r="JUB507" s="325"/>
      <c r="JUC507" s="325"/>
      <c r="JUD507" s="325"/>
      <c r="JUE507" s="327"/>
      <c r="JUF507" s="28"/>
      <c r="JUG507" s="324"/>
      <c r="JUH507" s="324"/>
      <c r="JUI507" s="324"/>
      <c r="JUJ507" s="324"/>
      <c r="JUK507" s="324"/>
      <c r="JUL507" s="324"/>
      <c r="JUM507" s="256"/>
      <c r="JUN507" s="325"/>
      <c r="JUO507" s="311"/>
      <c r="JUP507" s="325"/>
      <c r="JUQ507" s="310"/>
      <c r="JUR507" s="325"/>
      <c r="JUS507" s="325"/>
      <c r="JUT507" s="325"/>
      <c r="JUU507" s="325"/>
      <c r="JUV507" s="325"/>
      <c r="JUW507" s="325"/>
      <c r="JUX507" s="325"/>
      <c r="JUY507" s="325"/>
      <c r="JUZ507" s="325"/>
      <c r="JVA507" s="325"/>
      <c r="JVB507" s="325"/>
      <c r="JVC507" s="325"/>
      <c r="JVD507" s="325"/>
      <c r="JVE507" s="325"/>
      <c r="JVF507" s="325"/>
      <c r="JVG507" s="325"/>
      <c r="JVH507" s="325"/>
      <c r="JVI507" s="325"/>
      <c r="JVJ507" s="325"/>
      <c r="JVK507" s="325"/>
      <c r="JVL507" s="325"/>
      <c r="JVM507" s="325"/>
      <c r="JVN507" s="325"/>
      <c r="JVO507" s="325"/>
      <c r="JVP507" s="325"/>
      <c r="JVQ507" s="325"/>
      <c r="JVR507" s="325"/>
      <c r="JVS507" s="325"/>
      <c r="JVT507" s="325"/>
      <c r="JVU507" s="325"/>
      <c r="JVV507" s="327"/>
      <c r="JVW507" s="28"/>
      <c r="JVX507" s="324"/>
      <c r="JVY507" s="324"/>
      <c r="JVZ507" s="324"/>
      <c r="JWA507" s="324"/>
      <c r="JWB507" s="324"/>
      <c r="JWC507" s="324"/>
      <c r="JWD507" s="256"/>
      <c r="JWE507" s="325"/>
      <c r="JWF507" s="311"/>
      <c r="JWG507" s="325"/>
      <c r="JWH507" s="310"/>
      <c r="JWI507" s="325"/>
      <c r="JWJ507" s="325"/>
      <c r="JWK507" s="325"/>
      <c r="JWL507" s="325"/>
      <c r="JWM507" s="325"/>
      <c r="JWN507" s="325"/>
      <c r="JWO507" s="325"/>
      <c r="JWP507" s="325"/>
      <c r="JWQ507" s="325"/>
      <c r="JWR507" s="325"/>
      <c r="JWS507" s="325"/>
      <c r="JWT507" s="325"/>
      <c r="JWU507" s="325"/>
      <c r="JWV507" s="325"/>
      <c r="JWW507" s="325"/>
      <c r="JWX507" s="325"/>
      <c r="JWY507" s="325"/>
      <c r="JWZ507" s="325"/>
      <c r="JXA507" s="325"/>
      <c r="JXB507" s="325"/>
      <c r="JXC507" s="325"/>
      <c r="JXD507" s="325"/>
      <c r="JXE507" s="325"/>
      <c r="JXF507" s="325"/>
      <c r="JXG507" s="325"/>
      <c r="JXH507" s="325"/>
      <c r="JXI507" s="325"/>
      <c r="JXJ507" s="325"/>
      <c r="JXK507" s="325"/>
      <c r="JXL507" s="325"/>
      <c r="JXM507" s="327"/>
      <c r="JXN507" s="28"/>
      <c r="JXO507" s="324"/>
      <c r="JXP507" s="324"/>
      <c r="JXQ507" s="324"/>
      <c r="JXR507" s="324"/>
      <c r="JXS507" s="324"/>
      <c r="JXT507" s="324"/>
      <c r="JXU507" s="256"/>
      <c r="JXV507" s="325"/>
      <c r="JXW507" s="311"/>
      <c r="JXX507" s="325"/>
      <c r="JXY507" s="310"/>
      <c r="JXZ507" s="325"/>
      <c r="JYA507" s="325"/>
      <c r="JYB507" s="325"/>
      <c r="JYC507" s="325"/>
      <c r="JYD507" s="325"/>
      <c r="JYE507" s="325"/>
      <c r="JYF507" s="325"/>
      <c r="JYG507" s="325"/>
      <c r="JYH507" s="325"/>
      <c r="JYI507" s="325"/>
      <c r="JYJ507" s="325"/>
      <c r="JYK507" s="325"/>
      <c r="JYL507" s="325"/>
      <c r="JYM507" s="325"/>
      <c r="JYN507" s="325"/>
      <c r="JYO507" s="325"/>
      <c r="JYP507" s="325"/>
      <c r="JYQ507" s="325"/>
      <c r="JYR507" s="325"/>
      <c r="JYS507" s="325"/>
      <c r="JYT507" s="325"/>
      <c r="JYU507" s="325"/>
      <c r="JYV507" s="325"/>
      <c r="JYW507" s="325"/>
      <c r="JYX507" s="325"/>
      <c r="JYY507" s="325"/>
      <c r="JYZ507" s="325"/>
      <c r="JZA507" s="325"/>
      <c r="JZB507" s="325"/>
      <c r="JZC507" s="325"/>
      <c r="JZD507" s="327"/>
      <c r="JZE507" s="28"/>
      <c r="JZF507" s="324"/>
      <c r="JZG507" s="324"/>
      <c r="JZH507" s="324"/>
      <c r="JZI507" s="324"/>
      <c r="JZJ507" s="324"/>
      <c r="JZK507" s="324"/>
      <c r="JZL507" s="256"/>
      <c r="JZM507" s="325"/>
      <c r="JZN507" s="311"/>
      <c r="JZO507" s="325"/>
      <c r="JZP507" s="310"/>
      <c r="JZQ507" s="325"/>
      <c r="JZR507" s="325"/>
      <c r="JZS507" s="325"/>
      <c r="JZT507" s="325"/>
      <c r="JZU507" s="325"/>
      <c r="JZV507" s="325"/>
      <c r="JZW507" s="325"/>
      <c r="JZX507" s="325"/>
      <c r="JZY507" s="325"/>
      <c r="JZZ507" s="325"/>
      <c r="KAA507" s="325"/>
      <c r="KAB507" s="325"/>
      <c r="KAC507" s="325"/>
      <c r="KAD507" s="325"/>
      <c r="KAE507" s="325"/>
      <c r="KAF507" s="325"/>
      <c r="KAG507" s="325"/>
      <c r="KAH507" s="325"/>
      <c r="KAI507" s="325"/>
      <c r="KAJ507" s="325"/>
      <c r="KAK507" s="325"/>
      <c r="KAL507" s="325"/>
      <c r="KAM507" s="325"/>
      <c r="KAN507" s="325"/>
      <c r="KAO507" s="325"/>
      <c r="KAP507" s="325"/>
      <c r="KAQ507" s="325"/>
      <c r="KAR507" s="325"/>
      <c r="KAS507" s="325"/>
      <c r="KAT507" s="325"/>
      <c r="KAU507" s="327"/>
      <c r="KAV507" s="28"/>
      <c r="KAW507" s="324"/>
      <c r="KAX507" s="324"/>
      <c r="KAY507" s="324"/>
      <c r="KAZ507" s="324"/>
      <c r="KBA507" s="324"/>
      <c r="KBB507" s="324"/>
      <c r="KBC507" s="256"/>
      <c r="KBD507" s="325"/>
      <c r="KBE507" s="311"/>
      <c r="KBF507" s="325"/>
      <c r="KBG507" s="310"/>
      <c r="KBH507" s="325"/>
      <c r="KBI507" s="325"/>
      <c r="KBJ507" s="325"/>
      <c r="KBK507" s="325"/>
      <c r="KBL507" s="325"/>
      <c r="KBM507" s="325"/>
      <c r="KBN507" s="325"/>
      <c r="KBO507" s="325"/>
      <c r="KBP507" s="325"/>
      <c r="KBQ507" s="325"/>
      <c r="KBR507" s="325"/>
      <c r="KBS507" s="325"/>
      <c r="KBT507" s="325"/>
      <c r="KBU507" s="325"/>
      <c r="KBV507" s="325"/>
      <c r="KBW507" s="325"/>
      <c r="KBX507" s="325"/>
      <c r="KBY507" s="325"/>
      <c r="KBZ507" s="325"/>
      <c r="KCA507" s="325"/>
      <c r="KCB507" s="325"/>
      <c r="KCC507" s="325"/>
      <c r="KCD507" s="325"/>
      <c r="KCE507" s="325"/>
      <c r="KCF507" s="325"/>
      <c r="KCG507" s="325"/>
      <c r="KCH507" s="325"/>
      <c r="KCI507" s="325"/>
      <c r="KCJ507" s="325"/>
      <c r="KCK507" s="325"/>
      <c r="KCL507" s="327"/>
      <c r="KCM507" s="28"/>
      <c r="KCN507" s="324"/>
      <c r="KCO507" s="324"/>
      <c r="KCP507" s="324"/>
      <c r="KCQ507" s="324"/>
      <c r="KCR507" s="324"/>
      <c r="KCS507" s="324"/>
      <c r="KCT507" s="256"/>
      <c r="KCU507" s="325"/>
      <c r="KCV507" s="311"/>
      <c r="KCW507" s="325"/>
      <c r="KCX507" s="310"/>
      <c r="KCY507" s="325"/>
      <c r="KCZ507" s="325"/>
      <c r="KDA507" s="325"/>
      <c r="KDB507" s="325"/>
      <c r="KDC507" s="325"/>
      <c r="KDD507" s="325"/>
      <c r="KDE507" s="325"/>
      <c r="KDF507" s="325"/>
      <c r="KDG507" s="325"/>
      <c r="KDH507" s="325"/>
      <c r="KDI507" s="325"/>
      <c r="KDJ507" s="325"/>
      <c r="KDK507" s="325"/>
      <c r="KDL507" s="325"/>
      <c r="KDM507" s="325"/>
      <c r="KDN507" s="325"/>
      <c r="KDO507" s="325"/>
      <c r="KDP507" s="325"/>
      <c r="KDQ507" s="325"/>
      <c r="KDR507" s="325"/>
      <c r="KDS507" s="325"/>
      <c r="KDT507" s="325"/>
      <c r="KDU507" s="325"/>
      <c r="KDV507" s="325"/>
      <c r="KDW507" s="325"/>
      <c r="KDX507" s="325"/>
      <c r="KDY507" s="325"/>
      <c r="KDZ507" s="325"/>
      <c r="KEA507" s="325"/>
      <c r="KEB507" s="325"/>
      <c r="KEC507" s="327"/>
      <c r="KED507" s="28"/>
      <c r="KEE507" s="324"/>
      <c r="KEF507" s="324"/>
      <c r="KEG507" s="324"/>
      <c r="KEH507" s="324"/>
      <c r="KEI507" s="324"/>
      <c r="KEJ507" s="324"/>
      <c r="KEK507" s="256"/>
      <c r="KEL507" s="325"/>
      <c r="KEM507" s="311"/>
      <c r="KEN507" s="325"/>
      <c r="KEO507" s="310"/>
      <c r="KEP507" s="325"/>
      <c r="KEQ507" s="325"/>
      <c r="KER507" s="325"/>
      <c r="KES507" s="325"/>
      <c r="KET507" s="325"/>
      <c r="KEU507" s="325"/>
      <c r="KEV507" s="325"/>
      <c r="KEW507" s="325"/>
      <c r="KEX507" s="325"/>
      <c r="KEY507" s="325"/>
      <c r="KEZ507" s="325"/>
      <c r="KFA507" s="325"/>
      <c r="KFB507" s="325"/>
      <c r="KFC507" s="325"/>
      <c r="KFD507" s="325"/>
      <c r="KFE507" s="325"/>
      <c r="KFF507" s="325"/>
      <c r="KFG507" s="325"/>
      <c r="KFH507" s="325"/>
      <c r="KFI507" s="325"/>
      <c r="KFJ507" s="325"/>
      <c r="KFK507" s="325"/>
      <c r="KFL507" s="325"/>
      <c r="KFM507" s="325"/>
      <c r="KFN507" s="325"/>
      <c r="KFO507" s="325"/>
      <c r="KFP507" s="325"/>
      <c r="KFQ507" s="325"/>
      <c r="KFR507" s="325"/>
      <c r="KFS507" s="325"/>
      <c r="KFT507" s="327"/>
      <c r="KFU507" s="28"/>
      <c r="KFV507" s="324"/>
      <c r="KFW507" s="324"/>
      <c r="KFX507" s="324"/>
      <c r="KFY507" s="324"/>
      <c r="KFZ507" s="324"/>
      <c r="KGA507" s="324"/>
      <c r="KGB507" s="256"/>
      <c r="KGC507" s="325"/>
      <c r="KGD507" s="311"/>
      <c r="KGE507" s="325"/>
      <c r="KGF507" s="310"/>
      <c r="KGG507" s="325"/>
      <c r="KGH507" s="325"/>
      <c r="KGI507" s="325"/>
      <c r="KGJ507" s="325"/>
      <c r="KGK507" s="325"/>
      <c r="KGL507" s="325"/>
      <c r="KGM507" s="325"/>
      <c r="KGN507" s="325"/>
      <c r="KGO507" s="325"/>
      <c r="KGP507" s="325"/>
      <c r="KGQ507" s="325"/>
      <c r="KGR507" s="325"/>
      <c r="KGS507" s="325"/>
      <c r="KGT507" s="325"/>
      <c r="KGU507" s="325"/>
      <c r="KGV507" s="325"/>
      <c r="KGW507" s="325"/>
      <c r="KGX507" s="325"/>
      <c r="KGY507" s="325"/>
      <c r="KGZ507" s="325"/>
      <c r="KHA507" s="325"/>
      <c r="KHB507" s="325"/>
      <c r="KHC507" s="325"/>
      <c r="KHD507" s="325"/>
      <c r="KHE507" s="325"/>
      <c r="KHF507" s="325"/>
      <c r="KHG507" s="325"/>
      <c r="KHH507" s="325"/>
      <c r="KHI507" s="325"/>
      <c r="KHJ507" s="325"/>
      <c r="KHK507" s="327"/>
      <c r="KHL507" s="28"/>
      <c r="KHM507" s="324"/>
      <c r="KHN507" s="324"/>
      <c r="KHO507" s="324"/>
      <c r="KHP507" s="324"/>
      <c r="KHQ507" s="324"/>
      <c r="KHR507" s="324"/>
      <c r="KHS507" s="256"/>
      <c r="KHT507" s="325"/>
      <c r="KHU507" s="311"/>
      <c r="KHV507" s="325"/>
      <c r="KHW507" s="310"/>
      <c r="KHX507" s="325"/>
      <c r="KHY507" s="325"/>
      <c r="KHZ507" s="325"/>
      <c r="KIA507" s="325"/>
      <c r="KIB507" s="325"/>
      <c r="KIC507" s="325"/>
      <c r="KID507" s="325"/>
      <c r="KIE507" s="325"/>
      <c r="KIF507" s="325"/>
      <c r="KIG507" s="325"/>
      <c r="KIH507" s="325"/>
      <c r="KII507" s="325"/>
      <c r="KIJ507" s="325"/>
      <c r="KIK507" s="325"/>
      <c r="KIL507" s="325"/>
      <c r="KIM507" s="325"/>
      <c r="KIN507" s="325"/>
      <c r="KIO507" s="325"/>
      <c r="KIP507" s="325"/>
      <c r="KIQ507" s="325"/>
      <c r="KIR507" s="325"/>
      <c r="KIS507" s="325"/>
      <c r="KIT507" s="325"/>
      <c r="KIU507" s="325"/>
      <c r="KIV507" s="325"/>
      <c r="KIW507" s="325"/>
      <c r="KIX507" s="325"/>
      <c r="KIY507" s="325"/>
      <c r="KIZ507" s="325"/>
      <c r="KJA507" s="325"/>
      <c r="KJB507" s="327"/>
      <c r="KJC507" s="28"/>
      <c r="KJD507" s="324"/>
      <c r="KJE507" s="324"/>
      <c r="KJF507" s="324"/>
      <c r="KJG507" s="324"/>
      <c r="KJH507" s="324"/>
      <c r="KJI507" s="324"/>
      <c r="KJJ507" s="256"/>
      <c r="KJK507" s="325"/>
      <c r="KJL507" s="311"/>
      <c r="KJM507" s="325"/>
      <c r="KJN507" s="310"/>
      <c r="KJO507" s="325"/>
      <c r="KJP507" s="325"/>
      <c r="KJQ507" s="325"/>
      <c r="KJR507" s="325"/>
      <c r="KJS507" s="325"/>
      <c r="KJT507" s="325"/>
      <c r="KJU507" s="325"/>
      <c r="KJV507" s="325"/>
      <c r="KJW507" s="325"/>
      <c r="KJX507" s="325"/>
      <c r="KJY507" s="325"/>
      <c r="KJZ507" s="325"/>
      <c r="KKA507" s="325"/>
      <c r="KKB507" s="325"/>
      <c r="KKC507" s="325"/>
      <c r="KKD507" s="325"/>
      <c r="KKE507" s="325"/>
      <c r="KKF507" s="325"/>
      <c r="KKG507" s="325"/>
      <c r="KKH507" s="325"/>
      <c r="KKI507" s="325"/>
      <c r="KKJ507" s="325"/>
      <c r="KKK507" s="325"/>
      <c r="KKL507" s="325"/>
      <c r="KKM507" s="325"/>
      <c r="KKN507" s="325"/>
      <c r="KKO507" s="325"/>
      <c r="KKP507" s="325"/>
      <c r="KKQ507" s="325"/>
      <c r="KKR507" s="325"/>
      <c r="KKS507" s="327"/>
      <c r="KKT507" s="28"/>
      <c r="KKU507" s="324"/>
      <c r="KKV507" s="324"/>
      <c r="KKW507" s="324"/>
      <c r="KKX507" s="324"/>
      <c r="KKY507" s="324"/>
      <c r="KKZ507" s="324"/>
      <c r="KLA507" s="256"/>
      <c r="KLB507" s="325"/>
      <c r="KLC507" s="311"/>
      <c r="KLD507" s="325"/>
      <c r="KLE507" s="310"/>
      <c r="KLF507" s="325"/>
      <c r="KLG507" s="325"/>
      <c r="KLH507" s="325"/>
      <c r="KLI507" s="325"/>
      <c r="KLJ507" s="325"/>
      <c r="KLK507" s="325"/>
      <c r="KLL507" s="325"/>
      <c r="KLM507" s="325"/>
      <c r="KLN507" s="325"/>
      <c r="KLO507" s="325"/>
      <c r="KLP507" s="325"/>
      <c r="KLQ507" s="325"/>
      <c r="KLR507" s="325"/>
      <c r="KLS507" s="325"/>
      <c r="KLT507" s="325"/>
      <c r="KLU507" s="325"/>
      <c r="KLV507" s="325"/>
      <c r="KLW507" s="325"/>
      <c r="KLX507" s="325"/>
      <c r="KLY507" s="325"/>
      <c r="KLZ507" s="325"/>
      <c r="KMA507" s="325"/>
      <c r="KMB507" s="325"/>
      <c r="KMC507" s="325"/>
      <c r="KMD507" s="325"/>
      <c r="KME507" s="325"/>
      <c r="KMF507" s="325"/>
      <c r="KMG507" s="325"/>
      <c r="KMH507" s="325"/>
      <c r="KMI507" s="325"/>
      <c r="KMJ507" s="327"/>
      <c r="KMK507" s="28"/>
      <c r="KML507" s="324"/>
      <c r="KMM507" s="324"/>
      <c r="KMN507" s="324"/>
      <c r="KMO507" s="324"/>
      <c r="KMP507" s="324"/>
      <c r="KMQ507" s="324"/>
      <c r="KMR507" s="256"/>
      <c r="KMS507" s="325"/>
      <c r="KMT507" s="311"/>
      <c r="KMU507" s="325"/>
      <c r="KMV507" s="310"/>
      <c r="KMW507" s="325"/>
      <c r="KMX507" s="325"/>
      <c r="KMY507" s="325"/>
      <c r="KMZ507" s="325"/>
      <c r="KNA507" s="325"/>
      <c r="KNB507" s="325"/>
      <c r="KNC507" s="325"/>
      <c r="KND507" s="325"/>
      <c r="KNE507" s="325"/>
      <c r="KNF507" s="325"/>
      <c r="KNG507" s="325"/>
      <c r="KNH507" s="325"/>
      <c r="KNI507" s="325"/>
      <c r="KNJ507" s="325"/>
      <c r="KNK507" s="325"/>
      <c r="KNL507" s="325"/>
      <c r="KNM507" s="325"/>
      <c r="KNN507" s="325"/>
      <c r="KNO507" s="325"/>
      <c r="KNP507" s="325"/>
      <c r="KNQ507" s="325"/>
      <c r="KNR507" s="325"/>
      <c r="KNS507" s="325"/>
      <c r="KNT507" s="325"/>
      <c r="KNU507" s="325"/>
      <c r="KNV507" s="325"/>
      <c r="KNW507" s="325"/>
      <c r="KNX507" s="325"/>
      <c r="KNY507" s="325"/>
      <c r="KNZ507" s="325"/>
      <c r="KOA507" s="327"/>
      <c r="KOB507" s="28"/>
      <c r="KOC507" s="324"/>
      <c r="KOD507" s="324"/>
      <c r="KOE507" s="324"/>
      <c r="KOF507" s="324"/>
      <c r="KOG507" s="324"/>
      <c r="KOH507" s="324"/>
      <c r="KOI507" s="256"/>
      <c r="KOJ507" s="325"/>
      <c r="KOK507" s="311"/>
      <c r="KOL507" s="325"/>
      <c r="KOM507" s="310"/>
      <c r="KON507" s="325"/>
      <c r="KOO507" s="325"/>
      <c r="KOP507" s="325"/>
      <c r="KOQ507" s="325"/>
      <c r="KOR507" s="325"/>
      <c r="KOS507" s="325"/>
      <c r="KOT507" s="325"/>
      <c r="KOU507" s="325"/>
      <c r="KOV507" s="325"/>
      <c r="KOW507" s="325"/>
      <c r="KOX507" s="325"/>
      <c r="KOY507" s="325"/>
      <c r="KOZ507" s="325"/>
      <c r="KPA507" s="325"/>
      <c r="KPB507" s="325"/>
      <c r="KPC507" s="325"/>
      <c r="KPD507" s="325"/>
      <c r="KPE507" s="325"/>
      <c r="KPF507" s="325"/>
      <c r="KPG507" s="325"/>
      <c r="KPH507" s="325"/>
      <c r="KPI507" s="325"/>
      <c r="KPJ507" s="325"/>
      <c r="KPK507" s="325"/>
      <c r="KPL507" s="325"/>
      <c r="KPM507" s="325"/>
      <c r="KPN507" s="325"/>
      <c r="KPO507" s="325"/>
      <c r="KPP507" s="325"/>
      <c r="KPQ507" s="325"/>
      <c r="KPR507" s="327"/>
      <c r="KPS507" s="28"/>
      <c r="KPT507" s="324"/>
      <c r="KPU507" s="324"/>
      <c r="KPV507" s="324"/>
      <c r="KPW507" s="324"/>
      <c r="KPX507" s="324"/>
      <c r="KPY507" s="324"/>
      <c r="KPZ507" s="256"/>
      <c r="KQA507" s="325"/>
      <c r="KQB507" s="311"/>
      <c r="KQC507" s="325"/>
      <c r="KQD507" s="310"/>
      <c r="KQE507" s="325"/>
      <c r="KQF507" s="325"/>
      <c r="KQG507" s="325"/>
      <c r="KQH507" s="325"/>
      <c r="KQI507" s="325"/>
      <c r="KQJ507" s="325"/>
      <c r="KQK507" s="325"/>
      <c r="KQL507" s="325"/>
      <c r="KQM507" s="325"/>
      <c r="KQN507" s="325"/>
      <c r="KQO507" s="325"/>
      <c r="KQP507" s="325"/>
      <c r="KQQ507" s="325"/>
      <c r="KQR507" s="325"/>
      <c r="KQS507" s="325"/>
      <c r="KQT507" s="325"/>
      <c r="KQU507" s="325"/>
      <c r="KQV507" s="325"/>
      <c r="KQW507" s="325"/>
      <c r="KQX507" s="325"/>
      <c r="KQY507" s="325"/>
      <c r="KQZ507" s="325"/>
      <c r="KRA507" s="325"/>
      <c r="KRB507" s="325"/>
      <c r="KRC507" s="325"/>
      <c r="KRD507" s="325"/>
      <c r="KRE507" s="325"/>
      <c r="KRF507" s="325"/>
      <c r="KRG507" s="325"/>
      <c r="KRH507" s="325"/>
      <c r="KRI507" s="327"/>
      <c r="KRJ507" s="28"/>
      <c r="KRK507" s="324"/>
      <c r="KRL507" s="324"/>
      <c r="KRM507" s="324"/>
      <c r="KRN507" s="324"/>
      <c r="KRO507" s="324"/>
      <c r="KRP507" s="324"/>
      <c r="KRQ507" s="256"/>
      <c r="KRR507" s="325"/>
      <c r="KRS507" s="311"/>
      <c r="KRT507" s="325"/>
      <c r="KRU507" s="310"/>
      <c r="KRV507" s="325"/>
      <c r="KRW507" s="325"/>
      <c r="KRX507" s="325"/>
      <c r="KRY507" s="325"/>
      <c r="KRZ507" s="325"/>
      <c r="KSA507" s="325"/>
      <c r="KSB507" s="325"/>
      <c r="KSC507" s="325"/>
      <c r="KSD507" s="325"/>
      <c r="KSE507" s="325"/>
      <c r="KSF507" s="325"/>
      <c r="KSG507" s="325"/>
      <c r="KSH507" s="325"/>
      <c r="KSI507" s="325"/>
      <c r="KSJ507" s="325"/>
      <c r="KSK507" s="325"/>
      <c r="KSL507" s="325"/>
      <c r="KSM507" s="325"/>
      <c r="KSN507" s="325"/>
      <c r="KSO507" s="325"/>
      <c r="KSP507" s="325"/>
      <c r="KSQ507" s="325"/>
      <c r="KSR507" s="325"/>
      <c r="KSS507" s="325"/>
      <c r="KST507" s="325"/>
      <c r="KSU507" s="325"/>
      <c r="KSV507" s="325"/>
      <c r="KSW507" s="325"/>
      <c r="KSX507" s="325"/>
      <c r="KSY507" s="325"/>
      <c r="KSZ507" s="327"/>
      <c r="KTA507" s="28"/>
      <c r="KTB507" s="324"/>
      <c r="KTC507" s="324"/>
      <c r="KTD507" s="324"/>
      <c r="KTE507" s="324"/>
      <c r="KTF507" s="324"/>
      <c r="KTG507" s="324"/>
      <c r="KTH507" s="256"/>
      <c r="KTI507" s="325"/>
      <c r="KTJ507" s="311"/>
      <c r="KTK507" s="325"/>
      <c r="KTL507" s="310"/>
      <c r="KTM507" s="325"/>
      <c r="KTN507" s="325"/>
      <c r="KTO507" s="325"/>
      <c r="KTP507" s="325"/>
      <c r="KTQ507" s="325"/>
      <c r="KTR507" s="325"/>
      <c r="KTS507" s="325"/>
      <c r="KTT507" s="325"/>
      <c r="KTU507" s="325"/>
      <c r="KTV507" s="325"/>
      <c r="KTW507" s="325"/>
      <c r="KTX507" s="325"/>
      <c r="KTY507" s="325"/>
      <c r="KTZ507" s="325"/>
      <c r="KUA507" s="325"/>
      <c r="KUB507" s="325"/>
      <c r="KUC507" s="325"/>
      <c r="KUD507" s="325"/>
      <c r="KUE507" s="325"/>
      <c r="KUF507" s="325"/>
      <c r="KUG507" s="325"/>
      <c r="KUH507" s="325"/>
      <c r="KUI507" s="325"/>
      <c r="KUJ507" s="325"/>
      <c r="KUK507" s="325"/>
      <c r="KUL507" s="325"/>
      <c r="KUM507" s="325"/>
      <c r="KUN507" s="325"/>
      <c r="KUO507" s="325"/>
      <c r="KUP507" s="325"/>
      <c r="KUQ507" s="327"/>
      <c r="KUR507" s="28"/>
      <c r="KUS507" s="324"/>
      <c r="KUT507" s="324"/>
      <c r="KUU507" s="324"/>
      <c r="KUV507" s="324"/>
      <c r="KUW507" s="324"/>
      <c r="KUX507" s="324"/>
      <c r="KUY507" s="256"/>
      <c r="KUZ507" s="325"/>
      <c r="KVA507" s="311"/>
      <c r="KVB507" s="325"/>
      <c r="KVC507" s="310"/>
      <c r="KVD507" s="325"/>
      <c r="KVE507" s="325"/>
      <c r="KVF507" s="325"/>
      <c r="KVG507" s="325"/>
      <c r="KVH507" s="325"/>
      <c r="KVI507" s="325"/>
      <c r="KVJ507" s="325"/>
      <c r="KVK507" s="325"/>
      <c r="KVL507" s="325"/>
      <c r="KVM507" s="325"/>
      <c r="KVN507" s="325"/>
      <c r="KVO507" s="325"/>
      <c r="KVP507" s="325"/>
      <c r="KVQ507" s="325"/>
      <c r="KVR507" s="325"/>
      <c r="KVS507" s="325"/>
      <c r="KVT507" s="325"/>
      <c r="KVU507" s="325"/>
      <c r="KVV507" s="325"/>
      <c r="KVW507" s="325"/>
      <c r="KVX507" s="325"/>
      <c r="KVY507" s="325"/>
      <c r="KVZ507" s="325"/>
      <c r="KWA507" s="325"/>
      <c r="KWB507" s="325"/>
      <c r="KWC507" s="325"/>
      <c r="KWD507" s="325"/>
      <c r="KWE507" s="325"/>
      <c r="KWF507" s="325"/>
      <c r="KWG507" s="325"/>
      <c r="KWH507" s="327"/>
      <c r="KWI507" s="28"/>
      <c r="KWJ507" s="324"/>
      <c r="KWK507" s="324"/>
      <c r="KWL507" s="324"/>
      <c r="KWM507" s="324"/>
      <c r="KWN507" s="324"/>
      <c r="KWO507" s="324"/>
      <c r="KWP507" s="256"/>
      <c r="KWQ507" s="325"/>
      <c r="KWR507" s="311"/>
      <c r="KWS507" s="325"/>
      <c r="KWT507" s="310"/>
      <c r="KWU507" s="325"/>
      <c r="KWV507" s="325"/>
      <c r="KWW507" s="325"/>
      <c r="KWX507" s="325"/>
      <c r="KWY507" s="325"/>
      <c r="KWZ507" s="325"/>
      <c r="KXA507" s="325"/>
      <c r="KXB507" s="325"/>
      <c r="KXC507" s="325"/>
      <c r="KXD507" s="325"/>
      <c r="KXE507" s="325"/>
      <c r="KXF507" s="325"/>
      <c r="KXG507" s="325"/>
      <c r="KXH507" s="325"/>
      <c r="KXI507" s="325"/>
      <c r="KXJ507" s="325"/>
      <c r="KXK507" s="325"/>
      <c r="KXL507" s="325"/>
      <c r="KXM507" s="325"/>
      <c r="KXN507" s="325"/>
      <c r="KXO507" s="325"/>
      <c r="KXP507" s="325"/>
      <c r="KXQ507" s="325"/>
      <c r="KXR507" s="325"/>
      <c r="KXS507" s="325"/>
      <c r="KXT507" s="325"/>
      <c r="KXU507" s="325"/>
      <c r="KXV507" s="325"/>
      <c r="KXW507" s="325"/>
      <c r="KXX507" s="325"/>
      <c r="KXY507" s="327"/>
      <c r="KXZ507" s="28"/>
      <c r="KYA507" s="324"/>
      <c r="KYB507" s="324"/>
      <c r="KYC507" s="324"/>
      <c r="KYD507" s="324"/>
      <c r="KYE507" s="324"/>
      <c r="KYF507" s="324"/>
      <c r="KYG507" s="256"/>
      <c r="KYH507" s="325"/>
      <c r="KYI507" s="311"/>
      <c r="KYJ507" s="325"/>
      <c r="KYK507" s="310"/>
      <c r="KYL507" s="325"/>
      <c r="KYM507" s="325"/>
      <c r="KYN507" s="325"/>
      <c r="KYO507" s="325"/>
      <c r="KYP507" s="325"/>
      <c r="KYQ507" s="325"/>
      <c r="KYR507" s="325"/>
      <c r="KYS507" s="325"/>
      <c r="KYT507" s="325"/>
      <c r="KYU507" s="325"/>
      <c r="KYV507" s="325"/>
      <c r="KYW507" s="325"/>
      <c r="KYX507" s="325"/>
      <c r="KYY507" s="325"/>
      <c r="KYZ507" s="325"/>
      <c r="KZA507" s="325"/>
      <c r="KZB507" s="325"/>
      <c r="KZC507" s="325"/>
      <c r="KZD507" s="325"/>
      <c r="KZE507" s="325"/>
      <c r="KZF507" s="325"/>
      <c r="KZG507" s="325"/>
      <c r="KZH507" s="325"/>
      <c r="KZI507" s="325"/>
      <c r="KZJ507" s="325"/>
      <c r="KZK507" s="325"/>
      <c r="KZL507" s="325"/>
      <c r="KZM507" s="325"/>
      <c r="KZN507" s="325"/>
      <c r="KZO507" s="325"/>
      <c r="KZP507" s="327"/>
      <c r="KZQ507" s="28"/>
      <c r="KZR507" s="324"/>
      <c r="KZS507" s="324"/>
      <c r="KZT507" s="324"/>
      <c r="KZU507" s="324"/>
      <c r="KZV507" s="324"/>
      <c r="KZW507" s="324"/>
      <c r="KZX507" s="256"/>
      <c r="KZY507" s="325"/>
      <c r="KZZ507" s="311"/>
      <c r="LAA507" s="325"/>
      <c r="LAB507" s="310"/>
      <c r="LAC507" s="325"/>
      <c r="LAD507" s="325"/>
      <c r="LAE507" s="325"/>
      <c r="LAF507" s="325"/>
      <c r="LAG507" s="325"/>
      <c r="LAH507" s="325"/>
      <c r="LAI507" s="325"/>
      <c r="LAJ507" s="325"/>
      <c r="LAK507" s="325"/>
      <c r="LAL507" s="325"/>
      <c r="LAM507" s="325"/>
      <c r="LAN507" s="325"/>
      <c r="LAO507" s="325"/>
      <c r="LAP507" s="325"/>
      <c r="LAQ507" s="325"/>
      <c r="LAR507" s="325"/>
      <c r="LAS507" s="325"/>
      <c r="LAT507" s="325"/>
      <c r="LAU507" s="325"/>
      <c r="LAV507" s="325"/>
      <c r="LAW507" s="325"/>
      <c r="LAX507" s="325"/>
      <c r="LAY507" s="325"/>
      <c r="LAZ507" s="325"/>
      <c r="LBA507" s="325"/>
      <c r="LBB507" s="325"/>
      <c r="LBC507" s="325"/>
      <c r="LBD507" s="325"/>
      <c r="LBE507" s="325"/>
      <c r="LBF507" s="325"/>
      <c r="LBG507" s="327"/>
      <c r="LBH507" s="28"/>
      <c r="LBI507" s="324"/>
      <c r="LBJ507" s="324"/>
      <c r="LBK507" s="324"/>
      <c r="LBL507" s="324"/>
      <c r="LBM507" s="324"/>
      <c r="LBN507" s="324"/>
      <c r="LBO507" s="256"/>
      <c r="LBP507" s="325"/>
      <c r="LBQ507" s="311"/>
      <c r="LBR507" s="325"/>
      <c r="LBS507" s="310"/>
      <c r="LBT507" s="325"/>
      <c r="LBU507" s="325"/>
      <c r="LBV507" s="325"/>
      <c r="LBW507" s="325"/>
      <c r="LBX507" s="325"/>
      <c r="LBY507" s="325"/>
      <c r="LBZ507" s="325"/>
      <c r="LCA507" s="325"/>
      <c r="LCB507" s="325"/>
      <c r="LCC507" s="325"/>
      <c r="LCD507" s="325"/>
      <c r="LCE507" s="325"/>
      <c r="LCF507" s="325"/>
      <c r="LCG507" s="325"/>
      <c r="LCH507" s="325"/>
      <c r="LCI507" s="325"/>
      <c r="LCJ507" s="325"/>
      <c r="LCK507" s="325"/>
      <c r="LCL507" s="325"/>
      <c r="LCM507" s="325"/>
      <c r="LCN507" s="325"/>
      <c r="LCO507" s="325"/>
      <c r="LCP507" s="325"/>
      <c r="LCQ507" s="325"/>
      <c r="LCR507" s="325"/>
      <c r="LCS507" s="325"/>
      <c r="LCT507" s="325"/>
      <c r="LCU507" s="325"/>
      <c r="LCV507" s="325"/>
      <c r="LCW507" s="325"/>
      <c r="LCX507" s="327"/>
      <c r="LCY507" s="28"/>
      <c r="LCZ507" s="324"/>
      <c r="LDA507" s="324"/>
      <c r="LDB507" s="324"/>
      <c r="LDC507" s="324"/>
      <c r="LDD507" s="324"/>
      <c r="LDE507" s="324"/>
      <c r="LDF507" s="256"/>
      <c r="LDG507" s="325"/>
      <c r="LDH507" s="311"/>
      <c r="LDI507" s="325"/>
      <c r="LDJ507" s="310"/>
      <c r="LDK507" s="325"/>
      <c r="LDL507" s="325"/>
      <c r="LDM507" s="325"/>
      <c r="LDN507" s="325"/>
      <c r="LDO507" s="325"/>
      <c r="LDP507" s="325"/>
      <c r="LDQ507" s="325"/>
      <c r="LDR507" s="325"/>
      <c r="LDS507" s="325"/>
      <c r="LDT507" s="325"/>
      <c r="LDU507" s="325"/>
      <c r="LDV507" s="325"/>
      <c r="LDW507" s="325"/>
      <c r="LDX507" s="325"/>
      <c r="LDY507" s="325"/>
      <c r="LDZ507" s="325"/>
      <c r="LEA507" s="325"/>
      <c r="LEB507" s="325"/>
      <c r="LEC507" s="325"/>
      <c r="LED507" s="325"/>
      <c r="LEE507" s="325"/>
      <c r="LEF507" s="325"/>
      <c r="LEG507" s="325"/>
      <c r="LEH507" s="325"/>
      <c r="LEI507" s="325"/>
      <c r="LEJ507" s="325"/>
      <c r="LEK507" s="325"/>
      <c r="LEL507" s="325"/>
      <c r="LEM507" s="325"/>
      <c r="LEN507" s="325"/>
      <c r="LEO507" s="327"/>
      <c r="LEP507" s="28"/>
      <c r="LEQ507" s="324"/>
      <c r="LER507" s="324"/>
      <c r="LES507" s="324"/>
      <c r="LET507" s="324"/>
      <c r="LEU507" s="324"/>
      <c r="LEV507" s="324"/>
      <c r="LEW507" s="256"/>
      <c r="LEX507" s="325"/>
      <c r="LEY507" s="311"/>
      <c r="LEZ507" s="325"/>
      <c r="LFA507" s="310"/>
      <c r="LFB507" s="325"/>
      <c r="LFC507" s="325"/>
      <c r="LFD507" s="325"/>
      <c r="LFE507" s="325"/>
      <c r="LFF507" s="325"/>
      <c r="LFG507" s="325"/>
      <c r="LFH507" s="325"/>
      <c r="LFI507" s="325"/>
      <c r="LFJ507" s="325"/>
      <c r="LFK507" s="325"/>
      <c r="LFL507" s="325"/>
      <c r="LFM507" s="325"/>
      <c r="LFN507" s="325"/>
      <c r="LFO507" s="325"/>
      <c r="LFP507" s="325"/>
      <c r="LFQ507" s="325"/>
      <c r="LFR507" s="325"/>
      <c r="LFS507" s="325"/>
      <c r="LFT507" s="325"/>
      <c r="LFU507" s="325"/>
      <c r="LFV507" s="325"/>
      <c r="LFW507" s="325"/>
      <c r="LFX507" s="325"/>
      <c r="LFY507" s="325"/>
      <c r="LFZ507" s="325"/>
      <c r="LGA507" s="325"/>
      <c r="LGB507" s="325"/>
      <c r="LGC507" s="325"/>
      <c r="LGD507" s="325"/>
      <c r="LGE507" s="325"/>
      <c r="LGF507" s="327"/>
      <c r="LGG507" s="28"/>
      <c r="LGH507" s="324"/>
      <c r="LGI507" s="324"/>
      <c r="LGJ507" s="324"/>
      <c r="LGK507" s="324"/>
      <c r="LGL507" s="324"/>
      <c r="LGM507" s="324"/>
      <c r="LGN507" s="256"/>
      <c r="LGO507" s="325"/>
      <c r="LGP507" s="311"/>
      <c r="LGQ507" s="325"/>
      <c r="LGR507" s="310"/>
      <c r="LGS507" s="325"/>
      <c r="LGT507" s="325"/>
      <c r="LGU507" s="325"/>
      <c r="LGV507" s="325"/>
      <c r="LGW507" s="325"/>
      <c r="LGX507" s="325"/>
      <c r="LGY507" s="325"/>
      <c r="LGZ507" s="325"/>
      <c r="LHA507" s="325"/>
      <c r="LHB507" s="325"/>
      <c r="LHC507" s="325"/>
      <c r="LHD507" s="325"/>
      <c r="LHE507" s="325"/>
      <c r="LHF507" s="325"/>
      <c r="LHG507" s="325"/>
      <c r="LHH507" s="325"/>
      <c r="LHI507" s="325"/>
      <c r="LHJ507" s="325"/>
      <c r="LHK507" s="325"/>
      <c r="LHL507" s="325"/>
      <c r="LHM507" s="325"/>
      <c r="LHN507" s="325"/>
      <c r="LHO507" s="325"/>
      <c r="LHP507" s="325"/>
      <c r="LHQ507" s="325"/>
      <c r="LHR507" s="325"/>
      <c r="LHS507" s="325"/>
      <c r="LHT507" s="325"/>
      <c r="LHU507" s="325"/>
      <c r="LHV507" s="325"/>
      <c r="LHW507" s="327"/>
      <c r="LHX507" s="28"/>
      <c r="LHY507" s="324"/>
      <c r="LHZ507" s="324"/>
      <c r="LIA507" s="324"/>
      <c r="LIB507" s="324"/>
      <c r="LIC507" s="324"/>
      <c r="LID507" s="324"/>
      <c r="LIE507" s="256"/>
      <c r="LIF507" s="325"/>
      <c r="LIG507" s="311"/>
      <c r="LIH507" s="325"/>
      <c r="LII507" s="310"/>
      <c r="LIJ507" s="325"/>
      <c r="LIK507" s="325"/>
      <c r="LIL507" s="325"/>
      <c r="LIM507" s="325"/>
      <c r="LIN507" s="325"/>
      <c r="LIO507" s="325"/>
      <c r="LIP507" s="325"/>
      <c r="LIQ507" s="325"/>
      <c r="LIR507" s="325"/>
      <c r="LIS507" s="325"/>
      <c r="LIT507" s="325"/>
      <c r="LIU507" s="325"/>
      <c r="LIV507" s="325"/>
      <c r="LIW507" s="325"/>
      <c r="LIX507" s="325"/>
      <c r="LIY507" s="325"/>
      <c r="LIZ507" s="325"/>
      <c r="LJA507" s="325"/>
      <c r="LJB507" s="325"/>
      <c r="LJC507" s="325"/>
      <c r="LJD507" s="325"/>
      <c r="LJE507" s="325"/>
      <c r="LJF507" s="325"/>
      <c r="LJG507" s="325"/>
      <c r="LJH507" s="325"/>
      <c r="LJI507" s="325"/>
      <c r="LJJ507" s="325"/>
      <c r="LJK507" s="325"/>
      <c r="LJL507" s="325"/>
      <c r="LJM507" s="325"/>
      <c r="LJN507" s="327"/>
      <c r="LJO507" s="28"/>
      <c r="LJP507" s="324"/>
      <c r="LJQ507" s="324"/>
      <c r="LJR507" s="324"/>
      <c r="LJS507" s="324"/>
      <c r="LJT507" s="324"/>
      <c r="LJU507" s="324"/>
      <c r="LJV507" s="256"/>
      <c r="LJW507" s="325"/>
      <c r="LJX507" s="311"/>
      <c r="LJY507" s="325"/>
      <c r="LJZ507" s="310"/>
      <c r="LKA507" s="325"/>
      <c r="LKB507" s="325"/>
      <c r="LKC507" s="325"/>
      <c r="LKD507" s="325"/>
      <c r="LKE507" s="325"/>
      <c r="LKF507" s="325"/>
      <c r="LKG507" s="325"/>
      <c r="LKH507" s="325"/>
      <c r="LKI507" s="325"/>
      <c r="LKJ507" s="325"/>
      <c r="LKK507" s="325"/>
      <c r="LKL507" s="325"/>
      <c r="LKM507" s="325"/>
      <c r="LKN507" s="325"/>
      <c r="LKO507" s="325"/>
      <c r="LKP507" s="325"/>
      <c r="LKQ507" s="325"/>
      <c r="LKR507" s="325"/>
      <c r="LKS507" s="325"/>
      <c r="LKT507" s="325"/>
      <c r="LKU507" s="325"/>
      <c r="LKV507" s="325"/>
      <c r="LKW507" s="325"/>
      <c r="LKX507" s="325"/>
      <c r="LKY507" s="325"/>
      <c r="LKZ507" s="325"/>
      <c r="LLA507" s="325"/>
      <c r="LLB507" s="325"/>
      <c r="LLC507" s="325"/>
      <c r="LLD507" s="325"/>
      <c r="LLE507" s="327"/>
      <c r="LLF507" s="28"/>
      <c r="LLG507" s="324"/>
      <c r="LLH507" s="324"/>
      <c r="LLI507" s="324"/>
      <c r="LLJ507" s="324"/>
      <c r="LLK507" s="324"/>
      <c r="LLL507" s="324"/>
      <c r="LLM507" s="256"/>
      <c r="LLN507" s="325"/>
      <c r="LLO507" s="311"/>
      <c r="LLP507" s="325"/>
      <c r="LLQ507" s="310"/>
      <c r="LLR507" s="325"/>
      <c r="LLS507" s="325"/>
      <c r="LLT507" s="325"/>
      <c r="LLU507" s="325"/>
      <c r="LLV507" s="325"/>
      <c r="LLW507" s="325"/>
      <c r="LLX507" s="325"/>
      <c r="LLY507" s="325"/>
      <c r="LLZ507" s="325"/>
      <c r="LMA507" s="325"/>
      <c r="LMB507" s="325"/>
      <c r="LMC507" s="325"/>
      <c r="LMD507" s="325"/>
      <c r="LME507" s="325"/>
      <c r="LMF507" s="325"/>
      <c r="LMG507" s="325"/>
      <c r="LMH507" s="325"/>
      <c r="LMI507" s="325"/>
      <c r="LMJ507" s="325"/>
      <c r="LMK507" s="325"/>
      <c r="LML507" s="325"/>
      <c r="LMM507" s="325"/>
      <c r="LMN507" s="325"/>
      <c r="LMO507" s="325"/>
      <c r="LMP507" s="325"/>
      <c r="LMQ507" s="325"/>
      <c r="LMR507" s="325"/>
      <c r="LMS507" s="325"/>
      <c r="LMT507" s="325"/>
      <c r="LMU507" s="325"/>
      <c r="LMV507" s="327"/>
      <c r="LMW507" s="28"/>
      <c r="LMX507" s="324"/>
      <c r="LMY507" s="324"/>
      <c r="LMZ507" s="324"/>
      <c r="LNA507" s="324"/>
      <c r="LNB507" s="324"/>
      <c r="LNC507" s="324"/>
      <c r="LND507" s="256"/>
      <c r="LNE507" s="325"/>
      <c r="LNF507" s="311"/>
      <c r="LNG507" s="325"/>
      <c r="LNH507" s="310"/>
      <c r="LNI507" s="325"/>
      <c r="LNJ507" s="325"/>
      <c r="LNK507" s="325"/>
      <c r="LNL507" s="325"/>
      <c r="LNM507" s="325"/>
      <c r="LNN507" s="325"/>
      <c r="LNO507" s="325"/>
      <c r="LNP507" s="325"/>
      <c r="LNQ507" s="325"/>
      <c r="LNR507" s="325"/>
      <c r="LNS507" s="325"/>
      <c r="LNT507" s="325"/>
      <c r="LNU507" s="325"/>
      <c r="LNV507" s="325"/>
      <c r="LNW507" s="325"/>
      <c r="LNX507" s="325"/>
      <c r="LNY507" s="325"/>
      <c r="LNZ507" s="325"/>
      <c r="LOA507" s="325"/>
      <c r="LOB507" s="325"/>
      <c r="LOC507" s="325"/>
      <c r="LOD507" s="325"/>
      <c r="LOE507" s="325"/>
      <c r="LOF507" s="325"/>
      <c r="LOG507" s="325"/>
      <c r="LOH507" s="325"/>
      <c r="LOI507" s="325"/>
      <c r="LOJ507" s="325"/>
      <c r="LOK507" s="325"/>
      <c r="LOL507" s="325"/>
      <c r="LOM507" s="327"/>
      <c r="LON507" s="28"/>
      <c r="LOO507" s="324"/>
      <c r="LOP507" s="324"/>
      <c r="LOQ507" s="324"/>
      <c r="LOR507" s="324"/>
      <c r="LOS507" s="324"/>
      <c r="LOT507" s="324"/>
      <c r="LOU507" s="256"/>
      <c r="LOV507" s="325"/>
      <c r="LOW507" s="311"/>
      <c r="LOX507" s="325"/>
      <c r="LOY507" s="310"/>
      <c r="LOZ507" s="325"/>
      <c r="LPA507" s="325"/>
      <c r="LPB507" s="325"/>
      <c r="LPC507" s="325"/>
      <c r="LPD507" s="325"/>
      <c r="LPE507" s="325"/>
      <c r="LPF507" s="325"/>
      <c r="LPG507" s="325"/>
      <c r="LPH507" s="325"/>
      <c r="LPI507" s="325"/>
      <c r="LPJ507" s="325"/>
      <c r="LPK507" s="325"/>
      <c r="LPL507" s="325"/>
      <c r="LPM507" s="325"/>
      <c r="LPN507" s="325"/>
      <c r="LPO507" s="325"/>
      <c r="LPP507" s="325"/>
      <c r="LPQ507" s="325"/>
      <c r="LPR507" s="325"/>
      <c r="LPS507" s="325"/>
      <c r="LPT507" s="325"/>
      <c r="LPU507" s="325"/>
      <c r="LPV507" s="325"/>
      <c r="LPW507" s="325"/>
      <c r="LPX507" s="325"/>
      <c r="LPY507" s="325"/>
      <c r="LPZ507" s="325"/>
      <c r="LQA507" s="325"/>
      <c r="LQB507" s="325"/>
      <c r="LQC507" s="325"/>
      <c r="LQD507" s="327"/>
      <c r="LQE507" s="28"/>
      <c r="LQF507" s="324"/>
      <c r="LQG507" s="324"/>
      <c r="LQH507" s="324"/>
      <c r="LQI507" s="324"/>
      <c r="LQJ507" s="324"/>
      <c r="LQK507" s="324"/>
      <c r="LQL507" s="256"/>
      <c r="LQM507" s="325"/>
      <c r="LQN507" s="311"/>
      <c r="LQO507" s="325"/>
      <c r="LQP507" s="310"/>
      <c r="LQQ507" s="325"/>
      <c r="LQR507" s="325"/>
      <c r="LQS507" s="325"/>
      <c r="LQT507" s="325"/>
      <c r="LQU507" s="325"/>
      <c r="LQV507" s="325"/>
      <c r="LQW507" s="325"/>
      <c r="LQX507" s="325"/>
      <c r="LQY507" s="325"/>
      <c r="LQZ507" s="325"/>
      <c r="LRA507" s="325"/>
      <c r="LRB507" s="325"/>
      <c r="LRC507" s="325"/>
      <c r="LRD507" s="325"/>
      <c r="LRE507" s="325"/>
      <c r="LRF507" s="325"/>
      <c r="LRG507" s="325"/>
      <c r="LRH507" s="325"/>
      <c r="LRI507" s="325"/>
      <c r="LRJ507" s="325"/>
      <c r="LRK507" s="325"/>
      <c r="LRL507" s="325"/>
      <c r="LRM507" s="325"/>
      <c r="LRN507" s="325"/>
      <c r="LRO507" s="325"/>
      <c r="LRP507" s="325"/>
      <c r="LRQ507" s="325"/>
      <c r="LRR507" s="325"/>
      <c r="LRS507" s="325"/>
      <c r="LRT507" s="325"/>
      <c r="LRU507" s="327"/>
      <c r="LRV507" s="28"/>
      <c r="LRW507" s="324"/>
      <c r="LRX507" s="324"/>
      <c r="LRY507" s="324"/>
      <c r="LRZ507" s="324"/>
      <c r="LSA507" s="324"/>
      <c r="LSB507" s="324"/>
      <c r="LSC507" s="256"/>
      <c r="LSD507" s="325"/>
      <c r="LSE507" s="311"/>
      <c r="LSF507" s="325"/>
      <c r="LSG507" s="310"/>
      <c r="LSH507" s="325"/>
      <c r="LSI507" s="325"/>
      <c r="LSJ507" s="325"/>
      <c r="LSK507" s="325"/>
      <c r="LSL507" s="325"/>
      <c r="LSM507" s="325"/>
      <c r="LSN507" s="325"/>
      <c r="LSO507" s="325"/>
      <c r="LSP507" s="325"/>
      <c r="LSQ507" s="325"/>
      <c r="LSR507" s="325"/>
      <c r="LSS507" s="325"/>
      <c r="LST507" s="325"/>
      <c r="LSU507" s="325"/>
      <c r="LSV507" s="325"/>
      <c r="LSW507" s="325"/>
      <c r="LSX507" s="325"/>
      <c r="LSY507" s="325"/>
      <c r="LSZ507" s="325"/>
      <c r="LTA507" s="325"/>
      <c r="LTB507" s="325"/>
      <c r="LTC507" s="325"/>
      <c r="LTD507" s="325"/>
      <c r="LTE507" s="325"/>
      <c r="LTF507" s="325"/>
      <c r="LTG507" s="325"/>
      <c r="LTH507" s="325"/>
      <c r="LTI507" s="325"/>
      <c r="LTJ507" s="325"/>
      <c r="LTK507" s="325"/>
      <c r="LTL507" s="327"/>
      <c r="LTM507" s="28"/>
      <c r="LTN507" s="324"/>
      <c r="LTO507" s="324"/>
      <c r="LTP507" s="324"/>
      <c r="LTQ507" s="324"/>
      <c r="LTR507" s="324"/>
      <c r="LTS507" s="324"/>
      <c r="LTT507" s="256"/>
      <c r="LTU507" s="325"/>
      <c r="LTV507" s="311"/>
      <c r="LTW507" s="325"/>
      <c r="LTX507" s="310"/>
      <c r="LTY507" s="325"/>
      <c r="LTZ507" s="325"/>
      <c r="LUA507" s="325"/>
      <c r="LUB507" s="325"/>
      <c r="LUC507" s="325"/>
      <c r="LUD507" s="325"/>
      <c r="LUE507" s="325"/>
      <c r="LUF507" s="325"/>
      <c r="LUG507" s="325"/>
      <c r="LUH507" s="325"/>
      <c r="LUI507" s="325"/>
      <c r="LUJ507" s="325"/>
      <c r="LUK507" s="325"/>
      <c r="LUL507" s="325"/>
      <c r="LUM507" s="325"/>
      <c r="LUN507" s="325"/>
      <c r="LUO507" s="325"/>
      <c r="LUP507" s="325"/>
      <c r="LUQ507" s="325"/>
      <c r="LUR507" s="325"/>
      <c r="LUS507" s="325"/>
      <c r="LUT507" s="325"/>
      <c r="LUU507" s="325"/>
      <c r="LUV507" s="325"/>
      <c r="LUW507" s="325"/>
      <c r="LUX507" s="325"/>
      <c r="LUY507" s="325"/>
      <c r="LUZ507" s="325"/>
      <c r="LVA507" s="325"/>
      <c r="LVB507" s="325"/>
      <c r="LVC507" s="327"/>
      <c r="LVD507" s="28"/>
      <c r="LVE507" s="324"/>
      <c r="LVF507" s="324"/>
      <c r="LVG507" s="324"/>
      <c r="LVH507" s="324"/>
      <c r="LVI507" s="324"/>
      <c r="LVJ507" s="324"/>
      <c r="LVK507" s="256"/>
      <c r="LVL507" s="325"/>
      <c r="LVM507" s="311"/>
      <c r="LVN507" s="325"/>
      <c r="LVO507" s="310"/>
      <c r="LVP507" s="325"/>
      <c r="LVQ507" s="325"/>
      <c r="LVR507" s="325"/>
      <c r="LVS507" s="325"/>
      <c r="LVT507" s="325"/>
      <c r="LVU507" s="325"/>
      <c r="LVV507" s="325"/>
      <c r="LVW507" s="325"/>
      <c r="LVX507" s="325"/>
      <c r="LVY507" s="325"/>
      <c r="LVZ507" s="325"/>
      <c r="LWA507" s="325"/>
      <c r="LWB507" s="325"/>
      <c r="LWC507" s="325"/>
      <c r="LWD507" s="325"/>
      <c r="LWE507" s="325"/>
      <c r="LWF507" s="325"/>
      <c r="LWG507" s="325"/>
      <c r="LWH507" s="325"/>
      <c r="LWI507" s="325"/>
      <c r="LWJ507" s="325"/>
      <c r="LWK507" s="325"/>
      <c r="LWL507" s="325"/>
      <c r="LWM507" s="325"/>
      <c r="LWN507" s="325"/>
      <c r="LWO507" s="325"/>
      <c r="LWP507" s="325"/>
      <c r="LWQ507" s="325"/>
      <c r="LWR507" s="325"/>
      <c r="LWS507" s="325"/>
      <c r="LWT507" s="327"/>
      <c r="LWU507" s="28"/>
      <c r="LWV507" s="324"/>
      <c r="LWW507" s="324"/>
      <c r="LWX507" s="324"/>
      <c r="LWY507" s="324"/>
      <c r="LWZ507" s="324"/>
      <c r="LXA507" s="324"/>
      <c r="LXB507" s="256"/>
      <c r="LXC507" s="325"/>
      <c r="LXD507" s="311"/>
      <c r="LXE507" s="325"/>
      <c r="LXF507" s="310"/>
      <c r="LXG507" s="325"/>
      <c r="LXH507" s="325"/>
      <c r="LXI507" s="325"/>
      <c r="LXJ507" s="325"/>
      <c r="LXK507" s="325"/>
      <c r="LXL507" s="325"/>
      <c r="LXM507" s="325"/>
      <c r="LXN507" s="325"/>
      <c r="LXO507" s="325"/>
      <c r="LXP507" s="325"/>
      <c r="LXQ507" s="325"/>
      <c r="LXR507" s="325"/>
      <c r="LXS507" s="325"/>
      <c r="LXT507" s="325"/>
      <c r="LXU507" s="325"/>
      <c r="LXV507" s="325"/>
      <c r="LXW507" s="325"/>
      <c r="LXX507" s="325"/>
      <c r="LXY507" s="325"/>
      <c r="LXZ507" s="325"/>
      <c r="LYA507" s="325"/>
      <c r="LYB507" s="325"/>
      <c r="LYC507" s="325"/>
      <c r="LYD507" s="325"/>
      <c r="LYE507" s="325"/>
      <c r="LYF507" s="325"/>
      <c r="LYG507" s="325"/>
      <c r="LYH507" s="325"/>
      <c r="LYI507" s="325"/>
      <c r="LYJ507" s="325"/>
      <c r="LYK507" s="327"/>
      <c r="LYL507" s="28"/>
      <c r="LYM507" s="324"/>
      <c r="LYN507" s="324"/>
      <c r="LYO507" s="324"/>
      <c r="LYP507" s="324"/>
      <c r="LYQ507" s="324"/>
      <c r="LYR507" s="324"/>
      <c r="LYS507" s="256"/>
      <c r="LYT507" s="325"/>
      <c r="LYU507" s="311"/>
      <c r="LYV507" s="325"/>
      <c r="LYW507" s="310"/>
      <c r="LYX507" s="325"/>
      <c r="LYY507" s="325"/>
      <c r="LYZ507" s="325"/>
      <c r="LZA507" s="325"/>
      <c r="LZB507" s="325"/>
      <c r="LZC507" s="325"/>
      <c r="LZD507" s="325"/>
      <c r="LZE507" s="325"/>
      <c r="LZF507" s="325"/>
      <c r="LZG507" s="325"/>
      <c r="LZH507" s="325"/>
      <c r="LZI507" s="325"/>
      <c r="LZJ507" s="325"/>
      <c r="LZK507" s="325"/>
      <c r="LZL507" s="325"/>
      <c r="LZM507" s="325"/>
      <c r="LZN507" s="325"/>
      <c r="LZO507" s="325"/>
      <c r="LZP507" s="325"/>
      <c r="LZQ507" s="325"/>
      <c r="LZR507" s="325"/>
      <c r="LZS507" s="325"/>
      <c r="LZT507" s="325"/>
      <c r="LZU507" s="325"/>
      <c r="LZV507" s="325"/>
      <c r="LZW507" s="325"/>
      <c r="LZX507" s="325"/>
      <c r="LZY507" s="325"/>
      <c r="LZZ507" s="325"/>
      <c r="MAA507" s="325"/>
      <c r="MAB507" s="327"/>
      <c r="MAC507" s="28"/>
      <c r="MAD507" s="324"/>
      <c r="MAE507" s="324"/>
      <c r="MAF507" s="324"/>
      <c r="MAG507" s="324"/>
      <c r="MAH507" s="324"/>
      <c r="MAI507" s="324"/>
      <c r="MAJ507" s="256"/>
      <c r="MAK507" s="325"/>
      <c r="MAL507" s="311"/>
      <c r="MAM507" s="325"/>
      <c r="MAN507" s="310"/>
      <c r="MAO507" s="325"/>
      <c r="MAP507" s="325"/>
      <c r="MAQ507" s="325"/>
      <c r="MAR507" s="325"/>
      <c r="MAS507" s="325"/>
      <c r="MAT507" s="325"/>
      <c r="MAU507" s="325"/>
      <c r="MAV507" s="325"/>
      <c r="MAW507" s="325"/>
      <c r="MAX507" s="325"/>
      <c r="MAY507" s="325"/>
      <c r="MAZ507" s="325"/>
      <c r="MBA507" s="325"/>
      <c r="MBB507" s="325"/>
      <c r="MBC507" s="325"/>
      <c r="MBD507" s="325"/>
      <c r="MBE507" s="325"/>
      <c r="MBF507" s="325"/>
      <c r="MBG507" s="325"/>
      <c r="MBH507" s="325"/>
      <c r="MBI507" s="325"/>
      <c r="MBJ507" s="325"/>
      <c r="MBK507" s="325"/>
      <c r="MBL507" s="325"/>
      <c r="MBM507" s="325"/>
      <c r="MBN507" s="325"/>
      <c r="MBO507" s="325"/>
      <c r="MBP507" s="325"/>
      <c r="MBQ507" s="325"/>
      <c r="MBR507" s="325"/>
      <c r="MBS507" s="327"/>
      <c r="MBT507" s="28"/>
      <c r="MBU507" s="324"/>
      <c r="MBV507" s="324"/>
      <c r="MBW507" s="324"/>
      <c r="MBX507" s="324"/>
      <c r="MBY507" s="324"/>
      <c r="MBZ507" s="324"/>
      <c r="MCA507" s="256"/>
      <c r="MCB507" s="325"/>
      <c r="MCC507" s="311"/>
      <c r="MCD507" s="325"/>
      <c r="MCE507" s="310"/>
      <c r="MCF507" s="325"/>
      <c r="MCG507" s="325"/>
      <c r="MCH507" s="325"/>
      <c r="MCI507" s="325"/>
      <c r="MCJ507" s="325"/>
      <c r="MCK507" s="325"/>
      <c r="MCL507" s="325"/>
      <c r="MCM507" s="325"/>
      <c r="MCN507" s="325"/>
      <c r="MCO507" s="325"/>
      <c r="MCP507" s="325"/>
      <c r="MCQ507" s="325"/>
      <c r="MCR507" s="325"/>
      <c r="MCS507" s="325"/>
      <c r="MCT507" s="325"/>
      <c r="MCU507" s="325"/>
      <c r="MCV507" s="325"/>
      <c r="MCW507" s="325"/>
      <c r="MCX507" s="325"/>
      <c r="MCY507" s="325"/>
      <c r="MCZ507" s="325"/>
      <c r="MDA507" s="325"/>
      <c r="MDB507" s="325"/>
      <c r="MDC507" s="325"/>
      <c r="MDD507" s="325"/>
      <c r="MDE507" s="325"/>
      <c r="MDF507" s="325"/>
      <c r="MDG507" s="325"/>
      <c r="MDH507" s="325"/>
      <c r="MDI507" s="325"/>
      <c r="MDJ507" s="327"/>
      <c r="MDK507" s="28"/>
      <c r="MDL507" s="324"/>
      <c r="MDM507" s="324"/>
      <c r="MDN507" s="324"/>
      <c r="MDO507" s="324"/>
      <c r="MDP507" s="324"/>
      <c r="MDQ507" s="324"/>
      <c r="MDR507" s="256"/>
      <c r="MDS507" s="325"/>
      <c r="MDT507" s="311"/>
      <c r="MDU507" s="325"/>
      <c r="MDV507" s="310"/>
      <c r="MDW507" s="325"/>
      <c r="MDX507" s="325"/>
      <c r="MDY507" s="325"/>
      <c r="MDZ507" s="325"/>
      <c r="MEA507" s="325"/>
      <c r="MEB507" s="325"/>
      <c r="MEC507" s="325"/>
      <c r="MED507" s="325"/>
      <c r="MEE507" s="325"/>
      <c r="MEF507" s="325"/>
      <c r="MEG507" s="325"/>
      <c r="MEH507" s="325"/>
      <c r="MEI507" s="325"/>
      <c r="MEJ507" s="325"/>
      <c r="MEK507" s="325"/>
      <c r="MEL507" s="325"/>
      <c r="MEM507" s="325"/>
      <c r="MEN507" s="325"/>
      <c r="MEO507" s="325"/>
      <c r="MEP507" s="325"/>
      <c r="MEQ507" s="325"/>
      <c r="MER507" s="325"/>
      <c r="MES507" s="325"/>
      <c r="MET507" s="325"/>
      <c r="MEU507" s="325"/>
      <c r="MEV507" s="325"/>
      <c r="MEW507" s="325"/>
      <c r="MEX507" s="325"/>
      <c r="MEY507" s="325"/>
      <c r="MEZ507" s="325"/>
      <c r="MFA507" s="327"/>
      <c r="MFB507" s="28"/>
      <c r="MFC507" s="324"/>
      <c r="MFD507" s="324"/>
      <c r="MFE507" s="324"/>
      <c r="MFF507" s="324"/>
      <c r="MFG507" s="324"/>
      <c r="MFH507" s="324"/>
      <c r="MFI507" s="256"/>
      <c r="MFJ507" s="325"/>
      <c r="MFK507" s="311"/>
      <c r="MFL507" s="325"/>
      <c r="MFM507" s="310"/>
      <c r="MFN507" s="325"/>
      <c r="MFO507" s="325"/>
      <c r="MFP507" s="325"/>
      <c r="MFQ507" s="325"/>
      <c r="MFR507" s="325"/>
      <c r="MFS507" s="325"/>
      <c r="MFT507" s="325"/>
      <c r="MFU507" s="325"/>
      <c r="MFV507" s="325"/>
      <c r="MFW507" s="325"/>
      <c r="MFX507" s="325"/>
      <c r="MFY507" s="325"/>
      <c r="MFZ507" s="325"/>
      <c r="MGA507" s="325"/>
      <c r="MGB507" s="325"/>
      <c r="MGC507" s="325"/>
      <c r="MGD507" s="325"/>
      <c r="MGE507" s="325"/>
      <c r="MGF507" s="325"/>
      <c r="MGG507" s="325"/>
      <c r="MGH507" s="325"/>
      <c r="MGI507" s="325"/>
      <c r="MGJ507" s="325"/>
      <c r="MGK507" s="325"/>
      <c r="MGL507" s="325"/>
      <c r="MGM507" s="325"/>
      <c r="MGN507" s="325"/>
      <c r="MGO507" s="325"/>
      <c r="MGP507" s="325"/>
      <c r="MGQ507" s="325"/>
      <c r="MGR507" s="327"/>
      <c r="MGS507" s="28"/>
      <c r="MGT507" s="324"/>
      <c r="MGU507" s="324"/>
      <c r="MGV507" s="324"/>
      <c r="MGW507" s="324"/>
      <c r="MGX507" s="324"/>
      <c r="MGY507" s="324"/>
      <c r="MGZ507" s="256"/>
      <c r="MHA507" s="325"/>
      <c r="MHB507" s="311"/>
      <c r="MHC507" s="325"/>
      <c r="MHD507" s="310"/>
      <c r="MHE507" s="325"/>
      <c r="MHF507" s="325"/>
      <c r="MHG507" s="325"/>
      <c r="MHH507" s="325"/>
      <c r="MHI507" s="325"/>
      <c r="MHJ507" s="325"/>
      <c r="MHK507" s="325"/>
      <c r="MHL507" s="325"/>
      <c r="MHM507" s="325"/>
      <c r="MHN507" s="325"/>
      <c r="MHO507" s="325"/>
      <c r="MHP507" s="325"/>
      <c r="MHQ507" s="325"/>
      <c r="MHR507" s="325"/>
      <c r="MHS507" s="325"/>
      <c r="MHT507" s="325"/>
      <c r="MHU507" s="325"/>
      <c r="MHV507" s="325"/>
      <c r="MHW507" s="325"/>
      <c r="MHX507" s="325"/>
      <c r="MHY507" s="325"/>
      <c r="MHZ507" s="325"/>
      <c r="MIA507" s="325"/>
      <c r="MIB507" s="325"/>
      <c r="MIC507" s="325"/>
      <c r="MID507" s="325"/>
      <c r="MIE507" s="325"/>
      <c r="MIF507" s="325"/>
      <c r="MIG507" s="325"/>
      <c r="MIH507" s="325"/>
      <c r="MII507" s="327"/>
      <c r="MIJ507" s="28"/>
      <c r="MIK507" s="324"/>
      <c r="MIL507" s="324"/>
      <c r="MIM507" s="324"/>
      <c r="MIN507" s="324"/>
      <c r="MIO507" s="324"/>
      <c r="MIP507" s="324"/>
      <c r="MIQ507" s="256"/>
      <c r="MIR507" s="325"/>
      <c r="MIS507" s="311"/>
      <c r="MIT507" s="325"/>
      <c r="MIU507" s="310"/>
      <c r="MIV507" s="325"/>
      <c r="MIW507" s="325"/>
      <c r="MIX507" s="325"/>
      <c r="MIY507" s="325"/>
      <c r="MIZ507" s="325"/>
      <c r="MJA507" s="325"/>
      <c r="MJB507" s="325"/>
      <c r="MJC507" s="325"/>
      <c r="MJD507" s="325"/>
      <c r="MJE507" s="325"/>
      <c r="MJF507" s="325"/>
      <c r="MJG507" s="325"/>
      <c r="MJH507" s="325"/>
      <c r="MJI507" s="325"/>
      <c r="MJJ507" s="325"/>
      <c r="MJK507" s="325"/>
      <c r="MJL507" s="325"/>
      <c r="MJM507" s="325"/>
      <c r="MJN507" s="325"/>
      <c r="MJO507" s="325"/>
      <c r="MJP507" s="325"/>
      <c r="MJQ507" s="325"/>
      <c r="MJR507" s="325"/>
      <c r="MJS507" s="325"/>
      <c r="MJT507" s="325"/>
      <c r="MJU507" s="325"/>
      <c r="MJV507" s="325"/>
      <c r="MJW507" s="325"/>
      <c r="MJX507" s="325"/>
      <c r="MJY507" s="325"/>
      <c r="MJZ507" s="327"/>
      <c r="MKA507" s="28"/>
      <c r="MKB507" s="324"/>
      <c r="MKC507" s="324"/>
      <c r="MKD507" s="324"/>
      <c r="MKE507" s="324"/>
      <c r="MKF507" s="324"/>
      <c r="MKG507" s="324"/>
      <c r="MKH507" s="256"/>
      <c r="MKI507" s="325"/>
      <c r="MKJ507" s="311"/>
      <c r="MKK507" s="325"/>
      <c r="MKL507" s="310"/>
      <c r="MKM507" s="325"/>
      <c r="MKN507" s="325"/>
      <c r="MKO507" s="325"/>
      <c r="MKP507" s="325"/>
      <c r="MKQ507" s="325"/>
      <c r="MKR507" s="325"/>
      <c r="MKS507" s="325"/>
      <c r="MKT507" s="325"/>
      <c r="MKU507" s="325"/>
      <c r="MKV507" s="325"/>
      <c r="MKW507" s="325"/>
      <c r="MKX507" s="325"/>
      <c r="MKY507" s="325"/>
      <c r="MKZ507" s="325"/>
      <c r="MLA507" s="325"/>
      <c r="MLB507" s="325"/>
      <c r="MLC507" s="325"/>
      <c r="MLD507" s="325"/>
      <c r="MLE507" s="325"/>
      <c r="MLF507" s="325"/>
      <c r="MLG507" s="325"/>
      <c r="MLH507" s="325"/>
      <c r="MLI507" s="325"/>
      <c r="MLJ507" s="325"/>
      <c r="MLK507" s="325"/>
      <c r="MLL507" s="325"/>
      <c r="MLM507" s="325"/>
      <c r="MLN507" s="325"/>
      <c r="MLO507" s="325"/>
      <c r="MLP507" s="325"/>
      <c r="MLQ507" s="327"/>
      <c r="MLR507" s="28"/>
      <c r="MLS507" s="324"/>
      <c r="MLT507" s="324"/>
      <c r="MLU507" s="324"/>
      <c r="MLV507" s="324"/>
      <c r="MLW507" s="324"/>
      <c r="MLX507" s="324"/>
      <c r="MLY507" s="256"/>
      <c r="MLZ507" s="325"/>
      <c r="MMA507" s="311"/>
      <c r="MMB507" s="325"/>
      <c r="MMC507" s="310"/>
      <c r="MMD507" s="325"/>
      <c r="MME507" s="325"/>
      <c r="MMF507" s="325"/>
      <c r="MMG507" s="325"/>
      <c r="MMH507" s="325"/>
      <c r="MMI507" s="325"/>
      <c r="MMJ507" s="325"/>
      <c r="MMK507" s="325"/>
      <c r="MML507" s="325"/>
      <c r="MMM507" s="325"/>
      <c r="MMN507" s="325"/>
      <c r="MMO507" s="325"/>
      <c r="MMP507" s="325"/>
      <c r="MMQ507" s="325"/>
      <c r="MMR507" s="325"/>
      <c r="MMS507" s="325"/>
      <c r="MMT507" s="325"/>
      <c r="MMU507" s="325"/>
      <c r="MMV507" s="325"/>
      <c r="MMW507" s="325"/>
      <c r="MMX507" s="325"/>
      <c r="MMY507" s="325"/>
      <c r="MMZ507" s="325"/>
      <c r="MNA507" s="325"/>
      <c r="MNB507" s="325"/>
      <c r="MNC507" s="325"/>
      <c r="MND507" s="325"/>
      <c r="MNE507" s="325"/>
      <c r="MNF507" s="325"/>
      <c r="MNG507" s="325"/>
      <c r="MNH507" s="327"/>
      <c r="MNI507" s="28"/>
      <c r="MNJ507" s="324"/>
      <c r="MNK507" s="324"/>
      <c r="MNL507" s="324"/>
      <c r="MNM507" s="324"/>
      <c r="MNN507" s="324"/>
      <c r="MNO507" s="324"/>
      <c r="MNP507" s="256"/>
      <c r="MNQ507" s="325"/>
      <c r="MNR507" s="311"/>
      <c r="MNS507" s="325"/>
      <c r="MNT507" s="310"/>
      <c r="MNU507" s="325"/>
      <c r="MNV507" s="325"/>
      <c r="MNW507" s="325"/>
      <c r="MNX507" s="325"/>
      <c r="MNY507" s="325"/>
      <c r="MNZ507" s="325"/>
      <c r="MOA507" s="325"/>
      <c r="MOB507" s="325"/>
      <c r="MOC507" s="325"/>
      <c r="MOD507" s="325"/>
      <c r="MOE507" s="325"/>
      <c r="MOF507" s="325"/>
      <c r="MOG507" s="325"/>
      <c r="MOH507" s="325"/>
      <c r="MOI507" s="325"/>
      <c r="MOJ507" s="325"/>
      <c r="MOK507" s="325"/>
      <c r="MOL507" s="325"/>
      <c r="MOM507" s="325"/>
      <c r="MON507" s="325"/>
      <c r="MOO507" s="325"/>
      <c r="MOP507" s="325"/>
      <c r="MOQ507" s="325"/>
      <c r="MOR507" s="325"/>
      <c r="MOS507" s="325"/>
      <c r="MOT507" s="325"/>
      <c r="MOU507" s="325"/>
      <c r="MOV507" s="325"/>
      <c r="MOW507" s="325"/>
      <c r="MOX507" s="325"/>
      <c r="MOY507" s="327"/>
      <c r="MOZ507" s="28"/>
      <c r="MPA507" s="324"/>
      <c r="MPB507" s="324"/>
      <c r="MPC507" s="324"/>
      <c r="MPD507" s="324"/>
      <c r="MPE507" s="324"/>
      <c r="MPF507" s="324"/>
      <c r="MPG507" s="256"/>
      <c r="MPH507" s="325"/>
      <c r="MPI507" s="311"/>
      <c r="MPJ507" s="325"/>
      <c r="MPK507" s="310"/>
      <c r="MPL507" s="325"/>
      <c r="MPM507" s="325"/>
      <c r="MPN507" s="325"/>
      <c r="MPO507" s="325"/>
      <c r="MPP507" s="325"/>
      <c r="MPQ507" s="325"/>
      <c r="MPR507" s="325"/>
      <c r="MPS507" s="325"/>
      <c r="MPT507" s="325"/>
      <c r="MPU507" s="325"/>
      <c r="MPV507" s="325"/>
      <c r="MPW507" s="325"/>
      <c r="MPX507" s="325"/>
      <c r="MPY507" s="325"/>
      <c r="MPZ507" s="325"/>
      <c r="MQA507" s="325"/>
      <c r="MQB507" s="325"/>
      <c r="MQC507" s="325"/>
      <c r="MQD507" s="325"/>
      <c r="MQE507" s="325"/>
      <c r="MQF507" s="325"/>
      <c r="MQG507" s="325"/>
      <c r="MQH507" s="325"/>
      <c r="MQI507" s="325"/>
      <c r="MQJ507" s="325"/>
      <c r="MQK507" s="325"/>
      <c r="MQL507" s="325"/>
      <c r="MQM507" s="325"/>
      <c r="MQN507" s="325"/>
      <c r="MQO507" s="325"/>
      <c r="MQP507" s="327"/>
      <c r="MQQ507" s="28"/>
      <c r="MQR507" s="324"/>
      <c r="MQS507" s="324"/>
      <c r="MQT507" s="324"/>
      <c r="MQU507" s="324"/>
      <c r="MQV507" s="324"/>
      <c r="MQW507" s="324"/>
      <c r="MQX507" s="256"/>
      <c r="MQY507" s="325"/>
      <c r="MQZ507" s="311"/>
      <c r="MRA507" s="325"/>
      <c r="MRB507" s="310"/>
      <c r="MRC507" s="325"/>
      <c r="MRD507" s="325"/>
      <c r="MRE507" s="325"/>
      <c r="MRF507" s="325"/>
      <c r="MRG507" s="325"/>
      <c r="MRH507" s="325"/>
      <c r="MRI507" s="325"/>
      <c r="MRJ507" s="325"/>
      <c r="MRK507" s="325"/>
      <c r="MRL507" s="325"/>
      <c r="MRM507" s="325"/>
      <c r="MRN507" s="325"/>
      <c r="MRO507" s="325"/>
      <c r="MRP507" s="325"/>
      <c r="MRQ507" s="325"/>
      <c r="MRR507" s="325"/>
      <c r="MRS507" s="325"/>
      <c r="MRT507" s="325"/>
      <c r="MRU507" s="325"/>
      <c r="MRV507" s="325"/>
      <c r="MRW507" s="325"/>
      <c r="MRX507" s="325"/>
      <c r="MRY507" s="325"/>
      <c r="MRZ507" s="325"/>
      <c r="MSA507" s="325"/>
      <c r="MSB507" s="325"/>
      <c r="MSC507" s="325"/>
      <c r="MSD507" s="325"/>
      <c r="MSE507" s="325"/>
      <c r="MSF507" s="325"/>
      <c r="MSG507" s="327"/>
      <c r="MSH507" s="28"/>
      <c r="MSI507" s="324"/>
      <c r="MSJ507" s="324"/>
      <c r="MSK507" s="324"/>
      <c r="MSL507" s="324"/>
      <c r="MSM507" s="324"/>
      <c r="MSN507" s="324"/>
      <c r="MSO507" s="256"/>
      <c r="MSP507" s="325"/>
      <c r="MSQ507" s="311"/>
      <c r="MSR507" s="325"/>
      <c r="MSS507" s="310"/>
      <c r="MST507" s="325"/>
      <c r="MSU507" s="325"/>
      <c r="MSV507" s="325"/>
      <c r="MSW507" s="325"/>
      <c r="MSX507" s="325"/>
      <c r="MSY507" s="325"/>
      <c r="MSZ507" s="325"/>
      <c r="MTA507" s="325"/>
      <c r="MTB507" s="325"/>
      <c r="MTC507" s="325"/>
      <c r="MTD507" s="325"/>
      <c r="MTE507" s="325"/>
      <c r="MTF507" s="325"/>
      <c r="MTG507" s="325"/>
      <c r="MTH507" s="325"/>
      <c r="MTI507" s="325"/>
      <c r="MTJ507" s="325"/>
      <c r="MTK507" s="325"/>
      <c r="MTL507" s="325"/>
      <c r="MTM507" s="325"/>
      <c r="MTN507" s="325"/>
      <c r="MTO507" s="325"/>
      <c r="MTP507" s="325"/>
      <c r="MTQ507" s="325"/>
      <c r="MTR507" s="325"/>
      <c r="MTS507" s="325"/>
      <c r="MTT507" s="325"/>
      <c r="MTU507" s="325"/>
      <c r="MTV507" s="325"/>
      <c r="MTW507" s="325"/>
      <c r="MTX507" s="327"/>
      <c r="MTY507" s="28"/>
      <c r="MTZ507" s="324"/>
      <c r="MUA507" s="324"/>
      <c r="MUB507" s="324"/>
      <c r="MUC507" s="324"/>
      <c r="MUD507" s="324"/>
      <c r="MUE507" s="324"/>
      <c r="MUF507" s="256"/>
      <c r="MUG507" s="325"/>
      <c r="MUH507" s="311"/>
      <c r="MUI507" s="325"/>
      <c r="MUJ507" s="310"/>
      <c r="MUK507" s="325"/>
      <c r="MUL507" s="325"/>
      <c r="MUM507" s="325"/>
      <c r="MUN507" s="325"/>
      <c r="MUO507" s="325"/>
      <c r="MUP507" s="325"/>
      <c r="MUQ507" s="325"/>
      <c r="MUR507" s="325"/>
      <c r="MUS507" s="325"/>
      <c r="MUT507" s="325"/>
      <c r="MUU507" s="325"/>
      <c r="MUV507" s="325"/>
      <c r="MUW507" s="325"/>
      <c r="MUX507" s="325"/>
      <c r="MUY507" s="325"/>
      <c r="MUZ507" s="325"/>
      <c r="MVA507" s="325"/>
      <c r="MVB507" s="325"/>
      <c r="MVC507" s="325"/>
      <c r="MVD507" s="325"/>
      <c r="MVE507" s="325"/>
      <c r="MVF507" s="325"/>
      <c r="MVG507" s="325"/>
      <c r="MVH507" s="325"/>
      <c r="MVI507" s="325"/>
      <c r="MVJ507" s="325"/>
      <c r="MVK507" s="325"/>
      <c r="MVL507" s="325"/>
      <c r="MVM507" s="325"/>
      <c r="MVN507" s="325"/>
      <c r="MVO507" s="327"/>
      <c r="MVP507" s="28"/>
      <c r="MVQ507" s="324"/>
      <c r="MVR507" s="324"/>
      <c r="MVS507" s="324"/>
      <c r="MVT507" s="324"/>
      <c r="MVU507" s="324"/>
      <c r="MVV507" s="324"/>
      <c r="MVW507" s="256"/>
      <c r="MVX507" s="325"/>
      <c r="MVY507" s="311"/>
      <c r="MVZ507" s="325"/>
      <c r="MWA507" s="310"/>
      <c r="MWB507" s="325"/>
      <c r="MWC507" s="325"/>
      <c r="MWD507" s="325"/>
      <c r="MWE507" s="325"/>
      <c r="MWF507" s="325"/>
      <c r="MWG507" s="325"/>
      <c r="MWH507" s="325"/>
      <c r="MWI507" s="325"/>
      <c r="MWJ507" s="325"/>
      <c r="MWK507" s="325"/>
      <c r="MWL507" s="325"/>
      <c r="MWM507" s="325"/>
      <c r="MWN507" s="325"/>
      <c r="MWO507" s="325"/>
      <c r="MWP507" s="325"/>
      <c r="MWQ507" s="325"/>
      <c r="MWR507" s="325"/>
      <c r="MWS507" s="325"/>
      <c r="MWT507" s="325"/>
      <c r="MWU507" s="325"/>
      <c r="MWV507" s="325"/>
      <c r="MWW507" s="325"/>
      <c r="MWX507" s="325"/>
      <c r="MWY507" s="325"/>
      <c r="MWZ507" s="325"/>
      <c r="MXA507" s="325"/>
      <c r="MXB507" s="325"/>
      <c r="MXC507" s="325"/>
      <c r="MXD507" s="325"/>
      <c r="MXE507" s="325"/>
      <c r="MXF507" s="327"/>
      <c r="MXG507" s="28"/>
      <c r="MXH507" s="324"/>
      <c r="MXI507" s="324"/>
      <c r="MXJ507" s="324"/>
      <c r="MXK507" s="324"/>
      <c r="MXL507" s="324"/>
      <c r="MXM507" s="324"/>
      <c r="MXN507" s="256"/>
      <c r="MXO507" s="325"/>
      <c r="MXP507" s="311"/>
      <c r="MXQ507" s="325"/>
      <c r="MXR507" s="310"/>
      <c r="MXS507" s="325"/>
      <c r="MXT507" s="325"/>
      <c r="MXU507" s="325"/>
      <c r="MXV507" s="325"/>
      <c r="MXW507" s="325"/>
      <c r="MXX507" s="325"/>
      <c r="MXY507" s="325"/>
      <c r="MXZ507" s="325"/>
      <c r="MYA507" s="325"/>
      <c r="MYB507" s="325"/>
      <c r="MYC507" s="325"/>
      <c r="MYD507" s="325"/>
      <c r="MYE507" s="325"/>
      <c r="MYF507" s="325"/>
      <c r="MYG507" s="325"/>
      <c r="MYH507" s="325"/>
      <c r="MYI507" s="325"/>
      <c r="MYJ507" s="325"/>
      <c r="MYK507" s="325"/>
      <c r="MYL507" s="325"/>
      <c r="MYM507" s="325"/>
      <c r="MYN507" s="325"/>
      <c r="MYO507" s="325"/>
      <c r="MYP507" s="325"/>
      <c r="MYQ507" s="325"/>
      <c r="MYR507" s="325"/>
      <c r="MYS507" s="325"/>
      <c r="MYT507" s="325"/>
      <c r="MYU507" s="325"/>
      <c r="MYV507" s="325"/>
      <c r="MYW507" s="327"/>
      <c r="MYX507" s="28"/>
      <c r="MYY507" s="324"/>
      <c r="MYZ507" s="324"/>
      <c r="MZA507" s="324"/>
      <c r="MZB507" s="324"/>
      <c r="MZC507" s="324"/>
      <c r="MZD507" s="324"/>
      <c r="MZE507" s="256"/>
      <c r="MZF507" s="325"/>
      <c r="MZG507" s="311"/>
      <c r="MZH507" s="325"/>
      <c r="MZI507" s="310"/>
      <c r="MZJ507" s="325"/>
      <c r="MZK507" s="325"/>
      <c r="MZL507" s="325"/>
      <c r="MZM507" s="325"/>
      <c r="MZN507" s="325"/>
      <c r="MZO507" s="325"/>
      <c r="MZP507" s="325"/>
      <c r="MZQ507" s="325"/>
      <c r="MZR507" s="325"/>
      <c r="MZS507" s="325"/>
      <c r="MZT507" s="325"/>
      <c r="MZU507" s="325"/>
      <c r="MZV507" s="325"/>
      <c r="MZW507" s="325"/>
      <c r="MZX507" s="325"/>
      <c r="MZY507" s="325"/>
      <c r="MZZ507" s="325"/>
      <c r="NAA507" s="325"/>
      <c r="NAB507" s="325"/>
      <c r="NAC507" s="325"/>
      <c r="NAD507" s="325"/>
      <c r="NAE507" s="325"/>
      <c r="NAF507" s="325"/>
      <c r="NAG507" s="325"/>
      <c r="NAH507" s="325"/>
      <c r="NAI507" s="325"/>
      <c r="NAJ507" s="325"/>
      <c r="NAK507" s="325"/>
      <c r="NAL507" s="325"/>
      <c r="NAM507" s="325"/>
      <c r="NAN507" s="327"/>
      <c r="NAO507" s="28"/>
      <c r="NAP507" s="324"/>
      <c r="NAQ507" s="324"/>
      <c r="NAR507" s="324"/>
      <c r="NAS507" s="324"/>
      <c r="NAT507" s="324"/>
      <c r="NAU507" s="324"/>
      <c r="NAV507" s="256"/>
      <c r="NAW507" s="325"/>
      <c r="NAX507" s="311"/>
      <c r="NAY507" s="325"/>
      <c r="NAZ507" s="310"/>
      <c r="NBA507" s="325"/>
      <c r="NBB507" s="325"/>
      <c r="NBC507" s="325"/>
      <c r="NBD507" s="325"/>
      <c r="NBE507" s="325"/>
      <c r="NBF507" s="325"/>
      <c r="NBG507" s="325"/>
      <c r="NBH507" s="325"/>
      <c r="NBI507" s="325"/>
      <c r="NBJ507" s="325"/>
      <c r="NBK507" s="325"/>
      <c r="NBL507" s="325"/>
      <c r="NBM507" s="325"/>
      <c r="NBN507" s="325"/>
      <c r="NBO507" s="325"/>
      <c r="NBP507" s="325"/>
      <c r="NBQ507" s="325"/>
      <c r="NBR507" s="325"/>
      <c r="NBS507" s="325"/>
      <c r="NBT507" s="325"/>
      <c r="NBU507" s="325"/>
      <c r="NBV507" s="325"/>
      <c r="NBW507" s="325"/>
      <c r="NBX507" s="325"/>
      <c r="NBY507" s="325"/>
      <c r="NBZ507" s="325"/>
      <c r="NCA507" s="325"/>
      <c r="NCB507" s="325"/>
      <c r="NCC507" s="325"/>
      <c r="NCD507" s="325"/>
      <c r="NCE507" s="327"/>
      <c r="NCF507" s="28"/>
      <c r="NCG507" s="324"/>
      <c r="NCH507" s="324"/>
      <c r="NCI507" s="324"/>
      <c r="NCJ507" s="324"/>
      <c r="NCK507" s="324"/>
      <c r="NCL507" s="324"/>
      <c r="NCM507" s="256"/>
      <c r="NCN507" s="325"/>
      <c r="NCO507" s="311"/>
      <c r="NCP507" s="325"/>
      <c r="NCQ507" s="310"/>
      <c r="NCR507" s="325"/>
      <c r="NCS507" s="325"/>
      <c r="NCT507" s="325"/>
      <c r="NCU507" s="325"/>
      <c r="NCV507" s="325"/>
      <c r="NCW507" s="325"/>
      <c r="NCX507" s="325"/>
      <c r="NCY507" s="325"/>
      <c r="NCZ507" s="325"/>
      <c r="NDA507" s="325"/>
      <c r="NDB507" s="325"/>
      <c r="NDC507" s="325"/>
      <c r="NDD507" s="325"/>
      <c r="NDE507" s="325"/>
      <c r="NDF507" s="325"/>
      <c r="NDG507" s="325"/>
      <c r="NDH507" s="325"/>
      <c r="NDI507" s="325"/>
      <c r="NDJ507" s="325"/>
      <c r="NDK507" s="325"/>
      <c r="NDL507" s="325"/>
      <c r="NDM507" s="325"/>
      <c r="NDN507" s="325"/>
      <c r="NDO507" s="325"/>
      <c r="NDP507" s="325"/>
      <c r="NDQ507" s="325"/>
      <c r="NDR507" s="325"/>
      <c r="NDS507" s="325"/>
      <c r="NDT507" s="325"/>
      <c r="NDU507" s="325"/>
      <c r="NDV507" s="327"/>
      <c r="NDW507" s="28"/>
      <c r="NDX507" s="324"/>
      <c r="NDY507" s="324"/>
      <c r="NDZ507" s="324"/>
      <c r="NEA507" s="324"/>
      <c r="NEB507" s="324"/>
      <c r="NEC507" s="324"/>
      <c r="NED507" s="256"/>
      <c r="NEE507" s="325"/>
      <c r="NEF507" s="311"/>
      <c r="NEG507" s="325"/>
      <c r="NEH507" s="310"/>
      <c r="NEI507" s="325"/>
      <c r="NEJ507" s="325"/>
      <c r="NEK507" s="325"/>
      <c r="NEL507" s="325"/>
      <c r="NEM507" s="325"/>
      <c r="NEN507" s="325"/>
      <c r="NEO507" s="325"/>
      <c r="NEP507" s="325"/>
      <c r="NEQ507" s="325"/>
      <c r="NER507" s="325"/>
      <c r="NES507" s="325"/>
      <c r="NET507" s="325"/>
      <c r="NEU507" s="325"/>
      <c r="NEV507" s="325"/>
      <c r="NEW507" s="325"/>
      <c r="NEX507" s="325"/>
      <c r="NEY507" s="325"/>
      <c r="NEZ507" s="325"/>
      <c r="NFA507" s="325"/>
      <c r="NFB507" s="325"/>
      <c r="NFC507" s="325"/>
      <c r="NFD507" s="325"/>
      <c r="NFE507" s="325"/>
      <c r="NFF507" s="325"/>
      <c r="NFG507" s="325"/>
      <c r="NFH507" s="325"/>
      <c r="NFI507" s="325"/>
      <c r="NFJ507" s="325"/>
      <c r="NFK507" s="325"/>
      <c r="NFL507" s="325"/>
      <c r="NFM507" s="327"/>
      <c r="NFN507" s="28"/>
      <c r="NFO507" s="324"/>
      <c r="NFP507" s="324"/>
      <c r="NFQ507" s="324"/>
      <c r="NFR507" s="324"/>
      <c r="NFS507" s="324"/>
      <c r="NFT507" s="324"/>
      <c r="NFU507" s="256"/>
      <c r="NFV507" s="325"/>
      <c r="NFW507" s="311"/>
      <c r="NFX507" s="325"/>
      <c r="NFY507" s="310"/>
      <c r="NFZ507" s="325"/>
      <c r="NGA507" s="325"/>
      <c r="NGB507" s="325"/>
      <c r="NGC507" s="325"/>
      <c r="NGD507" s="325"/>
      <c r="NGE507" s="325"/>
      <c r="NGF507" s="325"/>
      <c r="NGG507" s="325"/>
      <c r="NGH507" s="325"/>
      <c r="NGI507" s="325"/>
      <c r="NGJ507" s="325"/>
      <c r="NGK507" s="325"/>
      <c r="NGL507" s="325"/>
      <c r="NGM507" s="325"/>
      <c r="NGN507" s="325"/>
      <c r="NGO507" s="325"/>
      <c r="NGP507" s="325"/>
      <c r="NGQ507" s="325"/>
      <c r="NGR507" s="325"/>
      <c r="NGS507" s="325"/>
      <c r="NGT507" s="325"/>
      <c r="NGU507" s="325"/>
      <c r="NGV507" s="325"/>
      <c r="NGW507" s="325"/>
      <c r="NGX507" s="325"/>
      <c r="NGY507" s="325"/>
      <c r="NGZ507" s="325"/>
      <c r="NHA507" s="325"/>
      <c r="NHB507" s="325"/>
      <c r="NHC507" s="325"/>
      <c r="NHD507" s="327"/>
      <c r="NHE507" s="28"/>
      <c r="NHF507" s="324"/>
      <c r="NHG507" s="324"/>
      <c r="NHH507" s="324"/>
      <c r="NHI507" s="324"/>
      <c r="NHJ507" s="324"/>
      <c r="NHK507" s="324"/>
      <c r="NHL507" s="256"/>
      <c r="NHM507" s="325"/>
      <c r="NHN507" s="311"/>
      <c r="NHO507" s="325"/>
      <c r="NHP507" s="310"/>
      <c r="NHQ507" s="325"/>
      <c r="NHR507" s="325"/>
      <c r="NHS507" s="325"/>
      <c r="NHT507" s="325"/>
      <c r="NHU507" s="325"/>
      <c r="NHV507" s="325"/>
      <c r="NHW507" s="325"/>
      <c r="NHX507" s="325"/>
      <c r="NHY507" s="325"/>
      <c r="NHZ507" s="325"/>
      <c r="NIA507" s="325"/>
      <c r="NIB507" s="325"/>
      <c r="NIC507" s="325"/>
      <c r="NID507" s="325"/>
      <c r="NIE507" s="325"/>
      <c r="NIF507" s="325"/>
      <c r="NIG507" s="325"/>
      <c r="NIH507" s="325"/>
      <c r="NII507" s="325"/>
      <c r="NIJ507" s="325"/>
      <c r="NIK507" s="325"/>
      <c r="NIL507" s="325"/>
      <c r="NIM507" s="325"/>
      <c r="NIN507" s="325"/>
      <c r="NIO507" s="325"/>
      <c r="NIP507" s="325"/>
      <c r="NIQ507" s="325"/>
      <c r="NIR507" s="325"/>
      <c r="NIS507" s="325"/>
      <c r="NIT507" s="325"/>
      <c r="NIU507" s="327"/>
      <c r="NIV507" s="28"/>
      <c r="NIW507" s="324"/>
      <c r="NIX507" s="324"/>
      <c r="NIY507" s="324"/>
      <c r="NIZ507" s="324"/>
      <c r="NJA507" s="324"/>
      <c r="NJB507" s="324"/>
      <c r="NJC507" s="256"/>
      <c r="NJD507" s="325"/>
      <c r="NJE507" s="311"/>
      <c r="NJF507" s="325"/>
      <c r="NJG507" s="310"/>
      <c r="NJH507" s="325"/>
      <c r="NJI507" s="325"/>
      <c r="NJJ507" s="325"/>
      <c r="NJK507" s="325"/>
      <c r="NJL507" s="325"/>
      <c r="NJM507" s="325"/>
      <c r="NJN507" s="325"/>
      <c r="NJO507" s="325"/>
      <c r="NJP507" s="325"/>
      <c r="NJQ507" s="325"/>
      <c r="NJR507" s="325"/>
      <c r="NJS507" s="325"/>
      <c r="NJT507" s="325"/>
      <c r="NJU507" s="325"/>
      <c r="NJV507" s="325"/>
      <c r="NJW507" s="325"/>
      <c r="NJX507" s="325"/>
      <c r="NJY507" s="325"/>
      <c r="NJZ507" s="325"/>
      <c r="NKA507" s="325"/>
      <c r="NKB507" s="325"/>
      <c r="NKC507" s="325"/>
      <c r="NKD507" s="325"/>
      <c r="NKE507" s="325"/>
      <c r="NKF507" s="325"/>
      <c r="NKG507" s="325"/>
      <c r="NKH507" s="325"/>
      <c r="NKI507" s="325"/>
      <c r="NKJ507" s="325"/>
      <c r="NKK507" s="325"/>
      <c r="NKL507" s="327"/>
      <c r="NKM507" s="28"/>
      <c r="NKN507" s="324"/>
      <c r="NKO507" s="324"/>
      <c r="NKP507" s="324"/>
      <c r="NKQ507" s="324"/>
      <c r="NKR507" s="324"/>
      <c r="NKS507" s="324"/>
      <c r="NKT507" s="256"/>
      <c r="NKU507" s="325"/>
      <c r="NKV507" s="311"/>
      <c r="NKW507" s="325"/>
      <c r="NKX507" s="310"/>
      <c r="NKY507" s="325"/>
      <c r="NKZ507" s="325"/>
      <c r="NLA507" s="325"/>
      <c r="NLB507" s="325"/>
      <c r="NLC507" s="325"/>
      <c r="NLD507" s="325"/>
      <c r="NLE507" s="325"/>
      <c r="NLF507" s="325"/>
      <c r="NLG507" s="325"/>
      <c r="NLH507" s="325"/>
      <c r="NLI507" s="325"/>
      <c r="NLJ507" s="325"/>
      <c r="NLK507" s="325"/>
      <c r="NLL507" s="325"/>
      <c r="NLM507" s="325"/>
      <c r="NLN507" s="325"/>
      <c r="NLO507" s="325"/>
      <c r="NLP507" s="325"/>
      <c r="NLQ507" s="325"/>
      <c r="NLR507" s="325"/>
      <c r="NLS507" s="325"/>
      <c r="NLT507" s="325"/>
      <c r="NLU507" s="325"/>
      <c r="NLV507" s="325"/>
      <c r="NLW507" s="325"/>
      <c r="NLX507" s="325"/>
      <c r="NLY507" s="325"/>
      <c r="NLZ507" s="325"/>
      <c r="NMA507" s="325"/>
      <c r="NMB507" s="325"/>
      <c r="NMC507" s="327"/>
      <c r="NMD507" s="28"/>
      <c r="NME507" s="324"/>
      <c r="NMF507" s="324"/>
      <c r="NMG507" s="324"/>
      <c r="NMH507" s="324"/>
      <c r="NMI507" s="324"/>
      <c r="NMJ507" s="324"/>
      <c r="NMK507" s="256"/>
      <c r="NML507" s="325"/>
      <c r="NMM507" s="311"/>
      <c r="NMN507" s="325"/>
      <c r="NMO507" s="310"/>
      <c r="NMP507" s="325"/>
      <c r="NMQ507" s="325"/>
      <c r="NMR507" s="325"/>
      <c r="NMS507" s="325"/>
      <c r="NMT507" s="325"/>
      <c r="NMU507" s="325"/>
      <c r="NMV507" s="325"/>
      <c r="NMW507" s="325"/>
      <c r="NMX507" s="325"/>
      <c r="NMY507" s="325"/>
      <c r="NMZ507" s="325"/>
      <c r="NNA507" s="325"/>
      <c r="NNB507" s="325"/>
      <c r="NNC507" s="325"/>
      <c r="NND507" s="325"/>
      <c r="NNE507" s="325"/>
      <c r="NNF507" s="325"/>
      <c r="NNG507" s="325"/>
      <c r="NNH507" s="325"/>
      <c r="NNI507" s="325"/>
      <c r="NNJ507" s="325"/>
      <c r="NNK507" s="325"/>
      <c r="NNL507" s="325"/>
      <c r="NNM507" s="325"/>
      <c r="NNN507" s="325"/>
      <c r="NNO507" s="325"/>
      <c r="NNP507" s="325"/>
      <c r="NNQ507" s="325"/>
      <c r="NNR507" s="325"/>
      <c r="NNS507" s="325"/>
      <c r="NNT507" s="327"/>
      <c r="NNU507" s="28"/>
      <c r="NNV507" s="324"/>
      <c r="NNW507" s="324"/>
      <c r="NNX507" s="324"/>
      <c r="NNY507" s="324"/>
      <c r="NNZ507" s="324"/>
      <c r="NOA507" s="324"/>
      <c r="NOB507" s="256"/>
      <c r="NOC507" s="325"/>
      <c r="NOD507" s="311"/>
      <c r="NOE507" s="325"/>
      <c r="NOF507" s="310"/>
      <c r="NOG507" s="325"/>
      <c r="NOH507" s="325"/>
      <c r="NOI507" s="325"/>
      <c r="NOJ507" s="325"/>
      <c r="NOK507" s="325"/>
      <c r="NOL507" s="325"/>
      <c r="NOM507" s="325"/>
      <c r="NON507" s="325"/>
      <c r="NOO507" s="325"/>
      <c r="NOP507" s="325"/>
      <c r="NOQ507" s="325"/>
      <c r="NOR507" s="325"/>
      <c r="NOS507" s="325"/>
      <c r="NOT507" s="325"/>
      <c r="NOU507" s="325"/>
      <c r="NOV507" s="325"/>
      <c r="NOW507" s="325"/>
      <c r="NOX507" s="325"/>
      <c r="NOY507" s="325"/>
      <c r="NOZ507" s="325"/>
      <c r="NPA507" s="325"/>
      <c r="NPB507" s="325"/>
      <c r="NPC507" s="325"/>
      <c r="NPD507" s="325"/>
      <c r="NPE507" s="325"/>
      <c r="NPF507" s="325"/>
      <c r="NPG507" s="325"/>
      <c r="NPH507" s="325"/>
      <c r="NPI507" s="325"/>
      <c r="NPJ507" s="325"/>
      <c r="NPK507" s="327"/>
      <c r="NPL507" s="28"/>
      <c r="NPM507" s="324"/>
      <c r="NPN507" s="324"/>
      <c r="NPO507" s="324"/>
      <c r="NPP507" s="324"/>
      <c r="NPQ507" s="324"/>
      <c r="NPR507" s="324"/>
      <c r="NPS507" s="256"/>
      <c r="NPT507" s="325"/>
      <c r="NPU507" s="311"/>
      <c r="NPV507" s="325"/>
      <c r="NPW507" s="310"/>
      <c r="NPX507" s="325"/>
      <c r="NPY507" s="325"/>
      <c r="NPZ507" s="325"/>
      <c r="NQA507" s="325"/>
      <c r="NQB507" s="325"/>
      <c r="NQC507" s="325"/>
      <c r="NQD507" s="325"/>
      <c r="NQE507" s="325"/>
      <c r="NQF507" s="325"/>
      <c r="NQG507" s="325"/>
      <c r="NQH507" s="325"/>
      <c r="NQI507" s="325"/>
      <c r="NQJ507" s="325"/>
      <c r="NQK507" s="325"/>
      <c r="NQL507" s="325"/>
      <c r="NQM507" s="325"/>
      <c r="NQN507" s="325"/>
      <c r="NQO507" s="325"/>
      <c r="NQP507" s="325"/>
      <c r="NQQ507" s="325"/>
      <c r="NQR507" s="325"/>
      <c r="NQS507" s="325"/>
      <c r="NQT507" s="325"/>
      <c r="NQU507" s="325"/>
      <c r="NQV507" s="325"/>
      <c r="NQW507" s="325"/>
      <c r="NQX507" s="325"/>
      <c r="NQY507" s="325"/>
      <c r="NQZ507" s="325"/>
      <c r="NRA507" s="325"/>
      <c r="NRB507" s="327"/>
      <c r="NRC507" s="28"/>
      <c r="NRD507" s="324"/>
      <c r="NRE507" s="324"/>
      <c r="NRF507" s="324"/>
      <c r="NRG507" s="324"/>
      <c r="NRH507" s="324"/>
      <c r="NRI507" s="324"/>
      <c r="NRJ507" s="256"/>
      <c r="NRK507" s="325"/>
      <c r="NRL507" s="311"/>
      <c r="NRM507" s="325"/>
      <c r="NRN507" s="310"/>
      <c r="NRO507" s="325"/>
      <c r="NRP507" s="325"/>
      <c r="NRQ507" s="325"/>
      <c r="NRR507" s="325"/>
      <c r="NRS507" s="325"/>
      <c r="NRT507" s="325"/>
      <c r="NRU507" s="325"/>
      <c r="NRV507" s="325"/>
      <c r="NRW507" s="325"/>
      <c r="NRX507" s="325"/>
      <c r="NRY507" s="325"/>
      <c r="NRZ507" s="325"/>
      <c r="NSA507" s="325"/>
      <c r="NSB507" s="325"/>
      <c r="NSC507" s="325"/>
      <c r="NSD507" s="325"/>
      <c r="NSE507" s="325"/>
      <c r="NSF507" s="325"/>
      <c r="NSG507" s="325"/>
      <c r="NSH507" s="325"/>
      <c r="NSI507" s="325"/>
      <c r="NSJ507" s="325"/>
      <c r="NSK507" s="325"/>
      <c r="NSL507" s="325"/>
      <c r="NSM507" s="325"/>
      <c r="NSN507" s="325"/>
      <c r="NSO507" s="325"/>
      <c r="NSP507" s="325"/>
      <c r="NSQ507" s="325"/>
      <c r="NSR507" s="325"/>
      <c r="NSS507" s="327"/>
      <c r="NST507" s="28"/>
      <c r="NSU507" s="324"/>
      <c r="NSV507" s="324"/>
      <c r="NSW507" s="324"/>
      <c r="NSX507" s="324"/>
      <c r="NSY507" s="324"/>
      <c r="NSZ507" s="324"/>
      <c r="NTA507" s="256"/>
      <c r="NTB507" s="325"/>
      <c r="NTC507" s="311"/>
      <c r="NTD507" s="325"/>
      <c r="NTE507" s="310"/>
      <c r="NTF507" s="325"/>
      <c r="NTG507" s="325"/>
      <c r="NTH507" s="325"/>
      <c r="NTI507" s="325"/>
      <c r="NTJ507" s="325"/>
      <c r="NTK507" s="325"/>
      <c r="NTL507" s="325"/>
      <c r="NTM507" s="325"/>
      <c r="NTN507" s="325"/>
      <c r="NTO507" s="325"/>
      <c r="NTP507" s="325"/>
      <c r="NTQ507" s="325"/>
      <c r="NTR507" s="325"/>
      <c r="NTS507" s="325"/>
      <c r="NTT507" s="325"/>
      <c r="NTU507" s="325"/>
      <c r="NTV507" s="325"/>
      <c r="NTW507" s="325"/>
      <c r="NTX507" s="325"/>
      <c r="NTY507" s="325"/>
      <c r="NTZ507" s="325"/>
      <c r="NUA507" s="325"/>
      <c r="NUB507" s="325"/>
      <c r="NUC507" s="325"/>
      <c r="NUD507" s="325"/>
      <c r="NUE507" s="325"/>
      <c r="NUF507" s="325"/>
      <c r="NUG507" s="325"/>
      <c r="NUH507" s="325"/>
      <c r="NUI507" s="325"/>
      <c r="NUJ507" s="327"/>
      <c r="NUK507" s="28"/>
      <c r="NUL507" s="324"/>
      <c r="NUM507" s="324"/>
      <c r="NUN507" s="324"/>
      <c r="NUO507" s="324"/>
      <c r="NUP507" s="324"/>
      <c r="NUQ507" s="324"/>
      <c r="NUR507" s="256"/>
      <c r="NUS507" s="325"/>
      <c r="NUT507" s="311"/>
      <c r="NUU507" s="325"/>
      <c r="NUV507" s="310"/>
      <c r="NUW507" s="325"/>
      <c r="NUX507" s="325"/>
      <c r="NUY507" s="325"/>
      <c r="NUZ507" s="325"/>
      <c r="NVA507" s="325"/>
      <c r="NVB507" s="325"/>
      <c r="NVC507" s="325"/>
      <c r="NVD507" s="325"/>
      <c r="NVE507" s="325"/>
      <c r="NVF507" s="325"/>
      <c r="NVG507" s="325"/>
      <c r="NVH507" s="325"/>
      <c r="NVI507" s="325"/>
      <c r="NVJ507" s="325"/>
      <c r="NVK507" s="325"/>
      <c r="NVL507" s="325"/>
      <c r="NVM507" s="325"/>
      <c r="NVN507" s="325"/>
      <c r="NVO507" s="325"/>
      <c r="NVP507" s="325"/>
      <c r="NVQ507" s="325"/>
      <c r="NVR507" s="325"/>
      <c r="NVS507" s="325"/>
      <c r="NVT507" s="325"/>
      <c r="NVU507" s="325"/>
      <c r="NVV507" s="325"/>
      <c r="NVW507" s="325"/>
      <c r="NVX507" s="325"/>
      <c r="NVY507" s="325"/>
      <c r="NVZ507" s="325"/>
      <c r="NWA507" s="327"/>
      <c r="NWB507" s="28"/>
      <c r="NWC507" s="324"/>
      <c r="NWD507" s="324"/>
      <c r="NWE507" s="324"/>
      <c r="NWF507" s="324"/>
      <c r="NWG507" s="324"/>
      <c r="NWH507" s="324"/>
      <c r="NWI507" s="256"/>
      <c r="NWJ507" s="325"/>
      <c r="NWK507" s="311"/>
      <c r="NWL507" s="325"/>
      <c r="NWM507" s="310"/>
      <c r="NWN507" s="325"/>
      <c r="NWO507" s="325"/>
      <c r="NWP507" s="325"/>
      <c r="NWQ507" s="325"/>
      <c r="NWR507" s="325"/>
      <c r="NWS507" s="325"/>
      <c r="NWT507" s="325"/>
      <c r="NWU507" s="325"/>
      <c r="NWV507" s="325"/>
      <c r="NWW507" s="325"/>
      <c r="NWX507" s="325"/>
      <c r="NWY507" s="325"/>
      <c r="NWZ507" s="325"/>
      <c r="NXA507" s="325"/>
      <c r="NXB507" s="325"/>
      <c r="NXC507" s="325"/>
      <c r="NXD507" s="325"/>
      <c r="NXE507" s="325"/>
      <c r="NXF507" s="325"/>
      <c r="NXG507" s="325"/>
      <c r="NXH507" s="325"/>
      <c r="NXI507" s="325"/>
      <c r="NXJ507" s="325"/>
      <c r="NXK507" s="325"/>
      <c r="NXL507" s="325"/>
      <c r="NXM507" s="325"/>
      <c r="NXN507" s="325"/>
      <c r="NXO507" s="325"/>
      <c r="NXP507" s="325"/>
      <c r="NXQ507" s="325"/>
      <c r="NXR507" s="327"/>
      <c r="NXS507" s="28"/>
      <c r="NXT507" s="324"/>
      <c r="NXU507" s="324"/>
      <c r="NXV507" s="324"/>
      <c r="NXW507" s="324"/>
      <c r="NXX507" s="324"/>
      <c r="NXY507" s="324"/>
      <c r="NXZ507" s="256"/>
      <c r="NYA507" s="325"/>
      <c r="NYB507" s="311"/>
      <c r="NYC507" s="325"/>
      <c r="NYD507" s="310"/>
      <c r="NYE507" s="325"/>
      <c r="NYF507" s="325"/>
      <c r="NYG507" s="325"/>
      <c r="NYH507" s="325"/>
      <c r="NYI507" s="325"/>
      <c r="NYJ507" s="325"/>
      <c r="NYK507" s="325"/>
      <c r="NYL507" s="325"/>
      <c r="NYM507" s="325"/>
      <c r="NYN507" s="325"/>
      <c r="NYO507" s="325"/>
      <c r="NYP507" s="325"/>
      <c r="NYQ507" s="325"/>
      <c r="NYR507" s="325"/>
      <c r="NYS507" s="325"/>
      <c r="NYT507" s="325"/>
      <c r="NYU507" s="325"/>
      <c r="NYV507" s="325"/>
      <c r="NYW507" s="325"/>
      <c r="NYX507" s="325"/>
      <c r="NYY507" s="325"/>
      <c r="NYZ507" s="325"/>
      <c r="NZA507" s="325"/>
      <c r="NZB507" s="325"/>
      <c r="NZC507" s="325"/>
      <c r="NZD507" s="325"/>
      <c r="NZE507" s="325"/>
      <c r="NZF507" s="325"/>
      <c r="NZG507" s="325"/>
      <c r="NZH507" s="325"/>
      <c r="NZI507" s="327"/>
      <c r="NZJ507" s="28"/>
      <c r="NZK507" s="324"/>
      <c r="NZL507" s="324"/>
      <c r="NZM507" s="324"/>
      <c r="NZN507" s="324"/>
      <c r="NZO507" s="324"/>
      <c r="NZP507" s="324"/>
      <c r="NZQ507" s="256"/>
      <c r="NZR507" s="325"/>
      <c r="NZS507" s="311"/>
      <c r="NZT507" s="325"/>
      <c r="NZU507" s="310"/>
      <c r="NZV507" s="325"/>
      <c r="NZW507" s="325"/>
      <c r="NZX507" s="325"/>
      <c r="NZY507" s="325"/>
      <c r="NZZ507" s="325"/>
      <c r="OAA507" s="325"/>
      <c r="OAB507" s="325"/>
      <c r="OAC507" s="325"/>
      <c r="OAD507" s="325"/>
      <c r="OAE507" s="325"/>
      <c r="OAF507" s="325"/>
      <c r="OAG507" s="325"/>
      <c r="OAH507" s="325"/>
      <c r="OAI507" s="325"/>
      <c r="OAJ507" s="325"/>
      <c r="OAK507" s="325"/>
      <c r="OAL507" s="325"/>
      <c r="OAM507" s="325"/>
      <c r="OAN507" s="325"/>
      <c r="OAO507" s="325"/>
      <c r="OAP507" s="325"/>
      <c r="OAQ507" s="325"/>
      <c r="OAR507" s="325"/>
      <c r="OAS507" s="325"/>
      <c r="OAT507" s="325"/>
      <c r="OAU507" s="325"/>
      <c r="OAV507" s="325"/>
      <c r="OAW507" s="325"/>
      <c r="OAX507" s="325"/>
      <c r="OAY507" s="325"/>
      <c r="OAZ507" s="327"/>
      <c r="OBA507" s="28"/>
      <c r="OBB507" s="324"/>
      <c r="OBC507" s="324"/>
      <c r="OBD507" s="324"/>
      <c r="OBE507" s="324"/>
      <c r="OBF507" s="324"/>
      <c r="OBG507" s="324"/>
      <c r="OBH507" s="256"/>
      <c r="OBI507" s="325"/>
      <c r="OBJ507" s="311"/>
      <c r="OBK507" s="325"/>
      <c r="OBL507" s="310"/>
      <c r="OBM507" s="325"/>
      <c r="OBN507" s="325"/>
      <c r="OBO507" s="325"/>
      <c r="OBP507" s="325"/>
      <c r="OBQ507" s="325"/>
      <c r="OBR507" s="325"/>
      <c r="OBS507" s="325"/>
      <c r="OBT507" s="325"/>
      <c r="OBU507" s="325"/>
      <c r="OBV507" s="325"/>
      <c r="OBW507" s="325"/>
      <c r="OBX507" s="325"/>
      <c r="OBY507" s="325"/>
      <c r="OBZ507" s="325"/>
      <c r="OCA507" s="325"/>
      <c r="OCB507" s="325"/>
      <c r="OCC507" s="325"/>
      <c r="OCD507" s="325"/>
      <c r="OCE507" s="325"/>
      <c r="OCF507" s="325"/>
      <c r="OCG507" s="325"/>
      <c r="OCH507" s="325"/>
      <c r="OCI507" s="325"/>
      <c r="OCJ507" s="325"/>
      <c r="OCK507" s="325"/>
      <c r="OCL507" s="325"/>
      <c r="OCM507" s="325"/>
      <c r="OCN507" s="325"/>
      <c r="OCO507" s="325"/>
      <c r="OCP507" s="325"/>
      <c r="OCQ507" s="327"/>
      <c r="OCR507" s="28"/>
      <c r="OCS507" s="324"/>
      <c r="OCT507" s="324"/>
      <c r="OCU507" s="324"/>
      <c r="OCV507" s="324"/>
      <c r="OCW507" s="324"/>
      <c r="OCX507" s="324"/>
      <c r="OCY507" s="256"/>
      <c r="OCZ507" s="325"/>
      <c r="ODA507" s="311"/>
      <c r="ODB507" s="325"/>
      <c r="ODC507" s="310"/>
      <c r="ODD507" s="325"/>
      <c r="ODE507" s="325"/>
      <c r="ODF507" s="325"/>
      <c r="ODG507" s="325"/>
      <c r="ODH507" s="325"/>
      <c r="ODI507" s="325"/>
      <c r="ODJ507" s="325"/>
      <c r="ODK507" s="325"/>
      <c r="ODL507" s="325"/>
      <c r="ODM507" s="325"/>
      <c r="ODN507" s="325"/>
      <c r="ODO507" s="325"/>
      <c r="ODP507" s="325"/>
      <c r="ODQ507" s="325"/>
      <c r="ODR507" s="325"/>
      <c r="ODS507" s="325"/>
      <c r="ODT507" s="325"/>
      <c r="ODU507" s="325"/>
      <c r="ODV507" s="325"/>
      <c r="ODW507" s="325"/>
      <c r="ODX507" s="325"/>
      <c r="ODY507" s="325"/>
      <c r="ODZ507" s="325"/>
      <c r="OEA507" s="325"/>
      <c r="OEB507" s="325"/>
      <c r="OEC507" s="325"/>
      <c r="OED507" s="325"/>
      <c r="OEE507" s="325"/>
      <c r="OEF507" s="325"/>
      <c r="OEG507" s="325"/>
      <c r="OEH507" s="327"/>
      <c r="OEI507" s="28"/>
      <c r="OEJ507" s="324"/>
      <c r="OEK507" s="324"/>
      <c r="OEL507" s="324"/>
      <c r="OEM507" s="324"/>
      <c r="OEN507" s="324"/>
      <c r="OEO507" s="324"/>
      <c r="OEP507" s="256"/>
      <c r="OEQ507" s="325"/>
      <c r="OER507" s="311"/>
      <c r="OES507" s="325"/>
      <c r="OET507" s="310"/>
      <c r="OEU507" s="325"/>
      <c r="OEV507" s="325"/>
      <c r="OEW507" s="325"/>
      <c r="OEX507" s="325"/>
      <c r="OEY507" s="325"/>
      <c r="OEZ507" s="325"/>
      <c r="OFA507" s="325"/>
      <c r="OFB507" s="325"/>
      <c r="OFC507" s="325"/>
      <c r="OFD507" s="325"/>
      <c r="OFE507" s="325"/>
      <c r="OFF507" s="325"/>
      <c r="OFG507" s="325"/>
      <c r="OFH507" s="325"/>
      <c r="OFI507" s="325"/>
      <c r="OFJ507" s="325"/>
      <c r="OFK507" s="325"/>
      <c r="OFL507" s="325"/>
      <c r="OFM507" s="325"/>
      <c r="OFN507" s="325"/>
      <c r="OFO507" s="325"/>
      <c r="OFP507" s="325"/>
      <c r="OFQ507" s="325"/>
      <c r="OFR507" s="325"/>
      <c r="OFS507" s="325"/>
      <c r="OFT507" s="325"/>
      <c r="OFU507" s="325"/>
      <c r="OFV507" s="325"/>
      <c r="OFW507" s="325"/>
      <c r="OFX507" s="325"/>
      <c r="OFY507" s="327"/>
      <c r="OFZ507" s="28"/>
      <c r="OGA507" s="324"/>
      <c r="OGB507" s="324"/>
      <c r="OGC507" s="324"/>
      <c r="OGD507" s="324"/>
      <c r="OGE507" s="324"/>
      <c r="OGF507" s="324"/>
      <c r="OGG507" s="256"/>
      <c r="OGH507" s="325"/>
      <c r="OGI507" s="311"/>
      <c r="OGJ507" s="325"/>
      <c r="OGK507" s="310"/>
      <c r="OGL507" s="325"/>
      <c r="OGM507" s="325"/>
      <c r="OGN507" s="325"/>
      <c r="OGO507" s="325"/>
      <c r="OGP507" s="325"/>
      <c r="OGQ507" s="325"/>
      <c r="OGR507" s="325"/>
      <c r="OGS507" s="325"/>
      <c r="OGT507" s="325"/>
      <c r="OGU507" s="325"/>
      <c r="OGV507" s="325"/>
      <c r="OGW507" s="325"/>
      <c r="OGX507" s="325"/>
      <c r="OGY507" s="325"/>
      <c r="OGZ507" s="325"/>
      <c r="OHA507" s="325"/>
      <c r="OHB507" s="325"/>
      <c r="OHC507" s="325"/>
      <c r="OHD507" s="325"/>
      <c r="OHE507" s="325"/>
      <c r="OHF507" s="325"/>
      <c r="OHG507" s="325"/>
      <c r="OHH507" s="325"/>
      <c r="OHI507" s="325"/>
      <c r="OHJ507" s="325"/>
      <c r="OHK507" s="325"/>
      <c r="OHL507" s="325"/>
      <c r="OHM507" s="325"/>
      <c r="OHN507" s="325"/>
      <c r="OHO507" s="325"/>
      <c r="OHP507" s="327"/>
      <c r="OHQ507" s="28"/>
      <c r="OHR507" s="324"/>
      <c r="OHS507" s="324"/>
      <c r="OHT507" s="324"/>
      <c r="OHU507" s="324"/>
      <c r="OHV507" s="324"/>
      <c r="OHW507" s="324"/>
      <c r="OHX507" s="256"/>
      <c r="OHY507" s="325"/>
      <c r="OHZ507" s="311"/>
      <c r="OIA507" s="325"/>
      <c r="OIB507" s="310"/>
      <c r="OIC507" s="325"/>
      <c r="OID507" s="325"/>
      <c r="OIE507" s="325"/>
      <c r="OIF507" s="325"/>
      <c r="OIG507" s="325"/>
      <c r="OIH507" s="325"/>
      <c r="OII507" s="325"/>
      <c r="OIJ507" s="325"/>
      <c r="OIK507" s="325"/>
      <c r="OIL507" s="325"/>
      <c r="OIM507" s="325"/>
      <c r="OIN507" s="325"/>
      <c r="OIO507" s="325"/>
      <c r="OIP507" s="325"/>
      <c r="OIQ507" s="325"/>
      <c r="OIR507" s="325"/>
      <c r="OIS507" s="325"/>
      <c r="OIT507" s="325"/>
      <c r="OIU507" s="325"/>
      <c r="OIV507" s="325"/>
      <c r="OIW507" s="325"/>
      <c r="OIX507" s="325"/>
      <c r="OIY507" s="325"/>
      <c r="OIZ507" s="325"/>
      <c r="OJA507" s="325"/>
      <c r="OJB507" s="325"/>
      <c r="OJC507" s="325"/>
      <c r="OJD507" s="325"/>
      <c r="OJE507" s="325"/>
      <c r="OJF507" s="325"/>
      <c r="OJG507" s="327"/>
      <c r="OJH507" s="28"/>
      <c r="OJI507" s="324"/>
      <c r="OJJ507" s="324"/>
      <c r="OJK507" s="324"/>
      <c r="OJL507" s="324"/>
      <c r="OJM507" s="324"/>
      <c r="OJN507" s="324"/>
      <c r="OJO507" s="256"/>
      <c r="OJP507" s="325"/>
      <c r="OJQ507" s="311"/>
      <c r="OJR507" s="325"/>
      <c r="OJS507" s="310"/>
      <c r="OJT507" s="325"/>
      <c r="OJU507" s="325"/>
      <c r="OJV507" s="325"/>
      <c r="OJW507" s="325"/>
      <c r="OJX507" s="325"/>
      <c r="OJY507" s="325"/>
      <c r="OJZ507" s="325"/>
      <c r="OKA507" s="325"/>
      <c r="OKB507" s="325"/>
      <c r="OKC507" s="325"/>
      <c r="OKD507" s="325"/>
      <c r="OKE507" s="325"/>
      <c r="OKF507" s="325"/>
      <c r="OKG507" s="325"/>
      <c r="OKH507" s="325"/>
      <c r="OKI507" s="325"/>
      <c r="OKJ507" s="325"/>
      <c r="OKK507" s="325"/>
      <c r="OKL507" s="325"/>
      <c r="OKM507" s="325"/>
      <c r="OKN507" s="325"/>
      <c r="OKO507" s="325"/>
      <c r="OKP507" s="325"/>
      <c r="OKQ507" s="325"/>
      <c r="OKR507" s="325"/>
      <c r="OKS507" s="325"/>
      <c r="OKT507" s="325"/>
      <c r="OKU507" s="325"/>
      <c r="OKV507" s="325"/>
      <c r="OKW507" s="325"/>
      <c r="OKX507" s="327"/>
      <c r="OKY507" s="28"/>
      <c r="OKZ507" s="324"/>
      <c r="OLA507" s="324"/>
      <c r="OLB507" s="324"/>
      <c r="OLC507" s="324"/>
      <c r="OLD507" s="324"/>
      <c r="OLE507" s="324"/>
      <c r="OLF507" s="256"/>
      <c r="OLG507" s="325"/>
      <c r="OLH507" s="311"/>
      <c r="OLI507" s="325"/>
      <c r="OLJ507" s="310"/>
      <c r="OLK507" s="325"/>
      <c r="OLL507" s="325"/>
      <c r="OLM507" s="325"/>
      <c r="OLN507" s="325"/>
      <c r="OLO507" s="325"/>
      <c r="OLP507" s="325"/>
      <c r="OLQ507" s="325"/>
      <c r="OLR507" s="325"/>
      <c r="OLS507" s="325"/>
      <c r="OLT507" s="325"/>
      <c r="OLU507" s="325"/>
      <c r="OLV507" s="325"/>
      <c r="OLW507" s="325"/>
      <c r="OLX507" s="325"/>
      <c r="OLY507" s="325"/>
      <c r="OLZ507" s="325"/>
      <c r="OMA507" s="325"/>
      <c r="OMB507" s="325"/>
      <c r="OMC507" s="325"/>
      <c r="OMD507" s="325"/>
      <c r="OME507" s="325"/>
      <c r="OMF507" s="325"/>
      <c r="OMG507" s="325"/>
      <c r="OMH507" s="325"/>
      <c r="OMI507" s="325"/>
      <c r="OMJ507" s="325"/>
      <c r="OMK507" s="325"/>
      <c r="OML507" s="325"/>
      <c r="OMM507" s="325"/>
      <c r="OMN507" s="325"/>
      <c r="OMO507" s="327"/>
      <c r="OMP507" s="28"/>
      <c r="OMQ507" s="324"/>
      <c r="OMR507" s="324"/>
      <c r="OMS507" s="324"/>
      <c r="OMT507" s="324"/>
      <c r="OMU507" s="324"/>
      <c r="OMV507" s="324"/>
      <c r="OMW507" s="256"/>
      <c r="OMX507" s="325"/>
      <c r="OMY507" s="311"/>
      <c r="OMZ507" s="325"/>
      <c r="ONA507" s="310"/>
      <c r="ONB507" s="325"/>
      <c r="ONC507" s="325"/>
      <c r="OND507" s="325"/>
      <c r="ONE507" s="325"/>
      <c r="ONF507" s="325"/>
      <c r="ONG507" s="325"/>
      <c r="ONH507" s="325"/>
      <c r="ONI507" s="325"/>
      <c r="ONJ507" s="325"/>
      <c r="ONK507" s="325"/>
      <c r="ONL507" s="325"/>
      <c r="ONM507" s="325"/>
      <c r="ONN507" s="325"/>
      <c r="ONO507" s="325"/>
      <c r="ONP507" s="325"/>
      <c r="ONQ507" s="325"/>
      <c r="ONR507" s="325"/>
      <c r="ONS507" s="325"/>
      <c r="ONT507" s="325"/>
      <c r="ONU507" s="325"/>
      <c r="ONV507" s="325"/>
      <c r="ONW507" s="325"/>
      <c r="ONX507" s="325"/>
      <c r="ONY507" s="325"/>
      <c r="ONZ507" s="325"/>
      <c r="OOA507" s="325"/>
      <c r="OOB507" s="325"/>
      <c r="OOC507" s="325"/>
      <c r="OOD507" s="325"/>
      <c r="OOE507" s="325"/>
      <c r="OOF507" s="327"/>
      <c r="OOG507" s="28"/>
      <c r="OOH507" s="324"/>
      <c r="OOI507" s="324"/>
      <c r="OOJ507" s="324"/>
      <c r="OOK507" s="324"/>
      <c r="OOL507" s="324"/>
      <c r="OOM507" s="324"/>
      <c r="OON507" s="256"/>
      <c r="OOO507" s="325"/>
      <c r="OOP507" s="311"/>
      <c r="OOQ507" s="325"/>
      <c r="OOR507" s="310"/>
      <c r="OOS507" s="325"/>
      <c r="OOT507" s="325"/>
      <c r="OOU507" s="325"/>
      <c r="OOV507" s="325"/>
      <c r="OOW507" s="325"/>
      <c r="OOX507" s="325"/>
      <c r="OOY507" s="325"/>
      <c r="OOZ507" s="325"/>
      <c r="OPA507" s="325"/>
      <c r="OPB507" s="325"/>
      <c r="OPC507" s="325"/>
      <c r="OPD507" s="325"/>
      <c r="OPE507" s="325"/>
      <c r="OPF507" s="325"/>
      <c r="OPG507" s="325"/>
      <c r="OPH507" s="325"/>
      <c r="OPI507" s="325"/>
      <c r="OPJ507" s="325"/>
      <c r="OPK507" s="325"/>
      <c r="OPL507" s="325"/>
      <c r="OPM507" s="325"/>
      <c r="OPN507" s="325"/>
      <c r="OPO507" s="325"/>
      <c r="OPP507" s="325"/>
      <c r="OPQ507" s="325"/>
      <c r="OPR507" s="325"/>
      <c r="OPS507" s="325"/>
      <c r="OPT507" s="325"/>
      <c r="OPU507" s="325"/>
      <c r="OPV507" s="325"/>
      <c r="OPW507" s="327"/>
      <c r="OPX507" s="28"/>
      <c r="OPY507" s="324"/>
      <c r="OPZ507" s="324"/>
      <c r="OQA507" s="324"/>
      <c r="OQB507" s="324"/>
      <c r="OQC507" s="324"/>
      <c r="OQD507" s="324"/>
      <c r="OQE507" s="256"/>
      <c r="OQF507" s="325"/>
      <c r="OQG507" s="311"/>
      <c r="OQH507" s="325"/>
      <c r="OQI507" s="310"/>
      <c r="OQJ507" s="325"/>
      <c r="OQK507" s="325"/>
      <c r="OQL507" s="325"/>
      <c r="OQM507" s="325"/>
      <c r="OQN507" s="325"/>
      <c r="OQO507" s="325"/>
      <c r="OQP507" s="325"/>
      <c r="OQQ507" s="325"/>
      <c r="OQR507" s="325"/>
      <c r="OQS507" s="325"/>
      <c r="OQT507" s="325"/>
      <c r="OQU507" s="325"/>
      <c r="OQV507" s="325"/>
      <c r="OQW507" s="325"/>
      <c r="OQX507" s="325"/>
      <c r="OQY507" s="325"/>
      <c r="OQZ507" s="325"/>
      <c r="ORA507" s="325"/>
      <c r="ORB507" s="325"/>
      <c r="ORC507" s="325"/>
      <c r="ORD507" s="325"/>
      <c r="ORE507" s="325"/>
      <c r="ORF507" s="325"/>
      <c r="ORG507" s="325"/>
      <c r="ORH507" s="325"/>
      <c r="ORI507" s="325"/>
      <c r="ORJ507" s="325"/>
      <c r="ORK507" s="325"/>
      <c r="ORL507" s="325"/>
      <c r="ORM507" s="325"/>
      <c r="ORN507" s="327"/>
      <c r="ORO507" s="28"/>
      <c r="ORP507" s="324"/>
      <c r="ORQ507" s="324"/>
      <c r="ORR507" s="324"/>
      <c r="ORS507" s="324"/>
      <c r="ORT507" s="324"/>
      <c r="ORU507" s="324"/>
      <c r="ORV507" s="256"/>
      <c r="ORW507" s="325"/>
      <c r="ORX507" s="311"/>
      <c r="ORY507" s="325"/>
      <c r="ORZ507" s="310"/>
      <c r="OSA507" s="325"/>
      <c r="OSB507" s="325"/>
      <c r="OSC507" s="325"/>
      <c r="OSD507" s="325"/>
      <c r="OSE507" s="325"/>
      <c r="OSF507" s="325"/>
      <c r="OSG507" s="325"/>
      <c r="OSH507" s="325"/>
      <c r="OSI507" s="325"/>
      <c r="OSJ507" s="325"/>
      <c r="OSK507" s="325"/>
      <c r="OSL507" s="325"/>
      <c r="OSM507" s="325"/>
      <c r="OSN507" s="325"/>
      <c r="OSO507" s="325"/>
      <c r="OSP507" s="325"/>
      <c r="OSQ507" s="325"/>
      <c r="OSR507" s="325"/>
      <c r="OSS507" s="325"/>
      <c r="OST507" s="325"/>
      <c r="OSU507" s="325"/>
      <c r="OSV507" s="325"/>
      <c r="OSW507" s="325"/>
      <c r="OSX507" s="325"/>
      <c r="OSY507" s="325"/>
      <c r="OSZ507" s="325"/>
      <c r="OTA507" s="325"/>
      <c r="OTB507" s="325"/>
      <c r="OTC507" s="325"/>
      <c r="OTD507" s="325"/>
      <c r="OTE507" s="327"/>
      <c r="OTF507" s="28"/>
      <c r="OTG507" s="324"/>
      <c r="OTH507" s="324"/>
      <c r="OTI507" s="324"/>
      <c r="OTJ507" s="324"/>
      <c r="OTK507" s="324"/>
      <c r="OTL507" s="324"/>
      <c r="OTM507" s="256"/>
      <c r="OTN507" s="325"/>
      <c r="OTO507" s="311"/>
      <c r="OTP507" s="325"/>
      <c r="OTQ507" s="310"/>
      <c r="OTR507" s="325"/>
      <c r="OTS507" s="325"/>
      <c r="OTT507" s="325"/>
      <c r="OTU507" s="325"/>
      <c r="OTV507" s="325"/>
      <c r="OTW507" s="325"/>
      <c r="OTX507" s="325"/>
      <c r="OTY507" s="325"/>
      <c r="OTZ507" s="325"/>
      <c r="OUA507" s="325"/>
      <c r="OUB507" s="325"/>
      <c r="OUC507" s="325"/>
      <c r="OUD507" s="325"/>
      <c r="OUE507" s="325"/>
      <c r="OUF507" s="325"/>
      <c r="OUG507" s="325"/>
      <c r="OUH507" s="325"/>
      <c r="OUI507" s="325"/>
      <c r="OUJ507" s="325"/>
      <c r="OUK507" s="325"/>
      <c r="OUL507" s="325"/>
      <c r="OUM507" s="325"/>
      <c r="OUN507" s="325"/>
      <c r="OUO507" s="325"/>
      <c r="OUP507" s="325"/>
      <c r="OUQ507" s="325"/>
      <c r="OUR507" s="325"/>
      <c r="OUS507" s="325"/>
      <c r="OUT507" s="325"/>
      <c r="OUU507" s="325"/>
      <c r="OUV507" s="327"/>
      <c r="OUW507" s="28"/>
      <c r="OUX507" s="324"/>
      <c r="OUY507" s="324"/>
      <c r="OUZ507" s="324"/>
      <c r="OVA507" s="324"/>
      <c r="OVB507" s="324"/>
      <c r="OVC507" s="324"/>
      <c r="OVD507" s="256"/>
      <c r="OVE507" s="325"/>
      <c r="OVF507" s="311"/>
      <c r="OVG507" s="325"/>
      <c r="OVH507" s="310"/>
      <c r="OVI507" s="325"/>
      <c r="OVJ507" s="325"/>
      <c r="OVK507" s="325"/>
      <c r="OVL507" s="325"/>
      <c r="OVM507" s="325"/>
      <c r="OVN507" s="325"/>
      <c r="OVO507" s="325"/>
      <c r="OVP507" s="325"/>
      <c r="OVQ507" s="325"/>
      <c r="OVR507" s="325"/>
      <c r="OVS507" s="325"/>
      <c r="OVT507" s="325"/>
      <c r="OVU507" s="325"/>
      <c r="OVV507" s="325"/>
      <c r="OVW507" s="325"/>
      <c r="OVX507" s="325"/>
      <c r="OVY507" s="325"/>
      <c r="OVZ507" s="325"/>
      <c r="OWA507" s="325"/>
      <c r="OWB507" s="325"/>
      <c r="OWC507" s="325"/>
      <c r="OWD507" s="325"/>
      <c r="OWE507" s="325"/>
      <c r="OWF507" s="325"/>
      <c r="OWG507" s="325"/>
      <c r="OWH507" s="325"/>
      <c r="OWI507" s="325"/>
      <c r="OWJ507" s="325"/>
      <c r="OWK507" s="325"/>
      <c r="OWL507" s="325"/>
      <c r="OWM507" s="327"/>
      <c r="OWN507" s="28"/>
      <c r="OWO507" s="324"/>
      <c r="OWP507" s="324"/>
      <c r="OWQ507" s="324"/>
      <c r="OWR507" s="324"/>
      <c r="OWS507" s="324"/>
      <c r="OWT507" s="324"/>
      <c r="OWU507" s="256"/>
      <c r="OWV507" s="325"/>
      <c r="OWW507" s="311"/>
      <c r="OWX507" s="325"/>
      <c r="OWY507" s="310"/>
      <c r="OWZ507" s="325"/>
      <c r="OXA507" s="325"/>
      <c r="OXB507" s="325"/>
      <c r="OXC507" s="325"/>
      <c r="OXD507" s="325"/>
      <c r="OXE507" s="325"/>
      <c r="OXF507" s="325"/>
      <c r="OXG507" s="325"/>
      <c r="OXH507" s="325"/>
      <c r="OXI507" s="325"/>
      <c r="OXJ507" s="325"/>
      <c r="OXK507" s="325"/>
      <c r="OXL507" s="325"/>
      <c r="OXM507" s="325"/>
      <c r="OXN507" s="325"/>
      <c r="OXO507" s="325"/>
      <c r="OXP507" s="325"/>
      <c r="OXQ507" s="325"/>
      <c r="OXR507" s="325"/>
      <c r="OXS507" s="325"/>
      <c r="OXT507" s="325"/>
      <c r="OXU507" s="325"/>
      <c r="OXV507" s="325"/>
      <c r="OXW507" s="325"/>
      <c r="OXX507" s="325"/>
      <c r="OXY507" s="325"/>
      <c r="OXZ507" s="325"/>
      <c r="OYA507" s="325"/>
      <c r="OYB507" s="325"/>
      <c r="OYC507" s="325"/>
      <c r="OYD507" s="327"/>
      <c r="OYE507" s="28"/>
      <c r="OYF507" s="324"/>
      <c r="OYG507" s="324"/>
      <c r="OYH507" s="324"/>
      <c r="OYI507" s="324"/>
      <c r="OYJ507" s="324"/>
      <c r="OYK507" s="324"/>
      <c r="OYL507" s="256"/>
      <c r="OYM507" s="325"/>
      <c r="OYN507" s="311"/>
      <c r="OYO507" s="325"/>
      <c r="OYP507" s="310"/>
      <c r="OYQ507" s="325"/>
      <c r="OYR507" s="325"/>
      <c r="OYS507" s="325"/>
      <c r="OYT507" s="325"/>
      <c r="OYU507" s="325"/>
      <c r="OYV507" s="325"/>
      <c r="OYW507" s="325"/>
      <c r="OYX507" s="325"/>
      <c r="OYY507" s="325"/>
      <c r="OYZ507" s="325"/>
      <c r="OZA507" s="325"/>
      <c r="OZB507" s="325"/>
      <c r="OZC507" s="325"/>
      <c r="OZD507" s="325"/>
      <c r="OZE507" s="325"/>
      <c r="OZF507" s="325"/>
      <c r="OZG507" s="325"/>
      <c r="OZH507" s="325"/>
      <c r="OZI507" s="325"/>
      <c r="OZJ507" s="325"/>
      <c r="OZK507" s="325"/>
      <c r="OZL507" s="325"/>
      <c r="OZM507" s="325"/>
      <c r="OZN507" s="325"/>
      <c r="OZO507" s="325"/>
      <c r="OZP507" s="325"/>
      <c r="OZQ507" s="325"/>
      <c r="OZR507" s="325"/>
      <c r="OZS507" s="325"/>
      <c r="OZT507" s="325"/>
      <c r="OZU507" s="327"/>
      <c r="OZV507" s="28"/>
      <c r="OZW507" s="324"/>
      <c r="OZX507" s="324"/>
      <c r="OZY507" s="324"/>
      <c r="OZZ507" s="324"/>
      <c r="PAA507" s="324"/>
      <c r="PAB507" s="324"/>
      <c r="PAC507" s="256"/>
      <c r="PAD507" s="325"/>
      <c r="PAE507" s="311"/>
      <c r="PAF507" s="325"/>
      <c r="PAG507" s="310"/>
      <c r="PAH507" s="325"/>
      <c r="PAI507" s="325"/>
      <c r="PAJ507" s="325"/>
      <c r="PAK507" s="325"/>
      <c r="PAL507" s="325"/>
      <c r="PAM507" s="325"/>
      <c r="PAN507" s="325"/>
      <c r="PAO507" s="325"/>
      <c r="PAP507" s="325"/>
      <c r="PAQ507" s="325"/>
      <c r="PAR507" s="325"/>
      <c r="PAS507" s="325"/>
      <c r="PAT507" s="325"/>
      <c r="PAU507" s="325"/>
      <c r="PAV507" s="325"/>
      <c r="PAW507" s="325"/>
      <c r="PAX507" s="325"/>
      <c r="PAY507" s="325"/>
      <c r="PAZ507" s="325"/>
      <c r="PBA507" s="325"/>
      <c r="PBB507" s="325"/>
      <c r="PBC507" s="325"/>
      <c r="PBD507" s="325"/>
      <c r="PBE507" s="325"/>
      <c r="PBF507" s="325"/>
      <c r="PBG507" s="325"/>
      <c r="PBH507" s="325"/>
      <c r="PBI507" s="325"/>
      <c r="PBJ507" s="325"/>
      <c r="PBK507" s="325"/>
      <c r="PBL507" s="327"/>
      <c r="PBM507" s="28"/>
      <c r="PBN507" s="324"/>
      <c r="PBO507" s="324"/>
      <c r="PBP507" s="324"/>
      <c r="PBQ507" s="324"/>
      <c r="PBR507" s="324"/>
      <c r="PBS507" s="324"/>
      <c r="PBT507" s="256"/>
      <c r="PBU507" s="325"/>
      <c r="PBV507" s="311"/>
      <c r="PBW507" s="325"/>
      <c r="PBX507" s="310"/>
      <c r="PBY507" s="325"/>
      <c r="PBZ507" s="325"/>
      <c r="PCA507" s="325"/>
      <c r="PCB507" s="325"/>
      <c r="PCC507" s="325"/>
      <c r="PCD507" s="325"/>
      <c r="PCE507" s="325"/>
      <c r="PCF507" s="325"/>
      <c r="PCG507" s="325"/>
      <c r="PCH507" s="325"/>
      <c r="PCI507" s="325"/>
      <c r="PCJ507" s="325"/>
      <c r="PCK507" s="325"/>
      <c r="PCL507" s="325"/>
      <c r="PCM507" s="325"/>
      <c r="PCN507" s="325"/>
      <c r="PCO507" s="325"/>
      <c r="PCP507" s="325"/>
      <c r="PCQ507" s="325"/>
      <c r="PCR507" s="325"/>
      <c r="PCS507" s="325"/>
      <c r="PCT507" s="325"/>
      <c r="PCU507" s="325"/>
      <c r="PCV507" s="325"/>
      <c r="PCW507" s="325"/>
      <c r="PCX507" s="325"/>
      <c r="PCY507" s="325"/>
      <c r="PCZ507" s="325"/>
      <c r="PDA507" s="325"/>
      <c r="PDB507" s="325"/>
      <c r="PDC507" s="327"/>
      <c r="PDD507" s="28"/>
      <c r="PDE507" s="324"/>
      <c r="PDF507" s="324"/>
      <c r="PDG507" s="324"/>
      <c r="PDH507" s="324"/>
      <c r="PDI507" s="324"/>
      <c r="PDJ507" s="324"/>
      <c r="PDK507" s="256"/>
      <c r="PDL507" s="325"/>
      <c r="PDM507" s="311"/>
      <c r="PDN507" s="325"/>
      <c r="PDO507" s="310"/>
      <c r="PDP507" s="325"/>
      <c r="PDQ507" s="325"/>
      <c r="PDR507" s="325"/>
      <c r="PDS507" s="325"/>
      <c r="PDT507" s="325"/>
      <c r="PDU507" s="325"/>
      <c r="PDV507" s="325"/>
      <c r="PDW507" s="325"/>
      <c r="PDX507" s="325"/>
      <c r="PDY507" s="325"/>
      <c r="PDZ507" s="325"/>
      <c r="PEA507" s="325"/>
      <c r="PEB507" s="325"/>
      <c r="PEC507" s="325"/>
      <c r="PED507" s="325"/>
      <c r="PEE507" s="325"/>
      <c r="PEF507" s="325"/>
      <c r="PEG507" s="325"/>
      <c r="PEH507" s="325"/>
      <c r="PEI507" s="325"/>
      <c r="PEJ507" s="325"/>
      <c r="PEK507" s="325"/>
      <c r="PEL507" s="325"/>
      <c r="PEM507" s="325"/>
      <c r="PEN507" s="325"/>
      <c r="PEO507" s="325"/>
      <c r="PEP507" s="325"/>
      <c r="PEQ507" s="325"/>
      <c r="PER507" s="325"/>
      <c r="PES507" s="325"/>
      <c r="PET507" s="327"/>
      <c r="PEU507" s="28"/>
      <c r="PEV507" s="324"/>
      <c r="PEW507" s="324"/>
      <c r="PEX507" s="324"/>
      <c r="PEY507" s="324"/>
      <c r="PEZ507" s="324"/>
      <c r="PFA507" s="324"/>
      <c r="PFB507" s="256"/>
      <c r="PFC507" s="325"/>
      <c r="PFD507" s="311"/>
      <c r="PFE507" s="325"/>
      <c r="PFF507" s="310"/>
      <c r="PFG507" s="325"/>
      <c r="PFH507" s="325"/>
      <c r="PFI507" s="325"/>
      <c r="PFJ507" s="325"/>
      <c r="PFK507" s="325"/>
      <c r="PFL507" s="325"/>
      <c r="PFM507" s="325"/>
      <c r="PFN507" s="325"/>
      <c r="PFO507" s="325"/>
      <c r="PFP507" s="325"/>
      <c r="PFQ507" s="325"/>
      <c r="PFR507" s="325"/>
      <c r="PFS507" s="325"/>
      <c r="PFT507" s="325"/>
      <c r="PFU507" s="325"/>
      <c r="PFV507" s="325"/>
      <c r="PFW507" s="325"/>
      <c r="PFX507" s="325"/>
      <c r="PFY507" s="325"/>
      <c r="PFZ507" s="325"/>
      <c r="PGA507" s="325"/>
      <c r="PGB507" s="325"/>
      <c r="PGC507" s="325"/>
      <c r="PGD507" s="325"/>
      <c r="PGE507" s="325"/>
      <c r="PGF507" s="325"/>
      <c r="PGG507" s="325"/>
      <c r="PGH507" s="325"/>
      <c r="PGI507" s="325"/>
      <c r="PGJ507" s="325"/>
      <c r="PGK507" s="327"/>
      <c r="PGL507" s="28"/>
      <c r="PGM507" s="324"/>
      <c r="PGN507" s="324"/>
      <c r="PGO507" s="324"/>
      <c r="PGP507" s="324"/>
      <c r="PGQ507" s="324"/>
      <c r="PGR507" s="324"/>
      <c r="PGS507" s="256"/>
      <c r="PGT507" s="325"/>
      <c r="PGU507" s="311"/>
      <c r="PGV507" s="325"/>
      <c r="PGW507" s="310"/>
      <c r="PGX507" s="325"/>
      <c r="PGY507" s="325"/>
      <c r="PGZ507" s="325"/>
      <c r="PHA507" s="325"/>
      <c r="PHB507" s="325"/>
      <c r="PHC507" s="325"/>
      <c r="PHD507" s="325"/>
      <c r="PHE507" s="325"/>
      <c r="PHF507" s="325"/>
      <c r="PHG507" s="325"/>
      <c r="PHH507" s="325"/>
      <c r="PHI507" s="325"/>
      <c r="PHJ507" s="325"/>
      <c r="PHK507" s="325"/>
      <c r="PHL507" s="325"/>
      <c r="PHM507" s="325"/>
      <c r="PHN507" s="325"/>
      <c r="PHO507" s="325"/>
      <c r="PHP507" s="325"/>
      <c r="PHQ507" s="325"/>
      <c r="PHR507" s="325"/>
      <c r="PHS507" s="325"/>
      <c r="PHT507" s="325"/>
      <c r="PHU507" s="325"/>
      <c r="PHV507" s="325"/>
      <c r="PHW507" s="325"/>
      <c r="PHX507" s="325"/>
      <c r="PHY507" s="325"/>
      <c r="PHZ507" s="325"/>
      <c r="PIA507" s="325"/>
      <c r="PIB507" s="327"/>
      <c r="PIC507" s="28"/>
      <c r="PID507" s="324"/>
      <c r="PIE507" s="324"/>
      <c r="PIF507" s="324"/>
      <c r="PIG507" s="324"/>
      <c r="PIH507" s="324"/>
      <c r="PII507" s="324"/>
      <c r="PIJ507" s="256"/>
      <c r="PIK507" s="325"/>
      <c r="PIL507" s="311"/>
      <c r="PIM507" s="325"/>
      <c r="PIN507" s="310"/>
      <c r="PIO507" s="325"/>
      <c r="PIP507" s="325"/>
      <c r="PIQ507" s="325"/>
      <c r="PIR507" s="325"/>
      <c r="PIS507" s="325"/>
      <c r="PIT507" s="325"/>
      <c r="PIU507" s="325"/>
      <c r="PIV507" s="325"/>
      <c r="PIW507" s="325"/>
      <c r="PIX507" s="325"/>
      <c r="PIY507" s="325"/>
      <c r="PIZ507" s="325"/>
      <c r="PJA507" s="325"/>
      <c r="PJB507" s="325"/>
      <c r="PJC507" s="325"/>
      <c r="PJD507" s="325"/>
      <c r="PJE507" s="325"/>
      <c r="PJF507" s="325"/>
      <c r="PJG507" s="325"/>
      <c r="PJH507" s="325"/>
      <c r="PJI507" s="325"/>
      <c r="PJJ507" s="325"/>
      <c r="PJK507" s="325"/>
      <c r="PJL507" s="325"/>
      <c r="PJM507" s="325"/>
      <c r="PJN507" s="325"/>
      <c r="PJO507" s="325"/>
      <c r="PJP507" s="325"/>
      <c r="PJQ507" s="325"/>
      <c r="PJR507" s="325"/>
      <c r="PJS507" s="327"/>
      <c r="PJT507" s="28"/>
      <c r="PJU507" s="324"/>
      <c r="PJV507" s="324"/>
      <c r="PJW507" s="324"/>
      <c r="PJX507" s="324"/>
      <c r="PJY507" s="324"/>
      <c r="PJZ507" s="324"/>
      <c r="PKA507" s="256"/>
      <c r="PKB507" s="325"/>
      <c r="PKC507" s="311"/>
      <c r="PKD507" s="325"/>
      <c r="PKE507" s="310"/>
      <c r="PKF507" s="325"/>
      <c r="PKG507" s="325"/>
      <c r="PKH507" s="325"/>
      <c r="PKI507" s="325"/>
      <c r="PKJ507" s="325"/>
      <c r="PKK507" s="325"/>
      <c r="PKL507" s="325"/>
      <c r="PKM507" s="325"/>
      <c r="PKN507" s="325"/>
      <c r="PKO507" s="325"/>
      <c r="PKP507" s="325"/>
      <c r="PKQ507" s="325"/>
      <c r="PKR507" s="325"/>
      <c r="PKS507" s="325"/>
      <c r="PKT507" s="325"/>
      <c r="PKU507" s="325"/>
      <c r="PKV507" s="325"/>
      <c r="PKW507" s="325"/>
      <c r="PKX507" s="325"/>
      <c r="PKY507" s="325"/>
      <c r="PKZ507" s="325"/>
      <c r="PLA507" s="325"/>
      <c r="PLB507" s="325"/>
      <c r="PLC507" s="325"/>
      <c r="PLD507" s="325"/>
      <c r="PLE507" s="325"/>
      <c r="PLF507" s="325"/>
      <c r="PLG507" s="325"/>
      <c r="PLH507" s="325"/>
      <c r="PLI507" s="325"/>
      <c r="PLJ507" s="327"/>
      <c r="PLK507" s="28"/>
      <c r="PLL507" s="324"/>
      <c r="PLM507" s="324"/>
      <c r="PLN507" s="324"/>
      <c r="PLO507" s="324"/>
      <c r="PLP507" s="324"/>
      <c r="PLQ507" s="324"/>
      <c r="PLR507" s="256"/>
      <c r="PLS507" s="325"/>
      <c r="PLT507" s="311"/>
      <c r="PLU507" s="325"/>
      <c r="PLV507" s="310"/>
      <c r="PLW507" s="325"/>
      <c r="PLX507" s="325"/>
      <c r="PLY507" s="325"/>
      <c r="PLZ507" s="325"/>
      <c r="PMA507" s="325"/>
      <c r="PMB507" s="325"/>
      <c r="PMC507" s="325"/>
      <c r="PMD507" s="325"/>
      <c r="PME507" s="325"/>
      <c r="PMF507" s="325"/>
      <c r="PMG507" s="325"/>
      <c r="PMH507" s="325"/>
      <c r="PMI507" s="325"/>
      <c r="PMJ507" s="325"/>
      <c r="PMK507" s="325"/>
      <c r="PML507" s="325"/>
      <c r="PMM507" s="325"/>
      <c r="PMN507" s="325"/>
      <c r="PMO507" s="325"/>
      <c r="PMP507" s="325"/>
      <c r="PMQ507" s="325"/>
      <c r="PMR507" s="325"/>
      <c r="PMS507" s="325"/>
      <c r="PMT507" s="325"/>
      <c r="PMU507" s="325"/>
      <c r="PMV507" s="325"/>
      <c r="PMW507" s="325"/>
      <c r="PMX507" s="325"/>
      <c r="PMY507" s="325"/>
      <c r="PMZ507" s="325"/>
      <c r="PNA507" s="327"/>
      <c r="PNB507" s="28"/>
      <c r="PNC507" s="324"/>
      <c r="PND507" s="324"/>
      <c r="PNE507" s="324"/>
      <c r="PNF507" s="324"/>
      <c r="PNG507" s="324"/>
      <c r="PNH507" s="324"/>
      <c r="PNI507" s="256"/>
      <c r="PNJ507" s="325"/>
      <c r="PNK507" s="311"/>
      <c r="PNL507" s="325"/>
      <c r="PNM507" s="310"/>
      <c r="PNN507" s="325"/>
      <c r="PNO507" s="325"/>
      <c r="PNP507" s="325"/>
      <c r="PNQ507" s="325"/>
      <c r="PNR507" s="325"/>
      <c r="PNS507" s="325"/>
      <c r="PNT507" s="325"/>
      <c r="PNU507" s="325"/>
      <c r="PNV507" s="325"/>
      <c r="PNW507" s="325"/>
      <c r="PNX507" s="325"/>
      <c r="PNY507" s="325"/>
      <c r="PNZ507" s="325"/>
      <c r="POA507" s="325"/>
      <c r="POB507" s="325"/>
      <c r="POC507" s="325"/>
      <c r="POD507" s="325"/>
      <c r="POE507" s="325"/>
      <c r="POF507" s="325"/>
      <c r="POG507" s="325"/>
      <c r="POH507" s="325"/>
      <c r="POI507" s="325"/>
      <c r="POJ507" s="325"/>
      <c r="POK507" s="325"/>
      <c r="POL507" s="325"/>
      <c r="POM507" s="325"/>
      <c r="PON507" s="325"/>
      <c r="POO507" s="325"/>
      <c r="POP507" s="325"/>
      <c r="POQ507" s="325"/>
      <c r="POR507" s="327"/>
      <c r="POS507" s="28"/>
      <c r="POT507" s="324"/>
      <c r="POU507" s="324"/>
      <c r="POV507" s="324"/>
      <c r="POW507" s="324"/>
      <c r="POX507" s="324"/>
      <c r="POY507" s="324"/>
      <c r="POZ507" s="256"/>
      <c r="PPA507" s="325"/>
      <c r="PPB507" s="311"/>
      <c r="PPC507" s="325"/>
      <c r="PPD507" s="310"/>
      <c r="PPE507" s="325"/>
      <c r="PPF507" s="325"/>
      <c r="PPG507" s="325"/>
      <c r="PPH507" s="325"/>
      <c r="PPI507" s="325"/>
      <c r="PPJ507" s="325"/>
      <c r="PPK507" s="325"/>
      <c r="PPL507" s="325"/>
      <c r="PPM507" s="325"/>
      <c r="PPN507" s="325"/>
      <c r="PPO507" s="325"/>
      <c r="PPP507" s="325"/>
      <c r="PPQ507" s="325"/>
      <c r="PPR507" s="325"/>
      <c r="PPS507" s="325"/>
      <c r="PPT507" s="325"/>
      <c r="PPU507" s="325"/>
      <c r="PPV507" s="325"/>
      <c r="PPW507" s="325"/>
      <c r="PPX507" s="325"/>
      <c r="PPY507" s="325"/>
      <c r="PPZ507" s="325"/>
      <c r="PQA507" s="325"/>
      <c r="PQB507" s="325"/>
      <c r="PQC507" s="325"/>
      <c r="PQD507" s="325"/>
      <c r="PQE507" s="325"/>
      <c r="PQF507" s="325"/>
      <c r="PQG507" s="325"/>
      <c r="PQH507" s="325"/>
      <c r="PQI507" s="327"/>
      <c r="PQJ507" s="28"/>
      <c r="PQK507" s="324"/>
      <c r="PQL507" s="324"/>
      <c r="PQM507" s="324"/>
      <c r="PQN507" s="324"/>
      <c r="PQO507" s="324"/>
      <c r="PQP507" s="324"/>
      <c r="PQQ507" s="256"/>
      <c r="PQR507" s="325"/>
      <c r="PQS507" s="311"/>
      <c r="PQT507" s="325"/>
      <c r="PQU507" s="310"/>
      <c r="PQV507" s="325"/>
      <c r="PQW507" s="325"/>
      <c r="PQX507" s="325"/>
      <c r="PQY507" s="325"/>
      <c r="PQZ507" s="325"/>
      <c r="PRA507" s="325"/>
      <c r="PRB507" s="325"/>
      <c r="PRC507" s="325"/>
      <c r="PRD507" s="325"/>
      <c r="PRE507" s="325"/>
      <c r="PRF507" s="325"/>
      <c r="PRG507" s="325"/>
      <c r="PRH507" s="325"/>
      <c r="PRI507" s="325"/>
      <c r="PRJ507" s="325"/>
      <c r="PRK507" s="325"/>
      <c r="PRL507" s="325"/>
      <c r="PRM507" s="325"/>
      <c r="PRN507" s="325"/>
      <c r="PRO507" s="325"/>
      <c r="PRP507" s="325"/>
      <c r="PRQ507" s="325"/>
      <c r="PRR507" s="325"/>
      <c r="PRS507" s="325"/>
      <c r="PRT507" s="325"/>
      <c r="PRU507" s="325"/>
      <c r="PRV507" s="325"/>
      <c r="PRW507" s="325"/>
      <c r="PRX507" s="325"/>
      <c r="PRY507" s="325"/>
      <c r="PRZ507" s="327"/>
      <c r="PSA507" s="28"/>
      <c r="PSB507" s="324"/>
      <c r="PSC507" s="324"/>
      <c r="PSD507" s="324"/>
      <c r="PSE507" s="324"/>
      <c r="PSF507" s="324"/>
      <c r="PSG507" s="324"/>
      <c r="PSH507" s="256"/>
      <c r="PSI507" s="325"/>
      <c r="PSJ507" s="311"/>
      <c r="PSK507" s="325"/>
      <c r="PSL507" s="310"/>
      <c r="PSM507" s="325"/>
      <c r="PSN507" s="325"/>
      <c r="PSO507" s="325"/>
      <c r="PSP507" s="325"/>
      <c r="PSQ507" s="325"/>
      <c r="PSR507" s="325"/>
      <c r="PSS507" s="325"/>
      <c r="PST507" s="325"/>
      <c r="PSU507" s="325"/>
      <c r="PSV507" s="325"/>
      <c r="PSW507" s="325"/>
      <c r="PSX507" s="325"/>
      <c r="PSY507" s="325"/>
      <c r="PSZ507" s="325"/>
      <c r="PTA507" s="325"/>
      <c r="PTB507" s="325"/>
      <c r="PTC507" s="325"/>
      <c r="PTD507" s="325"/>
      <c r="PTE507" s="325"/>
      <c r="PTF507" s="325"/>
      <c r="PTG507" s="325"/>
      <c r="PTH507" s="325"/>
      <c r="PTI507" s="325"/>
      <c r="PTJ507" s="325"/>
      <c r="PTK507" s="325"/>
      <c r="PTL507" s="325"/>
      <c r="PTM507" s="325"/>
      <c r="PTN507" s="325"/>
      <c r="PTO507" s="325"/>
      <c r="PTP507" s="325"/>
      <c r="PTQ507" s="327"/>
      <c r="PTR507" s="28"/>
      <c r="PTS507" s="324"/>
      <c r="PTT507" s="324"/>
      <c r="PTU507" s="324"/>
      <c r="PTV507" s="324"/>
      <c r="PTW507" s="324"/>
      <c r="PTX507" s="324"/>
      <c r="PTY507" s="256"/>
      <c r="PTZ507" s="325"/>
      <c r="PUA507" s="311"/>
      <c r="PUB507" s="325"/>
      <c r="PUC507" s="310"/>
      <c r="PUD507" s="325"/>
      <c r="PUE507" s="325"/>
      <c r="PUF507" s="325"/>
      <c r="PUG507" s="325"/>
      <c r="PUH507" s="325"/>
      <c r="PUI507" s="325"/>
      <c r="PUJ507" s="325"/>
      <c r="PUK507" s="325"/>
      <c r="PUL507" s="325"/>
      <c r="PUM507" s="325"/>
      <c r="PUN507" s="325"/>
      <c r="PUO507" s="325"/>
      <c r="PUP507" s="325"/>
      <c r="PUQ507" s="325"/>
      <c r="PUR507" s="325"/>
      <c r="PUS507" s="325"/>
      <c r="PUT507" s="325"/>
      <c r="PUU507" s="325"/>
      <c r="PUV507" s="325"/>
      <c r="PUW507" s="325"/>
      <c r="PUX507" s="325"/>
      <c r="PUY507" s="325"/>
      <c r="PUZ507" s="325"/>
      <c r="PVA507" s="325"/>
      <c r="PVB507" s="325"/>
      <c r="PVC507" s="325"/>
      <c r="PVD507" s="325"/>
      <c r="PVE507" s="325"/>
      <c r="PVF507" s="325"/>
      <c r="PVG507" s="325"/>
      <c r="PVH507" s="327"/>
      <c r="PVI507" s="28"/>
      <c r="PVJ507" s="324"/>
      <c r="PVK507" s="324"/>
      <c r="PVL507" s="324"/>
      <c r="PVM507" s="324"/>
      <c r="PVN507" s="324"/>
      <c r="PVO507" s="324"/>
      <c r="PVP507" s="256"/>
      <c r="PVQ507" s="325"/>
      <c r="PVR507" s="311"/>
      <c r="PVS507" s="325"/>
      <c r="PVT507" s="310"/>
      <c r="PVU507" s="325"/>
      <c r="PVV507" s="325"/>
      <c r="PVW507" s="325"/>
      <c r="PVX507" s="325"/>
      <c r="PVY507" s="325"/>
      <c r="PVZ507" s="325"/>
      <c r="PWA507" s="325"/>
      <c r="PWB507" s="325"/>
      <c r="PWC507" s="325"/>
      <c r="PWD507" s="325"/>
      <c r="PWE507" s="325"/>
      <c r="PWF507" s="325"/>
      <c r="PWG507" s="325"/>
      <c r="PWH507" s="325"/>
      <c r="PWI507" s="325"/>
      <c r="PWJ507" s="325"/>
      <c r="PWK507" s="325"/>
      <c r="PWL507" s="325"/>
      <c r="PWM507" s="325"/>
      <c r="PWN507" s="325"/>
      <c r="PWO507" s="325"/>
      <c r="PWP507" s="325"/>
      <c r="PWQ507" s="325"/>
      <c r="PWR507" s="325"/>
      <c r="PWS507" s="325"/>
      <c r="PWT507" s="325"/>
      <c r="PWU507" s="325"/>
      <c r="PWV507" s="325"/>
      <c r="PWW507" s="325"/>
      <c r="PWX507" s="325"/>
      <c r="PWY507" s="327"/>
      <c r="PWZ507" s="28"/>
      <c r="PXA507" s="324"/>
      <c r="PXB507" s="324"/>
      <c r="PXC507" s="324"/>
      <c r="PXD507" s="324"/>
      <c r="PXE507" s="324"/>
      <c r="PXF507" s="324"/>
      <c r="PXG507" s="256"/>
      <c r="PXH507" s="325"/>
      <c r="PXI507" s="311"/>
      <c r="PXJ507" s="325"/>
      <c r="PXK507" s="310"/>
      <c r="PXL507" s="325"/>
      <c r="PXM507" s="325"/>
      <c r="PXN507" s="325"/>
      <c r="PXO507" s="325"/>
      <c r="PXP507" s="325"/>
      <c r="PXQ507" s="325"/>
      <c r="PXR507" s="325"/>
      <c r="PXS507" s="325"/>
      <c r="PXT507" s="325"/>
      <c r="PXU507" s="325"/>
      <c r="PXV507" s="325"/>
      <c r="PXW507" s="325"/>
      <c r="PXX507" s="325"/>
      <c r="PXY507" s="325"/>
      <c r="PXZ507" s="325"/>
      <c r="PYA507" s="325"/>
      <c r="PYB507" s="325"/>
      <c r="PYC507" s="325"/>
      <c r="PYD507" s="325"/>
      <c r="PYE507" s="325"/>
      <c r="PYF507" s="325"/>
      <c r="PYG507" s="325"/>
      <c r="PYH507" s="325"/>
      <c r="PYI507" s="325"/>
      <c r="PYJ507" s="325"/>
      <c r="PYK507" s="325"/>
      <c r="PYL507" s="325"/>
      <c r="PYM507" s="325"/>
      <c r="PYN507" s="325"/>
      <c r="PYO507" s="325"/>
      <c r="PYP507" s="327"/>
      <c r="PYQ507" s="28"/>
      <c r="PYR507" s="324"/>
      <c r="PYS507" s="324"/>
      <c r="PYT507" s="324"/>
      <c r="PYU507" s="324"/>
      <c r="PYV507" s="324"/>
      <c r="PYW507" s="324"/>
      <c r="PYX507" s="256"/>
      <c r="PYY507" s="325"/>
      <c r="PYZ507" s="311"/>
      <c r="PZA507" s="325"/>
      <c r="PZB507" s="310"/>
      <c r="PZC507" s="325"/>
      <c r="PZD507" s="325"/>
      <c r="PZE507" s="325"/>
      <c r="PZF507" s="325"/>
      <c r="PZG507" s="325"/>
      <c r="PZH507" s="325"/>
      <c r="PZI507" s="325"/>
      <c r="PZJ507" s="325"/>
      <c r="PZK507" s="325"/>
      <c r="PZL507" s="325"/>
      <c r="PZM507" s="325"/>
      <c r="PZN507" s="325"/>
      <c r="PZO507" s="325"/>
      <c r="PZP507" s="325"/>
      <c r="PZQ507" s="325"/>
      <c r="PZR507" s="325"/>
      <c r="PZS507" s="325"/>
      <c r="PZT507" s="325"/>
      <c r="PZU507" s="325"/>
      <c r="PZV507" s="325"/>
      <c r="PZW507" s="325"/>
      <c r="PZX507" s="325"/>
      <c r="PZY507" s="325"/>
      <c r="PZZ507" s="325"/>
      <c r="QAA507" s="325"/>
      <c r="QAB507" s="325"/>
      <c r="QAC507" s="325"/>
      <c r="QAD507" s="325"/>
      <c r="QAE507" s="325"/>
      <c r="QAF507" s="325"/>
      <c r="QAG507" s="327"/>
      <c r="QAH507" s="28"/>
      <c r="QAI507" s="324"/>
      <c r="QAJ507" s="324"/>
      <c r="QAK507" s="324"/>
      <c r="QAL507" s="324"/>
      <c r="QAM507" s="324"/>
      <c r="QAN507" s="324"/>
      <c r="QAO507" s="256"/>
      <c r="QAP507" s="325"/>
      <c r="QAQ507" s="311"/>
      <c r="QAR507" s="325"/>
      <c r="QAS507" s="310"/>
      <c r="QAT507" s="325"/>
      <c r="QAU507" s="325"/>
      <c r="QAV507" s="325"/>
      <c r="QAW507" s="325"/>
      <c r="QAX507" s="325"/>
      <c r="QAY507" s="325"/>
      <c r="QAZ507" s="325"/>
      <c r="QBA507" s="325"/>
      <c r="QBB507" s="325"/>
      <c r="QBC507" s="325"/>
      <c r="QBD507" s="325"/>
      <c r="QBE507" s="325"/>
      <c r="QBF507" s="325"/>
      <c r="QBG507" s="325"/>
      <c r="QBH507" s="325"/>
      <c r="QBI507" s="325"/>
      <c r="QBJ507" s="325"/>
      <c r="QBK507" s="325"/>
      <c r="QBL507" s="325"/>
      <c r="QBM507" s="325"/>
      <c r="QBN507" s="325"/>
      <c r="QBO507" s="325"/>
      <c r="QBP507" s="325"/>
      <c r="QBQ507" s="325"/>
      <c r="QBR507" s="325"/>
      <c r="QBS507" s="325"/>
      <c r="QBT507" s="325"/>
      <c r="QBU507" s="325"/>
      <c r="QBV507" s="325"/>
      <c r="QBW507" s="325"/>
      <c r="QBX507" s="327"/>
      <c r="QBY507" s="28"/>
      <c r="QBZ507" s="324"/>
      <c r="QCA507" s="324"/>
      <c r="QCB507" s="324"/>
      <c r="QCC507" s="324"/>
      <c r="QCD507" s="324"/>
      <c r="QCE507" s="324"/>
      <c r="QCF507" s="256"/>
      <c r="QCG507" s="325"/>
      <c r="QCH507" s="311"/>
      <c r="QCI507" s="325"/>
      <c r="QCJ507" s="310"/>
      <c r="QCK507" s="325"/>
      <c r="QCL507" s="325"/>
      <c r="QCM507" s="325"/>
      <c r="QCN507" s="325"/>
      <c r="QCO507" s="325"/>
      <c r="QCP507" s="325"/>
      <c r="QCQ507" s="325"/>
      <c r="QCR507" s="325"/>
      <c r="QCS507" s="325"/>
      <c r="QCT507" s="325"/>
      <c r="QCU507" s="325"/>
      <c r="QCV507" s="325"/>
      <c r="QCW507" s="325"/>
      <c r="QCX507" s="325"/>
      <c r="QCY507" s="325"/>
      <c r="QCZ507" s="325"/>
      <c r="QDA507" s="325"/>
      <c r="QDB507" s="325"/>
      <c r="QDC507" s="325"/>
      <c r="QDD507" s="325"/>
      <c r="QDE507" s="325"/>
      <c r="QDF507" s="325"/>
      <c r="QDG507" s="325"/>
      <c r="QDH507" s="325"/>
      <c r="QDI507" s="325"/>
      <c r="QDJ507" s="325"/>
      <c r="QDK507" s="325"/>
      <c r="QDL507" s="325"/>
      <c r="QDM507" s="325"/>
      <c r="QDN507" s="325"/>
      <c r="QDO507" s="327"/>
      <c r="QDP507" s="28"/>
      <c r="QDQ507" s="324"/>
      <c r="QDR507" s="324"/>
      <c r="QDS507" s="324"/>
      <c r="QDT507" s="324"/>
      <c r="QDU507" s="324"/>
      <c r="QDV507" s="324"/>
      <c r="QDW507" s="256"/>
      <c r="QDX507" s="325"/>
      <c r="QDY507" s="311"/>
      <c r="QDZ507" s="325"/>
      <c r="QEA507" s="310"/>
      <c r="QEB507" s="325"/>
      <c r="QEC507" s="325"/>
      <c r="QED507" s="325"/>
      <c r="QEE507" s="325"/>
      <c r="QEF507" s="325"/>
      <c r="QEG507" s="325"/>
      <c r="QEH507" s="325"/>
      <c r="QEI507" s="325"/>
      <c r="QEJ507" s="325"/>
      <c r="QEK507" s="325"/>
      <c r="QEL507" s="325"/>
      <c r="QEM507" s="325"/>
      <c r="QEN507" s="325"/>
      <c r="QEO507" s="325"/>
      <c r="QEP507" s="325"/>
      <c r="QEQ507" s="325"/>
      <c r="QER507" s="325"/>
      <c r="QES507" s="325"/>
      <c r="QET507" s="325"/>
      <c r="QEU507" s="325"/>
      <c r="QEV507" s="325"/>
      <c r="QEW507" s="325"/>
      <c r="QEX507" s="325"/>
      <c r="QEY507" s="325"/>
      <c r="QEZ507" s="325"/>
      <c r="QFA507" s="325"/>
      <c r="QFB507" s="325"/>
      <c r="QFC507" s="325"/>
      <c r="QFD507" s="325"/>
      <c r="QFE507" s="325"/>
      <c r="QFF507" s="327"/>
      <c r="QFG507" s="28"/>
      <c r="QFH507" s="324"/>
      <c r="QFI507" s="324"/>
      <c r="QFJ507" s="324"/>
      <c r="QFK507" s="324"/>
      <c r="QFL507" s="324"/>
      <c r="QFM507" s="324"/>
      <c r="QFN507" s="256"/>
      <c r="QFO507" s="325"/>
      <c r="QFP507" s="311"/>
      <c r="QFQ507" s="325"/>
      <c r="QFR507" s="310"/>
      <c r="QFS507" s="325"/>
      <c r="QFT507" s="325"/>
      <c r="QFU507" s="325"/>
      <c r="QFV507" s="325"/>
      <c r="QFW507" s="325"/>
      <c r="QFX507" s="325"/>
      <c r="QFY507" s="325"/>
      <c r="QFZ507" s="325"/>
      <c r="QGA507" s="325"/>
      <c r="QGB507" s="325"/>
      <c r="QGC507" s="325"/>
      <c r="QGD507" s="325"/>
      <c r="QGE507" s="325"/>
      <c r="QGF507" s="325"/>
      <c r="QGG507" s="325"/>
      <c r="QGH507" s="325"/>
      <c r="QGI507" s="325"/>
      <c r="QGJ507" s="325"/>
      <c r="QGK507" s="325"/>
      <c r="QGL507" s="325"/>
      <c r="QGM507" s="325"/>
      <c r="QGN507" s="325"/>
      <c r="QGO507" s="325"/>
      <c r="QGP507" s="325"/>
      <c r="QGQ507" s="325"/>
      <c r="QGR507" s="325"/>
      <c r="QGS507" s="325"/>
      <c r="QGT507" s="325"/>
      <c r="QGU507" s="325"/>
      <c r="QGV507" s="325"/>
      <c r="QGW507" s="327"/>
      <c r="QGX507" s="28"/>
      <c r="QGY507" s="324"/>
      <c r="QGZ507" s="324"/>
      <c r="QHA507" s="324"/>
      <c r="QHB507" s="324"/>
      <c r="QHC507" s="324"/>
      <c r="QHD507" s="324"/>
      <c r="QHE507" s="256"/>
      <c r="QHF507" s="325"/>
      <c r="QHG507" s="311"/>
      <c r="QHH507" s="325"/>
      <c r="QHI507" s="310"/>
      <c r="QHJ507" s="325"/>
      <c r="QHK507" s="325"/>
      <c r="QHL507" s="325"/>
      <c r="QHM507" s="325"/>
      <c r="QHN507" s="325"/>
      <c r="QHO507" s="325"/>
      <c r="QHP507" s="325"/>
      <c r="QHQ507" s="325"/>
      <c r="QHR507" s="325"/>
      <c r="QHS507" s="325"/>
      <c r="QHT507" s="325"/>
      <c r="QHU507" s="325"/>
      <c r="QHV507" s="325"/>
      <c r="QHW507" s="325"/>
      <c r="QHX507" s="325"/>
      <c r="QHY507" s="325"/>
      <c r="QHZ507" s="325"/>
      <c r="QIA507" s="325"/>
      <c r="QIB507" s="325"/>
      <c r="QIC507" s="325"/>
      <c r="QID507" s="325"/>
      <c r="QIE507" s="325"/>
      <c r="QIF507" s="325"/>
      <c r="QIG507" s="325"/>
      <c r="QIH507" s="325"/>
      <c r="QII507" s="325"/>
      <c r="QIJ507" s="325"/>
      <c r="QIK507" s="325"/>
      <c r="QIL507" s="325"/>
      <c r="QIM507" s="325"/>
      <c r="QIN507" s="327"/>
      <c r="QIO507" s="28"/>
      <c r="QIP507" s="324"/>
      <c r="QIQ507" s="324"/>
      <c r="QIR507" s="324"/>
      <c r="QIS507" s="324"/>
      <c r="QIT507" s="324"/>
      <c r="QIU507" s="324"/>
      <c r="QIV507" s="256"/>
      <c r="QIW507" s="325"/>
      <c r="QIX507" s="311"/>
      <c r="QIY507" s="325"/>
      <c r="QIZ507" s="310"/>
      <c r="QJA507" s="325"/>
      <c r="QJB507" s="325"/>
      <c r="QJC507" s="325"/>
      <c r="QJD507" s="325"/>
      <c r="QJE507" s="325"/>
      <c r="QJF507" s="325"/>
      <c r="QJG507" s="325"/>
      <c r="QJH507" s="325"/>
      <c r="QJI507" s="325"/>
      <c r="QJJ507" s="325"/>
      <c r="QJK507" s="325"/>
      <c r="QJL507" s="325"/>
      <c r="QJM507" s="325"/>
      <c r="QJN507" s="325"/>
      <c r="QJO507" s="325"/>
      <c r="QJP507" s="325"/>
      <c r="QJQ507" s="325"/>
      <c r="QJR507" s="325"/>
      <c r="QJS507" s="325"/>
      <c r="QJT507" s="325"/>
      <c r="QJU507" s="325"/>
      <c r="QJV507" s="325"/>
      <c r="QJW507" s="325"/>
      <c r="QJX507" s="325"/>
      <c r="QJY507" s="325"/>
      <c r="QJZ507" s="325"/>
      <c r="QKA507" s="325"/>
      <c r="QKB507" s="325"/>
      <c r="QKC507" s="325"/>
      <c r="QKD507" s="325"/>
      <c r="QKE507" s="327"/>
      <c r="QKF507" s="28"/>
      <c r="QKG507" s="324"/>
      <c r="QKH507" s="324"/>
      <c r="QKI507" s="324"/>
      <c r="QKJ507" s="324"/>
      <c r="QKK507" s="324"/>
      <c r="QKL507" s="324"/>
      <c r="QKM507" s="256"/>
      <c r="QKN507" s="325"/>
      <c r="QKO507" s="311"/>
      <c r="QKP507" s="325"/>
      <c r="QKQ507" s="310"/>
      <c r="QKR507" s="325"/>
      <c r="QKS507" s="325"/>
      <c r="QKT507" s="325"/>
      <c r="QKU507" s="325"/>
      <c r="QKV507" s="325"/>
      <c r="QKW507" s="325"/>
      <c r="QKX507" s="325"/>
      <c r="QKY507" s="325"/>
      <c r="QKZ507" s="325"/>
      <c r="QLA507" s="325"/>
      <c r="QLB507" s="325"/>
      <c r="QLC507" s="325"/>
      <c r="QLD507" s="325"/>
      <c r="QLE507" s="325"/>
      <c r="QLF507" s="325"/>
      <c r="QLG507" s="325"/>
      <c r="QLH507" s="325"/>
      <c r="QLI507" s="325"/>
      <c r="QLJ507" s="325"/>
      <c r="QLK507" s="325"/>
      <c r="QLL507" s="325"/>
      <c r="QLM507" s="325"/>
      <c r="QLN507" s="325"/>
      <c r="QLO507" s="325"/>
      <c r="QLP507" s="325"/>
      <c r="QLQ507" s="325"/>
      <c r="QLR507" s="325"/>
      <c r="QLS507" s="325"/>
      <c r="QLT507" s="325"/>
      <c r="QLU507" s="325"/>
      <c r="QLV507" s="327"/>
      <c r="QLW507" s="28"/>
      <c r="QLX507" s="324"/>
      <c r="QLY507" s="324"/>
      <c r="QLZ507" s="324"/>
      <c r="QMA507" s="324"/>
      <c r="QMB507" s="324"/>
      <c r="QMC507" s="324"/>
      <c r="QMD507" s="256"/>
      <c r="QME507" s="325"/>
      <c r="QMF507" s="311"/>
      <c r="QMG507" s="325"/>
      <c r="QMH507" s="310"/>
      <c r="QMI507" s="325"/>
      <c r="QMJ507" s="325"/>
      <c r="QMK507" s="325"/>
      <c r="QML507" s="325"/>
      <c r="QMM507" s="325"/>
      <c r="QMN507" s="325"/>
      <c r="QMO507" s="325"/>
      <c r="QMP507" s="325"/>
      <c r="QMQ507" s="325"/>
      <c r="QMR507" s="325"/>
      <c r="QMS507" s="325"/>
      <c r="QMT507" s="325"/>
      <c r="QMU507" s="325"/>
      <c r="QMV507" s="325"/>
      <c r="QMW507" s="325"/>
      <c r="QMX507" s="325"/>
      <c r="QMY507" s="325"/>
      <c r="QMZ507" s="325"/>
      <c r="QNA507" s="325"/>
      <c r="QNB507" s="325"/>
      <c r="QNC507" s="325"/>
      <c r="QND507" s="325"/>
      <c r="QNE507" s="325"/>
      <c r="QNF507" s="325"/>
      <c r="QNG507" s="325"/>
      <c r="QNH507" s="325"/>
      <c r="QNI507" s="325"/>
      <c r="QNJ507" s="325"/>
      <c r="QNK507" s="325"/>
      <c r="QNL507" s="325"/>
      <c r="QNM507" s="327"/>
      <c r="QNN507" s="28"/>
      <c r="QNO507" s="324"/>
      <c r="QNP507" s="324"/>
      <c r="QNQ507" s="324"/>
      <c r="QNR507" s="324"/>
      <c r="QNS507" s="324"/>
      <c r="QNT507" s="324"/>
      <c r="QNU507" s="256"/>
      <c r="QNV507" s="325"/>
      <c r="QNW507" s="311"/>
      <c r="QNX507" s="325"/>
      <c r="QNY507" s="310"/>
      <c r="QNZ507" s="325"/>
      <c r="QOA507" s="325"/>
      <c r="QOB507" s="325"/>
      <c r="QOC507" s="325"/>
      <c r="QOD507" s="325"/>
      <c r="QOE507" s="325"/>
      <c r="QOF507" s="325"/>
      <c r="QOG507" s="325"/>
      <c r="QOH507" s="325"/>
      <c r="QOI507" s="325"/>
      <c r="QOJ507" s="325"/>
      <c r="QOK507" s="325"/>
      <c r="QOL507" s="325"/>
      <c r="QOM507" s="325"/>
      <c r="QON507" s="325"/>
      <c r="QOO507" s="325"/>
      <c r="QOP507" s="325"/>
      <c r="QOQ507" s="325"/>
      <c r="QOR507" s="325"/>
      <c r="QOS507" s="325"/>
      <c r="QOT507" s="325"/>
      <c r="QOU507" s="325"/>
      <c r="QOV507" s="325"/>
      <c r="QOW507" s="325"/>
      <c r="QOX507" s="325"/>
      <c r="QOY507" s="325"/>
      <c r="QOZ507" s="325"/>
      <c r="QPA507" s="325"/>
      <c r="QPB507" s="325"/>
      <c r="QPC507" s="325"/>
      <c r="QPD507" s="327"/>
      <c r="QPE507" s="28"/>
      <c r="QPF507" s="324"/>
      <c r="QPG507" s="324"/>
      <c r="QPH507" s="324"/>
      <c r="QPI507" s="324"/>
      <c r="QPJ507" s="324"/>
      <c r="QPK507" s="324"/>
      <c r="QPL507" s="256"/>
      <c r="QPM507" s="325"/>
      <c r="QPN507" s="311"/>
      <c r="QPO507" s="325"/>
      <c r="QPP507" s="310"/>
      <c r="QPQ507" s="325"/>
      <c r="QPR507" s="325"/>
      <c r="QPS507" s="325"/>
      <c r="QPT507" s="325"/>
      <c r="QPU507" s="325"/>
      <c r="QPV507" s="325"/>
      <c r="QPW507" s="325"/>
      <c r="QPX507" s="325"/>
      <c r="QPY507" s="325"/>
      <c r="QPZ507" s="325"/>
      <c r="QQA507" s="325"/>
      <c r="QQB507" s="325"/>
      <c r="QQC507" s="325"/>
      <c r="QQD507" s="325"/>
      <c r="QQE507" s="325"/>
      <c r="QQF507" s="325"/>
      <c r="QQG507" s="325"/>
      <c r="QQH507" s="325"/>
      <c r="QQI507" s="325"/>
      <c r="QQJ507" s="325"/>
      <c r="QQK507" s="325"/>
      <c r="QQL507" s="325"/>
      <c r="QQM507" s="325"/>
      <c r="QQN507" s="325"/>
      <c r="QQO507" s="325"/>
      <c r="QQP507" s="325"/>
      <c r="QQQ507" s="325"/>
      <c r="QQR507" s="325"/>
      <c r="QQS507" s="325"/>
      <c r="QQT507" s="325"/>
      <c r="QQU507" s="327"/>
      <c r="QQV507" s="28"/>
      <c r="QQW507" s="324"/>
      <c r="QQX507" s="324"/>
      <c r="QQY507" s="324"/>
      <c r="QQZ507" s="324"/>
      <c r="QRA507" s="324"/>
      <c r="QRB507" s="324"/>
      <c r="QRC507" s="256"/>
      <c r="QRD507" s="325"/>
      <c r="QRE507" s="311"/>
      <c r="QRF507" s="325"/>
      <c r="QRG507" s="310"/>
      <c r="QRH507" s="325"/>
      <c r="QRI507" s="325"/>
      <c r="QRJ507" s="325"/>
      <c r="QRK507" s="325"/>
      <c r="QRL507" s="325"/>
      <c r="QRM507" s="325"/>
      <c r="QRN507" s="325"/>
      <c r="QRO507" s="325"/>
      <c r="QRP507" s="325"/>
      <c r="QRQ507" s="325"/>
      <c r="QRR507" s="325"/>
      <c r="QRS507" s="325"/>
      <c r="QRT507" s="325"/>
      <c r="QRU507" s="325"/>
      <c r="QRV507" s="325"/>
      <c r="QRW507" s="325"/>
      <c r="QRX507" s="325"/>
      <c r="QRY507" s="325"/>
      <c r="QRZ507" s="325"/>
      <c r="QSA507" s="325"/>
      <c r="QSB507" s="325"/>
      <c r="QSC507" s="325"/>
      <c r="QSD507" s="325"/>
      <c r="QSE507" s="325"/>
      <c r="QSF507" s="325"/>
      <c r="QSG507" s="325"/>
      <c r="QSH507" s="325"/>
      <c r="QSI507" s="325"/>
      <c r="QSJ507" s="325"/>
      <c r="QSK507" s="325"/>
      <c r="QSL507" s="327"/>
      <c r="QSM507" s="28"/>
      <c r="QSN507" s="324"/>
      <c r="QSO507" s="324"/>
      <c r="QSP507" s="324"/>
      <c r="QSQ507" s="324"/>
      <c r="QSR507" s="324"/>
      <c r="QSS507" s="324"/>
      <c r="QST507" s="256"/>
      <c r="QSU507" s="325"/>
      <c r="QSV507" s="311"/>
      <c r="QSW507" s="325"/>
      <c r="QSX507" s="310"/>
      <c r="QSY507" s="325"/>
      <c r="QSZ507" s="325"/>
      <c r="QTA507" s="325"/>
      <c r="QTB507" s="325"/>
      <c r="QTC507" s="325"/>
      <c r="QTD507" s="325"/>
      <c r="QTE507" s="325"/>
      <c r="QTF507" s="325"/>
      <c r="QTG507" s="325"/>
      <c r="QTH507" s="325"/>
      <c r="QTI507" s="325"/>
      <c r="QTJ507" s="325"/>
      <c r="QTK507" s="325"/>
      <c r="QTL507" s="325"/>
      <c r="QTM507" s="325"/>
      <c r="QTN507" s="325"/>
      <c r="QTO507" s="325"/>
      <c r="QTP507" s="325"/>
      <c r="QTQ507" s="325"/>
      <c r="QTR507" s="325"/>
      <c r="QTS507" s="325"/>
      <c r="QTT507" s="325"/>
      <c r="QTU507" s="325"/>
      <c r="QTV507" s="325"/>
      <c r="QTW507" s="325"/>
      <c r="QTX507" s="325"/>
      <c r="QTY507" s="325"/>
      <c r="QTZ507" s="325"/>
      <c r="QUA507" s="325"/>
      <c r="QUB507" s="325"/>
      <c r="QUC507" s="327"/>
      <c r="QUD507" s="28"/>
      <c r="QUE507" s="324"/>
      <c r="QUF507" s="324"/>
      <c r="QUG507" s="324"/>
      <c r="QUH507" s="324"/>
      <c r="QUI507" s="324"/>
      <c r="QUJ507" s="324"/>
      <c r="QUK507" s="256"/>
      <c r="QUL507" s="325"/>
      <c r="QUM507" s="311"/>
      <c r="QUN507" s="325"/>
      <c r="QUO507" s="310"/>
      <c r="QUP507" s="325"/>
      <c r="QUQ507" s="325"/>
      <c r="QUR507" s="325"/>
      <c r="QUS507" s="325"/>
      <c r="QUT507" s="325"/>
      <c r="QUU507" s="325"/>
      <c r="QUV507" s="325"/>
      <c r="QUW507" s="325"/>
      <c r="QUX507" s="325"/>
      <c r="QUY507" s="325"/>
      <c r="QUZ507" s="325"/>
      <c r="QVA507" s="325"/>
      <c r="QVB507" s="325"/>
      <c r="QVC507" s="325"/>
      <c r="QVD507" s="325"/>
      <c r="QVE507" s="325"/>
      <c r="QVF507" s="325"/>
      <c r="QVG507" s="325"/>
      <c r="QVH507" s="325"/>
      <c r="QVI507" s="325"/>
      <c r="QVJ507" s="325"/>
      <c r="QVK507" s="325"/>
      <c r="QVL507" s="325"/>
      <c r="QVM507" s="325"/>
      <c r="QVN507" s="325"/>
      <c r="QVO507" s="325"/>
      <c r="QVP507" s="325"/>
      <c r="QVQ507" s="325"/>
      <c r="QVR507" s="325"/>
      <c r="QVS507" s="325"/>
      <c r="QVT507" s="327"/>
      <c r="QVU507" s="28"/>
      <c r="QVV507" s="324"/>
      <c r="QVW507" s="324"/>
      <c r="QVX507" s="324"/>
      <c r="QVY507" s="324"/>
      <c r="QVZ507" s="324"/>
      <c r="QWA507" s="324"/>
      <c r="QWB507" s="256"/>
      <c r="QWC507" s="325"/>
      <c r="QWD507" s="311"/>
      <c r="QWE507" s="325"/>
      <c r="QWF507" s="310"/>
      <c r="QWG507" s="325"/>
      <c r="QWH507" s="325"/>
      <c r="QWI507" s="325"/>
      <c r="QWJ507" s="325"/>
      <c r="QWK507" s="325"/>
      <c r="QWL507" s="325"/>
      <c r="QWM507" s="325"/>
      <c r="QWN507" s="325"/>
      <c r="QWO507" s="325"/>
      <c r="QWP507" s="325"/>
      <c r="QWQ507" s="325"/>
      <c r="QWR507" s="325"/>
      <c r="QWS507" s="325"/>
      <c r="QWT507" s="325"/>
      <c r="QWU507" s="325"/>
      <c r="QWV507" s="325"/>
      <c r="QWW507" s="325"/>
      <c r="QWX507" s="325"/>
      <c r="QWY507" s="325"/>
      <c r="QWZ507" s="325"/>
      <c r="QXA507" s="325"/>
      <c r="QXB507" s="325"/>
      <c r="QXC507" s="325"/>
      <c r="QXD507" s="325"/>
      <c r="QXE507" s="325"/>
      <c r="QXF507" s="325"/>
      <c r="QXG507" s="325"/>
      <c r="QXH507" s="325"/>
      <c r="QXI507" s="325"/>
      <c r="QXJ507" s="325"/>
      <c r="QXK507" s="327"/>
      <c r="QXL507" s="28"/>
      <c r="QXM507" s="324"/>
      <c r="QXN507" s="324"/>
      <c r="QXO507" s="324"/>
      <c r="QXP507" s="324"/>
      <c r="QXQ507" s="324"/>
      <c r="QXR507" s="324"/>
      <c r="QXS507" s="256"/>
      <c r="QXT507" s="325"/>
      <c r="QXU507" s="311"/>
      <c r="QXV507" s="325"/>
      <c r="QXW507" s="310"/>
      <c r="QXX507" s="325"/>
      <c r="QXY507" s="325"/>
      <c r="QXZ507" s="325"/>
      <c r="QYA507" s="325"/>
      <c r="QYB507" s="325"/>
      <c r="QYC507" s="325"/>
      <c r="QYD507" s="325"/>
      <c r="QYE507" s="325"/>
      <c r="QYF507" s="325"/>
      <c r="QYG507" s="325"/>
      <c r="QYH507" s="325"/>
      <c r="QYI507" s="325"/>
      <c r="QYJ507" s="325"/>
      <c r="QYK507" s="325"/>
      <c r="QYL507" s="325"/>
      <c r="QYM507" s="325"/>
      <c r="QYN507" s="325"/>
      <c r="QYO507" s="325"/>
      <c r="QYP507" s="325"/>
      <c r="QYQ507" s="325"/>
      <c r="QYR507" s="325"/>
      <c r="QYS507" s="325"/>
      <c r="QYT507" s="325"/>
      <c r="QYU507" s="325"/>
      <c r="QYV507" s="325"/>
      <c r="QYW507" s="325"/>
      <c r="QYX507" s="325"/>
      <c r="QYY507" s="325"/>
      <c r="QYZ507" s="325"/>
      <c r="QZA507" s="325"/>
      <c r="QZB507" s="327"/>
      <c r="QZC507" s="28"/>
      <c r="QZD507" s="324"/>
      <c r="QZE507" s="324"/>
      <c r="QZF507" s="324"/>
      <c r="QZG507" s="324"/>
      <c r="QZH507" s="324"/>
      <c r="QZI507" s="324"/>
      <c r="QZJ507" s="256"/>
      <c r="QZK507" s="325"/>
      <c r="QZL507" s="311"/>
      <c r="QZM507" s="325"/>
      <c r="QZN507" s="310"/>
      <c r="QZO507" s="325"/>
      <c r="QZP507" s="325"/>
      <c r="QZQ507" s="325"/>
      <c r="QZR507" s="325"/>
      <c r="QZS507" s="325"/>
      <c r="QZT507" s="325"/>
      <c r="QZU507" s="325"/>
      <c r="QZV507" s="325"/>
      <c r="QZW507" s="325"/>
      <c r="QZX507" s="325"/>
      <c r="QZY507" s="325"/>
      <c r="QZZ507" s="325"/>
      <c r="RAA507" s="325"/>
      <c r="RAB507" s="325"/>
      <c r="RAC507" s="325"/>
      <c r="RAD507" s="325"/>
      <c r="RAE507" s="325"/>
      <c r="RAF507" s="325"/>
      <c r="RAG507" s="325"/>
      <c r="RAH507" s="325"/>
      <c r="RAI507" s="325"/>
      <c r="RAJ507" s="325"/>
      <c r="RAK507" s="325"/>
      <c r="RAL507" s="325"/>
      <c r="RAM507" s="325"/>
      <c r="RAN507" s="325"/>
      <c r="RAO507" s="325"/>
      <c r="RAP507" s="325"/>
      <c r="RAQ507" s="325"/>
      <c r="RAR507" s="325"/>
      <c r="RAS507" s="327"/>
      <c r="RAT507" s="28"/>
      <c r="RAU507" s="324"/>
      <c r="RAV507" s="324"/>
      <c r="RAW507" s="324"/>
      <c r="RAX507" s="324"/>
      <c r="RAY507" s="324"/>
      <c r="RAZ507" s="324"/>
      <c r="RBA507" s="256"/>
      <c r="RBB507" s="325"/>
      <c r="RBC507" s="311"/>
      <c r="RBD507" s="325"/>
      <c r="RBE507" s="310"/>
      <c r="RBF507" s="325"/>
      <c r="RBG507" s="325"/>
      <c r="RBH507" s="325"/>
      <c r="RBI507" s="325"/>
      <c r="RBJ507" s="325"/>
      <c r="RBK507" s="325"/>
      <c r="RBL507" s="325"/>
      <c r="RBM507" s="325"/>
      <c r="RBN507" s="325"/>
      <c r="RBO507" s="325"/>
      <c r="RBP507" s="325"/>
      <c r="RBQ507" s="325"/>
      <c r="RBR507" s="325"/>
      <c r="RBS507" s="325"/>
      <c r="RBT507" s="325"/>
      <c r="RBU507" s="325"/>
      <c r="RBV507" s="325"/>
      <c r="RBW507" s="325"/>
      <c r="RBX507" s="325"/>
      <c r="RBY507" s="325"/>
      <c r="RBZ507" s="325"/>
      <c r="RCA507" s="325"/>
      <c r="RCB507" s="325"/>
      <c r="RCC507" s="325"/>
      <c r="RCD507" s="325"/>
      <c r="RCE507" s="325"/>
      <c r="RCF507" s="325"/>
      <c r="RCG507" s="325"/>
      <c r="RCH507" s="325"/>
      <c r="RCI507" s="325"/>
      <c r="RCJ507" s="327"/>
      <c r="RCK507" s="28"/>
      <c r="RCL507" s="324"/>
      <c r="RCM507" s="324"/>
      <c r="RCN507" s="324"/>
      <c r="RCO507" s="324"/>
      <c r="RCP507" s="324"/>
      <c r="RCQ507" s="324"/>
      <c r="RCR507" s="256"/>
      <c r="RCS507" s="325"/>
      <c r="RCT507" s="311"/>
      <c r="RCU507" s="325"/>
      <c r="RCV507" s="310"/>
      <c r="RCW507" s="325"/>
      <c r="RCX507" s="325"/>
      <c r="RCY507" s="325"/>
      <c r="RCZ507" s="325"/>
      <c r="RDA507" s="325"/>
      <c r="RDB507" s="325"/>
      <c r="RDC507" s="325"/>
      <c r="RDD507" s="325"/>
      <c r="RDE507" s="325"/>
      <c r="RDF507" s="325"/>
      <c r="RDG507" s="325"/>
      <c r="RDH507" s="325"/>
      <c r="RDI507" s="325"/>
      <c r="RDJ507" s="325"/>
      <c r="RDK507" s="325"/>
      <c r="RDL507" s="325"/>
      <c r="RDM507" s="325"/>
      <c r="RDN507" s="325"/>
      <c r="RDO507" s="325"/>
      <c r="RDP507" s="325"/>
      <c r="RDQ507" s="325"/>
      <c r="RDR507" s="325"/>
      <c r="RDS507" s="325"/>
      <c r="RDT507" s="325"/>
      <c r="RDU507" s="325"/>
      <c r="RDV507" s="325"/>
      <c r="RDW507" s="325"/>
      <c r="RDX507" s="325"/>
      <c r="RDY507" s="325"/>
      <c r="RDZ507" s="325"/>
      <c r="REA507" s="327"/>
      <c r="REB507" s="28"/>
      <c r="REC507" s="324"/>
      <c r="RED507" s="324"/>
      <c r="REE507" s="324"/>
      <c r="REF507" s="324"/>
      <c r="REG507" s="324"/>
      <c r="REH507" s="324"/>
      <c r="REI507" s="256"/>
      <c r="REJ507" s="325"/>
      <c r="REK507" s="311"/>
      <c r="REL507" s="325"/>
      <c r="REM507" s="310"/>
      <c r="REN507" s="325"/>
      <c r="REO507" s="325"/>
      <c r="REP507" s="325"/>
      <c r="REQ507" s="325"/>
      <c r="RER507" s="325"/>
      <c r="RES507" s="325"/>
      <c r="RET507" s="325"/>
      <c r="REU507" s="325"/>
      <c r="REV507" s="325"/>
      <c r="REW507" s="325"/>
      <c r="REX507" s="325"/>
      <c r="REY507" s="325"/>
      <c r="REZ507" s="325"/>
      <c r="RFA507" s="325"/>
      <c r="RFB507" s="325"/>
      <c r="RFC507" s="325"/>
      <c r="RFD507" s="325"/>
      <c r="RFE507" s="325"/>
      <c r="RFF507" s="325"/>
      <c r="RFG507" s="325"/>
      <c r="RFH507" s="325"/>
      <c r="RFI507" s="325"/>
      <c r="RFJ507" s="325"/>
      <c r="RFK507" s="325"/>
      <c r="RFL507" s="325"/>
      <c r="RFM507" s="325"/>
      <c r="RFN507" s="325"/>
      <c r="RFO507" s="325"/>
      <c r="RFP507" s="325"/>
      <c r="RFQ507" s="325"/>
      <c r="RFR507" s="327"/>
      <c r="RFS507" s="28"/>
      <c r="RFT507" s="324"/>
      <c r="RFU507" s="324"/>
      <c r="RFV507" s="324"/>
      <c r="RFW507" s="324"/>
      <c r="RFX507" s="324"/>
      <c r="RFY507" s="324"/>
      <c r="RFZ507" s="256"/>
      <c r="RGA507" s="325"/>
      <c r="RGB507" s="311"/>
      <c r="RGC507" s="325"/>
      <c r="RGD507" s="310"/>
      <c r="RGE507" s="325"/>
      <c r="RGF507" s="325"/>
      <c r="RGG507" s="325"/>
      <c r="RGH507" s="325"/>
      <c r="RGI507" s="325"/>
      <c r="RGJ507" s="325"/>
      <c r="RGK507" s="325"/>
      <c r="RGL507" s="325"/>
      <c r="RGM507" s="325"/>
      <c r="RGN507" s="325"/>
      <c r="RGO507" s="325"/>
      <c r="RGP507" s="325"/>
      <c r="RGQ507" s="325"/>
      <c r="RGR507" s="325"/>
      <c r="RGS507" s="325"/>
      <c r="RGT507" s="325"/>
      <c r="RGU507" s="325"/>
      <c r="RGV507" s="325"/>
      <c r="RGW507" s="325"/>
      <c r="RGX507" s="325"/>
      <c r="RGY507" s="325"/>
      <c r="RGZ507" s="325"/>
      <c r="RHA507" s="325"/>
      <c r="RHB507" s="325"/>
      <c r="RHC507" s="325"/>
      <c r="RHD507" s="325"/>
      <c r="RHE507" s="325"/>
      <c r="RHF507" s="325"/>
      <c r="RHG507" s="325"/>
      <c r="RHH507" s="325"/>
      <c r="RHI507" s="327"/>
      <c r="RHJ507" s="28"/>
      <c r="RHK507" s="324"/>
      <c r="RHL507" s="324"/>
      <c r="RHM507" s="324"/>
      <c r="RHN507" s="324"/>
      <c r="RHO507" s="324"/>
      <c r="RHP507" s="324"/>
      <c r="RHQ507" s="256"/>
      <c r="RHR507" s="325"/>
      <c r="RHS507" s="311"/>
      <c r="RHT507" s="325"/>
      <c r="RHU507" s="310"/>
      <c r="RHV507" s="325"/>
      <c r="RHW507" s="325"/>
      <c r="RHX507" s="325"/>
      <c r="RHY507" s="325"/>
      <c r="RHZ507" s="325"/>
      <c r="RIA507" s="325"/>
      <c r="RIB507" s="325"/>
      <c r="RIC507" s="325"/>
      <c r="RID507" s="325"/>
      <c r="RIE507" s="325"/>
      <c r="RIF507" s="325"/>
      <c r="RIG507" s="325"/>
      <c r="RIH507" s="325"/>
      <c r="RII507" s="325"/>
      <c r="RIJ507" s="325"/>
      <c r="RIK507" s="325"/>
      <c r="RIL507" s="325"/>
      <c r="RIM507" s="325"/>
      <c r="RIN507" s="325"/>
      <c r="RIO507" s="325"/>
      <c r="RIP507" s="325"/>
      <c r="RIQ507" s="325"/>
      <c r="RIR507" s="325"/>
      <c r="RIS507" s="325"/>
      <c r="RIT507" s="325"/>
      <c r="RIU507" s="325"/>
      <c r="RIV507" s="325"/>
      <c r="RIW507" s="325"/>
      <c r="RIX507" s="325"/>
      <c r="RIY507" s="325"/>
      <c r="RIZ507" s="327"/>
      <c r="RJA507" s="28"/>
      <c r="RJB507" s="324"/>
      <c r="RJC507" s="324"/>
      <c r="RJD507" s="324"/>
      <c r="RJE507" s="324"/>
      <c r="RJF507" s="324"/>
      <c r="RJG507" s="324"/>
      <c r="RJH507" s="256"/>
      <c r="RJI507" s="325"/>
      <c r="RJJ507" s="311"/>
      <c r="RJK507" s="325"/>
      <c r="RJL507" s="310"/>
      <c r="RJM507" s="325"/>
      <c r="RJN507" s="325"/>
      <c r="RJO507" s="325"/>
      <c r="RJP507" s="325"/>
      <c r="RJQ507" s="325"/>
      <c r="RJR507" s="325"/>
      <c r="RJS507" s="325"/>
      <c r="RJT507" s="325"/>
      <c r="RJU507" s="325"/>
      <c r="RJV507" s="325"/>
      <c r="RJW507" s="325"/>
      <c r="RJX507" s="325"/>
      <c r="RJY507" s="325"/>
      <c r="RJZ507" s="325"/>
      <c r="RKA507" s="325"/>
      <c r="RKB507" s="325"/>
      <c r="RKC507" s="325"/>
      <c r="RKD507" s="325"/>
      <c r="RKE507" s="325"/>
      <c r="RKF507" s="325"/>
      <c r="RKG507" s="325"/>
      <c r="RKH507" s="325"/>
      <c r="RKI507" s="325"/>
      <c r="RKJ507" s="325"/>
      <c r="RKK507" s="325"/>
      <c r="RKL507" s="325"/>
      <c r="RKM507" s="325"/>
      <c r="RKN507" s="325"/>
      <c r="RKO507" s="325"/>
      <c r="RKP507" s="325"/>
      <c r="RKQ507" s="327"/>
      <c r="RKR507" s="28"/>
      <c r="RKS507" s="324"/>
      <c r="RKT507" s="324"/>
      <c r="RKU507" s="324"/>
      <c r="RKV507" s="324"/>
      <c r="RKW507" s="324"/>
      <c r="RKX507" s="324"/>
      <c r="RKY507" s="256"/>
      <c r="RKZ507" s="325"/>
      <c r="RLA507" s="311"/>
      <c r="RLB507" s="325"/>
      <c r="RLC507" s="310"/>
      <c r="RLD507" s="325"/>
      <c r="RLE507" s="325"/>
      <c r="RLF507" s="325"/>
      <c r="RLG507" s="325"/>
      <c r="RLH507" s="325"/>
      <c r="RLI507" s="325"/>
      <c r="RLJ507" s="325"/>
      <c r="RLK507" s="325"/>
      <c r="RLL507" s="325"/>
      <c r="RLM507" s="325"/>
      <c r="RLN507" s="325"/>
      <c r="RLO507" s="325"/>
      <c r="RLP507" s="325"/>
      <c r="RLQ507" s="325"/>
      <c r="RLR507" s="325"/>
      <c r="RLS507" s="325"/>
      <c r="RLT507" s="325"/>
      <c r="RLU507" s="325"/>
      <c r="RLV507" s="325"/>
      <c r="RLW507" s="325"/>
      <c r="RLX507" s="325"/>
      <c r="RLY507" s="325"/>
      <c r="RLZ507" s="325"/>
      <c r="RMA507" s="325"/>
      <c r="RMB507" s="325"/>
      <c r="RMC507" s="325"/>
      <c r="RMD507" s="325"/>
      <c r="RME507" s="325"/>
      <c r="RMF507" s="325"/>
      <c r="RMG507" s="325"/>
      <c r="RMH507" s="327"/>
      <c r="RMI507" s="28"/>
      <c r="RMJ507" s="324"/>
      <c r="RMK507" s="324"/>
      <c r="RML507" s="324"/>
      <c r="RMM507" s="324"/>
      <c r="RMN507" s="324"/>
      <c r="RMO507" s="324"/>
      <c r="RMP507" s="256"/>
      <c r="RMQ507" s="325"/>
      <c r="RMR507" s="311"/>
      <c r="RMS507" s="325"/>
      <c r="RMT507" s="310"/>
      <c r="RMU507" s="325"/>
      <c r="RMV507" s="325"/>
      <c r="RMW507" s="325"/>
      <c r="RMX507" s="325"/>
      <c r="RMY507" s="325"/>
      <c r="RMZ507" s="325"/>
      <c r="RNA507" s="325"/>
      <c r="RNB507" s="325"/>
      <c r="RNC507" s="325"/>
      <c r="RND507" s="325"/>
      <c r="RNE507" s="325"/>
      <c r="RNF507" s="325"/>
      <c r="RNG507" s="325"/>
      <c r="RNH507" s="325"/>
      <c r="RNI507" s="325"/>
      <c r="RNJ507" s="325"/>
      <c r="RNK507" s="325"/>
      <c r="RNL507" s="325"/>
      <c r="RNM507" s="325"/>
      <c r="RNN507" s="325"/>
      <c r="RNO507" s="325"/>
      <c r="RNP507" s="325"/>
      <c r="RNQ507" s="325"/>
      <c r="RNR507" s="325"/>
      <c r="RNS507" s="325"/>
      <c r="RNT507" s="325"/>
      <c r="RNU507" s="325"/>
      <c r="RNV507" s="325"/>
      <c r="RNW507" s="325"/>
      <c r="RNX507" s="325"/>
      <c r="RNY507" s="327"/>
      <c r="RNZ507" s="28"/>
      <c r="ROA507" s="324"/>
      <c r="ROB507" s="324"/>
      <c r="ROC507" s="324"/>
      <c r="ROD507" s="324"/>
      <c r="ROE507" s="324"/>
      <c r="ROF507" s="324"/>
      <c r="ROG507" s="256"/>
      <c r="ROH507" s="325"/>
      <c r="ROI507" s="311"/>
      <c r="ROJ507" s="325"/>
      <c r="ROK507" s="310"/>
      <c r="ROL507" s="325"/>
      <c r="ROM507" s="325"/>
      <c r="RON507" s="325"/>
      <c r="ROO507" s="325"/>
      <c r="ROP507" s="325"/>
      <c r="ROQ507" s="325"/>
      <c r="ROR507" s="325"/>
      <c r="ROS507" s="325"/>
      <c r="ROT507" s="325"/>
      <c r="ROU507" s="325"/>
      <c r="ROV507" s="325"/>
      <c r="ROW507" s="325"/>
      <c r="ROX507" s="325"/>
      <c r="ROY507" s="325"/>
      <c r="ROZ507" s="325"/>
      <c r="RPA507" s="325"/>
      <c r="RPB507" s="325"/>
      <c r="RPC507" s="325"/>
      <c r="RPD507" s="325"/>
      <c r="RPE507" s="325"/>
      <c r="RPF507" s="325"/>
      <c r="RPG507" s="325"/>
      <c r="RPH507" s="325"/>
      <c r="RPI507" s="325"/>
      <c r="RPJ507" s="325"/>
      <c r="RPK507" s="325"/>
      <c r="RPL507" s="325"/>
      <c r="RPM507" s="325"/>
      <c r="RPN507" s="325"/>
      <c r="RPO507" s="325"/>
      <c r="RPP507" s="327"/>
      <c r="RPQ507" s="28"/>
      <c r="RPR507" s="324"/>
      <c r="RPS507" s="324"/>
      <c r="RPT507" s="324"/>
      <c r="RPU507" s="324"/>
      <c r="RPV507" s="324"/>
      <c r="RPW507" s="324"/>
      <c r="RPX507" s="256"/>
      <c r="RPY507" s="325"/>
      <c r="RPZ507" s="311"/>
      <c r="RQA507" s="325"/>
      <c r="RQB507" s="310"/>
      <c r="RQC507" s="325"/>
      <c r="RQD507" s="325"/>
      <c r="RQE507" s="325"/>
      <c r="RQF507" s="325"/>
      <c r="RQG507" s="325"/>
      <c r="RQH507" s="325"/>
      <c r="RQI507" s="325"/>
      <c r="RQJ507" s="325"/>
      <c r="RQK507" s="325"/>
      <c r="RQL507" s="325"/>
      <c r="RQM507" s="325"/>
      <c r="RQN507" s="325"/>
      <c r="RQO507" s="325"/>
      <c r="RQP507" s="325"/>
      <c r="RQQ507" s="325"/>
      <c r="RQR507" s="325"/>
      <c r="RQS507" s="325"/>
      <c r="RQT507" s="325"/>
      <c r="RQU507" s="325"/>
      <c r="RQV507" s="325"/>
      <c r="RQW507" s="325"/>
      <c r="RQX507" s="325"/>
      <c r="RQY507" s="325"/>
      <c r="RQZ507" s="325"/>
      <c r="RRA507" s="325"/>
      <c r="RRB507" s="325"/>
      <c r="RRC507" s="325"/>
      <c r="RRD507" s="325"/>
      <c r="RRE507" s="325"/>
      <c r="RRF507" s="325"/>
      <c r="RRG507" s="327"/>
      <c r="RRH507" s="28"/>
      <c r="RRI507" s="324"/>
      <c r="RRJ507" s="324"/>
      <c r="RRK507" s="324"/>
      <c r="RRL507" s="324"/>
      <c r="RRM507" s="324"/>
      <c r="RRN507" s="324"/>
      <c r="RRO507" s="256"/>
      <c r="RRP507" s="325"/>
      <c r="RRQ507" s="311"/>
      <c r="RRR507" s="325"/>
      <c r="RRS507" s="310"/>
      <c r="RRT507" s="325"/>
      <c r="RRU507" s="325"/>
      <c r="RRV507" s="325"/>
      <c r="RRW507" s="325"/>
      <c r="RRX507" s="325"/>
      <c r="RRY507" s="325"/>
      <c r="RRZ507" s="325"/>
      <c r="RSA507" s="325"/>
      <c r="RSB507" s="325"/>
      <c r="RSC507" s="325"/>
      <c r="RSD507" s="325"/>
      <c r="RSE507" s="325"/>
      <c r="RSF507" s="325"/>
      <c r="RSG507" s="325"/>
      <c r="RSH507" s="325"/>
      <c r="RSI507" s="325"/>
      <c r="RSJ507" s="325"/>
      <c r="RSK507" s="325"/>
      <c r="RSL507" s="325"/>
      <c r="RSM507" s="325"/>
      <c r="RSN507" s="325"/>
      <c r="RSO507" s="325"/>
      <c r="RSP507" s="325"/>
      <c r="RSQ507" s="325"/>
      <c r="RSR507" s="325"/>
      <c r="RSS507" s="325"/>
      <c r="RST507" s="325"/>
      <c r="RSU507" s="325"/>
      <c r="RSV507" s="325"/>
      <c r="RSW507" s="325"/>
      <c r="RSX507" s="327"/>
      <c r="RSY507" s="28"/>
      <c r="RSZ507" s="324"/>
      <c r="RTA507" s="324"/>
      <c r="RTB507" s="324"/>
      <c r="RTC507" s="324"/>
      <c r="RTD507" s="324"/>
      <c r="RTE507" s="324"/>
      <c r="RTF507" s="256"/>
      <c r="RTG507" s="325"/>
      <c r="RTH507" s="311"/>
      <c r="RTI507" s="325"/>
      <c r="RTJ507" s="310"/>
      <c r="RTK507" s="325"/>
      <c r="RTL507" s="325"/>
      <c r="RTM507" s="325"/>
      <c r="RTN507" s="325"/>
      <c r="RTO507" s="325"/>
      <c r="RTP507" s="325"/>
      <c r="RTQ507" s="325"/>
      <c r="RTR507" s="325"/>
      <c r="RTS507" s="325"/>
      <c r="RTT507" s="325"/>
      <c r="RTU507" s="325"/>
      <c r="RTV507" s="325"/>
      <c r="RTW507" s="325"/>
      <c r="RTX507" s="325"/>
      <c r="RTY507" s="325"/>
      <c r="RTZ507" s="325"/>
      <c r="RUA507" s="325"/>
      <c r="RUB507" s="325"/>
      <c r="RUC507" s="325"/>
      <c r="RUD507" s="325"/>
      <c r="RUE507" s="325"/>
      <c r="RUF507" s="325"/>
      <c r="RUG507" s="325"/>
      <c r="RUH507" s="325"/>
      <c r="RUI507" s="325"/>
      <c r="RUJ507" s="325"/>
      <c r="RUK507" s="325"/>
      <c r="RUL507" s="325"/>
      <c r="RUM507" s="325"/>
      <c r="RUN507" s="325"/>
      <c r="RUO507" s="327"/>
      <c r="RUP507" s="28"/>
      <c r="RUQ507" s="324"/>
      <c r="RUR507" s="324"/>
      <c r="RUS507" s="324"/>
      <c r="RUT507" s="324"/>
      <c r="RUU507" s="324"/>
      <c r="RUV507" s="324"/>
      <c r="RUW507" s="256"/>
      <c r="RUX507" s="325"/>
      <c r="RUY507" s="311"/>
      <c r="RUZ507" s="325"/>
      <c r="RVA507" s="310"/>
      <c r="RVB507" s="325"/>
      <c r="RVC507" s="325"/>
      <c r="RVD507" s="325"/>
      <c r="RVE507" s="325"/>
      <c r="RVF507" s="325"/>
      <c r="RVG507" s="325"/>
      <c r="RVH507" s="325"/>
      <c r="RVI507" s="325"/>
      <c r="RVJ507" s="325"/>
      <c r="RVK507" s="325"/>
      <c r="RVL507" s="325"/>
      <c r="RVM507" s="325"/>
      <c r="RVN507" s="325"/>
      <c r="RVO507" s="325"/>
      <c r="RVP507" s="325"/>
      <c r="RVQ507" s="325"/>
      <c r="RVR507" s="325"/>
      <c r="RVS507" s="325"/>
      <c r="RVT507" s="325"/>
      <c r="RVU507" s="325"/>
      <c r="RVV507" s="325"/>
      <c r="RVW507" s="325"/>
      <c r="RVX507" s="325"/>
      <c r="RVY507" s="325"/>
      <c r="RVZ507" s="325"/>
      <c r="RWA507" s="325"/>
      <c r="RWB507" s="325"/>
      <c r="RWC507" s="325"/>
      <c r="RWD507" s="325"/>
      <c r="RWE507" s="325"/>
      <c r="RWF507" s="327"/>
      <c r="RWG507" s="28"/>
      <c r="RWH507" s="324"/>
      <c r="RWI507" s="324"/>
      <c r="RWJ507" s="324"/>
      <c r="RWK507" s="324"/>
      <c r="RWL507" s="324"/>
      <c r="RWM507" s="324"/>
      <c r="RWN507" s="256"/>
      <c r="RWO507" s="325"/>
      <c r="RWP507" s="311"/>
      <c r="RWQ507" s="325"/>
      <c r="RWR507" s="310"/>
      <c r="RWS507" s="325"/>
      <c r="RWT507" s="325"/>
      <c r="RWU507" s="325"/>
      <c r="RWV507" s="325"/>
      <c r="RWW507" s="325"/>
      <c r="RWX507" s="325"/>
      <c r="RWY507" s="325"/>
      <c r="RWZ507" s="325"/>
      <c r="RXA507" s="325"/>
      <c r="RXB507" s="325"/>
      <c r="RXC507" s="325"/>
      <c r="RXD507" s="325"/>
      <c r="RXE507" s="325"/>
      <c r="RXF507" s="325"/>
      <c r="RXG507" s="325"/>
      <c r="RXH507" s="325"/>
      <c r="RXI507" s="325"/>
      <c r="RXJ507" s="325"/>
      <c r="RXK507" s="325"/>
      <c r="RXL507" s="325"/>
      <c r="RXM507" s="325"/>
      <c r="RXN507" s="325"/>
      <c r="RXO507" s="325"/>
      <c r="RXP507" s="325"/>
      <c r="RXQ507" s="325"/>
      <c r="RXR507" s="325"/>
      <c r="RXS507" s="325"/>
      <c r="RXT507" s="325"/>
      <c r="RXU507" s="325"/>
      <c r="RXV507" s="325"/>
      <c r="RXW507" s="327"/>
      <c r="RXX507" s="28"/>
      <c r="RXY507" s="324"/>
      <c r="RXZ507" s="324"/>
      <c r="RYA507" s="324"/>
      <c r="RYB507" s="324"/>
      <c r="RYC507" s="324"/>
      <c r="RYD507" s="324"/>
      <c r="RYE507" s="256"/>
      <c r="RYF507" s="325"/>
      <c r="RYG507" s="311"/>
      <c r="RYH507" s="325"/>
      <c r="RYI507" s="310"/>
      <c r="RYJ507" s="325"/>
      <c r="RYK507" s="325"/>
      <c r="RYL507" s="325"/>
      <c r="RYM507" s="325"/>
      <c r="RYN507" s="325"/>
      <c r="RYO507" s="325"/>
      <c r="RYP507" s="325"/>
      <c r="RYQ507" s="325"/>
      <c r="RYR507" s="325"/>
      <c r="RYS507" s="325"/>
      <c r="RYT507" s="325"/>
      <c r="RYU507" s="325"/>
      <c r="RYV507" s="325"/>
      <c r="RYW507" s="325"/>
      <c r="RYX507" s="325"/>
      <c r="RYY507" s="325"/>
      <c r="RYZ507" s="325"/>
      <c r="RZA507" s="325"/>
      <c r="RZB507" s="325"/>
      <c r="RZC507" s="325"/>
      <c r="RZD507" s="325"/>
      <c r="RZE507" s="325"/>
      <c r="RZF507" s="325"/>
      <c r="RZG507" s="325"/>
      <c r="RZH507" s="325"/>
      <c r="RZI507" s="325"/>
      <c r="RZJ507" s="325"/>
      <c r="RZK507" s="325"/>
      <c r="RZL507" s="325"/>
      <c r="RZM507" s="325"/>
      <c r="RZN507" s="327"/>
      <c r="RZO507" s="28"/>
      <c r="RZP507" s="324"/>
      <c r="RZQ507" s="324"/>
      <c r="RZR507" s="324"/>
      <c r="RZS507" s="324"/>
      <c r="RZT507" s="324"/>
      <c r="RZU507" s="324"/>
      <c r="RZV507" s="256"/>
      <c r="RZW507" s="325"/>
      <c r="RZX507" s="311"/>
      <c r="RZY507" s="325"/>
      <c r="RZZ507" s="310"/>
      <c r="SAA507" s="325"/>
      <c r="SAB507" s="325"/>
      <c r="SAC507" s="325"/>
      <c r="SAD507" s="325"/>
      <c r="SAE507" s="325"/>
      <c r="SAF507" s="325"/>
      <c r="SAG507" s="325"/>
      <c r="SAH507" s="325"/>
      <c r="SAI507" s="325"/>
      <c r="SAJ507" s="325"/>
      <c r="SAK507" s="325"/>
      <c r="SAL507" s="325"/>
      <c r="SAM507" s="325"/>
      <c r="SAN507" s="325"/>
      <c r="SAO507" s="325"/>
      <c r="SAP507" s="325"/>
      <c r="SAQ507" s="325"/>
      <c r="SAR507" s="325"/>
      <c r="SAS507" s="325"/>
      <c r="SAT507" s="325"/>
      <c r="SAU507" s="325"/>
      <c r="SAV507" s="325"/>
      <c r="SAW507" s="325"/>
      <c r="SAX507" s="325"/>
      <c r="SAY507" s="325"/>
      <c r="SAZ507" s="325"/>
      <c r="SBA507" s="325"/>
      <c r="SBB507" s="325"/>
      <c r="SBC507" s="325"/>
      <c r="SBD507" s="325"/>
      <c r="SBE507" s="327"/>
      <c r="SBF507" s="28"/>
      <c r="SBG507" s="324"/>
      <c r="SBH507" s="324"/>
      <c r="SBI507" s="324"/>
      <c r="SBJ507" s="324"/>
      <c r="SBK507" s="324"/>
      <c r="SBL507" s="324"/>
      <c r="SBM507" s="256"/>
      <c r="SBN507" s="325"/>
      <c r="SBO507" s="311"/>
      <c r="SBP507" s="325"/>
      <c r="SBQ507" s="310"/>
      <c r="SBR507" s="325"/>
      <c r="SBS507" s="325"/>
      <c r="SBT507" s="325"/>
      <c r="SBU507" s="325"/>
      <c r="SBV507" s="325"/>
      <c r="SBW507" s="325"/>
      <c r="SBX507" s="325"/>
      <c r="SBY507" s="325"/>
      <c r="SBZ507" s="325"/>
      <c r="SCA507" s="325"/>
      <c r="SCB507" s="325"/>
      <c r="SCC507" s="325"/>
      <c r="SCD507" s="325"/>
      <c r="SCE507" s="325"/>
      <c r="SCF507" s="325"/>
      <c r="SCG507" s="325"/>
      <c r="SCH507" s="325"/>
      <c r="SCI507" s="325"/>
      <c r="SCJ507" s="325"/>
      <c r="SCK507" s="325"/>
      <c r="SCL507" s="325"/>
      <c r="SCM507" s="325"/>
      <c r="SCN507" s="325"/>
      <c r="SCO507" s="325"/>
      <c r="SCP507" s="325"/>
      <c r="SCQ507" s="325"/>
      <c r="SCR507" s="325"/>
      <c r="SCS507" s="325"/>
      <c r="SCT507" s="325"/>
      <c r="SCU507" s="325"/>
      <c r="SCV507" s="327"/>
      <c r="SCW507" s="28"/>
      <c r="SCX507" s="324"/>
      <c r="SCY507" s="324"/>
      <c r="SCZ507" s="324"/>
      <c r="SDA507" s="324"/>
      <c r="SDB507" s="324"/>
      <c r="SDC507" s="324"/>
      <c r="SDD507" s="256"/>
      <c r="SDE507" s="325"/>
      <c r="SDF507" s="311"/>
      <c r="SDG507" s="325"/>
      <c r="SDH507" s="310"/>
      <c r="SDI507" s="325"/>
      <c r="SDJ507" s="325"/>
      <c r="SDK507" s="325"/>
      <c r="SDL507" s="325"/>
      <c r="SDM507" s="325"/>
      <c r="SDN507" s="325"/>
      <c r="SDO507" s="325"/>
      <c r="SDP507" s="325"/>
      <c r="SDQ507" s="325"/>
      <c r="SDR507" s="325"/>
      <c r="SDS507" s="325"/>
      <c r="SDT507" s="325"/>
      <c r="SDU507" s="325"/>
      <c r="SDV507" s="325"/>
      <c r="SDW507" s="325"/>
      <c r="SDX507" s="325"/>
      <c r="SDY507" s="325"/>
      <c r="SDZ507" s="325"/>
      <c r="SEA507" s="325"/>
      <c r="SEB507" s="325"/>
      <c r="SEC507" s="325"/>
      <c r="SED507" s="325"/>
      <c r="SEE507" s="325"/>
      <c r="SEF507" s="325"/>
      <c r="SEG507" s="325"/>
      <c r="SEH507" s="325"/>
      <c r="SEI507" s="325"/>
      <c r="SEJ507" s="325"/>
      <c r="SEK507" s="325"/>
      <c r="SEL507" s="325"/>
      <c r="SEM507" s="327"/>
      <c r="SEN507" s="28"/>
      <c r="SEO507" s="324"/>
      <c r="SEP507" s="324"/>
      <c r="SEQ507" s="324"/>
      <c r="SER507" s="324"/>
      <c r="SES507" s="324"/>
      <c r="SET507" s="324"/>
      <c r="SEU507" s="256"/>
      <c r="SEV507" s="325"/>
      <c r="SEW507" s="311"/>
      <c r="SEX507" s="325"/>
      <c r="SEY507" s="310"/>
      <c r="SEZ507" s="325"/>
      <c r="SFA507" s="325"/>
      <c r="SFB507" s="325"/>
      <c r="SFC507" s="325"/>
      <c r="SFD507" s="325"/>
      <c r="SFE507" s="325"/>
      <c r="SFF507" s="325"/>
      <c r="SFG507" s="325"/>
      <c r="SFH507" s="325"/>
      <c r="SFI507" s="325"/>
      <c r="SFJ507" s="325"/>
      <c r="SFK507" s="325"/>
      <c r="SFL507" s="325"/>
      <c r="SFM507" s="325"/>
      <c r="SFN507" s="325"/>
      <c r="SFO507" s="325"/>
      <c r="SFP507" s="325"/>
      <c r="SFQ507" s="325"/>
      <c r="SFR507" s="325"/>
      <c r="SFS507" s="325"/>
      <c r="SFT507" s="325"/>
      <c r="SFU507" s="325"/>
      <c r="SFV507" s="325"/>
      <c r="SFW507" s="325"/>
      <c r="SFX507" s="325"/>
      <c r="SFY507" s="325"/>
      <c r="SFZ507" s="325"/>
      <c r="SGA507" s="325"/>
      <c r="SGB507" s="325"/>
      <c r="SGC507" s="325"/>
      <c r="SGD507" s="327"/>
      <c r="SGE507" s="28"/>
      <c r="SGF507" s="324"/>
      <c r="SGG507" s="324"/>
      <c r="SGH507" s="324"/>
      <c r="SGI507" s="324"/>
      <c r="SGJ507" s="324"/>
      <c r="SGK507" s="324"/>
      <c r="SGL507" s="256"/>
      <c r="SGM507" s="325"/>
      <c r="SGN507" s="311"/>
      <c r="SGO507" s="325"/>
      <c r="SGP507" s="310"/>
      <c r="SGQ507" s="325"/>
      <c r="SGR507" s="325"/>
      <c r="SGS507" s="325"/>
      <c r="SGT507" s="325"/>
      <c r="SGU507" s="325"/>
      <c r="SGV507" s="325"/>
      <c r="SGW507" s="325"/>
      <c r="SGX507" s="325"/>
      <c r="SGY507" s="325"/>
      <c r="SGZ507" s="325"/>
      <c r="SHA507" s="325"/>
      <c r="SHB507" s="325"/>
      <c r="SHC507" s="325"/>
      <c r="SHD507" s="325"/>
      <c r="SHE507" s="325"/>
      <c r="SHF507" s="325"/>
      <c r="SHG507" s="325"/>
      <c r="SHH507" s="325"/>
      <c r="SHI507" s="325"/>
      <c r="SHJ507" s="325"/>
      <c r="SHK507" s="325"/>
      <c r="SHL507" s="325"/>
      <c r="SHM507" s="325"/>
      <c r="SHN507" s="325"/>
      <c r="SHO507" s="325"/>
      <c r="SHP507" s="325"/>
      <c r="SHQ507" s="325"/>
      <c r="SHR507" s="325"/>
      <c r="SHS507" s="325"/>
      <c r="SHT507" s="325"/>
      <c r="SHU507" s="327"/>
      <c r="SHV507" s="28"/>
      <c r="SHW507" s="324"/>
      <c r="SHX507" s="324"/>
      <c r="SHY507" s="324"/>
      <c r="SHZ507" s="324"/>
      <c r="SIA507" s="324"/>
      <c r="SIB507" s="324"/>
      <c r="SIC507" s="256"/>
      <c r="SID507" s="325"/>
      <c r="SIE507" s="311"/>
      <c r="SIF507" s="325"/>
      <c r="SIG507" s="310"/>
      <c r="SIH507" s="325"/>
      <c r="SII507" s="325"/>
      <c r="SIJ507" s="325"/>
      <c r="SIK507" s="325"/>
      <c r="SIL507" s="325"/>
      <c r="SIM507" s="325"/>
      <c r="SIN507" s="325"/>
      <c r="SIO507" s="325"/>
      <c r="SIP507" s="325"/>
      <c r="SIQ507" s="325"/>
      <c r="SIR507" s="325"/>
      <c r="SIS507" s="325"/>
      <c r="SIT507" s="325"/>
      <c r="SIU507" s="325"/>
      <c r="SIV507" s="325"/>
      <c r="SIW507" s="325"/>
      <c r="SIX507" s="325"/>
      <c r="SIY507" s="325"/>
      <c r="SIZ507" s="325"/>
      <c r="SJA507" s="325"/>
      <c r="SJB507" s="325"/>
      <c r="SJC507" s="325"/>
      <c r="SJD507" s="325"/>
      <c r="SJE507" s="325"/>
      <c r="SJF507" s="325"/>
      <c r="SJG507" s="325"/>
      <c r="SJH507" s="325"/>
      <c r="SJI507" s="325"/>
      <c r="SJJ507" s="325"/>
      <c r="SJK507" s="325"/>
      <c r="SJL507" s="327"/>
      <c r="SJM507" s="28"/>
      <c r="SJN507" s="324"/>
      <c r="SJO507" s="324"/>
      <c r="SJP507" s="324"/>
      <c r="SJQ507" s="324"/>
      <c r="SJR507" s="324"/>
      <c r="SJS507" s="324"/>
      <c r="SJT507" s="256"/>
      <c r="SJU507" s="325"/>
      <c r="SJV507" s="311"/>
      <c r="SJW507" s="325"/>
      <c r="SJX507" s="310"/>
      <c r="SJY507" s="325"/>
      <c r="SJZ507" s="325"/>
      <c r="SKA507" s="325"/>
      <c r="SKB507" s="325"/>
      <c r="SKC507" s="325"/>
      <c r="SKD507" s="325"/>
      <c r="SKE507" s="325"/>
      <c r="SKF507" s="325"/>
      <c r="SKG507" s="325"/>
      <c r="SKH507" s="325"/>
      <c r="SKI507" s="325"/>
      <c r="SKJ507" s="325"/>
      <c r="SKK507" s="325"/>
      <c r="SKL507" s="325"/>
      <c r="SKM507" s="325"/>
      <c r="SKN507" s="325"/>
      <c r="SKO507" s="325"/>
      <c r="SKP507" s="325"/>
      <c r="SKQ507" s="325"/>
      <c r="SKR507" s="325"/>
      <c r="SKS507" s="325"/>
      <c r="SKT507" s="325"/>
      <c r="SKU507" s="325"/>
      <c r="SKV507" s="325"/>
      <c r="SKW507" s="325"/>
      <c r="SKX507" s="325"/>
      <c r="SKY507" s="325"/>
      <c r="SKZ507" s="325"/>
      <c r="SLA507" s="325"/>
      <c r="SLB507" s="325"/>
      <c r="SLC507" s="327"/>
      <c r="SLD507" s="28"/>
      <c r="SLE507" s="324"/>
      <c r="SLF507" s="324"/>
      <c r="SLG507" s="324"/>
      <c r="SLH507" s="324"/>
      <c r="SLI507" s="324"/>
      <c r="SLJ507" s="324"/>
      <c r="SLK507" s="256"/>
      <c r="SLL507" s="325"/>
      <c r="SLM507" s="311"/>
      <c r="SLN507" s="325"/>
      <c r="SLO507" s="310"/>
      <c r="SLP507" s="325"/>
      <c r="SLQ507" s="325"/>
      <c r="SLR507" s="325"/>
      <c r="SLS507" s="325"/>
      <c r="SLT507" s="325"/>
      <c r="SLU507" s="325"/>
      <c r="SLV507" s="325"/>
      <c r="SLW507" s="325"/>
      <c r="SLX507" s="325"/>
      <c r="SLY507" s="325"/>
      <c r="SLZ507" s="325"/>
      <c r="SMA507" s="325"/>
      <c r="SMB507" s="325"/>
      <c r="SMC507" s="325"/>
      <c r="SMD507" s="325"/>
      <c r="SME507" s="325"/>
      <c r="SMF507" s="325"/>
      <c r="SMG507" s="325"/>
      <c r="SMH507" s="325"/>
      <c r="SMI507" s="325"/>
      <c r="SMJ507" s="325"/>
      <c r="SMK507" s="325"/>
      <c r="SML507" s="325"/>
      <c r="SMM507" s="325"/>
      <c r="SMN507" s="325"/>
      <c r="SMO507" s="325"/>
      <c r="SMP507" s="325"/>
      <c r="SMQ507" s="325"/>
      <c r="SMR507" s="325"/>
      <c r="SMS507" s="325"/>
      <c r="SMT507" s="327"/>
      <c r="SMU507" s="28"/>
      <c r="SMV507" s="324"/>
      <c r="SMW507" s="324"/>
      <c r="SMX507" s="324"/>
      <c r="SMY507" s="324"/>
      <c r="SMZ507" s="324"/>
      <c r="SNA507" s="324"/>
      <c r="SNB507" s="256"/>
      <c r="SNC507" s="325"/>
      <c r="SND507" s="311"/>
      <c r="SNE507" s="325"/>
      <c r="SNF507" s="310"/>
      <c r="SNG507" s="325"/>
      <c r="SNH507" s="325"/>
      <c r="SNI507" s="325"/>
      <c r="SNJ507" s="325"/>
      <c r="SNK507" s="325"/>
      <c r="SNL507" s="325"/>
      <c r="SNM507" s="325"/>
      <c r="SNN507" s="325"/>
      <c r="SNO507" s="325"/>
      <c r="SNP507" s="325"/>
      <c r="SNQ507" s="325"/>
      <c r="SNR507" s="325"/>
      <c r="SNS507" s="325"/>
      <c r="SNT507" s="325"/>
      <c r="SNU507" s="325"/>
      <c r="SNV507" s="325"/>
      <c r="SNW507" s="325"/>
      <c r="SNX507" s="325"/>
      <c r="SNY507" s="325"/>
      <c r="SNZ507" s="325"/>
      <c r="SOA507" s="325"/>
      <c r="SOB507" s="325"/>
      <c r="SOC507" s="325"/>
      <c r="SOD507" s="325"/>
      <c r="SOE507" s="325"/>
      <c r="SOF507" s="325"/>
      <c r="SOG507" s="325"/>
      <c r="SOH507" s="325"/>
      <c r="SOI507" s="325"/>
      <c r="SOJ507" s="325"/>
      <c r="SOK507" s="327"/>
      <c r="SOL507" s="28"/>
      <c r="SOM507" s="324"/>
      <c r="SON507" s="324"/>
      <c r="SOO507" s="324"/>
      <c r="SOP507" s="324"/>
      <c r="SOQ507" s="324"/>
      <c r="SOR507" s="324"/>
      <c r="SOS507" s="256"/>
      <c r="SOT507" s="325"/>
      <c r="SOU507" s="311"/>
      <c r="SOV507" s="325"/>
      <c r="SOW507" s="310"/>
      <c r="SOX507" s="325"/>
      <c r="SOY507" s="325"/>
      <c r="SOZ507" s="325"/>
      <c r="SPA507" s="325"/>
      <c r="SPB507" s="325"/>
      <c r="SPC507" s="325"/>
      <c r="SPD507" s="325"/>
      <c r="SPE507" s="325"/>
      <c r="SPF507" s="325"/>
      <c r="SPG507" s="325"/>
      <c r="SPH507" s="325"/>
      <c r="SPI507" s="325"/>
      <c r="SPJ507" s="325"/>
      <c r="SPK507" s="325"/>
      <c r="SPL507" s="325"/>
      <c r="SPM507" s="325"/>
      <c r="SPN507" s="325"/>
      <c r="SPO507" s="325"/>
      <c r="SPP507" s="325"/>
      <c r="SPQ507" s="325"/>
      <c r="SPR507" s="325"/>
      <c r="SPS507" s="325"/>
      <c r="SPT507" s="325"/>
      <c r="SPU507" s="325"/>
      <c r="SPV507" s="325"/>
      <c r="SPW507" s="325"/>
      <c r="SPX507" s="325"/>
      <c r="SPY507" s="325"/>
      <c r="SPZ507" s="325"/>
      <c r="SQA507" s="325"/>
      <c r="SQB507" s="327"/>
      <c r="SQC507" s="28"/>
      <c r="SQD507" s="324"/>
      <c r="SQE507" s="324"/>
      <c r="SQF507" s="324"/>
      <c r="SQG507" s="324"/>
      <c r="SQH507" s="324"/>
      <c r="SQI507" s="324"/>
      <c r="SQJ507" s="256"/>
      <c r="SQK507" s="325"/>
      <c r="SQL507" s="311"/>
      <c r="SQM507" s="325"/>
      <c r="SQN507" s="310"/>
      <c r="SQO507" s="325"/>
      <c r="SQP507" s="325"/>
      <c r="SQQ507" s="325"/>
      <c r="SQR507" s="325"/>
      <c r="SQS507" s="325"/>
      <c r="SQT507" s="325"/>
      <c r="SQU507" s="325"/>
      <c r="SQV507" s="325"/>
      <c r="SQW507" s="325"/>
      <c r="SQX507" s="325"/>
      <c r="SQY507" s="325"/>
      <c r="SQZ507" s="325"/>
      <c r="SRA507" s="325"/>
      <c r="SRB507" s="325"/>
      <c r="SRC507" s="325"/>
      <c r="SRD507" s="325"/>
      <c r="SRE507" s="325"/>
      <c r="SRF507" s="325"/>
      <c r="SRG507" s="325"/>
      <c r="SRH507" s="325"/>
      <c r="SRI507" s="325"/>
      <c r="SRJ507" s="325"/>
      <c r="SRK507" s="325"/>
      <c r="SRL507" s="325"/>
      <c r="SRM507" s="325"/>
      <c r="SRN507" s="325"/>
      <c r="SRO507" s="325"/>
      <c r="SRP507" s="325"/>
      <c r="SRQ507" s="325"/>
      <c r="SRR507" s="325"/>
      <c r="SRS507" s="327"/>
      <c r="SRT507" s="28"/>
      <c r="SRU507" s="324"/>
      <c r="SRV507" s="324"/>
      <c r="SRW507" s="324"/>
      <c r="SRX507" s="324"/>
      <c r="SRY507" s="324"/>
      <c r="SRZ507" s="324"/>
      <c r="SSA507" s="256"/>
      <c r="SSB507" s="325"/>
      <c r="SSC507" s="311"/>
      <c r="SSD507" s="325"/>
      <c r="SSE507" s="310"/>
      <c r="SSF507" s="325"/>
      <c r="SSG507" s="325"/>
      <c r="SSH507" s="325"/>
      <c r="SSI507" s="325"/>
      <c r="SSJ507" s="325"/>
      <c r="SSK507" s="325"/>
      <c r="SSL507" s="325"/>
      <c r="SSM507" s="325"/>
      <c r="SSN507" s="325"/>
      <c r="SSO507" s="325"/>
      <c r="SSP507" s="325"/>
      <c r="SSQ507" s="325"/>
      <c r="SSR507" s="325"/>
      <c r="SSS507" s="325"/>
      <c r="SST507" s="325"/>
      <c r="SSU507" s="325"/>
      <c r="SSV507" s="325"/>
      <c r="SSW507" s="325"/>
      <c r="SSX507" s="325"/>
      <c r="SSY507" s="325"/>
      <c r="SSZ507" s="325"/>
      <c r="STA507" s="325"/>
      <c r="STB507" s="325"/>
      <c r="STC507" s="325"/>
      <c r="STD507" s="325"/>
      <c r="STE507" s="325"/>
      <c r="STF507" s="325"/>
      <c r="STG507" s="325"/>
      <c r="STH507" s="325"/>
      <c r="STI507" s="325"/>
      <c r="STJ507" s="327"/>
      <c r="STK507" s="28"/>
      <c r="STL507" s="324"/>
      <c r="STM507" s="324"/>
      <c r="STN507" s="324"/>
      <c r="STO507" s="324"/>
      <c r="STP507" s="324"/>
      <c r="STQ507" s="324"/>
      <c r="STR507" s="256"/>
      <c r="STS507" s="325"/>
      <c r="STT507" s="311"/>
      <c r="STU507" s="325"/>
      <c r="STV507" s="310"/>
      <c r="STW507" s="325"/>
      <c r="STX507" s="325"/>
      <c r="STY507" s="325"/>
      <c r="STZ507" s="325"/>
      <c r="SUA507" s="325"/>
      <c r="SUB507" s="325"/>
      <c r="SUC507" s="325"/>
      <c r="SUD507" s="325"/>
      <c r="SUE507" s="325"/>
      <c r="SUF507" s="325"/>
      <c r="SUG507" s="325"/>
      <c r="SUH507" s="325"/>
      <c r="SUI507" s="325"/>
      <c r="SUJ507" s="325"/>
      <c r="SUK507" s="325"/>
      <c r="SUL507" s="325"/>
      <c r="SUM507" s="325"/>
      <c r="SUN507" s="325"/>
      <c r="SUO507" s="325"/>
      <c r="SUP507" s="325"/>
      <c r="SUQ507" s="325"/>
      <c r="SUR507" s="325"/>
      <c r="SUS507" s="325"/>
      <c r="SUT507" s="325"/>
      <c r="SUU507" s="325"/>
      <c r="SUV507" s="325"/>
      <c r="SUW507" s="325"/>
      <c r="SUX507" s="325"/>
      <c r="SUY507" s="325"/>
      <c r="SUZ507" s="325"/>
      <c r="SVA507" s="327"/>
      <c r="SVB507" s="28"/>
      <c r="SVC507" s="324"/>
      <c r="SVD507" s="324"/>
      <c r="SVE507" s="324"/>
      <c r="SVF507" s="324"/>
      <c r="SVG507" s="324"/>
      <c r="SVH507" s="324"/>
      <c r="SVI507" s="256"/>
      <c r="SVJ507" s="325"/>
      <c r="SVK507" s="311"/>
      <c r="SVL507" s="325"/>
      <c r="SVM507" s="310"/>
      <c r="SVN507" s="325"/>
      <c r="SVO507" s="325"/>
      <c r="SVP507" s="325"/>
      <c r="SVQ507" s="325"/>
      <c r="SVR507" s="325"/>
      <c r="SVS507" s="325"/>
      <c r="SVT507" s="325"/>
      <c r="SVU507" s="325"/>
      <c r="SVV507" s="325"/>
      <c r="SVW507" s="325"/>
      <c r="SVX507" s="325"/>
      <c r="SVY507" s="325"/>
      <c r="SVZ507" s="325"/>
      <c r="SWA507" s="325"/>
      <c r="SWB507" s="325"/>
      <c r="SWC507" s="325"/>
      <c r="SWD507" s="325"/>
      <c r="SWE507" s="325"/>
      <c r="SWF507" s="325"/>
      <c r="SWG507" s="325"/>
      <c r="SWH507" s="325"/>
      <c r="SWI507" s="325"/>
      <c r="SWJ507" s="325"/>
      <c r="SWK507" s="325"/>
      <c r="SWL507" s="325"/>
      <c r="SWM507" s="325"/>
      <c r="SWN507" s="325"/>
      <c r="SWO507" s="325"/>
      <c r="SWP507" s="325"/>
      <c r="SWQ507" s="325"/>
      <c r="SWR507" s="327"/>
      <c r="SWS507" s="28"/>
      <c r="SWT507" s="324"/>
      <c r="SWU507" s="324"/>
      <c r="SWV507" s="324"/>
      <c r="SWW507" s="324"/>
      <c r="SWX507" s="324"/>
      <c r="SWY507" s="324"/>
      <c r="SWZ507" s="256"/>
      <c r="SXA507" s="325"/>
      <c r="SXB507" s="311"/>
      <c r="SXC507" s="325"/>
      <c r="SXD507" s="310"/>
      <c r="SXE507" s="325"/>
      <c r="SXF507" s="325"/>
      <c r="SXG507" s="325"/>
      <c r="SXH507" s="325"/>
      <c r="SXI507" s="325"/>
      <c r="SXJ507" s="325"/>
      <c r="SXK507" s="325"/>
      <c r="SXL507" s="325"/>
      <c r="SXM507" s="325"/>
      <c r="SXN507" s="325"/>
      <c r="SXO507" s="325"/>
      <c r="SXP507" s="325"/>
      <c r="SXQ507" s="325"/>
      <c r="SXR507" s="325"/>
      <c r="SXS507" s="325"/>
      <c r="SXT507" s="325"/>
      <c r="SXU507" s="325"/>
      <c r="SXV507" s="325"/>
      <c r="SXW507" s="325"/>
      <c r="SXX507" s="325"/>
      <c r="SXY507" s="325"/>
      <c r="SXZ507" s="325"/>
      <c r="SYA507" s="325"/>
      <c r="SYB507" s="325"/>
      <c r="SYC507" s="325"/>
      <c r="SYD507" s="325"/>
      <c r="SYE507" s="325"/>
      <c r="SYF507" s="325"/>
      <c r="SYG507" s="325"/>
      <c r="SYH507" s="325"/>
      <c r="SYI507" s="327"/>
      <c r="SYJ507" s="28"/>
      <c r="SYK507" s="324"/>
      <c r="SYL507" s="324"/>
      <c r="SYM507" s="324"/>
      <c r="SYN507" s="324"/>
      <c r="SYO507" s="324"/>
      <c r="SYP507" s="324"/>
      <c r="SYQ507" s="256"/>
      <c r="SYR507" s="325"/>
      <c r="SYS507" s="311"/>
      <c r="SYT507" s="325"/>
      <c r="SYU507" s="310"/>
      <c r="SYV507" s="325"/>
      <c r="SYW507" s="325"/>
      <c r="SYX507" s="325"/>
      <c r="SYY507" s="325"/>
      <c r="SYZ507" s="325"/>
      <c r="SZA507" s="325"/>
      <c r="SZB507" s="325"/>
      <c r="SZC507" s="325"/>
      <c r="SZD507" s="325"/>
      <c r="SZE507" s="325"/>
      <c r="SZF507" s="325"/>
      <c r="SZG507" s="325"/>
      <c r="SZH507" s="325"/>
      <c r="SZI507" s="325"/>
      <c r="SZJ507" s="325"/>
      <c r="SZK507" s="325"/>
      <c r="SZL507" s="325"/>
      <c r="SZM507" s="325"/>
      <c r="SZN507" s="325"/>
      <c r="SZO507" s="325"/>
      <c r="SZP507" s="325"/>
      <c r="SZQ507" s="325"/>
      <c r="SZR507" s="325"/>
      <c r="SZS507" s="325"/>
      <c r="SZT507" s="325"/>
      <c r="SZU507" s="325"/>
      <c r="SZV507" s="325"/>
      <c r="SZW507" s="325"/>
      <c r="SZX507" s="325"/>
      <c r="SZY507" s="325"/>
      <c r="SZZ507" s="327"/>
      <c r="TAA507" s="28"/>
      <c r="TAB507" s="324"/>
      <c r="TAC507" s="324"/>
      <c r="TAD507" s="324"/>
      <c r="TAE507" s="324"/>
      <c r="TAF507" s="324"/>
      <c r="TAG507" s="324"/>
      <c r="TAH507" s="256"/>
      <c r="TAI507" s="325"/>
      <c r="TAJ507" s="311"/>
      <c r="TAK507" s="325"/>
      <c r="TAL507" s="310"/>
      <c r="TAM507" s="325"/>
      <c r="TAN507" s="325"/>
      <c r="TAO507" s="325"/>
      <c r="TAP507" s="325"/>
      <c r="TAQ507" s="325"/>
      <c r="TAR507" s="325"/>
      <c r="TAS507" s="325"/>
      <c r="TAT507" s="325"/>
      <c r="TAU507" s="325"/>
      <c r="TAV507" s="325"/>
      <c r="TAW507" s="325"/>
      <c r="TAX507" s="325"/>
      <c r="TAY507" s="325"/>
      <c r="TAZ507" s="325"/>
      <c r="TBA507" s="325"/>
      <c r="TBB507" s="325"/>
      <c r="TBC507" s="325"/>
      <c r="TBD507" s="325"/>
      <c r="TBE507" s="325"/>
      <c r="TBF507" s="325"/>
      <c r="TBG507" s="325"/>
      <c r="TBH507" s="325"/>
      <c r="TBI507" s="325"/>
      <c r="TBJ507" s="325"/>
      <c r="TBK507" s="325"/>
      <c r="TBL507" s="325"/>
      <c r="TBM507" s="325"/>
      <c r="TBN507" s="325"/>
      <c r="TBO507" s="325"/>
      <c r="TBP507" s="325"/>
      <c r="TBQ507" s="327"/>
      <c r="TBR507" s="28"/>
      <c r="TBS507" s="324"/>
      <c r="TBT507" s="324"/>
      <c r="TBU507" s="324"/>
      <c r="TBV507" s="324"/>
      <c r="TBW507" s="324"/>
      <c r="TBX507" s="324"/>
      <c r="TBY507" s="256"/>
      <c r="TBZ507" s="325"/>
      <c r="TCA507" s="311"/>
      <c r="TCB507" s="325"/>
      <c r="TCC507" s="310"/>
      <c r="TCD507" s="325"/>
      <c r="TCE507" s="325"/>
      <c r="TCF507" s="325"/>
      <c r="TCG507" s="325"/>
      <c r="TCH507" s="325"/>
      <c r="TCI507" s="325"/>
      <c r="TCJ507" s="325"/>
      <c r="TCK507" s="325"/>
      <c r="TCL507" s="325"/>
      <c r="TCM507" s="325"/>
      <c r="TCN507" s="325"/>
      <c r="TCO507" s="325"/>
      <c r="TCP507" s="325"/>
      <c r="TCQ507" s="325"/>
      <c r="TCR507" s="325"/>
      <c r="TCS507" s="325"/>
      <c r="TCT507" s="325"/>
      <c r="TCU507" s="325"/>
      <c r="TCV507" s="325"/>
      <c r="TCW507" s="325"/>
      <c r="TCX507" s="325"/>
      <c r="TCY507" s="325"/>
      <c r="TCZ507" s="325"/>
      <c r="TDA507" s="325"/>
      <c r="TDB507" s="325"/>
      <c r="TDC507" s="325"/>
      <c r="TDD507" s="325"/>
      <c r="TDE507" s="325"/>
      <c r="TDF507" s="325"/>
      <c r="TDG507" s="325"/>
      <c r="TDH507" s="327"/>
      <c r="TDI507" s="28"/>
      <c r="TDJ507" s="324"/>
      <c r="TDK507" s="324"/>
      <c r="TDL507" s="324"/>
      <c r="TDM507" s="324"/>
      <c r="TDN507" s="324"/>
      <c r="TDO507" s="324"/>
      <c r="TDP507" s="256"/>
      <c r="TDQ507" s="325"/>
      <c r="TDR507" s="311"/>
      <c r="TDS507" s="325"/>
      <c r="TDT507" s="310"/>
      <c r="TDU507" s="325"/>
      <c r="TDV507" s="325"/>
      <c r="TDW507" s="325"/>
      <c r="TDX507" s="325"/>
      <c r="TDY507" s="325"/>
      <c r="TDZ507" s="325"/>
      <c r="TEA507" s="325"/>
      <c r="TEB507" s="325"/>
      <c r="TEC507" s="325"/>
      <c r="TED507" s="325"/>
      <c r="TEE507" s="325"/>
      <c r="TEF507" s="325"/>
      <c r="TEG507" s="325"/>
      <c r="TEH507" s="325"/>
      <c r="TEI507" s="325"/>
      <c r="TEJ507" s="325"/>
      <c r="TEK507" s="325"/>
      <c r="TEL507" s="325"/>
      <c r="TEM507" s="325"/>
      <c r="TEN507" s="325"/>
      <c r="TEO507" s="325"/>
      <c r="TEP507" s="325"/>
      <c r="TEQ507" s="325"/>
      <c r="TER507" s="325"/>
      <c r="TES507" s="325"/>
      <c r="TET507" s="325"/>
      <c r="TEU507" s="325"/>
      <c r="TEV507" s="325"/>
      <c r="TEW507" s="325"/>
      <c r="TEX507" s="325"/>
      <c r="TEY507" s="327"/>
      <c r="TEZ507" s="28"/>
      <c r="TFA507" s="324"/>
      <c r="TFB507" s="324"/>
      <c r="TFC507" s="324"/>
      <c r="TFD507" s="324"/>
      <c r="TFE507" s="324"/>
      <c r="TFF507" s="324"/>
      <c r="TFG507" s="256"/>
      <c r="TFH507" s="325"/>
      <c r="TFI507" s="311"/>
      <c r="TFJ507" s="325"/>
      <c r="TFK507" s="310"/>
      <c r="TFL507" s="325"/>
      <c r="TFM507" s="325"/>
      <c r="TFN507" s="325"/>
      <c r="TFO507" s="325"/>
      <c r="TFP507" s="325"/>
      <c r="TFQ507" s="325"/>
      <c r="TFR507" s="325"/>
      <c r="TFS507" s="325"/>
      <c r="TFT507" s="325"/>
      <c r="TFU507" s="325"/>
      <c r="TFV507" s="325"/>
      <c r="TFW507" s="325"/>
      <c r="TFX507" s="325"/>
      <c r="TFY507" s="325"/>
      <c r="TFZ507" s="325"/>
      <c r="TGA507" s="325"/>
      <c r="TGB507" s="325"/>
      <c r="TGC507" s="325"/>
      <c r="TGD507" s="325"/>
      <c r="TGE507" s="325"/>
      <c r="TGF507" s="325"/>
      <c r="TGG507" s="325"/>
      <c r="TGH507" s="325"/>
      <c r="TGI507" s="325"/>
      <c r="TGJ507" s="325"/>
      <c r="TGK507" s="325"/>
      <c r="TGL507" s="325"/>
      <c r="TGM507" s="325"/>
      <c r="TGN507" s="325"/>
      <c r="TGO507" s="325"/>
      <c r="TGP507" s="327"/>
      <c r="TGQ507" s="28"/>
      <c r="TGR507" s="324"/>
      <c r="TGS507" s="324"/>
      <c r="TGT507" s="324"/>
      <c r="TGU507" s="324"/>
      <c r="TGV507" s="324"/>
      <c r="TGW507" s="324"/>
      <c r="TGX507" s="256"/>
      <c r="TGY507" s="325"/>
      <c r="TGZ507" s="311"/>
      <c r="THA507" s="325"/>
      <c r="THB507" s="310"/>
      <c r="THC507" s="325"/>
      <c r="THD507" s="325"/>
      <c r="THE507" s="325"/>
      <c r="THF507" s="325"/>
      <c r="THG507" s="325"/>
      <c r="THH507" s="325"/>
      <c r="THI507" s="325"/>
      <c r="THJ507" s="325"/>
      <c r="THK507" s="325"/>
      <c r="THL507" s="325"/>
      <c r="THM507" s="325"/>
      <c r="THN507" s="325"/>
      <c r="THO507" s="325"/>
      <c r="THP507" s="325"/>
      <c r="THQ507" s="325"/>
      <c r="THR507" s="325"/>
      <c r="THS507" s="325"/>
      <c r="THT507" s="325"/>
      <c r="THU507" s="325"/>
      <c r="THV507" s="325"/>
      <c r="THW507" s="325"/>
      <c r="THX507" s="325"/>
      <c r="THY507" s="325"/>
      <c r="THZ507" s="325"/>
      <c r="TIA507" s="325"/>
      <c r="TIB507" s="325"/>
      <c r="TIC507" s="325"/>
      <c r="TID507" s="325"/>
      <c r="TIE507" s="325"/>
      <c r="TIF507" s="325"/>
      <c r="TIG507" s="327"/>
      <c r="TIH507" s="28"/>
      <c r="TII507" s="324"/>
      <c r="TIJ507" s="324"/>
      <c r="TIK507" s="324"/>
      <c r="TIL507" s="324"/>
      <c r="TIM507" s="324"/>
      <c r="TIN507" s="324"/>
      <c r="TIO507" s="256"/>
      <c r="TIP507" s="325"/>
      <c r="TIQ507" s="311"/>
      <c r="TIR507" s="325"/>
      <c r="TIS507" s="310"/>
      <c r="TIT507" s="325"/>
      <c r="TIU507" s="325"/>
      <c r="TIV507" s="325"/>
      <c r="TIW507" s="325"/>
      <c r="TIX507" s="325"/>
      <c r="TIY507" s="325"/>
      <c r="TIZ507" s="325"/>
      <c r="TJA507" s="325"/>
      <c r="TJB507" s="325"/>
      <c r="TJC507" s="325"/>
      <c r="TJD507" s="325"/>
      <c r="TJE507" s="325"/>
      <c r="TJF507" s="325"/>
      <c r="TJG507" s="325"/>
      <c r="TJH507" s="325"/>
      <c r="TJI507" s="325"/>
      <c r="TJJ507" s="325"/>
      <c r="TJK507" s="325"/>
      <c r="TJL507" s="325"/>
      <c r="TJM507" s="325"/>
      <c r="TJN507" s="325"/>
      <c r="TJO507" s="325"/>
      <c r="TJP507" s="325"/>
      <c r="TJQ507" s="325"/>
      <c r="TJR507" s="325"/>
      <c r="TJS507" s="325"/>
      <c r="TJT507" s="325"/>
      <c r="TJU507" s="325"/>
      <c r="TJV507" s="325"/>
      <c r="TJW507" s="325"/>
      <c r="TJX507" s="327"/>
      <c r="TJY507" s="28"/>
      <c r="TJZ507" s="324"/>
      <c r="TKA507" s="324"/>
      <c r="TKB507" s="324"/>
      <c r="TKC507" s="324"/>
      <c r="TKD507" s="324"/>
      <c r="TKE507" s="324"/>
      <c r="TKF507" s="256"/>
      <c r="TKG507" s="325"/>
      <c r="TKH507" s="311"/>
      <c r="TKI507" s="325"/>
      <c r="TKJ507" s="310"/>
      <c r="TKK507" s="325"/>
      <c r="TKL507" s="325"/>
      <c r="TKM507" s="325"/>
      <c r="TKN507" s="325"/>
      <c r="TKO507" s="325"/>
      <c r="TKP507" s="325"/>
      <c r="TKQ507" s="325"/>
      <c r="TKR507" s="325"/>
      <c r="TKS507" s="325"/>
      <c r="TKT507" s="325"/>
      <c r="TKU507" s="325"/>
      <c r="TKV507" s="325"/>
      <c r="TKW507" s="325"/>
      <c r="TKX507" s="325"/>
      <c r="TKY507" s="325"/>
      <c r="TKZ507" s="325"/>
      <c r="TLA507" s="325"/>
      <c r="TLB507" s="325"/>
      <c r="TLC507" s="325"/>
      <c r="TLD507" s="325"/>
      <c r="TLE507" s="325"/>
      <c r="TLF507" s="325"/>
      <c r="TLG507" s="325"/>
      <c r="TLH507" s="325"/>
      <c r="TLI507" s="325"/>
      <c r="TLJ507" s="325"/>
      <c r="TLK507" s="325"/>
      <c r="TLL507" s="325"/>
      <c r="TLM507" s="325"/>
      <c r="TLN507" s="325"/>
      <c r="TLO507" s="327"/>
      <c r="TLP507" s="28"/>
      <c r="TLQ507" s="324"/>
      <c r="TLR507" s="324"/>
      <c r="TLS507" s="324"/>
      <c r="TLT507" s="324"/>
      <c r="TLU507" s="324"/>
      <c r="TLV507" s="324"/>
      <c r="TLW507" s="256"/>
      <c r="TLX507" s="325"/>
      <c r="TLY507" s="311"/>
      <c r="TLZ507" s="325"/>
      <c r="TMA507" s="310"/>
      <c r="TMB507" s="325"/>
      <c r="TMC507" s="325"/>
      <c r="TMD507" s="325"/>
      <c r="TME507" s="325"/>
      <c r="TMF507" s="325"/>
      <c r="TMG507" s="325"/>
      <c r="TMH507" s="325"/>
      <c r="TMI507" s="325"/>
      <c r="TMJ507" s="325"/>
      <c r="TMK507" s="325"/>
      <c r="TML507" s="325"/>
      <c r="TMM507" s="325"/>
      <c r="TMN507" s="325"/>
      <c r="TMO507" s="325"/>
      <c r="TMP507" s="325"/>
      <c r="TMQ507" s="325"/>
      <c r="TMR507" s="325"/>
      <c r="TMS507" s="325"/>
      <c r="TMT507" s="325"/>
      <c r="TMU507" s="325"/>
      <c r="TMV507" s="325"/>
      <c r="TMW507" s="325"/>
      <c r="TMX507" s="325"/>
      <c r="TMY507" s="325"/>
      <c r="TMZ507" s="325"/>
      <c r="TNA507" s="325"/>
      <c r="TNB507" s="325"/>
      <c r="TNC507" s="325"/>
      <c r="TND507" s="325"/>
      <c r="TNE507" s="325"/>
      <c r="TNF507" s="327"/>
      <c r="TNG507" s="28"/>
      <c r="TNH507" s="324"/>
      <c r="TNI507" s="324"/>
      <c r="TNJ507" s="324"/>
      <c r="TNK507" s="324"/>
      <c r="TNL507" s="324"/>
      <c r="TNM507" s="324"/>
      <c r="TNN507" s="256"/>
      <c r="TNO507" s="325"/>
      <c r="TNP507" s="311"/>
      <c r="TNQ507" s="325"/>
      <c r="TNR507" s="310"/>
      <c r="TNS507" s="325"/>
      <c r="TNT507" s="325"/>
      <c r="TNU507" s="325"/>
      <c r="TNV507" s="325"/>
      <c r="TNW507" s="325"/>
      <c r="TNX507" s="325"/>
      <c r="TNY507" s="325"/>
      <c r="TNZ507" s="325"/>
      <c r="TOA507" s="325"/>
      <c r="TOB507" s="325"/>
      <c r="TOC507" s="325"/>
      <c r="TOD507" s="325"/>
      <c r="TOE507" s="325"/>
      <c r="TOF507" s="325"/>
      <c r="TOG507" s="325"/>
      <c r="TOH507" s="325"/>
      <c r="TOI507" s="325"/>
      <c r="TOJ507" s="325"/>
      <c r="TOK507" s="325"/>
      <c r="TOL507" s="325"/>
      <c r="TOM507" s="325"/>
      <c r="TON507" s="325"/>
      <c r="TOO507" s="325"/>
      <c r="TOP507" s="325"/>
      <c r="TOQ507" s="325"/>
      <c r="TOR507" s="325"/>
      <c r="TOS507" s="325"/>
      <c r="TOT507" s="325"/>
      <c r="TOU507" s="325"/>
      <c r="TOV507" s="325"/>
      <c r="TOW507" s="327"/>
      <c r="TOX507" s="28"/>
      <c r="TOY507" s="324"/>
      <c r="TOZ507" s="324"/>
      <c r="TPA507" s="324"/>
      <c r="TPB507" s="324"/>
      <c r="TPC507" s="324"/>
      <c r="TPD507" s="324"/>
      <c r="TPE507" s="256"/>
      <c r="TPF507" s="325"/>
      <c r="TPG507" s="311"/>
      <c r="TPH507" s="325"/>
      <c r="TPI507" s="310"/>
      <c r="TPJ507" s="325"/>
      <c r="TPK507" s="325"/>
      <c r="TPL507" s="325"/>
      <c r="TPM507" s="325"/>
      <c r="TPN507" s="325"/>
      <c r="TPO507" s="325"/>
      <c r="TPP507" s="325"/>
      <c r="TPQ507" s="325"/>
      <c r="TPR507" s="325"/>
      <c r="TPS507" s="325"/>
      <c r="TPT507" s="325"/>
      <c r="TPU507" s="325"/>
      <c r="TPV507" s="325"/>
      <c r="TPW507" s="325"/>
      <c r="TPX507" s="325"/>
      <c r="TPY507" s="325"/>
      <c r="TPZ507" s="325"/>
      <c r="TQA507" s="325"/>
      <c r="TQB507" s="325"/>
      <c r="TQC507" s="325"/>
      <c r="TQD507" s="325"/>
      <c r="TQE507" s="325"/>
      <c r="TQF507" s="325"/>
      <c r="TQG507" s="325"/>
      <c r="TQH507" s="325"/>
      <c r="TQI507" s="325"/>
      <c r="TQJ507" s="325"/>
      <c r="TQK507" s="325"/>
      <c r="TQL507" s="325"/>
      <c r="TQM507" s="325"/>
      <c r="TQN507" s="327"/>
      <c r="TQO507" s="28"/>
      <c r="TQP507" s="324"/>
      <c r="TQQ507" s="324"/>
      <c r="TQR507" s="324"/>
      <c r="TQS507" s="324"/>
      <c r="TQT507" s="324"/>
      <c r="TQU507" s="324"/>
      <c r="TQV507" s="256"/>
      <c r="TQW507" s="325"/>
      <c r="TQX507" s="311"/>
      <c r="TQY507" s="325"/>
      <c r="TQZ507" s="310"/>
      <c r="TRA507" s="325"/>
      <c r="TRB507" s="325"/>
      <c r="TRC507" s="325"/>
      <c r="TRD507" s="325"/>
      <c r="TRE507" s="325"/>
      <c r="TRF507" s="325"/>
      <c r="TRG507" s="325"/>
      <c r="TRH507" s="325"/>
      <c r="TRI507" s="325"/>
      <c r="TRJ507" s="325"/>
      <c r="TRK507" s="325"/>
      <c r="TRL507" s="325"/>
      <c r="TRM507" s="325"/>
      <c r="TRN507" s="325"/>
      <c r="TRO507" s="325"/>
      <c r="TRP507" s="325"/>
      <c r="TRQ507" s="325"/>
      <c r="TRR507" s="325"/>
      <c r="TRS507" s="325"/>
      <c r="TRT507" s="325"/>
      <c r="TRU507" s="325"/>
      <c r="TRV507" s="325"/>
      <c r="TRW507" s="325"/>
      <c r="TRX507" s="325"/>
      <c r="TRY507" s="325"/>
      <c r="TRZ507" s="325"/>
      <c r="TSA507" s="325"/>
      <c r="TSB507" s="325"/>
      <c r="TSC507" s="325"/>
      <c r="TSD507" s="325"/>
      <c r="TSE507" s="327"/>
      <c r="TSF507" s="28"/>
      <c r="TSG507" s="324"/>
      <c r="TSH507" s="324"/>
      <c r="TSI507" s="324"/>
      <c r="TSJ507" s="324"/>
      <c r="TSK507" s="324"/>
      <c r="TSL507" s="324"/>
      <c r="TSM507" s="256"/>
      <c r="TSN507" s="325"/>
      <c r="TSO507" s="311"/>
      <c r="TSP507" s="325"/>
      <c r="TSQ507" s="310"/>
      <c r="TSR507" s="325"/>
      <c r="TSS507" s="325"/>
      <c r="TST507" s="325"/>
      <c r="TSU507" s="325"/>
      <c r="TSV507" s="325"/>
      <c r="TSW507" s="325"/>
      <c r="TSX507" s="325"/>
      <c r="TSY507" s="325"/>
      <c r="TSZ507" s="325"/>
      <c r="TTA507" s="325"/>
      <c r="TTB507" s="325"/>
      <c r="TTC507" s="325"/>
      <c r="TTD507" s="325"/>
      <c r="TTE507" s="325"/>
      <c r="TTF507" s="325"/>
      <c r="TTG507" s="325"/>
      <c r="TTH507" s="325"/>
      <c r="TTI507" s="325"/>
      <c r="TTJ507" s="325"/>
      <c r="TTK507" s="325"/>
      <c r="TTL507" s="325"/>
      <c r="TTM507" s="325"/>
      <c r="TTN507" s="325"/>
      <c r="TTO507" s="325"/>
      <c r="TTP507" s="325"/>
      <c r="TTQ507" s="325"/>
      <c r="TTR507" s="325"/>
      <c r="TTS507" s="325"/>
      <c r="TTT507" s="325"/>
      <c r="TTU507" s="325"/>
      <c r="TTV507" s="327"/>
      <c r="TTW507" s="28"/>
      <c r="TTX507" s="324"/>
      <c r="TTY507" s="324"/>
      <c r="TTZ507" s="324"/>
      <c r="TUA507" s="324"/>
      <c r="TUB507" s="324"/>
      <c r="TUC507" s="324"/>
      <c r="TUD507" s="256"/>
      <c r="TUE507" s="325"/>
      <c r="TUF507" s="311"/>
      <c r="TUG507" s="325"/>
      <c r="TUH507" s="310"/>
      <c r="TUI507" s="325"/>
      <c r="TUJ507" s="325"/>
      <c r="TUK507" s="325"/>
      <c r="TUL507" s="325"/>
      <c r="TUM507" s="325"/>
      <c r="TUN507" s="325"/>
      <c r="TUO507" s="325"/>
      <c r="TUP507" s="325"/>
      <c r="TUQ507" s="325"/>
      <c r="TUR507" s="325"/>
      <c r="TUS507" s="325"/>
      <c r="TUT507" s="325"/>
      <c r="TUU507" s="325"/>
      <c r="TUV507" s="325"/>
      <c r="TUW507" s="325"/>
      <c r="TUX507" s="325"/>
      <c r="TUY507" s="325"/>
      <c r="TUZ507" s="325"/>
      <c r="TVA507" s="325"/>
      <c r="TVB507" s="325"/>
      <c r="TVC507" s="325"/>
      <c r="TVD507" s="325"/>
      <c r="TVE507" s="325"/>
      <c r="TVF507" s="325"/>
      <c r="TVG507" s="325"/>
      <c r="TVH507" s="325"/>
      <c r="TVI507" s="325"/>
      <c r="TVJ507" s="325"/>
      <c r="TVK507" s="325"/>
      <c r="TVL507" s="325"/>
      <c r="TVM507" s="327"/>
      <c r="TVN507" s="28"/>
      <c r="TVO507" s="324"/>
      <c r="TVP507" s="324"/>
      <c r="TVQ507" s="324"/>
      <c r="TVR507" s="324"/>
      <c r="TVS507" s="324"/>
      <c r="TVT507" s="324"/>
      <c r="TVU507" s="256"/>
      <c r="TVV507" s="325"/>
      <c r="TVW507" s="311"/>
      <c r="TVX507" s="325"/>
      <c r="TVY507" s="310"/>
      <c r="TVZ507" s="325"/>
      <c r="TWA507" s="325"/>
      <c r="TWB507" s="325"/>
      <c r="TWC507" s="325"/>
      <c r="TWD507" s="325"/>
      <c r="TWE507" s="325"/>
      <c r="TWF507" s="325"/>
      <c r="TWG507" s="325"/>
      <c r="TWH507" s="325"/>
      <c r="TWI507" s="325"/>
      <c r="TWJ507" s="325"/>
      <c r="TWK507" s="325"/>
      <c r="TWL507" s="325"/>
      <c r="TWM507" s="325"/>
      <c r="TWN507" s="325"/>
      <c r="TWO507" s="325"/>
      <c r="TWP507" s="325"/>
      <c r="TWQ507" s="325"/>
      <c r="TWR507" s="325"/>
      <c r="TWS507" s="325"/>
      <c r="TWT507" s="325"/>
      <c r="TWU507" s="325"/>
      <c r="TWV507" s="325"/>
      <c r="TWW507" s="325"/>
      <c r="TWX507" s="325"/>
      <c r="TWY507" s="325"/>
      <c r="TWZ507" s="325"/>
      <c r="TXA507" s="325"/>
      <c r="TXB507" s="325"/>
      <c r="TXC507" s="325"/>
      <c r="TXD507" s="327"/>
      <c r="TXE507" s="28"/>
      <c r="TXF507" s="324"/>
      <c r="TXG507" s="324"/>
      <c r="TXH507" s="324"/>
      <c r="TXI507" s="324"/>
      <c r="TXJ507" s="324"/>
      <c r="TXK507" s="324"/>
      <c r="TXL507" s="256"/>
      <c r="TXM507" s="325"/>
      <c r="TXN507" s="311"/>
      <c r="TXO507" s="325"/>
      <c r="TXP507" s="310"/>
      <c r="TXQ507" s="325"/>
      <c r="TXR507" s="325"/>
      <c r="TXS507" s="325"/>
      <c r="TXT507" s="325"/>
      <c r="TXU507" s="325"/>
      <c r="TXV507" s="325"/>
      <c r="TXW507" s="325"/>
      <c r="TXX507" s="325"/>
      <c r="TXY507" s="325"/>
      <c r="TXZ507" s="325"/>
      <c r="TYA507" s="325"/>
      <c r="TYB507" s="325"/>
      <c r="TYC507" s="325"/>
      <c r="TYD507" s="325"/>
      <c r="TYE507" s="325"/>
      <c r="TYF507" s="325"/>
      <c r="TYG507" s="325"/>
      <c r="TYH507" s="325"/>
      <c r="TYI507" s="325"/>
      <c r="TYJ507" s="325"/>
      <c r="TYK507" s="325"/>
      <c r="TYL507" s="325"/>
      <c r="TYM507" s="325"/>
      <c r="TYN507" s="325"/>
      <c r="TYO507" s="325"/>
      <c r="TYP507" s="325"/>
      <c r="TYQ507" s="325"/>
      <c r="TYR507" s="325"/>
      <c r="TYS507" s="325"/>
      <c r="TYT507" s="325"/>
      <c r="TYU507" s="327"/>
      <c r="TYV507" s="28"/>
      <c r="TYW507" s="324"/>
      <c r="TYX507" s="324"/>
      <c r="TYY507" s="324"/>
      <c r="TYZ507" s="324"/>
      <c r="TZA507" s="324"/>
      <c r="TZB507" s="324"/>
      <c r="TZC507" s="256"/>
      <c r="TZD507" s="325"/>
      <c r="TZE507" s="311"/>
      <c r="TZF507" s="325"/>
      <c r="TZG507" s="310"/>
      <c r="TZH507" s="325"/>
      <c r="TZI507" s="325"/>
      <c r="TZJ507" s="325"/>
      <c r="TZK507" s="325"/>
      <c r="TZL507" s="325"/>
      <c r="TZM507" s="325"/>
      <c r="TZN507" s="325"/>
      <c r="TZO507" s="325"/>
      <c r="TZP507" s="325"/>
      <c r="TZQ507" s="325"/>
      <c r="TZR507" s="325"/>
      <c r="TZS507" s="325"/>
      <c r="TZT507" s="325"/>
      <c r="TZU507" s="325"/>
      <c r="TZV507" s="325"/>
      <c r="TZW507" s="325"/>
      <c r="TZX507" s="325"/>
      <c r="TZY507" s="325"/>
      <c r="TZZ507" s="325"/>
      <c r="UAA507" s="325"/>
      <c r="UAB507" s="325"/>
      <c r="UAC507" s="325"/>
      <c r="UAD507" s="325"/>
      <c r="UAE507" s="325"/>
      <c r="UAF507" s="325"/>
      <c r="UAG507" s="325"/>
      <c r="UAH507" s="325"/>
      <c r="UAI507" s="325"/>
      <c r="UAJ507" s="325"/>
      <c r="UAK507" s="325"/>
      <c r="UAL507" s="327"/>
      <c r="UAM507" s="28"/>
      <c r="UAN507" s="324"/>
      <c r="UAO507" s="324"/>
      <c r="UAP507" s="324"/>
      <c r="UAQ507" s="324"/>
      <c r="UAR507" s="324"/>
      <c r="UAS507" s="324"/>
      <c r="UAT507" s="256"/>
      <c r="UAU507" s="325"/>
      <c r="UAV507" s="311"/>
      <c r="UAW507" s="325"/>
      <c r="UAX507" s="310"/>
      <c r="UAY507" s="325"/>
      <c r="UAZ507" s="325"/>
      <c r="UBA507" s="325"/>
      <c r="UBB507" s="325"/>
      <c r="UBC507" s="325"/>
      <c r="UBD507" s="325"/>
      <c r="UBE507" s="325"/>
      <c r="UBF507" s="325"/>
      <c r="UBG507" s="325"/>
      <c r="UBH507" s="325"/>
      <c r="UBI507" s="325"/>
      <c r="UBJ507" s="325"/>
      <c r="UBK507" s="325"/>
      <c r="UBL507" s="325"/>
      <c r="UBM507" s="325"/>
      <c r="UBN507" s="325"/>
      <c r="UBO507" s="325"/>
      <c r="UBP507" s="325"/>
      <c r="UBQ507" s="325"/>
      <c r="UBR507" s="325"/>
      <c r="UBS507" s="325"/>
      <c r="UBT507" s="325"/>
      <c r="UBU507" s="325"/>
      <c r="UBV507" s="325"/>
      <c r="UBW507" s="325"/>
      <c r="UBX507" s="325"/>
      <c r="UBY507" s="325"/>
      <c r="UBZ507" s="325"/>
      <c r="UCA507" s="325"/>
      <c r="UCB507" s="325"/>
      <c r="UCC507" s="327"/>
      <c r="UCD507" s="28"/>
      <c r="UCE507" s="324"/>
      <c r="UCF507" s="324"/>
      <c r="UCG507" s="324"/>
      <c r="UCH507" s="324"/>
      <c r="UCI507" s="324"/>
      <c r="UCJ507" s="324"/>
      <c r="UCK507" s="256"/>
      <c r="UCL507" s="325"/>
      <c r="UCM507" s="311"/>
      <c r="UCN507" s="325"/>
      <c r="UCO507" s="310"/>
      <c r="UCP507" s="325"/>
      <c r="UCQ507" s="325"/>
      <c r="UCR507" s="325"/>
      <c r="UCS507" s="325"/>
      <c r="UCT507" s="325"/>
      <c r="UCU507" s="325"/>
      <c r="UCV507" s="325"/>
      <c r="UCW507" s="325"/>
      <c r="UCX507" s="325"/>
      <c r="UCY507" s="325"/>
      <c r="UCZ507" s="325"/>
      <c r="UDA507" s="325"/>
      <c r="UDB507" s="325"/>
      <c r="UDC507" s="325"/>
      <c r="UDD507" s="325"/>
      <c r="UDE507" s="325"/>
      <c r="UDF507" s="325"/>
      <c r="UDG507" s="325"/>
      <c r="UDH507" s="325"/>
      <c r="UDI507" s="325"/>
      <c r="UDJ507" s="325"/>
      <c r="UDK507" s="325"/>
      <c r="UDL507" s="325"/>
      <c r="UDM507" s="325"/>
      <c r="UDN507" s="325"/>
      <c r="UDO507" s="325"/>
      <c r="UDP507" s="325"/>
      <c r="UDQ507" s="325"/>
      <c r="UDR507" s="325"/>
      <c r="UDS507" s="325"/>
      <c r="UDT507" s="327"/>
      <c r="UDU507" s="28"/>
      <c r="UDV507" s="324"/>
      <c r="UDW507" s="324"/>
      <c r="UDX507" s="324"/>
      <c r="UDY507" s="324"/>
      <c r="UDZ507" s="324"/>
      <c r="UEA507" s="324"/>
      <c r="UEB507" s="256"/>
      <c r="UEC507" s="325"/>
      <c r="UED507" s="311"/>
      <c r="UEE507" s="325"/>
      <c r="UEF507" s="310"/>
      <c r="UEG507" s="325"/>
      <c r="UEH507" s="325"/>
      <c r="UEI507" s="325"/>
      <c r="UEJ507" s="325"/>
      <c r="UEK507" s="325"/>
      <c r="UEL507" s="325"/>
      <c r="UEM507" s="325"/>
      <c r="UEN507" s="325"/>
      <c r="UEO507" s="325"/>
      <c r="UEP507" s="325"/>
      <c r="UEQ507" s="325"/>
      <c r="UER507" s="325"/>
      <c r="UES507" s="325"/>
      <c r="UET507" s="325"/>
      <c r="UEU507" s="325"/>
      <c r="UEV507" s="325"/>
      <c r="UEW507" s="325"/>
      <c r="UEX507" s="325"/>
      <c r="UEY507" s="325"/>
      <c r="UEZ507" s="325"/>
      <c r="UFA507" s="325"/>
      <c r="UFB507" s="325"/>
      <c r="UFC507" s="325"/>
      <c r="UFD507" s="325"/>
      <c r="UFE507" s="325"/>
      <c r="UFF507" s="325"/>
      <c r="UFG507" s="325"/>
      <c r="UFH507" s="325"/>
      <c r="UFI507" s="325"/>
      <c r="UFJ507" s="325"/>
      <c r="UFK507" s="327"/>
      <c r="UFL507" s="28"/>
      <c r="UFM507" s="324"/>
      <c r="UFN507" s="324"/>
      <c r="UFO507" s="324"/>
      <c r="UFP507" s="324"/>
      <c r="UFQ507" s="324"/>
      <c r="UFR507" s="324"/>
      <c r="UFS507" s="256"/>
      <c r="UFT507" s="325"/>
      <c r="UFU507" s="311"/>
      <c r="UFV507" s="325"/>
      <c r="UFW507" s="310"/>
      <c r="UFX507" s="325"/>
      <c r="UFY507" s="325"/>
      <c r="UFZ507" s="325"/>
      <c r="UGA507" s="325"/>
      <c r="UGB507" s="325"/>
      <c r="UGC507" s="325"/>
      <c r="UGD507" s="325"/>
      <c r="UGE507" s="325"/>
      <c r="UGF507" s="325"/>
      <c r="UGG507" s="325"/>
      <c r="UGH507" s="325"/>
      <c r="UGI507" s="325"/>
      <c r="UGJ507" s="325"/>
      <c r="UGK507" s="325"/>
      <c r="UGL507" s="325"/>
      <c r="UGM507" s="325"/>
      <c r="UGN507" s="325"/>
      <c r="UGO507" s="325"/>
      <c r="UGP507" s="325"/>
      <c r="UGQ507" s="325"/>
      <c r="UGR507" s="325"/>
      <c r="UGS507" s="325"/>
      <c r="UGT507" s="325"/>
      <c r="UGU507" s="325"/>
      <c r="UGV507" s="325"/>
      <c r="UGW507" s="325"/>
      <c r="UGX507" s="325"/>
      <c r="UGY507" s="325"/>
      <c r="UGZ507" s="325"/>
      <c r="UHA507" s="325"/>
      <c r="UHB507" s="327"/>
      <c r="UHC507" s="28"/>
      <c r="UHD507" s="324"/>
      <c r="UHE507" s="324"/>
      <c r="UHF507" s="324"/>
      <c r="UHG507" s="324"/>
      <c r="UHH507" s="324"/>
      <c r="UHI507" s="324"/>
      <c r="UHJ507" s="256"/>
      <c r="UHK507" s="325"/>
      <c r="UHL507" s="311"/>
      <c r="UHM507" s="325"/>
      <c r="UHN507" s="310"/>
      <c r="UHO507" s="325"/>
      <c r="UHP507" s="325"/>
      <c r="UHQ507" s="325"/>
      <c r="UHR507" s="325"/>
      <c r="UHS507" s="325"/>
      <c r="UHT507" s="325"/>
      <c r="UHU507" s="325"/>
      <c r="UHV507" s="325"/>
      <c r="UHW507" s="325"/>
      <c r="UHX507" s="325"/>
      <c r="UHY507" s="325"/>
      <c r="UHZ507" s="325"/>
      <c r="UIA507" s="325"/>
      <c r="UIB507" s="325"/>
      <c r="UIC507" s="325"/>
      <c r="UID507" s="325"/>
      <c r="UIE507" s="325"/>
      <c r="UIF507" s="325"/>
      <c r="UIG507" s="325"/>
      <c r="UIH507" s="325"/>
      <c r="UII507" s="325"/>
      <c r="UIJ507" s="325"/>
      <c r="UIK507" s="325"/>
      <c r="UIL507" s="325"/>
      <c r="UIM507" s="325"/>
      <c r="UIN507" s="325"/>
      <c r="UIO507" s="325"/>
      <c r="UIP507" s="325"/>
      <c r="UIQ507" s="325"/>
      <c r="UIR507" s="325"/>
      <c r="UIS507" s="327"/>
      <c r="UIT507" s="28"/>
      <c r="UIU507" s="324"/>
      <c r="UIV507" s="324"/>
      <c r="UIW507" s="324"/>
      <c r="UIX507" s="324"/>
      <c r="UIY507" s="324"/>
      <c r="UIZ507" s="324"/>
      <c r="UJA507" s="256"/>
      <c r="UJB507" s="325"/>
      <c r="UJC507" s="311"/>
      <c r="UJD507" s="325"/>
      <c r="UJE507" s="310"/>
      <c r="UJF507" s="325"/>
      <c r="UJG507" s="325"/>
      <c r="UJH507" s="325"/>
      <c r="UJI507" s="325"/>
      <c r="UJJ507" s="325"/>
      <c r="UJK507" s="325"/>
      <c r="UJL507" s="325"/>
      <c r="UJM507" s="325"/>
      <c r="UJN507" s="325"/>
      <c r="UJO507" s="325"/>
      <c r="UJP507" s="325"/>
      <c r="UJQ507" s="325"/>
      <c r="UJR507" s="325"/>
      <c r="UJS507" s="325"/>
      <c r="UJT507" s="325"/>
      <c r="UJU507" s="325"/>
      <c r="UJV507" s="325"/>
      <c r="UJW507" s="325"/>
      <c r="UJX507" s="325"/>
      <c r="UJY507" s="325"/>
      <c r="UJZ507" s="325"/>
      <c r="UKA507" s="325"/>
      <c r="UKB507" s="325"/>
      <c r="UKC507" s="325"/>
      <c r="UKD507" s="325"/>
      <c r="UKE507" s="325"/>
      <c r="UKF507" s="325"/>
      <c r="UKG507" s="325"/>
      <c r="UKH507" s="325"/>
      <c r="UKI507" s="325"/>
      <c r="UKJ507" s="327"/>
      <c r="UKK507" s="28"/>
      <c r="UKL507" s="324"/>
      <c r="UKM507" s="324"/>
      <c r="UKN507" s="324"/>
      <c r="UKO507" s="324"/>
      <c r="UKP507" s="324"/>
      <c r="UKQ507" s="324"/>
      <c r="UKR507" s="256"/>
      <c r="UKS507" s="325"/>
      <c r="UKT507" s="311"/>
      <c r="UKU507" s="325"/>
      <c r="UKV507" s="310"/>
      <c r="UKW507" s="325"/>
      <c r="UKX507" s="325"/>
      <c r="UKY507" s="325"/>
      <c r="UKZ507" s="325"/>
      <c r="ULA507" s="325"/>
      <c r="ULB507" s="325"/>
      <c r="ULC507" s="325"/>
      <c r="ULD507" s="325"/>
      <c r="ULE507" s="325"/>
      <c r="ULF507" s="325"/>
      <c r="ULG507" s="325"/>
      <c r="ULH507" s="325"/>
      <c r="ULI507" s="325"/>
      <c r="ULJ507" s="325"/>
      <c r="ULK507" s="325"/>
      <c r="ULL507" s="325"/>
      <c r="ULM507" s="325"/>
      <c r="ULN507" s="325"/>
      <c r="ULO507" s="325"/>
      <c r="ULP507" s="325"/>
      <c r="ULQ507" s="325"/>
      <c r="ULR507" s="325"/>
      <c r="ULS507" s="325"/>
      <c r="ULT507" s="325"/>
      <c r="ULU507" s="325"/>
      <c r="ULV507" s="325"/>
      <c r="ULW507" s="325"/>
      <c r="ULX507" s="325"/>
      <c r="ULY507" s="325"/>
      <c r="ULZ507" s="325"/>
      <c r="UMA507" s="327"/>
      <c r="UMB507" s="28"/>
      <c r="UMC507" s="324"/>
      <c r="UMD507" s="324"/>
      <c r="UME507" s="324"/>
      <c r="UMF507" s="324"/>
      <c r="UMG507" s="324"/>
      <c r="UMH507" s="324"/>
      <c r="UMI507" s="256"/>
      <c r="UMJ507" s="325"/>
      <c r="UMK507" s="311"/>
      <c r="UML507" s="325"/>
      <c r="UMM507" s="310"/>
      <c r="UMN507" s="325"/>
      <c r="UMO507" s="325"/>
      <c r="UMP507" s="325"/>
      <c r="UMQ507" s="325"/>
      <c r="UMR507" s="325"/>
      <c r="UMS507" s="325"/>
      <c r="UMT507" s="325"/>
      <c r="UMU507" s="325"/>
      <c r="UMV507" s="325"/>
      <c r="UMW507" s="325"/>
      <c r="UMX507" s="325"/>
      <c r="UMY507" s="325"/>
      <c r="UMZ507" s="325"/>
      <c r="UNA507" s="325"/>
      <c r="UNB507" s="325"/>
      <c r="UNC507" s="325"/>
      <c r="UND507" s="325"/>
      <c r="UNE507" s="325"/>
      <c r="UNF507" s="325"/>
      <c r="UNG507" s="325"/>
      <c r="UNH507" s="325"/>
      <c r="UNI507" s="325"/>
      <c r="UNJ507" s="325"/>
      <c r="UNK507" s="325"/>
      <c r="UNL507" s="325"/>
      <c r="UNM507" s="325"/>
      <c r="UNN507" s="325"/>
      <c r="UNO507" s="325"/>
      <c r="UNP507" s="325"/>
      <c r="UNQ507" s="325"/>
      <c r="UNR507" s="327"/>
      <c r="UNS507" s="28"/>
      <c r="UNT507" s="324"/>
      <c r="UNU507" s="324"/>
      <c r="UNV507" s="324"/>
      <c r="UNW507" s="324"/>
      <c r="UNX507" s="324"/>
      <c r="UNY507" s="324"/>
      <c r="UNZ507" s="256"/>
      <c r="UOA507" s="325"/>
      <c r="UOB507" s="311"/>
      <c r="UOC507" s="325"/>
      <c r="UOD507" s="310"/>
      <c r="UOE507" s="325"/>
      <c r="UOF507" s="325"/>
      <c r="UOG507" s="325"/>
      <c r="UOH507" s="325"/>
      <c r="UOI507" s="325"/>
      <c r="UOJ507" s="325"/>
      <c r="UOK507" s="325"/>
      <c r="UOL507" s="325"/>
      <c r="UOM507" s="325"/>
      <c r="UON507" s="325"/>
      <c r="UOO507" s="325"/>
      <c r="UOP507" s="325"/>
      <c r="UOQ507" s="325"/>
      <c r="UOR507" s="325"/>
      <c r="UOS507" s="325"/>
      <c r="UOT507" s="325"/>
      <c r="UOU507" s="325"/>
      <c r="UOV507" s="325"/>
      <c r="UOW507" s="325"/>
      <c r="UOX507" s="325"/>
      <c r="UOY507" s="325"/>
      <c r="UOZ507" s="325"/>
      <c r="UPA507" s="325"/>
      <c r="UPB507" s="325"/>
      <c r="UPC507" s="325"/>
      <c r="UPD507" s="325"/>
      <c r="UPE507" s="325"/>
      <c r="UPF507" s="325"/>
      <c r="UPG507" s="325"/>
      <c r="UPH507" s="325"/>
      <c r="UPI507" s="327"/>
      <c r="UPJ507" s="28"/>
      <c r="UPK507" s="324"/>
      <c r="UPL507" s="324"/>
      <c r="UPM507" s="324"/>
      <c r="UPN507" s="324"/>
      <c r="UPO507" s="324"/>
      <c r="UPP507" s="324"/>
      <c r="UPQ507" s="256"/>
      <c r="UPR507" s="325"/>
      <c r="UPS507" s="311"/>
      <c r="UPT507" s="325"/>
      <c r="UPU507" s="310"/>
      <c r="UPV507" s="325"/>
      <c r="UPW507" s="325"/>
      <c r="UPX507" s="325"/>
      <c r="UPY507" s="325"/>
      <c r="UPZ507" s="325"/>
      <c r="UQA507" s="325"/>
      <c r="UQB507" s="325"/>
      <c r="UQC507" s="325"/>
      <c r="UQD507" s="325"/>
      <c r="UQE507" s="325"/>
      <c r="UQF507" s="325"/>
      <c r="UQG507" s="325"/>
      <c r="UQH507" s="325"/>
      <c r="UQI507" s="325"/>
      <c r="UQJ507" s="325"/>
      <c r="UQK507" s="325"/>
      <c r="UQL507" s="325"/>
      <c r="UQM507" s="325"/>
      <c r="UQN507" s="325"/>
      <c r="UQO507" s="325"/>
      <c r="UQP507" s="325"/>
      <c r="UQQ507" s="325"/>
      <c r="UQR507" s="325"/>
      <c r="UQS507" s="325"/>
      <c r="UQT507" s="325"/>
      <c r="UQU507" s="325"/>
      <c r="UQV507" s="325"/>
      <c r="UQW507" s="325"/>
      <c r="UQX507" s="325"/>
      <c r="UQY507" s="325"/>
      <c r="UQZ507" s="327"/>
      <c r="URA507" s="28"/>
      <c r="URB507" s="324"/>
      <c r="URC507" s="324"/>
      <c r="URD507" s="324"/>
      <c r="URE507" s="324"/>
      <c r="URF507" s="324"/>
      <c r="URG507" s="324"/>
      <c r="URH507" s="256"/>
      <c r="URI507" s="325"/>
      <c r="URJ507" s="311"/>
      <c r="URK507" s="325"/>
      <c r="URL507" s="310"/>
      <c r="URM507" s="325"/>
      <c r="URN507" s="325"/>
      <c r="URO507" s="325"/>
      <c r="URP507" s="325"/>
      <c r="URQ507" s="325"/>
      <c r="URR507" s="325"/>
      <c r="URS507" s="325"/>
      <c r="URT507" s="325"/>
      <c r="URU507" s="325"/>
      <c r="URV507" s="325"/>
      <c r="URW507" s="325"/>
      <c r="URX507" s="325"/>
      <c r="URY507" s="325"/>
      <c r="URZ507" s="325"/>
      <c r="USA507" s="325"/>
      <c r="USB507" s="325"/>
      <c r="USC507" s="325"/>
      <c r="USD507" s="325"/>
      <c r="USE507" s="325"/>
      <c r="USF507" s="325"/>
      <c r="USG507" s="325"/>
      <c r="USH507" s="325"/>
      <c r="USI507" s="325"/>
      <c r="USJ507" s="325"/>
      <c r="USK507" s="325"/>
      <c r="USL507" s="325"/>
      <c r="USM507" s="325"/>
      <c r="USN507" s="325"/>
      <c r="USO507" s="325"/>
      <c r="USP507" s="325"/>
      <c r="USQ507" s="327"/>
      <c r="USR507" s="28"/>
      <c r="USS507" s="324"/>
      <c r="UST507" s="324"/>
      <c r="USU507" s="324"/>
      <c r="USV507" s="324"/>
      <c r="USW507" s="324"/>
      <c r="USX507" s="324"/>
      <c r="USY507" s="256"/>
      <c r="USZ507" s="325"/>
      <c r="UTA507" s="311"/>
      <c r="UTB507" s="325"/>
      <c r="UTC507" s="310"/>
      <c r="UTD507" s="325"/>
      <c r="UTE507" s="325"/>
      <c r="UTF507" s="325"/>
      <c r="UTG507" s="325"/>
      <c r="UTH507" s="325"/>
      <c r="UTI507" s="325"/>
      <c r="UTJ507" s="325"/>
      <c r="UTK507" s="325"/>
      <c r="UTL507" s="325"/>
      <c r="UTM507" s="325"/>
      <c r="UTN507" s="325"/>
      <c r="UTO507" s="325"/>
      <c r="UTP507" s="325"/>
      <c r="UTQ507" s="325"/>
      <c r="UTR507" s="325"/>
      <c r="UTS507" s="325"/>
      <c r="UTT507" s="325"/>
      <c r="UTU507" s="325"/>
      <c r="UTV507" s="325"/>
      <c r="UTW507" s="325"/>
      <c r="UTX507" s="325"/>
      <c r="UTY507" s="325"/>
      <c r="UTZ507" s="325"/>
      <c r="UUA507" s="325"/>
      <c r="UUB507" s="325"/>
      <c r="UUC507" s="325"/>
      <c r="UUD507" s="325"/>
      <c r="UUE507" s="325"/>
      <c r="UUF507" s="325"/>
      <c r="UUG507" s="325"/>
      <c r="UUH507" s="327"/>
      <c r="UUI507" s="28"/>
      <c r="UUJ507" s="324"/>
      <c r="UUK507" s="324"/>
      <c r="UUL507" s="324"/>
      <c r="UUM507" s="324"/>
      <c r="UUN507" s="324"/>
      <c r="UUO507" s="324"/>
      <c r="UUP507" s="256"/>
      <c r="UUQ507" s="325"/>
      <c r="UUR507" s="311"/>
      <c r="UUS507" s="325"/>
      <c r="UUT507" s="310"/>
      <c r="UUU507" s="325"/>
      <c r="UUV507" s="325"/>
      <c r="UUW507" s="325"/>
      <c r="UUX507" s="325"/>
      <c r="UUY507" s="325"/>
      <c r="UUZ507" s="325"/>
      <c r="UVA507" s="325"/>
      <c r="UVB507" s="325"/>
      <c r="UVC507" s="325"/>
      <c r="UVD507" s="325"/>
      <c r="UVE507" s="325"/>
      <c r="UVF507" s="325"/>
      <c r="UVG507" s="325"/>
      <c r="UVH507" s="325"/>
      <c r="UVI507" s="325"/>
      <c r="UVJ507" s="325"/>
      <c r="UVK507" s="325"/>
      <c r="UVL507" s="325"/>
      <c r="UVM507" s="325"/>
      <c r="UVN507" s="325"/>
      <c r="UVO507" s="325"/>
      <c r="UVP507" s="325"/>
      <c r="UVQ507" s="325"/>
      <c r="UVR507" s="325"/>
      <c r="UVS507" s="325"/>
      <c r="UVT507" s="325"/>
      <c r="UVU507" s="325"/>
      <c r="UVV507" s="325"/>
      <c r="UVW507" s="325"/>
      <c r="UVX507" s="325"/>
      <c r="UVY507" s="327"/>
      <c r="UVZ507" s="28"/>
      <c r="UWA507" s="324"/>
      <c r="UWB507" s="324"/>
      <c r="UWC507" s="324"/>
      <c r="UWD507" s="324"/>
      <c r="UWE507" s="324"/>
      <c r="UWF507" s="324"/>
      <c r="UWG507" s="256"/>
      <c r="UWH507" s="325"/>
      <c r="UWI507" s="311"/>
      <c r="UWJ507" s="325"/>
      <c r="UWK507" s="310"/>
      <c r="UWL507" s="325"/>
      <c r="UWM507" s="325"/>
      <c r="UWN507" s="325"/>
      <c r="UWO507" s="325"/>
      <c r="UWP507" s="325"/>
      <c r="UWQ507" s="325"/>
      <c r="UWR507" s="325"/>
      <c r="UWS507" s="325"/>
      <c r="UWT507" s="325"/>
      <c r="UWU507" s="325"/>
      <c r="UWV507" s="325"/>
      <c r="UWW507" s="325"/>
      <c r="UWX507" s="325"/>
      <c r="UWY507" s="325"/>
      <c r="UWZ507" s="325"/>
      <c r="UXA507" s="325"/>
      <c r="UXB507" s="325"/>
      <c r="UXC507" s="325"/>
      <c r="UXD507" s="325"/>
      <c r="UXE507" s="325"/>
      <c r="UXF507" s="325"/>
      <c r="UXG507" s="325"/>
      <c r="UXH507" s="325"/>
      <c r="UXI507" s="325"/>
      <c r="UXJ507" s="325"/>
      <c r="UXK507" s="325"/>
      <c r="UXL507" s="325"/>
      <c r="UXM507" s="325"/>
      <c r="UXN507" s="325"/>
      <c r="UXO507" s="325"/>
      <c r="UXP507" s="327"/>
      <c r="UXQ507" s="28"/>
      <c r="UXR507" s="324"/>
      <c r="UXS507" s="324"/>
      <c r="UXT507" s="324"/>
      <c r="UXU507" s="324"/>
      <c r="UXV507" s="324"/>
      <c r="UXW507" s="324"/>
      <c r="UXX507" s="256"/>
      <c r="UXY507" s="325"/>
      <c r="UXZ507" s="311"/>
      <c r="UYA507" s="325"/>
      <c r="UYB507" s="310"/>
      <c r="UYC507" s="325"/>
      <c r="UYD507" s="325"/>
      <c r="UYE507" s="325"/>
      <c r="UYF507" s="325"/>
      <c r="UYG507" s="325"/>
      <c r="UYH507" s="325"/>
      <c r="UYI507" s="325"/>
      <c r="UYJ507" s="325"/>
      <c r="UYK507" s="325"/>
      <c r="UYL507" s="325"/>
      <c r="UYM507" s="325"/>
      <c r="UYN507" s="325"/>
      <c r="UYO507" s="325"/>
      <c r="UYP507" s="325"/>
      <c r="UYQ507" s="325"/>
      <c r="UYR507" s="325"/>
      <c r="UYS507" s="325"/>
      <c r="UYT507" s="325"/>
      <c r="UYU507" s="325"/>
      <c r="UYV507" s="325"/>
      <c r="UYW507" s="325"/>
      <c r="UYX507" s="325"/>
      <c r="UYY507" s="325"/>
      <c r="UYZ507" s="325"/>
      <c r="UZA507" s="325"/>
      <c r="UZB507" s="325"/>
      <c r="UZC507" s="325"/>
      <c r="UZD507" s="325"/>
      <c r="UZE507" s="325"/>
      <c r="UZF507" s="325"/>
      <c r="UZG507" s="327"/>
      <c r="UZH507" s="28"/>
      <c r="UZI507" s="324"/>
      <c r="UZJ507" s="324"/>
      <c r="UZK507" s="324"/>
      <c r="UZL507" s="324"/>
      <c r="UZM507" s="324"/>
      <c r="UZN507" s="324"/>
      <c r="UZO507" s="256"/>
      <c r="UZP507" s="325"/>
      <c r="UZQ507" s="311"/>
      <c r="UZR507" s="325"/>
      <c r="UZS507" s="310"/>
      <c r="UZT507" s="325"/>
      <c r="UZU507" s="325"/>
      <c r="UZV507" s="325"/>
      <c r="UZW507" s="325"/>
      <c r="UZX507" s="325"/>
      <c r="UZY507" s="325"/>
      <c r="UZZ507" s="325"/>
      <c r="VAA507" s="325"/>
      <c r="VAB507" s="325"/>
      <c r="VAC507" s="325"/>
      <c r="VAD507" s="325"/>
      <c r="VAE507" s="325"/>
      <c r="VAF507" s="325"/>
      <c r="VAG507" s="325"/>
      <c r="VAH507" s="325"/>
      <c r="VAI507" s="325"/>
      <c r="VAJ507" s="325"/>
      <c r="VAK507" s="325"/>
      <c r="VAL507" s="325"/>
      <c r="VAM507" s="325"/>
      <c r="VAN507" s="325"/>
      <c r="VAO507" s="325"/>
      <c r="VAP507" s="325"/>
      <c r="VAQ507" s="325"/>
      <c r="VAR507" s="325"/>
      <c r="VAS507" s="325"/>
      <c r="VAT507" s="325"/>
      <c r="VAU507" s="325"/>
      <c r="VAV507" s="325"/>
      <c r="VAW507" s="325"/>
      <c r="VAX507" s="327"/>
      <c r="VAY507" s="28"/>
      <c r="VAZ507" s="324"/>
      <c r="VBA507" s="324"/>
      <c r="VBB507" s="324"/>
      <c r="VBC507" s="324"/>
      <c r="VBD507" s="324"/>
      <c r="VBE507" s="324"/>
      <c r="VBF507" s="256"/>
      <c r="VBG507" s="325"/>
      <c r="VBH507" s="311"/>
      <c r="VBI507" s="325"/>
      <c r="VBJ507" s="310"/>
      <c r="VBK507" s="325"/>
      <c r="VBL507" s="325"/>
      <c r="VBM507" s="325"/>
      <c r="VBN507" s="325"/>
      <c r="VBO507" s="325"/>
      <c r="VBP507" s="325"/>
      <c r="VBQ507" s="325"/>
      <c r="VBR507" s="325"/>
      <c r="VBS507" s="325"/>
      <c r="VBT507" s="325"/>
      <c r="VBU507" s="325"/>
      <c r="VBV507" s="325"/>
      <c r="VBW507" s="325"/>
      <c r="VBX507" s="325"/>
      <c r="VBY507" s="325"/>
      <c r="VBZ507" s="325"/>
      <c r="VCA507" s="325"/>
      <c r="VCB507" s="325"/>
      <c r="VCC507" s="325"/>
      <c r="VCD507" s="325"/>
      <c r="VCE507" s="325"/>
      <c r="VCF507" s="325"/>
      <c r="VCG507" s="325"/>
      <c r="VCH507" s="325"/>
      <c r="VCI507" s="325"/>
      <c r="VCJ507" s="325"/>
      <c r="VCK507" s="325"/>
      <c r="VCL507" s="325"/>
      <c r="VCM507" s="325"/>
      <c r="VCN507" s="325"/>
      <c r="VCO507" s="327"/>
      <c r="VCP507" s="28"/>
      <c r="VCQ507" s="324"/>
      <c r="VCR507" s="324"/>
      <c r="VCS507" s="324"/>
      <c r="VCT507" s="324"/>
      <c r="VCU507" s="324"/>
      <c r="VCV507" s="324"/>
      <c r="VCW507" s="256"/>
      <c r="VCX507" s="325"/>
      <c r="VCY507" s="311"/>
      <c r="VCZ507" s="325"/>
      <c r="VDA507" s="310"/>
      <c r="VDB507" s="325"/>
      <c r="VDC507" s="325"/>
      <c r="VDD507" s="325"/>
      <c r="VDE507" s="325"/>
      <c r="VDF507" s="325"/>
      <c r="VDG507" s="325"/>
      <c r="VDH507" s="325"/>
      <c r="VDI507" s="325"/>
      <c r="VDJ507" s="325"/>
      <c r="VDK507" s="325"/>
      <c r="VDL507" s="325"/>
      <c r="VDM507" s="325"/>
      <c r="VDN507" s="325"/>
      <c r="VDO507" s="325"/>
      <c r="VDP507" s="325"/>
      <c r="VDQ507" s="325"/>
      <c r="VDR507" s="325"/>
      <c r="VDS507" s="325"/>
      <c r="VDT507" s="325"/>
      <c r="VDU507" s="325"/>
      <c r="VDV507" s="325"/>
      <c r="VDW507" s="325"/>
      <c r="VDX507" s="325"/>
      <c r="VDY507" s="325"/>
      <c r="VDZ507" s="325"/>
      <c r="VEA507" s="325"/>
      <c r="VEB507" s="325"/>
      <c r="VEC507" s="325"/>
      <c r="VED507" s="325"/>
      <c r="VEE507" s="325"/>
      <c r="VEF507" s="327"/>
      <c r="VEG507" s="28"/>
      <c r="VEH507" s="324"/>
      <c r="VEI507" s="324"/>
      <c r="VEJ507" s="324"/>
      <c r="VEK507" s="324"/>
      <c r="VEL507" s="324"/>
      <c r="VEM507" s="324"/>
      <c r="VEN507" s="256"/>
      <c r="VEO507" s="325"/>
      <c r="VEP507" s="311"/>
      <c r="VEQ507" s="325"/>
      <c r="VER507" s="310"/>
      <c r="VES507" s="325"/>
      <c r="VET507" s="325"/>
      <c r="VEU507" s="325"/>
      <c r="VEV507" s="325"/>
      <c r="VEW507" s="325"/>
      <c r="VEX507" s="325"/>
      <c r="VEY507" s="325"/>
      <c r="VEZ507" s="325"/>
      <c r="VFA507" s="325"/>
      <c r="VFB507" s="325"/>
      <c r="VFC507" s="325"/>
      <c r="VFD507" s="325"/>
      <c r="VFE507" s="325"/>
      <c r="VFF507" s="325"/>
      <c r="VFG507" s="325"/>
      <c r="VFH507" s="325"/>
      <c r="VFI507" s="325"/>
      <c r="VFJ507" s="325"/>
      <c r="VFK507" s="325"/>
      <c r="VFL507" s="325"/>
      <c r="VFM507" s="325"/>
      <c r="VFN507" s="325"/>
      <c r="VFO507" s="325"/>
      <c r="VFP507" s="325"/>
      <c r="VFQ507" s="325"/>
      <c r="VFR507" s="325"/>
      <c r="VFS507" s="325"/>
      <c r="VFT507" s="325"/>
      <c r="VFU507" s="325"/>
      <c r="VFV507" s="325"/>
      <c r="VFW507" s="327"/>
      <c r="VFX507" s="28"/>
      <c r="VFY507" s="324"/>
      <c r="VFZ507" s="324"/>
      <c r="VGA507" s="324"/>
      <c r="VGB507" s="324"/>
      <c r="VGC507" s="324"/>
      <c r="VGD507" s="324"/>
      <c r="VGE507" s="256"/>
      <c r="VGF507" s="325"/>
      <c r="VGG507" s="311"/>
      <c r="VGH507" s="325"/>
      <c r="VGI507" s="310"/>
      <c r="VGJ507" s="325"/>
      <c r="VGK507" s="325"/>
      <c r="VGL507" s="325"/>
      <c r="VGM507" s="325"/>
      <c r="VGN507" s="325"/>
      <c r="VGO507" s="325"/>
      <c r="VGP507" s="325"/>
      <c r="VGQ507" s="325"/>
      <c r="VGR507" s="325"/>
      <c r="VGS507" s="325"/>
      <c r="VGT507" s="325"/>
      <c r="VGU507" s="325"/>
      <c r="VGV507" s="325"/>
      <c r="VGW507" s="325"/>
      <c r="VGX507" s="325"/>
      <c r="VGY507" s="325"/>
      <c r="VGZ507" s="325"/>
      <c r="VHA507" s="325"/>
      <c r="VHB507" s="325"/>
      <c r="VHC507" s="325"/>
      <c r="VHD507" s="325"/>
      <c r="VHE507" s="325"/>
      <c r="VHF507" s="325"/>
      <c r="VHG507" s="325"/>
      <c r="VHH507" s="325"/>
      <c r="VHI507" s="325"/>
      <c r="VHJ507" s="325"/>
      <c r="VHK507" s="325"/>
      <c r="VHL507" s="325"/>
      <c r="VHM507" s="325"/>
      <c r="VHN507" s="327"/>
      <c r="VHO507" s="28"/>
      <c r="VHP507" s="324"/>
      <c r="VHQ507" s="324"/>
      <c r="VHR507" s="324"/>
      <c r="VHS507" s="324"/>
      <c r="VHT507" s="324"/>
      <c r="VHU507" s="324"/>
      <c r="VHV507" s="256"/>
      <c r="VHW507" s="325"/>
      <c r="VHX507" s="311"/>
      <c r="VHY507" s="325"/>
      <c r="VHZ507" s="310"/>
      <c r="VIA507" s="325"/>
      <c r="VIB507" s="325"/>
      <c r="VIC507" s="325"/>
      <c r="VID507" s="325"/>
      <c r="VIE507" s="325"/>
      <c r="VIF507" s="325"/>
      <c r="VIG507" s="325"/>
      <c r="VIH507" s="325"/>
      <c r="VII507" s="325"/>
      <c r="VIJ507" s="325"/>
      <c r="VIK507" s="325"/>
      <c r="VIL507" s="325"/>
      <c r="VIM507" s="325"/>
      <c r="VIN507" s="325"/>
      <c r="VIO507" s="325"/>
      <c r="VIP507" s="325"/>
      <c r="VIQ507" s="325"/>
      <c r="VIR507" s="325"/>
      <c r="VIS507" s="325"/>
      <c r="VIT507" s="325"/>
      <c r="VIU507" s="325"/>
      <c r="VIV507" s="325"/>
      <c r="VIW507" s="325"/>
      <c r="VIX507" s="325"/>
      <c r="VIY507" s="325"/>
      <c r="VIZ507" s="325"/>
      <c r="VJA507" s="325"/>
      <c r="VJB507" s="325"/>
      <c r="VJC507" s="325"/>
      <c r="VJD507" s="325"/>
      <c r="VJE507" s="327"/>
      <c r="VJF507" s="28"/>
      <c r="VJG507" s="324"/>
      <c r="VJH507" s="324"/>
      <c r="VJI507" s="324"/>
      <c r="VJJ507" s="324"/>
      <c r="VJK507" s="324"/>
      <c r="VJL507" s="324"/>
      <c r="VJM507" s="256"/>
      <c r="VJN507" s="325"/>
      <c r="VJO507" s="311"/>
      <c r="VJP507" s="325"/>
      <c r="VJQ507" s="310"/>
      <c r="VJR507" s="325"/>
      <c r="VJS507" s="325"/>
      <c r="VJT507" s="325"/>
      <c r="VJU507" s="325"/>
      <c r="VJV507" s="325"/>
      <c r="VJW507" s="325"/>
      <c r="VJX507" s="325"/>
      <c r="VJY507" s="325"/>
      <c r="VJZ507" s="325"/>
      <c r="VKA507" s="325"/>
      <c r="VKB507" s="325"/>
      <c r="VKC507" s="325"/>
      <c r="VKD507" s="325"/>
      <c r="VKE507" s="325"/>
      <c r="VKF507" s="325"/>
      <c r="VKG507" s="325"/>
      <c r="VKH507" s="325"/>
      <c r="VKI507" s="325"/>
      <c r="VKJ507" s="325"/>
      <c r="VKK507" s="325"/>
      <c r="VKL507" s="325"/>
      <c r="VKM507" s="325"/>
      <c r="VKN507" s="325"/>
      <c r="VKO507" s="325"/>
      <c r="VKP507" s="325"/>
      <c r="VKQ507" s="325"/>
      <c r="VKR507" s="325"/>
      <c r="VKS507" s="325"/>
      <c r="VKT507" s="325"/>
      <c r="VKU507" s="325"/>
      <c r="VKV507" s="327"/>
      <c r="VKW507" s="28"/>
      <c r="VKX507" s="324"/>
      <c r="VKY507" s="324"/>
      <c r="VKZ507" s="324"/>
      <c r="VLA507" s="324"/>
      <c r="VLB507" s="324"/>
      <c r="VLC507" s="324"/>
      <c r="VLD507" s="256"/>
      <c r="VLE507" s="325"/>
      <c r="VLF507" s="311"/>
      <c r="VLG507" s="325"/>
      <c r="VLH507" s="310"/>
      <c r="VLI507" s="325"/>
      <c r="VLJ507" s="325"/>
      <c r="VLK507" s="325"/>
      <c r="VLL507" s="325"/>
      <c r="VLM507" s="325"/>
      <c r="VLN507" s="325"/>
      <c r="VLO507" s="325"/>
      <c r="VLP507" s="325"/>
      <c r="VLQ507" s="325"/>
      <c r="VLR507" s="325"/>
      <c r="VLS507" s="325"/>
      <c r="VLT507" s="325"/>
      <c r="VLU507" s="325"/>
      <c r="VLV507" s="325"/>
      <c r="VLW507" s="325"/>
      <c r="VLX507" s="325"/>
      <c r="VLY507" s="325"/>
      <c r="VLZ507" s="325"/>
      <c r="VMA507" s="325"/>
      <c r="VMB507" s="325"/>
      <c r="VMC507" s="325"/>
      <c r="VMD507" s="325"/>
      <c r="VME507" s="325"/>
      <c r="VMF507" s="325"/>
      <c r="VMG507" s="325"/>
      <c r="VMH507" s="325"/>
      <c r="VMI507" s="325"/>
      <c r="VMJ507" s="325"/>
      <c r="VMK507" s="325"/>
      <c r="VML507" s="325"/>
      <c r="VMM507" s="327"/>
      <c r="VMN507" s="28"/>
      <c r="VMO507" s="324"/>
      <c r="VMP507" s="324"/>
      <c r="VMQ507" s="324"/>
      <c r="VMR507" s="324"/>
      <c r="VMS507" s="324"/>
      <c r="VMT507" s="324"/>
      <c r="VMU507" s="256"/>
      <c r="VMV507" s="325"/>
      <c r="VMW507" s="311"/>
      <c r="VMX507" s="325"/>
      <c r="VMY507" s="310"/>
      <c r="VMZ507" s="325"/>
      <c r="VNA507" s="325"/>
      <c r="VNB507" s="325"/>
      <c r="VNC507" s="325"/>
      <c r="VND507" s="325"/>
      <c r="VNE507" s="325"/>
      <c r="VNF507" s="325"/>
      <c r="VNG507" s="325"/>
      <c r="VNH507" s="325"/>
      <c r="VNI507" s="325"/>
      <c r="VNJ507" s="325"/>
      <c r="VNK507" s="325"/>
      <c r="VNL507" s="325"/>
      <c r="VNM507" s="325"/>
      <c r="VNN507" s="325"/>
      <c r="VNO507" s="325"/>
      <c r="VNP507" s="325"/>
      <c r="VNQ507" s="325"/>
      <c r="VNR507" s="325"/>
      <c r="VNS507" s="325"/>
      <c r="VNT507" s="325"/>
      <c r="VNU507" s="325"/>
      <c r="VNV507" s="325"/>
      <c r="VNW507" s="325"/>
      <c r="VNX507" s="325"/>
      <c r="VNY507" s="325"/>
      <c r="VNZ507" s="325"/>
      <c r="VOA507" s="325"/>
      <c r="VOB507" s="325"/>
      <c r="VOC507" s="325"/>
      <c r="VOD507" s="327"/>
      <c r="VOE507" s="28"/>
      <c r="VOF507" s="324"/>
      <c r="VOG507" s="324"/>
      <c r="VOH507" s="324"/>
      <c r="VOI507" s="324"/>
      <c r="VOJ507" s="324"/>
      <c r="VOK507" s="324"/>
      <c r="VOL507" s="256"/>
      <c r="VOM507" s="325"/>
      <c r="VON507" s="311"/>
      <c r="VOO507" s="325"/>
      <c r="VOP507" s="310"/>
      <c r="VOQ507" s="325"/>
      <c r="VOR507" s="325"/>
      <c r="VOS507" s="325"/>
      <c r="VOT507" s="325"/>
      <c r="VOU507" s="325"/>
      <c r="VOV507" s="325"/>
      <c r="VOW507" s="325"/>
      <c r="VOX507" s="325"/>
      <c r="VOY507" s="325"/>
      <c r="VOZ507" s="325"/>
      <c r="VPA507" s="325"/>
      <c r="VPB507" s="325"/>
      <c r="VPC507" s="325"/>
      <c r="VPD507" s="325"/>
      <c r="VPE507" s="325"/>
      <c r="VPF507" s="325"/>
      <c r="VPG507" s="325"/>
      <c r="VPH507" s="325"/>
      <c r="VPI507" s="325"/>
      <c r="VPJ507" s="325"/>
      <c r="VPK507" s="325"/>
      <c r="VPL507" s="325"/>
      <c r="VPM507" s="325"/>
      <c r="VPN507" s="325"/>
      <c r="VPO507" s="325"/>
      <c r="VPP507" s="325"/>
      <c r="VPQ507" s="325"/>
      <c r="VPR507" s="325"/>
      <c r="VPS507" s="325"/>
      <c r="VPT507" s="325"/>
      <c r="VPU507" s="327"/>
      <c r="VPV507" s="28"/>
      <c r="VPW507" s="324"/>
      <c r="VPX507" s="324"/>
      <c r="VPY507" s="324"/>
      <c r="VPZ507" s="324"/>
      <c r="VQA507" s="324"/>
      <c r="VQB507" s="324"/>
      <c r="VQC507" s="256"/>
      <c r="VQD507" s="325"/>
      <c r="VQE507" s="311"/>
      <c r="VQF507" s="325"/>
      <c r="VQG507" s="310"/>
      <c r="VQH507" s="325"/>
      <c r="VQI507" s="325"/>
      <c r="VQJ507" s="325"/>
      <c r="VQK507" s="325"/>
      <c r="VQL507" s="325"/>
      <c r="VQM507" s="325"/>
      <c r="VQN507" s="325"/>
      <c r="VQO507" s="325"/>
      <c r="VQP507" s="325"/>
      <c r="VQQ507" s="325"/>
      <c r="VQR507" s="325"/>
      <c r="VQS507" s="325"/>
      <c r="VQT507" s="325"/>
      <c r="VQU507" s="325"/>
      <c r="VQV507" s="325"/>
      <c r="VQW507" s="325"/>
      <c r="VQX507" s="325"/>
      <c r="VQY507" s="325"/>
      <c r="VQZ507" s="325"/>
      <c r="VRA507" s="325"/>
      <c r="VRB507" s="325"/>
      <c r="VRC507" s="325"/>
      <c r="VRD507" s="325"/>
      <c r="VRE507" s="325"/>
      <c r="VRF507" s="325"/>
      <c r="VRG507" s="325"/>
      <c r="VRH507" s="325"/>
      <c r="VRI507" s="325"/>
      <c r="VRJ507" s="325"/>
      <c r="VRK507" s="325"/>
      <c r="VRL507" s="327"/>
      <c r="VRM507" s="28"/>
      <c r="VRN507" s="324"/>
      <c r="VRO507" s="324"/>
      <c r="VRP507" s="324"/>
      <c r="VRQ507" s="324"/>
      <c r="VRR507" s="324"/>
      <c r="VRS507" s="324"/>
      <c r="VRT507" s="256"/>
      <c r="VRU507" s="325"/>
      <c r="VRV507" s="311"/>
      <c r="VRW507" s="325"/>
      <c r="VRX507" s="310"/>
      <c r="VRY507" s="325"/>
      <c r="VRZ507" s="325"/>
      <c r="VSA507" s="325"/>
      <c r="VSB507" s="325"/>
      <c r="VSC507" s="325"/>
      <c r="VSD507" s="325"/>
      <c r="VSE507" s="325"/>
      <c r="VSF507" s="325"/>
      <c r="VSG507" s="325"/>
      <c r="VSH507" s="325"/>
      <c r="VSI507" s="325"/>
      <c r="VSJ507" s="325"/>
      <c r="VSK507" s="325"/>
      <c r="VSL507" s="325"/>
      <c r="VSM507" s="325"/>
      <c r="VSN507" s="325"/>
      <c r="VSO507" s="325"/>
      <c r="VSP507" s="325"/>
      <c r="VSQ507" s="325"/>
      <c r="VSR507" s="325"/>
      <c r="VSS507" s="325"/>
      <c r="VST507" s="325"/>
      <c r="VSU507" s="325"/>
      <c r="VSV507" s="325"/>
      <c r="VSW507" s="325"/>
      <c r="VSX507" s="325"/>
      <c r="VSY507" s="325"/>
      <c r="VSZ507" s="325"/>
      <c r="VTA507" s="325"/>
      <c r="VTB507" s="325"/>
      <c r="VTC507" s="327"/>
      <c r="VTD507" s="28"/>
      <c r="VTE507" s="324"/>
      <c r="VTF507" s="324"/>
      <c r="VTG507" s="324"/>
      <c r="VTH507" s="324"/>
      <c r="VTI507" s="324"/>
      <c r="VTJ507" s="324"/>
      <c r="VTK507" s="256"/>
      <c r="VTL507" s="325"/>
      <c r="VTM507" s="311"/>
      <c r="VTN507" s="325"/>
      <c r="VTO507" s="310"/>
      <c r="VTP507" s="325"/>
      <c r="VTQ507" s="325"/>
      <c r="VTR507" s="325"/>
      <c r="VTS507" s="325"/>
      <c r="VTT507" s="325"/>
      <c r="VTU507" s="325"/>
      <c r="VTV507" s="325"/>
      <c r="VTW507" s="325"/>
      <c r="VTX507" s="325"/>
      <c r="VTY507" s="325"/>
      <c r="VTZ507" s="325"/>
      <c r="VUA507" s="325"/>
      <c r="VUB507" s="325"/>
      <c r="VUC507" s="325"/>
      <c r="VUD507" s="325"/>
      <c r="VUE507" s="325"/>
      <c r="VUF507" s="325"/>
      <c r="VUG507" s="325"/>
      <c r="VUH507" s="325"/>
      <c r="VUI507" s="325"/>
      <c r="VUJ507" s="325"/>
      <c r="VUK507" s="325"/>
      <c r="VUL507" s="325"/>
      <c r="VUM507" s="325"/>
      <c r="VUN507" s="325"/>
      <c r="VUO507" s="325"/>
      <c r="VUP507" s="325"/>
      <c r="VUQ507" s="325"/>
      <c r="VUR507" s="325"/>
      <c r="VUS507" s="325"/>
      <c r="VUT507" s="327"/>
      <c r="VUU507" s="28"/>
      <c r="VUV507" s="324"/>
      <c r="VUW507" s="324"/>
      <c r="VUX507" s="324"/>
      <c r="VUY507" s="324"/>
      <c r="VUZ507" s="324"/>
      <c r="VVA507" s="324"/>
      <c r="VVB507" s="256"/>
      <c r="VVC507" s="325"/>
      <c r="VVD507" s="311"/>
      <c r="VVE507" s="325"/>
      <c r="VVF507" s="310"/>
      <c r="VVG507" s="325"/>
      <c r="VVH507" s="325"/>
      <c r="VVI507" s="325"/>
      <c r="VVJ507" s="325"/>
      <c r="VVK507" s="325"/>
      <c r="VVL507" s="325"/>
      <c r="VVM507" s="325"/>
      <c r="VVN507" s="325"/>
      <c r="VVO507" s="325"/>
      <c r="VVP507" s="325"/>
      <c r="VVQ507" s="325"/>
      <c r="VVR507" s="325"/>
      <c r="VVS507" s="325"/>
      <c r="VVT507" s="325"/>
      <c r="VVU507" s="325"/>
      <c r="VVV507" s="325"/>
      <c r="VVW507" s="325"/>
      <c r="VVX507" s="325"/>
      <c r="VVY507" s="325"/>
      <c r="VVZ507" s="325"/>
      <c r="VWA507" s="325"/>
      <c r="VWB507" s="325"/>
      <c r="VWC507" s="325"/>
      <c r="VWD507" s="325"/>
      <c r="VWE507" s="325"/>
      <c r="VWF507" s="325"/>
      <c r="VWG507" s="325"/>
      <c r="VWH507" s="325"/>
      <c r="VWI507" s="325"/>
      <c r="VWJ507" s="325"/>
      <c r="VWK507" s="327"/>
      <c r="VWL507" s="28"/>
      <c r="VWM507" s="324"/>
      <c r="VWN507" s="324"/>
      <c r="VWO507" s="324"/>
      <c r="VWP507" s="324"/>
      <c r="VWQ507" s="324"/>
      <c r="VWR507" s="324"/>
      <c r="VWS507" s="256"/>
      <c r="VWT507" s="325"/>
      <c r="VWU507" s="311"/>
      <c r="VWV507" s="325"/>
      <c r="VWW507" s="310"/>
      <c r="VWX507" s="325"/>
      <c r="VWY507" s="325"/>
      <c r="VWZ507" s="325"/>
      <c r="VXA507" s="325"/>
      <c r="VXB507" s="325"/>
      <c r="VXC507" s="325"/>
      <c r="VXD507" s="325"/>
      <c r="VXE507" s="325"/>
      <c r="VXF507" s="325"/>
      <c r="VXG507" s="325"/>
      <c r="VXH507" s="325"/>
      <c r="VXI507" s="325"/>
      <c r="VXJ507" s="325"/>
      <c r="VXK507" s="325"/>
      <c r="VXL507" s="325"/>
      <c r="VXM507" s="325"/>
      <c r="VXN507" s="325"/>
      <c r="VXO507" s="325"/>
      <c r="VXP507" s="325"/>
      <c r="VXQ507" s="325"/>
      <c r="VXR507" s="325"/>
      <c r="VXS507" s="325"/>
      <c r="VXT507" s="325"/>
      <c r="VXU507" s="325"/>
      <c r="VXV507" s="325"/>
      <c r="VXW507" s="325"/>
      <c r="VXX507" s="325"/>
      <c r="VXY507" s="325"/>
      <c r="VXZ507" s="325"/>
      <c r="VYA507" s="325"/>
      <c r="VYB507" s="327"/>
      <c r="VYC507" s="28"/>
      <c r="VYD507" s="324"/>
      <c r="VYE507" s="324"/>
      <c r="VYF507" s="324"/>
      <c r="VYG507" s="324"/>
      <c r="VYH507" s="324"/>
      <c r="VYI507" s="324"/>
      <c r="VYJ507" s="256"/>
      <c r="VYK507" s="325"/>
      <c r="VYL507" s="311"/>
      <c r="VYM507" s="325"/>
      <c r="VYN507" s="310"/>
      <c r="VYO507" s="325"/>
      <c r="VYP507" s="325"/>
      <c r="VYQ507" s="325"/>
      <c r="VYR507" s="325"/>
      <c r="VYS507" s="325"/>
      <c r="VYT507" s="325"/>
      <c r="VYU507" s="325"/>
      <c r="VYV507" s="325"/>
      <c r="VYW507" s="325"/>
      <c r="VYX507" s="325"/>
      <c r="VYY507" s="325"/>
      <c r="VYZ507" s="325"/>
      <c r="VZA507" s="325"/>
      <c r="VZB507" s="325"/>
      <c r="VZC507" s="325"/>
      <c r="VZD507" s="325"/>
      <c r="VZE507" s="325"/>
      <c r="VZF507" s="325"/>
      <c r="VZG507" s="325"/>
      <c r="VZH507" s="325"/>
      <c r="VZI507" s="325"/>
      <c r="VZJ507" s="325"/>
      <c r="VZK507" s="325"/>
      <c r="VZL507" s="325"/>
      <c r="VZM507" s="325"/>
      <c r="VZN507" s="325"/>
      <c r="VZO507" s="325"/>
      <c r="VZP507" s="325"/>
      <c r="VZQ507" s="325"/>
      <c r="VZR507" s="325"/>
      <c r="VZS507" s="327"/>
      <c r="VZT507" s="28"/>
      <c r="VZU507" s="324"/>
      <c r="VZV507" s="324"/>
      <c r="VZW507" s="324"/>
      <c r="VZX507" s="324"/>
      <c r="VZY507" s="324"/>
      <c r="VZZ507" s="324"/>
      <c r="WAA507" s="256"/>
      <c r="WAB507" s="325"/>
      <c r="WAC507" s="311"/>
      <c r="WAD507" s="325"/>
      <c r="WAE507" s="310"/>
      <c r="WAF507" s="325"/>
      <c r="WAG507" s="325"/>
      <c r="WAH507" s="325"/>
      <c r="WAI507" s="325"/>
      <c r="WAJ507" s="325"/>
      <c r="WAK507" s="325"/>
      <c r="WAL507" s="325"/>
      <c r="WAM507" s="325"/>
      <c r="WAN507" s="325"/>
      <c r="WAO507" s="325"/>
      <c r="WAP507" s="325"/>
      <c r="WAQ507" s="325"/>
      <c r="WAR507" s="325"/>
      <c r="WAS507" s="325"/>
      <c r="WAT507" s="325"/>
      <c r="WAU507" s="325"/>
      <c r="WAV507" s="325"/>
      <c r="WAW507" s="325"/>
      <c r="WAX507" s="325"/>
      <c r="WAY507" s="325"/>
      <c r="WAZ507" s="325"/>
      <c r="WBA507" s="325"/>
      <c r="WBB507" s="325"/>
      <c r="WBC507" s="325"/>
      <c r="WBD507" s="325"/>
      <c r="WBE507" s="325"/>
      <c r="WBF507" s="325"/>
      <c r="WBG507" s="325"/>
      <c r="WBH507" s="325"/>
      <c r="WBI507" s="325"/>
      <c r="WBJ507" s="327"/>
      <c r="WBK507" s="28"/>
      <c r="WBL507" s="324"/>
      <c r="WBM507" s="324"/>
      <c r="WBN507" s="324"/>
      <c r="WBO507" s="324"/>
      <c r="WBP507" s="324"/>
      <c r="WBQ507" s="324"/>
      <c r="WBR507" s="256"/>
      <c r="WBS507" s="325"/>
      <c r="WBT507" s="311"/>
      <c r="WBU507" s="325"/>
      <c r="WBV507" s="310"/>
      <c r="WBW507" s="325"/>
      <c r="WBX507" s="325"/>
      <c r="WBY507" s="325"/>
      <c r="WBZ507" s="325"/>
      <c r="WCA507" s="325"/>
      <c r="WCB507" s="325"/>
      <c r="WCC507" s="325"/>
      <c r="WCD507" s="325"/>
      <c r="WCE507" s="325"/>
      <c r="WCF507" s="325"/>
      <c r="WCG507" s="325"/>
      <c r="WCH507" s="325"/>
      <c r="WCI507" s="325"/>
      <c r="WCJ507" s="325"/>
      <c r="WCK507" s="325"/>
      <c r="WCL507" s="325"/>
      <c r="WCM507" s="325"/>
      <c r="WCN507" s="325"/>
      <c r="WCO507" s="325"/>
      <c r="WCP507" s="325"/>
      <c r="WCQ507" s="325"/>
      <c r="WCR507" s="325"/>
      <c r="WCS507" s="325"/>
      <c r="WCT507" s="325"/>
      <c r="WCU507" s="325"/>
      <c r="WCV507" s="325"/>
      <c r="WCW507" s="325"/>
      <c r="WCX507" s="325"/>
      <c r="WCY507" s="325"/>
      <c r="WCZ507" s="325"/>
      <c r="WDA507" s="327"/>
      <c r="WDB507" s="28"/>
      <c r="WDC507" s="324"/>
      <c r="WDD507" s="324"/>
      <c r="WDE507" s="324"/>
      <c r="WDF507" s="324"/>
      <c r="WDG507" s="324"/>
      <c r="WDH507" s="324"/>
      <c r="WDI507" s="256"/>
      <c r="WDJ507" s="325"/>
      <c r="WDK507" s="311"/>
      <c r="WDL507" s="325"/>
      <c r="WDM507" s="310"/>
      <c r="WDN507" s="325"/>
      <c r="WDO507" s="325"/>
      <c r="WDP507" s="325"/>
      <c r="WDQ507" s="325"/>
      <c r="WDR507" s="325"/>
      <c r="WDS507" s="325"/>
      <c r="WDT507" s="325"/>
      <c r="WDU507" s="325"/>
      <c r="WDV507" s="325"/>
      <c r="WDW507" s="325"/>
      <c r="WDX507" s="325"/>
      <c r="WDY507" s="325"/>
      <c r="WDZ507" s="325"/>
      <c r="WEA507" s="325"/>
      <c r="WEB507" s="325"/>
      <c r="WEC507" s="325"/>
      <c r="WED507" s="325"/>
      <c r="WEE507" s="325"/>
      <c r="WEF507" s="325"/>
      <c r="WEG507" s="325"/>
      <c r="WEH507" s="325"/>
      <c r="WEI507" s="325"/>
      <c r="WEJ507" s="325"/>
      <c r="WEK507" s="325"/>
      <c r="WEL507" s="325"/>
      <c r="WEM507" s="325"/>
      <c r="WEN507" s="325"/>
      <c r="WEO507" s="325"/>
      <c r="WEP507" s="325"/>
      <c r="WEQ507" s="325"/>
      <c r="WER507" s="327"/>
      <c r="WES507" s="28"/>
      <c r="WET507" s="324"/>
      <c r="WEU507" s="324"/>
      <c r="WEV507" s="324"/>
      <c r="WEW507" s="324"/>
      <c r="WEX507" s="324"/>
      <c r="WEY507" s="324"/>
      <c r="WEZ507" s="256"/>
      <c r="WFA507" s="325"/>
      <c r="WFB507" s="311"/>
      <c r="WFC507" s="325"/>
      <c r="WFD507" s="310"/>
      <c r="WFE507" s="325"/>
      <c r="WFF507" s="325"/>
      <c r="WFG507" s="325"/>
      <c r="WFH507" s="325"/>
      <c r="WFI507" s="325"/>
      <c r="WFJ507" s="325"/>
      <c r="WFK507" s="325"/>
      <c r="WFL507" s="325"/>
      <c r="WFM507" s="325"/>
      <c r="WFN507" s="325"/>
      <c r="WFO507" s="325"/>
      <c r="WFP507" s="325"/>
      <c r="WFQ507" s="325"/>
      <c r="WFR507" s="325"/>
      <c r="WFS507" s="325"/>
      <c r="WFT507" s="325"/>
      <c r="WFU507" s="325"/>
      <c r="WFV507" s="325"/>
      <c r="WFW507" s="325"/>
      <c r="WFX507" s="325"/>
      <c r="WFY507" s="325"/>
      <c r="WFZ507" s="325"/>
      <c r="WGA507" s="325"/>
      <c r="WGB507" s="325"/>
      <c r="WGC507" s="325"/>
      <c r="WGD507" s="325"/>
      <c r="WGE507" s="325"/>
      <c r="WGF507" s="325"/>
      <c r="WGG507" s="325"/>
      <c r="WGH507" s="325"/>
      <c r="WGI507" s="327"/>
      <c r="WGJ507" s="28"/>
      <c r="WGK507" s="324"/>
      <c r="WGL507" s="324"/>
      <c r="WGM507" s="324"/>
      <c r="WGN507" s="324"/>
      <c r="WGO507" s="324"/>
      <c r="WGP507" s="324"/>
      <c r="WGQ507" s="256"/>
      <c r="WGR507" s="325"/>
      <c r="WGS507" s="311"/>
      <c r="WGT507" s="325"/>
      <c r="WGU507" s="310"/>
      <c r="WGV507" s="325"/>
      <c r="WGW507" s="325"/>
      <c r="WGX507" s="325"/>
      <c r="WGY507" s="325"/>
      <c r="WGZ507" s="325"/>
      <c r="WHA507" s="325"/>
      <c r="WHB507" s="325"/>
      <c r="WHC507" s="325"/>
      <c r="WHD507" s="325"/>
      <c r="WHE507" s="325"/>
      <c r="WHF507" s="325"/>
      <c r="WHG507" s="325"/>
      <c r="WHH507" s="325"/>
      <c r="WHI507" s="325"/>
      <c r="WHJ507" s="325"/>
      <c r="WHK507" s="325"/>
      <c r="WHL507" s="325"/>
      <c r="WHM507" s="325"/>
      <c r="WHN507" s="325"/>
      <c r="WHO507" s="325"/>
      <c r="WHP507" s="325"/>
      <c r="WHQ507" s="325"/>
      <c r="WHR507" s="325"/>
      <c r="WHS507" s="325"/>
      <c r="WHT507" s="325"/>
      <c r="WHU507" s="325"/>
      <c r="WHV507" s="325"/>
      <c r="WHW507" s="325"/>
      <c r="WHX507" s="325"/>
      <c r="WHY507" s="325"/>
      <c r="WHZ507" s="327"/>
      <c r="WIA507" s="28"/>
      <c r="WIB507" s="324"/>
      <c r="WIC507" s="324"/>
      <c r="WID507" s="324"/>
      <c r="WIE507" s="324"/>
      <c r="WIF507" s="324"/>
      <c r="WIG507" s="324"/>
      <c r="WIH507" s="256"/>
      <c r="WII507" s="325"/>
      <c r="WIJ507" s="311"/>
      <c r="WIK507" s="325"/>
      <c r="WIL507" s="310"/>
      <c r="WIM507" s="325"/>
      <c r="WIN507" s="325"/>
      <c r="WIO507" s="325"/>
      <c r="WIP507" s="325"/>
      <c r="WIQ507" s="325"/>
      <c r="WIR507" s="325"/>
      <c r="WIS507" s="325"/>
      <c r="WIT507" s="325"/>
      <c r="WIU507" s="325"/>
      <c r="WIV507" s="325"/>
      <c r="WIW507" s="325"/>
      <c r="WIX507" s="325"/>
      <c r="WIY507" s="325"/>
      <c r="WIZ507" s="325"/>
      <c r="WJA507" s="325"/>
      <c r="WJB507" s="325"/>
      <c r="WJC507" s="325"/>
      <c r="WJD507" s="325"/>
      <c r="WJE507" s="325"/>
      <c r="WJF507" s="325"/>
      <c r="WJG507" s="325"/>
      <c r="WJH507" s="325"/>
      <c r="WJI507" s="325"/>
      <c r="WJJ507" s="325"/>
      <c r="WJK507" s="325"/>
      <c r="WJL507" s="325"/>
      <c r="WJM507" s="325"/>
      <c r="WJN507" s="325"/>
      <c r="WJO507" s="325"/>
      <c r="WJP507" s="325"/>
      <c r="WJQ507" s="327"/>
      <c r="WJR507" s="28"/>
      <c r="WJS507" s="324"/>
      <c r="WJT507" s="324"/>
      <c r="WJU507" s="324"/>
      <c r="WJV507" s="324"/>
      <c r="WJW507" s="324"/>
      <c r="WJX507" s="324"/>
      <c r="WJY507" s="256"/>
      <c r="WJZ507" s="325"/>
      <c r="WKA507" s="311"/>
      <c r="WKB507" s="325"/>
      <c r="WKC507" s="310"/>
      <c r="WKD507" s="325"/>
      <c r="WKE507" s="325"/>
      <c r="WKF507" s="325"/>
      <c r="WKG507" s="325"/>
      <c r="WKH507" s="325"/>
      <c r="WKI507" s="325"/>
      <c r="WKJ507" s="325"/>
      <c r="WKK507" s="325"/>
      <c r="WKL507" s="325"/>
      <c r="WKM507" s="325"/>
      <c r="WKN507" s="325"/>
      <c r="WKO507" s="325"/>
      <c r="WKP507" s="325"/>
      <c r="WKQ507" s="325"/>
      <c r="WKR507" s="325"/>
      <c r="WKS507" s="325"/>
      <c r="WKT507" s="325"/>
      <c r="WKU507" s="325"/>
      <c r="WKV507" s="325"/>
      <c r="WKW507" s="325"/>
      <c r="WKX507" s="325"/>
      <c r="WKY507" s="325"/>
      <c r="WKZ507" s="325"/>
      <c r="WLA507" s="325"/>
      <c r="WLB507" s="325"/>
      <c r="WLC507" s="325"/>
      <c r="WLD507" s="325"/>
      <c r="WLE507" s="325"/>
      <c r="WLF507" s="325"/>
      <c r="WLG507" s="325"/>
      <c r="WLH507" s="327"/>
      <c r="WLI507" s="28"/>
      <c r="WLJ507" s="324"/>
      <c r="WLK507" s="324"/>
      <c r="WLL507" s="324"/>
      <c r="WLM507" s="324"/>
      <c r="WLN507" s="324"/>
      <c r="WLO507" s="324"/>
      <c r="WLP507" s="256"/>
      <c r="WLQ507" s="325"/>
      <c r="WLR507" s="311"/>
      <c r="WLS507" s="325"/>
      <c r="WLT507" s="310"/>
      <c r="WLU507" s="325"/>
      <c r="WLV507" s="325"/>
      <c r="WLW507" s="325"/>
      <c r="WLX507" s="325"/>
      <c r="WLY507" s="325"/>
      <c r="WLZ507" s="325"/>
      <c r="WMA507" s="325"/>
      <c r="WMB507" s="325"/>
      <c r="WMC507" s="325"/>
      <c r="WMD507" s="325"/>
      <c r="WME507" s="325"/>
      <c r="WMF507" s="325"/>
      <c r="WMG507" s="325"/>
      <c r="WMH507" s="325"/>
      <c r="WMI507" s="325"/>
      <c r="WMJ507" s="325"/>
      <c r="WMK507" s="325"/>
      <c r="WML507" s="325"/>
      <c r="WMM507" s="325"/>
      <c r="WMN507" s="325"/>
      <c r="WMO507" s="325"/>
      <c r="WMP507" s="325"/>
      <c r="WMQ507" s="325"/>
      <c r="WMR507" s="325"/>
      <c r="WMS507" s="325"/>
      <c r="WMT507" s="325"/>
      <c r="WMU507" s="325"/>
      <c r="WMV507" s="325"/>
      <c r="WMW507" s="325"/>
      <c r="WMX507" s="325"/>
      <c r="WMY507" s="327"/>
      <c r="WMZ507" s="28"/>
      <c r="WNA507" s="324"/>
      <c r="WNB507" s="324"/>
      <c r="WNC507" s="324"/>
      <c r="WND507" s="324"/>
      <c r="WNE507" s="324"/>
      <c r="WNF507" s="324"/>
      <c r="WNG507" s="256"/>
      <c r="WNH507" s="325"/>
      <c r="WNI507" s="311"/>
      <c r="WNJ507" s="325"/>
      <c r="WNK507" s="310"/>
      <c r="WNL507" s="325"/>
      <c r="WNM507" s="325"/>
      <c r="WNN507" s="325"/>
      <c r="WNO507" s="325"/>
      <c r="WNP507" s="325"/>
      <c r="WNQ507" s="325"/>
      <c r="WNR507" s="325"/>
      <c r="WNS507" s="325"/>
      <c r="WNT507" s="325"/>
      <c r="WNU507" s="325"/>
      <c r="WNV507" s="325"/>
      <c r="WNW507" s="325"/>
      <c r="WNX507" s="325"/>
      <c r="WNY507" s="325"/>
      <c r="WNZ507" s="325"/>
      <c r="WOA507" s="325"/>
      <c r="WOB507" s="325"/>
      <c r="WOC507" s="325"/>
      <c r="WOD507" s="325"/>
      <c r="WOE507" s="325"/>
      <c r="WOF507" s="325"/>
      <c r="WOG507" s="325"/>
      <c r="WOH507" s="325"/>
      <c r="WOI507" s="325"/>
      <c r="WOJ507" s="325"/>
      <c r="WOK507" s="325"/>
      <c r="WOL507" s="325"/>
      <c r="WOM507" s="325"/>
      <c r="WON507" s="325"/>
      <c r="WOO507" s="325"/>
      <c r="WOP507" s="327"/>
      <c r="WOQ507" s="28"/>
      <c r="WOR507" s="324"/>
      <c r="WOS507" s="324"/>
      <c r="WOT507" s="324"/>
      <c r="WOU507" s="324"/>
      <c r="WOV507" s="324"/>
      <c r="WOW507" s="324"/>
      <c r="WOX507" s="256"/>
      <c r="WOY507" s="325"/>
      <c r="WOZ507" s="311"/>
      <c r="WPA507" s="325"/>
      <c r="WPB507" s="310"/>
      <c r="WPC507" s="325"/>
      <c r="WPD507" s="325"/>
      <c r="WPE507" s="325"/>
      <c r="WPF507" s="325"/>
      <c r="WPG507" s="325"/>
      <c r="WPH507" s="325"/>
      <c r="WPI507" s="325"/>
      <c r="WPJ507" s="325"/>
      <c r="WPK507" s="325"/>
      <c r="WPL507" s="325"/>
      <c r="WPM507" s="325"/>
      <c r="WPN507" s="325"/>
      <c r="WPO507" s="325"/>
      <c r="WPP507" s="325"/>
      <c r="WPQ507" s="325"/>
      <c r="WPR507" s="325"/>
      <c r="WPS507" s="325"/>
      <c r="WPT507" s="325"/>
      <c r="WPU507" s="325"/>
      <c r="WPV507" s="325"/>
      <c r="WPW507" s="325"/>
      <c r="WPX507" s="325"/>
      <c r="WPY507" s="325"/>
      <c r="WPZ507" s="325"/>
      <c r="WQA507" s="325"/>
      <c r="WQB507" s="325"/>
      <c r="WQC507" s="325"/>
      <c r="WQD507" s="325"/>
      <c r="WQE507" s="325"/>
      <c r="WQF507" s="325"/>
      <c r="WQG507" s="327"/>
      <c r="WQH507" s="28"/>
      <c r="WQI507" s="324"/>
      <c r="WQJ507" s="324"/>
      <c r="WQK507" s="324"/>
      <c r="WQL507" s="324"/>
      <c r="WQM507" s="324"/>
      <c r="WQN507" s="324"/>
      <c r="WQO507" s="256"/>
      <c r="WQP507" s="325"/>
      <c r="WQQ507" s="311"/>
      <c r="WQR507" s="325"/>
      <c r="WQS507" s="310"/>
      <c r="WQT507" s="325"/>
      <c r="WQU507" s="325"/>
      <c r="WQV507" s="325"/>
      <c r="WQW507" s="325"/>
      <c r="WQX507" s="325"/>
      <c r="WQY507" s="325"/>
      <c r="WQZ507" s="325"/>
      <c r="WRA507" s="325"/>
      <c r="WRB507" s="325"/>
      <c r="WRC507" s="325"/>
      <c r="WRD507" s="325"/>
      <c r="WRE507" s="325"/>
      <c r="WRF507" s="325"/>
      <c r="WRG507" s="325"/>
      <c r="WRH507" s="325"/>
      <c r="WRI507" s="325"/>
      <c r="WRJ507" s="325"/>
      <c r="WRK507" s="325"/>
      <c r="WRL507" s="325"/>
      <c r="WRM507" s="325"/>
      <c r="WRN507" s="325"/>
      <c r="WRO507" s="325"/>
      <c r="WRP507" s="325"/>
      <c r="WRQ507" s="325"/>
      <c r="WRR507" s="325"/>
      <c r="WRS507" s="325"/>
      <c r="WRT507" s="325"/>
      <c r="WRU507" s="325"/>
      <c r="WRV507" s="325"/>
      <c r="WRW507" s="325"/>
      <c r="WRX507" s="327"/>
      <c r="WRY507" s="28"/>
      <c r="WRZ507" s="324"/>
      <c r="WSA507" s="324"/>
      <c r="WSB507" s="324"/>
      <c r="WSC507" s="324"/>
      <c r="WSD507" s="324"/>
      <c r="WSE507" s="324"/>
      <c r="WSF507" s="256"/>
      <c r="WSG507" s="325"/>
      <c r="WSH507" s="311"/>
      <c r="WSI507" s="325"/>
      <c r="WSJ507" s="310"/>
      <c r="WSK507" s="325"/>
      <c r="WSL507" s="325"/>
      <c r="WSM507" s="325"/>
      <c r="WSN507" s="325"/>
      <c r="WSO507" s="325"/>
      <c r="WSP507" s="325"/>
      <c r="WSQ507" s="325"/>
      <c r="WSR507" s="325"/>
      <c r="WSS507" s="325"/>
      <c r="WST507" s="325"/>
      <c r="WSU507" s="325"/>
      <c r="WSV507" s="325"/>
      <c r="WSW507" s="325"/>
      <c r="WSX507" s="325"/>
      <c r="WSY507" s="325"/>
      <c r="WSZ507" s="325"/>
      <c r="WTA507" s="325"/>
      <c r="WTB507" s="325"/>
      <c r="WTC507" s="325"/>
      <c r="WTD507" s="325"/>
      <c r="WTE507" s="325"/>
      <c r="WTF507" s="325"/>
      <c r="WTG507" s="325"/>
      <c r="WTH507" s="325"/>
      <c r="WTI507" s="325"/>
      <c r="WTJ507" s="325"/>
      <c r="WTK507" s="325"/>
      <c r="WTL507" s="325"/>
      <c r="WTM507" s="325"/>
      <c r="WTN507" s="325"/>
      <c r="WTO507" s="327"/>
      <c r="WTP507" s="28"/>
      <c r="WTQ507" s="324"/>
      <c r="WTR507" s="324"/>
      <c r="WTS507" s="324"/>
      <c r="WTT507" s="324"/>
      <c r="WTU507" s="324"/>
      <c r="WTV507" s="324"/>
      <c r="WTW507" s="256"/>
      <c r="WTX507" s="325"/>
      <c r="WTY507" s="311"/>
      <c r="WTZ507" s="325"/>
      <c r="WUA507" s="310"/>
      <c r="WUB507" s="325"/>
      <c r="WUC507" s="325"/>
      <c r="WUD507" s="325"/>
      <c r="WUE507" s="325"/>
      <c r="WUF507" s="325"/>
      <c r="WUG507" s="325"/>
      <c r="WUH507" s="325"/>
      <c r="WUI507" s="325"/>
      <c r="WUJ507" s="325"/>
      <c r="WUK507" s="325"/>
      <c r="WUL507" s="325"/>
      <c r="WUM507" s="325"/>
      <c r="WUN507" s="325"/>
      <c r="WUO507" s="325"/>
      <c r="WUP507" s="325"/>
      <c r="WUQ507" s="325"/>
      <c r="WUR507" s="325"/>
      <c r="WUS507" s="325"/>
      <c r="WUT507" s="325"/>
      <c r="WUU507" s="325"/>
      <c r="WUV507" s="325"/>
      <c r="WUW507" s="325"/>
      <c r="WUX507" s="325"/>
      <c r="WUY507" s="325"/>
      <c r="WUZ507" s="325"/>
      <c r="WVA507" s="325"/>
      <c r="WVB507" s="325"/>
      <c r="WVC507" s="325"/>
      <c r="WVD507" s="325"/>
      <c r="WVE507" s="325"/>
      <c r="WVF507" s="327"/>
      <c r="WVG507" s="28"/>
      <c r="WVH507" s="324"/>
      <c r="WVI507" s="324"/>
      <c r="WVJ507" s="324"/>
      <c r="WVK507" s="324"/>
      <c r="WVL507" s="324"/>
      <c r="WVM507" s="324"/>
      <c r="WVN507" s="256"/>
      <c r="WVO507" s="325"/>
      <c r="WVP507" s="311"/>
      <c r="WVQ507" s="325"/>
      <c r="WVR507" s="310"/>
      <c r="WVS507" s="325"/>
      <c r="WVT507" s="325"/>
      <c r="WVU507" s="325"/>
      <c r="WVV507" s="325"/>
      <c r="WVW507" s="325"/>
      <c r="WVX507" s="325"/>
      <c r="WVY507" s="325"/>
      <c r="WVZ507" s="325"/>
      <c r="WWA507" s="325"/>
      <c r="WWB507" s="325"/>
      <c r="WWC507" s="325"/>
      <c r="WWD507" s="325"/>
      <c r="WWE507" s="325"/>
      <c r="WWF507" s="325"/>
      <c r="WWG507" s="325"/>
      <c r="WWH507" s="325"/>
      <c r="WWI507" s="325"/>
      <c r="WWJ507" s="325"/>
      <c r="WWK507" s="325"/>
      <c r="WWL507" s="325"/>
      <c r="WWM507" s="325"/>
      <c r="WWN507" s="325"/>
      <c r="WWO507" s="325"/>
      <c r="WWP507" s="325"/>
      <c r="WWQ507" s="325"/>
      <c r="WWR507" s="325"/>
      <c r="WWS507" s="325"/>
      <c r="WWT507" s="325"/>
      <c r="WWU507" s="325"/>
      <c r="WWV507" s="325"/>
      <c r="WWW507" s="327"/>
      <c r="WWX507" s="28"/>
      <c r="WWY507" s="324"/>
      <c r="WWZ507" s="324"/>
      <c r="WXA507" s="324"/>
      <c r="WXB507" s="324"/>
      <c r="WXC507" s="324"/>
      <c r="WXD507" s="324"/>
      <c r="WXE507" s="256"/>
      <c r="WXF507" s="325"/>
      <c r="WXG507" s="311"/>
      <c r="WXH507" s="325"/>
      <c r="WXI507" s="310"/>
      <c r="WXJ507" s="325"/>
      <c r="WXK507" s="325"/>
      <c r="WXL507" s="325"/>
      <c r="WXM507" s="325"/>
      <c r="WXN507" s="325"/>
      <c r="WXO507" s="325"/>
      <c r="WXP507" s="325"/>
      <c r="WXQ507" s="325"/>
      <c r="WXR507" s="325"/>
      <c r="WXS507" s="325"/>
      <c r="WXT507" s="325"/>
      <c r="WXU507" s="325"/>
      <c r="WXV507" s="325"/>
      <c r="WXW507" s="325"/>
      <c r="WXX507" s="325"/>
      <c r="WXY507" s="325"/>
      <c r="WXZ507" s="325"/>
      <c r="WYA507" s="325"/>
      <c r="WYB507" s="325"/>
      <c r="WYC507" s="325"/>
      <c r="WYD507" s="325"/>
      <c r="WYE507" s="325"/>
      <c r="WYF507" s="325"/>
      <c r="WYG507" s="325"/>
      <c r="WYH507" s="325"/>
      <c r="WYI507" s="325"/>
      <c r="WYJ507" s="325"/>
      <c r="WYK507" s="325"/>
      <c r="WYL507" s="325"/>
      <c r="WYM507" s="325"/>
      <c r="WYN507" s="327"/>
      <c r="WYO507" s="28"/>
      <c r="WYP507" s="324"/>
      <c r="WYQ507" s="324"/>
      <c r="WYR507" s="324"/>
      <c r="WYS507" s="324"/>
      <c r="WYT507" s="324"/>
      <c r="WYU507" s="324"/>
      <c r="WYV507" s="256"/>
      <c r="WYW507" s="325"/>
      <c r="WYX507" s="311"/>
      <c r="WYY507" s="325"/>
      <c r="WYZ507" s="310"/>
      <c r="WZA507" s="325"/>
      <c r="WZB507" s="325"/>
      <c r="WZC507" s="325"/>
      <c r="WZD507" s="325"/>
      <c r="WZE507" s="325"/>
      <c r="WZF507" s="325"/>
      <c r="WZG507" s="325"/>
      <c r="WZH507" s="325"/>
      <c r="WZI507" s="325"/>
      <c r="WZJ507" s="325"/>
      <c r="WZK507" s="325"/>
      <c r="WZL507" s="325"/>
      <c r="WZM507" s="325"/>
      <c r="WZN507" s="325"/>
      <c r="WZO507" s="325"/>
      <c r="WZP507" s="325"/>
      <c r="WZQ507" s="325"/>
      <c r="WZR507" s="325"/>
      <c r="WZS507" s="325"/>
      <c r="WZT507" s="325"/>
      <c r="WZU507" s="325"/>
      <c r="WZV507" s="325"/>
      <c r="WZW507" s="325"/>
      <c r="WZX507" s="325"/>
      <c r="WZY507" s="325"/>
      <c r="WZZ507" s="325"/>
      <c r="XAA507" s="325"/>
      <c r="XAB507" s="325"/>
      <c r="XAC507" s="325"/>
      <c r="XAD507" s="325"/>
      <c r="XAE507" s="327"/>
      <c r="XAF507" s="28"/>
      <c r="XAG507" s="324"/>
      <c r="XAH507" s="324"/>
      <c r="XAI507" s="324"/>
      <c r="XAJ507" s="324"/>
      <c r="XAK507" s="324"/>
      <c r="XAL507" s="324"/>
      <c r="XAM507" s="256"/>
      <c r="XAN507" s="325"/>
      <c r="XAO507" s="311"/>
      <c r="XAP507" s="325"/>
      <c r="XAQ507" s="310"/>
      <c r="XAR507" s="325"/>
      <c r="XAS507" s="325"/>
      <c r="XAT507" s="325"/>
      <c r="XAU507" s="325"/>
      <c r="XAV507" s="325"/>
      <c r="XAW507" s="325"/>
      <c r="XAX507" s="325"/>
      <c r="XAY507" s="325"/>
      <c r="XAZ507" s="325"/>
      <c r="XBA507" s="325"/>
      <c r="XBB507" s="325"/>
      <c r="XBC507" s="325"/>
      <c r="XBD507" s="325"/>
      <c r="XBE507" s="325"/>
      <c r="XBF507" s="325"/>
      <c r="XBG507" s="325"/>
      <c r="XBH507" s="325"/>
      <c r="XBI507" s="325"/>
      <c r="XBJ507" s="325"/>
      <c r="XBK507" s="325"/>
      <c r="XBL507" s="325"/>
      <c r="XBM507" s="325"/>
      <c r="XBN507" s="325"/>
      <c r="XBO507" s="325"/>
      <c r="XBP507" s="325"/>
      <c r="XBQ507" s="325"/>
      <c r="XBR507" s="325"/>
      <c r="XBS507" s="325"/>
      <c r="XBT507" s="325"/>
      <c r="XBU507" s="325"/>
      <c r="XBV507" s="327"/>
      <c r="XBW507" s="28"/>
      <c r="XBX507" s="324"/>
      <c r="XBY507" s="324"/>
      <c r="XBZ507" s="324"/>
      <c r="XCA507" s="324"/>
      <c r="XCB507" s="324"/>
      <c r="XCC507" s="324"/>
      <c r="XCD507" s="256"/>
      <c r="XCE507" s="325"/>
      <c r="XCF507" s="311"/>
      <c r="XCG507" s="325"/>
      <c r="XCH507" s="310"/>
      <c r="XCI507" s="325"/>
      <c r="XCJ507" s="325"/>
      <c r="XCK507" s="325"/>
      <c r="XCL507" s="325"/>
      <c r="XCM507" s="325"/>
      <c r="XCN507" s="325"/>
      <c r="XCO507" s="325"/>
      <c r="XCP507" s="325"/>
      <c r="XCQ507" s="325"/>
      <c r="XCR507" s="325"/>
      <c r="XCS507" s="325"/>
      <c r="XCT507" s="325"/>
      <c r="XCU507" s="325"/>
      <c r="XCV507" s="325"/>
      <c r="XCW507" s="325"/>
      <c r="XCX507" s="325"/>
      <c r="XCY507" s="325"/>
      <c r="XCZ507" s="325"/>
      <c r="XDA507" s="325"/>
      <c r="XDB507" s="325"/>
      <c r="XDC507" s="325"/>
      <c r="XDD507" s="325"/>
      <c r="XDE507" s="325"/>
      <c r="XDF507" s="325"/>
      <c r="XDG507" s="325"/>
      <c r="XDH507" s="325"/>
      <c r="XDI507" s="325"/>
      <c r="XDJ507" s="325"/>
      <c r="XDK507" s="325"/>
      <c r="XDL507" s="325"/>
      <c r="XDM507" s="327"/>
      <c r="XDN507" s="28"/>
      <c r="XDO507" s="324"/>
      <c r="XDP507" s="324"/>
      <c r="XDQ507" s="324"/>
      <c r="XDR507" s="324"/>
      <c r="XDS507" s="324"/>
      <c r="XDT507" s="324"/>
      <c r="XDU507" s="256"/>
      <c r="XDV507" s="325"/>
      <c r="XDW507" s="311"/>
      <c r="XDX507" s="325"/>
      <c r="XDY507" s="310"/>
      <c r="XDZ507" s="325"/>
      <c r="XEA507" s="325"/>
      <c r="XEB507" s="325"/>
      <c r="XEC507" s="325"/>
      <c r="XED507" s="325"/>
      <c r="XEE507" s="325"/>
      <c r="XEF507" s="325"/>
      <c r="XEG507" s="325"/>
      <c r="XEH507" s="325"/>
      <c r="XEI507" s="325"/>
      <c r="XEJ507" s="325"/>
      <c r="XEK507" s="325"/>
      <c r="XEL507" s="325"/>
      <c r="XEM507" s="325"/>
      <c r="XEN507" s="325"/>
      <c r="XEO507" s="325"/>
      <c r="XEP507" s="325"/>
      <c r="XEQ507" s="325"/>
      <c r="XER507" s="325"/>
      <c r="XES507" s="325"/>
      <c r="XET507" s="325"/>
      <c r="XEU507" s="325"/>
      <c r="XEV507" s="325"/>
      <c r="XEW507" s="325"/>
      <c r="XEX507" s="325"/>
      <c r="XEY507" s="325"/>
      <c r="XEZ507" s="325"/>
      <c r="XFA507" s="325"/>
      <c r="XFB507" s="325"/>
      <c r="XFC507" s="325"/>
      <c r="XFD507" s="327"/>
    </row>
    <row r="508" spans="1:16384">
      <c r="E508" s="325"/>
      <c r="G508" s="39"/>
      <c r="H508" s="39"/>
      <c r="I508" s="39"/>
      <c r="J508" s="39"/>
      <c r="K508" s="39"/>
    </row>
    <row r="509" spans="1:16384">
      <c r="E509" s="325"/>
      <c r="G509" s="38" t="s">
        <v>310</v>
      </c>
      <c r="N509" s="320"/>
      <c r="P509" s="320"/>
      <c r="R509" s="38">
        <f t="shared" ref="R509" si="355">IF(OR(R$99&lt;InServiceYr,R$99&gt;(InServiceYr+analysis_period-1)),0,IF(R507-InServiceYr=4,1,0))</f>
        <v>0</v>
      </c>
      <c r="S509" s="38">
        <f t="shared" ref="S509:AU509" si="356">IF(OR(S$99&lt;InServiceYr,S$99&gt;(InServiceYr+analysis_period-1)),0,IF(S507-InServiceYr=4,1,0))</f>
        <v>0</v>
      </c>
      <c r="T509" s="38">
        <f t="shared" si="356"/>
        <v>0</v>
      </c>
      <c r="U509" s="38">
        <f t="shared" si="356"/>
        <v>0</v>
      </c>
      <c r="V509" s="38">
        <f t="shared" si="356"/>
        <v>1</v>
      </c>
      <c r="W509" s="38">
        <f t="shared" si="356"/>
        <v>0</v>
      </c>
      <c r="X509" s="38">
        <f t="shared" si="356"/>
        <v>0</v>
      </c>
      <c r="Y509" s="38">
        <f t="shared" si="356"/>
        <v>0</v>
      </c>
      <c r="Z509" s="38">
        <f t="shared" si="356"/>
        <v>0</v>
      </c>
      <c r="AA509" s="38">
        <f t="shared" si="356"/>
        <v>0</v>
      </c>
      <c r="AB509" s="38">
        <f t="shared" si="356"/>
        <v>0</v>
      </c>
      <c r="AC509" s="38">
        <f t="shared" si="356"/>
        <v>0</v>
      </c>
      <c r="AD509" s="38">
        <f t="shared" si="356"/>
        <v>0</v>
      </c>
      <c r="AE509" s="38">
        <f t="shared" si="356"/>
        <v>0</v>
      </c>
      <c r="AF509" s="38">
        <f t="shared" si="356"/>
        <v>0</v>
      </c>
      <c r="AG509" s="38">
        <f t="shared" si="356"/>
        <v>0</v>
      </c>
      <c r="AH509" s="38">
        <f t="shared" si="356"/>
        <v>0</v>
      </c>
      <c r="AI509" s="38">
        <f t="shared" si="356"/>
        <v>0</v>
      </c>
      <c r="AJ509" s="38">
        <f t="shared" si="356"/>
        <v>0</v>
      </c>
      <c r="AK509" s="38">
        <f t="shared" si="356"/>
        <v>0</v>
      </c>
      <c r="AL509" s="38">
        <f t="shared" si="356"/>
        <v>0</v>
      </c>
      <c r="AM509" s="38">
        <f t="shared" si="356"/>
        <v>0</v>
      </c>
      <c r="AN509" s="38">
        <f t="shared" si="356"/>
        <v>0</v>
      </c>
      <c r="AO509" s="38">
        <f t="shared" si="356"/>
        <v>0</v>
      </c>
      <c r="AP509" s="38">
        <f t="shared" si="356"/>
        <v>0</v>
      </c>
      <c r="AQ509" s="38">
        <f t="shared" si="356"/>
        <v>0</v>
      </c>
      <c r="AR509" s="38">
        <f t="shared" si="356"/>
        <v>0</v>
      </c>
      <c r="AS509" s="38">
        <f t="shared" si="356"/>
        <v>0</v>
      </c>
      <c r="AT509" s="38">
        <f t="shared" si="356"/>
        <v>0</v>
      </c>
      <c r="AU509" s="38">
        <f t="shared" si="356"/>
        <v>0</v>
      </c>
    </row>
    <row r="511" spans="1:16384">
      <c r="E511" s="327"/>
      <c r="F511" s="28"/>
      <c r="G511" s="324" t="s">
        <v>865</v>
      </c>
      <c r="H511" s="324"/>
      <c r="I511" s="324"/>
      <c r="J511" s="324"/>
      <c r="K511" s="324"/>
      <c r="L511" s="405"/>
      <c r="M511" s="256"/>
      <c r="N511" s="325"/>
      <c r="O511" s="311"/>
      <c r="P511" s="325"/>
      <c r="Q511" s="310"/>
      <c r="R511" s="325"/>
      <c r="S511" s="325"/>
      <c r="T511" s="325"/>
      <c r="U511" s="325"/>
      <c r="V511" s="325"/>
      <c r="W511" s="325"/>
      <c r="X511" s="325"/>
      <c r="Y511" s="325"/>
      <c r="Z511" s="325"/>
      <c r="AA511" s="325"/>
      <c r="AB511" s="325"/>
      <c r="AC511" s="325"/>
      <c r="AD511" s="325"/>
      <c r="AE511" s="325"/>
      <c r="AF511" s="325"/>
      <c r="AG511" s="325"/>
      <c r="AH511" s="325"/>
      <c r="AI511" s="325"/>
      <c r="AJ511" s="325"/>
      <c r="AK511" s="325"/>
      <c r="AL511" s="325"/>
      <c r="AM511" s="325"/>
      <c r="AN511" s="325"/>
      <c r="AO511" s="325"/>
      <c r="AP511" s="325"/>
      <c r="AQ511" s="325"/>
      <c r="AR511" s="325"/>
      <c r="AS511" s="325"/>
      <c r="AT511" s="325"/>
      <c r="AU511" s="325"/>
    </row>
    <row r="512" spans="1:16384">
      <c r="E512" s="325"/>
      <c r="G512" s="39"/>
      <c r="H512" s="39"/>
      <c r="I512" s="39"/>
      <c r="J512" s="39"/>
      <c r="K512" s="39"/>
    </row>
    <row r="513" spans="5:47">
      <c r="E513" s="325"/>
      <c r="G513" s="36" t="s">
        <v>865</v>
      </c>
      <c r="H513" s="39"/>
      <c r="I513" s="39"/>
      <c r="J513" s="70"/>
      <c r="K513" s="39"/>
      <c r="L513" s="43"/>
      <c r="N513" s="320"/>
      <c r="P513" s="320"/>
      <c r="Q513" s="52"/>
      <c r="R513" s="52">
        <f>Assumptions!M56</f>
        <v>0</v>
      </c>
      <c r="S513" s="52">
        <f>Assumptions!N56</f>
        <v>0</v>
      </c>
      <c r="T513" s="52">
        <f>Assumptions!O56</f>
        <v>0</v>
      </c>
      <c r="U513" s="52">
        <f>Assumptions!P56</f>
        <v>0</v>
      </c>
      <c r="V513" s="52">
        <f>Assumptions!Q56</f>
        <v>0</v>
      </c>
      <c r="W513" s="52">
        <f>Assumptions!R56</f>
        <v>0</v>
      </c>
      <c r="X513" s="52">
        <f>Assumptions!S56</f>
        <v>0</v>
      </c>
      <c r="Y513" s="52">
        <f>Assumptions!T56</f>
        <v>0</v>
      </c>
      <c r="Z513" s="52">
        <f>Assumptions!U56</f>
        <v>0</v>
      </c>
      <c r="AA513" s="52">
        <f>Assumptions!V56</f>
        <v>0</v>
      </c>
      <c r="AB513" s="52">
        <f>Assumptions!W56</f>
        <v>0</v>
      </c>
      <c r="AC513" s="52">
        <f>Assumptions!X56</f>
        <v>0</v>
      </c>
      <c r="AD513" s="52">
        <f>Assumptions!Y56</f>
        <v>0</v>
      </c>
      <c r="AE513" s="52">
        <f>Assumptions!Z56</f>
        <v>0</v>
      </c>
      <c r="AF513" s="52">
        <f>Assumptions!AA56</f>
        <v>0</v>
      </c>
      <c r="AG513" s="52">
        <f>Assumptions!AB56</f>
        <v>0</v>
      </c>
      <c r="AH513" s="52">
        <f>Assumptions!AC56</f>
        <v>0</v>
      </c>
      <c r="AI513" s="52">
        <f>Assumptions!AD56</f>
        <v>0</v>
      </c>
      <c r="AJ513" s="52">
        <f>Assumptions!AE56</f>
        <v>0</v>
      </c>
      <c r="AK513" s="52">
        <f>Assumptions!AF56</f>
        <v>0</v>
      </c>
      <c r="AL513" s="52">
        <f>Assumptions!AG56</f>
        <v>0</v>
      </c>
      <c r="AM513" s="52">
        <f>Assumptions!AH56</f>
        <v>0</v>
      </c>
      <c r="AN513" s="52">
        <f>Assumptions!AI56</f>
        <v>0</v>
      </c>
      <c r="AO513" s="52">
        <f>Assumptions!AJ56</f>
        <v>0</v>
      </c>
      <c r="AP513" s="52">
        <f>Assumptions!AK56</f>
        <v>0</v>
      </c>
      <c r="AQ513" s="52">
        <f>Assumptions!AL56</f>
        <v>0</v>
      </c>
      <c r="AR513" s="52">
        <f>Assumptions!AM56</f>
        <v>0</v>
      </c>
      <c r="AS513" s="52">
        <f>Assumptions!AN56</f>
        <v>0</v>
      </c>
      <c r="AT513" s="52">
        <f>Assumptions!AO56</f>
        <v>0</v>
      </c>
      <c r="AU513" s="52">
        <f>Assumptions!AP56</f>
        <v>0</v>
      </c>
    </row>
    <row r="525" spans="5:47">
      <c r="N525" s="200"/>
      <c r="O525" s="316"/>
      <c r="P525" s="200"/>
      <c r="Q525" s="316"/>
      <c r="R525" s="198"/>
      <c r="S525" s="199"/>
    </row>
    <row r="526" spans="5:47">
      <c r="N526" s="200"/>
      <c r="O526" s="316"/>
      <c r="P526" s="200"/>
      <c r="Q526" s="316"/>
      <c r="R526" s="198"/>
      <c r="S526" s="199"/>
    </row>
    <row r="527" spans="5:47">
      <c r="N527" s="200"/>
      <c r="O527" s="316"/>
      <c r="P527" s="200"/>
      <c r="Q527" s="316"/>
      <c r="R527" s="198"/>
      <c r="S527" s="199"/>
    </row>
    <row r="528" spans="5:47">
      <c r="N528" s="200"/>
      <c r="O528" s="316"/>
      <c r="P528" s="200"/>
      <c r="Q528" s="316"/>
      <c r="R528" s="198"/>
      <c r="S528" s="199"/>
    </row>
    <row r="529" spans="14:19">
      <c r="N529" s="200"/>
      <c r="O529" s="316"/>
      <c r="P529" s="200"/>
      <c r="Q529" s="316"/>
      <c r="R529" s="198"/>
      <c r="S529" s="199"/>
    </row>
    <row r="530" spans="14:19">
      <c r="N530" s="200"/>
      <c r="O530" s="316"/>
      <c r="P530" s="200"/>
      <c r="Q530" s="316"/>
      <c r="R530" s="198"/>
      <c r="S530" s="199"/>
    </row>
    <row r="531" spans="14:19">
      <c r="N531" s="200"/>
      <c r="O531" s="316"/>
      <c r="P531" s="200"/>
      <c r="Q531" s="316"/>
      <c r="R531" s="198"/>
      <c r="S531" s="199"/>
    </row>
    <row r="532" spans="14:19">
      <c r="N532" s="200"/>
      <c r="O532" s="316"/>
      <c r="P532" s="200"/>
      <c r="Q532" s="316"/>
      <c r="R532" s="198"/>
      <c r="S532" s="199"/>
    </row>
    <row r="533" spans="14:19">
      <c r="N533" s="200"/>
      <c r="O533" s="316"/>
      <c r="P533" s="200"/>
      <c r="Q533" s="316"/>
      <c r="R533" s="198"/>
      <c r="S533" s="199"/>
    </row>
    <row r="534" spans="14:19">
      <c r="N534" s="200"/>
      <c r="O534" s="316"/>
      <c r="P534" s="200"/>
      <c r="Q534" s="316"/>
      <c r="R534" s="198"/>
      <c r="S534" s="199"/>
    </row>
  </sheetData>
  <dataConsolidate/>
  <dataValidations count="2">
    <dataValidation type="list" allowBlank="1" showInputMessage="1" showErrorMessage="1" sqref="J4">
      <formula1>ConfigDropdown</formula1>
    </dataValidation>
    <dataValidation type="list" allowBlank="1" showInputMessage="1" showErrorMessage="1" sqref="J45:J60 J85:J87">
      <formula1>OnOff</formula1>
    </dataValidation>
  </dataValidations>
  <pageMargins left="0.75" right="0.75" top="1" bottom="1" header="0.5" footer="0.5"/>
  <pageSetup scale="60" pageOrder="overThenDown" orientation="landscape" r:id="rId1"/>
  <headerFooter alignWithMargins="0"/>
  <rowBreaks count="2" manualBreakCount="2">
    <brk id="39" min="17" max="46" man="1"/>
    <brk id="66" min="17" max="46" man="1"/>
  </rowBreaks>
</worksheet>
</file>

<file path=xl/worksheets/sheet24.xml><?xml version="1.0" encoding="utf-8"?>
<worksheet xmlns="http://schemas.openxmlformats.org/spreadsheetml/2006/main" xmlns:r="http://schemas.openxmlformats.org/officeDocument/2006/relationships">
  <sheetPr codeName="Sheet25" enableFormatConditionsCalculation="0">
    <tabColor rgb="FFC00000"/>
    <pageSetUpPr fitToPage="1"/>
  </sheetPr>
  <dimension ref="A1:K539"/>
  <sheetViews>
    <sheetView view="pageBreakPreview" topLeftCell="B60" zoomScale="70" zoomScaleNormal="70" zoomScaleSheetLayoutView="70" zoomScalePageLayoutView="70" workbookViewId="0">
      <selection activeCell="F76" sqref="F76:G76"/>
    </sheetView>
  </sheetViews>
  <sheetFormatPr defaultColWidth="8.85546875" defaultRowHeight="15"/>
  <cols>
    <col min="1" max="1" width="53" hidden="1" customWidth="1"/>
    <col min="2" max="2" width="27.7109375" customWidth="1"/>
    <col min="3" max="7" width="12.7109375" customWidth="1"/>
    <col min="8" max="8" width="0.85546875" customWidth="1"/>
    <col min="9" max="9" width="18.7109375" hidden="1" customWidth="1"/>
    <col min="10" max="10" width="15.42578125" hidden="1" customWidth="1"/>
    <col min="11" max="11" width="16.7109375" customWidth="1"/>
  </cols>
  <sheetData>
    <row r="1" spans="1:11" ht="18" customHeight="1" thickBot="1">
      <c r="B1" s="96"/>
      <c r="C1" s="96"/>
      <c r="D1" s="96"/>
      <c r="E1" s="96"/>
      <c r="F1" s="96"/>
      <c r="G1" s="96"/>
      <c r="H1" s="68"/>
      <c r="I1" s="68"/>
      <c r="J1" s="68"/>
      <c r="K1" s="68"/>
    </row>
    <row r="2" spans="1:11" s="68" customFormat="1" ht="18" customHeight="1" thickBot="1">
      <c r="B2" s="1087" t="s">
        <v>131</v>
      </c>
      <c r="C2" s="1087"/>
      <c r="D2" s="1087"/>
      <c r="E2" s="1087"/>
      <c r="F2" s="1087"/>
      <c r="G2" s="1087"/>
    </row>
    <row r="3" spans="1:11" s="68" customFormat="1" ht="10.35" customHeight="1" thickBot="1">
      <c r="B3" s="1088"/>
      <c r="C3" s="1088"/>
      <c r="D3" s="1088"/>
      <c r="E3" s="1088"/>
      <c r="F3" s="1088"/>
      <c r="G3" s="1088"/>
    </row>
    <row r="4" spans="1:11" s="68" customFormat="1" ht="18" customHeight="1">
      <c r="A4" s="68" t="s">
        <v>249</v>
      </c>
      <c r="B4" s="97" t="s">
        <v>111</v>
      </c>
      <c r="C4" s="1089" t="s">
        <v>132</v>
      </c>
      <c r="D4" s="1090"/>
      <c r="E4" s="1091"/>
      <c r="F4" s="1089" t="s">
        <v>133</v>
      </c>
      <c r="G4" s="1092"/>
    </row>
    <row r="5" spans="1:11" s="68" customFormat="1" ht="5.0999999999999996" customHeight="1">
      <c r="B5" s="98"/>
      <c r="C5" s="1014"/>
      <c r="D5" s="1015"/>
      <c r="E5" s="1016"/>
      <c r="F5" s="1014"/>
      <c r="G5" s="1015"/>
    </row>
    <row r="6" spans="1:11" s="68" customFormat="1" ht="18" customHeight="1">
      <c r="A6" s="68" t="str">
        <f t="shared" ref="A6:A20" si="0">"1X1Y-"&amp;B6</f>
        <v>1X1Y-Gravity Thickener</v>
      </c>
      <c r="B6" s="732" t="s">
        <v>29</v>
      </c>
      <c r="C6" s="1098" t="s">
        <v>134</v>
      </c>
      <c r="D6" s="1099"/>
      <c r="E6" s="1100"/>
      <c r="F6" s="1101">
        <v>1029000</v>
      </c>
      <c r="G6" s="1102"/>
      <c r="J6" s="175">
        <f>F6</f>
        <v>1029000</v>
      </c>
    </row>
    <row r="7" spans="1:11" s="68" customFormat="1" ht="18" customHeight="1">
      <c r="A7" s="68" t="str">
        <f t="shared" si="0"/>
        <v>1X1Y-Gravity Belt Thickener</v>
      </c>
      <c r="B7" s="99" t="s">
        <v>135</v>
      </c>
      <c r="C7" s="1093" t="s">
        <v>136</v>
      </c>
      <c r="D7" s="1094"/>
      <c r="E7" s="1095"/>
      <c r="F7" s="1096">
        <v>2050000</v>
      </c>
      <c r="G7" s="1097"/>
      <c r="J7" s="175">
        <f t="shared" ref="J7:J70" si="1">F7</f>
        <v>2050000</v>
      </c>
    </row>
    <row r="8" spans="1:11" s="68" customFormat="1" ht="18" customHeight="1">
      <c r="A8" s="68" t="str">
        <f t="shared" si="0"/>
        <v xml:space="preserve">1X1Y-Pre-Dewatering </v>
      </c>
      <c r="B8" s="249" t="s">
        <v>163</v>
      </c>
      <c r="C8" s="1093" t="s">
        <v>137</v>
      </c>
      <c r="D8" s="1094"/>
      <c r="E8" s="1095"/>
      <c r="F8" s="1096">
        <v>4064000</v>
      </c>
      <c r="G8" s="1097"/>
      <c r="J8" s="175">
        <f t="shared" si="1"/>
        <v>4064000</v>
      </c>
    </row>
    <row r="9" spans="1:11" s="68" customFormat="1" ht="18" customHeight="1">
      <c r="A9" s="68" t="str">
        <f t="shared" si="0"/>
        <v>1X1Y-Pre-Treatment (CAMBI)</v>
      </c>
      <c r="B9" s="249" t="s">
        <v>138</v>
      </c>
      <c r="C9" s="1093" t="s">
        <v>139</v>
      </c>
      <c r="D9" s="1094"/>
      <c r="E9" s="1095"/>
      <c r="F9" s="1096">
        <v>5130000</v>
      </c>
      <c r="G9" s="1097"/>
      <c r="J9" s="175">
        <f t="shared" si="1"/>
        <v>5130000</v>
      </c>
    </row>
    <row r="10" spans="1:11" s="68" customFormat="1" ht="18" customHeight="1">
      <c r="A10" s="68" t="str">
        <f t="shared" si="0"/>
        <v>1X1Y-Anaerobic Digestion</v>
      </c>
      <c r="B10" s="100" t="s">
        <v>315</v>
      </c>
      <c r="C10" s="1093" t="s">
        <v>140</v>
      </c>
      <c r="D10" s="1094"/>
      <c r="E10" s="1095"/>
      <c r="F10" s="1096">
        <v>4236000</v>
      </c>
      <c r="G10" s="1097"/>
      <c r="J10" s="175">
        <f t="shared" si="1"/>
        <v>4236000</v>
      </c>
    </row>
    <row r="11" spans="1:11" s="68" customFormat="1" ht="18" customHeight="1">
      <c r="A11" s="68" t="str">
        <f t="shared" si="0"/>
        <v>1X1Y-Gas Cleaning</v>
      </c>
      <c r="B11" s="101" t="s">
        <v>162</v>
      </c>
      <c r="C11" s="1093" t="s">
        <v>141</v>
      </c>
      <c r="D11" s="1094"/>
      <c r="E11" s="1095"/>
      <c r="F11" s="1096">
        <v>696000</v>
      </c>
      <c r="G11" s="1097"/>
      <c r="J11" s="175">
        <f t="shared" si="1"/>
        <v>696000</v>
      </c>
    </row>
    <row r="12" spans="1:11" s="68" customFormat="1" ht="18" customHeight="1">
      <c r="A12" s="68" t="str">
        <f t="shared" si="0"/>
        <v>1X1Y-CHP</v>
      </c>
      <c r="B12" s="101" t="s">
        <v>318</v>
      </c>
      <c r="C12" s="1093" t="s">
        <v>142</v>
      </c>
      <c r="D12" s="1094"/>
      <c r="E12" s="1095"/>
      <c r="F12" s="1096">
        <v>741000</v>
      </c>
      <c r="G12" s="1097"/>
      <c r="J12" s="175">
        <f t="shared" si="1"/>
        <v>741000</v>
      </c>
    </row>
    <row r="13" spans="1:11" s="68" customFormat="1" ht="18" customHeight="1">
      <c r="A13" s="68" t="str">
        <f t="shared" si="0"/>
        <v>1X1Y-Belt Filter Press Dewatering</v>
      </c>
      <c r="B13" s="100" t="s">
        <v>143</v>
      </c>
      <c r="C13" s="1093" t="s">
        <v>144</v>
      </c>
      <c r="D13" s="1094"/>
      <c r="E13" s="1095"/>
      <c r="F13" s="1096">
        <v>2603000</v>
      </c>
      <c r="G13" s="1097"/>
      <c r="J13" s="175">
        <f t="shared" si="1"/>
        <v>2603000</v>
      </c>
    </row>
    <row r="14" spans="1:11" s="68" customFormat="1" ht="18" customHeight="1" thickBot="1">
      <c r="A14" s="68" t="str">
        <f t="shared" si="0"/>
        <v>1X1Y-Cake Storage</v>
      </c>
      <c r="B14" s="102" t="s">
        <v>317</v>
      </c>
      <c r="C14" s="1109" t="s">
        <v>145</v>
      </c>
      <c r="D14" s="1110"/>
      <c r="E14" s="1111"/>
      <c r="F14" s="1112">
        <v>1338000</v>
      </c>
      <c r="G14" s="1113"/>
      <c r="J14" s="175">
        <f t="shared" si="1"/>
        <v>1338000</v>
      </c>
    </row>
    <row r="15" spans="1:11" s="103" customFormat="1" ht="18" customHeight="1">
      <c r="A15" s="68" t="str">
        <f t="shared" si="0"/>
        <v>1X1Y-</v>
      </c>
      <c r="C15" s="1103" t="s">
        <v>116</v>
      </c>
      <c r="D15" s="1103"/>
      <c r="E15" s="1103"/>
      <c r="F15" s="1104">
        <f>+SUM(F6:G14)</f>
        <v>21887000</v>
      </c>
      <c r="G15" s="1104"/>
      <c r="J15" s="175">
        <f t="shared" si="1"/>
        <v>21887000</v>
      </c>
    </row>
    <row r="16" spans="1:11" s="103" customFormat="1" ht="18" customHeight="1">
      <c r="A16" s="68" t="str">
        <f t="shared" si="0"/>
        <v>1X1Y-Sitework</v>
      </c>
      <c r="B16" s="248" t="s">
        <v>113</v>
      </c>
      <c r="C16" s="1105">
        <v>0.05</v>
      </c>
      <c r="D16" s="1105"/>
      <c r="E16" s="1105"/>
      <c r="F16" s="1106">
        <f>+ROUND($F$15*C16,-3)</f>
        <v>1094000</v>
      </c>
      <c r="G16" s="1106"/>
      <c r="J16" s="175">
        <f t="shared" si="1"/>
        <v>1094000</v>
      </c>
    </row>
    <row r="17" spans="1:11" s="103" customFormat="1" ht="18" customHeight="1" thickBot="1">
      <c r="A17" s="68" t="str">
        <f t="shared" si="0"/>
        <v>1X1Y-General Requirements</v>
      </c>
      <c r="B17" s="246" t="s">
        <v>115</v>
      </c>
      <c r="C17" s="1107">
        <v>0.1</v>
      </c>
      <c r="D17" s="1107"/>
      <c r="E17" s="1107"/>
      <c r="F17" s="1108">
        <f>+ROUND($F$15*C17,-3)</f>
        <v>2189000</v>
      </c>
      <c r="G17" s="1108"/>
      <c r="J17" s="175">
        <f t="shared" si="1"/>
        <v>2189000</v>
      </c>
    </row>
    <row r="18" spans="1:11" s="103" customFormat="1" ht="18" customHeight="1">
      <c r="A18" s="68" t="str">
        <f t="shared" si="0"/>
        <v>1X1Y-</v>
      </c>
      <c r="B18" s="248"/>
      <c r="C18" s="1103" t="s">
        <v>116</v>
      </c>
      <c r="D18" s="1103"/>
      <c r="E18" s="1103"/>
      <c r="F18" s="1104">
        <f>+SUM(F15:G17)</f>
        <v>25170000</v>
      </c>
      <c r="G18" s="1104"/>
      <c r="J18" s="175">
        <f t="shared" si="1"/>
        <v>25170000</v>
      </c>
    </row>
    <row r="19" spans="1:11" s="103" customFormat="1" ht="18" customHeight="1">
      <c r="A19" s="68" t="str">
        <f t="shared" si="0"/>
        <v>1X1Y-Contingencies</v>
      </c>
      <c r="B19" s="248" t="s">
        <v>146</v>
      </c>
      <c r="C19" s="1105">
        <v>0.3</v>
      </c>
      <c r="D19" s="1105"/>
      <c r="E19" s="1105"/>
      <c r="F19" s="1106">
        <f>+ROUND($F$18*C19,-3)</f>
        <v>7551000</v>
      </c>
      <c r="G19" s="1106"/>
      <c r="J19" s="175">
        <f t="shared" si="1"/>
        <v>7551000</v>
      </c>
      <c r="K19" s="177"/>
    </row>
    <row r="20" spans="1:11" s="103" customFormat="1" ht="18" customHeight="1" thickBot="1">
      <c r="A20" s="68" t="str">
        <f t="shared" si="0"/>
        <v>1X1Y-Engineering, Legal &amp; Admin</v>
      </c>
      <c r="B20" s="248" t="s">
        <v>147</v>
      </c>
      <c r="C20" s="1107">
        <v>0.15</v>
      </c>
      <c r="D20" s="1107"/>
      <c r="E20" s="1107"/>
      <c r="F20" s="1108">
        <f>+ROUND(($F$18+$F$19)*C20,-3)</f>
        <v>4908000</v>
      </c>
      <c r="G20" s="1108"/>
      <c r="J20" s="175">
        <f t="shared" si="1"/>
        <v>4908000</v>
      </c>
    </row>
    <row r="21" spans="1:11" s="103" customFormat="1" ht="18" customHeight="1" thickBot="1">
      <c r="B21" s="1114" t="s">
        <v>148</v>
      </c>
      <c r="C21" s="1114"/>
      <c r="D21" s="1114"/>
      <c r="E21" s="1114"/>
      <c r="F21" s="1115">
        <f>+SUM(F18:G20)</f>
        <v>37629000</v>
      </c>
      <c r="G21" s="1115"/>
      <c r="J21" s="175">
        <f t="shared" si="1"/>
        <v>37629000</v>
      </c>
      <c r="K21" s="177"/>
    </row>
    <row r="22" spans="1:11" s="103" customFormat="1" ht="18" customHeight="1">
      <c r="J22" s="175">
        <f t="shared" si="1"/>
        <v>0</v>
      </c>
      <c r="K22" s="176"/>
    </row>
    <row r="23" spans="1:11" s="104" customFormat="1" ht="18" customHeight="1" thickBot="1">
      <c r="J23" s="175">
        <f t="shared" si="1"/>
        <v>0</v>
      </c>
    </row>
    <row r="24" spans="1:11" s="104" customFormat="1" ht="18" customHeight="1" thickBot="1">
      <c r="B24" s="1087" t="s">
        <v>149</v>
      </c>
      <c r="C24" s="1087"/>
      <c r="D24" s="1087"/>
      <c r="E24" s="1087"/>
      <c r="F24" s="1087"/>
      <c r="G24" s="1087"/>
      <c r="J24" s="175">
        <f t="shared" si="1"/>
        <v>0</v>
      </c>
    </row>
    <row r="25" spans="1:11" s="104" customFormat="1" ht="18" customHeight="1" thickBot="1">
      <c r="B25" s="1088"/>
      <c r="C25" s="1088"/>
      <c r="D25" s="1088"/>
      <c r="E25" s="1088"/>
      <c r="F25" s="1088"/>
      <c r="G25" s="1088"/>
      <c r="J25" s="175">
        <f t="shared" si="1"/>
        <v>0</v>
      </c>
    </row>
    <row r="26" spans="1:11" s="104" customFormat="1" ht="18" customHeight="1">
      <c r="B26" s="97" t="s">
        <v>111</v>
      </c>
      <c r="C26" s="1089" t="s">
        <v>132</v>
      </c>
      <c r="D26" s="1090"/>
      <c r="E26" s="1091"/>
      <c r="F26" s="1089" t="s">
        <v>133</v>
      </c>
      <c r="G26" s="1092"/>
      <c r="J26" s="175"/>
    </row>
    <row r="27" spans="1:11" s="104" customFormat="1" ht="18" customHeight="1">
      <c r="B27" s="98"/>
      <c r="C27" s="1014"/>
      <c r="D27" s="1015"/>
      <c r="E27" s="1016"/>
      <c r="F27" s="1014"/>
      <c r="G27" s="1015"/>
      <c r="J27" s="175">
        <f t="shared" si="1"/>
        <v>0</v>
      </c>
    </row>
    <row r="28" spans="1:11" s="104" customFormat="1" ht="18" customHeight="1">
      <c r="A28" s="68" t="str">
        <f t="shared" ref="A28:A42" si="2">"2X2Y-"&amp;B28</f>
        <v>2X2Y-Gravity Thickener</v>
      </c>
      <c r="B28" s="732" t="s">
        <v>29</v>
      </c>
      <c r="C28" s="1098" t="s">
        <v>134</v>
      </c>
      <c r="D28" s="1099"/>
      <c r="E28" s="1100"/>
      <c r="F28" s="1101">
        <v>1029000</v>
      </c>
      <c r="G28" s="1102"/>
      <c r="J28" s="175">
        <f t="shared" si="1"/>
        <v>1029000</v>
      </c>
    </row>
    <row r="29" spans="1:11" s="104" customFormat="1" ht="18" customHeight="1">
      <c r="A29" s="68" t="str">
        <f t="shared" si="2"/>
        <v>2X2Y-Gravity Belt Thickener</v>
      </c>
      <c r="B29" s="99" t="s">
        <v>135</v>
      </c>
      <c r="C29" s="1093" t="s">
        <v>136</v>
      </c>
      <c r="D29" s="1094"/>
      <c r="E29" s="1095"/>
      <c r="F29" s="1096">
        <v>2050000</v>
      </c>
      <c r="G29" s="1097"/>
      <c r="J29" s="175">
        <f t="shared" si="1"/>
        <v>2050000</v>
      </c>
    </row>
    <row r="30" spans="1:11" s="104" customFormat="1" ht="18" customHeight="1">
      <c r="A30" s="68" t="str">
        <f t="shared" si="2"/>
        <v>2X2Y-FOG Receiving</v>
      </c>
      <c r="B30" s="99" t="s">
        <v>161</v>
      </c>
      <c r="C30" s="1093" t="s">
        <v>150</v>
      </c>
      <c r="D30" s="1094"/>
      <c r="E30" s="1095"/>
      <c r="F30" s="1096">
        <v>600000</v>
      </c>
      <c r="G30" s="1097"/>
      <c r="J30" s="175">
        <f t="shared" si="1"/>
        <v>600000</v>
      </c>
    </row>
    <row r="31" spans="1:11" s="104" customFormat="1" ht="18" customHeight="1">
      <c r="A31" s="68" t="str">
        <f t="shared" si="2"/>
        <v>2X2Y-Anaerobic Digestion</v>
      </c>
      <c r="B31" s="100" t="s">
        <v>315</v>
      </c>
      <c r="C31" s="1093" t="s">
        <v>140</v>
      </c>
      <c r="D31" s="1094"/>
      <c r="E31" s="1095"/>
      <c r="F31" s="1096">
        <v>8338000</v>
      </c>
      <c r="G31" s="1097"/>
      <c r="J31" s="175">
        <f t="shared" si="1"/>
        <v>8338000</v>
      </c>
    </row>
    <row r="32" spans="1:11" s="104" customFormat="1" ht="18" customHeight="1">
      <c r="A32" s="68" t="str">
        <f t="shared" si="2"/>
        <v>2X2Y-Gas Cleaning</v>
      </c>
      <c r="B32" s="101" t="s">
        <v>162</v>
      </c>
      <c r="C32" s="1093" t="s">
        <v>141</v>
      </c>
      <c r="D32" s="1094"/>
      <c r="E32" s="1095"/>
      <c r="F32" s="1096">
        <v>696000</v>
      </c>
      <c r="G32" s="1097"/>
      <c r="J32" s="175">
        <f t="shared" si="1"/>
        <v>696000</v>
      </c>
    </row>
    <row r="33" spans="1:10" s="104" customFormat="1" ht="18" customHeight="1">
      <c r="A33" s="68" t="str">
        <f t="shared" si="2"/>
        <v>2X2Y-CHP</v>
      </c>
      <c r="B33" s="101" t="s">
        <v>318</v>
      </c>
      <c r="C33" s="1093" t="s">
        <v>142</v>
      </c>
      <c r="D33" s="1094"/>
      <c r="E33" s="1095"/>
      <c r="F33" s="1096">
        <v>741000</v>
      </c>
      <c r="G33" s="1097"/>
      <c r="J33" s="175">
        <f t="shared" si="1"/>
        <v>741000</v>
      </c>
    </row>
    <row r="34" spans="1:10" s="104" customFormat="1" ht="18" customHeight="1">
      <c r="A34" s="68" t="str">
        <f t="shared" si="2"/>
        <v>2X2Y-Belt Filter Press Dewatering</v>
      </c>
      <c r="B34" s="100" t="s">
        <v>143</v>
      </c>
      <c r="C34" s="1093" t="s">
        <v>144</v>
      </c>
      <c r="D34" s="1094"/>
      <c r="E34" s="1095"/>
      <c r="F34" s="1096">
        <v>2782000</v>
      </c>
      <c r="G34" s="1097"/>
      <c r="J34" s="175">
        <f t="shared" si="1"/>
        <v>2782000</v>
      </c>
    </row>
    <row r="35" spans="1:10" s="104" customFormat="1" ht="18" customHeight="1" thickBot="1">
      <c r="A35" s="68" t="str">
        <f t="shared" si="2"/>
        <v>2X2Y-Cake Storage</v>
      </c>
      <c r="B35" s="102" t="s">
        <v>317</v>
      </c>
      <c r="C35" s="1109" t="s">
        <v>151</v>
      </c>
      <c r="D35" s="1110"/>
      <c r="E35" s="1111"/>
      <c r="F35" s="1112">
        <v>3325000</v>
      </c>
      <c r="G35" s="1113"/>
      <c r="J35" s="175">
        <f t="shared" si="1"/>
        <v>3325000</v>
      </c>
    </row>
    <row r="36" spans="1:10" s="104" customFormat="1" ht="18" customHeight="1">
      <c r="A36" s="68" t="str">
        <f t="shared" si="2"/>
        <v>2X2Y-</v>
      </c>
      <c r="B36" s="103"/>
      <c r="C36" s="1103" t="s">
        <v>116</v>
      </c>
      <c r="D36" s="1103"/>
      <c r="E36" s="1103"/>
      <c r="F36" s="1104">
        <f>+SUM(F28:G35)</f>
        <v>19561000</v>
      </c>
      <c r="G36" s="1104"/>
      <c r="J36" s="175">
        <f t="shared" si="1"/>
        <v>19561000</v>
      </c>
    </row>
    <row r="37" spans="1:10" s="104" customFormat="1" ht="18" customHeight="1">
      <c r="A37" s="68" t="str">
        <f t="shared" si="2"/>
        <v>2X2Y-Sitework</v>
      </c>
      <c r="B37" s="248" t="s">
        <v>113</v>
      </c>
      <c r="C37" s="1105">
        <v>0.05</v>
      </c>
      <c r="D37" s="1105"/>
      <c r="E37" s="1105"/>
      <c r="F37" s="1106">
        <f>+ROUND($F$36*C37,-3)</f>
        <v>978000</v>
      </c>
      <c r="G37" s="1106"/>
      <c r="J37" s="175">
        <f t="shared" si="1"/>
        <v>978000</v>
      </c>
    </row>
    <row r="38" spans="1:10" s="104" customFormat="1" ht="18" customHeight="1" thickBot="1">
      <c r="A38" s="68" t="str">
        <f t="shared" si="2"/>
        <v>2X2Y-General Requirements</v>
      </c>
      <c r="B38" s="246" t="s">
        <v>115</v>
      </c>
      <c r="C38" s="1107">
        <v>0.1</v>
      </c>
      <c r="D38" s="1107"/>
      <c r="E38" s="1107"/>
      <c r="F38" s="1108">
        <f>+ROUND($F$36*C38,-3)</f>
        <v>1956000</v>
      </c>
      <c r="G38" s="1108"/>
      <c r="J38" s="175">
        <f t="shared" si="1"/>
        <v>1956000</v>
      </c>
    </row>
    <row r="39" spans="1:10" s="104" customFormat="1" ht="18" customHeight="1">
      <c r="A39" s="68" t="str">
        <f t="shared" si="2"/>
        <v>2X2Y-</v>
      </c>
      <c r="B39" s="248"/>
      <c r="C39" s="1103" t="s">
        <v>116</v>
      </c>
      <c r="D39" s="1103"/>
      <c r="E39" s="1103"/>
      <c r="F39" s="1104">
        <f>+SUM(F36:G38)</f>
        <v>22495000</v>
      </c>
      <c r="G39" s="1104"/>
      <c r="J39" s="175">
        <f t="shared" si="1"/>
        <v>22495000</v>
      </c>
    </row>
    <row r="40" spans="1:10" s="104" customFormat="1" ht="18" customHeight="1">
      <c r="A40" s="68" t="str">
        <f t="shared" si="2"/>
        <v>2X2Y-Contingencies</v>
      </c>
      <c r="B40" s="248" t="s">
        <v>146</v>
      </c>
      <c r="C40" s="1105">
        <v>0.3</v>
      </c>
      <c r="D40" s="1105"/>
      <c r="E40" s="1105"/>
      <c r="F40" s="1106">
        <f>+ROUND($F$39*C40,-3)</f>
        <v>6749000</v>
      </c>
      <c r="G40" s="1106"/>
      <c r="J40" s="175">
        <f t="shared" si="1"/>
        <v>6749000</v>
      </c>
    </row>
    <row r="41" spans="1:10" s="104" customFormat="1" ht="18" customHeight="1" thickBot="1">
      <c r="A41" s="68" t="str">
        <f t="shared" si="2"/>
        <v>2X2Y-Engineering, Legal &amp; Admin</v>
      </c>
      <c r="B41" s="248" t="s">
        <v>147</v>
      </c>
      <c r="C41" s="1107">
        <v>0.15</v>
      </c>
      <c r="D41" s="1107"/>
      <c r="E41" s="1107"/>
      <c r="F41" s="1108">
        <f>+ROUND(($F$39+$F$40)*C41,-3)</f>
        <v>4387000</v>
      </c>
      <c r="G41" s="1108"/>
      <c r="J41" s="175">
        <f t="shared" si="1"/>
        <v>4387000</v>
      </c>
    </row>
    <row r="42" spans="1:10" s="104" customFormat="1" ht="18" customHeight="1" thickBot="1">
      <c r="A42" s="68" t="str">
        <f t="shared" si="2"/>
        <v>2X2Y-Total - Process Configurations 2X &amp; 2Y</v>
      </c>
      <c r="B42" s="1114" t="s">
        <v>152</v>
      </c>
      <c r="C42" s="1114"/>
      <c r="D42" s="1114"/>
      <c r="E42" s="1114"/>
      <c r="F42" s="1115">
        <f>+SUM(F39:G41)</f>
        <v>33631000</v>
      </c>
      <c r="G42" s="1115"/>
      <c r="J42" s="175">
        <f t="shared" si="1"/>
        <v>33631000</v>
      </c>
    </row>
    <row r="43" spans="1:10" s="104" customFormat="1" ht="18" customHeight="1">
      <c r="J43" s="175">
        <f t="shared" si="1"/>
        <v>0</v>
      </c>
    </row>
    <row r="44" spans="1:10" s="104" customFormat="1" ht="18" customHeight="1" thickBot="1">
      <c r="J44" s="175">
        <f t="shared" si="1"/>
        <v>0</v>
      </c>
    </row>
    <row r="45" spans="1:10" s="104" customFormat="1" ht="18" customHeight="1" thickBot="1">
      <c r="B45" s="1087" t="s">
        <v>623</v>
      </c>
      <c r="C45" s="1087"/>
      <c r="D45" s="1087"/>
      <c r="E45" s="1087"/>
      <c r="F45" s="1087"/>
      <c r="G45" s="1087"/>
      <c r="H45" s="68"/>
      <c r="I45" s="68"/>
      <c r="J45" s="175">
        <f t="shared" si="1"/>
        <v>0</v>
      </c>
    </row>
    <row r="46" spans="1:10" s="104" customFormat="1" ht="18" customHeight="1" thickBot="1">
      <c r="B46" s="1088"/>
      <c r="C46" s="1088"/>
      <c r="D46" s="1088"/>
      <c r="E46" s="1088"/>
      <c r="F46" s="1088"/>
      <c r="G46" s="1088"/>
      <c r="H46" s="68"/>
      <c r="I46" s="68"/>
      <c r="J46" s="175">
        <f t="shared" si="1"/>
        <v>0</v>
      </c>
    </row>
    <row r="47" spans="1:10" s="104" customFormat="1" ht="18" customHeight="1">
      <c r="B47" s="97" t="s">
        <v>111</v>
      </c>
      <c r="C47" s="1089" t="s">
        <v>132</v>
      </c>
      <c r="D47" s="1090"/>
      <c r="E47" s="1091"/>
      <c r="F47" s="1089" t="s">
        <v>133</v>
      </c>
      <c r="G47" s="1092"/>
      <c r="H47" s="68"/>
      <c r="I47" s="105"/>
      <c r="J47" s="175"/>
    </row>
    <row r="48" spans="1:10" s="104" customFormat="1" ht="18" customHeight="1">
      <c r="B48" s="98"/>
      <c r="C48" s="1014"/>
      <c r="D48" s="1015"/>
      <c r="E48" s="1016"/>
      <c r="F48" s="1124"/>
      <c r="G48" s="1125"/>
      <c r="H48" s="68"/>
      <c r="I48" s="68"/>
      <c r="J48" s="175">
        <f t="shared" si="1"/>
        <v>0</v>
      </c>
    </row>
    <row r="49" spans="1:10" s="104" customFormat="1" ht="18" customHeight="1">
      <c r="A49" s="276" t="str">
        <f t="shared" ref="A49:A62" si="3">"3Y-"&amp;B49</f>
        <v>3Y-Gravity Thickener</v>
      </c>
      <c r="B49" s="732" t="s">
        <v>29</v>
      </c>
      <c r="C49" s="1098" t="s">
        <v>134</v>
      </c>
      <c r="D49" s="1099"/>
      <c r="E49" s="1100"/>
      <c r="F49" s="1101">
        <v>1029000</v>
      </c>
      <c r="G49" s="1102"/>
      <c r="H49" s="68"/>
      <c r="I49" s="106"/>
      <c r="J49" s="175">
        <f t="shared" si="1"/>
        <v>1029000</v>
      </c>
    </row>
    <row r="50" spans="1:10" s="104" customFormat="1" ht="18" customHeight="1">
      <c r="A50" s="276" t="str">
        <f t="shared" si="3"/>
        <v>3Y-Gravity Belt Thickener</v>
      </c>
      <c r="B50" s="732" t="s">
        <v>135</v>
      </c>
      <c r="C50" s="1098" t="s">
        <v>136</v>
      </c>
      <c r="D50" s="1099"/>
      <c r="E50" s="1100"/>
      <c r="F50" s="1101">
        <v>2050000</v>
      </c>
      <c r="G50" s="1102"/>
      <c r="H50" s="68"/>
      <c r="I50" s="106"/>
      <c r="J50" s="175">
        <f t="shared" si="1"/>
        <v>2050000</v>
      </c>
    </row>
    <row r="51" spans="1:10" s="104" customFormat="1" ht="18" customHeight="1">
      <c r="A51" s="276" t="str">
        <f t="shared" si="3"/>
        <v>3Y-Dewatering</v>
      </c>
      <c r="B51" s="732" t="s">
        <v>319</v>
      </c>
      <c r="C51" s="1098" t="s">
        <v>137</v>
      </c>
      <c r="D51" s="1099"/>
      <c r="E51" s="1100"/>
      <c r="F51" s="1101">
        <v>4827000</v>
      </c>
      <c r="G51" s="1102"/>
      <c r="H51" s="68"/>
      <c r="I51" s="106"/>
      <c r="J51" s="175">
        <f t="shared" si="1"/>
        <v>4827000</v>
      </c>
    </row>
    <row r="52" spans="1:10" s="104" customFormat="1" ht="18" customHeight="1">
      <c r="A52" s="276" t="str">
        <f t="shared" si="3"/>
        <v>3Y-Cake Storage/Load Out</v>
      </c>
      <c r="B52" s="732" t="s">
        <v>316</v>
      </c>
      <c r="C52" s="1098" t="s">
        <v>151</v>
      </c>
      <c r="D52" s="1099"/>
      <c r="E52" s="1100"/>
      <c r="F52" s="1101">
        <v>3325000</v>
      </c>
      <c r="G52" s="1102"/>
      <c r="H52" s="68"/>
      <c r="I52" s="106"/>
      <c r="J52" s="175">
        <f t="shared" si="1"/>
        <v>3325000</v>
      </c>
    </row>
    <row r="53" spans="1:10" s="104" customFormat="1" ht="18" customHeight="1">
      <c r="A53" s="276" t="str">
        <f t="shared" si="3"/>
        <v>3Y-Fluid Bed Incineration</v>
      </c>
      <c r="B53" s="732" t="s">
        <v>160</v>
      </c>
      <c r="C53" s="1116" t="s">
        <v>169</v>
      </c>
      <c r="D53" s="1117"/>
      <c r="E53" s="1118"/>
      <c r="F53" s="1101">
        <v>4440000</v>
      </c>
      <c r="G53" s="1102"/>
      <c r="H53" s="68"/>
      <c r="I53" s="106"/>
      <c r="J53" s="175">
        <f t="shared" si="1"/>
        <v>4440000</v>
      </c>
    </row>
    <row r="54" spans="1:10" s="104" customFormat="1" ht="18" customHeight="1">
      <c r="A54" s="276" t="str">
        <f t="shared" si="3"/>
        <v>3Y-Energy Recovery</v>
      </c>
      <c r="B54" s="733" t="s">
        <v>321</v>
      </c>
      <c r="C54" s="1116"/>
      <c r="D54" s="1117"/>
      <c r="E54" s="1118"/>
      <c r="F54" s="1101">
        <v>940000</v>
      </c>
      <c r="G54" s="1102"/>
      <c r="H54" s="68"/>
      <c r="I54" s="106"/>
      <c r="J54" s="175">
        <f t="shared" si="1"/>
        <v>940000</v>
      </c>
    </row>
    <row r="55" spans="1:10" s="104" customFormat="1" ht="18" customHeight="1" thickBot="1">
      <c r="A55" s="276" t="str">
        <f t="shared" si="3"/>
        <v>3Y-Ash Conveyance &amp; Storage</v>
      </c>
      <c r="B55" s="102" t="s">
        <v>153</v>
      </c>
      <c r="C55" s="1119"/>
      <c r="D55" s="1120"/>
      <c r="E55" s="1121"/>
      <c r="F55" s="1122">
        <v>350000</v>
      </c>
      <c r="G55" s="1123"/>
      <c r="H55" s="68"/>
      <c r="I55" s="106"/>
      <c r="J55" s="175">
        <f t="shared" si="1"/>
        <v>350000</v>
      </c>
    </row>
    <row r="56" spans="1:10" s="104" customFormat="1" ht="18" customHeight="1">
      <c r="A56" s="68" t="str">
        <f t="shared" si="3"/>
        <v>3Y-</v>
      </c>
      <c r="B56" s="103"/>
      <c r="C56" s="1103" t="s">
        <v>116</v>
      </c>
      <c r="D56" s="1103"/>
      <c r="E56" s="1103"/>
      <c r="F56" s="1104">
        <f>+SUM(F49:G55)</f>
        <v>16961000</v>
      </c>
      <c r="G56" s="1104"/>
      <c r="H56" s="103"/>
      <c r="I56" s="106"/>
      <c r="J56" s="175">
        <f t="shared" si="1"/>
        <v>16961000</v>
      </c>
    </row>
    <row r="57" spans="1:10" s="104" customFormat="1" ht="18" customHeight="1">
      <c r="A57" s="68" t="str">
        <f t="shared" si="3"/>
        <v>3Y-Sitework</v>
      </c>
      <c r="B57" s="248" t="s">
        <v>113</v>
      </c>
      <c r="C57" s="1105">
        <v>0.05</v>
      </c>
      <c r="D57" s="1105"/>
      <c r="E57" s="1105"/>
      <c r="F57" s="1106">
        <f>+ROUND($F$56*C57,-3)</f>
        <v>848000</v>
      </c>
      <c r="G57" s="1106"/>
      <c r="H57" s="103"/>
      <c r="I57" s="106"/>
      <c r="J57" s="175">
        <f t="shared" si="1"/>
        <v>848000</v>
      </c>
    </row>
    <row r="58" spans="1:10" s="104" customFormat="1" ht="18" customHeight="1" thickBot="1">
      <c r="A58" s="68" t="str">
        <f t="shared" si="3"/>
        <v>3Y-General Requirements</v>
      </c>
      <c r="B58" s="246" t="s">
        <v>115</v>
      </c>
      <c r="C58" s="1107">
        <v>0.1</v>
      </c>
      <c r="D58" s="1107"/>
      <c r="E58" s="1107"/>
      <c r="F58" s="1108">
        <f>+ROUND($F$56*C58,-3)</f>
        <v>1696000</v>
      </c>
      <c r="G58" s="1108"/>
      <c r="H58" s="103"/>
      <c r="I58" s="106"/>
      <c r="J58" s="175">
        <f t="shared" si="1"/>
        <v>1696000</v>
      </c>
    </row>
    <row r="59" spans="1:10" s="104" customFormat="1" ht="18" customHeight="1">
      <c r="A59" s="68" t="str">
        <f t="shared" si="3"/>
        <v>3Y-</v>
      </c>
      <c r="B59" s="248"/>
      <c r="C59" s="1103" t="s">
        <v>116</v>
      </c>
      <c r="D59" s="1103"/>
      <c r="E59" s="1103"/>
      <c r="F59" s="1104">
        <f>+SUM(F56:G58)</f>
        <v>19505000</v>
      </c>
      <c r="G59" s="1104"/>
      <c r="H59" s="103"/>
      <c r="I59" s="108"/>
      <c r="J59" s="175">
        <f t="shared" si="1"/>
        <v>19505000</v>
      </c>
    </row>
    <row r="60" spans="1:10" s="104" customFormat="1" ht="18" customHeight="1">
      <c r="A60" s="68" t="str">
        <f t="shared" si="3"/>
        <v>3Y-Contingencies</v>
      </c>
      <c r="B60" s="248" t="s">
        <v>146</v>
      </c>
      <c r="C60" s="1105">
        <v>0.3</v>
      </c>
      <c r="D60" s="1105"/>
      <c r="E60" s="1105"/>
      <c r="F60" s="1106">
        <f>+ROUND($F$59*C60,-3)</f>
        <v>5852000</v>
      </c>
      <c r="G60" s="1106"/>
      <c r="H60" s="103"/>
      <c r="I60" s="108"/>
      <c r="J60" s="175">
        <f t="shared" si="1"/>
        <v>5852000</v>
      </c>
    </row>
    <row r="61" spans="1:10" s="104" customFormat="1" ht="18" customHeight="1" thickBot="1">
      <c r="A61" s="68" t="str">
        <f t="shared" si="3"/>
        <v>3Y-Engineering, Legal &amp; Admin</v>
      </c>
      <c r="B61" s="248" t="s">
        <v>147</v>
      </c>
      <c r="C61" s="1107">
        <v>0.15</v>
      </c>
      <c r="D61" s="1107"/>
      <c r="E61" s="1107"/>
      <c r="F61" s="1108">
        <f>+ROUND(($F$59+$F$60)*C61,-3)</f>
        <v>3804000</v>
      </c>
      <c r="G61" s="1108"/>
      <c r="H61" s="103"/>
      <c r="I61" s="108"/>
      <c r="J61" s="175">
        <f t="shared" si="1"/>
        <v>3804000</v>
      </c>
    </row>
    <row r="62" spans="1:10" s="104" customFormat="1" ht="18" customHeight="1" thickBot="1">
      <c r="A62" s="68" t="str">
        <f t="shared" si="3"/>
        <v>3Y-Total - Process Configuration 3Y</v>
      </c>
      <c r="B62" s="1114" t="s">
        <v>624</v>
      </c>
      <c r="C62" s="1114"/>
      <c r="D62" s="1114"/>
      <c r="E62" s="1114"/>
      <c r="F62" s="1115">
        <f>+SUM(F59:G61)</f>
        <v>29161000</v>
      </c>
      <c r="G62" s="1115"/>
      <c r="H62" s="103"/>
      <c r="I62" s="103"/>
      <c r="J62" s="175">
        <f t="shared" si="1"/>
        <v>29161000</v>
      </c>
    </row>
    <row r="63" spans="1:10" s="104" customFormat="1" ht="18" customHeight="1">
      <c r="B63" s="1126" t="s">
        <v>625</v>
      </c>
      <c r="C63" s="1126"/>
      <c r="D63" s="1126"/>
      <c r="E63" s="1126"/>
      <c r="F63" s="1126"/>
      <c r="G63" s="1126"/>
      <c r="J63" s="175">
        <f t="shared" si="1"/>
        <v>0</v>
      </c>
    </row>
    <row r="64" spans="1:10" s="104" customFormat="1" ht="18" customHeight="1">
      <c r="B64" s="1127"/>
      <c r="C64" s="1127"/>
      <c r="D64" s="1127"/>
      <c r="E64" s="1127"/>
      <c r="F64" s="1127"/>
      <c r="G64" s="1127"/>
      <c r="J64" s="175">
        <f t="shared" si="1"/>
        <v>0</v>
      </c>
    </row>
    <row r="65" spans="1:10" s="104" customFormat="1" ht="18" customHeight="1">
      <c r="B65" s="1127"/>
      <c r="C65" s="1127"/>
      <c r="D65" s="1127"/>
      <c r="E65" s="1127"/>
      <c r="F65" s="1127"/>
      <c r="G65" s="1127"/>
      <c r="J65" s="175">
        <f t="shared" si="1"/>
        <v>0</v>
      </c>
    </row>
    <row r="66" spans="1:10" s="104" customFormat="1" ht="18" customHeight="1">
      <c r="B66" s="1127"/>
      <c r="C66" s="1127"/>
      <c r="D66" s="1127"/>
      <c r="E66" s="1127"/>
      <c r="F66" s="1127"/>
      <c r="G66" s="1127"/>
      <c r="J66" s="175">
        <f t="shared" si="1"/>
        <v>0</v>
      </c>
    </row>
    <row r="67" spans="1:10" s="104" customFormat="1" ht="18" customHeight="1">
      <c r="B67" s="1127" t="s">
        <v>170</v>
      </c>
      <c r="C67" s="1127"/>
      <c r="D67" s="1127"/>
      <c r="E67" s="1127"/>
      <c r="F67" s="1127"/>
      <c r="G67" s="1127"/>
      <c r="J67" s="175">
        <f t="shared" si="1"/>
        <v>0</v>
      </c>
    </row>
    <row r="68" spans="1:10" s="104" customFormat="1" ht="18" customHeight="1">
      <c r="B68" s="1128"/>
      <c r="C68" s="1128"/>
      <c r="D68" s="1128"/>
      <c r="E68" s="1128"/>
      <c r="F68" s="1128"/>
      <c r="G68" s="1128"/>
      <c r="J68" s="175">
        <f t="shared" si="1"/>
        <v>0</v>
      </c>
    </row>
    <row r="69" spans="1:10" s="104" customFormat="1" ht="18" customHeight="1" thickBot="1">
      <c r="B69" s="1129"/>
      <c r="C69" s="1129"/>
      <c r="D69" s="1129"/>
      <c r="E69" s="1129"/>
      <c r="F69" s="1129"/>
      <c r="G69" s="1129"/>
      <c r="J69" s="175">
        <f t="shared" si="1"/>
        <v>0</v>
      </c>
    </row>
    <row r="70" spans="1:10" s="104" customFormat="1" ht="18" customHeight="1" thickBot="1">
      <c r="B70" s="1087" t="s">
        <v>626</v>
      </c>
      <c r="C70" s="1087"/>
      <c r="D70" s="1087"/>
      <c r="E70" s="1087"/>
      <c r="F70" s="1087"/>
      <c r="G70" s="1087"/>
      <c r="J70" s="175">
        <f t="shared" si="1"/>
        <v>0</v>
      </c>
    </row>
    <row r="71" spans="1:10" s="104" customFormat="1" ht="18" customHeight="1" thickBot="1">
      <c r="B71" s="1088"/>
      <c r="C71" s="1088"/>
      <c r="D71" s="1088"/>
      <c r="E71" s="1088"/>
      <c r="F71" s="1088"/>
      <c r="G71" s="1088"/>
      <c r="J71" s="175">
        <f t="shared" ref="J71:J86" si="4">F71</f>
        <v>0</v>
      </c>
    </row>
    <row r="72" spans="1:10" s="104" customFormat="1" ht="18" customHeight="1">
      <c r="B72" s="97" t="s">
        <v>111</v>
      </c>
      <c r="C72" s="1089" t="s">
        <v>132</v>
      </c>
      <c r="D72" s="1090"/>
      <c r="E72" s="1091"/>
      <c r="F72" s="1089" t="s">
        <v>133</v>
      </c>
      <c r="G72" s="1092"/>
      <c r="J72" s="175"/>
    </row>
    <row r="73" spans="1:10" s="104" customFormat="1" ht="18" customHeight="1">
      <c r="B73" s="98"/>
      <c r="C73" s="1014"/>
      <c r="D73" s="1015"/>
      <c r="E73" s="1016"/>
      <c r="F73" s="1014"/>
      <c r="G73" s="1015"/>
      <c r="J73" s="175">
        <f t="shared" si="4"/>
        <v>0</v>
      </c>
    </row>
    <row r="74" spans="1:10" s="104" customFormat="1" ht="18" customHeight="1">
      <c r="A74" s="68" t="str">
        <f>"4Y-"&amp;B74</f>
        <v>4Y-Gravity Thickener</v>
      </c>
      <c r="B74" s="732" t="s">
        <v>29</v>
      </c>
      <c r="C74" s="1098" t="s">
        <v>134</v>
      </c>
      <c r="D74" s="1099"/>
      <c r="E74" s="1100"/>
      <c r="F74" s="1101">
        <v>1029000</v>
      </c>
      <c r="G74" s="1102"/>
      <c r="J74" s="175">
        <f t="shared" si="4"/>
        <v>1029000</v>
      </c>
    </row>
    <row r="75" spans="1:10" s="104" customFormat="1" ht="18" customHeight="1">
      <c r="A75" s="68" t="str">
        <f t="shared" ref="A75:A86" si="5">"4Y-"&amp;B75</f>
        <v>4Y-Gravity Belt Thickener</v>
      </c>
      <c r="B75" s="99" t="s">
        <v>135</v>
      </c>
      <c r="C75" s="1093" t="s">
        <v>136</v>
      </c>
      <c r="D75" s="1094"/>
      <c r="E75" s="1095"/>
      <c r="F75" s="1096">
        <v>2050000</v>
      </c>
      <c r="G75" s="1097"/>
      <c r="J75" s="175">
        <f t="shared" si="4"/>
        <v>2050000</v>
      </c>
    </row>
    <row r="76" spans="1:10" s="104" customFormat="1" ht="18" customHeight="1">
      <c r="A76" s="68" t="str">
        <f t="shared" si="5"/>
        <v>4Y-Dewatering</v>
      </c>
      <c r="B76" s="249" t="s">
        <v>319</v>
      </c>
      <c r="C76" s="1093" t="s">
        <v>137</v>
      </c>
      <c r="D76" s="1094"/>
      <c r="E76" s="1095"/>
      <c r="F76" s="1096">
        <v>4827000</v>
      </c>
      <c r="G76" s="1097"/>
      <c r="J76" s="175">
        <f t="shared" si="4"/>
        <v>4827000</v>
      </c>
    </row>
    <row r="77" spans="1:10" s="104" customFormat="1" ht="18" customHeight="1">
      <c r="A77" s="68" t="str">
        <f t="shared" si="5"/>
        <v>4Y-Drying/Gasification/Energy Recovery</v>
      </c>
      <c r="B77" s="1130" t="s">
        <v>320</v>
      </c>
      <c r="C77" s="1131" t="s">
        <v>154</v>
      </c>
      <c r="D77" s="1132"/>
      <c r="E77" s="1130"/>
      <c r="F77" s="1096">
        <v>9970000</v>
      </c>
      <c r="G77" s="1097"/>
      <c r="J77" s="175">
        <f t="shared" si="4"/>
        <v>9970000</v>
      </c>
    </row>
    <row r="78" spans="1:10" s="104" customFormat="1" ht="18" customHeight="1">
      <c r="A78" s="68" t="str">
        <f t="shared" si="5"/>
        <v>4Y-</v>
      </c>
      <c r="B78" s="1130"/>
      <c r="C78" s="1131"/>
      <c r="D78" s="1132"/>
      <c r="E78" s="1130"/>
      <c r="F78" s="1133"/>
      <c r="G78" s="1097"/>
      <c r="J78" s="175">
        <f t="shared" si="4"/>
        <v>0</v>
      </c>
    </row>
    <row r="79" spans="1:10" s="104" customFormat="1" ht="18" customHeight="1" thickBot="1">
      <c r="A79" s="68" t="str">
        <f t="shared" si="5"/>
        <v>4Y-Ash Conveyance &amp; Storage</v>
      </c>
      <c r="B79" s="107" t="s">
        <v>153</v>
      </c>
      <c r="C79" s="1109" t="s">
        <v>155</v>
      </c>
      <c r="D79" s="1110"/>
      <c r="E79" s="1111"/>
      <c r="F79" s="1112">
        <v>963000</v>
      </c>
      <c r="G79" s="1113"/>
      <c r="J79" s="175">
        <f t="shared" si="4"/>
        <v>963000</v>
      </c>
    </row>
    <row r="80" spans="1:10" s="104" customFormat="1" ht="18" customHeight="1">
      <c r="A80" s="68" t="str">
        <f t="shared" si="5"/>
        <v>4Y-</v>
      </c>
      <c r="B80" s="103"/>
      <c r="C80" s="1103" t="s">
        <v>116</v>
      </c>
      <c r="D80" s="1103"/>
      <c r="E80" s="1103"/>
      <c r="F80" s="1104">
        <f>+SUM(F74:G79)</f>
        <v>18839000</v>
      </c>
      <c r="G80" s="1104"/>
      <c r="J80" s="175">
        <f t="shared" si="4"/>
        <v>18839000</v>
      </c>
    </row>
    <row r="81" spans="1:10" s="104" customFormat="1" ht="18" customHeight="1">
      <c r="A81" s="68" t="str">
        <f t="shared" si="5"/>
        <v>4Y-Sitework</v>
      </c>
      <c r="B81" s="248" t="s">
        <v>113</v>
      </c>
      <c r="C81" s="1105">
        <v>0.05</v>
      </c>
      <c r="D81" s="1105"/>
      <c r="E81" s="1105"/>
      <c r="F81" s="1106">
        <f>+ROUND($F$80*C81,-3)</f>
        <v>942000</v>
      </c>
      <c r="G81" s="1106"/>
      <c r="J81" s="175">
        <f t="shared" si="4"/>
        <v>942000</v>
      </c>
    </row>
    <row r="82" spans="1:10" s="104" customFormat="1" ht="18" customHeight="1" thickBot="1">
      <c r="A82" s="68" t="str">
        <f t="shared" si="5"/>
        <v>4Y-General Requirements</v>
      </c>
      <c r="B82" s="246" t="s">
        <v>115</v>
      </c>
      <c r="C82" s="1107">
        <v>0.1</v>
      </c>
      <c r="D82" s="1107"/>
      <c r="E82" s="1107"/>
      <c r="F82" s="1108">
        <f>+ROUND($F$80*C82,-3)</f>
        <v>1884000</v>
      </c>
      <c r="G82" s="1108"/>
      <c r="J82" s="175">
        <f t="shared" si="4"/>
        <v>1884000</v>
      </c>
    </row>
    <row r="83" spans="1:10" s="104" customFormat="1" ht="18" customHeight="1">
      <c r="A83" s="68" t="str">
        <f t="shared" si="5"/>
        <v>4Y-</v>
      </c>
      <c r="B83" s="248"/>
      <c r="C83" s="1103" t="s">
        <v>116</v>
      </c>
      <c r="D83" s="1103"/>
      <c r="E83" s="1103"/>
      <c r="F83" s="1104">
        <f>+SUM(F80:G82)</f>
        <v>21665000</v>
      </c>
      <c r="G83" s="1104"/>
      <c r="J83" s="175">
        <f t="shared" si="4"/>
        <v>21665000</v>
      </c>
    </row>
    <row r="84" spans="1:10" s="104" customFormat="1" ht="18" customHeight="1">
      <c r="A84" s="68" t="str">
        <f t="shared" si="5"/>
        <v>4Y-Contingencies</v>
      </c>
      <c r="B84" s="248" t="s">
        <v>146</v>
      </c>
      <c r="C84" s="1105">
        <v>0.3</v>
      </c>
      <c r="D84" s="1105"/>
      <c r="E84" s="1105"/>
      <c r="F84" s="1106">
        <f>+ROUND($F$83*C84,-3)</f>
        <v>6500000</v>
      </c>
      <c r="G84" s="1106"/>
      <c r="J84" s="175">
        <f t="shared" si="4"/>
        <v>6500000</v>
      </c>
    </row>
    <row r="85" spans="1:10" s="104" customFormat="1" ht="18" customHeight="1" thickBot="1">
      <c r="A85" s="68" t="str">
        <f t="shared" si="5"/>
        <v>4Y-Engineering, Legal &amp; Admin</v>
      </c>
      <c r="B85" s="248" t="s">
        <v>147</v>
      </c>
      <c r="C85" s="1107">
        <v>0.15</v>
      </c>
      <c r="D85" s="1107"/>
      <c r="E85" s="1107"/>
      <c r="F85" s="1108">
        <f>+ROUND(($F$83+$F$84)*C85,-3)</f>
        <v>4225000</v>
      </c>
      <c r="G85" s="1108"/>
      <c r="J85" s="175">
        <f t="shared" si="4"/>
        <v>4225000</v>
      </c>
    </row>
    <row r="86" spans="1:10" s="104" customFormat="1" ht="18" customHeight="1" thickBot="1">
      <c r="A86" s="68" t="str">
        <f t="shared" si="5"/>
        <v>4Y-Total - Process Configuration 4Y</v>
      </c>
      <c r="B86" s="1114" t="s">
        <v>627</v>
      </c>
      <c r="C86" s="1114"/>
      <c r="D86" s="1114"/>
      <c r="E86" s="1114"/>
      <c r="F86" s="1115">
        <f>+SUM(F83:G85)</f>
        <v>32390000</v>
      </c>
      <c r="G86" s="1115"/>
      <c r="J86" s="175">
        <f t="shared" si="4"/>
        <v>32390000</v>
      </c>
    </row>
    <row r="87" spans="1:10" s="104" customFormat="1" ht="18" customHeight="1">
      <c r="B87" s="103"/>
      <c r="C87" s="103"/>
      <c r="D87" s="103"/>
      <c r="E87" s="103"/>
      <c r="F87" s="103"/>
      <c r="G87" s="103"/>
    </row>
    <row r="88" spans="1:10" s="104" customFormat="1" ht="18" customHeight="1"/>
    <row r="89" spans="1:10" s="104" customFormat="1" ht="18" customHeight="1"/>
    <row r="90" spans="1:10" s="104" customFormat="1" ht="18" customHeight="1"/>
    <row r="91" spans="1:10" s="104" customFormat="1" ht="18" customHeight="1"/>
    <row r="92" spans="1:10" s="104" customFormat="1" ht="18" customHeight="1"/>
    <row r="93" spans="1:10" s="104" customFormat="1" ht="18" customHeight="1"/>
    <row r="94" spans="1:10" s="104" customFormat="1" ht="18" customHeight="1"/>
    <row r="95" spans="1:10" s="104" customFormat="1" ht="18" customHeight="1"/>
    <row r="96" spans="1:10" s="104" customFormat="1" ht="18" customHeight="1"/>
    <row r="97" s="104" customFormat="1" ht="18" customHeight="1"/>
    <row r="98" s="104" customFormat="1" ht="18" customHeight="1"/>
    <row r="99" s="104" customFormat="1" ht="18" customHeight="1"/>
    <row r="100" s="104" customFormat="1" ht="18" customHeight="1"/>
    <row r="101" s="104" customFormat="1" ht="18" customHeight="1"/>
    <row r="102" s="104" customFormat="1" ht="18" customHeight="1"/>
    <row r="103" s="104" customFormat="1" ht="18" customHeight="1"/>
    <row r="104" s="104" customFormat="1" ht="18" customHeight="1"/>
    <row r="105" s="104" customFormat="1" ht="18" customHeight="1"/>
    <row r="106" s="104" customFormat="1" ht="18" customHeight="1"/>
    <row r="107" s="104" customFormat="1" ht="18" customHeight="1"/>
    <row r="108" s="104" customFormat="1" ht="18" customHeight="1"/>
    <row r="109" s="104" customFormat="1" ht="18" customHeight="1"/>
    <row r="110" s="104" customFormat="1" ht="18" customHeight="1"/>
    <row r="111" s="104" customFormat="1" ht="18" customHeight="1"/>
    <row r="112" s="104" customFormat="1" ht="18" customHeight="1"/>
    <row r="113" s="104" customFormat="1" ht="18" customHeight="1"/>
    <row r="114" s="104" customFormat="1" ht="18" customHeight="1"/>
    <row r="115" s="104" customFormat="1" ht="18" customHeight="1"/>
    <row r="116" s="104" customFormat="1" ht="18" customHeight="1"/>
    <row r="117" s="104" customFormat="1" ht="18" customHeight="1"/>
    <row r="118" s="104" customFormat="1" ht="18" customHeight="1"/>
    <row r="119" s="104" customFormat="1" ht="18" customHeight="1"/>
    <row r="120" s="104" customFormat="1" ht="18" customHeight="1"/>
    <row r="121" s="104" customFormat="1" ht="18" customHeight="1"/>
    <row r="122" s="104" customFormat="1" ht="18" customHeight="1"/>
    <row r="123" s="104" customFormat="1" ht="18" customHeight="1"/>
    <row r="124" s="104" customFormat="1" ht="18" customHeight="1"/>
    <row r="125" s="104" customFormat="1" ht="18" customHeight="1"/>
    <row r="126" s="104" customFormat="1" ht="18" customHeight="1"/>
    <row r="127" s="104" customFormat="1" ht="18" customHeight="1"/>
    <row r="128" s="104" customFormat="1" ht="18" customHeight="1"/>
    <row r="129" s="104" customFormat="1" ht="18" customHeight="1"/>
    <row r="130" s="104" customFormat="1" ht="18" customHeight="1"/>
    <row r="131" s="104" customFormat="1" ht="18" customHeight="1"/>
    <row r="132" s="104" customFormat="1" ht="18" customHeight="1"/>
    <row r="133" s="104" customFormat="1" ht="18" customHeight="1"/>
    <row r="134" s="104" customFormat="1" ht="18" customHeight="1"/>
    <row r="135" s="104" customFormat="1" ht="18" customHeight="1"/>
    <row r="136" s="104" customFormat="1" ht="18" customHeight="1"/>
    <row r="137" s="104" customFormat="1" ht="18" customHeight="1"/>
    <row r="138" s="104" customFormat="1" ht="18" customHeight="1"/>
    <row r="139" s="104" customFormat="1" ht="18" customHeight="1"/>
    <row r="140" s="104" customFormat="1" ht="18" customHeight="1"/>
    <row r="141" s="104" customFormat="1" ht="18" customHeight="1"/>
    <row r="142" s="104" customFormat="1" ht="18" customHeight="1"/>
    <row r="143" s="104" customFormat="1" ht="18" customHeight="1"/>
    <row r="144" s="104" customFormat="1" ht="18" customHeight="1"/>
    <row r="145" s="104" customFormat="1" ht="18" customHeight="1"/>
    <row r="146" s="104" customFormat="1" ht="18" customHeight="1"/>
    <row r="147" s="104" customFormat="1" ht="18" customHeight="1"/>
    <row r="148" s="104" customFormat="1" ht="18" customHeight="1"/>
    <row r="149" s="104" customFormat="1" ht="18" customHeight="1"/>
    <row r="150" s="104" customFormat="1" ht="18" customHeight="1"/>
    <row r="151" s="104" customFormat="1" ht="18" customHeight="1"/>
    <row r="152" s="104" customFormat="1" ht="18" customHeight="1"/>
    <row r="153" s="104" customFormat="1" ht="18" customHeight="1"/>
    <row r="154" s="104" customFormat="1" ht="18" customHeight="1"/>
    <row r="155" s="104" customFormat="1" ht="18" customHeight="1"/>
    <row r="156" s="104" customFormat="1" ht="18" customHeight="1"/>
    <row r="157" s="104" customFormat="1" ht="18" customHeight="1"/>
    <row r="158" s="104" customFormat="1" ht="18" customHeight="1"/>
    <row r="159" s="104" customFormat="1" ht="18" customHeight="1"/>
    <row r="160" s="104" customFormat="1" ht="18" customHeight="1"/>
    <row r="161" s="104" customFormat="1" ht="18" customHeight="1"/>
    <row r="162" s="104" customFormat="1" ht="18" customHeight="1"/>
    <row r="163" s="104" customFormat="1" ht="18" customHeight="1"/>
    <row r="164" s="104" customFormat="1" ht="18" customHeight="1"/>
    <row r="165" s="104" customFormat="1" ht="18" customHeight="1"/>
    <row r="166" s="104" customFormat="1" ht="18" customHeight="1"/>
    <row r="167" s="104" customFormat="1" ht="18" customHeight="1"/>
    <row r="168" s="104" customFormat="1" ht="18" customHeight="1"/>
    <row r="169" s="104" customFormat="1" ht="18" customHeight="1"/>
    <row r="170" s="104" customFormat="1" ht="18" customHeight="1"/>
    <row r="171" s="104" customFormat="1" ht="18" customHeight="1"/>
    <row r="172" s="104" customFormat="1" ht="18" customHeight="1"/>
    <row r="173" s="104" customFormat="1" ht="18" customHeight="1"/>
    <row r="174" s="104" customFormat="1" ht="18" customHeight="1"/>
    <row r="175" s="104" customFormat="1" ht="18" customHeight="1"/>
    <row r="176" s="104" customFormat="1" ht="18" customHeight="1"/>
    <row r="177" s="104" customFormat="1" ht="18" customHeight="1"/>
    <row r="178" s="104" customFormat="1" ht="18" customHeight="1"/>
    <row r="179" s="104" customFormat="1" ht="18" customHeight="1"/>
    <row r="180" s="104" customFormat="1" ht="18" customHeight="1"/>
    <row r="181" s="104" customFormat="1" ht="18" customHeight="1"/>
    <row r="182" s="104" customFormat="1" ht="18" customHeight="1"/>
    <row r="183" s="104" customFormat="1" ht="18" customHeight="1"/>
    <row r="184" s="104" customFormat="1" ht="18" customHeight="1"/>
    <row r="185" s="104" customFormat="1" ht="18" customHeight="1"/>
    <row r="186" s="104" customFormat="1" ht="18" customHeight="1"/>
    <row r="187" s="104" customFormat="1" ht="18" customHeight="1"/>
    <row r="188" s="104" customFormat="1" ht="18" customHeight="1"/>
    <row r="189" s="104" customFormat="1" ht="18" customHeight="1"/>
    <row r="190" s="104" customFormat="1" ht="18" customHeight="1"/>
    <row r="191" s="104" customFormat="1" ht="18" customHeight="1"/>
    <row r="192" s="104" customFormat="1" ht="18" customHeight="1"/>
    <row r="193" s="104" customFormat="1" ht="18" customHeight="1"/>
    <row r="194" s="104" customFormat="1" ht="18" customHeight="1"/>
    <row r="195" s="104" customFormat="1" ht="18" customHeight="1"/>
    <row r="196" s="104" customFormat="1" ht="18" customHeight="1"/>
    <row r="197" s="104" customFormat="1" ht="18" customHeight="1"/>
    <row r="198" s="104" customFormat="1" ht="18" customHeight="1"/>
    <row r="199" s="104" customFormat="1" ht="18" customHeight="1"/>
    <row r="200" s="104" customFormat="1" ht="18" customHeight="1"/>
    <row r="201" s="104" customFormat="1" ht="18" customHeight="1"/>
    <row r="202" s="104" customFormat="1" ht="18" customHeight="1"/>
    <row r="203" s="104" customFormat="1" ht="18" customHeight="1"/>
    <row r="204" s="104" customFormat="1" ht="18" customHeight="1"/>
    <row r="205" s="104" customFormat="1" ht="18" customHeight="1"/>
    <row r="206" s="104" customFormat="1" ht="18" customHeight="1"/>
    <row r="207" s="104" customFormat="1" ht="18" customHeight="1"/>
    <row r="208" s="104" customFormat="1" ht="18" customHeight="1"/>
    <row r="209" s="104" customFormat="1" ht="18" customHeight="1"/>
    <row r="210" s="104" customFormat="1" ht="18" customHeight="1"/>
    <row r="211" s="104" customFormat="1" ht="18" customHeight="1"/>
    <row r="212" s="104" customFormat="1" ht="18" customHeight="1"/>
    <row r="213" s="104" customFormat="1" ht="18" customHeight="1"/>
    <row r="214" s="104" customFormat="1" ht="18" customHeight="1"/>
    <row r="215" s="104" customFormat="1" ht="18" customHeight="1"/>
    <row r="216" s="104" customFormat="1" ht="18" customHeight="1"/>
    <row r="217" s="104" customFormat="1" ht="18" customHeight="1"/>
    <row r="218" s="104" customFormat="1" ht="18" customHeight="1"/>
    <row r="219" s="104" customFormat="1" ht="18" customHeight="1"/>
    <row r="220" s="104" customFormat="1" ht="18" customHeight="1"/>
    <row r="221" s="104" customFormat="1" ht="18" customHeight="1"/>
    <row r="222" s="104" customFormat="1" ht="18" customHeight="1"/>
    <row r="223" s="104" customFormat="1" ht="18" customHeight="1"/>
    <row r="224" s="104" customFormat="1" ht="18" customHeight="1"/>
    <row r="225" s="104" customFormat="1" ht="18" customHeight="1"/>
    <row r="226" s="104" customFormat="1" ht="18" customHeight="1"/>
    <row r="227" s="104" customFormat="1" ht="18" customHeight="1"/>
    <row r="228" s="104" customFormat="1" ht="18" customHeight="1"/>
    <row r="229" s="104" customFormat="1" ht="18" customHeight="1"/>
    <row r="230" s="104" customFormat="1" ht="18" customHeight="1"/>
    <row r="231" s="104" customFormat="1" ht="18" customHeight="1"/>
    <row r="232" s="104" customFormat="1" ht="18" customHeight="1"/>
    <row r="233" s="104" customFormat="1" ht="18" customHeight="1"/>
    <row r="234" s="104" customFormat="1" ht="18" customHeight="1"/>
    <row r="235" s="104" customFormat="1" ht="18" customHeight="1"/>
    <row r="236" s="104" customFormat="1" ht="18" customHeight="1"/>
    <row r="237" s="104" customFormat="1" ht="18" customHeight="1"/>
    <row r="238" s="104" customFormat="1" ht="18" customHeight="1"/>
    <row r="239" s="104" customFormat="1" ht="18" customHeight="1"/>
    <row r="240" s="104" customFormat="1" ht="18" customHeight="1"/>
    <row r="241" s="104" customFormat="1" ht="18" customHeight="1"/>
    <row r="242" s="104" customFormat="1" ht="18" customHeight="1"/>
    <row r="243" s="104" customFormat="1" ht="18" customHeight="1"/>
    <row r="244" s="104" customFormat="1" ht="18" customHeight="1"/>
    <row r="245" s="104" customFormat="1" ht="18" customHeight="1"/>
    <row r="246" s="104" customFormat="1" ht="18" customHeight="1"/>
    <row r="247" s="104" customFormat="1" ht="18" customHeight="1"/>
    <row r="248" s="104" customFormat="1" ht="18" customHeight="1"/>
    <row r="249" s="104" customFormat="1" ht="18" customHeight="1"/>
    <row r="250" s="104" customFormat="1" ht="18" customHeight="1"/>
    <row r="251" s="104" customFormat="1" ht="18" customHeight="1"/>
    <row r="252" s="104" customFormat="1" ht="18" customHeight="1"/>
    <row r="253" s="104" customFormat="1" ht="18" customHeight="1"/>
    <row r="254" s="104" customFormat="1" ht="18" customHeight="1"/>
    <row r="255" s="104" customFormat="1" ht="18" customHeight="1"/>
    <row r="256" s="104" customFormat="1" ht="18" customHeight="1"/>
    <row r="257" s="104" customFormat="1" ht="18" customHeight="1"/>
    <row r="258" s="104" customFormat="1" ht="18" customHeight="1"/>
    <row r="259" s="104" customFormat="1" ht="18" customHeight="1"/>
    <row r="260" s="104" customFormat="1" ht="18" customHeight="1"/>
    <row r="261" s="104" customFormat="1" ht="18" customHeight="1"/>
    <row r="262" s="104" customFormat="1" ht="18" customHeight="1"/>
    <row r="263" s="104" customFormat="1" ht="18" customHeight="1"/>
    <row r="264" s="104" customFormat="1" ht="18" customHeight="1"/>
    <row r="265" s="104" customFormat="1" ht="18" customHeight="1"/>
    <row r="266" s="104" customFormat="1" ht="18" customHeight="1"/>
    <row r="267" s="104" customFormat="1" ht="18" customHeight="1"/>
    <row r="268" s="104" customFormat="1" ht="18" customHeight="1"/>
    <row r="269" s="104" customFormat="1" ht="18" customHeight="1"/>
    <row r="270" s="104" customFormat="1" ht="18" customHeight="1"/>
    <row r="271" s="104" customFormat="1" ht="18" customHeight="1"/>
    <row r="272" s="104" customFormat="1" ht="18" customHeight="1"/>
    <row r="273" s="104" customFormat="1" ht="18" customHeight="1"/>
    <row r="274" s="104" customFormat="1" ht="18" customHeight="1"/>
    <row r="275" s="104" customFormat="1" ht="18" customHeight="1"/>
    <row r="276" s="104" customFormat="1" ht="18" customHeight="1"/>
    <row r="277" s="104" customFormat="1" ht="18" customHeight="1"/>
    <row r="278" s="104" customFormat="1" ht="18" customHeight="1"/>
    <row r="279" s="104" customFormat="1" ht="18" customHeight="1"/>
    <row r="280" s="104" customFormat="1" ht="18" customHeight="1"/>
    <row r="281" s="104" customFormat="1" ht="18" customHeight="1"/>
    <row r="282" s="104" customFormat="1" ht="18" customHeight="1"/>
    <row r="283" s="104" customFormat="1" ht="18" customHeight="1"/>
    <row r="284" s="104" customFormat="1" ht="18" customHeight="1"/>
    <row r="285" s="104" customFormat="1" ht="18" customHeight="1"/>
    <row r="286" s="104" customFormat="1" ht="18" customHeight="1"/>
    <row r="287" s="104" customFormat="1" ht="18" customHeight="1"/>
    <row r="288" s="104" customFormat="1" ht="18" customHeight="1"/>
    <row r="289" s="104" customFormat="1" ht="18" customHeight="1"/>
    <row r="290" s="104" customFormat="1" ht="18" customHeight="1"/>
    <row r="291" s="104" customFormat="1" ht="18" customHeight="1"/>
    <row r="292" s="104" customFormat="1" ht="18" customHeight="1"/>
    <row r="293" s="104" customFormat="1" ht="18" customHeight="1"/>
    <row r="294" s="104" customFormat="1" ht="18" customHeight="1"/>
    <row r="295" s="104" customFormat="1" ht="18" customHeight="1"/>
    <row r="296" s="104" customFormat="1" ht="18" customHeight="1"/>
    <row r="297" s="104" customFormat="1" ht="18" customHeight="1"/>
    <row r="298" s="104" customFormat="1" ht="18" customHeight="1"/>
    <row r="299" s="104" customFormat="1" ht="18" customHeight="1"/>
    <row r="300" s="104" customFormat="1" ht="18" customHeight="1"/>
    <row r="301" s="104" customFormat="1" ht="18" customHeight="1"/>
    <row r="302" s="104" customFormat="1" ht="18" customHeight="1"/>
    <row r="303" s="104" customFormat="1" ht="18" customHeight="1"/>
    <row r="304" s="104" customFormat="1" ht="18" customHeight="1"/>
    <row r="305" s="104" customFormat="1" ht="18" customHeight="1"/>
    <row r="306" s="104" customFormat="1" ht="18" customHeight="1"/>
    <row r="307" s="104" customFormat="1" ht="18" customHeight="1"/>
    <row r="308" s="104" customFormat="1" ht="18" customHeight="1"/>
    <row r="309" s="104" customFormat="1" ht="18" customHeight="1"/>
    <row r="310" s="104" customFormat="1" ht="18" customHeight="1"/>
    <row r="311" s="104" customFormat="1" ht="18" customHeight="1"/>
    <row r="312" s="104" customFormat="1" ht="18" customHeight="1"/>
    <row r="313" s="104" customFormat="1" ht="18" customHeight="1"/>
    <row r="314" s="104" customFormat="1" ht="18" customHeight="1"/>
    <row r="315" s="104" customFormat="1" ht="18" customHeight="1"/>
    <row r="316" s="104" customFormat="1" ht="18" customHeight="1"/>
    <row r="317" s="104" customFormat="1" ht="18" customHeight="1"/>
    <row r="318" s="104" customFormat="1" ht="18" customHeight="1"/>
    <row r="319" s="104" customFormat="1" ht="18" customHeight="1"/>
    <row r="320" s="104" customFormat="1" ht="18" customHeight="1"/>
    <row r="321" s="104" customFormat="1" ht="18" customHeight="1"/>
    <row r="322" s="104" customFormat="1" ht="18" customHeight="1"/>
    <row r="323" s="104" customFormat="1" ht="18" customHeight="1"/>
    <row r="324" s="104" customFormat="1" ht="18" customHeight="1"/>
    <row r="325" s="104" customFormat="1" ht="18" customHeight="1"/>
    <row r="326" s="104" customFormat="1" ht="18" customHeight="1"/>
    <row r="327" s="104" customFormat="1" ht="18" customHeight="1"/>
    <row r="328" s="104" customFormat="1" ht="18" customHeight="1"/>
    <row r="329" s="104" customFormat="1" ht="18" customHeight="1"/>
    <row r="330" s="104" customFormat="1" ht="18" customHeight="1"/>
    <row r="331" s="104" customFormat="1" ht="18" customHeight="1"/>
    <row r="332" s="104" customFormat="1" ht="18" customHeight="1"/>
    <row r="333" s="104" customFormat="1" ht="18" customHeight="1"/>
    <row r="334" s="104" customFormat="1" ht="18" customHeight="1"/>
    <row r="335" s="104" customFormat="1" ht="18" customHeight="1"/>
    <row r="336" s="104" customFormat="1" ht="18" customHeight="1"/>
    <row r="337" s="104" customFormat="1" ht="18" customHeight="1"/>
    <row r="338" s="104" customFormat="1" ht="18" customHeight="1"/>
    <row r="339" s="104" customFormat="1" ht="18" customHeight="1"/>
    <row r="340" s="104" customFormat="1" ht="18" customHeight="1"/>
    <row r="341" s="104" customFormat="1" ht="18" customHeight="1"/>
    <row r="342" s="104" customFormat="1" ht="18" customHeight="1"/>
    <row r="343" s="104" customFormat="1" ht="18" customHeight="1"/>
    <row r="344" s="104" customFormat="1" ht="18" customHeight="1"/>
    <row r="345" s="104" customFormat="1" ht="18" customHeight="1"/>
    <row r="346" s="104" customFormat="1" ht="18" customHeight="1"/>
    <row r="347" s="104" customFormat="1" ht="18" customHeight="1"/>
    <row r="348" s="104" customFormat="1" ht="18" customHeight="1"/>
    <row r="349" s="104" customFormat="1" ht="18" customHeight="1"/>
    <row r="350" s="104" customFormat="1" ht="18" customHeight="1"/>
    <row r="351" s="104" customFormat="1" ht="18" customHeight="1"/>
    <row r="352" s="104" customFormat="1" ht="18" customHeight="1"/>
    <row r="353" s="104" customFormat="1" ht="18" customHeight="1"/>
    <row r="354" s="104" customFormat="1" ht="18" customHeight="1"/>
    <row r="355" s="104" customFormat="1" ht="18" customHeight="1"/>
    <row r="356" s="104" customFormat="1" ht="18" customHeight="1"/>
    <row r="357" s="104" customFormat="1" ht="18" customHeight="1"/>
    <row r="358" s="104" customFormat="1" ht="18" customHeight="1"/>
    <row r="359" s="104" customFormat="1" ht="18" customHeight="1"/>
    <row r="360" s="104" customFormat="1" ht="18" customHeight="1"/>
    <row r="361" s="104" customFormat="1" ht="18" customHeight="1"/>
    <row r="362" s="104" customFormat="1" ht="18" customHeight="1"/>
    <row r="363" s="104" customFormat="1" ht="18" customHeight="1"/>
    <row r="364" s="104" customFormat="1" ht="18" customHeight="1"/>
    <row r="365" s="104" customFormat="1" ht="18" customHeight="1"/>
    <row r="366" s="104" customFormat="1" ht="18" customHeight="1"/>
    <row r="367" s="104" customFormat="1" ht="18" customHeight="1"/>
    <row r="368" s="104" customFormat="1" ht="18" customHeight="1"/>
    <row r="369" s="104" customFormat="1" ht="18" customHeight="1"/>
    <row r="370" s="104" customFormat="1" ht="18" customHeight="1"/>
    <row r="371" s="104" customFormat="1" ht="18" customHeight="1"/>
    <row r="372" s="104" customFormat="1" ht="18" customHeight="1"/>
    <row r="373" s="104" customFormat="1" ht="18" customHeight="1"/>
    <row r="374" s="104" customFormat="1" ht="18" customHeight="1"/>
    <row r="375" s="104" customFormat="1" ht="18" customHeight="1"/>
    <row r="376" s="104" customFormat="1" ht="18" customHeight="1"/>
    <row r="377" s="104" customFormat="1" ht="18" customHeight="1"/>
    <row r="378" s="104" customFormat="1" ht="18" customHeight="1"/>
    <row r="379" s="104" customFormat="1" ht="18" customHeight="1"/>
    <row r="380" s="104" customFormat="1" ht="18" customHeight="1"/>
    <row r="381" s="104" customFormat="1" ht="18" customHeight="1"/>
    <row r="382" s="104" customFormat="1" ht="18" customHeight="1"/>
    <row r="383" s="104" customFormat="1" ht="18" customHeight="1"/>
    <row r="384" s="104" customFormat="1" ht="18" customHeight="1"/>
    <row r="385" s="104" customFormat="1" ht="18" customHeight="1"/>
    <row r="386" s="104" customFormat="1" ht="18" customHeight="1"/>
    <row r="387" s="104" customFormat="1" ht="18" customHeight="1"/>
    <row r="388" s="104" customFormat="1" ht="18" customHeight="1"/>
    <row r="389" s="104" customFormat="1" ht="18" customHeight="1"/>
    <row r="390" s="104" customFormat="1" ht="18" customHeight="1"/>
    <row r="391" s="104" customFormat="1" ht="18" customHeight="1"/>
    <row r="392" s="104" customFormat="1" ht="18" customHeight="1"/>
    <row r="393" s="104" customFormat="1" ht="18" customHeight="1"/>
    <row r="394" s="104" customFormat="1" ht="18" customHeight="1"/>
    <row r="395" s="104" customFormat="1" ht="18" customHeight="1"/>
    <row r="396" s="104" customFormat="1" ht="18" customHeight="1"/>
    <row r="397" s="104" customFormat="1" ht="18" customHeight="1"/>
    <row r="398" s="104" customFormat="1" ht="18" customHeight="1"/>
    <row r="399" s="104" customFormat="1" ht="18" customHeight="1"/>
    <row r="400" s="104" customFormat="1" ht="18" customHeight="1"/>
    <row r="401" s="104" customFormat="1" ht="18" customHeight="1"/>
    <row r="402" s="104" customFormat="1" ht="18" customHeight="1"/>
    <row r="403" s="104" customFormat="1" ht="18" customHeight="1"/>
    <row r="404" s="104" customFormat="1" ht="18" customHeight="1"/>
    <row r="405" s="104" customFormat="1" ht="18" customHeight="1"/>
    <row r="406" s="104" customFormat="1" ht="18" customHeight="1"/>
    <row r="407" s="104" customFormat="1" ht="18" customHeight="1"/>
    <row r="408" s="104" customFormat="1" ht="18" customHeight="1"/>
    <row r="409" s="104" customFormat="1" ht="18" customHeight="1"/>
    <row r="410" s="104" customFormat="1" ht="18" customHeight="1"/>
    <row r="411" s="104" customFormat="1" ht="18" customHeight="1"/>
    <row r="412" s="104" customFormat="1" ht="18" customHeight="1"/>
    <row r="413" s="104" customFormat="1" ht="18" customHeight="1"/>
    <row r="414" s="104" customFormat="1" ht="18" customHeight="1"/>
    <row r="415" s="104" customFormat="1" ht="18" customHeight="1"/>
    <row r="416" s="104" customFormat="1" ht="18" customHeight="1"/>
    <row r="417" s="104" customFormat="1" ht="18" customHeight="1"/>
    <row r="418" s="104" customFormat="1" ht="18" customHeight="1"/>
    <row r="419" s="104" customFormat="1" ht="18" customHeight="1"/>
    <row r="420" s="104" customFormat="1" ht="18" customHeight="1"/>
    <row r="421" s="104" customFormat="1" ht="18" customHeight="1"/>
    <row r="422" s="104" customFormat="1" ht="18" customHeight="1"/>
    <row r="423" s="104" customFormat="1" ht="18" customHeight="1"/>
    <row r="424" s="104" customFormat="1" ht="18" customHeight="1"/>
    <row r="425" s="104" customFormat="1" ht="18" customHeight="1"/>
    <row r="426" s="104" customFormat="1" ht="18" customHeight="1"/>
    <row r="427" s="104" customFormat="1" ht="18" customHeight="1"/>
    <row r="428" s="104" customFormat="1" ht="18" customHeight="1"/>
    <row r="429" s="104" customFormat="1" ht="18" customHeight="1"/>
    <row r="430" s="104" customFormat="1" ht="18" customHeight="1"/>
    <row r="431" s="104" customFormat="1" ht="18" customHeight="1"/>
    <row r="432" s="104" customFormat="1" ht="18" customHeight="1"/>
    <row r="433" s="104" customFormat="1" ht="18" customHeight="1"/>
    <row r="434" s="104" customFormat="1" ht="18" customHeight="1"/>
    <row r="435" s="104" customFormat="1" ht="18" customHeight="1"/>
    <row r="436" s="104" customFormat="1" ht="18" customHeight="1"/>
    <row r="437" s="104" customFormat="1" ht="18" customHeight="1"/>
    <row r="438" s="104" customFormat="1" ht="18" customHeight="1"/>
    <row r="439" s="104" customFormat="1" ht="18" customHeight="1"/>
    <row r="440" s="104" customFormat="1" ht="18" customHeight="1"/>
    <row r="441" s="104" customFormat="1" ht="18" customHeight="1"/>
    <row r="442" s="104" customFormat="1" ht="18" customHeight="1"/>
    <row r="443" s="104" customFormat="1" ht="18" customHeight="1"/>
    <row r="444" s="104" customFormat="1" ht="18" customHeight="1"/>
    <row r="445" s="104" customFormat="1" ht="18" customHeight="1"/>
    <row r="446" s="104" customFormat="1" ht="18" customHeight="1"/>
    <row r="447" s="104" customFormat="1" ht="18" customHeight="1"/>
    <row r="448" s="104" customFormat="1" ht="18" customHeight="1"/>
    <row r="449" s="104" customFormat="1" ht="18" customHeight="1"/>
    <row r="450" s="104" customFormat="1" ht="18" customHeight="1"/>
    <row r="451" s="104" customFormat="1" ht="18" customHeight="1"/>
    <row r="452" s="104" customFormat="1" ht="18" customHeight="1"/>
    <row r="453" s="104" customFormat="1" ht="18" customHeight="1"/>
    <row r="454" s="104" customFormat="1" ht="18" customHeight="1"/>
    <row r="455" s="104" customFormat="1" ht="18" customHeight="1"/>
    <row r="456" s="104" customFormat="1" ht="18" customHeight="1"/>
    <row r="457" s="104" customFormat="1" ht="18" customHeight="1"/>
    <row r="458" s="104" customFormat="1" ht="18" customHeight="1"/>
    <row r="459" s="104" customFormat="1" ht="18" customHeight="1"/>
    <row r="460" s="104" customFormat="1" ht="18" customHeight="1"/>
    <row r="461" s="104" customFormat="1" ht="18" customHeight="1"/>
    <row r="462" s="104" customFormat="1" ht="18" customHeight="1"/>
    <row r="463" s="104" customFormat="1" ht="18" customHeight="1"/>
    <row r="464" s="104" customFormat="1" ht="18" customHeight="1"/>
    <row r="465" s="104" customFormat="1" ht="18" customHeight="1"/>
    <row r="466" s="104" customFormat="1" ht="18" customHeight="1"/>
    <row r="467" s="104" customFormat="1" ht="18" customHeight="1"/>
    <row r="468" s="104" customFormat="1" ht="18" customHeight="1"/>
    <row r="469" s="104" customFormat="1" ht="18" customHeight="1"/>
    <row r="470" s="104" customFormat="1" ht="18" customHeight="1"/>
    <row r="471" s="104" customFormat="1" ht="18" customHeight="1"/>
    <row r="472" s="104" customFormat="1" ht="18" customHeight="1"/>
    <row r="473" s="104" customFormat="1" ht="18" customHeight="1"/>
    <row r="474" s="104" customFormat="1" ht="18" customHeight="1"/>
    <row r="475" s="104" customFormat="1" ht="18" customHeight="1"/>
    <row r="476" s="104" customFormat="1" ht="18" customHeight="1"/>
    <row r="477" s="104" customFormat="1" ht="18" customHeight="1"/>
    <row r="478" s="104" customFormat="1" ht="18" customHeight="1"/>
    <row r="479" s="104" customFormat="1" ht="18" customHeight="1"/>
    <row r="480" s="104" customFormat="1" ht="18" customHeight="1"/>
    <row r="481" s="104" customFormat="1" ht="18" customHeight="1"/>
    <row r="482" s="104" customFormat="1" ht="18" customHeight="1"/>
    <row r="483" s="104" customFormat="1" ht="18" customHeight="1"/>
    <row r="484" s="104" customFormat="1" ht="18" customHeight="1"/>
    <row r="485" s="104" customFormat="1" ht="18" customHeight="1"/>
    <row r="486" s="104" customFormat="1" ht="18" customHeight="1"/>
    <row r="487" s="104" customFormat="1" ht="18" customHeight="1"/>
    <row r="488" s="104" customFormat="1" ht="18" customHeight="1"/>
    <row r="489" s="104" customFormat="1" ht="18" customHeight="1"/>
    <row r="490" s="104" customFormat="1" ht="18" customHeight="1"/>
    <row r="491" s="104" customFormat="1" ht="18" customHeight="1"/>
    <row r="492" s="104" customFormat="1" ht="18" customHeight="1"/>
    <row r="493" s="104" customFormat="1" ht="18" customHeight="1"/>
    <row r="494" s="104" customFormat="1" ht="18" customHeight="1"/>
    <row r="495" s="104" customFormat="1" ht="18" customHeight="1"/>
    <row r="496" s="104" customFormat="1" ht="18" customHeight="1"/>
    <row r="497" s="104" customFormat="1" ht="18" customHeight="1"/>
    <row r="498" s="104" customFormat="1" ht="18" customHeight="1"/>
    <row r="499" s="104" customFormat="1" ht="18" customHeight="1"/>
    <row r="500" s="104" customFormat="1" ht="18" customHeight="1"/>
    <row r="501" s="104" customFormat="1" ht="18" customHeight="1"/>
    <row r="502" s="104" customFormat="1" ht="18" customHeight="1"/>
    <row r="503" s="104" customFormat="1" ht="18" customHeight="1"/>
    <row r="504" s="104" customFormat="1" ht="18" customHeight="1"/>
    <row r="505" s="104" customFormat="1" ht="18" customHeight="1"/>
    <row r="506" s="104" customFormat="1" ht="18" customHeight="1"/>
    <row r="507" s="104" customFormat="1" ht="18" customHeight="1"/>
    <row r="508" s="104" customFormat="1" ht="18" customHeight="1"/>
    <row r="509" s="104" customFormat="1" ht="18" customHeight="1"/>
    <row r="510" s="104" customFormat="1" ht="18" customHeight="1"/>
    <row r="511" s="104" customFormat="1" ht="18" customHeight="1"/>
    <row r="512" s="104" customFormat="1" ht="18" customHeight="1"/>
    <row r="513" s="104" customFormat="1" ht="18" customHeight="1"/>
    <row r="514" s="104" customFormat="1" ht="18" customHeight="1"/>
    <row r="515" s="104" customFormat="1" ht="18" customHeight="1"/>
    <row r="516" s="104" customFormat="1" ht="18" customHeight="1"/>
    <row r="517" s="104" customFormat="1" ht="18" customHeight="1"/>
    <row r="518" s="104" customFormat="1" ht="18" customHeight="1"/>
    <row r="519" s="104" customFormat="1" ht="18" customHeight="1"/>
    <row r="520" s="104" customFormat="1" ht="18" customHeight="1"/>
    <row r="521" s="104" customFormat="1" ht="18" customHeight="1"/>
    <row r="522" s="104" customFormat="1" ht="18" customHeight="1"/>
    <row r="523" s="104" customFormat="1" ht="18" customHeight="1"/>
    <row r="524" s="104" customFormat="1" ht="18" customHeight="1"/>
    <row r="525" s="104" customFormat="1" ht="18" customHeight="1"/>
    <row r="526" s="104" customFormat="1" ht="18" customHeight="1"/>
    <row r="527" s="104" customFormat="1" ht="18" customHeight="1"/>
    <row r="528" s="104" customFormat="1" ht="18" customHeight="1"/>
    <row r="529" s="104" customFormat="1" ht="18" customHeight="1"/>
    <row r="530" s="104" customFormat="1" ht="18" customHeight="1"/>
    <row r="531" s="104" customFormat="1" ht="18" customHeight="1"/>
    <row r="532" s="104" customFormat="1" ht="18" customHeight="1"/>
    <row r="533" s="104" customFormat="1" ht="18" customHeight="1"/>
    <row r="534" s="104" customFormat="1" ht="18" customHeight="1"/>
    <row r="535" s="104" customFormat="1" ht="18" customHeight="1"/>
    <row r="536" s="104" customFormat="1" ht="18" customHeight="1"/>
    <row r="537" s="104" customFormat="1" ht="18" customHeight="1"/>
    <row r="538" s="104" customFormat="1" ht="18" customHeight="1"/>
    <row r="539" s="104" customFormat="1" ht="18" customHeight="1"/>
  </sheetData>
  <mergeCells count="141">
    <mergeCell ref="C84:E84"/>
    <mergeCell ref="F84:G84"/>
    <mergeCell ref="C85:E85"/>
    <mergeCell ref="F85:G85"/>
    <mergeCell ref="B86:E86"/>
    <mergeCell ref="F86:G86"/>
    <mergeCell ref="C81:E81"/>
    <mergeCell ref="F81:G81"/>
    <mergeCell ref="C82:E82"/>
    <mergeCell ref="F82:G82"/>
    <mergeCell ref="C83:E83"/>
    <mergeCell ref="F83:G83"/>
    <mergeCell ref="B77:B78"/>
    <mergeCell ref="C77:E78"/>
    <mergeCell ref="F77:G78"/>
    <mergeCell ref="C79:E79"/>
    <mergeCell ref="F79:G79"/>
    <mergeCell ref="C80:E80"/>
    <mergeCell ref="F80:G80"/>
    <mergeCell ref="C74:E74"/>
    <mergeCell ref="F74:G74"/>
    <mergeCell ref="C75:E75"/>
    <mergeCell ref="F75:G75"/>
    <mergeCell ref="C76:E76"/>
    <mergeCell ref="F76:G76"/>
    <mergeCell ref="B70:G70"/>
    <mergeCell ref="B71:G71"/>
    <mergeCell ref="C72:E72"/>
    <mergeCell ref="F72:G72"/>
    <mergeCell ref="C73:E73"/>
    <mergeCell ref="F73:G73"/>
    <mergeCell ref="B62:E62"/>
    <mergeCell ref="F62:G62"/>
    <mergeCell ref="B63:G66"/>
    <mergeCell ref="B67:G67"/>
    <mergeCell ref="B68:G68"/>
    <mergeCell ref="B69:G69"/>
    <mergeCell ref="C59:E59"/>
    <mergeCell ref="F59:G59"/>
    <mergeCell ref="C60:E60"/>
    <mergeCell ref="F60:G60"/>
    <mergeCell ref="C61:E61"/>
    <mergeCell ref="F61:G61"/>
    <mergeCell ref="C56:E56"/>
    <mergeCell ref="F56:G56"/>
    <mergeCell ref="C57:E57"/>
    <mergeCell ref="F57:G57"/>
    <mergeCell ref="C58:E58"/>
    <mergeCell ref="F58:G58"/>
    <mergeCell ref="C51:E51"/>
    <mergeCell ref="F51:G51"/>
    <mergeCell ref="C52:E52"/>
    <mergeCell ref="F52:G52"/>
    <mergeCell ref="C53:E55"/>
    <mergeCell ref="F53:G53"/>
    <mergeCell ref="F54:G54"/>
    <mergeCell ref="F55:G55"/>
    <mergeCell ref="C48:E48"/>
    <mergeCell ref="F48:G48"/>
    <mergeCell ref="C49:E49"/>
    <mergeCell ref="F49:G49"/>
    <mergeCell ref="C50:E50"/>
    <mergeCell ref="F50:G50"/>
    <mergeCell ref="B42:E42"/>
    <mergeCell ref="F42:G42"/>
    <mergeCell ref="B45:G45"/>
    <mergeCell ref="B46:G46"/>
    <mergeCell ref="C47:E47"/>
    <mergeCell ref="F47:G47"/>
    <mergeCell ref="C39:E39"/>
    <mergeCell ref="F39:G39"/>
    <mergeCell ref="C40:E40"/>
    <mergeCell ref="F40:G40"/>
    <mergeCell ref="C41:E41"/>
    <mergeCell ref="F41:G41"/>
    <mergeCell ref="C36:E36"/>
    <mergeCell ref="F36:G36"/>
    <mergeCell ref="C37:E37"/>
    <mergeCell ref="F37:G37"/>
    <mergeCell ref="C38:E38"/>
    <mergeCell ref="F38:G38"/>
    <mergeCell ref="C33:E33"/>
    <mergeCell ref="F33:G33"/>
    <mergeCell ref="C34:E34"/>
    <mergeCell ref="F34:G34"/>
    <mergeCell ref="C35:E35"/>
    <mergeCell ref="F35:G35"/>
    <mergeCell ref="C30:E30"/>
    <mergeCell ref="F30:G30"/>
    <mergeCell ref="C31:E31"/>
    <mergeCell ref="F31:G31"/>
    <mergeCell ref="C32:E32"/>
    <mergeCell ref="F32:G32"/>
    <mergeCell ref="C27:E27"/>
    <mergeCell ref="F27:G27"/>
    <mergeCell ref="C28:E28"/>
    <mergeCell ref="F28:G28"/>
    <mergeCell ref="C29:E29"/>
    <mergeCell ref="F29:G29"/>
    <mergeCell ref="B21:E21"/>
    <mergeCell ref="F21:G21"/>
    <mergeCell ref="B24:G24"/>
    <mergeCell ref="B25:G25"/>
    <mergeCell ref="C26:E26"/>
    <mergeCell ref="F26:G26"/>
    <mergeCell ref="C18:E18"/>
    <mergeCell ref="F18:G18"/>
    <mergeCell ref="C19:E19"/>
    <mergeCell ref="F19:G19"/>
    <mergeCell ref="C20:E20"/>
    <mergeCell ref="F20:G20"/>
    <mergeCell ref="C16:E16"/>
    <mergeCell ref="F16:G16"/>
    <mergeCell ref="C17:E17"/>
    <mergeCell ref="F17:G17"/>
    <mergeCell ref="C12:E12"/>
    <mergeCell ref="F12:G12"/>
    <mergeCell ref="C13:E13"/>
    <mergeCell ref="F13:G13"/>
    <mergeCell ref="C14:E14"/>
    <mergeCell ref="F14:G14"/>
    <mergeCell ref="C11:E11"/>
    <mergeCell ref="F11:G11"/>
    <mergeCell ref="C6:E6"/>
    <mergeCell ref="F6:G6"/>
    <mergeCell ref="C7:E7"/>
    <mergeCell ref="F7:G7"/>
    <mergeCell ref="C8:E8"/>
    <mergeCell ref="F8:G8"/>
    <mergeCell ref="C15:E15"/>
    <mergeCell ref="F15:G15"/>
    <mergeCell ref="B2:G2"/>
    <mergeCell ref="B3:G3"/>
    <mergeCell ref="C4:E4"/>
    <mergeCell ref="F4:G4"/>
    <mergeCell ref="C5:E5"/>
    <mergeCell ref="F5:G5"/>
    <mergeCell ref="C9:E9"/>
    <mergeCell ref="F9:G9"/>
    <mergeCell ref="C10:E10"/>
    <mergeCell ref="F10:G10"/>
  </mergeCells>
  <phoneticPr fontId="75" type="noConversion"/>
  <printOptions horizontalCentered="1"/>
  <pageMargins left="0.7" right="0.7" top="0.75" bottom="0.75" header="0.3" footer="0.3"/>
  <pageSetup scale="98" fitToHeight="0" orientation="portrait" r:id="rId1"/>
  <rowBreaks count="1" manualBreakCount="1">
    <brk id="42" min="1" max="7" man="1"/>
  </rowBreaks>
  <extLst>
    <ext xmlns:mx="http://schemas.microsoft.com/office/mac/excel/2008/main" uri="http://schemas.microsoft.com/office/mac/excel/2008/main">
      <mx:PLV Mode="0" OnePage="0" WScale="0"/>
    </ext>
  </extLst>
</worksheet>
</file>

<file path=xl/worksheets/sheet25.xml><?xml version="1.0" encoding="utf-8"?>
<worksheet xmlns="http://schemas.openxmlformats.org/spreadsheetml/2006/main" xmlns:r="http://schemas.openxmlformats.org/officeDocument/2006/relationships">
  <sheetPr codeName="Sheet26" enableFormatConditionsCalculation="0">
    <tabColor rgb="FFC00000"/>
    <pageSetUpPr fitToPage="1"/>
  </sheetPr>
  <dimension ref="A1:S631"/>
  <sheetViews>
    <sheetView showGridLines="0" view="pageBreakPreview" topLeftCell="D168" zoomScale="70" zoomScaleSheetLayoutView="70" workbookViewId="0">
      <selection activeCell="F193" sqref="F193"/>
    </sheetView>
  </sheetViews>
  <sheetFormatPr defaultColWidth="8.85546875" defaultRowHeight="15"/>
  <cols>
    <col min="1" max="2" width="8.85546875" hidden="1" customWidth="1"/>
    <col min="3" max="3" width="21.7109375" hidden="1" customWidth="1"/>
    <col min="4" max="4" width="35.7109375" customWidth="1"/>
    <col min="5" max="5" width="30.7109375" customWidth="1"/>
    <col min="6" max="6" width="25.7109375" customWidth="1"/>
    <col min="7" max="7" width="20.7109375" customWidth="1"/>
    <col min="8" max="8" width="0.85546875" hidden="1" customWidth="1"/>
    <col min="9" max="9" width="18.7109375" hidden="1" customWidth="1"/>
    <col min="10" max="10" width="30.7109375" hidden="1" customWidth="1"/>
    <col min="11" max="11" width="12.7109375" hidden="1" customWidth="1"/>
    <col min="12" max="18" width="12.7109375" customWidth="1"/>
  </cols>
  <sheetData>
    <row r="1" spans="1:11" ht="18" customHeight="1" thickBot="1">
      <c r="D1" s="96"/>
      <c r="E1" s="96"/>
      <c r="F1" s="96"/>
      <c r="G1" s="96"/>
      <c r="H1" s="68"/>
      <c r="I1" s="68"/>
      <c r="J1" s="68"/>
      <c r="K1" s="68"/>
    </row>
    <row r="2" spans="1:11" s="68" customFormat="1" ht="18" customHeight="1" thickBot="1">
      <c r="D2" s="171" t="s">
        <v>156</v>
      </c>
      <c r="E2" s="171"/>
      <c r="F2" s="171"/>
      <c r="G2" s="171"/>
    </row>
    <row r="3" spans="1:11" s="68" customFormat="1" ht="10.35" customHeight="1" thickBot="1">
      <c r="D3" s="172"/>
      <c r="E3" s="172"/>
      <c r="F3" s="172"/>
      <c r="G3" s="172"/>
    </row>
    <row r="4" spans="1:11" s="68" customFormat="1" ht="18" customHeight="1">
      <c r="A4" s="68" t="s">
        <v>254</v>
      </c>
      <c r="B4" s="68" t="s">
        <v>255</v>
      </c>
      <c r="C4" s="68" t="s">
        <v>249</v>
      </c>
      <c r="D4" s="109" t="s">
        <v>111</v>
      </c>
      <c r="E4" s="109" t="s">
        <v>132</v>
      </c>
      <c r="F4" s="110" t="s">
        <v>157</v>
      </c>
      <c r="G4" s="109" t="s">
        <v>158</v>
      </c>
      <c r="I4" s="111" t="s">
        <v>159</v>
      </c>
    </row>
    <row r="5" spans="1:11" s="68" customFormat="1" ht="18" customHeight="1">
      <c r="D5" s="112" t="s">
        <v>6</v>
      </c>
      <c r="E5" s="113"/>
      <c r="F5" s="114"/>
      <c r="G5" s="113"/>
      <c r="I5" s="115"/>
    </row>
    <row r="6" spans="1:11" s="68" customFormat="1" ht="18" customHeight="1">
      <c r="A6" s="68" t="s">
        <v>250</v>
      </c>
      <c r="B6" s="68" t="s">
        <v>256</v>
      </c>
      <c r="C6" s="68" t="str">
        <f>A6&amp;"-"&amp;B6&amp;"-"&amp;D6</f>
        <v>1X1Y-kWh-Gravity Thickener</v>
      </c>
      <c r="D6" s="116" t="s">
        <v>29</v>
      </c>
      <c r="E6" s="248" t="s">
        <v>30</v>
      </c>
      <c r="F6" s="117">
        <v>23</v>
      </c>
      <c r="G6" s="168">
        <f>ROUND(F6*365,-1)</f>
        <v>8400</v>
      </c>
      <c r="I6" s="119"/>
      <c r="J6" s="179">
        <f>G6</f>
        <v>8400</v>
      </c>
      <c r="K6" s="68" t="s">
        <v>29</v>
      </c>
    </row>
    <row r="7" spans="1:11" s="68" customFormat="1" ht="18" customHeight="1">
      <c r="A7" s="68" t="s">
        <v>250</v>
      </c>
      <c r="B7" s="68" t="s">
        <v>256</v>
      </c>
      <c r="C7" s="68" t="str">
        <f t="shared" ref="C7:C14" si="0">A7&amp;"-"&amp;B7&amp;"-"&amp;D7</f>
        <v>1X1Y-kWh-Gravity Belt Thickener</v>
      </c>
      <c r="D7" s="120" t="s">
        <v>135</v>
      </c>
      <c r="E7" s="248" t="s">
        <v>30</v>
      </c>
      <c r="F7" s="117">
        <v>158</v>
      </c>
      <c r="G7" s="168">
        <f t="shared" ref="G7:G11" si="1">ROUND(F7*365,-1)</f>
        <v>57670</v>
      </c>
      <c r="I7" s="119"/>
      <c r="J7" s="179">
        <f t="shared" ref="J7:J70" si="2">G7</f>
        <v>57670</v>
      </c>
      <c r="K7" s="68" t="s">
        <v>135</v>
      </c>
    </row>
    <row r="8" spans="1:11" s="68" customFormat="1" ht="18" customHeight="1">
      <c r="A8" s="68" t="s">
        <v>250</v>
      </c>
      <c r="B8" s="68" t="s">
        <v>256</v>
      </c>
      <c r="C8" s="68" t="str">
        <f t="shared" si="0"/>
        <v xml:space="preserve">1X1Y-kWh-Pre-Dewatering </v>
      </c>
      <c r="D8" s="116" t="s">
        <v>163</v>
      </c>
      <c r="E8" s="248" t="s">
        <v>30</v>
      </c>
      <c r="F8" s="117">
        <v>271</v>
      </c>
      <c r="G8" s="168">
        <f t="shared" si="1"/>
        <v>98920</v>
      </c>
      <c r="I8" s="119"/>
      <c r="J8" s="179">
        <f t="shared" si="2"/>
        <v>98920</v>
      </c>
      <c r="K8" s="68" t="s">
        <v>163</v>
      </c>
    </row>
    <row r="9" spans="1:11" s="68" customFormat="1" ht="18" customHeight="1">
      <c r="A9" s="68" t="s">
        <v>250</v>
      </c>
      <c r="B9" s="68" t="s">
        <v>256</v>
      </c>
      <c r="C9" s="68" t="str">
        <f t="shared" si="0"/>
        <v>1X1Y-kWh-Pre-Treatment (CAMBI)</v>
      </c>
      <c r="D9" s="116" t="s">
        <v>138</v>
      </c>
      <c r="E9" s="248" t="s">
        <v>30</v>
      </c>
      <c r="F9" s="118">
        <v>90</v>
      </c>
      <c r="G9" s="168">
        <f t="shared" si="1"/>
        <v>32850</v>
      </c>
      <c r="I9" s="119"/>
      <c r="J9" s="179">
        <f t="shared" si="2"/>
        <v>32850</v>
      </c>
      <c r="K9" s="68" t="s">
        <v>138</v>
      </c>
    </row>
    <row r="10" spans="1:11" s="68" customFormat="1" ht="18" customHeight="1">
      <c r="A10" s="68" t="s">
        <v>250</v>
      </c>
      <c r="B10" s="68" t="s">
        <v>256</v>
      </c>
      <c r="C10" s="68" t="str">
        <f t="shared" si="0"/>
        <v>1X1Y-kWh-Anaerobic Digestion</v>
      </c>
      <c r="D10" s="120" t="s">
        <v>315</v>
      </c>
      <c r="E10" s="248" t="s">
        <v>30</v>
      </c>
      <c r="F10" s="117">
        <v>455</v>
      </c>
      <c r="G10" s="168">
        <f t="shared" si="1"/>
        <v>166080</v>
      </c>
      <c r="I10" s="119"/>
      <c r="J10" s="179">
        <f t="shared" si="2"/>
        <v>166080</v>
      </c>
      <c r="K10" s="68" t="s">
        <v>315</v>
      </c>
    </row>
    <row r="11" spans="1:11" s="68" customFormat="1" ht="54" customHeight="1">
      <c r="A11" s="68" t="s">
        <v>250</v>
      </c>
      <c r="B11" s="68" t="s">
        <v>256</v>
      </c>
      <c r="C11" s="68" t="str">
        <f t="shared" si="0"/>
        <v>1X1Y-kWh-Gas Cleaning</v>
      </c>
      <c r="D11" s="116" t="s">
        <v>162</v>
      </c>
      <c r="E11" s="245" t="s">
        <v>31</v>
      </c>
      <c r="F11" s="117">
        <v>537</v>
      </c>
      <c r="G11" s="168">
        <f t="shared" si="1"/>
        <v>196010</v>
      </c>
      <c r="I11" s="253" t="s">
        <v>32</v>
      </c>
      <c r="J11" s="179">
        <f t="shared" si="2"/>
        <v>196010</v>
      </c>
      <c r="K11" s="68" t="s">
        <v>162</v>
      </c>
    </row>
    <row r="12" spans="1:11" s="68" customFormat="1" ht="36" customHeight="1">
      <c r="A12" s="68" t="s">
        <v>250</v>
      </c>
      <c r="B12" s="68" t="s">
        <v>256</v>
      </c>
      <c r="C12" s="68" t="str">
        <f t="shared" si="0"/>
        <v>1X1Y-kWh-CHP</v>
      </c>
      <c r="D12" s="116" t="s">
        <v>318</v>
      </c>
      <c r="E12" s="245" t="s">
        <v>33</v>
      </c>
      <c r="F12" s="117" t="s">
        <v>34</v>
      </c>
      <c r="G12" s="168" t="s">
        <v>34</v>
      </c>
      <c r="I12" s="119"/>
      <c r="J12" s="179"/>
      <c r="K12" s="68" t="s">
        <v>318</v>
      </c>
    </row>
    <row r="13" spans="1:11" s="68" customFormat="1" ht="18" customHeight="1">
      <c r="A13" s="68" t="s">
        <v>250</v>
      </c>
      <c r="B13" s="68" t="s">
        <v>256</v>
      </c>
      <c r="C13" s="68" t="str">
        <f t="shared" si="0"/>
        <v>1X1Y-kWh-Belt Filter Press Dewatering</v>
      </c>
      <c r="D13" s="120" t="s">
        <v>143</v>
      </c>
      <c r="E13" s="248" t="s">
        <v>30</v>
      </c>
      <c r="F13" s="117">
        <v>89</v>
      </c>
      <c r="G13" s="168">
        <f t="shared" ref="G13:G14" si="3">ROUND(F13*365,-1)</f>
        <v>32490</v>
      </c>
      <c r="I13" s="119"/>
      <c r="J13" s="179">
        <f t="shared" si="2"/>
        <v>32490</v>
      </c>
      <c r="K13" s="68" t="s">
        <v>143</v>
      </c>
    </row>
    <row r="14" spans="1:11" s="68" customFormat="1" ht="18" customHeight="1" thickBot="1">
      <c r="A14" s="68" t="s">
        <v>250</v>
      </c>
      <c r="B14" s="68" t="s">
        <v>256</v>
      </c>
      <c r="C14" s="68" t="str">
        <f t="shared" si="0"/>
        <v>1X1Y-kWh-Cake Storage</v>
      </c>
      <c r="D14" s="257" t="s">
        <v>317</v>
      </c>
      <c r="E14" s="258" t="s">
        <v>35</v>
      </c>
      <c r="F14" s="259">
        <f>ROUND(60*1*1*0.746,-0.5)</f>
        <v>45</v>
      </c>
      <c r="G14" s="168">
        <f t="shared" si="3"/>
        <v>16430</v>
      </c>
      <c r="I14" s="121" t="s">
        <v>36</v>
      </c>
      <c r="J14" s="179">
        <f t="shared" si="2"/>
        <v>16430</v>
      </c>
      <c r="K14" s="68" t="s">
        <v>317</v>
      </c>
    </row>
    <row r="15" spans="1:11" s="68" customFormat="1" ht="18" customHeight="1">
      <c r="D15" s="109" t="s">
        <v>111</v>
      </c>
      <c r="E15" s="109" t="s">
        <v>132</v>
      </c>
      <c r="F15" s="109"/>
      <c r="G15" s="110" t="s">
        <v>37</v>
      </c>
      <c r="I15" s="122"/>
      <c r="J15" s="179" t="str">
        <f t="shared" si="2"/>
        <v>Total - h/yr</v>
      </c>
    </row>
    <row r="16" spans="1:11" s="103" customFormat="1" ht="18" customHeight="1">
      <c r="D16" s="123" t="s">
        <v>129</v>
      </c>
      <c r="E16" s="124" t="s">
        <v>38</v>
      </c>
      <c r="F16" s="124" t="s">
        <v>126</v>
      </c>
      <c r="G16" s="124" t="s">
        <v>39</v>
      </c>
      <c r="I16" s="119"/>
      <c r="J16" s="179" t="str">
        <f t="shared" si="2"/>
        <v>Ops + Maintenance</v>
      </c>
    </row>
    <row r="17" spans="1:10" s="68" customFormat="1" ht="18" customHeight="1">
      <c r="A17" s="68" t="s">
        <v>250</v>
      </c>
      <c r="B17" s="157" t="s">
        <v>258</v>
      </c>
      <c r="C17" s="68" t="str">
        <f t="shared" ref="C17:C25" si="4">A17&amp;"-"&amp;B17&amp;"-"&amp;D17</f>
        <v>1X1Y-Hrs-Gravity Thickener</v>
      </c>
      <c r="D17" s="116" t="s">
        <v>29</v>
      </c>
      <c r="E17" s="248" t="s">
        <v>40</v>
      </c>
      <c r="F17" s="248" t="s">
        <v>41</v>
      </c>
      <c r="G17" s="118">
        <f>(3+1)*365</f>
        <v>1460</v>
      </c>
      <c r="I17" s="1134" t="s">
        <v>42</v>
      </c>
      <c r="J17" s="179">
        <f t="shared" si="2"/>
        <v>1460</v>
      </c>
    </row>
    <row r="18" spans="1:10" s="68" customFormat="1" ht="18" customHeight="1">
      <c r="A18" s="68" t="s">
        <v>250</v>
      </c>
      <c r="B18" s="157" t="s">
        <v>258</v>
      </c>
      <c r="C18" s="68" t="str">
        <f t="shared" si="4"/>
        <v>1X1Y-Hrs-Gravity Belt Thickener</v>
      </c>
      <c r="D18" s="120" t="s">
        <v>135</v>
      </c>
      <c r="E18" s="248" t="s">
        <v>43</v>
      </c>
      <c r="F18" s="248" t="s">
        <v>184</v>
      </c>
      <c r="G18" s="118">
        <f>(12+2)*365</f>
        <v>5110</v>
      </c>
      <c r="I18" s="1134"/>
      <c r="J18" s="179">
        <f t="shared" si="2"/>
        <v>5110</v>
      </c>
    </row>
    <row r="19" spans="1:10" s="68" customFormat="1" ht="18" customHeight="1">
      <c r="A19" s="68" t="s">
        <v>250</v>
      </c>
      <c r="B19" s="157" t="s">
        <v>258</v>
      </c>
      <c r="C19" s="68" t="str">
        <f t="shared" si="4"/>
        <v xml:space="preserve">1X1Y-Hrs-Pre-Dewatering </v>
      </c>
      <c r="D19" s="116" t="s">
        <v>163</v>
      </c>
      <c r="E19" s="248" t="s">
        <v>43</v>
      </c>
      <c r="F19" s="248" t="s">
        <v>184</v>
      </c>
      <c r="G19" s="118">
        <f>(12+2)*365</f>
        <v>5110</v>
      </c>
      <c r="I19" s="1134"/>
      <c r="J19" s="179">
        <f t="shared" si="2"/>
        <v>5110</v>
      </c>
    </row>
    <row r="20" spans="1:10" s="68" customFormat="1" ht="18" customHeight="1">
      <c r="A20" s="68" t="s">
        <v>250</v>
      </c>
      <c r="B20" s="157" t="s">
        <v>258</v>
      </c>
      <c r="C20" s="68" t="str">
        <f t="shared" si="4"/>
        <v>1X1Y-Hrs-Pre-Treatment (CAMBI)</v>
      </c>
      <c r="D20" s="116" t="s">
        <v>138</v>
      </c>
      <c r="E20" s="248" t="s">
        <v>185</v>
      </c>
      <c r="F20" s="248" t="s">
        <v>186</v>
      </c>
      <c r="G20" s="118">
        <f>(24+4)*365</f>
        <v>10220</v>
      </c>
      <c r="I20" s="1134"/>
      <c r="J20" s="179">
        <f t="shared" si="2"/>
        <v>10220</v>
      </c>
    </row>
    <row r="21" spans="1:10" s="68" customFormat="1" ht="18" customHeight="1">
      <c r="A21" s="68" t="s">
        <v>250</v>
      </c>
      <c r="B21" s="157" t="s">
        <v>258</v>
      </c>
      <c r="C21" s="68" t="str">
        <f t="shared" si="4"/>
        <v>1X1Y-Hrs-Anaerobic Digestion</v>
      </c>
      <c r="D21" s="120" t="s">
        <v>315</v>
      </c>
      <c r="E21" s="248" t="s">
        <v>40</v>
      </c>
      <c r="F21" s="248" t="s">
        <v>186</v>
      </c>
      <c r="G21" s="118">
        <f>(3+4)*365</f>
        <v>2555</v>
      </c>
      <c r="I21" s="1134"/>
      <c r="J21" s="179">
        <f t="shared" si="2"/>
        <v>2555</v>
      </c>
    </row>
    <row r="22" spans="1:10" s="68" customFormat="1" ht="18" customHeight="1">
      <c r="A22" s="68" t="s">
        <v>250</v>
      </c>
      <c r="B22" s="157" t="s">
        <v>258</v>
      </c>
      <c r="C22" s="68" t="str">
        <f t="shared" si="4"/>
        <v>1X1Y-Hrs-Gas Cleaning</v>
      </c>
      <c r="D22" s="116" t="s">
        <v>162</v>
      </c>
      <c r="E22" s="248" t="s">
        <v>40</v>
      </c>
      <c r="F22" s="248" t="s">
        <v>41</v>
      </c>
      <c r="G22" s="118">
        <f t="shared" ref="G22:G23" si="5">(3+1)*365</f>
        <v>1460</v>
      </c>
      <c r="I22" s="1134"/>
      <c r="J22" s="179">
        <f t="shared" si="2"/>
        <v>1460</v>
      </c>
    </row>
    <row r="23" spans="1:10" s="68" customFormat="1" ht="18" customHeight="1">
      <c r="A23" s="68" t="s">
        <v>250</v>
      </c>
      <c r="B23" s="157" t="s">
        <v>258</v>
      </c>
      <c r="C23" s="68" t="str">
        <f t="shared" si="4"/>
        <v>1X1Y-Hrs-CHP</v>
      </c>
      <c r="D23" s="116" t="s">
        <v>318</v>
      </c>
      <c r="E23" s="248" t="s">
        <v>187</v>
      </c>
      <c r="F23" s="248" t="s">
        <v>188</v>
      </c>
      <c r="G23" s="118">
        <f t="shared" si="5"/>
        <v>1460</v>
      </c>
      <c r="I23" s="1134"/>
      <c r="J23" s="179">
        <f t="shared" si="2"/>
        <v>1460</v>
      </c>
    </row>
    <row r="24" spans="1:10" s="68" customFormat="1" ht="18" customHeight="1">
      <c r="A24" s="68" t="s">
        <v>250</v>
      </c>
      <c r="B24" s="157" t="s">
        <v>258</v>
      </c>
      <c r="C24" s="68" t="str">
        <f t="shared" si="4"/>
        <v>1X1Y-Hrs-Belt Filter Press Dewatering</v>
      </c>
      <c r="D24" s="120" t="s">
        <v>143</v>
      </c>
      <c r="E24" s="248" t="s">
        <v>43</v>
      </c>
      <c r="F24" s="248" t="s">
        <v>184</v>
      </c>
      <c r="G24" s="118">
        <f>(12+2)*365</f>
        <v>5110</v>
      </c>
      <c r="I24" s="1134"/>
      <c r="J24" s="179">
        <f t="shared" si="2"/>
        <v>5110</v>
      </c>
    </row>
    <row r="25" spans="1:10" s="68" customFormat="1" ht="18" customHeight="1" thickBot="1">
      <c r="A25" s="68" t="s">
        <v>250</v>
      </c>
      <c r="B25" s="157" t="s">
        <v>258</v>
      </c>
      <c r="C25" s="68" t="str">
        <f t="shared" si="4"/>
        <v>1X1Y-Hrs-Cake Storage</v>
      </c>
      <c r="D25" s="257" t="s">
        <v>317</v>
      </c>
      <c r="E25" s="248" t="s">
        <v>189</v>
      </c>
      <c r="F25" s="248" t="s">
        <v>190</v>
      </c>
      <c r="G25" s="118">
        <f>(3+0.5)*365</f>
        <v>1277.5</v>
      </c>
      <c r="I25" s="1135"/>
      <c r="J25" s="179">
        <f t="shared" si="2"/>
        <v>1277.5</v>
      </c>
    </row>
    <row r="26" spans="1:10" s="68" customFormat="1" ht="18" customHeight="1">
      <c r="D26" s="109" t="s">
        <v>111</v>
      </c>
      <c r="E26" s="109" t="s">
        <v>132</v>
      </c>
      <c r="F26" s="109" t="s">
        <v>191</v>
      </c>
      <c r="G26" s="109" t="s">
        <v>192</v>
      </c>
      <c r="I26" s="122"/>
      <c r="J26" s="179" t="str">
        <f t="shared" si="2"/>
        <v>Maintenance, $/yr</v>
      </c>
    </row>
    <row r="27" spans="1:10" s="68" customFormat="1" ht="18" customHeight="1">
      <c r="D27" s="112" t="s">
        <v>193</v>
      </c>
      <c r="E27" s="125"/>
      <c r="F27" s="113"/>
      <c r="G27" s="113"/>
      <c r="I27" s="122"/>
      <c r="J27" s="179">
        <f t="shared" si="2"/>
        <v>0</v>
      </c>
    </row>
    <row r="28" spans="1:10" s="68" customFormat="1" ht="18" customHeight="1">
      <c r="A28" s="68" t="s">
        <v>250</v>
      </c>
      <c r="B28" s="157" t="s">
        <v>269</v>
      </c>
      <c r="C28" s="68" t="str">
        <f t="shared" ref="C28:C36" si="6">A28&amp;"-"&amp;B28&amp;"-"&amp;D28</f>
        <v>1X1Y-OMM-Gravity Thickener</v>
      </c>
      <c r="D28" s="116" t="s">
        <v>29</v>
      </c>
      <c r="E28" s="248" t="s">
        <v>194</v>
      </c>
      <c r="F28" s="723">
        <v>1029000</v>
      </c>
      <c r="G28" s="126">
        <f>ROUND(F28*0.01,-3)</f>
        <v>10000</v>
      </c>
      <c r="I28" s="1134" t="s">
        <v>195</v>
      </c>
      <c r="J28" s="179">
        <f t="shared" si="2"/>
        <v>10000</v>
      </c>
    </row>
    <row r="29" spans="1:10" s="68" customFormat="1" ht="18" customHeight="1">
      <c r="A29" s="68" t="s">
        <v>250</v>
      </c>
      <c r="B29" s="157" t="s">
        <v>269</v>
      </c>
      <c r="C29" s="68" t="str">
        <f t="shared" si="6"/>
        <v>1X1Y-OMM-Gravity Belt Thickener</v>
      </c>
      <c r="D29" s="120" t="s">
        <v>135</v>
      </c>
      <c r="E29" s="248" t="s">
        <v>196</v>
      </c>
      <c r="F29" s="126">
        <v>1262000</v>
      </c>
      <c r="G29" s="126">
        <f t="shared" ref="G29:G36" si="7">ROUND(F29*0.02,-3)</f>
        <v>25000</v>
      </c>
      <c r="I29" s="1134"/>
      <c r="J29" s="179">
        <f t="shared" si="2"/>
        <v>25000</v>
      </c>
    </row>
    <row r="30" spans="1:10" s="68" customFormat="1" ht="18" customHeight="1">
      <c r="A30" s="68" t="s">
        <v>250</v>
      </c>
      <c r="B30" s="157" t="s">
        <v>269</v>
      </c>
      <c r="C30" s="68" t="str">
        <f t="shared" si="6"/>
        <v xml:space="preserve">1X1Y-OMM-Pre-Dewatering </v>
      </c>
      <c r="D30" s="116" t="s">
        <v>163</v>
      </c>
      <c r="E30" s="248" t="s">
        <v>196</v>
      </c>
      <c r="F30" s="126">
        <v>2939000</v>
      </c>
      <c r="G30" s="126">
        <f t="shared" si="7"/>
        <v>59000</v>
      </c>
      <c r="I30" s="1134"/>
      <c r="J30" s="179">
        <f t="shared" si="2"/>
        <v>59000</v>
      </c>
    </row>
    <row r="31" spans="1:10" s="68" customFormat="1" ht="18" customHeight="1">
      <c r="A31" s="68" t="s">
        <v>250</v>
      </c>
      <c r="B31" s="157" t="s">
        <v>269</v>
      </c>
      <c r="C31" s="68" t="str">
        <f t="shared" si="6"/>
        <v>1X1Y-OMM-Pre-Treatment (CAMBI)</v>
      </c>
      <c r="D31" s="116" t="s">
        <v>138</v>
      </c>
      <c r="E31" s="248" t="s">
        <v>196</v>
      </c>
      <c r="F31" s="126">
        <v>4534000</v>
      </c>
      <c r="G31" s="126">
        <f t="shared" si="7"/>
        <v>91000</v>
      </c>
      <c r="I31" s="1134"/>
      <c r="J31" s="179">
        <f t="shared" si="2"/>
        <v>91000</v>
      </c>
    </row>
    <row r="32" spans="1:10" s="68" customFormat="1" ht="18" customHeight="1">
      <c r="A32" s="68" t="s">
        <v>250</v>
      </c>
      <c r="B32" s="157" t="s">
        <v>269</v>
      </c>
      <c r="C32" s="68" t="str">
        <f t="shared" si="6"/>
        <v>1X1Y-OMM-Anaerobic Digestion</v>
      </c>
      <c r="D32" s="120" t="s">
        <v>315</v>
      </c>
      <c r="E32" s="248" t="s">
        <v>196</v>
      </c>
      <c r="F32" s="126">
        <v>2729000</v>
      </c>
      <c r="G32" s="126">
        <f t="shared" si="7"/>
        <v>55000</v>
      </c>
      <c r="I32" s="1134"/>
      <c r="J32" s="179">
        <f t="shared" si="2"/>
        <v>55000</v>
      </c>
    </row>
    <row r="33" spans="1:10" s="68" customFormat="1" ht="18" customHeight="1">
      <c r="A33" s="68" t="s">
        <v>250</v>
      </c>
      <c r="B33" s="157" t="s">
        <v>269</v>
      </c>
      <c r="C33" s="68" t="str">
        <f t="shared" si="6"/>
        <v>1X1Y-OMM-Gas Cleaning</v>
      </c>
      <c r="D33" s="116" t="s">
        <v>162</v>
      </c>
      <c r="E33" s="248" t="s">
        <v>196</v>
      </c>
      <c r="F33" s="126">
        <v>660000</v>
      </c>
      <c r="G33" s="126">
        <f t="shared" si="7"/>
        <v>13000</v>
      </c>
      <c r="I33" s="1134"/>
      <c r="J33" s="179">
        <f t="shared" si="2"/>
        <v>13000</v>
      </c>
    </row>
    <row r="34" spans="1:10" s="68" customFormat="1" ht="18" customHeight="1">
      <c r="A34" s="68" t="s">
        <v>250</v>
      </c>
      <c r="B34" s="157" t="s">
        <v>269</v>
      </c>
      <c r="C34" s="68" t="str">
        <f t="shared" si="6"/>
        <v>1X1Y-OMM-CHP</v>
      </c>
      <c r="D34" s="116" t="s">
        <v>318</v>
      </c>
      <c r="E34" s="248" t="s">
        <v>196</v>
      </c>
      <c r="F34" s="126">
        <v>725000</v>
      </c>
      <c r="G34" s="126">
        <f t="shared" si="7"/>
        <v>15000</v>
      </c>
      <c r="I34" s="1134"/>
      <c r="J34" s="179">
        <f t="shared" si="2"/>
        <v>15000</v>
      </c>
    </row>
    <row r="35" spans="1:10" s="68" customFormat="1" ht="18" customHeight="1">
      <c r="A35" s="68" t="s">
        <v>250</v>
      </c>
      <c r="B35" s="157" t="s">
        <v>269</v>
      </c>
      <c r="C35" s="68" t="str">
        <f t="shared" si="6"/>
        <v>1X1Y-OMM-Belt Filter Press Dewatering</v>
      </c>
      <c r="D35" s="120" t="s">
        <v>143</v>
      </c>
      <c r="E35" s="248" t="s">
        <v>196</v>
      </c>
      <c r="F35" s="126">
        <v>1815000</v>
      </c>
      <c r="G35" s="126">
        <f t="shared" si="7"/>
        <v>36000</v>
      </c>
      <c r="I35" s="1134"/>
      <c r="J35" s="179">
        <f t="shared" si="2"/>
        <v>36000</v>
      </c>
    </row>
    <row r="36" spans="1:10" s="68" customFormat="1" ht="18" customHeight="1" thickBot="1">
      <c r="A36" s="68" t="s">
        <v>250</v>
      </c>
      <c r="B36" s="157" t="s">
        <v>269</v>
      </c>
      <c r="C36" s="68" t="str">
        <f t="shared" si="6"/>
        <v>1X1Y-OMM-Cake Storage</v>
      </c>
      <c r="D36" s="257" t="s">
        <v>317</v>
      </c>
      <c r="E36" s="246" t="s">
        <v>196</v>
      </c>
      <c r="F36" s="127">
        <v>1338000</v>
      </c>
      <c r="G36" s="127">
        <f t="shared" si="7"/>
        <v>27000</v>
      </c>
      <c r="I36" s="1135"/>
      <c r="J36" s="179">
        <f t="shared" si="2"/>
        <v>27000</v>
      </c>
    </row>
    <row r="37" spans="1:10" s="68" customFormat="1" ht="18" customHeight="1">
      <c r="D37" s="109" t="s">
        <v>111</v>
      </c>
      <c r="E37" s="109" t="s">
        <v>132</v>
      </c>
      <c r="F37" s="128" t="s">
        <v>112</v>
      </c>
      <c r="G37" s="109" t="s">
        <v>197</v>
      </c>
      <c r="I37" s="122"/>
      <c r="J37" s="179"/>
    </row>
    <row r="38" spans="1:10" s="68" customFormat="1" ht="18" customHeight="1">
      <c r="D38" s="112" t="s">
        <v>127</v>
      </c>
      <c r="E38" s="113"/>
      <c r="F38" s="129"/>
      <c r="G38" s="130"/>
      <c r="I38" s="122"/>
      <c r="J38" s="179">
        <f t="shared" si="2"/>
        <v>0</v>
      </c>
    </row>
    <row r="39" spans="1:10" s="68" customFormat="1" ht="18" customHeight="1">
      <c r="A39" s="68" t="s">
        <v>250</v>
      </c>
      <c r="B39" s="157" t="s">
        <v>259</v>
      </c>
      <c r="C39" s="68" t="str">
        <f t="shared" ref="C39:C42" si="8">A39&amp;"-"&amp;B39&amp;"-"&amp;D39</f>
        <v>1X1Y-Chem-Gravity Belt Thickener</v>
      </c>
      <c r="D39" s="120" t="s">
        <v>135</v>
      </c>
      <c r="E39" s="248" t="s">
        <v>198</v>
      </c>
      <c r="F39" s="724" t="s">
        <v>199</v>
      </c>
      <c r="G39" s="126">
        <v>28000</v>
      </c>
      <c r="I39" s="122"/>
      <c r="J39" s="179">
        <f t="shared" si="2"/>
        <v>28000</v>
      </c>
    </row>
    <row r="40" spans="1:10" s="68" customFormat="1" ht="18" customHeight="1">
      <c r="A40" s="68" t="s">
        <v>250</v>
      </c>
      <c r="B40" s="157" t="s">
        <v>259</v>
      </c>
      <c r="C40" s="68" t="str">
        <f t="shared" si="8"/>
        <v xml:space="preserve">1X1Y-Chem-Pre-Dewatering </v>
      </c>
      <c r="D40" s="116" t="s">
        <v>163</v>
      </c>
      <c r="E40" s="248" t="s">
        <v>200</v>
      </c>
      <c r="F40" s="724" t="s">
        <v>199</v>
      </c>
      <c r="G40" s="126">
        <v>108000</v>
      </c>
      <c r="I40" s="122"/>
      <c r="J40" s="179">
        <f t="shared" si="2"/>
        <v>108000</v>
      </c>
    </row>
    <row r="41" spans="1:10" s="68" customFormat="1" ht="18" customHeight="1">
      <c r="A41" s="68" t="s">
        <v>250</v>
      </c>
      <c r="B41" s="157" t="s">
        <v>259</v>
      </c>
      <c r="C41" s="68" t="str">
        <f t="shared" si="8"/>
        <v>1X1Y-Chem-Pre-Treatment (CAMBI)</v>
      </c>
      <c r="D41" s="116" t="s">
        <v>138</v>
      </c>
      <c r="E41" s="248" t="s">
        <v>201</v>
      </c>
      <c r="F41" s="724" t="s">
        <v>202</v>
      </c>
      <c r="G41" s="126">
        <v>12000</v>
      </c>
      <c r="I41" s="122"/>
      <c r="J41" s="179">
        <f t="shared" si="2"/>
        <v>12000</v>
      </c>
    </row>
    <row r="42" spans="1:10" s="68" customFormat="1" ht="18" customHeight="1">
      <c r="A42" s="68" t="s">
        <v>250</v>
      </c>
      <c r="B42" s="157" t="s">
        <v>259</v>
      </c>
      <c r="C42" s="68" t="str">
        <f t="shared" si="8"/>
        <v>1X1Y-Chem-Belt Filter Press Dewatering</v>
      </c>
      <c r="D42" s="120" t="s">
        <v>143</v>
      </c>
      <c r="E42" s="248" t="s">
        <v>203</v>
      </c>
      <c r="F42" s="724" t="s">
        <v>199</v>
      </c>
      <c r="G42" s="126">
        <v>91000</v>
      </c>
      <c r="I42" s="122"/>
      <c r="J42" s="179">
        <f t="shared" si="2"/>
        <v>91000</v>
      </c>
    </row>
    <row r="43" spans="1:10" s="68" customFormat="1" ht="54" customHeight="1" thickBot="1">
      <c r="A43" s="68" t="s">
        <v>250</v>
      </c>
      <c r="B43" s="157" t="s">
        <v>259</v>
      </c>
      <c r="C43" s="68" t="str">
        <f>A43&amp;"-"&amp;B43&amp;"-"&amp;D43</f>
        <v>1X1Y-Chem-Odor Control Chemicals</v>
      </c>
      <c r="D43" s="116" t="s">
        <v>204</v>
      </c>
      <c r="E43" s="132" t="s">
        <v>205</v>
      </c>
      <c r="F43" s="724"/>
      <c r="G43" s="126">
        <v>120000</v>
      </c>
      <c r="I43" s="252" t="s">
        <v>206</v>
      </c>
      <c r="J43" s="179">
        <f t="shared" si="2"/>
        <v>120000</v>
      </c>
    </row>
    <row r="44" spans="1:10" s="68" customFormat="1" ht="18" customHeight="1">
      <c r="B44" s="157"/>
      <c r="D44" s="109" t="s">
        <v>111</v>
      </c>
      <c r="E44" s="109" t="s">
        <v>132</v>
      </c>
      <c r="F44" s="109" t="s">
        <v>207</v>
      </c>
      <c r="G44" s="109"/>
      <c r="I44" s="122"/>
      <c r="J44" s="179">
        <f t="shared" si="2"/>
        <v>0</v>
      </c>
    </row>
    <row r="45" spans="1:10" s="68" customFormat="1" ht="18" customHeight="1">
      <c r="D45" s="112" t="s">
        <v>208</v>
      </c>
      <c r="E45" s="113"/>
      <c r="F45" s="133" t="s">
        <v>209</v>
      </c>
      <c r="G45" s="133" t="s">
        <v>210</v>
      </c>
      <c r="I45" s="122"/>
      <c r="J45" s="179" t="str">
        <f t="shared" si="2"/>
        <v>MJ/yr</v>
      </c>
    </row>
    <row r="46" spans="1:10" s="68" customFormat="1" ht="18" customHeight="1">
      <c r="A46" s="68" t="s">
        <v>250</v>
      </c>
      <c r="B46" s="157" t="s">
        <v>260</v>
      </c>
      <c r="C46" s="68" t="str">
        <f t="shared" ref="C46:C47" si="9">A46&amp;"-"&amp;B46&amp;"-"&amp;D46</f>
        <v>1X1Y-NG-Pre-Treatment (CAMBI)</v>
      </c>
      <c r="D46" s="116" t="s">
        <v>138</v>
      </c>
      <c r="E46" s="119"/>
      <c r="F46" s="117">
        <v>0</v>
      </c>
      <c r="G46" s="117">
        <v>0</v>
      </c>
      <c r="H46" s="68">
        <v>0</v>
      </c>
      <c r="I46" s="122"/>
      <c r="J46" s="179">
        <f t="shared" si="2"/>
        <v>0</v>
      </c>
    </row>
    <row r="47" spans="1:10" s="68" customFormat="1" ht="18" customHeight="1" thickBot="1">
      <c r="A47" s="68" t="s">
        <v>250</v>
      </c>
      <c r="B47" s="157" t="s">
        <v>260</v>
      </c>
      <c r="C47" s="68" t="str">
        <f t="shared" si="9"/>
        <v>1X1Y-NG-Anaerobic Digestion</v>
      </c>
      <c r="D47" s="260" t="s">
        <v>315</v>
      </c>
      <c r="E47" s="261"/>
      <c r="F47" s="134">
        <v>0</v>
      </c>
      <c r="G47" s="259">
        <v>0</v>
      </c>
      <c r="I47" s="135"/>
      <c r="J47" s="179">
        <f t="shared" si="2"/>
        <v>0</v>
      </c>
    </row>
    <row r="48" spans="1:10" s="68" customFormat="1" ht="18" customHeight="1">
      <c r="D48" s="109" t="s">
        <v>111</v>
      </c>
      <c r="E48" s="109" t="s">
        <v>132</v>
      </c>
      <c r="F48" s="128" t="s">
        <v>112</v>
      </c>
      <c r="G48" s="109" t="s">
        <v>211</v>
      </c>
      <c r="I48" s="122"/>
      <c r="J48" s="179" t="str">
        <f t="shared" si="2"/>
        <v>Cleaning Costs, $/5 yrs</v>
      </c>
    </row>
    <row r="49" spans="1:10" s="68" customFormat="1" ht="18" customHeight="1">
      <c r="D49" s="112" t="s">
        <v>128</v>
      </c>
      <c r="E49" s="113"/>
      <c r="F49" s="136"/>
      <c r="G49" s="137"/>
      <c r="I49" s="122"/>
      <c r="J49" s="179">
        <f t="shared" si="2"/>
        <v>0</v>
      </c>
    </row>
    <row r="50" spans="1:10" s="68" customFormat="1" ht="18" customHeight="1" thickBot="1">
      <c r="A50" s="68" t="s">
        <v>250</v>
      </c>
      <c r="B50" s="68" t="s">
        <v>278</v>
      </c>
      <c r="C50" s="68" t="str">
        <f>A50&amp;"-"&amp;B50&amp;"-"&amp;D50</f>
        <v>1X1Y-ExtraOrd-Anaerobic Digestion-Clean-up</v>
      </c>
      <c r="D50" s="260" t="s">
        <v>168</v>
      </c>
      <c r="E50" s="262" t="s">
        <v>212</v>
      </c>
      <c r="F50" s="259" t="s">
        <v>213</v>
      </c>
      <c r="G50" s="263">
        <v>19000</v>
      </c>
      <c r="I50" s="135"/>
      <c r="J50" s="179">
        <f t="shared" si="2"/>
        <v>19000</v>
      </c>
    </row>
    <row r="51" spans="1:10" s="68" customFormat="1" ht="18" customHeight="1">
      <c r="D51" s="109" t="s">
        <v>111</v>
      </c>
      <c r="E51" s="109"/>
      <c r="F51" s="128" t="s">
        <v>112</v>
      </c>
      <c r="G51" s="109" t="s">
        <v>197</v>
      </c>
      <c r="I51" s="122"/>
      <c r="J51" s="179" t="str">
        <f t="shared" si="2"/>
        <v>Annual Costs, $/yr</v>
      </c>
    </row>
    <row r="52" spans="1:10" s="68" customFormat="1" ht="18" customHeight="1">
      <c r="D52" s="123" t="s">
        <v>214</v>
      </c>
      <c r="E52" s="138"/>
      <c r="F52" s="138"/>
      <c r="G52" s="138"/>
      <c r="I52" s="122"/>
      <c r="J52" s="179">
        <f t="shared" si="2"/>
        <v>0</v>
      </c>
    </row>
    <row r="53" spans="1:10" s="68" customFormat="1" ht="18" customHeight="1">
      <c r="A53" s="68" t="s">
        <v>250</v>
      </c>
      <c r="B53" s="68" t="s">
        <v>261</v>
      </c>
      <c r="C53" s="68" t="str">
        <f t="shared" ref="C53:C55" si="10">A53&amp;"-"&amp;B53&amp;"-"&amp;D53</f>
        <v>1X1Y-Dispo-Gas Cleaning Spent Media Disposal</v>
      </c>
      <c r="D53" s="139" t="s">
        <v>215</v>
      </c>
      <c r="E53" s="119"/>
      <c r="F53" s="117"/>
      <c r="G53" s="126">
        <v>30000</v>
      </c>
      <c r="I53" s="140" t="s">
        <v>216</v>
      </c>
      <c r="J53" s="179">
        <f t="shared" si="2"/>
        <v>30000</v>
      </c>
    </row>
    <row r="54" spans="1:10" s="103" customFormat="1" ht="18" customHeight="1">
      <c r="A54" s="68" t="s">
        <v>250</v>
      </c>
      <c r="B54" s="68" t="s">
        <v>261</v>
      </c>
      <c r="C54" s="68" t="str">
        <f t="shared" si="10"/>
        <v>1X1Y-Dispo-Land Application of Biosolids</v>
      </c>
      <c r="D54" s="116" t="s">
        <v>217</v>
      </c>
      <c r="E54" s="141"/>
      <c r="F54" s="142" t="s">
        <v>218</v>
      </c>
      <c r="G54" s="126">
        <v>163000</v>
      </c>
      <c r="I54" s="143" t="s">
        <v>219</v>
      </c>
      <c r="J54" s="179">
        <f t="shared" si="2"/>
        <v>163000</v>
      </c>
    </row>
    <row r="55" spans="1:10" s="103" customFormat="1" ht="18" customHeight="1" thickBot="1">
      <c r="A55" s="68" t="s">
        <v>250</v>
      </c>
      <c r="B55" s="68" t="s">
        <v>261</v>
      </c>
      <c r="C55" s="68" t="str">
        <f t="shared" si="10"/>
        <v>1X1Y-Dispo-Landfill Disposal of Biosolids</v>
      </c>
      <c r="D55" s="144" t="s">
        <v>220</v>
      </c>
      <c r="E55" s="145"/>
      <c r="F55" s="146" t="s">
        <v>221</v>
      </c>
      <c r="G55" s="127">
        <v>293000</v>
      </c>
      <c r="I55" s="147"/>
      <c r="J55" s="179">
        <f t="shared" si="2"/>
        <v>293000</v>
      </c>
    </row>
    <row r="56" spans="1:10" s="68" customFormat="1" ht="18" customHeight="1">
      <c r="D56" s="109" t="s">
        <v>111</v>
      </c>
      <c r="E56" s="109"/>
      <c r="F56" s="128" t="s">
        <v>112</v>
      </c>
      <c r="G56" s="109" t="s">
        <v>197</v>
      </c>
      <c r="I56" s="122"/>
      <c r="J56" s="179" t="str">
        <f t="shared" si="2"/>
        <v>Annual Costs, $/yr</v>
      </c>
    </row>
    <row r="57" spans="1:10" s="68" customFormat="1" ht="18" customHeight="1">
      <c r="D57" s="148" t="s">
        <v>222</v>
      </c>
      <c r="E57" s="149"/>
      <c r="F57" s="150" t="s">
        <v>157</v>
      </c>
      <c r="G57" s="150" t="s">
        <v>223</v>
      </c>
      <c r="J57" s="179" t="str">
        <f t="shared" si="2"/>
        <v>kWh/yr</v>
      </c>
    </row>
    <row r="58" spans="1:10" s="68" customFormat="1" ht="18" customHeight="1" thickBot="1">
      <c r="A58" s="68" t="s">
        <v>250</v>
      </c>
      <c r="B58" s="157" t="s">
        <v>264</v>
      </c>
      <c r="C58" s="68" t="str">
        <f>A58&amp;"-"&amp;B58&amp;"-"&amp;D58</f>
        <v>1X1Y-kWhProd-Electricity Production from CHP</v>
      </c>
      <c r="D58" s="151" t="s">
        <v>224</v>
      </c>
      <c r="E58" s="246" t="s">
        <v>225</v>
      </c>
      <c r="F58" s="152">
        <v>6800</v>
      </c>
      <c r="G58" s="152">
        <f>ROUND(F58*365,-1)</f>
        <v>2482000</v>
      </c>
      <c r="J58" s="179">
        <f t="shared" si="2"/>
        <v>2482000</v>
      </c>
    </row>
    <row r="59" spans="1:10" s="103" customFormat="1" ht="18" customHeight="1">
      <c r="D59" s="248"/>
      <c r="E59" s="153"/>
      <c r="F59" s="153"/>
      <c r="G59" s="153"/>
      <c r="J59" s="179">
        <f t="shared" si="2"/>
        <v>0</v>
      </c>
    </row>
    <row r="60" spans="1:10" s="104" customFormat="1" ht="18" customHeight="1" thickBot="1">
      <c r="J60" s="179">
        <f t="shared" si="2"/>
        <v>0</v>
      </c>
    </row>
    <row r="61" spans="1:10" s="104" customFormat="1" ht="18" customHeight="1" thickBot="1">
      <c r="D61" s="250" t="s">
        <v>226</v>
      </c>
      <c r="E61" s="250"/>
      <c r="F61" s="250"/>
      <c r="G61" s="250"/>
      <c r="J61" s="179">
        <f t="shared" si="2"/>
        <v>0</v>
      </c>
    </row>
    <row r="62" spans="1:10" s="68" customFormat="1" ht="10.35" customHeight="1" thickBot="1">
      <c r="D62" s="251"/>
      <c r="E62" s="251"/>
      <c r="F62" s="251"/>
      <c r="G62" s="251"/>
      <c r="J62" s="179">
        <f t="shared" si="2"/>
        <v>0</v>
      </c>
    </row>
    <row r="63" spans="1:10" s="68" customFormat="1" ht="18" customHeight="1">
      <c r="D63" s="109" t="s">
        <v>111</v>
      </c>
      <c r="E63" s="109" t="s">
        <v>132</v>
      </c>
      <c r="F63" s="109" t="s">
        <v>157</v>
      </c>
      <c r="G63" s="109" t="s">
        <v>158</v>
      </c>
      <c r="I63" s="111" t="s">
        <v>159</v>
      </c>
      <c r="J63" s="179" t="str">
        <f t="shared" si="2"/>
        <v>Total - kWh/yr</v>
      </c>
    </row>
    <row r="64" spans="1:10" s="68" customFormat="1" ht="18" customHeight="1">
      <c r="D64" s="112" t="s">
        <v>6</v>
      </c>
      <c r="E64" s="113"/>
      <c r="F64" s="113"/>
      <c r="G64" s="113"/>
      <c r="I64" s="115"/>
      <c r="J64" s="179">
        <f t="shared" si="2"/>
        <v>0</v>
      </c>
    </row>
    <row r="65" spans="1:10" s="68" customFormat="1" ht="18" customHeight="1">
      <c r="A65" s="68" t="s">
        <v>280</v>
      </c>
      <c r="B65" s="68" t="s">
        <v>256</v>
      </c>
      <c r="C65" s="68" t="str">
        <f t="shared" ref="C65:C72" si="11">A65&amp;"-"&amp;B65&amp;"-"&amp;D65</f>
        <v>2X2Y-kWh-Gravity Thickener</v>
      </c>
      <c r="D65" s="116" t="s">
        <v>29</v>
      </c>
      <c r="E65" s="248" t="s">
        <v>30</v>
      </c>
      <c r="F65" s="117">
        <v>23</v>
      </c>
      <c r="G65" s="118">
        <f>ROUND(F65*365,-1)</f>
        <v>8400</v>
      </c>
      <c r="I65" s="119"/>
      <c r="J65" s="179">
        <f t="shared" si="2"/>
        <v>8400</v>
      </c>
    </row>
    <row r="66" spans="1:10" s="68" customFormat="1" ht="18" customHeight="1">
      <c r="A66" s="68" t="s">
        <v>280</v>
      </c>
      <c r="B66" s="68" t="s">
        <v>256</v>
      </c>
      <c r="C66" s="68" t="str">
        <f t="shared" si="11"/>
        <v>2X2Y-kWh-Gravity Belt Thickener</v>
      </c>
      <c r="D66" s="120" t="s">
        <v>135</v>
      </c>
      <c r="E66" s="248" t="s">
        <v>30</v>
      </c>
      <c r="F66" s="117">
        <v>158</v>
      </c>
      <c r="G66" s="118">
        <f t="shared" ref="G66:G72" si="12">ROUND(F66*365,-1)</f>
        <v>57670</v>
      </c>
      <c r="J66" s="179">
        <f t="shared" si="2"/>
        <v>57670</v>
      </c>
    </row>
    <row r="67" spans="1:10" s="68" customFormat="1" ht="18" customHeight="1">
      <c r="A67" s="68" t="s">
        <v>280</v>
      </c>
      <c r="B67" s="68" t="s">
        <v>256</v>
      </c>
      <c r="C67" s="68" t="str">
        <f t="shared" si="11"/>
        <v>2X2Y-kWh-FOG Receiving</v>
      </c>
      <c r="D67" s="116" t="s">
        <v>161</v>
      </c>
      <c r="E67" s="248" t="s">
        <v>30</v>
      </c>
      <c r="F67" s="117">
        <v>290</v>
      </c>
      <c r="G67" s="118">
        <f t="shared" si="12"/>
        <v>105850</v>
      </c>
      <c r="J67" s="179">
        <f t="shared" si="2"/>
        <v>105850</v>
      </c>
    </row>
    <row r="68" spans="1:10" s="68" customFormat="1" ht="18" customHeight="1">
      <c r="A68" s="68" t="s">
        <v>280</v>
      </c>
      <c r="B68" s="68" t="s">
        <v>256</v>
      </c>
      <c r="C68" s="68" t="str">
        <f t="shared" si="11"/>
        <v>2X2Y-kWh-Anaerobic Digestion</v>
      </c>
      <c r="D68" s="120" t="s">
        <v>315</v>
      </c>
      <c r="E68" s="248" t="s">
        <v>30</v>
      </c>
      <c r="F68" s="118">
        <v>1575</v>
      </c>
      <c r="G68" s="118">
        <f t="shared" si="12"/>
        <v>574880</v>
      </c>
      <c r="J68" s="179">
        <f t="shared" si="2"/>
        <v>574880</v>
      </c>
    </row>
    <row r="69" spans="1:10" s="68" customFormat="1" ht="54" customHeight="1">
      <c r="A69" s="68" t="s">
        <v>280</v>
      </c>
      <c r="B69" s="68" t="s">
        <v>256</v>
      </c>
      <c r="C69" s="68" t="str">
        <f t="shared" si="11"/>
        <v>2X2Y-kWh-Gas Cleaning</v>
      </c>
      <c r="D69" s="116" t="s">
        <v>162</v>
      </c>
      <c r="E69" s="245" t="s">
        <v>31</v>
      </c>
      <c r="F69" s="117">
        <v>537</v>
      </c>
      <c r="G69" s="118">
        <f t="shared" si="12"/>
        <v>196010</v>
      </c>
      <c r="I69" s="253" t="s">
        <v>32</v>
      </c>
      <c r="J69" s="179">
        <f t="shared" si="2"/>
        <v>196010</v>
      </c>
    </row>
    <row r="70" spans="1:10" s="68" customFormat="1" ht="36" customHeight="1">
      <c r="A70" s="68" t="s">
        <v>280</v>
      </c>
      <c r="B70" s="68" t="s">
        <v>256</v>
      </c>
      <c r="C70" s="68" t="str">
        <f t="shared" si="11"/>
        <v>2X2Y-kWh-CHP</v>
      </c>
      <c r="D70" s="116" t="s">
        <v>318</v>
      </c>
      <c r="E70" s="245" t="s">
        <v>33</v>
      </c>
      <c r="F70" s="117" t="s">
        <v>34</v>
      </c>
      <c r="G70" s="118" t="s">
        <v>34</v>
      </c>
      <c r="I70" s="119"/>
      <c r="J70" s="179" t="str">
        <f t="shared" si="2"/>
        <v xml:space="preserve"> --</v>
      </c>
    </row>
    <row r="71" spans="1:10" s="68" customFormat="1" ht="18" customHeight="1">
      <c r="A71" s="68" t="s">
        <v>280</v>
      </c>
      <c r="B71" s="68" t="s">
        <v>256</v>
      </c>
      <c r="C71" s="68" t="str">
        <f t="shared" si="11"/>
        <v>2X2Y-kWh-Belt Filter Press Dewatering</v>
      </c>
      <c r="D71" s="120" t="s">
        <v>143</v>
      </c>
      <c r="E71" s="248" t="s">
        <v>30</v>
      </c>
      <c r="F71" s="117">
        <v>89</v>
      </c>
      <c r="G71" s="118">
        <f t="shared" si="12"/>
        <v>32490</v>
      </c>
      <c r="J71" s="179">
        <f t="shared" ref="J71:J134" si="13">G71</f>
        <v>32490</v>
      </c>
    </row>
    <row r="72" spans="1:10" s="68" customFormat="1" ht="18" customHeight="1" thickBot="1">
      <c r="A72" s="68" t="s">
        <v>280</v>
      </c>
      <c r="B72" s="68" t="s">
        <v>256</v>
      </c>
      <c r="C72" s="68" t="str">
        <f t="shared" si="11"/>
        <v>2X2Y-kWh-Cake Storage/Load Out</v>
      </c>
      <c r="D72" s="257" t="s">
        <v>316</v>
      </c>
      <c r="E72" s="258" t="s">
        <v>35</v>
      </c>
      <c r="F72" s="259">
        <f>ROUND(60*2*1*0.746,-1)</f>
        <v>90</v>
      </c>
      <c r="G72" s="118">
        <f t="shared" si="12"/>
        <v>32850</v>
      </c>
      <c r="I72" s="121" t="s">
        <v>227</v>
      </c>
      <c r="J72" s="179">
        <f t="shared" si="13"/>
        <v>32850</v>
      </c>
    </row>
    <row r="73" spans="1:10" s="68" customFormat="1" ht="18" customHeight="1">
      <c r="D73" s="109" t="s">
        <v>111</v>
      </c>
      <c r="E73" s="109" t="s">
        <v>132</v>
      </c>
      <c r="F73" s="109"/>
      <c r="G73" s="110" t="s">
        <v>37</v>
      </c>
      <c r="I73" s="122"/>
      <c r="J73" s="179" t="str">
        <f t="shared" si="13"/>
        <v>Total - h/yr</v>
      </c>
    </row>
    <row r="74" spans="1:10" s="103" customFormat="1" ht="18" customHeight="1">
      <c r="D74" s="123" t="s">
        <v>129</v>
      </c>
      <c r="E74" s="124" t="s">
        <v>38</v>
      </c>
      <c r="F74" s="124" t="s">
        <v>126</v>
      </c>
      <c r="G74" s="124" t="s">
        <v>39</v>
      </c>
      <c r="I74" s="119"/>
      <c r="J74" s="179" t="str">
        <f t="shared" si="13"/>
        <v>Ops + Maintenance</v>
      </c>
    </row>
    <row r="75" spans="1:10" s="68" customFormat="1" ht="18" customHeight="1">
      <c r="A75" s="68" t="s">
        <v>280</v>
      </c>
      <c r="B75" s="157" t="s">
        <v>258</v>
      </c>
      <c r="C75" s="68" t="str">
        <f t="shared" ref="C75:C82" si="14">A75&amp;"-"&amp;B75&amp;"-"&amp;D75</f>
        <v>2X2Y-Hrs-Gravity Thickener</v>
      </c>
      <c r="D75" s="116" t="s">
        <v>29</v>
      </c>
      <c r="E75" s="248" t="s">
        <v>40</v>
      </c>
      <c r="F75" s="248" t="s">
        <v>41</v>
      </c>
      <c r="G75" s="118">
        <f>(3+1)*365</f>
        <v>1460</v>
      </c>
      <c r="I75" s="1136" t="s">
        <v>42</v>
      </c>
      <c r="J75" s="179">
        <f t="shared" si="13"/>
        <v>1460</v>
      </c>
    </row>
    <row r="76" spans="1:10" s="68" customFormat="1" ht="18" customHeight="1">
      <c r="A76" s="68" t="s">
        <v>280</v>
      </c>
      <c r="B76" s="157" t="s">
        <v>258</v>
      </c>
      <c r="C76" s="68" t="str">
        <f t="shared" si="14"/>
        <v>2X2Y-Hrs-Gravity Belt Thickener</v>
      </c>
      <c r="D76" s="120" t="s">
        <v>135</v>
      </c>
      <c r="E76" s="248" t="s">
        <v>43</v>
      </c>
      <c r="F76" s="248" t="s">
        <v>184</v>
      </c>
      <c r="G76" s="118">
        <f>(12+2)*365</f>
        <v>5110</v>
      </c>
      <c r="I76" s="1136"/>
      <c r="J76" s="179">
        <f t="shared" si="13"/>
        <v>5110</v>
      </c>
    </row>
    <row r="77" spans="1:10" s="68" customFormat="1" ht="18" customHeight="1">
      <c r="A77" s="68" t="s">
        <v>280</v>
      </c>
      <c r="B77" s="157" t="s">
        <v>258</v>
      </c>
      <c r="C77" s="68" t="str">
        <f t="shared" si="14"/>
        <v>2X2Y-Hrs-FOG Receiving</v>
      </c>
      <c r="D77" s="116" t="s">
        <v>161</v>
      </c>
      <c r="E77" s="248" t="s">
        <v>228</v>
      </c>
      <c r="F77" s="248" t="s">
        <v>41</v>
      </c>
      <c r="G77" s="118">
        <f>(8+1)*365</f>
        <v>3285</v>
      </c>
      <c r="I77" s="1136"/>
      <c r="J77" s="179">
        <f t="shared" si="13"/>
        <v>3285</v>
      </c>
    </row>
    <row r="78" spans="1:10" s="68" customFormat="1" ht="18" customHeight="1">
      <c r="A78" s="68" t="s">
        <v>280</v>
      </c>
      <c r="B78" s="157" t="s">
        <v>258</v>
      </c>
      <c r="C78" s="68" t="str">
        <f t="shared" si="14"/>
        <v>2X2Y-Hrs-Anaerobic Digestion</v>
      </c>
      <c r="D78" s="120" t="s">
        <v>315</v>
      </c>
      <c r="E78" s="248" t="s">
        <v>40</v>
      </c>
      <c r="F78" s="248" t="s">
        <v>186</v>
      </c>
      <c r="G78" s="118">
        <f>(3+4)*365</f>
        <v>2555</v>
      </c>
      <c r="I78" s="1136"/>
      <c r="J78" s="179">
        <f t="shared" si="13"/>
        <v>2555</v>
      </c>
    </row>
    <row r="79" spans="1:10" s="68" customFormat="1" ht="18" customHeight="1">
      <c r="A79" s="68" t="s">
        <v>280</v>
      </c>
      <c r="B79" s="157" t="s">
        <v>258</v>
      </c>
      <c r="C79" s="68" t="str">
        <f t="shared" si="14"/>
        <v>2X2Y-Hrs-Gas Cleaning</v>
      </c>
      <c r="D79" s="116" t="s">
        <v>162</v>
      </c>
      <c r="E79" s="248" t="s">
        <v>40</v>
      </c>
      <c r="F79" s="248" t="s">
        <v>41</v>
      </c>
      <c r="G79" s="118">
        <f t="shared" ref="G79:G80" si="15">(3+1)*365</f>
        <v>1460</v>
      </c>
      <c r="I79" s="1136"/>
      <c r="J79" s="179">
        <f t="shared" si="13"/>
        <v>1460</v>
      </c>
    </row>
    <row r="80" spans="1:10" s="68" customFormat="1" ht="18" customHeight="1">
      <c r="A80" s="68" t="s">
        <v>280</v>
      </c>
      <c r="B80" s="157" t="s">
        <v>258</v>
      </c>
      <c r="C80" s="68" t="str">
        <f t="shared" si="14"/>
        <v>2X2Y-Hrs-CHP</v>
      </c>
      <c r="D80" s="116" t="s">
        <v>318</v>
      </c>
      <c r="E80" s="248" t="s">
        <v>187</v>
      </c>
      <c r="F80" s="248" t="s">
        <v>188</v>
      </c>
      <c r="G80" s="118">
        <f t="shared" si="15"/>
        <v>1460</v>
      </c>
      <c r="I80" s="1136"/>
      <c r="J80" s="179">
        <f t="shared" si="13"/>
        <v>1460</v>
      </c>
    </row>
    <row r="81" spans="1:10" s="68" customFormat="1" ht="18" customHeight="1">
      <c r="A81" s="68" t="s">
        <v>280</v>
      </c>
      <c r="B81" s="157" t="s">
        <v>258</v>
      </c>
      <c r="C81" s="68" t="str">
        <f t="shared" si="14"/>
        <v>2X2Y-Hrs-Belt Filter Press Dewatering</v>
      </c>
      <c r="D81" s="120" t="s">
        <v>143</v>
      </c>
      <c r="E81" s="248" t="s">
        <v>43</v>
      </c>
      <c r="F81" s="248" t="s">
        <v>184</v>
      </c>
      <c r="G81" s="118">
        <f>(12+2)*365</f>
        <v>5110</v>
      </c>
      <c r="I81" s="1136"/>
      <c r="J81" s="179">
        <f t="shared" si="13"/>
        <v>5110</v>
      </c>
    </row>
    <row r="82" spans="1:10" s="68" customFormat="1" ht="18" customHeight="1" thickBot="1">
      <c r="A82" s="68" t="s">
        <v>280</v>
      </c>
      <c r="B82" s="157" t="s">
        <v>258</v>
      </c>
      <c r="C82" s="68" t="str">
        <f t="shared" si="14"/>
        <v>2X2Y-Hrs-Cake Storage/Load Out</v>
      </c>
      <c r="D82" s="257" t="s">
        <v>316</v>
      </c>
      <c r="E82" s="248" t="s">
        <v>189</v>
      </c>
      <c r="F82" s="248" t="s">
        <v>190</v>
      </c>
      <c r="G82" s="118">
        <f>(3+0.5)*365</f>
        <v>1277.5</v>
      </c>
      <c r="I82" s="1137"/>
      <c r="J82" s="179">
        <f t="shared" si="13"/>
        <v>1277.5</v>
      </c>
    </row>
    <row r="83" spans="1:10" s="68" customFormat="1" ht="18" customHeight="1">
      <c r="D83" s="109" t="s">
        <v>111</v>
      </c>
      <c r="E83" s="109" t="s">
        <v>132</v>
      </c>
      <c r="F83" s="109" t="s">
        <v>191</v>
      </c>
      <c r="G83" s="109" t="s">
        <v>192</v>
      </c>
      <c r="I83" s="253"/>
      <c r="J83" s="179" t="str">
        <f t="shared" si="13"/>
        <v>Maintenance, $/yr</v>
      </c>
    </row>
    <row r="84" spans="1:10" s="68" customFormat="1" ht="18" customHeight="1">
      <c r="D84" s="112" t="s">
        <v>193</v>
      </c>
      <c r="E84" s="125"/>
      <c r="F84" s="113"/>
      <c r="G84" s="113"/>
      <c r="I84" s="122"/>
      <c r="J84" s="179">
        <f t="shared" si="13"/>
        <v>0</v>
      </c>
    </row>
    <row r="85" spans="1:10" s="68" customFormat="1" ht="18" customHeight="1">
      <c r="A85" s="68" t="s">
        <v>280</v>
      </c>
      <c r="B85" s="157" t="s">
        <v>269</v>
      </c>
      <c r="C85" s="68" t="str">
        <f t="shared" ref="C85:C92" si="16">A85&amp;"-"&amp;B85&amp;"-"&amp;D85</f>
        <v>2X2Y-OMM-Gravity Thickener</v>
      </c>
      <c r="D85" s="116" t="s">
        <v>29</v>
      </c>
      <c r="E85" s="248" t="s">
        <v>194</v>
      </c>
      <c r="F85" s="723">
        <v>1029000</v>
      </c>
      <c r="G85" s="126">
        <f>ROUND(F85*0.01,-3)</f>
        <v>10000</v>
      </c>
      <c r="I85" s="1136" t="s">
        <v>195</v>
      </c>
      <c r="J85" s="179">
        <f t="shared" si="13"/>
        <v>10000</v>
      </c>
    </row>
    <row r="86" spans="1:10" s="68" customFormat="1" ht="18" customHeight="1">
      <c r="A86" s="68" t="s">
        <v>280</v>
      </c>
      <c r="B86" s="157" t="s">
        <v>269</v>
      </c>
      <c r="C86" s="68" t="str">
        <f t="shared" si="16"/>
        <v>2X2Y-OMM-Gravity Belt Thickener</v>
      </c>
      <c r="D86" s="120" t="s">
        <v>135</v>
      </c>
      <c r="E86" s="248" t="s">
        <v>196</v>
      </c>
      <c r="F86" s="126">
        <v>1262000</v>
      </c>
      <c r="G86" s="126">
        <f t="shared" ref="G86:G92" si="17">ROUND(F86*0.02,-3)</f>
        <v>25000</v>
      </c>
      <c r="I86" s="1136"/>
      <c r="J86" s="179">
        <f t="shared" si="13"/>
        <v>25000</v>
      </c>
    </row>
    <row r="87" spans="1:10" s="68" customFormat="1" ht="18" customHeight="1">
      <c r="A87" s="68" t="s">
        <v>280</v>
      </c>
      <c r="B87" s="157" t="s">
        <v>269</v>
      </c>
      <c r="C87" s="68" t="str">
        <f t="shared" si="16"/>
        <v>2X2Y-OMM-FOG Receiving</v>
      </c>
      <c r="D87" s="116" t="s">
        <v>161</v>
      </c>
      <c r="E87" s="248" t="s">
        <v>196</v>
      </c>
      <c r="F87" s="126">
        <v>600000</v>
      </c>
      <c r="G87" s="126">
        <f t="shared" si="17"/>
        <v>12000</v>
      </c>
      <c r="I87" s="1136"/>
      <c r="J87" s="179">
        <f t="shared" si="13"/>
        <v>12000</v>
      </c>
    </row>
    <row r="88" spans="1:10" s="68" customFormat="1" ht="18" customHeight="1">
      <c r="A88" s="68" t="s">
        <v>280</v>
      </c>
      <c r="B88" s="157" t="s">
        <v>269</v>
      </c>
      <c r="C88" s="68" t="str">
        <f t="shared" si="16"/>
        <v>2X2Y-OMM-Anaerobic Digestion</v>
      </c>
      <c r="D88" s="120" t="s">
        <v>315</v>
      </c>
      <c r="E88" s="248" t="s">
        <v>196</v>
      </c>
      <c r="F88" s="126">
        <v>4738000</v>
      </c>
      <c r="G88" s="126">
        <f t="shared" si="17"/>
        <v>95000</v>
      </c>
      <c r="I88" s="1136"/>
      <c r="J88" s="179">
        <f t="shared" si="13"/>
        <v>95000</v>
      </c>
    </row>
    <row r="89" spans="1:10" s="68" customFormat="1" ht="18" customHeight="1">
      <c r="A89" s="68" t="s">
        <v>280</v>
      </c>
      <c r="B89" s="157" t="s">
        <v>269</v>
      </c>
      <c r="C89" s="68" t="str">
        <f t="shared" si="16"/>
        <v>2X2Y-OMM-Gas Cleaning</v>
      </c>
      <c r="D89" s="116" t="s">
        <v>162</v>
      </c>
      <c r="E89" s="248" t="s">
        <v>196</v>
      </c>
      <c r="F89" s="126">
        <v>660000</v>
      </c>
      <c r="G89" s="126">
        <f t="shared" si="17"/>
        <v>13000</v>
      </c>
      <c r="I89" s="1136"/>
      <c r="J89" s="179">
        <f t="shared" si="13"/>
        <v>13000</v>
      </c>
    </row>
    <row r="90" spans="1:10" s="68" customFormat="1" ht="18" customHeight="1">
      <c r="A90" s="68" t="s">
        <v>280</v>
      </c>
      <c r="B90" s="157" t="s">
        <v>269</v>
      </c>
      <c r="C90" s="68" t="str">
        <f t="shared" si="16"/>
        <v>2X2Y-OMM-CHP</v>
      </c>
      <c r="D90" s="116" t="s">
        <v>318</v>
      </c>
      <c r="E90" s="248" t="s">
        <v>196</v>
      </c>
      <c r="F90" s="126">
        <v>725000</v>
      </c>
      <c r="G90" s="126">
        <f t="shared" si="17"/>
        <v>15000</v>
      </c>
      <c r="I90" s="1136"/>
      <c r="J90" s="179">
        <f t="shared" si="13"/>
        <v>15000</v>
      </c>
    </row>
    <row r="91" spans="1:10" s="68" customFormat="1" ht="18" customHeight="1">
      <c r="A91" s="68" t="s">
        <v>280</v>
      </c>
      <c r="B91" s="157" t="s">
        <v>269</v>
      </c>
      <c r="C91" s="68" t="str">
        <f t="shared" si="16"/>
        <v>2X2Y-OMM-Belt Filter Press Dewatering</v>
      </c>
      <c r="D91" s="120" t="s">
        <v>143</v>
      </c>
      <c r="E91" s="248" t="s">
        <v>196</v>
      </c>
      <c r="F91" s="126">
        <v>1837000</v>
      </c>
      <c r="G91" s="126">
        <f t="shared" si="17"/>
        <v>37000</v>
      </c>
      <c r="I91" s="1136"/>
      <c r="J91" s="179">
        <f t="shared" si="13"/>
        <v>37000</v>
      </c>
    </row>
    <row r="92" spans="1:10" s="68" customFormat="1" ht="18" customHeight="1" thickBot="1">
      <c r="A92" s="68" t="s">
        <v>280</v>
      </c>
      <c r="B92" s="157" t="s">
        <v>269</v>
      </c>
      <c r="C92" s="68" t="str">
        <f t="shared" si="16"/>
        <v>2X2Y-OMM-Cake Storage</v>
      </c>
      <c r="D92" s="264" t="s">
        <v>317</v>
      </c>
      <c r="E92" s="258" t="s">
        <v>196</v>
      </c>
      <c r="F92" s="263">
        <v>2933000</v>
      </c>
      <c r="G92" s="263">
        <f t="shared" si="17"/>
        <v>59000</v>
      </c>
      <c r="I92" s="1136"/>
      <c r="J92" s="179">
        <f t="shared" si="13"/>
        <v>59000</v>
      </c>
    </row>
    <row r="93" spans="1:10" s="68" customFormat="1" ht="18" customHeight="1">
      <c r="D93" s="109" t="s">
        <v>111</v>
      </c>
      <c r="E93" s="109" t="s">
        <v>132</v>
      </c>
      <c r="F93" s="128" t="s">
        <v>112</v>
      </c>
      <c r="G93" s="109" t="s">
        <v>197</v>
      </c>
      <c r="I93" s="122"/>
      <c r="J93" s="179" t="str">
        <f t="shared" si="13"/>
        <v>Annual Costs, $/yr</v>
      </c>
    </row>
    <row r="94" spans="1:10" s="68" customFormat="1" ht="18" customHeight="1">
      <c r="D94" s="112" t="s">
        <v>127</v>
      </c>
      <c r="E94" s="113"/>
      <c r="F94" s="129"/>
      <c r="G94" s="130"/>
      <c r="I94" s="122"/>
      <c r="J94" s="179">
        <f t="shared" si="13"/>
        <v>0</v>
      </c>
    </row>
    <row r="95" spans="1:10" s="68" customFormat="1" ht="18" customHeight="1">
      <c r="A95" s="68" t="s">
        <v>280</v>
      </c>
      <c r="B95" s="157" t="s">
        <v>259</v>
      </c>
      <c r="C95" s="68" t="str">
        <f t="shared" ref="C95:C97" si="18">A95&amp;"-"&amp;B95&amp;"-"&amp;D95</f>
        <v>2X2Y-Chem-Gravity Belt Thickener</v>
      </c>
      <c r="D95" s="120" t="s">
        <v>135</v>
      </c>
      <c r="E95" s="248" t="s">
        <v>198</v>
      </c>
      <c r="F95" s="724" t="s">
        <v>199</v>
      </c>
      <c r="G95" s="126">
        <v>30000</v>
      </c>
      <c r="J95" s="179">
        <f t="shared" si="13"/>
        <v>30000</v>
      </c>
    </row>
    <row r="96" spans="1:10" s="68" customFormat="1" ht="18" customHeight="1">
      <c r="A96" s="68" t="s">
        <v>280</v>
      </c>
      <c r="B96" s="157" t="s">
        <v>259</v>
      </c>
      <c r="C96" s="68" t="str">
        <f t="shared" si="18"/>
        <v>2X2Y-Chem-Belt Filter Press Dewatering</v>
      </c>
      <c r="D96" s="120" t="s">
        <v>143</v>
      </c>
      <c r="E96" s="248" t="s">
        <v>229</v>
      </c>
      <c r="F96" s="724" t="s">
        <v>199</v>
      </c>
      <c r="G96" s="126">
        <v>101000</v>
      </c>
      <c r="J96" s="179">
        <f t="shared" si="13"/>
        <v>101000</v>
      </c>
    </row>
    <row r="97" spans="1:10" s="68" customFormat="1" ht="54" customHeight="1" thickBot="1">
      <c r="A97" s="68" t="s">
        <v>280</v>
      </c>
      <c r="B97" s="157" t="s">
        <v>259</v>
      </c>
      <c r="C97" s="68" t="str">
        <f t="shared" si="18"/>
        <v>2X2Y-Chem-Odor Control Chemicals</v>
      </c>
      <c r="D97" s="116" t="s">
        <v>204</v>
      </c>
      <c r="E97" s="132" t="s">
        <v>205</v>
      </c>
      <c r="F97" s="131"/>
      <c r="G97" s="126">
        <v>132000</v>
      </c>
      <c r="I97" s="252" t="s">
        <v>230</v>
      </c>
      <c r="J97" s="179">
        <f t="shared" si="13"/>
        <v>132000</v>
      </c>
    </row>
    <row r="98" spans="1:10" s="68" customFormat="1" ht="18" customHeight="1">
      <c r="D98" s="109" t="s">
        <v>111</v>
      </c>
      <c r="E98" s="109" t="s">
        <v>132</v>
      </c>
      <c r="F98" s="109" t="s">
        <v>207</v>
      </c>
      <c r="G98" s="109"/>
      <c r="I98" s="122"/>
      <c r="J98" s="179">
        <f t="shared" si="13"/>
        <v>0</v>
      </c>
    </row>
    <row r="99" spans="1:10" s="68" customFormat="1" ht="18" customHeight="1">
      <c r="D99" s="112" t="s">
        <v>208</v>
      </c>
      <c r="E99" s="113"/>
      <c r="F99" s="133" t="s">
        <v>209</v>
      </c>
      <c r="G99" s="133" t="s">
        <v>210</v>
      </c>
      <c r="I99" s="122"/>
      <c r="J99" s="179" t="str">
        <f t="shared" si="13"/>
        <v>MJ/yr</v>
      </c>
    </row>
    <row r="100" spans="1:10" s="68" customFormat="1" ht="18" customHeight="1" thickBot="1">
      <c r="A100" s="68" t="s">
        <v>280</v>
      </c>
      <c r="B100" s="157" t="s">
        <v>260</v>
      </c>
      <c r="C100" s="68" t="str">
        <f t="shared" ref="C100" si="19">A100&amp;"-"&amp;B100&amp;"-"&amp;D100</f>
        <v>2X2Y-NG-Anaerobic Digestion-Clean-up</v>
      </c>
      <c r="D100" s="260" t="s">
        <v>168</v>
      </c>
      <c r="E100" s="261"/>
      <c r="F100" s="259">
        <v>0</v>
      </c>
      <c r="G100" s="259">
        <v>0</v>
      </c>
      <c r="I100" s="247"/>
      <c r="J100" s="179">
        <f t="shared" si="13"/>
        <v>0</v>
      </c>
    </row>
    <row r="101" spans="1:10" s="68" customFormat="1" ht="18" customHeight="1">
      <c r="D101" s="109" t="s">
        <v>111</v>
      </c>
      <c r="E101" s="109" t="s">
        <v>132</v>
      </c>
      <c r="F101" s="128" t="s">
        <v>112</v>
      </c>
      <c r="G101" s="109" t="s">
        <v>211</v>
      </c>
      <c r="I101" s="122"/>
      <c r="J101" s="179" t="str">
        <f t="shared" si="13"/>
        <v>Cleaning Costs, $/5 yrs</v>
      </c>
    </row>
    <row r="102" spans="1:10" s="68" customFormat="1" ht="18" customHeight="1">
      <c r="D102" s="112" t="s">
        <v>128</v>
      </c>
      <c r="E102" s="113"/>
      <c r="F102" s="136"/>
      <c r="G102" s="137"/>
      <c r="I102" s="122"/>
      <c r="J102" s="179">
        <f t="shared" si="13"/>
        <v>0</v>
      </c>
    </row>
    <row r="103" spans="1:10" s="68" customFormat="1" ht="18" customHeight="1" thickBot="1">
      <c r="A103" s="68" t="s">
        <v>280</v>
      </c>
      <c r="B103" s="68" t="s">
        <v>278</v>
      </c>
      <c r="C103" s="68" t="str">
        <f t="shared" ref="C103" si="20">A103&amp;"-"&amp;B103&amp;"-"&amp;D103</f>
        <v>2X2Y-ExtraOrd-Anaerobic Digestion</v>
      </c>
      <c r="D103" s="260" t="s">
        <v>315</v>
      </c>
      <c r="E103" s="262" t="s">
        <v>212</v>
      </c>
      <c r="F103" s="259" t="s">
        <v>213</v>
      </c>
      <c r="G103" s="263">
        <v>66000</v>
      </c>
      <c r="I103" s="247"/>
      <c r="J103" s="179">
        <f t="shared" si="13"/>
        <v>66000</v>
      </c>
    </row>
    <row r="104" spans="1:10" s="68" customFormat="1" ht="18" customHeight="1">
      <c r="D104" s="109" t="s">
        <v>111</v>
      </c>
      <c r="E104" s="109"/>
      <c r="F104" s="128" t="s">
        <v>112</v>
      </c>
      <c r="G104" s="109" t="s">
        <v>197</v>
      </c>
      <c r="I104" s="122"/>
      <c r="J104" s="179" t="str">
        <f t="shared" si="13"/>
        <v>Annual Costs, $/yr</v>
      </c>
    </row>
    <row r="105" spans="1:10" s="68" customFormat="1" ht="18" customHeight="1">
      <c r="D105" s="123" t="s">
        <v>214</v>
      </c>
      <c r="E105" s="138"/>
      <c r="F105" s="138"/>
      <c r="G105" s="138"/>
      <c r="I105" s="122"/>
      <c r="J105" s="179">
        <f t="shared" si="13"/>
        <v>0</v>
      </c>
    </row>
    <row r="106" spans="1:10" s="68" customFormat="1" ht="18" customHeight="1">
      <c r="A106" s="68" t="s">
        <v>280</v>
      </c>
      <c r="B106" s="68" t="s">
        <v>261</v>
      </c>
      <c r="C106" s="68" t="str">
        <f t="shared" ref="C106:C108" si="21">A106&amp;"-"&amp;B106&amp;"-"&amp;D106</f>
        <v>2X2Y-Dispo-Spent Media Disposal</v>
      </c>
      <c r="D106" s="139" t="s">
        <v>130</v>
      </c>
      <c r="E106" s="119"/>
      <c r="F106" s="117"/>
      <c r="G106" s="126">
        <v>30000</v>
      </c>
      <c r="I106" s="140" t="s">
        <v>216</v>
      </c>
      <c r="J106" s="179">
        <f t="shared" si="13"/>
        <v>30000</v>
      </c>
    </row>
    <row r="107" spans="1:10" s="103" customFormat="1" ht="18" customHeight="1">
      <c r="A107" s="68" t="s">
        <v>280</v>
      </c>
      <c r="B107" s="68" t="s">
        <v>261</v>
      </c>
      <c r="C107" s="68" t="str">
        <f t="shared" si="21"/>
        <v>2X2Y-Dispo-Land Application of Biosolids</v>
      </c>
      <c r="D107" s="116" t="s">
        <v>217</v>
      </c>
      <c r="E107" s="141"/>
      <c r="F107" s="142" t="s">
        <v>231</v>
      </c>
      <c r="G107" s="126">
        <v>447000</v>
      </c>
      <c r="I107" s="143" t="s">
        <v>232</v>
      </c>
      <c r="J107" s="179">
        <f t="shared" si="13"/>
        <v>447000</v>
      </c>
    </row>
    <row r="108" spans="1:10" s="103" customFormat="1" ht="18" customHeight="1" thickBot="1">
      <c r="A108" s="68" t="s">
        <v>280</v>
      </c>
      <c r="B108" s="68" t="s">
        <v>261</v>
      </c>
      <c r="C108" s="68" t="str">
        <f t="shared" si="21"/>
        <v>2X2Y-Dispo-Landfill Disposal of Biosolids</v>
      </c>
      <c r="D108" s="144" t="s">
        <v>220</v>
      </c>
      <c r="E108" s="145"/>
      <c r="F108" s="146" t="s">
        <v>221</v>
      </c>
      <c r="G108" s="127">
        <v>575000</v>
      </c>
      <c r="I108" s="147"/>
      <c r="J108" s="179">
        <f t="shared" si="13"/>
        <v>575000</v>
      </c>
    </row>
    <row r="109" spans="1:10" s="68" customFormat="1" ht="18" customHeight="1">
      <c r="D109" s="109" t="s">
        <v>111</v>
      </c>
      <c r="E109" s="109"/>
      <c r="F109" s="128" t="s">
        <v>112</v>
      </c>
      <c r="G109" s="109" t="s">
        <v>197</v>
      </c>
      <c r="I109" s="122"/>
      <c r="J109" s="179" t="str">
        <f t="shared" si="13"/>
        <v>Annual Costs, $/yr</v>
      </c>
    </row>
    <row r="110" spans="1:10" s="68" customFormat="1" ht="18" customHeight="1">
      <c r="D110" s="148" t="s">
        <v>222</v>
      </c>
      <c r="E110" s="149"/>
      <c r="F110" s="150" t="s">
        <v>157</v>
      </c>
      <c r="G110" s="150" t="s">
        <v>223</v>
      </c>
      <c r="J110" s="179" t="str">
        <f t="shared" si="13"/>
        <v>kWh/yr</v>
      </c>
    </row>
    <row r="111" spans="1:10" s="157" customFormat="1" ht="18" customHeight="1">
      <c r="A111" s="68" t="s">
        <v>280</v>
      </c>
      <c r="B111" s="157" t="s">
        <v>279</v>
      </c>
      <c r="C111" s="68" t="str">
        <f t="shared" ref="C111:C112" si="22">A111&amp;"-"&amp;B111&amp;"-"&amp;D111</f>
        <v>2X2Y-TipFee-FOG Tipping Fee (@ $0.020/gal)</v>
      </c>
      <c r="D111" s="154" t="s">
        <v>769</v>
      </c>
      <c r="E111" s="155">
        <v>15000</v>
      </c>
      <c r="F111" s="156"/>
      <c r="G111" s="156"/>
      <c r="J111" s="179">
        <f>E111</f>
        <v>15000</v>
      </c>
    </row>
    <row r="112" spans="1:10" s="68" customFormat="1" ht="18" customHeight="1" thickBot="1">
      <c r="A112" s="68" t="s">
        <v>280</v>
      </c>
      <c r="B112" s="157" t="s">
        <v>264</v>
      </c>
      <c r="C112" s="68" t="str">
        <f t="shared" si="22"/>
        <v>2X2Y-kWhProd-Electricity Production from CHP</v>
      </c>
      <c r="D112" s="158" t="s">
        <v>224</v>
      </c>
      <c r="E112" s="246" t="s">
        <v>225</v>
      </c>
      <c r="F112" s="152">
        <v>6860</v>
      </c>
      <c r="G112" s="152">
        <f>ROUND(F112*365,-1)</f>
        <v>2503900</v>
      </c>
      <c r="I112" s="247"/>
      <c r="J112" s="179">
        <f t="shared" si="13"/>
        <v>2503900</v>
      </c>
    </row>
    <row r="113" spans="1:10" s="103" customFormat="1" ht="18" customHeight="1">
      <c r="D113" s="248"/>
      <c r="E113" s="153"/>
      <c r="F113" s="153"/>
      <c r="G113" s="153"/>
      <c r="J113" s="179">
        <f t="shared" si="13"/>
        <v>0</v>
      </c>
    </row>
    <row r="114" spans="1:10" s="104" customFormat="1" ht="18" customHeight="1" thickBot="1">
      <c r="J114" s="179">
        <f t="shared" si="13"/>
        <v>0</v>
      </c>
    </row>
    <row r="115" spans="1:10" s="104" customFormat="1" ht="18" customHeight="1" thickBot="1">
      <c r="D115" s="250" t="s">
        <v>629</v>
      </c>
      <c r="E115" s="250"/>
      <c r="F115" s="250"/>
      <c r="G115" s="250"/>
      <c r="J115" s="179">
        <f t="shared" si="13"/>
        <v>0</v>
      </c>
    </row>
    <row r="116" spans="1:10" s="68" customFormat="1" ht="10.35" customHeight="1" thickBot="1">
      <c r="D116" s="251"/>
      <c r="E116" s="251"/>
      <c r="F116" s="251"/>
      <c r="G116" s="251"/>
      <c r="I116" s="247"/>
      <c r="J116" s="179">
        <f t="shared" si="13"/>
        <v>0</v>
      </c>
    </row>
    <row r="117" spans="1:10" s="68" customFormat="1" ht="18" customHeight="1">
      <c r="D117" s="109" t="s">
        <v>111</v>
      </c>
      <c r="E117" s="109" t="s">
        <v>132</v>
      </c>
      <c r="F117" s="110" t="s">
        <v>157</v>
      </c>
      <c r="G117" s="110"/>
      <c r="I117" s="265" t="s">
        <v>159</v>
      </c>
      <c r="J117" s="179">
        <f t="shared" si="13"/>
        <v>0</v>
      </c>
    </row>
    <row r="118" spans="1:10" s="68" customFormat="1" ht="18" customHeight="1">
      <c r="D118" s="112" t="s">
        <v>6</v>
      </c>
      <c r="E118" s="113"/>
      <c r="F118" s="114"/>
      <c r="G118" s="113"/>
      <c r="I118" s="115"/>
      <c r="J118" s="179">
        <f t="shared" si="13"/>
        <v>0</v>
      </c>
    </row>
    <row r="119" spans="1:10" s="68" customFormat="1" ht="18" customHeight="1">
      <c r="A119" s="68" t="s">
        <v>619</v>
      </c>
      <c r="B119" s="68" t="s">
        <v>256</v>
      </c>
      <c r="C119" s="68" t="str">
        <f t="shared" ref="C119:C124" si="23">A119&amp;"-"&amp;B119&amp;"-"&amp;D119</f>
        <v>3Y-kWh-Gravity Thickener</v>
      </c>
      <c r="D119" s="116" t="s">
        <v>29</v>
      </c>
      <c r="E119" s="248" t="s">
        <v>30</v>
      </c>
      <c r="F119" s="117">
        <v>25</v>
      </c>
      <c r="G119" s="118">
        <f>ROUND(F119*365,-1)</f>
        <v>9130</v>
      </c>
      <c r="J119" s="179">
        <f t="shared" si="13"/>
        <v>9130</v>
      </c>
    </row>
    <row r="120" spans="1:10" s="68" customFormat="1" ht="18" customHeight="1">
      <c r="A120" s="68" t="s">
        <v>619</v>
      </c>
      <c r="B120" s="68" t="s">
        <v>256</v>
      </c>
      <c r="C120" s="68" t="str">
        <f t="shared" si="23"/>
        <v>3Y-kWh-Gravity Belt Thickener</v>
      </c>
      <c r="D120" s="120" t="s">
        <v>135</v>
      </c>
      <c r="E120" s="248" t="s">
        <v>30</v>
      </c>
      <c r="F120" s="117">
        <v>157</v>
      </c>
      <c r="G120" s="118">
        <f t="shared" ref="G120:G121" si="24">ROUND(F120*365,-1)</f>
        <v>57310</v>
      </c>
      <c r="J120" s="179">
        <f t="shared" si="13"/>
        <v>57310</v>
      </c>
    </row>
    <row r="121" spans="1:10" s="68" customFormat="1" ht="18" customHeight="1">
      <c r="A121" s="68" t="s">
        <v>619</v>
      </c>
      <c r="B121" s="68" t="s">
        <v>256</v>
      </c>
      <c r="C121" s="68" t="str">
        <f t="shared" si="23"/>
        <v>3Y-kWh-Belt Filter Press Dewatering</v>
      </c>
      <c r="D121" s="120" t="s">
        <v>143</v>
      </c>
      <c r="E121" s="248" t="s">
        <v>30</v>
      </c>
      <c r="F121" s="117">
        <v>89</v>
      </c>
      <c r="G121" s="118">
        <f t="shared" si="24"/>
        <v>32490</v>
      </c>
      <c r="J121" s="179">
        <f t="shared" si="13"/>
        <v>32490</v>
      </c>
    </row>
    <row r="122" spans="1:10" s="68" customFormat="1" ht="18" customHeight="1">
      <c r="A122" s="68" t="s">
        <v>619</v>
      </c>
      <c r="B122" s="68" t="s">
        <v>256</v>
      </c>
      <c r="C122" s="68" t="str">
        <f t="shared" si="23"/>
        <v>3Y-kWh-Cake Storage/Load Out</v>
      </c>
      <c r="D122" s="159" t="s">
        <v>316</v>
      </c>
      <c r="E122" s="248" t="s">
        <v>35</v>
      </c>
      <c r="F122" s="117">
        <f>ROUND(60*2*1*0.746,-1)</f>
        <v>90</v>
      </c>
      <c r="G122" s="118">
        <f>ROUND(F122*365,-1)</f>
        <v>32850</v>
      </c>
      <c r="I122" s="143" t="s">
        <v>227</v>
      </c>
      <c r="J122" s="179">
        <f t="shared" si="13"/>
        <v>32850</v>
      </c>
    </row>
    <row r="123" spans="1:10" s="68" customFormat="1" ht="18" customHeight="1">
      <c r="A123" s="68" t="s">
        <v>619</v>
      </c>
      <c r="B123" s="68" t="s">
        <v>256</v>
      </c>
      <c r="C123" s="68" t="str">
        <f t="shared" si="23"/>
        <v xml:space="preserve">3Y-kWh-FBI </v>
      </c>
      <c r="D123" s="116" t="s">
        <v>167</v>
      </c>
      <c r="E123" s="248" t="s">
        <v>30</v>
      </c>
      <c r="F123" s="117">
        <v>1339</v>
      </c>
      <c r="G123" s="118">
        <f>ROUND(F123*365,-1)</f>
        <v>488740</v>
      </c>
      <c r="J123" s="179">
        <f t="shared" si="13"/>
        <v>488740</v>
      </c>
    </row>
    <row r="124" spans="1:10" s="68" customFormat="1" ht="36" customHeight="1" thickBot="1">
      <c r="A124" s="68" t="s">
        <v>619</v>
      </c>
      <c r="B124" s="68" t="s">
        <v>256</v>
      </c>
      <c r="C124" s="68" t="str">
        <f t="shared" si="23"/>
        <v>3Y-kWh-Energy Recovery</v>
      </c>
      <c r="D124" s="116" t="s">
        <v>321</v>
      </c>
      <c r="E124" s="245" t="s">
        <v>91</v>
      </c>
      <c r="F124" s="117" t="s">
        <v>34</v>
      </c>
      <c r="G124" s="117" t="s">
        <v>34</v>
      </c>
      <c r="I124" s="160"/>
      <c r="J124" s="179" t="str">
        <f t="shared" si="13"/>
        <v xml:space="preserve"> --</v>
      </c>
    </row>
    <row r="125" spans="1:10" s="68" customFormat="1" ht="18" customHeight="1">
      <c r="D125" s="109" t="s">
        <v>111</v>
      </c>
      <c r="E125" s="109" t="s">
        <v>132</v>
      </c>
      <c r="F125" s="109"/>
      <c r="G125" s="110" t="s">
        <v>37</v>
      </c>
      <c r="I125" s="122"/>
      <c r="J125" s="179" t="str">
        <f t="shared" si="13"/>
        <v>Total - h/yr</v>
      </c>
    </row>
    <row r="126" spans="1:10" s="103" customFormat="1" ht="18" customHeight="1">
      <c r="D126" s="123" t="s">
        <v>129</v>
      </c>
      <c r="E126" s="124" t="s">
        <v>38</v>
      </c>
      <c r="F126" s="124" t="s">
        <v>126</v>
      </c>
      <c r="G126" s="124" t="s">
        <v>39</v>
      </c>
      <c r="I126" s="119"/>
      <c r="J126" s="179" t="str">
        <f t="shared" si="13"/>
        <v>Ops + Maintenance</v>
      </c>
    </row>
    <row r="127" spans="1:10" s="68" customFormat="1" ht="18" customHeight="1">
      <c r="A127" s="68" t="s">
        <v>619</v>
      </c>
      <c r="B127" s="157" t="s">
        <v>258</v>
      </c>
      <c r="C127" s="68" t="str">
        <f t="shared" ref="C127:C132" si="25">A127&amp;"-"&amp;B127&amp;"-"&amp;D127</f>
        <v>3Y-Hrs-Gravity Thickener</v>
      </c>
      <c r="D127" s="116" t="s">
        <v>29</v>
      </c>
      <c r="E127" s="248" t="s">
        <v>40</v>
      </c>
      <c r="F127" s="248" t="s">
        <v>41</v>
      </c>
      <c r="G127" s="118">
        <f>(3+1)*365</f>
        <v>1460</v>
      </c>
      <c r="J127" s="179">
        <f t="shared" si="13"/>
        <v>1460</v>
      </c>
    </row>
    <row r="128" spans="1:10" s="68" customFormat="1" ht="18" customHeight="1">
      <c r="A128" s="68" t="s">
        <v>619</v>
      </c>
      <c r="B128" s="157" t="s">
        <v>258</v>
      </c>
      <c r="C128" s="68" t="str">
        <f t="shared" si="25"/>
        <v>3Y-Hrs-Gravity Belt Thickener</v>
      </c>
      <c r="D128" s="120" t="s">
        <v>135</v>
      </c>
      <c r="E128" s="248" t="s">
        <v>43</v>
      </c>
      <c r="F128" s="248" t="s">
        <v>184</v>
      </c>
      <c r="G128" s="118">
        <f>(12+2)*365</f>
        <v>5110</v>
      </c>
      <c r="J128" s="179">
        <f t="shared" si="13"/>
        <v>5110</v>
      </c>
    </row>
    <row r="129" spans="1:10" s="68" customFormat="1" ht="18" customHeight="1">
      <c r="A129" s="68" t="s">
        <v>619</v>
      </c>
      <c r="B129" s="157" t="s">
        <v>258</v>
      </c>
      <c r="C129" s="68" t="str">
        <f t="shared" si="25"/>
        <v>3Y-Hrs-Belt Filter Press Dewatering</v>
      </c>
      <c r="D129" s="120" t="s">
        <v>143</v>
      </c>
      <c r="E129" s="248" t="s">
        <v>43</v>
      </c>
      <c r="F129" s="248" t="s">
        <v>184</v>
      </c>
      <c r="G129" s="118">
        <f>(12+2)*365</f>
        <v>5110</v>
      </c>
      <c r="J129" s="179">
        <f t="shared" si="13"/>
        <v>5110</v>
      </c>
    </row>
    <row r="130" spans="1:10" s="68" customFormat="1" ht="18" customHeight="1">
      <c r="A130" s="68" t="s">
        <v>619</v>
      </c>
      <c r="B130" s="157" t="s">
        <v>258</v>
      </c>
      <c r="C130" s="68" t="str">
        <f t="shared" si="25"/>
        <v>3Y-Hrs-Cake Storage/Load Out</v>
      </c>
      <c r="D130" s="159" t="s">
        <v>316</v>
      </c>
      <c r="E130" s="248" t="s">
        <v>189</v>
      </c>
      <c r="F130" s="248" t="s">
        <v>190</v>
      </c>
      <c r="G130" s="118">
        <f>(3+0.5)*365</f>
        <v>1277.5</v>
      </c>
      <c r="J130" s="179">
        <f t="shared" si="13"/>
        <v>1277.5</v>
      </c>
    </row>
    <row r="131" spans="1:10" s="68" customFormat="1" ht="18" customHeight="1">
      <c r="A131" s="68" t="s">
        <v>619</v>
      </c>
      <c r="B131" s="157" t="s">
        <v>258</v>
      </c>
      <c r="C131" s="68" t="str">
        <f t="shared" si="25"/>
        <v>3Y-Hrs-FBI</v>
      </c>
      <c r="D131" s="116" t="s">
        <v>166</v>
      </c>
      <c r="E131" s="248" t="s">
        <v>92</v>
      </c>
      <c r="F131" s="248" t="s">
        <v>93</v>
      </c>
      <c r="G131" s="118">
        <f>ROUND(((24+8)*365)/3,-1)</f>
        <v>3890</v>
      </c>
      <c r="I131" s="1136" t="s">
        <v>94</v>
      </c>
      <c r="J131" s="179">
        <f t="shared" si="13"/>
        <v>3890</v>
      </c>
    </row>
    <row r="132" spans="1:10" s="68" customFormat="1" ht="18" customHeight="1" thickBot="1">
      <c r="A132" s="68" t="s">
        <v>619</v>
      </c>
      <c r="B132" s="157" t="s">
        <v>258</v>
      </c>
      <c r="C132" s="68" t="str">
        <f t="shared" si="25"/>
        <v>3Y-Hrs-Energy Recovery</v>
      </c>
      <c r="D132" s="116" t="s">
        <v>321</v>
      </c>
      <c r="E132" s="248" t="s">
        <v>95</v>
      </c>
      <c r="F132" s="248" t="s">
        <v>96</v>
      </c>
      <c r="G132" s="118">
        <f>ROUND(((0+24)*365)/3,-1)</f>
        <v>2920</v>
      </c>
      <c r="I132" s="1137"/>
      <c r="J132" s="179">
        <f t="shared" si="13"/>
        <v>2920</v>
      </c>
    </row>
    <row r="133" spans="1:10" s="68" customFormat="1" ht="18" customHeight="1">
      <c r="D133" s="109" t="s">
        <v>111</v>
      </c>
      <c r="E133" s="109" t="s">
        <v>132</v>
      </c>
      <c r="F133" s="109" t="s">
        <v>191</v>
      </c>
      <c r="G133" s="109" t="s">
        <v>192</v>
      </c>
      <c r="I133" s="253"/>
      <c r="J133" s="179" t="str">
        <f t="shared" si="13"/>
        <v>Maintenance, $/yr</v>
      </c>
    </row>
    <row r="134" spans="1:10" s="68" customFormat="1" ht="18" customHeight="1">
      <c r="D134" s="112" t="s">
        <v>193</v>
      </c>
      <c r="E134" s="125"/>
      <c r="F134" s="113"/>
      <c r="G134" s="113"/>
      <c r="I134" s="122"/>
      <c r="J134" s="179">
        <f t="shared" si="13"/>
        <v>0</v>
      </c>
    </row>
    <row r="135" spans="1:10" s="68" customFormat="1" ht="18" customHeight="1">
      <c r="A135" s="68" t="s">
        <v>619</v>
      </c>
      <c r="B135" s="157" t="s">
        <v>269</v>
      </c>
      <c r="C135" s="68" t="str">
        <f t="shared" ref="C135:C141" si="26">A135&amp;"-"&amp;B135&amp;"-"&amp;D135</f>
        <v>3Y-OMM-Gravity Thickener</v>
      </c>
      <c r="D135" s="116" t="s">
        <v>29</v>
      </c>
      <c r="E135" s="248" t="s">
        <v>194</v>
      </c>
      <c r="F135" s="723">
        <v>1029000</v>
      </c>
      <c r="G135" s="126">
        <f>ROUND(F135*0.01,-3)</f>
        <v>10000</v>
      </c>
      <c r="J135" s="179">
        <f t="shared" ref="J135:J199" si="27">G135</f>
        <v>10000</v>
      </c>
    </row>
    <row r="136" spans="1:10" s="68" customFormat="1" ht="18" customHeight="1">
      <c r="A136" s="68" t="s">
        <v>619</v>
      </c>
      <c r="B136" s="157" t="s">
        <v>269</v>
      </c>
      <c r="C136" s="68" t="str">
        <f t="shared" si="26"/>
        <v>3Y-OMM-Gravity Belt Thickener</v>
      </c>
      <c r="D136" s="120" t="s">
        <v>135</v>
      </c>
      <c r="E136" s="248" t="s">
        <v>196</v>
      </c>
      <c r="F136" s="723">
        <v>1262000</v>
      </c>
      <c r="G136" s="126">
        <f t="shared" ref="G136:G141" si="28">ROUND(F136*0.02,-3)</f>
        <v>25000</v>
      </c>
      <c r="J136" s="179">
        <f t="shared" si="27"/>
        <v>25000</v>
      </c>
    </row>
    <row r="137" spans="1:10" s="68" customFormat="1" ht="18" customHeight="1">
      <c r="A137" s="68" t="s">
        <v>619</v>
      </c>
      <c r="B137" s="157" t="s">
        <v>269</v>
      </c>
      <c r="C137" s="68" t="str">
        <f t="shared" si="26"/>
        <v>3Y-OMM-Belt Filter Press Dewatering</v>
      </c>
      <c r="D137" s="120" t="s">
        <v>143</v>
      </c>
      <c r="E137" s="248" t="s">
        <v>196</v>
      </c>
      <c r="F137" s="723">
        <v>2939000</v>
      </c>
      <c r="G137" s="126">
        <f t="shared" si="28"/>
        <v>59000</v>
      </c>
      <c r="J137" s="179">
        <f t="shared" si="27"/>
        <v>59000</v>
      </c>
    </row>
    <row r="138" spans="1:10" s="68" customFormat="1" ht="18" customHeight="1">
      <c r="A138" s="68" t="s">
        <v>619</v>
      </c>
      <c r="B138" s="157" t="s">
        <v>269</v>
      </c>
      <c r="C138" s="68" t="str">
        <f t="shared" si="26"/>
        <v>3Y-OMM-Cake Storage/Load Out</v>
      </c>
      <c r="D138" s="159" t="s">
        <v>316</v>
      </c>
      <c r="E138" s="248" t="s">
        <v>196</v>
      </c>
      <c r="F138" s="723">
        <v>2933000</v>
      </c>
      <c r="G138" s="126">
        <f t="shared" si="28"/>
        <v>59000</v>
      </c>
      <c r="J138" s="179">
        <f t="shared" si="27"/>
        <v>59000</v>
      </c>
    </row>
    <row r="139" spans="1:10" s="68" customFormat="1" ht="18" customHeight="1">
      <c r="A139" s="68" t="s">
        <v>619</v>
      </c>
      <c r="B139" s="157" t="s">
        <v>269</v>
      </c>
      <c r="C139" s="68" t="str">
        <f t="shared" si="26"/>
        <v xml:space="preserve">3Y-OMM-FBI </v>
      </c>
      <c r="D139" s="116" t="s">
        <v>167</v>
      </c>
      <c r="E139" s="248" t="s">
        <v>196</v>
      </c>
      <c r="F139" s="723">
        <v>3021000</v>
      </c>
      <c r="G139" s="126">
        <f t="shared" si="28"/>
        <v>60000</v>
      </c>
      <c r="I139" s="161"/>
      <c r="J139" s="179">
        <f t="shared" si="27"/>
        <v>60000</v>
      </c>
    </row>
    <row r="140" spans="1:10" s="68" customFormat="1" ht="18" customHeight="1">
      <c r="A140" s="68" t="s">
        <v>619</v>
      </c>
      <c r="B140" s="157" t="s">
        <v>269</v>
      </c>
      <c r="C140" s="68" t="str">
        <f t="shared" si="26"/>
        <v>3Y-OMM-Energy Recovery</v>
      </c>
      <c r="D140" s="116" t="s">
        <v>321</v>
      </c>
      <c r="E140" s="248" t="s">
        <v>196</v>
      </c>
      <c r="F140" s="126">
        <v>940000</v>
      </c>
      <c r="G140" s="126">
        <f t="shared" si="28"/>
        <v>19000</v>
      </c>
      <c r="I140" s="161"/>
      <c r="J140" s="179">
        <f t="shared" si="27"/>
        <v>19000</v>
      </c>
    </row>
    <row r="141" spans="1:10" s="68" customFormat="1" ht="18" customHeight="1" thickBot="1">
      <c r="A141" s="68" t="s">
        <v>619</v>
      </c>
      <c r="B141" s="157" t="s">
        <v>269</v>
      </c>
      <c r="C141" s="68" t="str">
        <f t="shared" si="26"/>
        <v>3Y-OMM-Ash Conveyance</v>
      </c>
      <c r="D141" s="116" t="s">
        <v>97</v>
      </c>
      <c r="E141" s="248" t="s">
        <v>196</v>
      </c>
      <c r="F141" s="126">
        <v>93000</v>
      </c>
      <c r="G141" s="126">
        <f t="shared" si="28"/>
        <v>2000</v>
      </c>
      <c r="I141" s="162"/>
      <c r="J141" s="179">
        <f t="shared" si="27"/>
        <v>2000</v>
      </c>
    </row>
    <row r="142" spans="1:10" s="68" customFormat="1" ht="18" customHeight="1">
      <c r="D142" s="109" t="s">
        <v>111</v>
      </c>
      <c r="E142" s="109" t="s">
        <v>132</v>
      </c>
      <c r="F142" s="128" t="s">
        <v>112</v>
      </c>
      <c r="G142" s="109" t="s">
        <v>197</v>
      </c>
      <c r="I142" s="122"/>
      <c r="J142" s="179" t="str">
        <f t="shared" si="27"/>
        <v>Annual Costs, $/yr</v>
      </c>
    </row>
    <row r="143" spans="1:10" s="68" customFormat="1" ht="18" customHeight="1">
      <c r="D143" s="112" t="s">
        <v>127</v>
      </c>
      <c r="E143" s="113"/>
      <c r="F143" s="129"/>
      <c r="G143" s="130"/>
      <c r="I143" s="122"/>
      <c r="J143" s="179">
        <f t="shared" si="27"/>
        <v>0</v>
      </c>
    </row>
    <row r="144" spans="1:10" s="68" customFormat="1" ht="18" customHeight="1">
      <c r="A144" s="68" t="s">
        <v>619</v>
      </c>
      <c r="B144" s="157" t="s">
        <v>259</v>
      </c>
      <c r="C144" s="68" t="str">
        <f t="shared" ref="C144:C149" si="29">A144&amp;"-"&amp;B144&amp;"-"&amp;D144</f>
        <v>3Y-Chem-Gravity Belt Thickener</v>
      </c>
      <c r="D144" s="120" t="s">
        <v>135</v>
      </c>
      <c r="E144" s="248" t="s">
        <v>198</v>
      </c>
      <c r="F144" s="724" t="s">
        <v>199</v>
      </c>
      <c r="G144" s="126">
        <v>25000</v>
      </c>
      <c r="J144" s="179">
        <f t="shared" si="27"/>
        <v>25000</v>
      </c>
    </row>
    <row r="145" spans="1:10" s="68" customFormat="1" ht="18" customHeight="1">
      <c r="A145" s="68" t="s">
        <v>619</v>
      </c>
      <c r="B145" s="157" t="s">
        <v>259</v>
      </c>
      <c r="C145" s="68" t="str">
        <f t="shared" si="29"/>
        <v>3Y-Chem-Belt Filter Press Dewatering</v>
      </c>
      <c r="D145" s="120" t="s">
        <v>143</v>
      </c>
      <c r="E145" s="248" t="s">
        <v>229</v>
      </c>
      <c r="F145" s="724" t="s">
        <v>199</v>
      </c>
      <c r="G145" s="126">
        <v>142000</v>
      </c>
      <c r="J145" s="179">
        <f t="shared" si="27"/>
        <v>142000</v>
      </c>
    </row>
    <row r="146" spans="1:10" s="68" customFormat="1" ht="18" customHeight="1">
      <c r="A146" s="68" t="s">
        <v>619</v>
      </c>
      <c r="B146" s="157" t="s">
        <v>259</v>
      </c>
      <c r="C146" s="68" t="str">
        <f t="shared" si="29"/>
        <v>3Y-Chem-FBI</v>
      </c>
      <c r="D146" s="120" t="s">
        <v>166</v>
      </c>
      <c r="E146" s="248" t="s">
        <v>98</v>
      </c>
      <c r="F146" s="724" t="s">
        <v>99</v>
      </c>
      <c r="G146" s="126">
        <v>4000</v>
      </c>
      <c r="J146" s="179">
        <f t="shared" si="27"/>
        <v>4000</v>
      </c>
    </row>
    <row r="147" spans="1:10" s="68" customFormat="1" ht="18" customHeight="1">
      <c r="A147" s="68" t="s">
        <v>619</v>
      </c>
      <c r="B147" s="157" t="s">
        <v>259</v>
      </c>
      <c r="C147" s="68" t="str">
        <f t="shared" ref="C147:C148" si="30">A147&amp;"-"&amp;B147&amp;"-"&amp;D147</f>
        <v>3Y-Chem-FBI</v>
      </c>
      <c r="D147" s="120" t="s">
        <v>166</v>
      </c>
      <c r="E147" s="725" t="s">
        <v>681</v>
      </c>
      <c r="F147" s="724" t="s">
        <v>682</v>
      </c>
      <c r="G147" s="726">
        <v>15000</v>
      </c>
      <c r="J147" s="179">
        <f t="shared" si="27"/>
        <v>15000</v>
      </c>
    </row>
    <row r="148" spans="1:10" s="68" customFormat="1" ht="18" customHeight="1">
      <c r="A148" s="68" t="s">
        <v>619</v>
      </c>
      <c r="B148" s="157" t="s">
        <v>259</v>
      </c>
      <c r="C148" s="68" t="str">
        <f t="shared" si="30"/>
        <v>3Y-Chem-FBI</v>
      </c>
      <c r="D148" s="120" t="s">
        <v>166</v>
      </c>
      <c r="E148" s="725" t="s">
        <v>770</v>
      </c>
      <c r="F148" s="724" t="s">
        <v>683</v>
      </c>
      <c r="G148" s="726">
        <v>9000</v>
      </c>
      <c r="J148" s="179">
        <f t="shared" si="27"/>
        <v>9000</v>
      </c>
    </row>
    <row r="149" spans="1:10" s="68" customFormat="1" ht="45.75" thickBot="1">
      <c r="A149" s="68" t="s">
        <v>619</v>
      </c>
      <c r="B149" s="157" t="s">
        <v>259</v>
      </c>
      <c r="C149" s="68" t="str">
        <f t="shared" si="29"/>
        <v>3Y-Chem-Odor Control Chemicals</v>
      </c>
      <c r="D149" s="120" t="s">
        <v>204</v>
      </c>
      <c r="E149" s="725" t="s">
        <v>205</v>
      </c>
      <c r="F149" s="131"/>
      <c r="G149" s="726">
        <v>127000</v>
      </c>
      <c r="I149" s="252" t="s">
        <v>100</v>
      </c>
      <c r="J149" s="179">
        <f t="shared" si="27"/>
        <v>127000</v>
      </c>
    </row>
    <row r="150" spans="1:10" s="68" customFormat="1" ht="18" customHeight="1">
      <c r="D150" s="109" t="s">
        <v>111</v>
      </c>
      <c r="E150" s="109" t="s">
        <v>132</v>
      </c>
      <c r="F150" s="109" t="s">
        <v>207</v>
      </c>
      <c r="G150" s="109"/>
      <c r="I150" s="122"/>
      <c r="J150" s="179">
        <f t="shared" si="27"/>
        <v>0</v>
      </c>
    </row>
    <row r="151" spans="1:10" s="68" customFormat="1" ht="18" customHeight="1">
      <c r="D151" s="112" t="s">
        <v>208</v>
      </c>
      <c r="E151" s="113"/>
      <c r="F151" s="133" t="s">
        <v>209</v>
      </c>
      <c r="G151" s="133" t="s">
        <v>210</v>
      </c>
      <c r="I151" s="122"/>
      <c r="J151" s="179" t="str">
        <f t="shared" si="27"/>
        <v>MJ/yr</v>
      </c>
    </row>
    <row r="152" spans="1:10" s="157" customFormat="1" ht="18" customHeight="1">
      <c r="A152" s="68" t="s">
        <v>619</v>
      </c>
      <c r="B152" s="157" t="s">
        <v>260</v>
      </c>
      <c r="C152" s="68" t="str">
        <f t="shared" ref="C152:C153" si="31">A152&amp;"-"&amp;B152&amp;"-"&amp;D152</f>
        <v>3Y-NG-To Boiler</v>
      </c>
      <c r="D152" s="163" t="s">
        <v>101</v>
      </c>
      <c r="E152" s="164"/>
      <c r="F152" s="118">
        <v>6250</v>
      </c>
      <c r="G152" s="118">
        <f>ROUND(F152*365,-1)</f>
        <v>2281250</v>
      </c>
      <c r="I152" s="164"/>
      <c r="J152" s="179">
        <f t="shared" si="27"/>
        <v>2281250</v>
      </c>
    </row>
    <row r="153" spans="1:10" s="68" customFormat="1" ht="18" customHeight="1" thickBot="1">
      <c r="A153" s="68" t="s">
        <v>619</v>
      </c>
      <c r="B153" s="157" t="s">
        <v>260</v>
      </c>
      <c r="C153" s="68" t="str">
        <f t="shared" si="31"/>
        <v>3Y-NG-To Incinerator</v>
      </c>
      <c r="D153" s="266" t="s">
        <v>102</v>
      </c>
      <c r="E153" s="261"/>
      <c r="F153" s="267">
        <f>67290*0+19659</f>
        <v>19659</v>
      </c>
      <c r="G153" s="267">
        <f>ROUND(F153*365,-1)</f>
        <v>7175540</v>
      </c>
      <c r="I153" s="247"/>
      <c r="J153" s="179">
        <f t="shared" si="27"/>
        <v>7175540</v>
      </c>
    </row>
    <row r="154" spans="1:10" s="68" customFormat="1" ht="18" customHeight="1">
      <c r="D154" s="109" t="s">
        <v>111</v>
      </c>
      <c r="E154" s="109"/>
      <c r="F154" s="128" t="s">
        <v>112</v>
      </c>
      <c r="G154" s="109" t="s">
        <v>197</v>
      </c>
      <c r="I154" s="122"/>
      <c r="J154" s="179" t="str">
        <f t="shared" si="27"/>
        <v>Annual Costs, $/yr</v>
      </c>
    </row>
    <row r="155" spans="1:10" s="68" customFormat="1" ht="18" customHeight="1">
      <c r="D155" s="123" t="s">
        <v>103</v>
      </c>
      <c r="E155" s="138"/>
      <c r="F155" s="138"/>
      <c r="G155" s="138"/>
      <c r="I155" s="122"/>
      <c r="J155" s="179">
        <f t="shared" si="27"/>
        <v>0</v>
      </c>
    </row>
    <row r="156" spans="1:10" s="157" customFormat="1" ht="18" customHeight="1">
      <c r="A156" s="68" t="s">
        <v>619</v>
      </c>
      <c r="B156" s="157" t="s">
        <v>261</v>
      </c>
      <c r="C156" s="68" t="str">
        <f t="shared" ref="C156" si="32">A156&amp;"-"&amp;B156&amp;"-"&amp;D156</f>
        <v>3Y-Dispo-Dewatered Solids Hauling to Regional FBI</v>
      </c>
      <c r="D156" s="163" t="s">
        <v>402</v>
      </c>
      <c r="E156" s="727"/>
      <c r="F156" s="728" t="s">
        <v>403</v>
      </c>
      <c r="G156" s="729">
        <v>246000</v>
      </c>
      <c r="H156" s="68"/>
      <c r="I156" s="122"/>
      <c r="J156" s="179">
        <f t="shared" si="27"/>
        <v>246000</v>
      </c>
    </row>
    <row r="157" spans="1:10" s="103" customFormat="1" ht="18" customHeight="1">
      <c r="A157" s="68" t="s">
        <v>619</v>
      </c>
      <c r="B157" s="157" t="s">
        <v>261</v>
      </c>
      <c r="C157" s="68" t="str">
        <f t="shared" ref="C157:C158" si="33">A157&amp;"-"&amp;B157&amp;"-"&amp;D157</f>
        <v>3Y-Dispo-Ash Cleanout</v>
      </c>
      <c r="D157" s="163" t="s">
        <v>104</v>
      </c>
      <c r="E157" s="727"/>
      <c r="F157" s="728" t="s">
        <v>105</v>
      </c>
      <c r="G157" s="729">
        <v>29000</v>
      </c>
      <c r="H157" s="157"/>
      <c r="I157" s="164"/>
      <c r="J157" s="179">
        <f t="shared" si="27"/>
        <v>29000</v>
      </c>
    </row>
    <row r="158" spans="1:10" s="68" customFormat="1" ht="18" customHeight="1" thickBot="1">
      <c r="A158" s="68" t="s">
        <v>619</v>
      </c>
      <c r="B158" s="157" t="s">
        <v>261</v>
      </c>
      <c r="C158" s="68" t="str">
        <f t="shared" si="33"/>
        <v xml:space="preserve">3Y-Dispo-Ash Disposal </v>
      </c>
      <c r="D158" s="163" t="s">
        <v>106</v>
      </c>
      <c r="E158" s="730"/>
      <c r="F158" s="728" t="s">
        <v>107</v>
      </c>
      <c r="G158" s="729">
        <v>71000</v>
      </c>
      <c r="H158" s="103"/>
      <c r="I158" s="247"/>
      <c r="J158" s="179">
        <f t="shared" si="27"/>
        <v>71000</v>
      </c>
    </row>
    <row r="159" spans="1:10" s="68" customFormat="1" ht="18" customHeight="1" thickBot="1">
      <c r="A159" s="68" t="s">
        <v>619</v>
      </c>
      <c r="B159" s="157" t="s">
        <v>261</v>
      </c>
      <c r="C159" s="68" t="str">
        <f t="shared" ref="C159" si="34">A159&amp;"-"&amp;B159&amp;"-"&amp;D159</f>
        <v xml:space="preserve">3Y-Dispo-Spent Carbon Disposal </v>
      </c>
      <c r="D159" s="163" t="s">
        <v>684</v>
      </c>
      <c r="E159" s="730"/>
      <c r="F159" s="728" t="s">
        <v>685</v>
      </c>
      <c r="G159" s="729">
        <v>1000</v>
      </c>
      <c r="H159" s="103"/>
      <c r="J159" s="179">
        <f t="shared" si="27"/>
        <v>1000</v>
      </c>
    </row>
    <row r="160" spans="1:10" s="68" customFormat="1" ht="18" customHeight="1">
      <c r="D160" s="109" t="s">
        <v>111</v>
      </c>
      <c r="E160" s="109"/>
      <c r="F160" s="128" t="s">
        <v>112</v>
      </c>
      <c r="G160" s="109" t="s">
        <v>197</v>
      </c>
      <c r="I160" s="122"/>
      <c r="J160" s="179" t="str">
        <f t="shared" si="27"/>
        <v>Annual Costs, $/yr</v>
      </c>
    </row>
    <row r="161" spans="1:10" s="68" customFormat="1" ht="18" customHeight="1">
      <c r="D161" s="148" t="s">
        <v>222</v>
      </c>
      <c r="E161" s="149"/>
      <c r="F161" s="150" t="s">
        <v>157</v>
      </c>
      <c r="G161" s="150" t="s">
        <v>223</v>
      </c>
      <c r="J161" s="179" t="str">
        <f t="shared" si="27"/>
        <v>kWh/yr</v>
      </c>
    </row>
    <row r="162" spans="1:10" s="103" customFormat="1" ht="18" customHeight="1" thickBot="1">
      <c r="A162" s="68" t="s">
        <v>619</v>
      </c>
      <c r="B162" s="157" t="s">
        <v>264</v>
      </c>
      <c r="C162" s="68" t="str">
        <f t="shared" ref="C162" si="35">A162&amp;"-"&amp;B162&amp;"-"&amp;D162</f>
        <v>3Y-kWhProd-Electricity Production</v>
      </c>
      <c r="D162" s="151" t="s">
        <v>108</v>
      </c>
      <c r="E162" s="246" t="s">
        <v>225</v>
      </c>
      <c r="F162" s="152">
        <v>2300</v>
      </c>
      <c r="G162" s="152">
        <f>ROUND(F162*365,-1)</f>
        <v>839500</v>
      </c>
      <c r="H162" s="68"/>
      <c r="I162" s="160"/>
      <c r="J162" s="179">
        <f t="shared" si="27"/>
        <v>839500</v>
      </c>
    </row>
    <row r="163" spans="1:10" s="103" customFormat="1" ht="18" customHeight="1">
      <c r="D163" s="116"/>
      <c r="E163" s="141"/>
      <c r="F163" s="141"/>
      <c r="G163" s="141"/>
      <c r="J163" s="179">
        <f t="shared" si="27"/>
        <v>0</v>
      </c>
    </row>
    <row r="164" spans="1:10" s="104" customFormat="1" ht="18" customHeight="1">
      <c r="A164" s="103"/>
      <c r="B164" s="103"/>
      <c r="C164" s="103"/>
      <c r="D164" s="116"/>
      <c r="E164" s="141"/>
      <c r="F164" s="141"/>
      <c r="G164" s="141"/>
      <c r="H164" s="103"/>
      <c r="J164" s="179">
        <f t="shared" si="27"/>
        <v>0</v>
      </c>
    </row>
    <row r="165" spans="1:10" s="104" customFormat="1" ht="18" customHeight="1" thickBot="1">
      <c r="J165" s="179">
        <f t="shared" si="27"/>
        <v>0</v>
      </c>
    </row>
    <row r="166" spans="1:10" s="68" customFormat="1" ht="10.35" customHeight="1" thickBot="1">
      <c r="A166" s="104"/>
      <c r="B166" s="104"/>
      <c r="C166" s="104"/>
      <c r="D166" s="250" t="s">
        <v>628</v>
      </c>
      <c r="E166" s="250"/>
      <c r="F166" s="250"/>
      <c r="G166" s="250"/>
      <c r="H166" s="104"/>
      <c r="J166" s="179">
        <f t="shared" si="27"/>
        <v>0</v>
      </c>
    </row>
    <row r="167" spans="1:10" s="68" customFormat="1" ht="18" customHeight="1" thickBot="1">
      <c r="D167" s="251"/>
      <c r="E167" s="251"/>
      <c r="F167" s="251"/>
      <c r="G167" s="251"/>
      <c r="I167" s="247"/>
      <c r="J167" s="179">
        <f t="shared" si="27"/>
        <v>0</v>
      </c>
    </row>
    <row r="168" spans="1:10" s="68" customFormat="1" ht="18" customHeight="1">
      <c r="D168" s="109" t="s">
        <v>111</v>
      </c>
      <c r="E168" s="109" t="s">
        <v>132</v>
      </c>
      <c r="F168" s="110" t="s">
        <v>157</v>
      </c>
      <c r="G168" s="110"/>
      <c r="I168" s="265" t="s">
        <v>159</v>
      </c>
      <c r="J168" s="179">
        <f t="shared" si="27"/>
        <v>0</v>
      </c>
    </row>
    <row r="169" spans="1:10" s="68" customFormat="1" ht="18" customHeight="1">
      <c r="D169" s="112" t="s">
        <v>6</v>
      </c>
      <c r="E169" s="113"/>
      <c r="F169" s="114"/>
      <c r="G169" s="113"/>
      <c r="I169" s="115"/>
      <c r="J169" s="179">
        <f t="shared" si="27"/>
        <v>0</v>
      </c>
    </row>
    <row r="170" spans="1:10" s="68" customFormat="1" ht="18" customHeight="1">
      <c r="A170" s="68" t="s">
        <v>620</v>
      </c>
      <c r="B170" s="68" t="s">
        <v>256</v>
      </c>
      <c r="C170" s="68" t="str">
        <f t="shared" ref="C170:C173" si="36">A170&amp;"-"&amp;B170&amp;"-"&amp;D170</f>
        <v>4Y-kWh-Gravity Thickener</v>
      </c>
      <c r="D170" s="116" t="s">
        <v>29</v>
      </c>
      <c r="E170" s="248" t="s">
        <v>30</v>
      </c>
      <c r="F170" s="117">
        <v>25</v>
      </c>
      <c r="G170" s="118">
        <f>ROUND(F170*365,-1)</f>
        <v>9130</v>
      </c>
      <c r="J170" s="179">
        <f t="shared" si="27"/>
        <v>9130</v>
      </c>
    </row>
    <row r="171" spans="1:10" s="68" customFormat="1" ht="18" customHeight="1">
      <c r="A171" s="68" t="s">
        <v>620</v>
      </c>
      <c r="B171" s="68" t="s">
        <v>256</v>
      </c>
      <c r="C171" s="68" t="str">
        <f t="shared" si="36"/>
        <v>4Y-kWh-Gravity Belt Thickener</v>
      </c>
      <c r="D171" s="120" t="s">
        <v>135</v>
      </c>
      <c r="E171" s="248" t="s">
        <v>30</v>
      </c>
      <c r="F171" s="117">
        <v>157</v>
      </c>
      <c r="G171" s="118">
        <f t="shared" ref="G171:G172" si="37">ROUND(F171*365,-1)</f>
        <v>57310</v>
      </c>
      <c r="J171" s="179">
        <f t="shared" si="27"/>
        <v>57310</v>
      </c>
    </row>
    <row r="172" spans="1:10" s="68" customFormat="1" ht="36" customHeight="1">
      <c r="A172" s="68" t="s">
        <v>620</v>
      </c>
      <c r="B172" s="68" t="s">
        <v>256</v>
      </c>
      <c r="C172" s="68" t="str">
        <f t="shared" si="36"/>
        <v>4Y-kWh-Belt Filter Press Dewatering</v>
      </c>
      <c r="D172" s="120" t="s">
        <v>143</v>
      </c>
      <c r="E172" s="248" t="s">
        <v>30</v>
      </c>
      <c r="F172" s="117">
        <v>89</v>
      </c>
      <c r="G172" s="118">
        <f t="shared" si="37"/>
        <v>32490</v>
      </c>
      <c r="J172" s="179">
        <f t="shared" si="27"/>
        <v>32490</v>
      </c>
    </row>
    <row r="173" spans="1:10" s="68" customFormat="1" ht="18" customHeight="1" thickBot="1">
      <c r="A173" s="68" t="s">
        <v>620</v>
      </c>
      <c r="B173" s="68" t="s">
        <v>256</v>
      </c>
      <c r="C173" s="68" t="str">
        <f t="shared" si="36"/>
        <v>4Y-kWh-Drying/Gasification/Energy Recovery</v>
      </c>
      <c r="D173" s="167" t="s">
        <v>320</v>
      </c>
      <c r="E173" s="248" t="s">
        <v>30</v>
      </c>
      <c r="F173" s="117">
        <v>1330</v>
      </c>
      <c r="G173" s="118">
        <f>ROUND(F173*365,-1)</f>
        <v>485450</v>
      </c>
      <c r="I173" s="247"/>
      <c r="J173" s="179">
        <f t="shared" si="27"/>
        <v>485450</v>
      </c>
    </row>
    <row r="174" spans="1:10" s="103" customFormat="1" ht="18" customHeight="1">
      <c r="A174" s="68"/>
      <c r="B174" s="68"/>
      <c r="C174" s="68"/>
      <c r="D174" s="109" t="s">
        <v>111</v>
      </c>
      <c r="E174" s="109" t="s">
        <v>132</v>
      </c>
      <c r="F174" s="109"/>
      <c r="G174" s="110" t="s">
        <v>37</v>
      </c>
      <c r="H174" s="68"/>
      <c r="I174" s="122"/>
      <c r="J174" s="179" t="str">
        <f t="shared" si="27"/>
        <v>Total - h/yr</v>
      </c>
    </row>
    <row r="175" spans="1:10" s="68" customFormat="1" ht="18" customHeight="1">
      <c r="A175" s="103"/>
      <c r="B175" s="103"/>
      <c r="C175" s="103"/>
      <c r="D175" s="123" t="s">
        <v>129</v>
      </c>
      <c r="E175" s="124" t="s">
        <v>38</v>
      </c>
      <c r="F175" s="124" t="s">
        <v>126</v>
      </c>
      <c r="G175" s="124" t="s">
        <v>39</v>
      </c>
      <c r="H175" s="103"/>
      <c r="I175" s="119"/>
      <c r="J175" s="179" t="str">
        <f t="shared" si="27"/>
        <v>Ops + Maintenance</v>
      </c>
    </row>
    <row r="176" spans="1:10" s="68" customFormat="1" ht="18" customHeight="1">
      <c r="A176" s="68" t="s">
        <v>620</v>
      </c>
      <c r="B176" s="157" t="s">
        <v>258</v>
      </c>
      <c r="C176" s="68" t="str">
        <f t="shared" ref="C176:C179" si="38">A176&amp;"-"&amp;B176&amp;"-"&amp;D176</f>
        <v>4Y-Hrs-Gravity Thickener</v>
      </c>
      <c r="D176" s="116" t="s">
        <v>29</v>
      </c>
      <c r="E176" s="248" t="s">
        <v>40</v>
      </c>
      <c r="F176" s="248" t="s">
        <v>41</v>
      </c>
      <c r="G176" s="118">
        <f>(3+1)*365</f>
        <v>1460</v>
      </c>
      <c r="J176" s="179">
        <f t="shared" si="27"/>
        <v>1460</v>
      </c>
    </row>
    <row r="177" spans="1:10" s="68" customFormat="1" ht="18" customHeight="1">
      <c r="A177" s="68" t="s">
        <v>620</v>
      </c>
      <c r="B177" s="157" t="s">
        <v>258</v>
      </c>
      <c r="C177" s="68" t="str">
        <f t="shared" si="38"/>
        <v>4Y-Hrs-Gravity Belt Thickener</v>
      </c>
      <c r="D177" s="120" t="s">
        <v>135</v>
      </c>
      <c r="E177" s="248" t="s">
        <v>43</v>
      </c>
      <c r="F177" s="248" t="s">
        <v>184</v>
      </c>
      <c r="G177" s="118">
        <f>(12+2)*365</f>
        <v>5110</v>
      </c>
      <c r="J177" s="179">
        <f t="shared" si="27"/>
        <v>5110</v>
      </c>
    </row>
    <row r="178" spans="1:10" s="68" customFormat="1" ht="18" customHeight="1">
      <c r="A178" s="68" t="s">
        <v>620</v>
      </c>
      <c r="B178" s="157" t="s">
        <v>258</v>
      </c>
      <c r="C178" s="68" t="str">
        <f t="shared" si="38"/>
        <v>4Y-Hrs-Belt Filter Press Dewatering</v>
      </c>
      <c r="D178" s="120" t="s">
        <v>143</v>
      </c>
      <c r="E178" s="248" t="s">
        <v>43</v>
      </c>
      <c r="F178" s="248" t="s">
        <v>184</v>
      </c>
      <c r="G178" s="118">
        <f>(12+2)*365</f>
        <v>5110</v>
      </c>
      <c r="J178" s="179">
        <f t="shared" si="27"/>
        <v>5110</v>
      </c>
    </row>
    <row r="179" spans="1:10" s="68" customFormat="1" ht="18" customHeight="1" thickBot="1">
      <c r="A179" s="68" t="s">
        <v>620</v>
      </c>
      <c r="B179" s="157" t="s">
        <v>258</v>
      </c>
      <c r="C179" s="68" t="str">
        <f t="shared" si="38"/>
        <v>4Y-Hrs-Gasification</v>
      </c>
      <c r="D179" s="116" t="s">
        <v>165</v>
      </c>
      <c r="E179" s="248" t="s">
        <v>185</v>
      </c>
      <c r="F179" s="248" t="s">
        <v>93</v>
      </c>
      <c r="G179" s="118">
        <f>(24+8)*365</f>
        <v>11680</v>
      </c>
      <c r="I179" s="247"/>
      <c r="J179" s="179">
        <f t="shared" si="27"/>
        <v>11680</v>
      </c>
    </row>
    <row r="180" spans="1:10" s="68" customFormat="1" ht="18" customHeight="1">
      <c r="D180" s="109" t="s">
        <v>111</v>
      </c>
      <c r="E180" s="109" t="s">
        <v>132</v>
      </c>
      <c r="F180" s="109" t="s">
        <v>191</v>
      </c>
      <c r="G180" s="109" t="s">
        <v>192</v>
      </c>
      <c r="I180" s="253"/>
      <c r="J180" s="179" t="str">
        <f t="shared" si="27"/>
        <v>Maintenance, $/yr</v>
      </c>
    </row>
    <row r="181" spans="1:10" s="68" customFormat="1" ht="18" customHeight="1">
      <c r="D181" s="112" t="s">
        <v>193</v>
      </c>
      <c r="E181" s="125"/>
      <c r="F181" s="113"/>
      <c r="G181" s="113"/>
      <c r="I181" s="122"/>
      <c r="J181" s="179">
        <f t="shared" si="27"/>
        <v>0</v>
      </c>
    </row>
    <row r="182" spans="1:10" s="68" customFormat="1" ht="18" customHeight="1">
      <c r="A182" s="68" t="s">
        <v>620</v>
      </c>
      <c r="B182" s="157" t="s">
        <v>269</v>
      </c>
      <c r="C182" s="68" t="str">
        <f t="shared" ref="C182:C185" si="39">A182&amp;"-"&amp;B182&amp;"-"&amp;D182</f>
        <v>4Y-OMM-Gravity Thickener</v>
      </c>
      <c r="D182" s="116" t="s">
        <v>29</v>
      </c>
      <c r="E182" s="248" t="s">
        <v>194</v>
      </c>
      <c r="F182" s="723">
        <v>1029000</v>
      </c>
      <c r="G182" s="126">
        <f>ROUND(F182*0.01,-3)</f>
        <v>10000</v>
      </c>
      <c r="I182" s="1136" t="s">
        <v>195</v>
      </c>
      <c r="J182" s="179">
        <f t="shared" si="27"/>
        <v>10000</v>
      </c>
    </row>
    <row r="183" spans="1:10" s="68" customFormat="1" ht="18" customHeight="1">
      <c r="A183" s="68" t="s">
        <v>620</v>
      </c>
      <c r="B183" s="157" t="s">
        <v>269</v>
      </c>
      <c r="C183" s="68" t="str">
        <f t="shared" si="39"/>
        <v>4Y-OMM-Gravity Belt Thickener</v>
      </c>
      <c r="D183" s="120" t="s">
        <v>135</v>
      </c>
      <c r="E183" s="248" t="s">
        <v>196</v>
      </c>
      <c r="F183" s="126">
        <v>1262000</v>
      </c>
      <c r="G183" s="126">
        <f t="shared" ref="G183:G184" si="40">ROUND(F183*0.02,-3)</f>
        <v>25000</v>
      </c>
      <c r="I183" s="1136"/>
      <c r="J183" s="179">
        <f t="shared" si="27"/>
        <v>25000</v>
      </c>
    </row>
    <row r="184" spans="1:10" s="68" customFormat="1" ht="18" customHeight="1">
      <c r="A184" s="68" t="s">
        <v>620</v>
      </c>
      <c r="B184" s="157" t="s">
        <v>269</v>
      </c>
      <c r="C184" s="68" t="str">
        <f t="shared" si="39"/>
        <v>4Y-OMM-Belt Filter Press Dewatering</v>
      </c>
      <c r="D184" s="120" t="s">
        <v>143</v>
      </c>
      <c r="E184" s="248" t="s">
        <v>196</v>
      </c>
      <c r="F184" s="126">
        <v>2939000</v>
      </c>
      <c r="G184" s="126">
        <f t="shared" si="40"/>
        <v>59000</v>
      </c>
      <c r="I184" s="1136"/>
      <c r="J184" s="179">
        <f t="shared" si="27"/>
        <v>59000</v>
      </c>
    </row>
    <row r="185" spans="1:10" s="68" customFormat="1" ht="18" customHeight="1" thickBot="1">
      <c r="A185" s="68" t="s">
        <v>620</v>
      </c>
      <c r="B185" s="157" t="s">
        <v>269</v>
      </c>
      <c r="C185" s="68" t="str">
        <f t="shared" si="39"/>
        <v>4Y-OMM-Gasification</v>
      </c>
      <c r="D185" s="257" t="s">
        <v>165</v>
      </c>
      <c r="E185" s="258" t="s">
        <v>109</v>
      </c>
      <c r="F185" s="263"/>
      <c r="G185" s="263">
        <v>130000</v>
      </c>
      <c r="I185" s="1137"/>
      <c r="J185" s="179">
        <f t="shared" si="27"/>
        <v>130000</v>
      </c>
    </row>
    <row r="186" spans="1:10" s="68" customFormat="1" ht="18" customHeight="1">
      <c r="D186" s="109" t="s">
        <v>111</v>
      </c>
      <c r="E186" s="109" t="s">
        <v>132</v>
      </c>
      <c r="F186" s="128" t="s">
        <v>112</v>
      </c>
      <c r="G186" s="109" t="s">
        <v>197</v>
      </c>
      <c r="I186" s="122"/>
      <c r="J186" s="179" t="str">
        <f t="shared" si="27"/>
        <v>Annual Costs, $/yr</v>
      </c>
    </row>
    <row r="187" spans="1:10" s="68" customFormat="1" ht="18" customHeight="1">
      <c r="D187" s="112" t="s">
        <v>127</v>
      </c>
      <c r="E187" s="113"/>
      <c r="F187" s="129"/>
      <c r="G187" s="130"/>
      <c r="I187" s="122"/>
      <c r="J187" s="179">
        <f t="shared" si="27"/>
        <v>0</v>
      </c>
    </row>
    <row r="188" spans="1:10" s="68" customFormat="1" ht="18" customHeight="1">
      <c r="A188" s="68" t="s">
        <v>620</v>
      </c>
      <c r="B188" s="157" t="s">
        <v>259</v>
      </c>
      <c r="C188" s="68" t="str">
        <f t="shared" ref="C188:C189" si="41">A188&amp;"-"&amp;B188&amp;"-"&amp;D188</f>
        <v>4Y-Chem-Gravity Belt Thickener</v>
      </c>
      <c r="D188" s="120" t="s">
        <v>135</v>
      </c>
      <c r="E188" s="248" t="s">
        <v>198</v>
      </c>
      <c r="F188" s="724" t="s">
        <v>199</v>
      </c>
      <c r="G188" s="126">
        <v>25000</v>
      </c>
      <c r="I188" s="253"/>
      <c r="J188" s="179">
        <f t="shared" si="27"/>
        <v>25000</v>
      </c>
    </row>
    <row r="189" spans="1:10" s="68" customFormat="1" ht="18" customHeight="1" thickBot="1">
      <c r="A189" s="68" t="s">
        <v>620</v>
      </c>
      <c r="B189" s="157" t="s">
        <v>259</v>
      </c>
      <c r="C189" s="68" t="str">
        <f t="shared" si="41"/>
        <v>4Y-Chem-Belt Filter Press Dewatering</v>
      </c>
      <c r="D189" s="120" t="s">
        <v>143</v>
      </c>
      <c r="E189" s="248" t="s">
        <v>229</v>
      </c>
      <c r="F189" s="724" t="s">
        <v>199</v>
      </c>
      <c r="G189" s="126">
        <v>131000</v>
      </c>
      <c r="J189" s="179">
        <f t="shared" si="27"/>
        <v>131000</v>
      </c>
    </row>
    <row r="190" spans="1:10" s="68" customFormat="1" ht="18" customHeight="1">
      <c r="D190" s="109" t="s">
        <v>111</v>
      </c>
      <c r="E190" s="109" t="s">
        <v>132</v>
      </c>
      <c r="F190" s="109" t="s">
        <v>207</v>
      </c>
      <c r="G190" s="109"/>
      <c r="I190" s="122"/>
      <c r="J190" s="179">
        <f t="shared" si="27"/>
        <v>0</v>
      </c>
    </row>
    <row r="191" spans="1:10" s="157" customFormat="1" ht="18" customHeight="1">
      <c r="A191" s="68"/>
      <c r="B191" s="68"/>
      <c r="C191" s="68"/>
      <c r="D191" s="112" t="s">
        <v>208</v>
      </c>
      <c r="E191" s="113"/>
      <c r="F191" s="133" t="s">
        <v>209</v>
      </c>
      <c r="G191" s="133" t="s">
        <v>210</v>
      </c>
      <c r="H191" s="68"/>
      <c r="I191" s="122"/>
      <c r="J191" s="179" t="str">
        <f t="shared" si="27"/>
        <v>MJ/yr</v>
      </c>
    </row>
    <row r="192" spans="1:10" s="157" customFormat="1" ht="18" customHeight="1">
      <c r="A192" s="68" t="s">
        <v>620</v>
      </c>
      <c r="B192" s="157" t="s">
        <v>260</v>
      </c>
      <c r="C192" s="68" t="str">
        <f t="shared" ref="C192:C194" si="42">A192&amp;"-"&amp;B192&amp;"-"&amp;D192</f>
        <v>4Y-NG-To Boiler</v>
      </c>
      <c r="D192" s="163" t="s">
        <v>101</v>
      </c>
      <c r="E192" s="164"/>
      <c r="F192" s="168">
        <f>6250*0+3370</f>
        <v>3370</v>
      </c>
      <c r="G192" s="118">
        <f t="shared" ref="G192:G193" si="43">ROUND(F192*365,-1)</f>
        <v>1230050</v>
      </c>
      <c r="J192" s="179">
        <f t="shared" si="27"/>
        <v>1230050</v>
      </c>
    </row>
    <row r="193" spans="1:10" s="68" customFormat="1" ht="18" customHeight="1">
      <c r="A193" s="68" t="s">
        <v>620</v>
      </c>
      <c r="B193" s="157" t="s">
        <v>260</v>
      </c>
      <c r="C193" s="68" t="str">
        <f t="shared" si="42"/>
        <v>4Y-NG-To Thermal Dryer</v>
      </c>
      <c r="D193" s="163" t="s">
        <v>245</v>
      </c>
      <c r="E193" s="164"/>
      <c r="F193" s="168">
        <f>25150*0+2050</f>
        <v>2050</v>
      </c>
      <c r="G193" s="118">
        <f t="shared" si="43"/>
        <v>748250</v>
      </c>
      <c r="H193" s="157"/>
      <c r="I193" s="157"/>
      <c r="J193" s="179">
        <f t="shared" si="27"/>
        <v>748250</v>
      </c>
    </row>
    <row r="194" spans="1:10" s="68" customFormat="1" ht="18" customHeight="1" thickBot="1">
      <c r="A194" s="68" t="s">
        <v>620</v>
      </c>
      <c r="B194" s="157" t="s">
        <v>260</v>
      </c>
      <c r="C194" s="68" t="str">
        <f t="shared" si="42"/>
        <v>4Y-NG-To Gasifier</v>
      </c>
      <c r="D194" s="266" t="s">
        <v>246</v>
      </c>
      <c r="E194" s="261"/>
      <c r="F194" s="267">
        <v>1330</v>
      </c>
      <c r="G194" s="267">
        <f>ROUND(F194*365,-1)</f>
        <v>485450</v>
      </c>
      <c r="I194" s="247"/>
      <c r="J194" s="179">
        <f t="shared" si="27"/>
        <v>485450</v>
      </c>
    </row>
    <row r="195" spans="1:10" s="68" customFormat="1" ht="18" customHeight="1">
      <c r="D195" s="109" t="s">
        <v>111</v>
      </c>
      <c r="E195" s="109"/>
      <c r="F195" s="128" t="s">
        <v>112</v>
      </c>
      <c r="G195" s="109" t="s">
        <v>197</v>
      </c>
      <c r="I195" s="122"/>
      <c r="J195" s="179" t="str">
        <f t="shared" si="27"/>
        <v>Annual Costs, $/yr</v>
      </c>
    </row>
    <row r="196" spans="1:10" s="157" customFormat="1" ht="18" customHeight="1">
      <c r="A196" s="68"/>
      <c r="B196" s="68"/>
      <c r="C196" s="68"/>
      <c r="D196" s="123" t="s">
        <v>103</v>
      </c>
      <c r="E196" s="138"/>
      <c r="F196" s="138"/>
      <c r="G196" s="138"/>
      <c r="H196" s="68"/>
      <c r="I196" s="122"/>
      <c r="J196" s="179">
        <f t="shared" si="27"/>
        <v>0</v>
      </c>
    </row>
    <row r="197" spans="1:10" s="157" customFormat="1" ht="18" customHeight="1">
      <c r="A197" s="68" t="s">
        <v>620</v>
      </c>
      <c r="B197" s="157" t="s">
        <v>261</v>
      </c>
      <c r="C197" s="68" t="str">
        <f t="shared" ref="C197:C198" si="44">A197&amp;"-"&amp;B197&amp;"-"&amp;D197</f>
        <v>4Y-Dispo-Ash Cleanout</v>
      </c>
      <c r="D197" s="116" t="s">
        <v>104</v>
      </c>
      <c r="E197" s="165"/>
      <c r="F197" s="724" t="s">
        <v>105</v>
      </c>
      <c r="G197" s="166">
        <v>35000</v>
      </c>
      <c r="I197" s="164"/>
      <c r="J197" s="179">
        <f t="shared" si="27"/>
        <v>35000</v>
      </c>
    </row>
    <row r="198" spans="1:10" s="103" customFormat="1" ht="18" customHeight="1" thickBot="1">
      <c r="A198" s="68" t="s">
        <v>620</v>
      </c>
      <c r="B198" s="157" t="s">
        <v>261</v>
      </c>
      <c r="C198" s="68" t="str">
        <f t="shared" si="44"/>
        <v xml:space="preserve">4Y-Dispo-Ash Disposal </v>
      </c>
      <c r="D198" s="144" t="s">
        <v>106</v>
      </c>
      <c r="E198" s="145"/>
      <c r="F198" s="731" t="s">
        <v>107</v>
      </c>
      <c r="G198" s="169">
        <v>87000</v>
      </c>
      <c r="I198" s="247"/>
      <c r="J198" s="179">
        <f t="shared" si="27"/>
        <v>87000</v>
      </c>
    </row>
    <row r="199" spans="1:10" s="104" customFormat="1" ht="18" customHeight="1">
      <c r="J199" s="179">
        <f t="shared" si="27"/>
        <v>0</v>
      </c>
    </row>
    <row r="200" spans="1:10" s="104" customFormat="1" ht="18" customHeight="1"/>
    <row r="201" spans="1:10" s="104" customFormat="1" ht="18" customHeight="1"/>
    <row r="202" spans="1:10" s="104" customFormat="1" ht="18" customHeight="1"/>
    <row r="203" spans="1:10" s="104" customFormat="1" ht="18" customHeight="1"/>
    <row r="204" spans="1:10" s="104" customFormat="1" ht="18" customHeight="1"/>
    <row r="205" spans="1:10" s="104" customFormat="1" ht="18" customHeight="1"/>
    <row r="206" spans="1:10" s="104" customFormat="1" ht="18" customHeight="1"/>
    <row r="207" spans="1:10" s="104" customFormat="1" ht="18" customHeight="1"/>
    <row r="208" spans="1:10" s="104" customFormat="1" ht="18" customHeight="1"/>
    <row r="209" s="104" customFormat="1" ht="18" customHeight="1"/>
    <row r="210" s="104" customFormat="1" ht="18" customHeight="1"/>
    <row r="211" s="104" customFormat="1" ht="18" customHeight="1"/>
    <row r="212" s="104" customFormat="1" ht="18" customHeight="1"/>
    <row r="213" s="104" customFormat="1" ht="18" customHeight="1"/>
    <row r="214" s="104" customFormat="1" ht="18" customHeight="1"/>
    <row r="215" s="104" customFormat="1" ht="18" customHeight="1"/>
    <row r="216" s="104" customFormat="1" ht="18" customHeight="1"/>
    <row r="217" s="104" customFormat="1" ht="18" customHeight="1"/>
    <row r="218" s="104" customFormat="1" ht="18" customHeight="1"/>
    <row r="219" s="104" customFormat="1" ht="18" customHeight="1"/>
    <row r="220" s="104" customFormat="1" ht="18" customHeight="1"/>
    <row r="221" s="104" customFormat="1" ht="18" customHeight="1"/>
    <row r="222" s="104" customFormat="1" ht="18" customHeight="1"/>
    <row r="223" s="104" customFormat="1" ht="18" customHeight="1"/>
    <row r="224" s="104" customFormat="1" ht="18" customHeight="1"/>
    <row r="225" s="104" customFormat="1" ht="18" customHeight="1"/>
    <row r="226" s="104" customFormat="1" ht="18" customHeight="1"/>
    <row r="227" s="104" customFormat="1" ht="18" customHeight="1"/>
    <row r="228" s="104" customFormat="1" ht="18" customHeight="1"/>
    <row r="229" s="104" customFormat="1" ht="18" customHeight="1"/>
    <row r="230" s="104" customFormat="1" ht="18" customHeight="1"/>
    <row r="231" s="104" customFormat="1" ht="18" customHeight="1"/>
    <row r="232" s="104" customFormat="1" ht="18" customHeight="1"/>
    <row r="233" s="104" customFormat="1" ht="18" customHeight="1"/>
    <row r="234" s="104" customFormat="1" ht="18" customHeight="1"/>
    <row r="235" s="104" customFormat="1" ht="18" customHeight="1"/>
    <row r="236" s="104" customFormat="1" ht="18" customHeight="1"/>
    <row r="237" s="104" customFormat="1" ht="18" customHeight="1"/>
    <row r="238" s="104" customFormat="1" ht="18" customHeight="1"/>
    <row r="239" s="104" customFormat="1" ht="18" customHeight="1"/>
    <row r="240" s="104" customFormat="1" ht="18" customHeight="1"/>
    <row r="241" s="104" customFormat="1" ht="18" customHeight="1"/>
    <row r="242" s="104" customFormat="1" ht="18" customHeight="1"/>
    <row r="243" s="104" customFormat="1" ht="18" customHeight="1"/>
    <row r="244" s="104" customFormat="1" ht="18" customHeight="1"/>
    <row r="245" s="104" customFormat="1" ht="18" customHeight="1"/>
    <row r="246" s="104" customFormat="1" ht="18" customHeight="1"/>
    <row r="247" s="104" customFormat="1" ht="18" customHeight="1"/>
    <row r="248" s="104" customFormat="1" ht="18" customHeight="1"/>
    <row r="249" s="104" customFormat="1" ht="18" customHeight="1"/>
    <row r="250" s="104" customFormat="1" ht="18" customHeight="1"/>
    <row r="251" s="104" customFormat="1" ht="18" customHeight="1"/>
    <row r="252" s="104" customFormat="1" ht="18" customHeight="1"/>
    <row r="253" s="104" customFormat="1" ht="18" customHeight="1"/>
    <row r="254" s="104" customFormat="1" ht="18" customHeight="1"/>
    <row r="255" s="104" customFormat="1" ht="18" customHeight="1"/>
    <row r="256" s="104" customFormat="1" ht="18" customHeight="1"/>
    <row r="257" s="104" customFormat="1" ht="18" customHeight="1"/>
    <row r="258" s="104" customFormat="1" ht="18" customHeight="1"/>
    <row r="259" s="104" customFormat="1" ht="18" customHeight="1"/>
    <row r="260" s="104" customFormat="1" ht="18" customHeight="1"/>
    <row r="261" s="104" customFormat="1" ht="18" customHeight="1"/>
    <row r="262" s="104" customFormat="1" ht="18" customHeight="1"/>
    <row r="263" s="104" customFormat="1" ht="18" customHeight="1"/>
    <row r="264" s="104" customFormat="1" ht="18" customHeight="1"/>
    <row r="265" s="104" customFormat="1" ht="18" customHeight="1"/>
    <row r="266" s="104" customFormat="1" ht="18" customHeight="1"/>
    <row r="267" s="104" customFormat="1" ht="18" customHeight="1"/>
    <row r="268" s="104" customFormat="1" ht="18" customHeight="1"/>
    <row r="269" s="104" customFormat="1" ht="18" customHeight="1"/>
    <row r="270" s="104" customFormat="1" ht="18" customHeight="1"/>
    <row r="271" s="104" customFormat="1" ht="18" customHeight="1"/>
    <row r="272" s="104" customFormat="1" ht="18" customHeight="1"/>
    <row r="273" s="104" customFormat="1" ht="18" customHeight="1"/>
    <row r="274" s="104" customFormat="1" ht="18" customHeight="1"/>
    <row r="275" s="104" customFormat="1" ht="18" customHeight="1"/>
    <row r="276" s="104" customFormat="1" ht="18" customHeight="1"/>
    <row r="277" s="104" customFormat="1" ht="18" customHeight="1"/>
    <row r="278" s="104" customFormat="1" ht="18" customHeight="1"/>
    <row r="279" s="104" customFormat="1" ht="18" customHeight="1"/>
    <row r="280" s="104" customFormat="1" ht="18" customHeight="1"/>
    <row r="281" s="104" customFormat="1" ht="18" customHeight="1"/>
    <row r="282" s="104" customFormat="1" ht="18" customHeight="1"/>
    <row r="283" s="104" customFormat="1" ht="18" customHeight="1"/>
    <row r="284" s="104" customFormat="1" ht="18" customHeight="1"/>
    <row r="285" s="104" customFormat="1" ht="18" customHeight="1"/>
    <row r="286" s="104" customFormat="1" ht="18" customHeight="1"/>
    <row r="287" s="104" customFormat="1" ht="18" customHeight="1"/>
    <row r="288" s="104" customFormat="1" ht="18" customHeight="1"/>
    <row r="289" s="104" customFormat="1" ht="18" customHeight="1"/>
    <row r="290" s="104" customFormat="1" ht="18" customHeight="1"/>
    <row r="291" s="104" customFormat="1" ht="18" customHeight="1"/>
    <row r="292" s="104" customFormat="1" ht="18" customHeight="1"/>
    <row r="293" s="104" customFormat="1" ht="18" customHeight="1"/>
    <row r="294" s="104" customFormat="1" ht="18" customHeight="1"/>
    <row r="295" s="104" customFormat="1" ht="18" customHeight="1"/>
    <row r="296" s="104" customFormat="1" ht="18" customHeight="1"/>
    <row r="297" s="104" customFormat="1" ht="18" customHeight="1"/>
    <row r="298" s="104" customFormat="1" ht="18" customHeight="1"/>
    <row r="299" s="104" customFormat="1" ht="18" customHeight="1"/>
    <row r="300" s="104" customFormat="1" ht="18" customHeight="1"/>
    <row r="301" s="104" customFormat="1" ht="18" customHeight="1"/>
    <row r="302" s="104" customFormat="1" ht="18" customHeight="1"/>
    <row r="303" s="104" customFormat="1" ht="18" customHeight="1"/>
    <row r="304" s="104" customFormat="1" ht="18" customHeight="1"/>
    <row r="305" s="104" customFormat="1" ht="18" customHeight="1"/>
    <row r="306" s="104" customFormat="1" ht="18" customHeight="1"/>
    <row r="307" s="104" customFormat="1" ht="18" customHeight="1"/>
    <row r="308" s="104" customFormat="1" ht="18" customHeight="1"/>
    <row r="309" s="104" customFormat="1" ht="18" customHeight="1"/>
    <row r="310" s="104" customFormat="1" ht="18" customHeight="1"/>
    <row r="311" s="104" customFormat="1" ht="18" customHeight="1"/>
    <row r="312" s="104" customFormat="1" ht="18" customHeight="1"/>
    <row r="313" s="104" customFormat="1" ht="18" customHeight="1"/>
    <row r="314" s="104" customFormat="1" ht="18" customHeight="1"/>
    <row r="315" s="104" customFormat="1" ht="18" customHeight="1"/>
    <row r="316" s="104" customFormat="1" ht="18" customHeight="1"/>
    <row r="317" s="104" customFormat="1" ht="18" customHeight="1"/>
    <row r="318" s="104" customFormat="1" ht="18" customHeight="1"/>
    <row r="319" s="104" customFormat="1" ht="18" customHeight="1"/>
    <row r="320" s="104" customFormat="1" ht="18" customHeight="1"/>
    <row r="321" s="104" customFormat="1" ht="18" customHeight="1"/>
    <row r="322" s="104" customFormat="1" ht="18" customHeight="1"/>
    <row r="323" s="104" customFormat="1" ht="18" customHeight="1"/>
    <row r="324" s="104" customFormat="1" ht="18" customHeight="1"/>
    <row r="325" s="104" customFormat="1" ht="18" customHeight="1"/>
    <row r="326" s="104" customFormat="1" ht="18" customHeight="1"/>
    <row r="327" s="104" customFormat="1" ht="18" customHeight="1"/>
    <row r="328" s="104" customFormat="1" ht="18" customHeight="1"/>
    <row r="329" s="104" customFormat="1" ht="18" customHeight="1"/>
    <row r="330" s="104" customFormat="1" ht="18" customHeight="1"/>
    <row r="331" s="104" customFormat="1" ht="18" customHeight="1"/>
    <row r="332" s="104" customFormat="1" ht="18" customHeight="1"/>
    <row r="333" s="104" customFormat="1" ht="18" customHeight="1"/>
    <row r="334" s="104" customFormat="1" ht="18" customHeight="1"/>
    <row r="335" s="104" customFormat="1" ht="18" customHeight="1"/>
    <row r="336" s="104" customFormat="1" ht="18" customHeight="1"/>
    <row r="337" s="104" customFormat="1" ht="18" customHeight="1"/>
    <row r="338" s="104" customFormat="1" ht="18" customHeight="1"/>
    <row r="339" s="104" customFormat="1" ht="18" customHeight="1"/>
    <row r="340" s="104" customFormat="1" ht="18" customHeight="1"/>
    <row r="341" s="104" customFormat="1" ht="18" customHeight="1"/>
    <row r="342" s="104" customFormat="1" ht="18" customHeight="1"/>
    <row r="343" s="104" customFormat="1" ht="18" customHeight="1"/>
    <row r="344" s="104" customFormat="1" ht="18" customHeight="1"/>
    <row r="345" s="104" customFormat="1" ht="18" customHeight="1"/>
    <row r="346" s="104" customFormat="1" ht="18" customHeight="1"/>
    <row r="347" s="104" customFormat="1" ht="18" customHeight="1"/>
    <row r="348" s="104" customFormat="1" ht="18" customHeight="1"/>
    <row r="349" s="104" customFormat="1" ht="18" customHeight="1"/>
    <row r="350" s="104" customFormat="1" ht="18" customHeight="1"/>
    <row r="351" s="104" customFormat="1" ht="18" customHeight="1"/>
    <row r="352" s="104" customFormat="1" ht="18" customHeight="1"/>
    <row r="353" s="104" customFormat="1" ht="18" customHeight="1"/>
    <row r="354" s="104" customFormat="1" ht="18" customHeight="1"/>
    <row r="355" s="104" customFormat="1" ht="18" customHeight="1"/>
    <row r="356" s="104" customFormat="1" ht="18" customHeight="1"/>
    <row r="357" s="104" customFormat="1" ht="18" customHeight="1"/>
    <row r="358" s="104" customFormat="1" ht="18" customHeight="1"/>
    <row r="359" s="104" customFormat="1" ht="18" customHeight="1"/>
    <row r="360" s="104" customFormat="1" ht="18" customHeight="1"/>
    <row r="361" s="104" customFormat="1" ht="18" customHeight="1"/>
    <row r="362" s="104" customFormat="1" ht="18" customHeight="1"/>
    <row r="363" s="104" customFormat="1" ht="18" customHeight="1"/>
    <row r="364" s="104" customFormat="1" ht="18" customHeight="1"/>
    <row r="365" s="104" customFormat="1" ht="18" customHeight="1"/>
    <row r="366" s="104" customFormat="1" ht="18" customHeight="1"/>
    <row r="367" s="104" customFormat="1" ht="18" customHeight="1"/>
    <row r="368" s="104" customFormat="1" ht="18" customHeight="1"/>
    <row r="369" s="104" customFormat="1" ht="18" customHeight="1"/>
    <row r="370" s="104" customFormat="1" ht="18" customHeight="1"/>
    <row r="371" s="104" customFormat="1" ht="18" customHeight="1"/>
    <row r="372" s="104" customFormat="1" ht="18" customHeight="1"/>
    <row r="373" s="104" customFormat="1" ht="18" customHeight="1"/>
    <row r="374" s="104" customFormat="1" ht="18" customHeight="1"/>
    <row r="375" s="104" customFormat="1" ht="18" customHeight="1"/>
    <row r="376" s="104" customFormat="1" ht="18" customHeight="1"/>
    <row r="377" s="104" customFormat="1" ht="18" customHeight="1"/>
    <row r="378" s="104" customFormat="1" ht="18" customHeight="1"/>
    <row r="379" s="104" customFormat="1" ht="18" customHeight="1"/>
    <row r="380" s="104" customFormat="1" ht="18" customHeight="1"/>
    <row r="381" s="104" customFormat="1" ht="18" customHeight="1"/>
    <row r="382" s="104" customFormat="1" ht="18" customHeight="1"/>
    <row r="383" s="104" customFormat="1" ht="18" customHeight="1"/>
    <row r="384" s="104" customFormat="1" ht="18" customHeight="1"/>
    <row r="385" s="104" customFormat="1" ht="18" customHeight="1"/>
    <row r="386" s="104" customFormat="1" ht="18" customHeight="1"/>
    <row r="387" s="104" customFormat="1" ht="18" customHeight="1"/>
    <row r="388" s="104" customFormat="1" ht="18" customHeight="1"/>
    <row r="389" s="104" customFormat="1" ht="18" customHeight="1"/>
    <row r="390" s="104" customFormat="1" ht="18" customHeight="1"/>
    <row r="391" s="104" customFormat="1" ht="18" customHeight="1"/>
    <row r="392" s="104" customFormat="1" ht="18" customHeight="1"/>
    <row r="393" s="104" customFormat="1" ht="18" customHeight="1"/>
    <row r="394" s="104" customFormat="1" ht="18" customHeight="1"/>
    <row r="395" s="104" customFormat="1" ht="18" customHeight="1"/>
    <row r="396" s="104" customFormat="1" ht="18" customHeight="1"/>
    <row r="397" s="104" customFormat="1" ht="18" customHeight="1"/>
    <row r="398" s="104" customFormat="1" ht="18" customHeight="1"/>
    <row r="399" s="104" customFormat="1" ht="18" customHeight="1"/>
    <row r="400" s="104" customFormat="1" ht="18" customHeight="1"/>
    <row r="401" s="104" customFormat="1" ht="18" customHeight="1"/>
    <row r="402" s="104" customFormat="1" ht="18" customHeight="1"/>
    <row r="403" s="104" customFormat="1" ht="18" customHeight="1"/>
    <row r="404" s="104" customFormat="1" ht="18" customHeight="1"/>
    <row r="405" s="104" customFormat="1" ht="18" customHeight="1"/>
    <row r="406" s="104" customFormat="1" ht="18" customHeight="1"/>
    <row r="407" s="104" customFormat="1" ht="18" customHeight="1"/>
    <row r="408" s="104" customFormat="1" ht="18" customHeight="1"/>
    <row r="409" s="104" customFormat="1" ht="18" customHeight="1"/>
    <row r="410" s="104" customFormat="1" ht="18" customHeight="1"/>
    <row r="411" s="104" customFormat="1" ht="18" customHeight="1"/>
    <row r="412" s="104" customFormat="1" ht="18" customHeight="1"/>
    <row r="413" s="104" customFormat="1" ht="18" customHeight="1"/>
    <row r="414" s="104" customFormat="1" ht="18" customHeight="1"/>
    <row r="415" s="104" customFormat="1" ht="18" customHeight="1"/>
    <row r="416" s="104" customFormat="1" ht="18" customHeight="1"/>
    <row r="417" s="104" customFormat="1" ht="18" customHeight="1"/>
    <row r="418" s="104" customFormat="1" ht="18" customHeight="1"/>
    <row r="419" s="104" customFormat="1" ht="18" customHeight="1"/>
    <row r="420" s="104" customFormat="1" ht="18" customHeight="1"/>
    <row r="421" s="104" customFormat="1" ht="18" customHeight="1"/>
    <row r="422" s="104" customFormat="1" ht="18" customHeight="1"/>
    <row r="423" s="104" customFormat="1" ht="18" customHeight="1"/>
    <row r="424" s="104" customFormat="1" ht="18" customHeight="1"/>
    <row r="425" s="104" customFormat="1" ht="18" customHeight="1"/>
    <row r="426" s="104" customFormat="1" ht="18" customHeight="1"/>
    <row r="427" s="104" customFormat="1" ht="18" customHeight="1"/>
    <row r="428" s="104" customFormat="1" ht="18" customHeight="1"/>
    <row r="429" s="104" customFormat="1" ht="18" customHeight="1"/>
    <row r="430" s="104" customFormat="1" ht="18" customHeight="1"/>
    <row r="431" s="104" customFormat="1" ht="18" customHeight="1"/>
    <row r="432" s="104" customFormat="1" ht="18" customHeight="1"/>
    <row r="433" s="104" customFormat="1" ht="18" customHeight="1"/>
    <row r="434" s="104" customFormat="1" ht="18" customHeight="1"/>
    <row r="435" s="104" customFormat="1" ht="18" customHeight="1"/>
    <row r="436" s="104" customFormat="1" ht="18" customHeight="1"/>
    <row r="437" s="104" customFormat="1" ht="18" customHeight="1"/>
    <row r="438" s="104" customFormat="1" ht="18" customHeight="1"/>
    <row r="439" s="104" customFormat="1" ht="18" customHeight="1"/>
    <row r="440" s="104" customFormat="1" ht="18" customHeight="1"/>
    <row r="441" s="104" customFormat="1" ht="18" customHeight="1"/>
    <row r="442" s="104" customFormat="1" ht="18" customHeight="1"/>
    <row r="443" s="104" customFormat="1" ht="18" customHeight="1"/>
    <row r="444" s="104" customFormat="1" ht="18" customHeight="1"/>
    <row r="445" s="104" customFormat="1" ht="18" customHeight="1"/>
    <row r="446" s="104" customFormat="1" ht="18" customHeight="1"/>
    <row r="447" s="104" customFormat="1" ht="18" customHeight="1"/>
    <row r="448" s="104" customFormat="1" ht="18" customHeight="1"/>
    <row r="449" s="104" customFormat="1" ht="18" customHeight="1"/>
    <row r="450" s="104" customFormat="1" ht="18" customHeight="1"/>
    <row r="451" s="104" customFormat="1" ht="18" customHeight="1"/>
    <row r="452" s="104" customFormat="1" ht="18" customHeight="1"/>
    <row r="453" s="104" customFormat="1" ht="18" customHeight="1"/>
    <row r="454" s="104" customFormat="1" ht="18" customHeight="1"/>
    <row r="455" s="104" customFormat="1" ht="18" customHeight="1"/>
    <row r="456" s="104" customFormat="1" ht="18" customHeight="1"/>
    <row r="457" s="104" customFormat="1" ht="18" customHeight="1"/>
    <row r="458" s="104" customFormat="1" ht="18" customHeight="1"/>
    <row r="459" s="104" customFormat="1" ht="18" customHeight="1"/>
    <row r="460" s="104" customFormat="1" ht="18" customHeight="1"/>
    <row r="461" s="104" customFormat="1" ht="18" customHeight="1"/>
    <row r="462" s="104" customFormat="1" ht="18" customHeight="1"/>
    <row r="463" s="104" customFormat="1" ht="18" customHeight="1"/>
    <row r="464" s="104" customFormat="1" ht="18" customHeight="1"/>
    <row r="465" s="104" customFormat="1" ht="18" customHeight="1"/>
    <row r="466" s="104" customFormat="1" ht="18" customHeight="1"/>
    <row r="467" s="104" customFormat="1" ht="18" customHeight="1"/>
    <row r="468" s="104" customFormat="1" ht="18" customHeight="1"/>
    <row r="469" s="104" customFormat="1" ht="18" customHeight="1"/>
    <row r="470" s="104" customFormat="1" ht="18" customHeight="1"/>
    <row r="471" s="104" customFormat="1" ht="18" customHeight="1"/>
    <row r="472" s="104" customFormat="1" ht="18" customHeight="1"/>
    <row r="473" s="104" customFormat="1" ht="18" customHeight="1"/>
    <row r="474" s="104" customFormat="1" ht="18" customHeight="1"/>
    <row r="475" s="104" customFormat="1" ht="18" customHeight="1"/>
    <row r="476" s="104" customFormat="1" ht="18" customHeight="1"/>
    <row r="477" s="104" customFormat="1" ht="18" customHeight="1"/>
    <row r="478" s="104" customFormat="1" ht="18" customHeight="1"/>
    <row r="479" s="104" customFormat="1" ht="18" customHeight="1"/>
    <row r="480" s="104" customFormat="1" ht="18" customHeight="1"/>
    <row r="481" s="104" customFormat="1" ht="18" customHeight="1"/>
    <row r="482" s="104" customFormat="1" ht="18" customHeight="1"/>
    <row r="483" s="104" customFormat="1" ht="18" customHeight="1"/>
    <row r="484" s="104" customFormat="1" ht="18" customHeight="1"/>
    <row r="485" s="104" customFormat="1" ht="18" customHeight="1"/>
    <row r="486" s="104" customFormat="1" ht="18" customHeight="1"/>
    <row r="487" s="104" customFormat="1" ht="18" customHeight="1"/>
    <row r="488" s="104" customFormat="1" ht="18" customHeight="1"/>
    <row r="489" s="104" customFormat="1" ht="18" customHeight="1"/>
    <row r="490" s="104" customFormat="1" ht="18" customHeight="1"/>
    <row r="491" s="104" customFormat="1" ht="18" customHeight="1"/>
    <row r="492" s="104" customFormat="1" ht="18" customHeight="1"/>
    <row r="493" s="104" customFormat="1" ht="18" customHeight="1"/>
    <row r="494" s="104" customFormat="1" ht="18" customHeight="1"/>
    <row r="495" s="104" customFormat="1" ht="18" customHeight="1"/>
    <row r="496" s="104" customFormat="1" ht="18" customHeight="1"/>
    <row r="497" s="104" customFormat="1" ht="18" customHeight="1"/>
    <row r="498" s="104" customFormat="1" ht="18" customHeight="1"/>
    <row r="499" s="104" customFormat="1" ht="18" customHeight="1"/>
    <row r="500" s="104" customFormat="1" ht="18" customHeight="1"/>
    <row r="501" s="104" customFormat="1" ht="18" customHeight="1"/>
    <row r="502" s="104" customFormat="1" ht="18" customHeight="1"/>
    <row r="503" s="104" customFormat="1" ht="18" customHeight="1"/>
    <row r="504" s="104" customFormat="1" ht="18" customHeight="1"/>
    <row r="505" s="104" customFormat="1" ht="18" customHeight="1"/>
    <row r="506" s="104" customFormat="1" ht="18" customHeight="1"/>
    <row r="507" s="104" customFormat="1" ht="18" customHeight="1"/>
    <row r="508" s="104" customFormat="1" ht="18" customHeight="1"/>
    <row r="509" s="104" customFormat="1" ht="18" customHeight="1"/>
    <row r="510" s="104" customFormat="1" ht="18" customHeight="1"/>
    <row r="511" s="104" customFormat="1" ht="18" customHeight="1"/>
    <row r="512" s="104" customFormat="1" ht="18" customHeight="1"/>
    <row r="513" s="104" customFormat="1" ht="18" customHeight="1"/>
    <row r="514" s="104" customFormat="1" ht="18" customHeight="1"/>
    <row r="515" s="104" customFormat="1" ht="18" customHeight="1"/>
    <row r="516" s="104" customFormat="1" ht="18" customHeight="1"/>
    <row r="517" s="104" customFormat="1" ht="18" customHeight="1"/>
    <row r="518" s="104" customFormat="1" ht="18" customHeight="1"/>
    <row r="519" s="104" customFormat="1" ht="18" customHeight="1"/>
    <row r="520" s="104" customFormat="1" ht="18" customHeight="1"/>
    <row r="521" s="104" customFormat="1" ht="18" customHeight="1"/>
    <row r="522" s="104" customFormat="1" ht="18" customHeight="1"/>
    <row r="523" s="104" customFormat="1" ht="18" customHeight="1"/>
    <row r="524" s="104" customFormat="1" ht="18" customHeight="1"/>
    <row r="525" s="104" customFormat="1" ht="18" customHeight="1"/>
    <row r="526" s="104" customFormat="1" ht="18" customHeight="1"/>
    <row r="527" s="104" customFormat="1" ht="18" customHeight="1"/>
    <row r="528" s="104" customFormat="1" ht="18" customHeight="1"/>
    <row r="529" s="104" customFormat="1" ht="18" customHeight="1"/>
    <row r="530" s="104" customFormat="1" ht="18" customHeight="1"/>
    <row r="531" s="104" customFormat="1" ht="18" customHeight="1"/>
    <row r="532" s="104" customFormat="1" ht="18" customHeight="1"/>
    <row r="533" s="104" customFormat="1" ht="18" customHeight="1"/>
    <row r="534" s="104" customFormat="1" ht="18" customHeight="1"/>
    <row r="535" s="104" customFormat="1" ht="18" customHeight="1"/>
    <row r="536" s="104" customFormat="1" ht="18" customHeight="1"/>
    <row r="537" s="104" customFormat="1" ht="18" customHeight="1"/>
    <row r="538" s="104" customFormat="1" ht="18" customHeight="1"/>
    <row r="539" s="104" customFormat="1" ht="18" customHeight="1"/>
    <row r="540" s="104" customFormat="1" ht="18" customHeight="1"/>
    <row r="541" s="104" customFormat="1" ht="18" customHeight="1"/>
    <row r="542" s="104" customFormat="1" ht="18" customHeight="1"/>
    <row r="543" s="104" customFormat="1" ht="18" customHeight="1"/>
    <row r="544" s="104" customFormat="1" ht="18" customHeight="1"/>
    <row r="545" s="104" customFormat="1" ht="18" customHeight="1"/>
    <row r="546" s="104" customFormat="1" ht="18" customHeight="1"/>
    <row r="547" s="104" customFormat="1" ht="18" customHeight="1"/>
    <row r="548" s="104" customFormat="1" ht="18" customHeight="1"/>
    <row r="549" s="104" customFormat="1" ht="18" customHeight="1"/>
    <row r="550" s="104" customFormat="1" ht="18" customHeight="1"/>
    <row r="551" s="104" customFormat="1" ht="18" customHeight="1"/>
    <row r="552" s="104" customFormat="1" ht="18" customHeight="1"/>
    <row r="553" s="104" customFormat="1" ht="18" customHeight="1"/>
    <row r="554" s="104" customFormat="1" ht="18" customHeight="1"/>
    <row r="555" s="104" customFormat="1" ht="18" customHeight="1"/>
    <row r="556" s="104" customFormat="1" ht="18" customHeight="1"/>
    <row r="557" s="104" customFormat="1" ht="18" customHeight="1"/>
    <row r="558" s="104" customFormat="1" ht="18" customHeight="1"/>
    <row r="559" s="104" customFormat="1" ht="18" customHeight="1"/>
    <row r="560" s="104" customFormat="1" ht="18" customHeight="1"/>
    <row r="561" s="104" customFormat="1" ht="18" customHeight="1"/>
    <row r="562" s="104" customFormat="1" ht="18" customHeight="1"/>
    <row r="563" s="104" customFormat="1" ht="18" customHeight="1"/>
    <row r="564" s="104" customFormat="1" ht="18" customHeight="1"/>
    <row r="565" s="104" customFormat="1" ht="18" customHeight="1"/>
    <row r="566" s="104" customFormat="1" ht="18" customHeight="1"/>
    <row r="567" s="104" customFormat="1" ht="18" customHeight="1"/>
    <row r="568" s="104" customFormat="1" ht="18" customHeight="1"/>
    <row r="569" s="104" customFormat="1" ht="18" customHeight="1"/>
    <row r="570" s="104" customFormat="1" ht="18" customHeight="1"/>
    <row r="571" s="104" customFormat="1" ht="18" customHeight="1"/>
    <row r="572" s="104" customFormat="1" ht="18" customHeight="1"/>
    <row r="573" s="104" customFormat="1" ht="18" customHeight="1"/>
    <row r="574" s="104" customFormat="1" ht="18" customHeight="1"/>
    <row r="575" s="104" customFormat="1" ht="18" customHeight="1"/>
    <row r="576" s="104" customFormat="1" ht="18" customHeight="1"/>
    <row r="577" s="104" customFormat="1" ht="18" customHeight="1"/>
    <row r="578" s="104" customFormat="1" ht="18" customHeight="1"/>
    <row r="579" s="104" customFormat="1" ht="18" customHeight="1"/>
    <row r="580" s="104" customFormat="1" ht="18" customHeight="1"/>
    <row r="581" s="104" customFormat="1" ht="18" customHeight="1"/>
    <row r="582" s="104" customFormat="1" ht="18" customHeight="1"/>
    <row r="583" s="104" customFormat="1" ht="18" customHeight="1"/>
    <row r="584" s="104" customFormat="1" ht="18" customHeight="1"/>
    <row r="585" s="104" customFormat="1" ht="18" customHeight="1"/>
    <row r="586" s="104" customFormat="1" ht="18" customHeight="1"/>
    <row r="587" s="104" customFormat="1" ht="18" customHeight="1"/>
    <row r="588" s="104" customFormat="1" ht="18" customHeight="1"/>
    <row r="589" s="104" customFormat="1" ht="18" customHeight="1"/>
    <row r="590" s="104" customFormat="1" ht="18" customHeight="1"/>
    <row r="591" s="104" customFormat="1" ht="18" customHeight="1"/>
    <row r="592" s="104" customFormat="1" ht="18" customHeight="1"/>
    <row r="593" s="104" customFormat="1" ht="18" customHeight="1"/>
    <row r="594" s="104" customFormat="1" ht="18" customHeight="1"/>
    <row r="595" s="104" customFormat="1" ht="18" customHeight="1"/>
    <row r="596" s="104" customFormat="1" ht="18" customHeight="1"/>
    <row r="597" s="104" customFormat="1" ht="18" customHeight="1"/>
    <row r="598" s="104" customFormat="1" ht="18" customHeight="1"/>
    <row r="599" s="104" customFormat="1" ht="18" customHeight="1"/>
    <row r="600" s="104" customFormat="1" ht="18" customHeight="1"/>
    <row r="601" s="104" customFormat="1" ht="18" customHeight="1"/>
    <row r="602" s="104" customFormat="1" ht="18" customHeight="1"/>
    <row r="603" s="104" customFormat="1" ht="18" customHeight="1"/>
    <row r="604" s="104" customFormat="1" ht="18" customHeight="1"/>
    <row r="605" s="104" customFormat="1" ht="18" customHeight="1"/>
    <row r="606" s="104" customFormat="1" ht="18" customHeight="1"/>
    <row r="607" s="104" customFormat="1" ht="18" customHeight="1"/>
    <row r="608" s="104" customFormat="1" ht="18" customHeight="1"/>
    <row r="609" s="104" customFormat="1" ht="18" customHeight="1"/>
    <row r="610" s="104" customFormat="1" ht="18" customHeight="1"/>
    <row r="611" s="104" customFormat="1" ht="18" customHeight="1"/>
    <row r="612" s="104" customFormat="1" ht="18" customHeight="1"/>
    <row r="613" s="104" customFormat="1" ht="18" customHeight="1"/>
    <row r="614" s="104" customFormat="1" ht="18" customHeight="1"/>
    <row r="615" s="104" customFormat="1" ht="18" customHeight="1"/>
    <row r="616" s="104" customFormat="1" ht="18" customHeight="1"/>
    <row r="617" s="104" customFormat="1" ht="18" customHeight="1"/>
    <row r="618" s="104" customFormat="1" ht="18" customHeight="1"/>
    <row r="619" s="104" customFormat="1" ht="18" customHeight="1"/>
    <row r="620" s="104" customFormat="1" ht="18" customHeight="1"/>
    <row r="621" s="104" customFormat="1" ht="18" customHeight="1"/>
    <row r="622" s="104" customFormat="1" ht="18" customHeight="1"/>
    <row r="623" s="104" customFormat="1" ht="18" customHeight="1"/>
    <row r="624" s="104" customFormat="1" ht="18" customHeight="1"/>
    <row r="625" spans="9:19" s="104" customFormat="1" ht="18" customHeight="1"/>
    <row r="626" spans="9:19" s="104" customFormat="1" ht="18" customHeight="1"/>
    <row r="627" spans="9:19" s="104" customFormat="1" ht="18" customHeight="1"/>
    <row r="628" spans="9:19" s="104" customFormat="1" ht="18" customHeight="1"/>
    <row r="629" spans="9:19" s="104" customFormat="1" ht="18" customHeight="1"/>
    <row r="630" spans="9:19" s="104" customFormat="1" ht="18" customHeight="1">
      <c r="J630"/>
      <c r="K630"/>
      <c r="L630"/>
      <c r="M630"/>
      <c r="N630"/>
      <c r="O630"/>
      <c r="P630"/>
      <c r="Q630"/>
      <c r="R630"/>
      <c r="S630"/>
    </row>
    <row r="631" spans="9:19" s="104" customFormat="1" ht="18" customHeight="1">
      <c r="I631"/>
      <c r="J631"/>
      <c r="K631"/>
      <c r="L631"/>
      <c r="M631"/>
      <c r="N631"/>
      <c r="O631"/>
      <c r="P631"/>
      <c r="Q631"/>
      <c r="R631"/>
      <c r="S631"/>
    </row>
  </sheetData>
  <mergeCells count="6">
    <mergeCell ref="I17:I25"/>
    <mergeCell ref="I28:I36"/>
    <mergeCell ref="I182:I185"/>
    <mergeCell ref="I131:I132"/>
    <mergeCell ref="I75:I82"/>
    <mergeCell ref="I85:I92"/>
  </mergeCells>
  <phoneticPr fontId="75" type="noConversion"/>
  <printOptions horizontalCentered="1"/>
  <pageMargins left="0.7" right="0.7" top="0.75" bottom="0.75" header="0.3" footer="0.3"/>
  <pageSetup scale="80" fitToHeight="0" orientation="portrait" horizontalDpi="300" r:id="rId1"/>
  <rowBreaks count="4" manualBreakCount="4">
    <brk id="36" min="3" max="7" man="1"/>
    <brk id="72" min="3" max="7" man="1"/>
    <brk id="113" min="3" max="7" man="1"/>
    <brk id="163" min="3" max="7" man="1"/>
  </rowBreaks>
  <extLst>
    <ext xmlns:mx="http://schemas.microsoft.com/office/mac/excel/2008/main" uri="http://schemas.microsoft.com/office/mac/excel/2008/main">
      <mx:PLV Mode="0" OnePage="0" WScale="0"/>
    </ext>
  </extLst>
</worksheet>
</file>

<file path=xl/worksheets/sheet26.xml><?xml version="1.0" encoding="utf-8"?>
<worksheet xmlns="http://schemas.openxmlformats.org/spreadsheetml/2006/main" xmlns:r="http://schemas.openxmlformats.org/officeDocument/2006/relationships">
  <sheetPr codeName="Sheet27" enableFormatConditionsCalculation="0"/>
  <dimension ref="A1:AI26"/>
  <sheetViews>
    <sheetView topLeftCell="A34" zoomScale="85" zoomScaleNormal="85" zoomScalePageLayoutView="85" workbookViewId="0">
      <selection activeCell="Q57" sqref="Q57"/>
    </sheetView>
  </sheetViews>
  <sheetFormatPr defaultColWidth="8.85546875" defaultRowHeight="12.75"/>
  <cols>
    <col min="1" max="3" width="8.85546875" style="232"/>
    <col min="4" max="7" width="13.7109375" style="232" customWidth="1"/>
    <col min="8" max="8" width="2.28515625" style="232" customWidth="1"/>
    <col min="9" max="12" width="14.28515625" style="232" customWidth="1"/>
    <col min="13" max="13" width="2.42578125" style="232" customWidth="1"/>
    <col min="14" max="17" width="14.140625" style="232" customWidth="1"/>
    <col min="18" max="18" width="2.42578125" style="232" customWidth="1"/>
    <col min="19" max="21" width="10.42578125" style="232" customWidth="1"/>
    <col min="22" max="22" width="3.140625" style="232" customWidth="1"/>
    <col min="23" max="24" width="23.42578125" style="232" customWidth="1"/>
    <col min="25" max="25" width="78.140625" style="235" customWidth="1"/>
    <col min="26" max="26" width="3.28515625" style="232" customWidth="1"/>
    <col min="27" max="29" width="14.28515625" style="232" customWidth="1"/>
    <col min="30" max="30" width="104.140625" style="235" customWidth="1"/>
    <col min="31" max="31" width="3.42578125" style="232" customWidth="1"/>
    <col min="32" max="34" width="15" style="232" customWidth="1"/>
    <col min="35" max="35" width="87.85546875" style="235" customWidth="1"/>
    <col min="36" max="250" width="8.85546875" style="232"/>
    <col min="251" max="251" width="13.140625" style="232" bestFit="1" customWidth="1"/>
    <col min="252" max="252" width="10" style="232" customWidth="1"/>
    <col min="253" max="253" width="10.28515625" style="232" bestFit="1" customWidth="1"/>
    <col min="254" max="254" width="10.140625" style="232" bestFit="1" customWidth="1"/>
    <col min="255" max="255" width="8.85546875" style="232"/>
    <col min="256" max="256" width="32.42578125" style="232" bestFit="1" customWidth="1"/>
    <col min="257" max="259" width="8.85546875" style="232"/>
    <col min="260" max="263" width="13.7109375" style="232" customWidth="1"/>
    <col min="264" max="264" width="2.28515625" style="232" customWidth="1"/>
    <col min="265" max="268" width="14.28515625" style="232" customWidth="1"/>
    <col min="269" max="269" width="2.42578125" style="232" customWidth="1"/>
    <col min="270" max="273" width="14.140625" style="232" customWidth="1"/>
    <col min="274" max="274" width="2.42578125" style="232" customWidth="1"/>
    <col min="275" max="277" width="10.42578125" style="232" customWidth="1"/>
    <col min="278" max="278" width="3.140625" style="232" customWidth="1"/>
    <col min="279" max="280" width="23.42578125" style="232" customWidth="1"/>
    <col min="281" max="281" width="78.140625" style="232" customWidth="1"/>
    <col min="282" max="282" width="3.28515625" style="232" customWidth="1"/>
    <col min="283" max="285" width="14.28515625" style="232" customWidth="1"/>
    <col min="286" max="286" width="104.140625" style="232" customWidth="1"/>
    <col min="287" max="287" width="3.42578125" style="232" customWidth="1"/>
    <col min="288" max="290" width="15" style="232" customWidth="1"/>
    <col min="291" max="291" width="87.85546875" style="232" customWidth="1"/>
    <col min="292" max="506" width="8.85546875" style="232"/>
    <col min="507" max="507" width="13.140625" style="232" bestFit="1" customWidth="1"/>
    <col min="508" max="508" width="10" style="232" customWidth="1"/>
    <col min="509" max="509" width="10.28515625" style="232" bestFit="1" customWidth="1"/>
    <col min="510" max="510" width="10.140625" style="232" bestFit="1" customWidth="1"/>
    <col min="511" max="511" width="8.85546875" style="232"/>
    <col min="512" max="512" width="32.42578125" style="232" bestFit="1" customWidth="1"/>
    <col min="513" max="515" width="8.85546875" style="232"/>
    <col min="516" max="519" width="13.7109375" style="232" customWidth="1"/>
    <col min="520" max="520" width="2.28515625" style="232" customWidth="1"/>
    <col min="521" max="524" width="14.28515625" style="232" customWidth="1"/>
    <col min="525" max="525" width="2.42578125" style="232" customWidth="1"/>
    <col min="526" max="529" width="14.140625" style="232" customWidth="1"/>
    <col min="530" max="530" width="2.42578125" style="232" customWidth="1"/>
    <col min="531" max="533" width="10.42578125" style="232" customWidth="1"/>
    <col min="534" max="534" width="3.140625" style="232" customWidth="1"/>
    <col min="535" max="536" width="23.42578125" style="232" customWidth="1"/>
    <col min="537" max="537" width="78.140625" style="232" customWidth="1"/>
    <col min="538" max="538" width="3.28515625" style="232" customWidth="1"/>
    <col min="539" max="541" width="14.28515625" style="232" customWidth="1"/>
    <col min="542" max="542" width="104.140625" style="232" customWidth="1"/>
    <col min="543" max="543" width="3.42578125" style="232" customWidth="1"/>
    <col min="544" max="546" width="15" style="232" customWidth="1"/>
    <col min="547" max="547" width="87.85546875" style="232" customWidth="1"/>
    <col min="548" max="762" width="8.85546875" style="232"/>
    <col min="763" max="763" width="13.140625" style="232" bestFit="1" customWidth="1"/>
    <col min="764" max="764" width="10" style="232" customWidth="1"/>
    <col min="765" max="765" width="10.28515625" style="232" bestFit="1" customWidth="1"/>
    <col min="766" max="766" width="10.140625" style="232" bestFit="1" customWidth="1"/>
    <col min="767" max="767" width="8.85546875" style="232"/>
    <col min="768" max="768" width="32.42578125" style="232" bestFit="1" customWidth="1"/>
    <col min="769" max="771" width="8.85546875" style="232"/>
    <col min="772" max="775" width="13.7109375" style="232" customWidth="1"/>
    <col min="776" max="776" width="2.28515625" style="232" customWidth="1"/>
    <col min="777" max="780" width="14.28515625" style="232" customWidth="1"/>
    <col min="781" max="781" width="2.42578125" style="232" customWidth="1"/>
    <col min="782" max="785" width="14.140625" style="232" customWidth="1"/>
    <col min="786" max="786" width="2.42578125" style="232" customWidth="1"/>
    <col min="787" max="789" width="10.42578125" style="232" customWidth="1"/>
    <col min="790" max="790" width="3.140625" style="232" customWidth="1"/>
    <col min="791" max="792" width="23.42578125" style="232" customWidth="1"/>
    <col min="793" max="793" width="78.140625" style="232" customWidth="1"/>
    <col min="794" max="794" width="3.28515625" style="232" customWidth="1"/>
    <col min="795" max="797" width="14.28515625" style="232" customWidth="1"/>
    <col min="798" max="798" width="104.140625" style="232" customWidth="1"/>
    <col min="799" max="799" width="3.42578125" style="232" customWidth="1"/>
    <col min="800" max="802" width="15" style="232" customWidth="1"/>
    <col min="803" max="803" width="87.85546875" style="232" customWidth="1"/>
    <col min="804" max="1018" width="8.85546875" style="232"/>
    <col min="1019" max="1019" width="13.140625" style="232" bestFit="1" customWidth="1"/>
    <col min="1020" max="1020" width="10" style="232" customWidth="1"/>
    <col min="1021" max="1021" width="10.28515625" style="232" bestFit="1" customWidth="1"/>
    <col min="1022" max="1022" width="10.140625" style="232" bestFit="1" customWidth="1"/>
    <col min="1023" max="1023" width="8.85546875" style="232"/>
    <col min="1024" max="1024" width="32.42578125" style="232" bestFit="1" customWidth="1"/>
    <col min="1025" max="1027" width="8.85546875" style="232"/>
    <col min="1028" max="1031" width="13.7109375" style="232" customWidth="1"/>
    <col min="1032" max="1032" width="2.28515625" style="232" customWidth="1"/>
    <col min="1033" max="1036" width="14.28515625" style="232" customWidth="1"/>
    <col min="1037" max="1037" width="2.42578125" style="232" customWidth="1"/>
    <col min="1038" max="1041" width="14.140625" style="232" customWidth="1"/>
    <col min="1042" max="1042" width="2.42578125" style="232" customWidth="1"/>
    <col min="1043" max="1045" width="10.42578125" style="232" customWidth="1"/>
    <col min="1046" max="1046" width="3.140625" style="232" customWidth="1"/>
    <col min="1047" max="1048" width="23.42578125" style="232" customWidth="1"/>
    <col min="1049" max="1049" width="78.140625" style="232" customWidth="1"/>
    <col min="1050" max="1050" width="3.28515625" style="232" customWidth="1"/>
    <col min="1051" max="1053" width="14.28515625" style="232" customWidth="1"/>
    <col min="1054" max="1054" width="104.140625" style="232" customWidth="1"/>
    <col min="1055" max="1055" width="3.42578125" style="232" customWidth="1"/>
    <col min="1056" max="1058" width="15" style="232" customWidth="1"/>
    <col min="1059" max="1059" width="87.85546875" style="232" customWidth="1"/>
    <col min="1060" max="1274" width="8.85546875" style="232"/>
    <col min="1275" max="1275" width="13.140625" style="232" bestFit="1" customWidth="1"/>
    <col min="1276" max="1276" width="10" style="232" customWidth="1"/>
    <col min="1277" max="1277" width="10.28515625" style="232" bestFit="1" customWidth="1"/>
    <col min="1278" max="1278" width="10.140625" style="232" bestFit="1" customWidth="1"/>
    <col min="1279" max="1279" width="8.85546875" style="232"/>
    <col min="1280" max="1280" width="32.42578125" style="232" bestFit="1" customWidth="1"/>
    <col min="1281" max="1283" width="8.85546875" style="232"/>
    <col min="1284" max="1287" width="13.7109375" style="232" customWidth="1"/>
    <col min="1288" max="1288" width="2.28515625" style="232" customWidth="1"/>
    <col min="1289" max="1292" width="14.28515625" style="232" customWidth="1"/>
    <col min="1293" max="1293" width="2.42578125" style="232" customWidth="1"/>
    <col min="1294" max="1297" width="14.140625" style="232" customWidth="1"/>
    <col min="1298" max="1298" width="2.42578125" style="232" customWidth="1"/>
    <col min="1299" max="1301" width="10.42578125" style="232" customWidth="1"/>
    <col min="1302" max="1302" width="3.140625" style="232" customWidth="1"/>
    <col min="1303" max="1304" width="23.42578125" style="232" customWidth="1"/>
    <col min="1305" max="1305" width="78.140625" style="232" customWidth="1"/>
    <col min="1306" max="1306" width="3.28515625" style="232" customWidth="1"/>
    <col min="1307" max="1309" width="14.28515625" style="232" customWidth="1"/>
    <col min="1310" max="1310" width="104.140625" style="232" customWidth="1"/>
    <col min="1311" max="1311" width="3.42578125" style="232" customWidth="1"/>
    <col min="1312" max="1314" width="15" style="232" customWidth="1"/>
    <col min="1315" max="1315" width="87.85546875" style="232" customWidth="1"/>
    <col min="1316" max="1530" width="8.85546875" style="232"/>
    <col min="1531" max="1531" width="13.140625" style="232" bestFit="1" customWidth="1"/>
    <col min="1532" max="1532" width="10" style="232" customWidth="1"/>
    <col min="1533" max="1533" width="10.28515625" style="232" bestFit="1" customWidth="1"/>
    <col min="1534" max="1534" width="10.140625" style="232" bestFit="1" customWidth="1"/>
    <col min="1535" max="1535" width="8.85546875" style="232"/>
    <col min="1536" max="1536" width="32.42578125" style="232" bestFit="1" customWidth="1"/>
    <col min="1537" max="1539" width="8.85546875" style="232"/>
    <col min="1540" max="1543" width="13.7109375" style="232" customWidth="1"/>
    <col min="1544" max="1544" width="2.28515625" style="232" customWidth="1"/>
    <col min="1545" max="1548" width="14.28515625" style="232" customWidth="1"/>
    <col min="1549" max="1549" width="2.42578125" style="232" customWidth="1"/>
    <col min="1550" max="1553" width="14.140625" style="232" customWidth="1"/>
    <col min="1554" max="1554" width="2.42578125" style="232" customWidth="1"/>
    <col min="1555" max="1557" width="10.42578125" style="232" customWidth="1"/>
    <col min="1558" max="1558" width="3.140625" style="232" customWidth="1"/>
    <col min="1559" max="1560" width="23.42578125" style="232" customWidth="1"/>
    <col min="1561" max="1561" width="78.140625" style="232" customWidth="1"/>
    <col min="1562" max="1562" width="3.28515625" style="232" customWidth="1"/>
    <col min="1563" max="1565" width="14.28515625" style="232" customWidth="1"/>
    <col min="1566" max="1566" width="104.140625" style="232" customWidth="1"/>
    <col min="1567" max="1567" width="3.42578125" style="232" customWidth="1"/>
    <col min="1568" max="1570" width="15" style="232" customWidth="1"/>
    <col min="1571" max="1571" width="87.85546875" style="232" customWidth="1"/>
    <col min="1572" max="1786" width="8.85546875" style="232"/>
    <col min="1787" max="1787" width="13.140625" style="232" bestFit="1" customWidth="1"/>
    <col min="1788" max="1788" width="10" style="232" customWidth="1"/>
    <col min="1789" max="1789" width="10.28515625" style="232" bestFit="1" customWidth="1"/>
    <col min="1790" max="1790" width="10.140625" style="232" bestFit="1" customWidth="1"/>
    <col min="1791" max="1791" width="8.85546875" style="232"/>
    <col min="1792" max="1792" width="32.42578125" style="232" bestFit="1" customWidth="1"/>
    <col min="1793" max="1795" width="8.85546875" style="232"/>
    <col min="1796" max="1799" width="13.7109375" style="232" customWidth="1"/>
    <col min="1800" max="1800" width="2.28515625" style="232" customWidth="1"/>
    <col min="1801" max="1804" width="14.28515625" style="232" customWidth="1"/>
    <col min="1805" max="1805" width="2.42578125" style="232" customWidth="1"/>
    <col min="1806" max="1809" width="14.140625" style="232" customWidth="1"/>
    <col min="1810" max="1810" width="2.42578125" style="232" customWidth="1"/>
    <col min="1811" max="1813" width="10.42578125" style="232" customWidth="1"/>
    <col min="1814" max="1814" width="3.140625" style="232" customWidth="1"/>
    <col min="1815" max="1816" width="23.42578125" style="232" customWidth="1"/>
    <col min="1817" max="1817" width="78.140625" style="232" customWidth="1"/>
    <col min="1818" max="1818" width="3.28515625" style="232" customWidth="1"/>
    <col min="1819" max="1821" width="14.28515625" style="232" customWidth="1"/>
    <col min="1822" max="1822" width="104.140625" style="232" customWidth="1"/>
    <col min="1823" max="1823" width="3.42578125" style="232" customWidth="1"/>
    <col min="1824" max="1826" width="15" style="232" customWidth="1"/>
    <col min="1827" max="1827" width="87.85546875" style="232" customWidth="1"/>
    <col min="1828" max="2042" width="8.85546875" style="232"/>
    <col min="2043" max="2043" width="13.140625" style="232" bestFit="1" customWidth="1"/>
    <col min="2044" max="2044" width="10" style="232" customWidth="1"/>
    <col min="2045" max="2045" width="10.28515625" style="232" bestFit="1" customWidth="1"/>
    <col min="2046" max="2046" width="10.140625" style="232" bestFit="1" customWidth="1"/>
    <col min="2047" max="2047" width="8.85546875" style="232"/>
    <col min="2048" max="2048" width="32.42578125" style="232" bestFit="1" customWidth="1"/>
    <col min="2049" max="2051" width="8.85546875" style="232"/>
    <col min="2052" max="2055" width="13.7109375" style="232" customWidth="1"/>
    <col min="2056" max="2056" width="2.28515625" style="232" customWidth="1"/>
    <col min="2057" max="2060" width="14.28515625" style="232" customWidth="1"/>
    <col min="2061" max="2061" width="2.42578125" style="232" customWidth="1"/>
    <col min="2062" max="2065" width="14.140625" style="232" customWidth="1"/>
    <col min="2066" max="2066" width="2.42578125" style="232" customWidth="1"/>
    <col min="2067" max="2069" width="10.42578125" style="232" customWidth="1"/>
    <col min="2070" max="2070" width="3.140625" style="232" customWidth="1"/>
    <col min="2071" max="2072" width="23.42578125" style="232" customWidth="1"/>
    <col min="2073" max="2073" width="78.140625" style="232" customWidth="1"/>
    <col min="2074" max="2074" width="3.28515625" style="232" customWidth="1"/>
    <col min="2075" max="2077" width="14.28515625" style="232" customWidth="1"/>
    <col min="2078" max="2078" width="104.140625" style="232" customWidth="1"/>
    <col min="2079" max="2079" width="3.42578125" style="232" customWidth="1"/>
    <col min="2080" max="2082" width="15" style="232" customWidth="1"/>
    <col min="2083" max="2083" width="87.85546875" style="232" customWidth="1"/>
    <col min="2084" max="2298" width="8.85546875" style="232"/>
    <col min="2299" max="2299" width="13.140625" style="232" bestFit="1" customWidth="1"/>
    <col min="2300" max="2300" width="10" style="232" customWidth="1"/>
    <col min="2301" max="2301" width="10.28515625" style="232" bestFit="1" customWidth="1"/>
    <col min="2302" max="2302" width="10.140625" style="232" bestFit="1" customWidth="1"/>
    <col min="2303" max="2303" width="8.85546875" style="232"/>
    <col min="2304" max="2304" width="32.42578125" style="232" bestFit="1" customWidth="1"/>
    <col min="2305" max="2307" width="8.85546875" style="232"/>
    <col min="2308" max="2311" width="13.7109375" style="232" customWidth="1"/>
    <col min="2312" max="2312" width="2.28515625" style="232" customWidth="1"/>
    <col min="2313" max="2316" width="14.28515625" style="232" customWidth="1"/>
    <col min="2317" max="2317" width="2.42578125" style="232" customWidth="1"/>
    <col min="2318" max="2321" width="14.140625" style="232" customWidth="1"/>
    <col min="2322" max="2322" width="2.42578125" style="232" customWidth="1"/>
    <col min="2323" max="2325" width="10.42578125" style="232" customWidth="1"/>
    <col min="2326" max="2326" width="3.140625" style="232" customWidth="1"/>
    <col min="2327" max="2328" width="23.42578125" style="232" customWidth="1"/>
    <col min="2329" max="2329" width="78.140625" style="232" customWidth="1"/>
    <col min="2330" max="2330" width="3.28515625" style="232" customWidth="1"/>
    <col min="2331" max="2333" width="14.28515625" style="232" customWidth="1"/>
    <col min="2334" max="2334" width="104.140625" style="232" customWidth="1"/>
    <col min="2335" max="2335" width="3.42578125" style="232" customWidth="1"/>
    <col min="2336" max="2338" width="15" style="232" customWidth="1"/>
    <col min="2339" max="2339" width="87.85546875" style="232" customWidth="1"/>
    <col min="2340" max="2554" width="8.85546875" style="232"/>
    <col min="2555" max="2555" width="13.140625" style="232" bestFit="1" customWidth="1"/>
    <col min="2556" max="2556" width="10" style="232" customWidth="1"/>
    <col min="2557" max="2557" width="10.28515625" style="232" bestFit="1" customWidth="1"/>
    <col min="2558" max="2558" width="10.140625" style="232" bestFit="1" customWidth="1"/>
    <col min="2559" max="2559" width="8.85546875" style="232"/>
    <col min="2560" max="2560" width="32.42578125" style="232" bestFit="1" customWidth="1"/>
    <col min="2561" max="2563" width="8.85546875" style="232"/>
    <col min="2564" max="2567" width="13.7109375" style="232" customWidth="1"/>
    <col min="2568" max="2568" width="2.28515625" style="232" customWidth="1"/>
    <col min="2569" max="2572" width="14.28515625" style="232" customWidth="1"/>
    <col min="2573" max="2573" width="2.42578125" style="232" customWidth="1"/>
    <col min="2574" max="2577" width="14.140625" style="232" customWidth="1"/>
    <col min="2578" max="2578" width="2.42578125" style="232" customWidth="1"/>
    <col min="2579" max="2581" width="10.42578125" style="232" customWidth="1"/>
    <col min="2582" max="2582" width="3.140625" style="232" customWidth="1"/>
    <col min="2583" max="2584" width="23.42578125" style="232" customWidth="1"/>
    <col min="2585" max="2585" width="78.140625" style="232" customWidth="1"/>
    <col min="2586" max="2586" width="3.28515625" style="232" customWidth="1"/>
    <col min="2587" max="2589" width="14.28515625" style="232" customWidth="1"/>
    <col min="2590" max="2590" width="104.140625" style="232" customWidth="1"/>
    <col min="2591" max="2591" width="3.42578125" style="232" customWidth="1"/>
    <col min="2592" max="2594" width="15" style="232" customWidth="1"/>
    <col min="2595" max="2595" width="87.85546875" style="232" customWidth="1"/>
    <col min="2596" max="2810" width="8.85546875" style="232"/>
    <col min="2811" max="2811" width="13.140625" style="232" bestFit="1" customWidth="1"/>
    <col min="2812" max="2812" width="10" style="232" customWidth="1"/>
    <col min="2813" max="2813" width="10.28515625" style="232" bestFit="1" customWidth="1"/>
    <col min="2814" max="2814" width="10.140625" style="232" bestFit="1" customWidth="1"/>
    <col min="2815" max="2815" width="8.85546875" style="232"/>
    <col min="2816" max="2816" width="32.42578125" style="232" bestFit="1" customWidth="1"/>
    <col min="2817" max="2819" width="8.85546875" style="232"/>
    <col min="2820" max="2823" width="13.7109375" style="232" customWidth="1"/>
    <col min="2824" max="2824" width="2.28515625" style="232" customWidth="1"/>
    <col min="2825" max="2828" width="14.28515625" style="232" customWidth="1"/>
    <col min="2829" max="2829" width="2.42578125" style="232" customWidth="1"/>
    <col min="2830" max="2833" width="14.140625" style="232" customWidth="1"/>
    <col min="2834" max="2834" width="2.42578125" style="232" customWidth="1"/>
    <col min="2835" max="2837" width="10.42578125" style="232" customWidth="1"/>
    <col min="2838" max="2838" width="3.140625" style="232" customWidth="1"/>
    <col min="2839" max="2840" width="23.42578125" style="232" customWidth="1"/>
    <col min="2841" max="2841" width="78.140625" style="232" customWidth="1"/>
    <col min="2842" max="2842" width="3.28515625" style="232" customWidth="1"/>
    <col min="2843" max="2845" width="14.28515625" style="232" customWidth="1"/>
    <col min="2846" max="2846" width="104.140625" style="232" customWidth="1"/>
    <col min="2847" max="2847" width="3.42578125" style="232" customWidth="1"/>
    <col min="2848" max="2850" width="15" style="232" customWidth="1"/>
    <col min="2851" max="2851" width="87.85546875" style="232" customWidth="1"/>
    <col min="2852" max="3066" width="8.85546875" style="232"/>
    <col min="3067" max="3067" width="13.140625" style="232" bestFit="1" customWidth="1"/>
    <col min="3068" max="3068" width="10" style="232" customWidth="1"/>
    <col min="3069" max="3069" width="10.28515625" style="232" bestFit="1" customWidth="1"/>
    <col min="3070" max="3070" width="10.140625" style="232" bestFit="1" customWidth="1"/>
    <col min="3071" max="3071" width="8.85546875" style="232"/>
    <col min="3072" max="3072" width="32.42578125" style="232" bestFit="1" customWidth="1"/>
    <col min="3073" max="3075" width="8.85546875" style="232"/>
    <col min="3076" max="3079" width="13.7109375" style="232" customWidth="1"/>
    <col min="3080" max="3080" width="2.28515625" style="232" customWidth="1"/>
    <col min="3081" max="3084" width="14.28515625" style="232" customWidth="1"/>
    <col min="3085" max="3085" width="2.42578125" style="232" customWidth="1"/>
    <col min="3086" max="3089" width="14.140625" style="232" customWidth="1"/>
    <col min="3090" max="3090" width="2.42578125" style="232" customWidth="1"/>
    <col min="3091" max="3093" width="10.42578125" style="232" customWidth="1"/>
    <col min="3094" max="3094" width="3.140625" style="232" customWidth="1"/>
    <col min="3095" max="3096" width="23.42578125" style="232" customWidth="1"/>
    <col min="3097" max="3097" width="78.140625" style="232" customWidth="1"/>
    <col min="3098" max="3098" width="3.28515625" style="232" customWidth="1"/>
    <col min="3099" max="3101" width="14.28515625" style="232" customWidth="1"/>
    <col min="3102" max="3102" width="104.140625" style="232" customWidth="1"/>
    <col min="3103" max="3103" width="3.42578125" style="232" customWidth="1"/>
    <col min="3104" max="3106" width="15" style="232" customWidth="1"/>
    <col min="3107" max="3107" width="87.85546875" style="232" customWidth="1"/>
    <col min="3108" max="3322" width="8.85546875" style="232"/>
    <col min="3323" max="3323" width="13.140625" style="232" bestFit="1" customWidth="1"/>
    <col min="3324" max="3324" width="10" style="232" customWidth="1"/>
    <col min="3325" max="3325" width="10.28515625" style="232" bestFit="1" customWidth="1"/>
    <col min="3326" max="3326" width="10.140625" style="232" bestFit="1" customWidth="1"/>
    <col min="3327" max="3327" width="8.85546875" style="232"/>
    <col min="3328" max="3328" width="32.42578125" style="232" bestFit="1" customWidth="1"/>
    <col min="3329" max="3331" width="8.85546875" style="232"/>
    <col min="3332" max="3335" width="13.7109375" style="232" customWidth="1"/>
    <col min="3336" max="3336" width="2.28515625" style="232" customWidth="1"/>
    <col min="3337" max="3340" width="14.28515625" style="232" customWidth="1"/>
    <col min="3341" max="3341" width="2.42578125" style="232" customWidth="1"/>
    <col min="3342" max="3345" width="14.140625" style="232" customWidth="1"/>
    <col min="3346" max="3346" width="2.42578125" style="232" customWidth="1"/>
    <col min="3347" max="3349" width="10.42578125" style="232" customWidth="1"/>
    <col min="3350" max="3350" width="3.140625" style="232" customWidth="1"/>
    <col min="3351" max="3352" width="23.42578125" style="232" customWidth="1"/>
    <col min="3353" max="3353" width="78.140625" style="232" customWidth="1"/>
    <col min="3354" max="3354" width="3.28515625" style="232" customWidth="1"/>
    <col min="3355" max="3357" width="14.28515625" style="232" customWidth="1"/>
    <col min="3358" max="3358" width="104.140625" style="232" customWidth="1"/>
    <col min="3359" max="3359" width="3.42578125" style="232" customWidth="1"/>
    <col min="3360" max="3362" width="15" style="232" customWidth="1"/>
    <col min="3363" max="3363" width="87.85546875" style="232" customWidth="1"/>
    <col min="3364" max="3578" width="8.85546875" style="232"/>
    <col min="3579" max="3579" width="13.140625" style="232" bestFit="1" customWidth="1"/>
    <col min="3580" max="3580" width="10" style="232" customWidth="1"/>
    <col min="3581" max="3581" width="10.28515625" style="232" bestFit="1" customWidth="1"/>
    <col min="3582" max="3582" width="10.140625" style="232" bestFit="1" customWidth="1"/>
    <col min="3583" max="3583" width="8.85546875" style="232"/>
    <col min="3584" max="3584" width="32.42578125" style="232" bestFit="1" customWidth="1"/>
    <col min="3585" max="3587" width="8.85546875" style="232"/>
    <col min="3588" max="3591" width="13.7109375" style="232" customWidth="1"/>
    <col min="3592" max="3592" width="2.28515625" style="232" customWidth="1"/>
    <col min="3593" max="3596" width="14.28515625" style="232" customWidth="1"/>
    <col min="3597" max="3597" width="2.42578125" style="232" customWidth="1"/>
    <col min="3598" max="3601" width="14.140625" style="232" customWidth="1"/>
    <col min="3602" max="3602" width="2.42578125" style="232" customWidth="1"/>
    <col min="3603" max="3605" width="10.42578125" style="232" customWidth="1"/>
    <col min="3606" max="3606" width="3.140625" style="232" customWidth="1"/>
    <col min="3607" max="3608" width="23.42578125" style="232" customWidth="1"/>
    <col min="3609" max="3609" width="78.140625" style="232" customWidth="1"/>
    <col min="3610" max="3610" width="3.28515625" style="232" customWidth="1"/>
    <col min="3611" max="3613" width="14.28515625" style="232" customWidth="1"/>
    <col min="3614" max="3614" width="104.140625" style="232" customWidth="1"/>
    <col min="3615" max="3615" width="3.42578125" style="232" customWidth="1"/>
    <col min="3616" max="3618" width="15" style="232" customWidth="1"/>
    <col min="3619" max="3619" width="87.85546875" style="232" customWidth="1"/>
    <col min="3620" max="3834" width="8.85546875" style="232"/>
    <col min="3835" max="3835" width="13.140625" style="232" bestFit="1" customWidth="1"/>
    <col min="3836" max="3836" width="10" style="232" customWidth="1"/>
    <col min="3837" max="3837" width="10.28515625" style="232" bestFit="1" customWidth="1"/>
    <col min="3838" max="3838" width="10.140625" style="232" bestFit="1" customWidth="1"/>
    <col min="3839" max="3839" width="8.85546875" style="232"/>
    <col min="3840" max="3840" width="32.42578125" style="232" bestFit="1" customWidth="1"/>
    <col min="3841" max="3843" width="8.85546875" style="232"/>
    <col min="3844" max="3847" width="13.7109375" style="232" customWidth="1"/>
    <col min="3848" max="3848" width="2.28515625" style="232" customWidth="1"/>
    <col min="3849" max="3852" width="14.28515625" style="232" customWidth="1"/>
    <col min="3853" max="3853" width="2.42578125" style="232" customWidth="1"/>
    <col min="3854" max="3857" width="14.140625" style="232" customWidth="1"/>
    <col min="3858" max="3858" width="2.42578125" style="232" customWidth="1"/>
    <col min="3859" max="3861" width="10.42578125" style="232" customWidth="1"/>
    <col min="3862" max="3862" width="3.140625" style="232" customWidth="1"/>
    <col min="3863" max="3864" width="23.42578125" style="232" customWidth="1"/>
    <col min="3865" max="3865" width="78.140625" style="232" customWidth="1"/>
    <col min="3866" max="3866" width="3.28515625" style="232" customWidth="1"/>
    <col min="3867" max="3869" width="14.28515625" style="232" customWidth="1"/>
    <col min="3870" max="3870" width="104.140625" style="232" customWidth="1"/>
    <col min="3871" max="3871" width="3.42578125" style="232" customWidth="1"/>
    <col min="3872" max="3874" width="15" style="232" customWidth="1"/>
    <col min="3875" max="3875" width="87.85546875" style="232" customWidth="1"/>
    <col min="3876" max="4090" width="8.85546875" style="232"/>
    <col min="4091" max="4091" width="13.140625" style="232" bestFit="1" customWidth="1"/>
    <col min="4092" max="4092" width="10" style="232" customWidth="1"/>
    <col min="4093" max="4093" width="10.28515625" style="232" bestFit="1" customWidth="1"/>
    <col min="4094" max="4094" width="10.140625" style="232" bestFit="1" customWidth="1"/>
    <col min="4095" max="4095" width="8.85546875" style="232"/>
    <col min="4096" max="4096" width="32.42578125" style="232" bestFit="1" customWidth="1"/>
    <col min="4097" max="4099" width="8.85546875" style="232"/>
    <col min="4100" max="4103" width="13.7109375" style="232" customWidth="1"/>
    <col min="4104" max="4104" width="2.28515625" style="232" customWidth="1"/>
    <col min="4105" max="4108" width="14.28515625" style="232" customWidth="1"/>
    <col min="4109" max="4109" width="2.42578125" style="232" customWidth="1"/>
    <col min="4110" max="4113" width="14.140625" style="232" customWidth="1"/>
    <col min="4114" max="4114" width="2.42578125" style="232" customWidth="1"/>
    <col min="4115" max="4117" width="10.42578125" style="232" customWidth="1"/>
    <col min="4118" max="4118" width="3.140625" style="232" customWidth="1"/>
    <col min="4119" max="4120" width="23.42578125" style="232" customWidth="1"/>
    <col min="4121" max="4121" width="78.140625" style="232" customWidth="1"/>
    <col min="4122" max="4122" width="3.28515625" style="232" customWidth="1"/>
    <col min="4123" max="4125" width="14.28515625" style="232" customWidth="1"/>
    <col min="4126" max="4126" width="104.140625" style="232" customWidth="1"/>
    <col min="4127" max="4127" width="3.42578125" style="232" customWidth="1"/>
    <col min="4128" max="4130" width="15" style="232" customWidth="1"/>
    <col min="4131" max="4131" width="87.85546875" style="232" customWidth="1"/>
    <col min="4132" max="4346" width="8.85546875" style="232"/>
    <col min="4347" max="4347" width="13.140625" style="232" bestFit="1" customWidth="1"/>
    <col min="4348" max="4348" width="10" style="232" customWidth="1"/>
    <col min="4349" max="4349" width="10.28515625" style="232" bestFit="1" customWidth="1"/>
    <col min="4350" max="4350" width="10.140625" style="232" bestFit="1" customWidth="1"/>
    <col min="4351" max="4351" width="8.85546875" style="232"/>
    <col min="4352" max="4352" width="32.42578125" style="232" bestFit="1" customWidth="1"/>
    <col min="4353" max="4355" width="8.85546875" style="232"/>
    <col min="4356" max="4359" width="13.7109375" style="232" customWidth="1"/>
    <col min="4360" max="4360" width="2.28515625" style="232" customWidth="1"/>
    <col min="4361" max="4364" width="14.28515625" style="232" customWidth="1"/>
    <col min="4365" max="4365" width="2.42578125" style="232" customWidth="1"/>
    <col min="4366" max="4369" width="14.140625" style="232" customWidth="1"/>
    <col min="4370" max="4370" width="2.42578125" style="232" customWidth="1"/>
    <col min="4371" max="4373" width="10.42578125" style="232" customWidth="1"/>
    <col min="4374" max="4374" width="3.140625" style="232" customWidth="1"/>
    <col min="4375" max="4376" width="23.42578125" style="232" customWidth="1"/>
    <col min="4377" max="4377" width="78.140625" style="232" customWidth="1"/>
    <col min="4378" max="4378" width="3.28515625" style="232" customWidth="1"/>
    <col min="4379" max="4381" width="14.28515625" style="232" customWidth="1"/>
    <col min="4382" max="4382" width="104.140625" style="232" customWidth="1"/>
    <col min="4383" max="4383" width="3.42578125" style="232" customWidth="1"/>
    <col min="4384" max="4386" width="15" style="232" customWidth="1"/>
    <col min="4387" max="4387" width="87.85546875" style="232" customWidth="1"/>
    <col min="4388" max="4602" width="8.85546875" style="232"/>
    <col min="4603" max="4603" width="13.140625" style="232" bestFit="1" customWidth="1"/>
    <col min="4604" max="4604" width="10" style="232" customWidth="1"/>
    <col min="4605" max="4605" width="10.28515625" style="232" bestFit="1" customWidth="1"/>
    <col min="4606" max="4606" width="10.140625" style="232" bestFit="1" customWidth="1"/>
    <col min="4607" max="4607" width="8.85546875" style="232"/>
    <col min="4608" max="4608" width="32.42578125" style="232" bestFit="1" customWidth="1"/>
    <col min="4609" max="4611" width="8.85546875" style="232"/>
    <col min="4612" max="4615" width="13.7109375" style="232" customWidth="1"/>
    <col min="4616" max="4616" width="2.28515625" style="232" customWidth="1"/>
    <col min="4617" max="4620" width="14.28515625" style="232" customWidth="1"/>
    <col min="4621" max="4621" width="2.42578125" style="232" customWidth="1"/>
    <col min="4622" max="4625" width="14.140625" style="232" customWidth="1"/>
    <col min="4626" max="4626" width="2.42578125" style="232" customWidth="1"/>
    <col min="4627" max="4629" width="10.42578125" style="232" customWidth="1"/>
    <col min="4630" max="4630" width="3.140625" style="232" customWidth="1"/>
    <col min="4631" max="4632" width="23.42578125" style="232" customWidth="1"/>
    <col min="4633" max="4633" width="78.140625" style="232" customWidth="1"/>
    <col min="4634" max="4634" width="3.28515625" style="232" customWidth="1"/>
    <col min="4635" max="4637" width="14.28515625" style="232" customWidth="1"/>
    <col min="4638" max="4638" width="104.140625" style="232" customWidth="1"/>
    <col min="4639" max="4639" width="3.42578125" style="232" customWidth="1"/>
    <col min="4640" max="4642" width="15" style="232" customWidth="1"/>
    <col min="4643" max="4643" width="87.85546875" style="232" customWidth="1"/>
    <col min="4644" max="4858" width="8.85546875" style="232"/>
    <col min="4859" max="4859" width="13.140625" style="232" bestFit="1" customWidth="1"/>
    <col min="4860" max="4860" width="10" style="232" customWidth="1"/>
    <col min="4861" max="4861" width="10.28515625" style="232" bestFit="1" customWidth="1"/>
    <col min="4862" max="4862" width="10.140625" style="232" bestFit="1" customWidth="1"/>
    <col min="4863" max="4863" width="8.85546875" style="232"/>
    <col min="4864" max="4864" width="32.42578125" style="232" bestFit="1" customWidth="1"/>
    <col min="4865" max="4867" width="8.85546875" style="232"/>
    <col min="4868" max="4871" width="13.7109375" style="232" customWidth="1"/>
    <col min="4872" max="4872" width="2.28515625" style="232" customWidth="1"/>
    <col min="4873" max="4876" width="14.28515625" style="232" customWidth="1"/>
    <col min="4877" max="4877" width="2.42578125" style="232" customWidth="1"/>
    <col min="4878" max="4881" width="14.140625" style="232" customWidth="1"/>
    <col min="4882" max="4882" width="2.42578125" style="232" customWidth="1"/>
    <col min="4883" max="4885" width="10.42578125" style="232" customWidth="1"/>
    <col min="4886" max="4886" width="3.140625" style="232" customWidth="1"/>
    <col min="4887" max="4888" width="23.42578125" style="232" customWidth="1"/>
    <col min="4889" max="4889" width="78.140625" style="232" customWidth="1"/>
    <col min="4890" max="4890" width="3.28515625" style="232" customWidth="1"/>
    <col min="4891" max="4893" width="14.28515625" style="232" customWidth="1"/>
    <col min="4894" max="4894" width="104.140625" style="232" customWidth="1"/>
    <col min="4895" max="4895" width="3.42578125" style="232" customWidth="1"/>
    <col min="4896" max="4898" width="15" style="232" customWidth="1"/>
    <col min="4899" max="4899" width="87.85546875" style="232" customWidth="1"/>
    <col min="4900" max="5114" width="8.85546875" style="232"/>
    <col min="5115" max="5115" width="13.140625" style="232" bestFit="1" customWidth="1"/>
    <col min="5116" max="5116" width="10" style="232" customWidth="1"/>
    <col min="5117" max="5117" width="10.28515625" style="232" bestFit="1" customWidth="1"/>
    <col min="5118" max="5118" width="10.140625" style="232" bestFit="1" customWidth="1"/>
    <col min="5119" max="5119" width="8.85546875" style="232"/>
    <col min="5120" max="5120" width="32.42578125" style="232" bestFit="1" customWidth="1"/>
    <col min="5121" max="5123" width="8.85546875" style="232"/>
    <col min="5124" max="5127" width="13.7109375" style="232" customWidth="1"/>
    <col min="5128" max="5128" width="2.28515625" style="232" customWidth="1"/>
    <col min="5129" max="5132" width="14.28515625" style="232" customWidth="1"/>
    <col min="5133" max="5133" width="2.42578125" style="232" customWidth="1"/>
    <col min="5134" max="5137" width="14.140625" style="232" customWidth="1"/>
    <col min="5138" max="5138" width="2.42578125" style="232" customWidth="1"/>
    <col min="5139" max="5141" width="10.42578125" style="232" customWidth="1"/>
    <col min="5142" max="5142" width="3.140625" style="232" customWidth="1"/>
    <col min="5143" max="5144" width="23.42578125" style="232" customWidth="1"/>
    <col min="5145" max="5145" width="78.140625" style="232" customWidth="1"/>
    <col min="5146" max="5146" width="3.28515625" style="232" customWidth="1"/>
    <col min="5147" max="5149" width="14.28515625" style="232" customWidth="1"/>
    <col min="5150" max="5150" width="104.140625" style="232" customWidth="1"/>
    <col min="5151" max="5151" width="3.42578125" style="232" customWidth="1"/>
    <col min="5152" max="5154" width="15" style="232" customWidth="1"/>
    <col min="5155" max="5155" width="87.85546875" style="232" customWidth="1"/>
    <col min="5156" max="5370" width="8.85546875" style="232"/>
    <col min="5371" max="5371" width="13.140625" style="232" bestFit="1" customWidth="1"/>
    <col min="5372" max="5372" width="10" style="232" customWidth="1"/>
    <col min="5373" max="5373" width="10.28515625" style="232" bestFit="1" customWidth="1"/>
    <col min="5374" max="5374" width="10.140625" style="232" bestFit="1" customWidth="1"/>
    <col min="5375" max="5375" width="8.85546875" style="232"/>
    <col min="5376" max="5376" width="32.42578125" style="232" bestFit="1" customWidth="1"/>
    <col min="5377" max="5379" width="8.85546875" style="232"/>
    <col min="5380" max="5383" width="13.7109375" style="232" customWidth="1"/>
    <col min="5384" max="5384" width="2.28515625" style="232" customWidth="1"/>
    <col min="5385" max="5388" width="14.28515625" style="232" customWidth="1"/>
    <col min="5389" max="5389" width="2.42578125" style="232" customWidth="1"/>
    <col min="5390" max="5393" width="14.140625" style="232" customWidth="1"/>
    <col min="5394" max="5394" width="2.42578125" style="232" customWidth="1"/>
    <col min="5395" max="5397" width="10.42578125" style="232" customWidth="1"/>
    <col min="5398" max="5398" width="3.140625" style="232" customWidth="1"/>
    <col min="5399" max="5400" width="23.42578125" style="232" customWidth="1"/>
    <col min="5401" max="5401" width="78.140625" style="232" customWidth="1"/>
    <col min="5402" max="5402" width="3.28515625" style="232" customWidth="1"/>
    <col min="5403" max="5405" width="14.28515625" style="232" customWidth="1"/>
    <col min="5406" max="5406" width="104.140625" style="232" customWidth="1"/>
    <col min="5407" max="5407" width="3.42578125" style="232" customWidth="1"/>
    <col min="5408" max="5410" width="15" style="232" customWidth="1"/>
    <col min="5411" max="5411" width="87.85546875" style="232" customWidth="1"/>
    <col min="5412" max="5626" width="8.85546875" style="232"/>
    <col min="5627" max="5627" width="13.140625" style="232" bestFit="1" customWidth="1"/>
    <col min="5628" max="5628" width="10" style="232" customWidth="1"/>
    <col min="5629" max="5629" width="10.28515625" style="232" bestFit="1" customWidth="1"/>
    <col min="5630" max="5630" width="10.140625" style="232" bestFit="1" customWidth="1"/>
    <col min="5631" max="5631" width="8.85546875" style="232"/>
    <col min="5632" max="5632" width="32.42578125" style="232" bestFit="1" customWidth="1"/>
    <col min="5633" max="5635" width="8.85546875" style="232"/>
    <col min="5636" max="5639" width="13.7109375" style="232" customWidth="1"/>
    <col min="5640" max="5640" width="2.28515625" style="232" customWidth="1"/>
    <col min="5641" max="5644" width="14.28515625" style="232" customWidth="1"/>
    <col min="5645" max="5645" width="2.42578125" style="232" customWidth="1"/>
    <col min="5646" max="5649" width="14.140625" style="232" customWidth="1"/>
    <col min="5650" max="5650" width="2.42578125" style="232" customWidth="1"/>
    <col min="5651" max="5653" width="10.42578125" style="232" customWidth="1"/>
    <col min="5654" max="5654" width="3.140625" style="232" customWidth="1"/>
    <col min="5655" max="5656" width="23.42578125" style="232" customWidth="1"/>
    <col min="5657" max="5657" width="78.140625" style="232" customWidth="1"/>
    <col min="5658" max="5658" width="3.28515625" style="232" customWidth="1"/>
    <col min="5659" max="5661" width="14.28515625" style="232" customWidth="1"/>
    <col min="5662" max="5662" width="104.140625" style="232" customWidth="1"/>
    <col min="5663" max="5663" width="3.42578125" style="232" customWidth="1"/>
    <col min="5664" max="5666" width="15" style="232" customWidth="1"/>
    <col min="5667" max="5667" width="87.85546875" style="232" customWidth="1"/>
    <col min="5668" max="5882" width="8.85546875" style="232"/>
    <col min="5883" max="5883" width="13.140625" style="232" bestFit="1" customWidth="1"/>
    <col min="5884" max="5884" width="10" style="232" customWidth="1"/>
    <col min="5885" max="5885" width="10.28515625" style="232" bestFit="1" customWidth="1"/>
    <col min="5886" max="5886" width="10.140625" style="232" bestFit="1" customWidth="1"/>
    <col min="5887" max="5887" width="8.85546875" style="232"/>
    <col min="5888" max="5888" width="32.42578125" style="232" bestFit="1" customWidth="1"/>
    <col min="5889" max="5891" width="8.85546875" style="232"/>
    <col min="5892" max="5895" width="13.7109375" style="232" customWidth="1"/>
    <col min="5896" max="5896" width="2.28515625" style="232" customWidth="1"/>
    <col min="5897" max="5900" width="14.28515625" style="232" customWidth="1"/>
    <col min="5901" max="5901" width="2.42578125" style="232" customWidth="1"/>
    <col min="5902" max="5905" width="14.140625" style="232" customWidth="1"/>
    <col min="5906" max="5906" width="2.42578125" style="232" customWidth="1"/>
    <col min="5907" max="5909" width="10.42578125" style="232" customWidth="1"/>
    <col min="5910" max="5910" width="3.140625" style="232" customWidth="1"/>
    <col min="5911" max="5912" width="23.42578125" style="232" customWidth="1"/>
    <col min="5913" max="5913" width="78.140625" style="232" customWidth="1"/>
    <col min="5914" max="5914" width="3.28515625" style="232" customWidth="1"/>
    <col min="5915" max="5917" width="14.28515625" style="232" customWidth="1"/>
    <col min="5918" max="5918" width="104.140625" style="232" customWidth="1"/>
    <col min="5919" max="5919" width="3.42578125" style="232" customWidth="1"/>
    <col min="5920" max="5922" width="15" style="232" customWidth="1"/>
    <col min="5923" max="5923" width="87.85546875" style="232" customWidth="1"/>
    <col min="5924" max="6138" width="8.85546875" style="232"/>
    <col min="6139" max="6139" width="13.140625" style="232" bestFit="1" customWidth="1"/>
    <col min="6140" max="6140" width="10" style="232" customWidth="1"/>
    <col min="6141" max="6141" width="10.28515625" style="232" bestFit="1" customWidth="1"/>
    <col min="6142" max="6142" width="10.140625" style="232" bestFit="1" customWidth="1"/>
    <col min="6143" max="6143" width="8.85546875" style="232"/>
    <col min="6144" max="6144" width="32.42578125" style="232" bestFit="1" customWidth="1"/>
    <col min="6145" max="6147" width="8.85546875" style="232"/>
    <col min="6148" max="6151" width="13.7109375" style="232" customWidth="1"/>
    <col min="6152" max="6152" width="2.28515625" style="232" customWidth="1"/>
    <col min="6153" max="6156" width="14.28515625" style="232" customWidth="1"/>
    <col min="6157" max="6157" width="2.42578125" style="232" customWidth="1"/>
    <col min="6158" max="6161" width="14.140625" style="232" customWidth="1"/>
    <col min="6162" max="6162" width="2.42578125" style="232" customWidth="1"/>
    <col min="6163" max="6165" width="10.42578125" style="232" customWidth="1"/>
    <col min="6166" max="6166" width="3.140625" style="232" customWidth="1"/>
    <col min="6167" max="6168" width="23.42578125" style="232" customWidth="1"/>
    <col min="6169" max="6169" width="78.140625" style="232" customWidth="1"/>
    <col min="6170" max="6170" width="3.28515625" style="232" customWidth="1"/>
    <col min="6171" max="6173" width="14.28515625" style="232" customWidth="1"/>
    <col min="6174" max="6174" width="104.140625" style="232" customWidth="1"/>
    <col min="6175" max="6175" width="3.42578125" style="232" customWidth="1"/>
    <col min="6176" max="6178" width="15" style="232" customWidth="1"/>
    <col min="6179" max="6179" width="87.85546875" style="232" customWidth="1"/>
    <col min="6180" max="6394" width="8.85546875" style="232"/>
    <col min="6395" max="6395" width="13.140625" style="232" bestFit="1" customWidth="1"/>
    <col min="6396" max="6396" width="10" style="232" customWidth="1"/>
    <col min="6397" max="6397" width="10.28515625" style="232" bestFit="1" customWidth="1"/>
    <col min="6398" max="6398" width="10.140625" style="232" bestFit="1" customWidth="1"/>
    <col min="6399" max="6399" width="8.85546875" style="232"/>
    <col min="6400" max="6400" width="32.42578125" style="232" bestFit="1" customWidth="1"/>
    <col min="6401" max="6403" width="8.85546875" style="232"/>
    <col min="6404" max="6407" width="13.7109375" style="232" customWidth="1"/>
    <col min="6408" max="6408" width="2.28515625" style="232" customWidth="1"/>
    <col min="6409" max="6412" width="14.28515625" style="232" customWidth="1"/>
    <col min="6413" max="6413" width="2.42578125" style="232" customWidth="1"/>
    <col min="6414" max="6417" width="14.140625" style="232" customWidth="1"/>
    <col min="6418" max="6418" width="2.42578125" style="232" customWidth="1"/>
    <col min="6419" max="6421" width="10.42578125" style="232" customWidth="1"/>
    <col min="6422" max="6422" width="3.140625" style="232" customWidth="1"/>
    <col min="6423" max="6424" width="23.42578125" style="232" customWidth="1"/>
    <col min="6425" max="6425" width="78.140625" style="232" customWidth="1"/>
    <col min="6426" max="6426" width="3.28515625" style="232" customWidth="1"/>
    <col min="6427" max="6429" width="14.28515625" style="232" customWidth="1"/>
    <col min="6430" max="6430" width="104.140625" style="232" customWidth="1"/>
    <col min="6431" max="6431" width="3.42578125" style="232" customWidth="1"/>
    <col min="6432" max="6434" width="15" style="232" customWidth="1"/>
    <col min="6435" max="6435" width="87.85546875" style="232" customWidth="1"/>
    <col min="6436" max="6650" width="8.85546875" style="232"/>
    <col min="6651" max="6651" width="13.140625" style="232" bestFit="1" customWidth="1"/>
    <col min="6652" max="6652" width="10" style="232" customWidth="1"/>
    <col min="6653" max="6653" width="10.28515625" style="232" bestFit="1" customWidth="1"/>
    <col min="6654" max="6654" width="10.140625" style="232" bestFit="1" customWidth="1"/>
    <col min="6655" max="6655" width="8.85546875" style="232"/>
    <col min="6656" max="6656" width="32.42578125" style="232" bestFit="1" customWidth="1"/>
    <col min="6657" max="6659" width="8.85546875" style="232"/>
    <col min="6660" max="6663" width="13.7109375" style="232" customWidth="1"/>
    <col min="6664" max="6664" width="2.28515625" style="232" customWidth="1"/>
    <col min="6665" max="6668" width="14.28515625" style="232" customWidth="1"/>
    <col min="6669" max="6669" width="2.42578125" style="232" customWidth="1"/>
    <col min="6670" max="6673" width="14.140625" style="232" customWidth="1"/>
    <col min="6674" max="6674" width="2.42578125" style="232" customWidth="1"/>
    <col min="6675" max="6677" width="10.42578125" style="232" customWidth="1"/>
    <col min="6678" max="6678" width="3.140625" style="232" customWidth="1"/>
    <col min="6679" max="6680" width="23.42578125" style="232" customWidth="1"/>
    <col min="6681" max="6681" width="78.140625" style="232" customWidth="1"/>
    <col min="6682" max="6682" width="3.28515625" style="232" customWidth="1"/>
    <col min="6683" max="6685" width="14.28515625" style="232" customWidth="1"/>
    <col min="6686" max="6686" width="104.140625" style="232" customWidth="1"/>
    <col min="6687" max="6687" width="3.42578125" style="232" customWidth="1"/>
    <col min="6688" max="6690" width="15" style="232" customWidth="1"/>
    <col min="6691" max="6691" width="87.85546875" style="232" customWidth="1"/>
    <col min="6692" max="6906" width="8.85546875" style="232"/>
    <col min="6907" max="6907" width="13.140625" style="232" bestFit="1" customWidth="1"/>
    <col min="6908" max="6908" width="10" style="232" customWidth="1"/>
    <col min="6909" max="6909" width="10.28515625" style="232" bestFit="1" customWidth="1"/>
    <col min="6910" max="6910" width="10.140625" style="232" bestFit="1" customWidth="1"/>
    <col min="6911" max="6911" width="8.85546875" style="232"/>
    <col min="6912" max="6912" width="32.42578125" style="232" bestFit="1" customWidth="1"/>
    <col min="6913" max="6915" width="8.85546875" style="232"/>
    <col min="6916" max="6919" width="13.7109375" style="232" customWidth="1"/>
    <col min="6920" max="6920" width="2.28515625" style="232" customWidth="1"/>
    <col min="6921" max="6924" width="14.28515625" style="232" customWidth="1"/>
    <col min="6925" max="6925" width="2.42578125" style="232" customWidth="1"/>
    <col min="6926" max="6929" width="14.140625" style="232" customWidth="1"/>
    <col min="6930" max="6930" width="2.42578125" style="232" customWidth="1"/>
    <col min="6931" max="6933" width="10.42578125" style="232" customWidth="1"/>
    <col min="6934" max="6934" width="3.140625" style="232" customWidth="1"/>
    <col min="6935" max="6936" width="23.42578125" style="232" customWidth="1"/>
    <col min="6937" max="6937" width="78.140625" style="232" customWidth="1"/>
    <col min="6938" max="6938" width="3.28515625" style="232" customWidth="1"/>
    <col min="6939" max="6941" width="14.28515625" style="232" customWidth="1"/>
    <col min="6942" max="6942" width="104.140625" style="232" customWidth="1"/>
    <col min="6943" max="6943" width="3.42578125" style="232" customWidth="1"/>
    <col min="6944" max="6946" width="15" style="232" customWidth="1"/>
    <col min="6947" max="6947" width="87.85546875" style="232" customWidth="1"/>
    <col min="6948" max="7162" width="8.85546875" style="232"/>
    <col min="7163" max="7163" width="13.140625" style="232" bestFit="1" customWidth="1"/>
    <col min="7164" max="7164" width="10" style="232" customWidth="1"/>
    <col min="7165" max="7165" width="10.28515625" style="232" bestFit="1" customWidth="1"/>
    <col min="7166" max="7166" width="10.140625" style="232" bestFit="1" customWidth="1"/>
    <col min="7167" max="7167" width="8.85546875" style="232"/>
    <col min="7168" max="7168" width="32.42578125" style="232" bestFit="1" customWidth="1"/>
    <col min="7169" max="7171" width="8.85546875" style="232"/>
    <col min="7172" max="7175" width="13.7109375" style="232" customWidth="1"/>
    <col min="7176" max="7176" width="2.28515625" style="232" customWidth="1"/>
    <col min="7177" max="7180" width="14.28515625" style="232" customWidth="1"/>
    <col min="7181" max="7181" width="2.42578125" style="232" customWidth="1"/>
    <col min="7182" max="7185" width="14.140625" style="232" customWidth="1"/>
    <col min="7186" max="7186" width="2.42578125" style="232" customWidth="1"/>
    <col min="7187" max="7189" width="10.42578125" style="232" customWidth="1"/>
    <col min="7190" max="7190" width="3.140625" style="232" customWidth="1"/>
    <col min="7191" max="7192" width="23.42578125" style="232" customWidth="1"/>
    <col min="7193" max="7193" width="78.140625" style="232" customWidth="1"/>
    <col min="7194" max="7194" width="3.28515625" style="232" customWidth="1"/>
    <col min="7195" max="7197" width="14.28515625" style="232" customWidth="1"/>
    <col min="7198" max="7198" width="104.140625" style="232" customWidth="1"/>
    <col min="7199" max="7199" width="3.42578125" style="232" customWidth="1"/>
    <col min="7200" max="7202" width="15" style="232" customWidth="1"/>
    <col min="7203" max="7203" width="87.85546875" style="232" customWidth="1"/>
    <col min="7204" max="7418" width="8.85546875" style="232"/>
    <col min="7419" max="7419" width="13.140625" style="232" bestFit="1" customWidth="1"/>
    <col min="7420" max="7420" width="10" style="232" customWidth="1"/>
    <col min="7421" max="7421" width="10.28515625" style="232" bestFit="1" customWidth="1"/>
    <col min="7422" max="7422" width="10.140625" style="232" bestFit="1" customWidth="1"/>
    <col min="7423" max="7423" width="8.85546875" style="232"/>
    <col min="7424" max="7424" width="32.42578125" style="232" bestFit="1" customWidth="1"/>
    <col min="7425" max="7427" width="8.85546875" style="232"/>
    <col min="7428" max="7431" width="13.7109375" style="232" customWidth="1"/>
    <col min="7432" max="7432" width="2.28515625" style="232" customWidth="1"/>
    <col min="7433" max="7436" width="14.28515625" style="232" customWidth="1"/>
    <col min="7437" max="7437" width="2.42578125" style="232" customWidth="1"/>
    <col min="7438" max="7441" width="14.140625" style="232" customWidth="1"/>
    <col min="7442" max="7442" width="2.42578125" style="232" customWidth="1"/>
    <col min="7443" max="7445" width="10.42578125" style="232" customWidth="1"/>
    <col min="7446" max="7446" width="3.140625" style="232" customWidth="1"/>
    <col min="7447" max="7448" width="23.42578125" style="232" customWidth="1"/>
    <col min="7449" max="7449" width="78.140625" style="232" customWidth="1"/>
    <col min="7450" max="7450" width="3.28515625" style="232" customWidth="1"/>
    <col min="7451" max="7453" width="14.28515625" style="232" customWidth="1"/>
    <col min="7454" max="7454" width="104.140625" style="232" customWidth="1"/>
    <col min="7455" max="7455" width="3.42578125" style="232" customWidth="1"/>
    <col min="7456" max="7458" width="15" style="232" customWidth="1"/>
    <col min="7459" max="7459" width="87.85546875" style="232" customWidth="1"/>
    <col min="7460" max="7674" width="8.85546875" style="232"/>
    <col min="7675" max="7675" width="13.140625" style="232" bestFit="1" customWidth="1"/>
    <col min="7676" max="7676" width="10" style="232" customWidth="1"/>
    <col min="7677" max="7677" width="10.28515625" style="232" bestFit="1" customWidth="1"/>
    <col min="7678" max="7678" width="10.140625" style="232" bestFit="1" customWidth="1"/>
    <col min="7679" max="7679" width="8.85546875" style="232"/>
    <col min="7680" max="7680" width="32.42578125" style="232" bestFit="1" customWidth="1"/>
    <col min="7681" max="7683" width="8.85546875" style="232"/>
    <col min="7684" max="7687" width="13.7109375" style="232" customWidth="1"/>
    <col min="7688" max="7688" width="2.28515625" style="232" customWidth="1"/>
    <col min="7689" max="7692" width="14.28515625" style="232" customWidth="1"/>
    <col min="7693" max="7693" width="2.42578125" style="232" customWidth="1"/>
    <col min="7694" max="7697" width="14.140625" style="232" customWidth="1"/>
    <col min="7698" max="7698" width="2.42578125" style="232" customWidth="1"/>
    <col min="7699" max="7701" width="10.42578125" style="232" customWidth="1"/>
    <col min="7702" max="7702" width="3.140625" style="232" customWidth="1"/>
    <col min="7703" max="7704" width="23.42578125" style="232" customWidth="1"/>
    <col min="7705" max="7705" width="78.140625" style="232" customWidth="1"/>
    <col min="7706" max="7706" width="3.28515625" style="232" customWidth="1"/>
    <col min="7707" max="7709" width="14.28515625" style="232" customWidth="1"/>
    <col min="7710" max="7710" width="104.140625" style="232" customWidth="1"/>
    <col min="7711" max="7711" width="3.42578125" style="232" customWidth="1"/>
    <col min="7712" max="7714" width="15" style="232" customWidth="1"/>
    <col min="7715" max="7715" width="87.85546875" style="232" customWidth="1"/>
    <col min="7716" max="7930" width="8.85546875" style="232"/>
    <col min="7931" max="7931" width="13.140625" style="232" bestFit="1" customWidth="1"/>
    <col min="7932" max="7932" width="10" style="232" customWidth="1"/>
    <col min="7933" max="7933" width="10.28515625" style="232" bestFit="1" customWidth="1"/>
    <col min="7934" max="7934" width="10.140625" style="232" bestFit="1" customWidth="1"/>
    <col min="7935" max="7935" width="8.85546875" style="232"/>
    <col min="7936" max="7936" width="32.42578125" style="232" bestFit="1" customWidth="1"/>
    <col min="7937" max="7939" width="8.85546875" style="232"/>
    <col min="7940" max="7943" width="13.7109375" style="232" customWidth="1"/>
    <col min="7944" max="7944" width="2.28515625" style="232" customWidth="1"/>
    <col min="7945" max="7948" width="14.28515625" style="232" customWidth="1"/>
    <col min="7949" max="7949" width="2.42578125" style="232" customWidth="1"/>
    <col min="7950" max="7953" width="14.140625" style="232" customWidth="1"/>
    <col min="7954" max="7954" width="2.42578125" style="232" customWidth="1"/>
    <col min="7955" max="7957" width="10.42578125" style="232" customWidth="1"/>
    <col min="7958" max="7958" width="3.140625" style="232" customWidth="1"/>
    <col min="7959" max="7960" width="23.42578125" style="232" customWidth="1"/>
    <col min="7961" max="7961" width="78.140625" style="232" customWidth="1"/>
    <col min="7962" max="7962" width="3.28515625" style="232" customWidth="1"/>
    <col min="7963" max="7965" width="14.28515625" style="232" customWidth="1"/>
    <col min="7966" max="7966" width="104.140625" style="232" customWidth="1"/>
    <col min="7967" max="7967" width="3.42578125" style="232" customWidth="1"/>
    <col min="7968" max="7970" width="15" style="232" customWidth="1"/>
    <col min="7971" max="7971" width="87.85546875" style="232" customWidth="1"/>
    <col min="7972" max="8186" width="8.85546875" style="232"/>
    <col min="8187" max="8187" width="13.140625" style="232" bestFit="1" customWidth="1"/>
    <col min="8188" max="8188" width="10" style="232" customWidth="1"/>
    <col min="8189" max="8189" width="10.28515625" style="232" bestFit="1" customWidth="1"/>
    <col min="8190" max="8190" width="10.140625" style="232" bestFit="1" customWidth="1"/>
    <col min="8191" max="8191" width="8.85546875" style="232"/>
    <col min="8192" max="8192" width="32.42578125" style="232" bestFit="1" customWidth="1"/>
    <col min="8193" max="8195" width="8.85546875" style="232"/>
    <col min="8196" max="8199" width="13.7109375" style="232" customWidth="1"/>
    <col min="8200" max="8200" width="2.28515625" style="232" customWidth="1"/>
    <col min="8201" max="8204" width="14.28515625" style="232" customWidth="1"/>
    <col min="8205" max="8205" width="2.42578125" style="232" customWidth="1"/>
    <col min="8206" max="8209" width="14.140625" style="232" customWidth="1"/>
    <col min="8210" max="8210" width="2.42578125" style="232" customWidth="1"/>
    <col min="8211" max="8213" width="10.42578125" style="232" customWidth="1"/>
    <col min="8214" max="8214" width="3.140625" style="232" customWidth="1"/>
    <col min="8215" max="8216" width="23.42578125" style="232" customWidth="1"/>
    <col min="8217" max="8217" width="78.140625" style="232" customWidth="1"/>
    <col min="8218" max="8218" width="3.28515625" style="232" customWidth="1"/>
    <col min="8219" max="8221" width="14.28515625" style="232" customWidth="1"/>
    <col min="8222" max="8222" width="104.140625" style="232" customWidth="1"/>
    <col min="8223" max="8223" width="3.42578125" style="232" customWidth="1"/>
    <col min="8224" max="8226" width="15" style="232" customWidth="1"/>
    <col min="8227" max="8227" width="87.85546875" style="232" customWidth="1"/>
    <col min="8228" max="8442" width="8.85546875" style="232"/>
    <col min="8443" max="8443" width="13.140625" style="232" bestFit="1" customWidth="1"/>
    <col min="8444" max="8444" width="10" style="232" customWidth="1"/>
    <col min="8445" max="8445" width="10.28515625" style="232" bestFit="1" customWidth="1"/>
    <col min="8446" max="8446" width="10.140625" style="232" bestFit="1" customWidth="1"/>
    <col min="8447" max="8447" width="8.85546875" style="232"/>
    <col min="8448" max="8448" width="32.42578125" style="232" bestFit="1" customWidth="1"/>
    <col min="8449" max="8451" width="8.85546875" style="232"/>
    <col min="8452" max="8455" width="13.7109375" style="232" customWidth="1"/>
    <col min="8456" max="8456" width="2.28515625" style="232" customWidth="1"/>
    <col min="8457" max="8460" width="14.28515625" style="232" customWidth="1"/>
    <col min="8461" max="8461" width="2.42578125" style="232" customWidth="1"/>
    <col min="8462" max="8465" width="14.140625" style="232" customWidth="1"/>
    <col min="8466" max="8466" width="2.42578125" style="232" customWidth="1"/>
    <col min="8467" max="8469" width="10.42578125" style="232" customWidth="1"/>
    <col min="8470" max="8470" width="3.140625" style="232" customWidth="1"/>
    <col min="8471" max="8472" width="23.42578125" style="232" customWidth="1"/>
    <col min="8473" max="8473" width="78.140625" style="232" customWidth="1"/>
    <col min="8474" max="8474" width="3.28515625" style="232" customWidth="1"/>
    <col min="8475" max="8477" width="14.28515625" style="232" customWidth="1"/>
    <col min="8478" max="8478" width="104.140625" style="232" customWidth="1"/>
    <col min="8479" max="8479" width="3.42578125" style="232" customWidth="1"/>
    <col min="8480" max="8482" width="15" style="232" customWidth="1"/>
    <col min="8483" max="8483" width="87.85546875" style="232" customWidth="1"/>
    <col min="8484" max="8698" width="8.85546875" style="232"/>
    <col min="8699" max="8699" width="13.140625" style="232" bestFit="1" customWidth="1"/>
    <col min="8700" max="8700" width="10" style="232" customWidth="1"/>
    <col min="8701" max="8701" width="10.28515625" style="232" bestFit="1" customWidth="1"/>
    <col min="8702" max="8702" width="10.140625" style="232" bestFit="1" customWidth="1"/>
    <col min="8703" max="8703" width="8.85546875" style="232"/>
    <col min="8704" max="8704" width="32.42578125" style="232" bestFit="1" customWidth="1"/>
    <col min="8705" max="8707" width="8.85546875" style="232"/>
    <col min="8708" max="8711" width="13.7109375" style="232" customWidth="1"/>
    <col min="8712" max="8712" width="2.28515625" style="232" customWidth="1"/>
    <col min="8713" max="8716" width="14.28515625" style="232" customWidth="1"/>
    <col min="8717" max="8717" width="2.42578125" style="232" customWidth="1"/>
    <col min="8718" max="8721" width="14.140625" style="232" customWidth="1"/>
    <col min="8722" max="8722" width="2.42578125" style="232" customWidth="1"/>
    <col min="8723" max="8725" width="10.42578125" style="232" customWidth="1"/>
    <col min="8726" max="8726" width="3.140625" style="232" customWidth="1"/>
    <col min="8727" max="8728" width="23.42578125" style="232" customWidth="1"/>
    <col min="8729" max="8729" width="78.140625" style="232" customWidth="1"/>
    <col min="8730" max="8730" width="3.28515625" style="232" customWidth="1"/>
    <col min="8731" max="8733" width="14.28515625" style="232" customWidth="1"/>
    <col min="8734" max="8734" width="104.140625" style="232" customWidth="1"/>
    <col min="8735" max="8735" width="3.42578125" style="232" customWidth="1"/>
    <col min="8736" max="8738" width="15" style="232" customWidth="1"/>
    <col min="8739" max="8739" width="87.85546875" style="232" customWidth="1"/>
    <col min="8740" max="8954" width="8.85546875" style="232"/>
    <col min="8955" max="8955" width="13.140625" style="232" bestFit="1" customWidth="1"/>
    <col min="8956" max="8956" width="10" style="232" customWidth="1"/>
    <col min="8957" max="8957" width="10.28515625" style="232" bestFit="1" customWidth="1"/>
    <col min="8958" max="8958" width="10.140625" style="232" bestFit="1" customWidth="1"/>
    <col min="8959" max="8959" width="8.85546875" style="232"/>
    <col min="8960" max="8960" width="32.42578125" style="232" bestFit="1" customWidth="1"/>
    <col min="8961" max="8963" width="8.85546875" style="232"/>
    <col min="8964" max="8967" width="13.7109375" style="232" customWidth="1"/>
    <col min="8968" max="8968" width="2.28515625" style="232" customWidth="1"/>
    <col min="8969" max="8972" width="14.28515625" style="232" customWidth="1"/>
    <col min="8973" max="8973" width="2.42578125" style="232" customWidth="1"/>
    <col min="8974" max="8977" width="14.140625" style="232" customWidth="1"/>
    <col min="8978" max="8978" width="2.42578125" style="232" customWidth="1"/>
    <col min="8979" max="8981" width="10.42578125" style="232" customWidth="1"/>
    <col min="8982" max="8982" width="3.140625" style="232" customWidth="1"/>
    <col min="8983" max="8984" width="23.42578125" style="232" customWidth="1"/>
    <col min="8985" max="8985" width="78.140625" style="232" customWidth="1"/>
    <col min="8986" max="8986" width="3.28515625" style="232" customWidth="1"/>
    <col min="8987" max="8989" width="14.28515625" style="232" customWidth="1"/>
    <col min="8990" max="8990" width="104.140625" style="232" customWidth="1"/>
    <col min="8991" max="8991" width="3.42578125" style="232" customWidth="1"/>
    <col min="8992" max="8994" width="15" style="232" customWidth="1"/>
    <col min="8995" max="8995" width="87.85546875" style="232" customWidth="1"/>
    <col min="8996" max="9210" width="8.85546875" style="232"/>
    <col min="9211" max="9211" width="13.140625" style="232" bestFit="1" customWidth="1"/>
    <col min="9212" max="9212" width="10" style="232" customWidth="1"/>
    <col min="9213" max="9213" width="10.28515625" style="232" bestFit="1" customWidth="1"/>
    <col min="9214" max="9214" width="10.140625" style="232" bestFit="1" customWidth="1"/>
    <col min="9215" max="9215" width="8.85546875" style="232"/>
    <col min="9216" max="9216" width="32.42578125" style="232" bestFit="1" customWidth="1"/>
    <col min="9217" max="9219" width="8.85546875" style="232"/>
    <col min="9220" max="9223" width="13.7109375" style="232" customWidth="1"/>
    <col min="9224" max="9224" width="2.28515625" style="232" customWidth="1"/>
    <col min="9225" max="9228" width="14.28515625" style="232" customWidth="1"/>
    <col min="9229" max="9229" width="2.42578125" style="232" customWidth="1"/>
    <col min="9230" max="9233" width="14.140625" style="232" customWidth="1"/>
    <col min="9234" max="9234" width="2.42578125" style="232" customWidth="1"/>
    <col min="9235" max="9237" width="10.42578125" style="232" customWidth="1"/>
    <col min="9238" max="9238" width="3.140625" style="232" customWidth="1"/>
    <col min="9239" max="9240" width="23.42578125" style="232" customWidth="1"/>
    <col min="9241" max="9241" width="78.140625" style="232" customWidth="1"/>
    <col min="9242" max="9242" width="3.28515625" style="232" customWidth="1"/>
    <col min="9243" max="9245" width="14.28515625" style="232" customWidth="1"/>
    <col min="9246" max="9246" width="104.140625" style="232" customWidth="1"/>
    <col min="9247" max="9247" width="3.42578125" style="232" customWidth="1"/>
    <col min="9248" max="9250" width="15" style="232" customWidth="1"/>
    <col min="9251" max="9251" width="87.85546875" style="232" customWidth="1"/>
    <col min="9252" max="9466" width="8.85546875" style="232"/>
    <col min="9467" max="9467" width="13.140625" style="232" bestFit="1" customWidth="1"/>
    <col min="9468" max="9468" width="10" style="232" customWidth="1"/>
    <col min="9469" max="9469" width="10.28515625" style="232" bestFit="1" customWidth="1"/>
    <col min="9470" max="9470" width="10.140625" style="232" bestFit="1" customWidth="1"/>
    <col min="9471" max="9471" width="8.85546875" style="232"/>
    <col min="9472" max="9472" width="32.42578125" style="232" bestFit="1" customWidth="1"/>
    <col min="9473" max="9475" width="8.85546875" style="232"/>
    <col min="9476" max="9479" width="13.7109375" style="232" customWidth="1"/>
    <col min="9480" max="9480" width="2.28515625" style="232" customWidth="1"/>
    <col min="9481" max="9484" width="14.28515625" style="232" customWidth="1"/>
    <col min="9485" max="9485" width="2.42578125" style="232" customWidth="1"/>
    <col min="9486" max="9489" width="14.140625" style="232" customWidth="1"/>
    <col min="9490" max="9490" width="2.42578125" style="232" customWidth="1"/>
    <col min="9491" max="9493" width="10.42578125" style="232" customWidth="1"/>
    <col min="9494" max="9494" width="3.140625" style="232" customWidth="1"/>
    <col min="9495" max="9496" width="23.42578125" style="232" customWidth="1"/>
    <col min="9497" max="9497" width="78.140625" style="232" customWidth="1"/>
    <col min="9498" max="9498" width="3.28515625" style="232" customWidth="1"/>
    <col min="9499" max="9501" width="14.28515625" style="232" customWidth="1"/>
    <col min="9502" max="9502" width="104.140625" style="232" customWidth="1"/>
    <col min="9503" max="9503" width="3.42578125" style="232" customWidth="1"/>
    <col min="9504" max="9506" width="15" style="232" customWidth="1"/>
    <col min="9507" max="9507" width="87.85546875" style="232" customWidth="1"/>
    <col min="9508" max="9722" width="8.85546875" style="232"/>
    <col min="9723" max="9723" width="13.140625" style="232" bestFit="1" customWidth="1"/>
    <col min="9724" max="9724" width="10" style="232" customWidth="1"/>
    <col min="9725" max="9725" width="10.28515625" style="232" bestFit="1" customWidth="1"/>
    <col min="9726" max="9726" width="10.140625" style="232" bestFit="1" customWidth="1"/>
    <col min="9727" max="9727" width="8.85546875" style="232"/>
    <col min="9728" max="9728" width="32.42578125" style="232" bestFit="1" customWidth="1"/>
    <col min="9729" max="9731" width="8.85546875" style="232"/>
    <col min="9732" max="9735" width="13.7109375" style="232" customWidth="1"/>
    <col min="9736" max="9736" width="2.28515625" style="232" customWidth="1"/>
    <col min="9737" max="9740" width="14.28515625" style="232" customWidth="1"/>
    <col min="9741" max="9741" width="2.42578125" style="232" customWidth="1"/>
    <col min="9742" max="9745" width="14.140625" style="232" customWidth="1"/>
    <col min="9746" max="9746" width="2.42578125" style="232" customWidth="1"/>
    <col min="9747" max="9749" width="10.42578125" style="232" customWidth="1"/>
    <col min="9750" max="9750" width="3.140625" style="232" customWidth="1"/>
    <col min="9751" max="9752" width="23.42578125" style="232" customWidth="1"/>
    <col min="9753" max="9753" width="78.140625" style="232" customWidth="1"/>
    <col min="9754" max="9754" width="3.28515625" style="232" customWidth="1"/>
    <col min="9755" max="9757" width="14.28515625" style="232" customWidth="1"/>
    <col min="9758" max="9758" width="104.140625" style="232" customWidth="1"/>
    <col min="9759" max="9759" width="3.42578125" style="232" customWidth="1"/>
    <col min="9760" max="9762" width="15" style="232" customWidth="1"/>
    <col min="9763" max="9763" width="87.85546875" style="232" customWidth="1"/>
    <col min="9764" max="9978" width="8.85546875" style="232"/>
    <col min="9979" max="9979" width="13.140625" style="232" bestFit="1" customWidth="1"/>
    <col min="9980" max="9980" width="10" style="232" customWidth="1"/>
    <col min="9981" max="9981" width="10.28515625" style="232" bestFit="1" customWidth="1"/>
    <col min="9982" max="9982" width="10.140625" style="232" bestFit="1" customWidth="1"/>
    <col min="9983" max="9983" width="8.85546875" style="232"/>
    <col min="9984" max="9984" width="32.42578125" style="232" bestFit="1" customWidth="1"/>
    <col min="9985" max="9987" width="8.85546875" style="232"/>
    <col min="9988" max="9991" width="13.7109375" style="232" customWidth="1"/>
    <col min="9992" max="9992" width="2.28515625" style="232" customWidth="1"/>
    <col min="9993" max="9996" width="14.28515625" style="232" customWidth="1"/>
    <col min="9997" max="9997" width="2.42578125" style="232" customWidth="1"/>
    <col min="9998" max="10001" width="14.140625" style="232" customWidth="1"/>
    <col min="10002" max="10002" width="2.42578125" style="232" customWidth="1"/>
    <col min="10003" max="10005" width="10.42578125" style="232" customWidth="1"/>
    <col min="10006" max="10006" width="3.140625" style="232" customWidth="1"/>
    <col min="10007" max="10008" width="23.42578125" style="232" customWidth="1"/>
    <col min="10009" max="10009" width="78.140625" style="232" customWidth="1"/>
    <col min="10010" max="10010" width="3.28515625" style="232" customWidth="1"/>
    <col min="10011" max="10013" width="14.28515625" style="232" customWidth="1"/>
    <col min="10014" max="10014" width="104.140625" style="232" customWidth="1"/>
    <col min="10015" max="10015" width="3.42578125" style="232" customWidth="1"/>
    <col min="10016" max="10018" width="15" style="232" customWidth="1"/>
    <col min="10019" max="10019" width="87.85546875" style="232" customWidth="1"/>
    <col min="10020" max="10234" width="8.85546875" style="232"/>
    <col min="10235" max="10235" width="13.140625" style="232" bestFit="1" customWidth="1"/>
    <col min="10236" max="10236" width="10" style="232" customWidth="1"/>
    <col min="10237" max="10237" width="10.28515625" style="232" bestFit="1" customWidth="1"/>
    <col min="10238" max="10238" width="10.140625" style="232" bestFit="1" customWidth="1"/>
    <col min="10239" max="10239" width="8.85546875" style="232"/>
    <col min="10240" max="10240" width="32.42578125" style="232" bestFit="1" customWidth="1"/>
    <col min="10241" max="10243" width="8.85546875" style="232"/>
    <col min="10244" max="10247" width="13.7109375" style="232" customWidth="1"/>
    <col min="10248" max="10248" width="2.28515625" style="232" customWidth="1"/>
    <col min="10249" max="10252" width="14.28515625" style="232" customWidth="1"/>
    <col min="10253" max="10253" width="2.42578125" style="232" customWidth="1"/>
    <col min="10254" max="10257" width="14.140625" style="232" customWidth="1"/>
    <col min="10258" max="10258" width="2.42578125" style="232" customWidth="1"/>
    <col min="10259" max="10261" width="10.42578125" style="232" customWidth="1"/>
    <col min="10262" max="10262" width="3.140625" style="232" customWidth="1"/>
    <col min="10263" max="10264" width="23.42578125" style="232" customWidth="1"/>
    <col min="10265" max="10265" width="78.140625" style="232" customWidth="1"/>
    <col min="10266" max="10266" width="3.28515625" style="232" customWidth="1"/>
    <col min="10267" max="10269" width="14.28515625" style="232" customWidth="1"/>
    <col min="10270" max="10270" width="104.140625" style="232" customWidth="1"/>
    <col min="10271" max="10271" width="3.42578125" style="232" customWidth="1"/>
    <col min="10272" max="10274" width="15" style="232" customWidth="1"/>
    <col min="10275" max="10275" width="87.85546875" style="232" customWidth="1"/>
    <col min="10276" max="10490" width="8.85546875" style="232"/>
    <col min="10491" max="10491" width="13.140625" style="232" bestFit="1" customWidth="1"/>
    <col min="10492" max="10492" width="10" style="232" customWidth="1"/>
    <col min="10493" max="10493" width="10.28515625" style="232" bestFit="1" customWidth="1"/>
    <col min="10494" max="10494" width="10.140625" style="232" bestFit="1" customWidth="1"/>
    <col min="10495" max="10495" width="8.85546875" style="232"/>
    <col min="10496" max="10496" width="32.42578125" style="232" bestFit="1" customWidth="1"/>
    <col min="10497" max="10499" width="8.85546875" style="232"/>
    <col min="10500" max="10503" width="13.7109375" style="232" customWidth="1"/>
    <col min="10504" max="10504" width="2.28515625" style="232" customWidth="1"/>
    <col min="10505" max="10508" width="14.28515625" style="232" customWidth="1"/>
    <col min="10509" max="10509" width="2.42578125" style="232" customWidth="1"/>
    <col min="10510" max="10513" width="14.140625" style="232" customWidth="1"/>
    <col min="10514" max="10514" width="2.42578125" style="232" customWidth="1"/>
    <col min="10515" max="10517" width="10.42578125" style="232" customWidth="1"/>
    <col min="10518" max="10518" width="3.140625" style="232" customWidth="1"/>
    <col min="10519" max="10520" width="23.42578125" style="232" customWidth="1"/>
    <col min="10521" max="10521" width="78.140625" style="232" customWidth="1"/>
    <col min="10522" max="10522" width="3.28515625" style="232" customWidth="1"/>
    <col min="10523" max="10525" width="14.28515625" style="232" customWidth="1"/>
    <col min="10526" max="10526" width="104.140625" style="232" customWidth="1"/>
    <col min="10527" max="10527" width="3.42578125" style="232" customWidth="1"/>
    <col min="10528" max="10530" width="15" style="232" customWidth="1"/>
    <col min="10531" max="10531" width="87.85546875" style="232" customWidth="1"/>
    <col min="10532" max="10746" width="8.85546875" style="232"/>
    <col min="10747" max="10747" width="13.140625" style="232" bestFit="1" customWidth="1"/>
    <col min="10748" max="10748" width="10" style="232" customWidth="1"/>
    <col min="10749" max="10749" width="10.28515625" style="232" bestFit="1" customWidth="1"/>
    <col min="10750" max="10750" width="10.140625" style="232" bestFit="1" customWidth="1"/>
    <col min="10751" max="10751" width="8.85546875" style="232"/>
    <col min="10752" max="10752" width="32.42578125" style="232" bestFit="1" customWidth="1"/>
    <col min="10753" max="10755" width="8.85546875" style="232"/>
    <col min="10756" max="10759" width="13.7109375" style="232" customWidth="1"/>
    <col min="10760" max="10760" width="2.28515625" style="232" customWidth="1"/>
    <col min="10761" max="10764" width="14.28515625" style="232" customWidth="1"/>
    <col min="10765" max="10765" width="2.42578125" style="232" customWidth="1"/>
    <col min="10766" max="10769" width="14.140625" style="232" customWidth="1"/>
    <col min="10770" max="10770" width="2.42578125" style="232" customWidth="1"/>
    <col min="10771" max="10773" width="10.42578125" style="232" customWidth="1"/>
    <col min="10774" max="10774" width="3.140625" style="232" customWidth="1"/>
    <col min="10775" max="10776" width="23.42578125" style="232" customWidth="1"/>
    <col min="10777" max="10777" width="78.140625" style="232" customWidth="1"/>
    <col min="10778" max="10778" width="3.28515625" style="232" customWidth="1"/>
    <col min="10779" max="10781" width="14.28515625" style="232" customWidth="1"/>
    <col min="10782" max="10782" width="104.140625" style="232" customWidth="1"/>
    <col min="10783" max="10783" width="3.42578125" style="232" customWidth="1"/>
    <col min="10784" max="10786" width="15" style="232" customWidth="1"/>
    <col min="10787" max="10787" width="87.85546875" style="232" customWidth="1"/>
    <col min="10788" max="11002" width="8.85546875" style="232"/>
    <col min="11003" max="11003" width="13.140625" style="232" bestFit="1" customWidth="1"/>
    <col min="11004" max="11004" width="10" style="232" customWidth="1"/>
    <col min="11005" max="11005" width="10.28515625" style="232" bestFit="1" customWidth="1"/>
    <col min="11006" max="11006" width="10.140625" style="232" bestFit="1" customWidth="1"/>
    <col min="11007" max="11007" width="8.85546875" style="232"/>
    <col min="11008" max="11008" width="32.42578125" style="232" bestFit="1" customWidth="1"/>
    <col min="11009" max="11011" width="8.85546875" style="232"/>
    <col min="11012" max="11015" width="13.7109375" style="232" customWidth="1"/>
    <col min="11016" max="11016" width="2.28515625" style="232" customWidth="1"/>
    <col min="11017" max="11020" width="14.28515625" style="232" customWidth="1"/>
    <col min="11021" max="11021" width="2.42578125" style="232" customWidth="1"/>
    <col min="11022" max="11025" width="14.140625" style="232" customWidth="1"/>
    <col min="11026" max="11026" width="2.42578125" style="232" customWidth="1"/>
    <col min="11027" max="11029" width="10.42578125" style="232" customWidth="1"/>
    <col min="11030" max="11030" width="3.140625" style="232" customWidth="1"/>
    <col min="11031" max="11032" width="23.42578125" style="232" customWidth="1"/>
    <col min="11033" max="11033" width="78.140625" style="232" customWidth="1"/>
    <col min="11034" max="11034" width="3.28515625" style="232" customWidth="1"/>
    <col min="11035" max="11037" width="14.28515625" style="232" customWidth="1"/>
    <col min="11038" max="11038" width="104.140625" style="232" customWidth="1"/>
    <col min="11039" max="11039" width="3.42578125" style="232" customWidth="1"/>
    <col min="11040" max="11042" width="15" style="232" customWidth="1"/>
    <col min="11043" max="11043" width="87.85546875" style="232" customWidth="1"/>
    <col min="11044" max="11258" width="8.85546875" style="232"/>
    <col min="11259" max="11259" width="13.140625" style="232" bestFit="1" customWidth="1"/>
    <col min="11260" max="11260" width="10" style="232" customWidth="1"/>
    <col min="11261" max="11261" width="10.28515625" style="232" bestFit="1" customWidth="1"/>
    <col min="11262" max="11262" width="10.140625" style="232" bestFit="1" customWidth="1"/>
    <col min="11263" max="11263" width="8.85546875" style="232"/>
    <col min="11264" max="11264" width="32.42578125" style="232" bestFit="1" customWidth="1"/>
    <col min="11265" max="11267" width="8.85546875" style="232"/>
    <col min="11268" max="11271" width="13.7109375" style="232" customWidth="1"/>
    <col min="11272" max="11272" width="2.28515625" style="232" customWidth="1"/>
    <col min="11273" max="11276" width="14.28515625" style="232" customWidth="1"/>
    <col min="11277" max="11277" width="2.42578125" style="232" customWidth="1"/>
    <col min="11278" max="11281" width="14.140625" style="232" customWidth="1"/>
    <col min="11282" max="11282" width="2.42578125" style="232" customWidth="1"/>
    <col min="11283" max="11285" width="10.42578125" style="232" customWidth="1"/>
    <col min="11286" max="11286" width="3.140625" style="232" customWidth="1"/>
    <col min="11287" max="11288" width="23.42578125" style="232" customWidth="1"/>
    <col min="11289" max="11289" width="78.140625" style="232" customWidth="1"/>
    <col min="11290" max="11290" width="3.28515625" style="232" customWidth="1"/>
    <col min="11291" max="11293" width="14.28515625" style="232" customWidth="1"/>
    <col min="11294" max="11294" width="104.140625" style="232" customWidth="1"/>
    <col min="11295" max="11295" width="3.42578125" style="232" customWidth="1"/>
    <col min="11296" max="11298" width="15" style="232" customWidth="1"/>
    <col min="11299" max="11299" width="87.85546875" style="232" customWidth="1"/>
    <col min="11300" max="11514" width="8.85546875" style="232"/>
    <col min="11515" max="11515" width="13.140625" style="232" bestFit="1" customWidth="1"/>
    <col min="11516" max="11516" width="10" style="232" customWidth="1"/>
    <col min="11517" max="11517" width="10.28515625" style="232" bestFit="1" customWidth="1"/>
    <col min="11518" max="11518" width="10.140625" style="232" bestFit="1" customWidth="1"/>
    <col min="11519" max="11519" width="8.85546875" style="232"/>
    <col min="11520" max="11520" width="32.42578125" style="232" bestFit="1" customWidth="1"/>
    <col min="11521" max="11523" width="8.85546875" style="232"/>
    <col min="11524" max="11527" width="13.7109375" style="232" customWidth="1"/>
    <col min="11528" max="11528" width="2.28515625" style="232" customWidth="1"/>
    <col min="11529" max="11532" width="14.28515625" style="232" customWidth="1"/>
    <col min="11533" max="11533" width="2.42578125" style="232" customWidth="1"/>
    <col min="11534" max="11537" width="14.140625" style="232" customWidth="1"/>
    <col min="11538" max="11538" width="2.42578125" style="232" customWidth="1"/>
    <col min="11539" max="11541" width="10.42578125" style="232" customWidth="1"/>
    <col min="11542" max="11542" width="3.140625" style="232" customWidth="1"/>
    <col min="11543" max="11544" width="23.42578125" style="232" customWidth="1"/>
    <col min="11545" max="11545" width="78.140625" style="232" customWidth="1"/>
    <col min="11546" max="11546" width="3.28515625" style="232" customWidth="1"/>
    <col min="11547" max="11549" width="14.28515625" style="232" customWidth="1"/>
    <col min="11550" max="11550" width="104.140625" style="232" customWidth="1"/>
    <col min="11551" max="11551" width="3.42578125" style="232" customWidth="1"/>
    <col min="11552" max="11554" width="15" style="232" customWidth="1"/>
    <col min="11555" max="11555" width="87.85546875" style="232" customWidth="1"/>
    <col min="11556" max="11770" width="8.85546875" style="232"/>
    <col min="11771" max="11771" width="13.140625" style="232" bestFit="1" customWidth="1"/>
    <col min="11772" max="11772" width="10" style="232" customWidth="1"/>
    <col min="11773" max="11773" width="10.28515625" style="232" bestFit="1" customWidth="1"/>
    <col min="11774" max="11774" width="10.140625" style="232" bestFit="1" customWidth="1"/>
    <col min="11775" max="11775" width="8.85546875" style="232"/>
    <col min="11776" max="11776" width="32.42578125" style="232" bestFit="1" customWidth="1"/>
    <col min="11777" max="11779" width="8.85546875" style="232"/>
    <col min="11780" max="11783" width="13.7109375" style="232" customWidth="1"/>
    <col min="11784" max="11784" width="2.28515625" style="232" customWidth="1"/>
    <col min="11785" max="11788" width="14.28515625" style="232" customWidth="1"/>
    <col min="11789" max="11789" width="2.42578125" style="232" customWidth="1"/>
    <col min="11790" max="11793" width="14.140625" style="232" customWidth="1"/>
    <col min="11794" max="11794" width="2.42578125" style="232" customWidth="1"/>
    <col min="11795" max="11797" width="10.42578125" style="232" customWidth="1"/>
    <col min="11798" max="11798" width="3.140625" style="232" customWidth="1"/>
    <col min="11799" max="11800" width="23.42578125" style="232" customWidth="1"/>
    <col min="11801" max="11801" width="78.140625" style="232" customWidth="1"/>
    <col min="11802" max="11802" width="3.28515625" style="232" customWidth="1"/>
    <col min="11803" max="11805" width="14.28515625" style="232" customWidth="1"/>
    <col min="11806" max="11806" width="104.140625" style="232" customWidth="1"/>
    <col min="11807" max="11807" width="3.42578125" style="232" customWidth="1"/>
    <col min="11808" max="11810" width="15" style="232" customWidth="1"/>
    <col min="11811" max="11811" width="87.85546875" style="232" customWidth="1"/>
    <col min="11812" max="12026" width="8.85546875" style="232"/>
    <col min="12027" max="12027" width="13.140625" style="232" bestFit="1" customWidth="1"/>
    <col min="12028" max="12028" width="10" style="232" customWidth="1"/>
    <col min="12029" max="12029" width="10.28515625" style="232" bestFit="1" customWidth="1"/>
    <col min="12030" max="12030" width="10.140625" style="232" bestFit="1" customWidth="1"/>
    <col min="12031" max="12031" width="8.85546875" style="232"/>
    <col min="12032" max="12032" width="32.42578125" style="232" bestFit="1" customWidth="1"/>
    <col min="12033" max="12035" width="8.85546875" style="232"/>
    <col min="12036" max="12039" width="13.7109375" style="232" customWidth="1"/>
    <col min="12040" max="12040" width="2.28515625" style="232" customWidth="1"/>
    <col min="12041" max="12044" width="14.28515625" style="232" customWidth="1"/>
    <col min="12045" max="12045" width="2.42578125" style="232" customWidth="1"/>
    <col min="12046" max="12049" width="14.140625" style="232" customWidth="1"/>
    <col min="12050" max="12050" width="2.42578125" style="232" customWidth="1"/>
    <col min="12051" max="12053" width="10.42578125" style="232" customWidth="1"/>
    <col min="12054" max="12054" width="3.140625" style="232" customWidth="1"/>
    <col min="12055" max="12056" width="23.42578125" style="232" customWidth="1"/>
    <col min="12057" max="12057" width="78.140625" style="232" customWidth="1"/>
    <col min="12058" max="12058" width="3.28515625" style="232" customWidth="1"/>
    <col min="12059" max="12061" width="14.28515625" style="232" customWidth="1"/>
    <col min="12062" max="12062" width="104.140625" style="232" customWidth="1"/>
    <col min="12063" max="12063" width="3.42578125" style="232" customWidth="1"/>
    <col min="12064" max="12066" width="15" style="232" customWidth="1"/>
    <col min="12067" max="12067" width="87.85546875" style="232" customWidth="1"/>
    <col min="12068" max="12282" width="8.85546875" style="232"/>
    <col min="12283" max="12283" width="13.140625" style="232" bestFit="1" customWidth="1"/>
    <col min="12284" max="12284" width="10" style="232" customWidth="1"/>
    <col min="12285" max="12285" width="10.28515625" style="232" bestFit="1" customWidth="1"/>
    <col min="12286" max="12286" width="10.140625" style="232" bestFit="1" customWidth="1"/>
    <col min="12287" max="12287" width="8.85546875" style="232"/>
    <col min="12288" max="12288" width="32.42578125" style="232" bestFit="1" customWidth="1"/>
    <col min="12289" max="12291" width="8.85546875" style="232"/>
    <col min="12292" max="12295" width="13.7109375" style="232" customWidth="1"/>
    <col min="12296" max="12296" width="2.28515625" style="232" customWidth="1"/>
    <col min="12297" max="12300" width="14.28515625" style="232" customWidth="1"/>
    <col min="12301" max="12301" width="2.42578125" style="232" customWidth="1"/>
    <col min="12302" max="12305" width="14.140625" style="232" customWidth="1"/>
    <col min="12306" max="12306" width="2.42578125" style="232" customWidth="1"/>
    <col min="12307" max="12309" width="10.42578125" style="232" customWidth="1"/>
    <col min="12310" max="12310" width="3.140625" style="232" customWidth="1"/>
    <col min="12311" max="12312" width="23.42578125" style="232" customWidth="1"/>
    <col min="12313" max="12313" width="78.140625" style="232" customWidth="1"/>
    <col min="12314" max="12314" width="3.28515625" style="232" customWidth="1"/>
    <col min="12315" max="12317" width="14.28515625" style="232" customWidth="1"/>
    <col min="12318" max="12318" width="104.140625" style="232" customWidth="1"/>
    <col min="12319" max="12319" width="3.42578125" style="232" customWidth="1"/>
    <col min="12320" max="12322" width="15" style="232" customWidth="1"/>
    <col min="12323" max="12323" width="87.85546875" style="232" customWidth="1"/>
    <col min="12324" max="12538" width="8.85546875" style="232"/>
    <col min="12539" max="12539" width="13.140625" style="232" bestFit="1" customWidth="1"/>
    <col min="12540" max="12540" width="10" style="232" customWidth="1"/>
    <col min="12541" max="12541" width="10.28515625" style="232" bestFit="1" customWidth="1"/>
    <col min="12542" max="12542" width="10.140625" style="232" bestFit="1" customWidth="1"/>
    <col min="12543" max="12543" width="8.85546875" style="232"/>
    <col min="12544" max="12544" width="32.42578125" style="232" bestFit="1" customWidth="1"/>
    <col min="12545" max="12547" width="8.85546875" style="232"/>
    <col min="12548" max="12551" width="13.7109375" style="232" customWidth="1"/>
    <col min="12552" max="12552" width="2.28515625" style="232" customWidth="1"/>
    <col min="12553" max="12556" width="14.28515625" style="232" customWidth="1"/>
    <col min="12557" max="12557" width="2.42578125" style="232" customWidth="1"/>
    <col min="12558" max="12561" width="14.140625" style="232" customWidth="1"/>
    <col min="12562" max="12562" width="2.42578125" style="232" customWidth="1"/>
    <col min="12563" max="12565" width="10.42578125" style="232" customWidth="1"/>
    <col min="12566" max="12566" width="3.140625" style="232" customWidth="1"/>
    <col min="12567" max="12568" width="23.42578125" style="232" customWidth="1"/>
    <col min="12569" max="12569" width="78.140625" style="232" customWidth="1"/>
    <col min="12570" max="12570" width="3.28515625" style="232" customWidth="1"/>
    <col min="12571" max="12573" width="14.28515625" style="232" customWidth="1"/>
    <col min="12574" max="12574" width="104.140625" style="232" customWidth="1"/>
    <col min="12575" max="12575" width="3.42578125" style="232" customWidth="1"/>
    <col min="12576" max="12578" width="15" style="232" customWidth="1"/>
    <col min="12579" max="12579" width="87.85546875" style="232" customWidth="1"/>
    <col min="12580" max="12794" width="8.85546875" style="232"/>
    <col min="12795" max="12795" width="13.140625" style="232" bestFit="1" customWidth="1"/>
    <col min="12796" max="12796" width="10" style="232" customWidth="1"/>
    <col min="12797" max="12797" width="10.28515625" style="232" bestFit="1" customWidth="1"/>
    <col min="12798" max="12798" width="10.140625" style="232" bestFit="1" customWidth="1"/>
    <col min="12799" max="12799" width="8.85546875" style="232"/>
    <col min="12800" max="12800" width="32.42578125" style="232" bestFit="1" customWidth="1"/>
    <col min="12801" max="12803" width="8.85546875" style="232"/>
    <col min="12804" max="12807" width="13.7109375" style="232" customWidth="1"/>
    <col min="12808" max="12808" width="2.28515625" style="232" customWidth="1"/>
    <col min="12809" max="12812" width="14.28515625" style="232" customWidth="1"/>
    <col min="12813" max="12813" width="2.42578125" style="232" customWidth="1"/>
    <col min="12814" max="12817" width="14.140625" style="232" customWidth="1"/>
    <col min="12818" max="12818" width="2.42578125" style="232" customWidth="1"/>
    <col min="12819" max="12821" width="10.42578125" style="232" customWidth="1"/>
    <col min="12822" max="12822" width="3.140625" style="232" customWidth="1"/>
    <col min="12823" max="12824" width="23.42578125" style="232" customWidth="1"/>
    <col min="12825" max="12825" width="78.140625" style="232" customWidth="1"/>
    <col min="12826" max="12826" width="3.28515625" style="232" customWidth="1"/>
    <col min="12827" max="12829" width="14.28515625" style="232" customWidth="1"/>
    <col min="12830" max="12830" width="104.140625" style="232" customWidth="1"/>
    <col min="12831" max="12831" width="3.42578125" style="232" customWidth="1"/>
    <col min="12832" max="12834" width="15" style="232" customWidth="1"/>
    <col min="12835" max="12835" width="87.85546875" style="232" customWidth="1"/>
    <col min="12836" max="13050" width="8.85546875" style="232"/>
    <col min="13051" max="13051" width="13.140625" style="232" bestFit="1" customWidth="1"/>
    <col min="13052" max="13052" width="10" style="232" customWidth="1"/>
    <col min="13053" max="13053" width="10.28515625" style="232" bestFit="1" customWidth="1"/>
    <col min="13054" max="13054" width="10.140625" style="232" bestFit="1" customWidth="1"/>
    <col min="13055" max="13055" width="8.85546875" style="232"/>
    <col min="13056" max="13056" width="32.42578125" style="232" bestFit="1" customWidth="1"/>
    <col min="13057" max="13059" width="8.85546875" style="232"/>
    <col min="13060" max="13063" width="13.7109375" style="232" customWidth="1"/>
    <col min="13064" max="13064" width="2.28515625" style="232" customWidth="1"/>
    <col min="13065" max="13068" width="14.28515625" style="232" customWidth="1"/>
    <col min="13069" max="13069" width="2.42578125" style="232" customWidth="1"/>
    <col min="13070" max="13073" width="14.140625" style="232" customWidth="1"/>
    <col min="13074" max="13074" width="2.42578125" style="232" customWidth="1"/>
    <col min="13075" max="13077" width="10.42578125" style="232" customWidth="1"/>
    <col min="13078" max="13078" width="3.140625" style="232" customWidth="1"/>
    <col min="13079" max="13080" width="23.42578125" style="232" customWidth="1"/>
    <col min="13081" max="13081" width="78.140625" style="232" customWidth="1"/>
    <col min="13082" max="13082" width="3.28515625" style="232" customWidth="1"/>
    <col min="13083" max="13085" width="14.28515625" style="232" customWidth="1"/>
    <col min="13086" max="13086" width="104.140625" style="232" customWidth="1"/>
    <col min="13087" max="13087" width="3.42578125" style="232" customWidth="1"/>
    <col min="13088" max="13090" width="15" style="232" customWidth="1"/>
    <col min="13091" max="13091" width="87.85546875" style="232" customWidth="1"/>
    <col min="13092" max="13306" width="8.85546875" style="232"/>
    <col min="13307" max="13307" width="13.140625" style="232" bestFit="1" customWidth="1"/>
    <col min="13308" max="13308" width="10" style="232" customWidth="1"/>
    <col min="13309" max="13309" width="10.28515625" style="232" bestFit="1" customWidth="1"/>
    <col min="13310" max="13310" width="10.140625" style="232" bestFit="1" customWidth="1"/>
    <col min="13311" max="13311" width="8.85546875" style="232"/>
    <col min="13312" max="13312" width="32.42578125" style="232" bestFit="1" customWidth="1"/>
    <col min="13313" max="13315" width="8.85546875" style="232"/>
    <col min="13316" max="13319" width="13.7109375" style="232" customWidth="1"/>
    <col min="13320" max="13320" width="2.28515625" style="232" customWidth="1"/>
    <col min="13321" max="13324" width="14.28515625" style="232" customWidth="1"/>
    <col min="13325" max="13325" width="2.42578125" style="232" customWidth="1"/>
    <col min="13326" max="13329" width="14.140625" style="232" customWidth="1"/>
    <col min="13330" max="13330" width="2.42578125" style="232" customWidth="1"/>
    <col min="13331" max="13333" width="10.42578125" style="232" customWidth="1"/>
    <col min="13334" max="13334" width="3.140625" style="232" customWidth="1"/>
    <col min="13335" max="13336" width="23.42578125" style="232" customWidth="1"/>
    <col min="13337" max="13337" width="78.140625" style="232" customWidth="1"/>
    <col min="13338" max="13338" width="3.28515625" style="232" customWidth="1"/>
    <col min="13339" max="13341" width="14.28515625" style="232" customWidth="1"/>
    <col min="13342" max="13342" width="104.140625" style="232" customWidth="1"/>
    <col min="13343" max="13343" width="3.42578125" style="232" customWidth="1"/>
    <col min="13344" max="13346" width="15" style="232" customWidth="1"/>
    <col min="13347" max="13347" width="87.85546875" style="232" customWidth="1"/>
    <col min="13348" max="13562" width="8.85546875" style="232"/>
    <col min="13563" max="13563" width="13.140625" style="232" bestFit="1" customWidth="1"/>
    <col min="13564" max="13564" width="10" style="232" customWidth="1"/>
    <col min="13565" max="13565" width="10.28515625" style="232" bestFit="1" customWidth="1"/>
    <col min="13566" max="13566" width="10.140625" style="232" bestFit="1" customWidth="1"/>
    <col min="13567" max="13567" width="8.85546875" style="232"/>
    <col min="13568" max="13568" width="32.42578125" style="232" bestFit="1" customWidth="1"/>
    <col min="13569" max="13571" width="8.85546875" style="232"/>
    <col min="13572" max="13575" width="13.7109375" style="232" customWidth="1"/>
    <col min="13576" max="13576" width="2.28515625" style="232" customWidth="1"/>
    <col min="13577" max="13580" width="14.28515625" style="232" customWidth="1"/>
    <col min="13581" max="13581" width="2.42578125" style="232" customWidth="1"/>
    <col min="13582" max="13585" width="14.140625" style="232" customWidth="1"/>
    <col min="13586" max="13586" width="2.42578125" style="232" customWidth="1"/>
    <col min="13587" max="13589" width="10.42578125" style="232" customWidth="1"/>
    <col min="13590" max="13590" width="3.140625" style="232" customWidth="1"/>
    <col min="13591" max="13592" width="23.42578125" style="232" customWidth="1"/>
    <col min="13593" max="13593" width="78.140625" style="232" customWidth="1"/>
    <col min="13594" max="13594" width="3.28515625" style="232" customWidth="1"/>
    <col min="13595" max="13597" width="14.28515625" style="232" customWidth="1"/>
    <col min="13598" max="13598" width="104.140625" style="232" customWidth="1"/>
    <col min="13599" max="13599" width="3.42578125" style="232" customWidth="1"/>
    <col min="13600" max="13602" width="15" style="232" customWidth="1"/>
    <col min="13603" max="13603" width="87.85546875" style="232" customWidth="1"/>
    <col min="13604" max="13818" width="8.85546875" style="232"/>
    <col min="13819" max="13819" width="13.140625" style="232" bestFit="1" customWidth="1"/>
    <col min="13820" max="13820" width="10" style="232" customWidth="1"/>
    <col min="13821" max="13821" width="10.28515625" style="232" bestFit="1" customWidth="1"/>
    <col min="13822" max="13822" width="10.140625" style="232" bestFit="1" customWidth="1"/>
    <col min="13823" max="13823" width="8.85546875" style="232"/>
    <col min="13824" max="13824" width="32.42578125" style="232" bestFit="1" customWidth="1"/>
    <col min="13825" max="13827" width="8.85546875" style="232"/>
    <col min="13828" max="13831" width="13.7109375" style="232" customWidth="1"/>
    <col min="13832" max="13832" width="2.28515625" style="232" customWidth="1"/>
    <col min="13833" max="13836" width="14.28515625" style="232" customWidth="1"/>
    <col min="13837" max="13837" width="2.42578125" style="232" customWidth="1"/>
    <col min="13838" max="13841" width="14.140625" style="232" customWidth="1"/>
    <col min="13842" max="13842" width="2.42578125" style="232" customWidth="1"/>
    <col min="13843" max="13845" width="10.42578125" style="232" customWidth="1"/>
    <col min="13846" max="13846" width="3.140625" style="232" customWidth="1"/>
    <col min="13847" max="13848" width="23.42578125" style="232" customWidth="1"/>
    <col min="13849" max="13849" width="78.140625" style="232" customWidth="1"/>
    <col min="13850" max="13850" width="3.28515625" style="232" customWidth="1"/>
    <col min="13851" max="13853" width="14.28515625" style="232" customWidth="1"/>
    <col min="13854" max="13854" width="104.140625" style="232" customWidth="1"/>
    <col min="13855" max="13855" width="3.42578125" style="232" customWidth="1"/>
    <col min="13856" max="13858" width="15" style="232" customWidth="1"/>
    <col min="13859" max="13859" width="87.85546875" style="232" customWidth="1"/>
    <col min="13860" max="14074" width="8.85546875" style="232"/>
    <col min="14075" max="14075" width="13.140625" style="232" bestFit="1" customWidth="1"/>
    <col min="14076" max="14076" width="10" style="232" customWidth="1"/>
    <col min="14077" max="14077" width="10.28515625" style="232" bestFit="1" customWidth="1"/>
    <col min="14078" max="14078" width="10.140625" style="232" bestFit="1" customWidth="1"/>
    <col min="14079" max="14079" width="8.85546875" style="232"/>
    <col min="14080" max="14080" width="32.42578125" style="232" bestFit="1" customWidth="1"/>
    <col min="14081" max="14083" width="8.85546875" style="232"/>
    <col min="14084" max="14087" width="13.7109375" style="232" customWidth="1"/>
    <col min="14088" max="14088" width="2.28515625" style="232" customWidth="1"/>
    <col min="14089" max="14092" width="14.28515625" style="232" customWidth="1"/>
    <col min="14093" max="14093" width="2.42578125" style="232" customWidth="1"/>
    <col min="14094" max="14097" width="14.140625" style="232" customWidth="1"/>
    <col min="14098" max="14098" width="2.42578125" style="232" customWidth="1"/>
    <col min="14099" max="14101" width="10.42578125" style="232" customWidth="1"/>
    <col min="14102" max="14102" width="3.140625" style="232" customWidth="1"/>
    <col min="14103" max="14104" width="23.42578125" style="232" customWidth="1"/>
    <col min="14105" max="14105" width="78.140625" style="232" customWidth="1"/>
    <col min="14106" max="14106" width="3.28515625" style="232" customWidth="1"/>
    <col min="14107" max="14109" width="14.28515625" style="232" customWidth="1"/>
    <col min="14110" max="14110" width="104.140625" style="232" customWidth="1"/>
    <col min="14111" max="14111" width="3.42578125" style="232" customWidth="1"/>
    <col min="14112" max="14114" width="15" style="232" customWidth="1"/>
    <col min="14115" max="14115" width="87.85546875" style="232" customWidth="1"/>
    <col min="14116" max="14330" width="8.85546875" style="232"/>
    <col min="14331" max="14331" width="13.140625" style="232" bestFit="1" customWidth="1"/>
    <col min="14332" max="14332" width="10" style="232" customWidth="1"/>
    <col min="14333" max="14333" width="10.28515625" style="232" bestFit="1" customWidth="1"/>
    <col min="14334" max="14334" width="10.140625" style="232" bestFit="1" customWidth="1"/>
    <col min="14335" max="14335" width="8.85546875" style="232"/>
    <col min="14336" max="14336" width="32.42578125" style="232" bestFit="1" customWidth="1"/>
    <col min="14337" max="14339" width="8.85546875" style="232"/>
    <col min="14340" max="14343" width="13.7109375" style="232" customWidth="1"/>
    <col min="14344" max="14344" width="2.28515625" style="232" customWidth="1"/>
    <col min="14345" max="14348" width="14.28515625" style="232" customWidth="1"/>
    <col min="14349" max="14349" width="2.42578125" style="232" customWidth="1"/>
    <col min="14350" max="14353" width="14.140625" style="232" customWidth="1"/>
    <col min="14354" max="14354" width="2.42578125" style="232" customWidth="1"/>
    <col min="14355" max="14357" width="10.42578125" style="232" customWidth="1"/>
    <col min="14358" max="14358" width="3.140625" style="232" customWidth="1"/>
    <col min="14359" max="14360" width="23.42578125" style="232" customWidth="1"/>
    <col min="14361" max="14361" width="78.140625" style="232" customWidth="1"/>
    <col min="14362" max="14362" width="3.28515625" style="232" customWidth="1"/>
    <col min="14363" max="14365" width="14.28515625" style="232" customWidth="1"/>
    <col min="14366" max="14366" width="104.140625" style="232" customWidth="1"/>
    <col min="14367" max="14367" width="3.42578125" style="232" customWidth="1"/>
    <col min="14368" max="14370" width="15" style="232" customWidth="1"/>
    <col min="14371" max="14371" width="87.85546875" style="232" customWidth="1"/>
    <col min="14372" max="14586" width="8.85546875" style="232"/>
    <col min="14587" max="14587" width="13.140625" style="232" bestFit="1" customWidth="1"/>
    <col min="14588" max="14588" width="10" style="232" customWidth="1"/>
    <col min="14589" max="14589" width="10.28515625" style="232" bestFit="1" customWidth="1"/>
    <col min="14590" max="14590" width="10.140625" style="232" bestFit="1" customWidth="1"/>
    <col min="14591" max="14591" width="8.85546875" style="232"/>
    <col min="14592" max="14592" width="32.42578125" style="232" bestFit="1" customWidth="1"/>
    <col min="14593" max="14595" width="8.85546875" style="232"/>
    <col min="14596" max="14599" width="13.7109375" style="232" customWidth="1"/>
    <col min="14600" max="14600" width="2.28515625" style="232" customWidth="1"/>
    <col min="14601" max="14604" width="14.28515625" style="232" customWidth="1"/>
    <col min="14605" max="14605" width="2.42578125" style="232" customWidth="1"/>
    <col min="14606" max="14609" width="14.140625" style="232" customWidth="1"/>
    <col min="14610" max="14610" width="2.42578125" style="232" customWidth="1"/>
    <col min="14611" max="14613" width="10.42578125" style="232" customWidth="1"/>
    <col min="14614" max="14614" width="3.140625" style="232" customWidth="1"/>
    <col min="14615" max="14616" width="23.42578125" style="232" customWidth="1"/>
    <col min="14617" max="14617" width="78.140625" style="232" customWidth="1"/>
    <col min="14618" max="14618" width="3.28515625" style="232" customWidth="1"/>
    <col min="14619" max="14621" width="14.28515625" style="232" customWidth="1"/>
    <col min="14622" max="14622" width="104.140625" style="232" customWidth="1"/>
    <col min="14623" max="14623" width="3.42578125" style="232" customWidth="1"/>
    <col min="14624" max="14626" width="15" style="232" customWidth="1"/>
    <col min="14627" max="14627" width="87.85546875" style="232" customWidth="1"/>
    <col min="14628" max="14842" width="8.85546875" style="232"/>
    <col min="14843" max="14843" width="13.140625" style="232" bestFit="1" customWidth="1"/>
    <col min="14844" max="14844" width="10" style="232" customWidth="1"/>
    <col min="14845" max="14845" width="10.28515625" style="232" bestFit="1" customWidth="1"/>
    <col min="14846" max="14846" width="10.140625" style="232" bestFit="1" customWidth="1"/>
    <col min="14847" max="14847" width="8.85546875" style="232"/>
    <col min="14848" max="14848" width="32.42578125" style="232" bestFit="1" customWidth="1"/>
    <col min="14849" max="14851" width="8.85546875" style="232"/>
    <col min="14852" max="14855" width="13.7109375" style="232" customWidth="1"/>
    <col min="14856" max="14856" width="2.28515625" style="232" customWidth="1"/>
    <col min="14857" max="14860" width="14.28515625" style="232" customWidth="1"/>
    <col min="14861" max="14861" width="2.42578125" style="232" customWidth="1"/>
    <col min="14862" max="14865" width="14.140625" style="232" customWidth="1"/>
    <col min="14866" max="14866" width="2.42578125" style="232" customWidth="1"/>
    <col min="14867" max="14869" width="10.42578125" style="232" customWidth="1"/>
    <col min="14870" max="14870" width="3.140625" style="232" customWidth="1"/>
    <col min="14871" max="14872" width="23.42578125" style="232" customWidth="1"/>
    <col min="14873" max="14873" width="78.140625" style="232" customWidth="1"/>
    <col min="14874" max="14874" width="3.28515625" style="232" customWidth="1"/>
    <col min="14875" max="14877" width="14.28515625" style="232" customWidth="1"/>
    <col min="14878" max="14878" width="104.140625" style="232" customWidth="1"/>
    <col min="14879" max="14879" width="3.42578125" style="232" customWidth="1"/>
    <col min="14880" max="14882" width="15" style="232" customWidth="1"/>
    <col min="14883" max="14883" width="87.85546875" style="232" customWidth="1"/>
    <col min="14884" max="15098" width="8.85546875" style="232"/>
    <col min="15099" max="15099" width="13.140625" style="232" bestFit="1" customWidth="1"/>
    <col min="15100" max="15100" width="10" style="232" customWidth="1"/>
    <col min="15101" max="15101" width="10.28515625" style="232" bestFit="1" customWidth="1"/>
    <col min="15102" max="15102" width="10.140625" style="232" bestFit="1" customWidth="1"/>
    <col min="15103" max="15103" width="8.85546875" style="232"/>
    <col min="15104" max="15104" width="32.42578125" style="232" bestFit="1" customWidth="1"/>
    <col min="15105" max="15107" width="8.85546875" style="232"/>
    <col min="15108" max="15111" width="13.7109375" style="232" customWidth="1"/>
    <col min="15112" max="15112" width="2.28515625" style="232" customWidth="1"/>
    <col min="15113" max="15116" width="14.28515625" style="232" customWidth="1"/>
    <col min="15117" max="15117" width="2.42578125" style="232" customWidth="1"/>
    <col min="15118" max="15121" width="14.140625" style="232" customWidth="1"/>
    <col min="15122" max="15122" width="2.42578125" style="232" customWidth="1"/>
    <col min="15123" max="15125" width="10.42578125" style="232" customWidth="1"/>
    <col min="15126" max="15126" width="3.140625" style="232" customWidth="1"/>
    <col min="15127" max="15128" width="23.42578125" style="232" customWidth="1"/>
    <col min="15129" max="15129" width="78.140625" style="232" customWidth="1"/>
    <col min="15130" max="15130" width="3.28515625" style="232" customWidth="1"/>
    <col min="15131" max="15133" width="14.28515625" style="232" customWidth="1"/>
    <col min="15134" max="15134" width="104.140625" style="232" customWidth="1"/>
    <col min="15135" max="15135" width="3.42578125" style="232" customWidth="1"/>
    <col min="15136" max="15138" width="15" style="232" customWidth="1"/>
    <col min="15139" max="15139" width="87.85546875" style="232" customWidth="1"/>
    <col min="15140" max="15354" width="8.85546875" style="232"/>
    <col min="15355" max="15355" width="13.140625" style="232" bestFit="1" customWidth="1"/>
    <col min="15356" max="15356" width="10" style="232" customWidth="1"/>
    <col min="15357" max="15357" width="10.28515625" style="232" bestFit="1" customWidth="1"/>
    <col min="15358" max="15358" width="10.140625" style="232" bestFit="1" customWidth="1"/>
    <col min="15359" max="15359" width="8.85546875" style="232"/>
    <col min="15360" max="15360" width="32.42578125" style="232" bestFit="1" customWidth="1"/>
    <col min="15361" max="15363" width="8.85546875" style="232"/>
    <col min="15364" max="15367" width="13.7109375" style="232" customWidth="1"/>
    <col min="15368" max="15368" width="2.28515625" style="232" customWidth="1"/>
    <col min="15369" max="15372" width="14.28515625" style="232" customWidth="1"/>
    <col min="15373" max="15373" width="2.42578125" style="232" customWidth="1"/>
    <col min="15374" max="15377" width="14.140625" style="232" customWidth="1"/>
    <col min="15378" max="15378" width="2.42578125" style="232" customWidth="1"/>
    <col min="15379" max="15381" width="10.42578125" style="232" customWidth="1"/>
    <col min="15382" max="15382" width="3.140625" style="232" customWidth="1"/>
    <col min="15383" max="15384" width="23.42578125" style="232" customWidth="1"/>
    <col min="15385" max="15385" width="78.140625" style="232" customWidth="1"/>
    <col min="15386" max="15386" width="3.28515625" style="232" customWidth="1"/>
    <col min="15387" max="15389" width="14.28515625" style="232" customWidth="1"/>
    <col min="15390" max="15390" width="104.140625" style="232" customWidth="1"/>
    <col min="15391" max="15391" width="3.42578125" style="232" customWidth="1"/>
    <col min="15392" max="15394" width="15" style="232" customWidth="1"/>
    <col min="15395" max="15395" width="87.85546875" style="232" customWidth="1"/>
    <col min="15396" max="15610" width="8.85546875" style="232"/>
    <col min="15611" max="15611" width="13.140625" style="232" bestFit="1" customWidth="1"/>
    <col min="15612" max="15612" width="10" style="232" customWidth="1"/>
    <col min="15613" max="15613" width="10.28515625" style="232" bestFit="1" customWidth="1"/>
    <col min="15614" max="15614" width="10.140625" style="232" bestFit="1" customWidth="1"/>
    <col min="15615" max="15615" width="8.85546875" style="232"/>
    <col min="15616" max="15616" width="32.42578125" style="232" bestFit="1" customWidth="1"/>
    <col min="15617" max="15619" width="8.85546875" style="232"/>
    <col min="15620" max="15623" width="13.7109375" style="232" customWidth="1"/>
    <col min="15624" max="15624" width="2.28515625" style="232" customWidth="1"/>
    <col min="15625" max="15628" width="14.28515625" style="232" customWidth="1"/>
    <col min="15629" max="15629" width="2.42578125" style="232" customWidth="1"/>
    <col min="15630" max="15633" width="14.140625" style="232" customWidth="1"/>
    <col min="15634" max="15634" width="2.42578125" style="232" customWidth="1"/>
    <col min="15635" max="15637" width="10.42578125" style="232" customWidth="1"/>
    <col min="15638" max="15638" width="3.140625" style="232" customWidth="1"/>
    <col min="15639" max="15640" width="23.42578125" style="232" customWidth="1"/>
    <col min="15641" max="15641" width="78.140625" style="232" customWidth="1"/>
    <col min="15642" max="15642" width="3.28515625" style="232" customWidth="1"/>
    <col min="15643" max="15645" width="14.28515625" style="232" customWidth="1"/>
    <col min="15646" max="15646" width="104.140625" style="232" customWidth="1"/>
    <col min="15647" max="15647" width="3.42578125" style="232" customWidth="1"/>
    <col min="15648" max="15650" width="15" style="232" customWidth="1"/>
    <col min="15651" max="15651" width="87.85546875" style="232" customWidth="1"/>
    <col min="15652" max="15866" width="8.85546875" style="232"/>
    <col min="15867" max="15867" width="13.140625" style="232" bestFit="1" customWidth="1"/>
    <col min="15868" max="15868" width="10" style="232" customWidth="1"/>
    <col min="15869" max="15869" width="10.28515625" style="232" bestFit="1" customWidth="1"/>
    <col min="15870" max="15870" width="10.140625" style="232" bestFit="1" customWidth="1"/>
    <col min="15871" max="15871" width="8.85546875" style="232"/>
    <col min="15872" max="15872" width="32.42578125" style="232" bestFit="1" customWidth="1"/>
    <col min="15873" max="15875" width="8.85546875" style="232"/>
    <col min="15876" max="15879" width="13.7109375" style="232" customWidth="1"/>
    <col min="15880" max="15880" width="2.28515625" style="232" customWidth="1"/>
    <col min="15881" max="15884" width="14.28515625" style="232" customWidth="1"/>
    <col min="15885" max="15885" width="2.42578125" style="232" customWidth="1"/>
    <col min="15886" max="15889" width="14.140625" style="232" customWidth="1"/>
    <col min="15890" max="15890" width="2.42578125" style="232" customWidth="1"/>
    <col min="15891" max="15893" width="10.42578125" style="232" customWidth="1"/>
    <col min="15894" max="15894" width="3.140625" style="232" customWidth="1"/>
    <col min="15895" max="15896" width="23.42578125" style="232" customWidth="1"/>
    <col min="15897" max="15897" width="78.140625" style="232" customWidth="1"/>
    <col min="15898" max="15898" width="3.28515625" style="232" customWidth="1"/>
    <col min="15899" max="15901" width="14.28515625" style="232" customWidth="1"/>
    <col min="15902" max="15902" width="104.140625" style="232" customWidth="1"/>
    <col min="15903" max="15903" width="3.42578125" style="232" customWidth="1"/>
    <col min="15904" max="15906" width="15" style="232" customWidth="1"/>
    <col min="15907" max="15907" width="87.85546875" style="232" customWidth="1"/>
    <col min="15908" max="16122" width="8.85546875" style="232"/>
    <col min="16123" max="16123" width="13.140625" style="232" bestFit="1" customWidth="1"/>
    <col min="16124" max="16124" width="10" style="232" customWidth="1"/>
    <col min="16125" max="16125" width="10.28515625" style="232" bestFit="1" customWidth="1"/>
    <col min="16126" max="16126" width="10.140625" style="232" bestFit="1" customWidth="1"/>
    <col min="16127" max="16127" width="8.85546875" style="232"/>
    <col min="16128" max="16128" width="32.42578125" style="232" bestFit="1" customWidth="1"/>
    <col min="16129" max="16131" width="8.85546875" style="232"/>
    <col min="16132" max="16135" width="13.7109375" style="232" customWidth="1"/>
    <col min="16136" max="16136" width="2.28515625" style="232" customWidth="1"/>
    <col min="16137" max="16140" width="14.28515625" style="232" customWidth="1"/>
    <col min="16141" max="16141" width="2.42578125" style="232" customWidth="1"/>
    <col min="16142" max="16145" width="14.140625" style="232" customWidth="1"/>
    <col min="16146" max="16146" width="2.42578125" style="232" customWidth="1"/>
    <col min="16147" max="16149" width="10.42578125" style="232" customWidth="1"/>
    <col min="16150" max="16150" width="3.140625" style="232" customWidth="1"/>
    <col min="16151" max="16152" width="23.42578125" style="232" customWidth="1"/>
    <col min="16153" max="16153" width="78.140625" style="232" customWidth="1"/>
    <col min="16154" max="16154" width="3.28515625" style="232" customWidth="1"/>
    <col min="16155" max="16157" width="14.28515625" style="232" customWidth="1"/>
    <col min="16158" max="16158" width="104.140625" style="232" customWidth="1"/>
    <col min="16159" max="16159" width="3.42578125" style="232" customWidth="1"/>
    <col min="16160" max="16162" width="15" style="232" customWidth="1"/>
    <col min="16163" max="16163" width="87.85546875" style="232" customWidth="1"/>
    <col min="16164" max="16384" width="8.85546875" style="232"/>
  </cols>
  <sheetData>
    <row r="1" spans="1:35" s="231" customFormat="1" ht="125.25" customHeight="1">
      <c r="A1" s="231" t="s">
        <v>322</v>
      </c>
      <c r="B1" s="231" t="s">
        <v>323</v>
      </c>
      <c r="C1" s="231" t="s">
        <v>324</v>
      </c>
      <c r="D1" s="1138" t="s">
        <v>325</v>
      </c>
      <c r="E1" s="1138"/>
      <c r="F1" s="1138"/>
      <c r="G1" s="1138"/>
      <c r="I1" s="1138" t="s">
        <v>326</v>
      </c>
      <c r="J1" s="1138"/>
      <c r="K1" s="1138"/>
      <c r="L1" s="1138"/>
      <c r="N1" s="1138" t="s">
        <v>327</v>
      </c>
      <c r="O1" s="1138"/>
      <c r="P1" s="1138"/>
      <c r="Q1" s="1138"/>
      <c r="S1" s="1138" t="s">
        <v>328</v>
      </c>
      <c r="T1" s="1138"/>
      <c r="U1" s="1138"/>
      <c r="W1" s="1138" t="s">
        <v>377</v>
      </c>
      <c r="X1" s="1138"/>
      <c r="Y1" s="231" t="s">
        <v>378</v>
      </c>
      <c r="AA1" s="1138" t="s">
        <v>379</v>
      </c>
      <c r="AB1" s="1138"/>
      <c r="AC1" s="1138"/>
      <c r="AD1" s="231" t="s">
        <v>378</v>
      </c>
      <c r="AF1" s="1138" t="s">
        <v>357</v>
      </c>
      <c r="AG1" s="1138"/>
      <c r="AH1" s="1138"/>
      <c r="AI1" s="231" t="s">
        <v>378</v>
      </c>
    </row>
    <row r="2" spans="1:35" s="231" customFormat="1" ht="63.75">
      <c r="A2" s="231" t="s">
        <v>358</v>
      </c>
      <c r="B2" s="231" t="s">
        <v>358</v>
      </c>
      <c r="C2" s="231" t="s">
        <v>358</v>
      </c>
      <c r="D2" s="231" t="s">
        <v>359</v>
      </c>
      <c r="E2" s="231" t="s">
        <v>360</v>
      </c>
      <c r="F2" s="231" t="s">
        <v>361</v>
      </c>
      <c r="G2" s="231" t="s">
        <v>362</v>
      </c>
      <c r="I2" s="231" t="s">
        <v>359</v>
      </c>
      <c r="J2" s="231" t="s">
        <v>360</v>
      </c>
      <c r="K2" s="231" t="s">
        <v>361</v>
      </c>
      <c r="L2" s="231" t="s">
        <v>362</v>
      </c>
      <c r="N2" s="231" t="s">
        <v>359</v>
      </c>
      <c r="O2" s="231" t="s">
        <v>360</v>
      </c>
      <c r="P2" s="231" t="s">
        <v>361</v>
      </c>
      <c r="Q2" s="231" t="s">
        <v>362</v>
      </c>
      <c r="S2" s="231" t="s">
        <v>45</v>
      </c>
      <c r="T2" s="231" t="s">
        <v>52</v>
      </c>
      <c r="U2" s="231" t="s">
        <v>51</v>
      </c>
      <c r="W2" s="231" t="s">
        <v>47</v>
      </c>
      <c r="X2" s="231" t="s">
        <v>70</v>
      </c>
      <c r="Y2" s="231" t="s">
        <v>363</v>
      </c>
      <c r="AA2" s="231" t="s">
        <v>71</v>
      </c>
      <c r="AB2" s="231" t="s">
        <v>364</v>
      </c>
      <c r="AC2" s="231" t="s">
        <v>54</v>
      </c>
      <c r="AD2" s="231" t="s">
        <v>363</v>
      </c>
      <c r="AF2" s="231" t="s">
        <v>365</v>
      </c>
      <c r="AG2" s="231" t="s">
        <v>807</v>
      </c>
      <c r="AH2" s="231" t="s">
        <v>809</v>
      </c>
      <c r="AI2" s="231" t="s">
        <v>363</v>
      </c>
    </row>
    <row r="3" spans="1:35" ht="25.5">
      <c r="D3" s="233"/>
      <c r="E3" s="233"/>
      <c r="F3" s="233" t="s">
        <v>366</v>
      </c>
      <c r="G3" s="233"/>
      <c r="H3" s="233"/>
      <c r="I3" s="233" t="s">
        <v>366</v>
      </c>
      <c r="J3" s="233"/>
      <c r="K3" s="233"/>
      <c r="L3" s="233"/>
      <c r="M3" s="233"/>
      <c r="N3" s="233" t="s">
        <v>366</v>
      </c>
      <c r="O3" s="233"/>
      <c r="P3" s="233"/>
      <c r="Q3" s="233"/>
      <c r="S3" s="234">
        <v>48</v>
      </c>
      <c r="T3" s="234">
        <v>32</v>
      </c>
      <c r="U3" s="234">
        <v>20</v>
      </c>
      <c r="V3" s="234"/>
      <c r="W3" s="234">
        <v>70</v>
      </c>
      <c r="X3" s="234">
        <v>30</v>
      </c>
      <c r="Y3" s="235" t="s">
        <v>367</v>
      </c>
      <c r="AA3" s="234">
        <v>35</v>
      </c>
      <c r="AB3" s="234">
        <v>45</v>
      </c>
      <c r="AC3" s="234">
        <v>20</v>
      </c>
      <c r="AF3" s="234">
        <v>50</v>
      </c>
      <c r="AG3" s="234">
        <v>30</v>
      </c>
      <c r="AH3" s="234">
        <v>20</v>
      </c>
    </row>
    <row r="4" spans="1:35" ht="76.5">
      <c r="D4" s="233"/>
      <c r="E4" s="233" t="s">
        <v>366</v>
      </c>
      <c r="F4" s="233"/>
      <c r="G4" s="233"/>
      <c r="H4" s="233"/>
      <c r="I4" s="233"/>
      <c r="J4" s="233" t="s">
        <v>366</v>
      </c>
      <c r="K4" s="233"/>
      <c r="L4" s="233"/>
      <c r="M4" s="233"/>
      <c r="N4" s="233"/>
      <c r="O4" s="233" t="s">
        <v>366</v>
      </c>
      <c r="P4" s="233"/>
      <c r="Q4" s="233"/>
      <c r="S4" s="234">
        <v>35</v>
      </c>
      <c r="T4" s="234">
        <v>30</v>
      </c>
      <c r="U4" s="234">
        <v>35</v>
      </c>
      <c r="V4" s="234"/>
      <c r="W4" s="234">
        <v>50</v>
      </c>
      <c r="X4" s="234">
        <v>50</v>
      </c>
      <c r="Y4" s="235" t="s">
        <v>385</v>
      </c>
      <c r="AA4" s="234">
        <v>50</v>
      </c>
      <c r="AB4" s="234">
        <v>20</v>
      </c>
      <c r="AC4" s="234">
        <v>30</v>
      </c>
      <c r="AD4" s="235" t="s">
        <v>374</v>
      </c>
      <c r="AF4" s="234">
        <v>60</v>
      </c>
      <c r="AG4" s="234">
        <v>30</v>
      </c>
      <c r="AH4" s="234">
        <v>10</v>
      </c>
      <c r="AI4" s="235" t="s">
        <v>375</v>
      </c>
    </row>
    <row r="5" spans="1:35" ht="25.5">
      <c r="D5" s="233"/>
      <c r="E5" s="233"/>
      <c r="F5" s="233" t="s">
        <v>366</v>
      </c>
      <c r="G5" s="233"/>
      <c r="H5" s="233"/>
      <c r="I5" s="233" t="s">
        <v>366</v>
      </c>
      <c r="J5" s="233"/>
      <c r="K5" s="233"/>
      <c r="L5" s="233"/>
      <c r="M5" s="233"/>
      <c r="N5" s="233" t="s">
        <v>366</v>
      </c>
      <c r="O5" s="233"/>
      <c r="P5" s="233"/>
      <c r="Q5" s="233"/>
      <c r="S5" s="234">
        <v>50</v>
      </c>
      <c r="T5" s="234">
        <v>25</v>
      </c>
      <c r="U5" s="234">
        <v>25</v>
      </c>
      <c r="V5" s="234"/>
      <c r="W5" s="234">
        <v>50</v>
      </c>
      <c r="X5" s="234">
        <v>50</v>
      </c>
      <c r="AA5" s="234">
        <v>40</v>
      </c>
      <c r="AB5" s="234">
        <v>20</v>
      </c>
      <c r="AC5" s="234">
        <v>40</v>
      </c>
      <c r="AD5" s="235" t="s">
        <v>376</v>
      </c>
      <c r="AF5" s="234">
        <v>25</v>
      </c>
      <c r="AG5" s="234">
        <v>50</v>
      </c>
      <c r="AH5" s="234">
        <v>25</v>
      </c>
    </row>
    <row r="6" spans="1:35" ht="51">
      <c r="D6" s="233"/>
      <c r="E6" s="233"/>
      <c r="F6" s="233" t="s">
        <v>366</v>
      </c>
      <c r="G6" s="233"/>
      <c r="H6" s="233"/>
      <c r="I6" s="233"/>
      <c r="J6" s="233"/>
      <c r="K6" s="233" t="s">
        <v>366</v>
      </c>
      <c r="L6" s="233"/>
      <c r="M6" s="233"/>
      <c r="N6" s="233" t="s">
        <v>366</v>
      </c>
      <c r="O6" s="233"/>
      <c r="P6" s="233"/>
      <c r="Q6" s="233"/>
      <c r="S6" s="234">
        <v>40</v>
      </c>
      <c r="T6" s="234">
        <v>40</v>
      </c>
      <c r="U6" s="234">
        <v>20</v>
      </c>
      <c r="V6" s="234"/>
      <c r="W6" s="234">
        <v>40</v>
      </c>
      <c r="X6" s="234">
        <v>60</v>
      </c>
      <c r="Y6" s="235" t="s">
        <v>395</v>
      </c>
      <c r="AA6" s="234">
        <v>40</v>
      </c>
      <c r="AB6" s="234">
        <v>40</v>
      </c>
      <c r="AC6" s="234">
        <v>20</v>
      </c>
      <c r="AD6" s="235" t="s">
        <v>396</v>
      </c>
      <c r="AF6" s="234">
        <v>50</v>
      </c>
      <c r="AG6" s="234">
        <v>25</v>
      </c>
      <c r="AH6" s="234">
        <v>25</v>
      </c>
    </row>
    <row r="7" spans="1:35" ht="51">
      <c r="D7" s="233" t="s">
        <v>366</v>
      </c>
      <c r="E7" s="233"/>
      <c r="F7" s="233"/>
      <c r="G7" s="233"/>
      <c r="H7" s="233"/>
      <c r="I7" s="233"/>
      <c r="J7" s="233"/>
      <c r="K7" s="233" t="s">
        <v>366</v>
      </c>
      <c r="L7" s="233"/>
      <c r="M7" s="233"/>
      <c r="N7" s="233"/>
      <c r="O7" s="233"/>
      <c r="P7" s="233" t="s">
        <v>366</v>
      </c>
      <c r="Q7" s="233"/>
      <c r="S7" s="234">
        <v>20</v>
      </c>
      <c r="T7" s="234">
        <v>40</v>
      </c>
      <c r="U7" s="234">
        <v>40</v>
      </c>
      <c r="V7" s="234"/>
      <c r="W7" s="234">
        <v>60</v>
      </c>
      <c r="X7" s="234">
        <v>40</v>
      </c>
      <c r="Y7" s="235" t="s">
        <v>397</v>
      </c>
      <c r="AA7" s="234">
        <v>20</v>
      </c>
      <c r="AB7" s="234">
        <v>40</v>
      </c>
      <c r="AC7" s="234">
        <v>40</v>
      </c>
      <c r="AD7" s="235" t="s">
        <v>380</v>
      </c>
      <c r="AF7" s="234">
        <v>40</v>
      </c>
      <c r="AG7" s="234">
        <v>20</v>
      </c>
      <c r="AH7" s="234">
        <v>40</v>
      </c>
      <c r="AI7" s="235" t="s">
        <v>381</v>
      </c>
    </row>
    <row r="8" spans="1:35" ht="15">
      <c r="D8" s="233"/>
      <c r="E8" s="233"/>
      <c r="F8" s="233" t="s">
        <v>366</v>
      </c>
      <c r="G8" s="233"/>
      <c r="H8" s="233"/>
      <c r="I8" s="233"/>
      <c r="J8" s="233"/>
      <c r="K8" s="233" t="s">
        <v>366</v>
      </c>
      <c r="L8" s="233"/>
      <c r="M8" s="233"/>
      <c r="N8" s="233" t="s">
        <v>366</v>
      </c>
      <c r="O8" s="233"/>
      <c r="P8" s="233"/>
      <c r="Q8" s="233"/>
      <c r="S8" s="234">
        <v>40</v>
      </c>
      <c r="T8" s="234">
        <v>40</v>
      </c>
      <c r="U8" s="234">
        <v>20</v>
      </c>
      <c r="V8" s="234"/>
      <c r="W8" s="234">
        <v>50</v>
      </c>
      <c r="X8" s="234">
        <v>50</v>
      </c>
      <c r="AA8" s="234">
        <v>33</v>
      </c>
      <c r="AB8" s="234">
        <v>33</v>
      </c>
      <c r="AC8" s="234">
        <v>34</v>
      </c>
      <c r="AF8" s="234">
        <v>45</v>
      </c>
      <c r="AG8" s="234">
        <v>45</v>
      </c>
      <c r="AH8" s="234">
        <v>10</v>
      </c>
    </row>
    <row r="9" spans="1:35" ht="15">
      <c r="D9" s="233"/>
      <c r="E9" s="233"/>
      <c r="F9" s="233" t="s">
        <v>366</v>
      </c>
      <c r="G9" s="233"/>
      <c r="H9" s="233"/>
      <c r="I9" s="233" t="s">
        <v>366</v>
      </c>
      <c r="J9" s="233"/>
      <c r="K9" s="233"/>
      <c r="L9" s="233"/>
      <c r="M9" s="233"/>
      <c r="N9" s="233" t="s">
        <v>366</v>
      </c>
      <c r="O9" s="233"/>
      <c r="P9" s="233"/>
      <c r="Q9" s="233"/>
      <c r="S9" s="234">
        <v>40</v>
      </c>
      <c r="T9" s="234">
        <v>30</v>
      </c>
      <c r="U9" s="234">
        <v>30</v>
      </c>
      <c r="V9" s="234"/>
      <c r="W9" s="234">
        <v>70</v>
      </c>
      <c r="X9" s="234">
        <v>30</v>
      </c>
      <c r="Y9" s="235" t="s">
        <v>382</v>
      </c>
      <c r="AA9" s="234">
        <v>40</v>
      </c>
      <c r="AB9" s="234">
        <v>20</v>
      </c>
      <c r="AC9" s="234">
        <v>40</v>
      </c>
      <c r="AF9" s="234">
        <v>35</v>
      </c>
      <c r="AG9" s="234">
        <v>35</v>
      </c>
      <c r="AH9" s="234">
        <v>30</v>
      </c>
    </row>
    <row r="10" spans="1:35" ht="51">
      <c r="D10" s="233"/>
      <c r="E10" s="233"/>
      <c r="F10" s="233"/>
      <c r="G10" s="233" t="s">
        <v>366</v>
      </c>
      <c r="H10" s="233"/>
      <c r="I10" s="233"/>
      <c r="J10" s="233" t="s">
        <v>366</v>
      </c>
      <c r="K10" s="233"/>
      <c r="L10" s="233"/>
      <c r="M10" s="233"/>
      <c r="N10" s="233" t="s">
        <v>366</v>
      </c>
      <c r="O10" s="233"/>
      <c r="P10" s="233"/>
      <c r="Q10" s="233"/>
      <c r="S10" s="234">
        <v>55</v>
      </c>
      <c r="T10" s="234">
        <v>33</v>
      </c>
      <c r="U10" s="234">
        <v>12</v>
      </c>
      <c r="V10" s="234"/>
      <c r="W10" s="234">
        <v>60</v>
      </c>
      <c r="X10" s="234">
        <v>40</v>
      </c>
      <c r="Y10" s="235" t="s">
        <v>383</v>
      </c>
      <c r="AA10" s="234">
        <v>35</v>
      </c>
      <c r="AB10" s="234">
        <v>25</v>
      </c>
      <c r="AC10" s="234">
        <v>40</v>
      </c>
      <c r="AF10" s="234">
        <v>30</v>
      </c>
      <c r="AG10" s="234">
        <v>40</v>
      </c>
      <c r="AH10" s="234">
        <v>30</v>
      </c>
    </row>
    <row r="11" spans="1:35" ht="15">
      <c r="D11" s="233"/>
      <c r="E11" s="233" t="s">
        <v>366</v>
      </c>
      <c r="F11" s="233"/>
      <c r="G11" s="233"/>
      <c r="H11" s="233"/>
      <c r="I11" s="233"/>
      <c r="J11" s="233" t="s">
        <v>366</v>
      </c>
      <c r="K11" s="233"/>
      <c r="L11" s="233"/>
      <c r="M11" s="233"/>
      <c r="N11" s="233"/>
      <c r="O11" s="233" t="s">
        <v>366</v>
      </c>
      <c r="P11" s="233"/>
      <c r="Q11" s="233"/>
      <c r="S11" s="234">
        <v>34</v>
      </c>
      <c r="T11" s="234">
        <v>33</v>
      </c>
      <c r="U11" s="234">
        <v>33</v>
      </c>
      <c r="V11" s="234"/>
      <c r="W11" s="234">
        <v>60</v>
      </c>
      <c r="X11" s="234">
        <v>40</v>
      </c>
      <c r="AA11" s="234">
        <v>20</v>
      </c>
      <c r="AB11" s="234">
        <v>20</v>
      </c>
      <c r="AC11" s="234">
        <v>60</v>
      </c>
      <c r="AD11" s="235" t="s">
        <v>384</v>
      </c>
      <c r="AF11" s="234">
        <v>40</v>
      </c>
      <c r="AG11" s="234">
        <v>40</v>
      </c>
      <c r="AH11" s="234">
        <v>20</v>
      </c>
    </row>
    <row r="12" spans="1:35" ht="25.5">
      <c r="D12" s="233" t="s">
        <v>366</v>
      </c>
      <c r="E12" s="233"/>
      <c r="F12" s="233"/>
      <c r="G12" s="233"/>
      <c r="H12" s="233"/>
      <c r="I12" s="233" t="s">
        <v>366</v>
      </c>
      <c r="J12" s="233"/>
      <c r="K12" s="233"/>
      <c r="L12" s="233"/>
      <c r="M12" s="233"/>
      <c r="N12" s="233"/>
      <c r="O12" s="233"/>
      <c r="P12" s="233" t="s">
        <v>366</v>
      </c>
      <c r="Q12" s="233"/>
      <c r="S12" s="234">
        <v>30</v>
      </c>
      <c r="T12" s="234">
        <v>30</v>
      </c>
      <c r="U12" s="234">
        <v>40</v>
      </c>
      <c r="V12" s="234"/>
      <c r="W12" s="234">
        <v>40</v>
      </c>
      <c r="X12" s="234">
        <v>60</v>
      </c>
      <c r="Y12" s="235" t="s">
        <v>427</v>
      </c>
      <c r="AA12" s="234">
        <v>20</v>
      </c>
      <c r="AB12" s="234">
        <v>30</v>
      </c>
      <c r="AC12" s="234">
        <v>50</v>
      </c>
      <c r="AD12" s="235" t="s">
        <v>428</v>
      </c>
      <c r="AF12" s="234">
        <v>50</v>
      </c>
      <c r="AG12" s="234">
        <v>20</v>
      </c>
      <c r="AH12" s="234">
        <v>30</v>
      </c>
      <c r="AI12" s="235" t="s">
        <v>386</v>
      </c>
    </row>
    <row r="13" spans="1:35" ht="25.5">
      <c r="D13" s="233"/>
      <c r="E13" s="233" t="s">
        <v>366</v>
      </c>
      <c r="F13" s="233"/>
      <c r="G13" s="233"/>
      <c r="H13" s="233"/>
      <c r="I13" s="233"/>
      <c r="J13" s="233" t="s">
        <v>366</v>
      </c>
      <c r="K13" s="233"/>
      <c r="L13" s="233"/>
      <c r="M13" s="233"/>
      <c r="N13" s="233"/>
      <c r="O13" s="233" t="s">
        <v>366</v>
      </c>
      <c r="P13" s="233"/>
      <c r="Q13" s="233"/>
      <c r="S13" s="234">
        <v>34</v>
      </c>
      <c r="T13" s="234">
        <v>33</v>
      </c>
      <c r="U13" s="234">
        <v>33</v>
      </c>
      <c r="V13" s="234"/>
      <c r="W13" s="234">
        <v>40</v>
      </c>
      <c r="X13" s="234">
        <v>60</v>
      </c>
      <c r="Y13" s="235" t="s">
        <v>387</v>
      </c>
      <c r="AA13" s="234">
        <v>30</v>
      </c>
      <c r="AB13" s="234">
        <v>30</v>
      </c>
      <c r="AC13" s="234">
        <v>40</v>
      </c>
      <c r="AD13" s="235" t="s">
        <v>388</v>
      </c>
      <c r="AF13" s="234">
        <v>50</v>
      </c>
      <c r="AG13" s="234">
        <v>30</v>
      </c>
      <c r="AH13" s="234">
        <v>20</v>
      </c>
      <c r="AI13" s="235" t="s">
        <v>389</v>
      </c>
    </row>
    <row r="14" spans="1:35" ht="15">
      <c r="D14" s="233"/>
      <c r="E14" s="233"/>
      <c r="F14" s="233"/>
      <c r="G14" s="233" t="s">
        <v>366</v>
      </c>
      <c r="H14" s="233"/>
      <c r="I14" s="233"/>
      <c r="J14" s="233"/>
      <c r="K14" s="233" t="s">
        <v>366</v>
      </c>
      <c r="L14" s="233"/>
      <c r="M14" s="233"/>
      <c r="N14" s="233" t="s">
        <v>366</v>
      </c>
      <c r="O14" s="233"/>
      <c r="P14" s="233"/>
      <c r="Q14" s="233"/>
      <c r="S14" s="234">
        <v>40</v>
      </c>
      <c r="T14" s="234">
        <v>40</v>
      </c>
      <c r="U14" s="234">
        <v>20</v>
      </c>
      <c r="V14" s="234"/>
      <c r="W14" s="234">
        <v>50</v>
      </c>
      <c r="X14" s="234">
        <v>50</v>
      </c>
      <c r="AA14" s="234">
        <v>30</v>
      </c>
      <c r="AB14" s="234">
        <v>30</v>
      </c>
      <c r="AC14" s="234">
        <v>40</v>
      </c>
      <c r="AF14" s="234">
        <v>20</v>
      </c>
      <c r="AG14" s="234">
        <v>40</v>
      </c>
      <c r="AH14" s="234">
        <v>40</v>
      </c>
    </row>
    <row r="15" spans="1:35" ht="15">
      <c r="D15" s="233"/>
      <c r="E15" s="233"/>
      <c r="F15" s="233" t="s">
        <v>366</v>
      </c>
      <c r="G15" s="233"/>
      <c r="H15" s="233"/>
      <c r="I15" s="233" t="s">
        <v>366</v>
      </c>
      <c r="J15" s="233"/>
      <c r="K15" s="233"/>
      <c r="L15" s="233"/>
      <c r="M15" s="233"/>
      <c r="N15" s="233" t="s">
        <v>366</v>
      </c>
      <c r="O15" s="233"/>
      <c r="P15" s="233"/>
      <c r="Q15" s="233"/>
      <c r="S15" s="234">
        <v>40</v>
      </c>
      <c r="T15" s="234">
        <v>35</v>
      </c>
      <c r="U15" s="234">
        <v>25</v>
      </c>
      <c r="V15" s="234"/>
      <c r="W15" s="234">
        <v>70</v>
      </c>
      <c r="X15" s="234">
        <v>30</v>
      </c>
      <c r="AA15" s="234">
        <v>55</v>
      </c>
      <c r="AB15" s="234">
        <v>25</v>
      </c>
      <c r="AC15" s="234">
        <v>20</v>
      </c>
      <c r="AF15" s="234">
        <v>50</v>
      </c>
      <c r="AG15" s="234">
        <v>20</v>
      </c>
      <c r="AH15" s="234">
        <v>30</v>
      </c>
    </row>
    <row r="16" spans="1:35" ht="15">
      <c r="D16" s="233"/>
      <c r="E16" s="233" t="s">
        <v>366</v>
      </c>
      <c r="F16" s="233"/>
      <c r="G16" s="233"/>
      <c r="H16" s="233"/>
      <c r="I16" s="233"/>
      <c r="J16" s="233" t="s">
        <v>366</v>
      </c>
      <c r="K16" s="233"/>
      <c r="L16" s="233"/>
      <c r="M16" s="233"/>
      <c r="N16" s="233"/>
      <c r="O16" s="233" t="s">
        <v>366</v>
      </c>
      <c r="P16" s="233"/>
      <c r="Q16" s="233"/>
      <c r="S16" s="234"/>
      <c r="T16" s="234"/>
      <c r="U16" s="234"/>
      <c r="V16" s="234"/>
      <c r="W16" s="234">
        <v>50</v>
      </c>
      <c r="X16" s="234">
        <v>50</v>
      </c>
      <c r="AA16" s="234">
        <v>33</v>
      </c>
      <c r="AB16" s="234">
        <v>33</v>
      </c>
      <c r="AC16" s="234">
        <v>34</v>
      </c>
      <c r="AF16" s="234">
        <v>35</v>
      </c>
      <c r="AG16" s="234">
        <v>30</v>
      </c>
      <c r="AH16" s="234">
        <v>35</v>
      </c>
    </row>
    <row r="17" spans="4:34" ht="15">
      <c r="D17" s="233"/>
      <c r="E17" s="233"/>
      <c r="F17" s="233" t="s">
        <v>366</v>
      </c>
      <c r="G17" s="233"/>
      <c r="H17" s="233"/>
      <c r="I17" s="233"/>
      <c r="J17" s="233"/>
      <c r="K17" s="233" t="s">
        <v>366</v>
      </c>
      <c r="L17" s="233"/>
      <c r="M17" s="233"/>
      <c r="N17" s="233" t="s">
        <v>366</v>
      </c>
      <c r="O17" s="233"/>
      <c r="P17" s="233"/>
      <c r="Q17" s="233"/>
      <c r="S17" s="234">
        <v>40</v>
      </c>
      <c r="T17" s="234">
        <v>40</v>
      </c>
      <c r="U17" s="234">
        <v>20</v>
      </c>
      <c r="V17" s="234"/>
      <c r="W17" s="234">
        <v>40</v>
      </c>
      <c r="X17" s="234">
        <v>60</v>
      </c>
      <c r="AA17" s="234">
        <v>20</v>
      </c>
      <c r="AB17" s="234">
        <v>50</v>
      </c>
      <c r="AC17" s="234">
        <v>30</v>
      </c>
      <c r="AF17" s="234">
        <v>50</v>
      </c>
      <c r="AG17" s="234">
        <v>25</v>
      </c>
      <c r="AH17" s="234">
        <v>25</v>
      </c>
    </row>
    <row r="18" spans="4:34" ht="15">
      <c r="D18" s="233"/>
      <c r="E18" s="233"/>
      <c r="F18" s="233"/>
      <c r="G18" s="233"/>
      <c r="H18" s="233"/>
      <c r="I18" s="233"/>
      <c r="J18" s="233"/>
      <c r="K18" s="233"/>
      <c r="L18" s="233"/>
      <c r="M18" s="233"/>
      <c r="N18" s="233"/>
      <c r="O18" s="233"/>
      <c r="P18" s="233"/>
      <c r="Q18" s="233"/>
      <c r="S18" s="234"/>
      <c r="T18" s="234"/>
      <c r="U18" s="234"/>
      <c r="V18" s="234"/>
      <c r="W18" s="234"/>
      <c r="X18" s="234"/>
      <c r="AA18" s="234"/>
      <c r="AB18" s="234"/>
      <c r="AC18" s="234"/>
      <c r="AF18" s="234">
        <v>40</v>
      </c>
      <c r="AG18" s="234">
        <v>40</v>
      </c>
      <c r="AH18" s="234">
        <v>20</v>
      </c>
    </row>
    <row r="19" spans="4:34" ht="15">
      <c r="D19" s="233"/>
      <c r="E19" s="233"/>
      <c r="F19" s="233"/>
      <c r="G19" s="233"/>
      <c r="H19" s="233"/>
      <c r="I19" s="233"/>
      <c r="J19" s="233"/>
      <c r="K19" s="233"/>
      <c r="L19" s="233"/>
      <c r="M19" s="233"/>
      <c r="N19" s="233"/>
      <c r="O19" s="233"/>
      <c r="P19" s="233"/>
      <c r="Q19" s="233"/>
      <c r="S19" s="234"/>
      <c r="T19" s="234"/>
      <c r="U19" s="234"/>
      <c r="V19" s="234"/>
      <c r="W19" s="234"/>
      <c r="X19" s="234"/>
      <c r="AA19" s="234"/>
      <c r="AB19" s="234"/>
      <c r="AC19" s="234"/>
      <c r="AF19" s="234"/>
      <c r="AG19" s="234"/>
      <c r="AH19" s="234"/>
    </row>
    <row r="20" spans="4:34" ht="15">
      <c r="S20" s="234">
        <f>COUNT(S3:S17)</f>
        <v>14</v>
      </c>
      <c r="T20" s="234">
        <f>COUNT(T3:T17)</f>
        <v>14</v>
      </c>
      <c r="U20" s="234">
        <f>COUNT(U3:U17)</f>
        <v>14</v>
      </c>
      <c r="V20" s="234"/>
      <c r="W20" s="234">
        <f t="shared" ref="W20:X20" si="0">COUNT(W3:W17)</f>
        <v>15</v>
      </c>
      <c r="X20" s="234">
        <f t="shared" si="0"/>
        <v>15</v>
      </c>
      <c r="AA20" s="234">
        <f t="shared" ref="AA20:AC20" si="1">COUNT(AA3:AA17)</f>
        <v>15</v>
      </c>
      <c r="AB20" s="234">
        <f t="shared" si="1"/>
        <v>15</v>
      </c>
      <c r="AC20" s="234">
        <f t="shared" si="1"/>
        <v>15</v>
      </c>
      <c r="AF20" s="234">
        <f t="shared" ref="AF20:AH20" si="2">COUNT(AF3:AF17)</f>
        <v>15</v>
      </c>
      <c r="AG20" s="234">
        <f t="shared" si="2"/>
        <v>15</v>
      </c>
      <c r="AH20" s="234">
        <f t="shared" si="2"/>
        <v>15</v>
      </c>
    </row>
    <row r="21" spans="4:34" ht="15">
      <c r="S21" s="234"/>
      <c r="T21" s="234"/>
      <c r="U21" s="234"/>
      <c r="V21" s="234"/>
      <c r="W21" s="234"/>
      <c r="X21" s="234"/>
      <c r="AA21" s="234"/>
      <c r="AB21" s="234"/>
      <c r="AC21" s="234"/>
      <c r="AF21" s="234"/>
      <c r="AG21" s="234"/>
      <c r="AH21" s="234"/>
    </row>
    <row r="22" spans="4:34" ht="15">
      <c r="D22" s="233">
        <f>COUNTIF(D3:D17,"X")</f>
        <v>2</v>
      </c>
      <c r="E22" s="233">
        <f>COUNTIF(E3:E17,"X")</f>
        <v>4</v>
      </c>
      <c r="F22" s="233">
        <f>COUNTIF(F3:F17,"X")</f>
        <v>7</v>
      </c>
      <c r="G22" s="233">
        <f>COUNTIF(G3:G17,"X")</f>
        <v>2</v>
      </c>
      <c r="H22" s="233"/>
      <c r="I22" s="233">
        <f>COUNTIF(I3:I17,"X")</f>
        <v>5</v>
      </c>
      <c r="J22" s="233">
        <f>COUNTIF(J3:J17,"X")</f>
        <v>5</v>
      </c>
      <c r="K22" s="233">
        <f>COUNTIF(K3:K17,"X")</f>
        <v>5</v>
      </c>
      <c r="L22" s="233">
        <f>COUNTIF(L3:L17,"X")</f>
        <v>0</v>
      </c>
      <c r="M22" s="233"/>
      <c r="N22" s="233">
        <f>COUNTIF(N3:N17,"X")</f>
        <v>9</v>
      </c>
      <c r="O22" s="233">
        <f>COUNTIF(O3:O17,"X")</f>
        <v>4</v>
      </c>
      <c r="P22" s="233">
        <f>COUNTIF(P3:P17,"X")</f>
        <v>2</v>
      </c>
      <c r="Q22" s="233">
        <f>COUNTIF(Q3:Q17,"X")</f>
        <v>0</v>
      </c>
      <c r="S22" s="692">
        <f>(MIN(S3:S17))/100</f>
        <v>0.2</v>
      </c>
      <c r="T22" s="692">
        <f>(MIN(T3:T17))/100</f>
        <v>0.25</v>
      </c>
      <c r="U22" s="692">
        <f>(MIN(U3:U17))/100</f>
        <v>0.12</v>
      </c>
      <c r="V22" s="234"/>
      <c r="W22" s="692">
        <f>(MIN(W3:W17))/100</f>
        <v>0.4</v>
      </c>
      <c r="X22" s="692">
        <f>(MIN(X3:X17))/100</f>
        <v>0.3</v>
      </c>
      <c r="AA22" s="692">
        <f>(MIN(AA3:AA17))/100</f>
        <v>0.2</v>
      </c>
      <c r="AB22" s="692">
        <f>(MIN(AB3:AB17))/100</f>
        <v>0.2</v>
      </c>
      <c r="AC22" s="692">
        <f>(MIN(AC3:AC17))/100</f>
        <v>0.2</v>
      </c>
      <c r="AF22" s="692">
        <f>(MIN(AF3:AF17))/100</f>
        <v>0.2</v>
      </c>
      <c r="AG22" s="692">
        <f>(MIN(AG3:AG17))/100</f>
        <v>0.2</v>
      </c>
      <c r="AH22" s="692">
        <f>(MIN(AH3:AH17))/100</f>
        <v>0.1</v>
      </c>
    </row>
    <row r="23" spans="4:34" ht="15">
      <c r="D23" s="236">
        <f>D22/SUM($D$22:$G$22)</f>
        <v>0.13333333333333333</v>
      </c>
      <c r="E23" s="236">
        <f>E22/SUM($D$22:$G$22)</f>
        <v>0.26666666666666666</v>
      </c>
      <c r="F23" s="236">
        <f>F22/SUM($D$22:$G$22)</f>
        <v>0.46666666666666667</v>
      </c>
      <c r="G23" s="236">
        <f>G22/SUM($D$22:$G$22)</f>
        <v>0.13333333333333333</v>
      </c>
      <c r="H23" s="233"/>
      <c r="I23" s="236">
        <f>I22/SUM($I$22:$L$22)</f>
        <v>0.33333333333333331</v>
      </c>
      <c r="J23" s="236">
        <f>J22/SUM($I$22:$L$22)</f>
        <v>0.33333333333333331</v>
      </c>
      <c r="K23" s="236">
        <f>K22/SUM($I$22:$L$22)</f>
        <v>0.33333333333333331</v>
      </c>
      <c r="L23" s="236">
        <f>L22/SUM($I$22:$L$22)</f>
        <v>0</v>
      </c>
      <c r="M23" s="236"/>
      <c r="N23" s="236">
        <f>N22/SUM($N$22:$Q$22)</f>
        <v>0.6</v>
      </c>
      <c r="O23" s="236">
        <f t="shared" ref="O23:Q23" si="3">O22/SUM($N$22:$Q$22)</f>
        <v>0.26666666666666666</v>
      </c>
      <c r="P23" s="236">
        <f t="shared" si="3"/>
        <v>0.13333333333333333</v>
      </c>
      <c r="Q23" s="236">
        <f t="shared" si="3"/>
        <v>0</v>
      </c>
      <c r="S23" s="692">
        <f>(MEDIAN(S3:S18))/100</f>
        <v>0.4</v>
      </c>
      <c r="T23" s="692">
        <f>(MEDIAN(T3:T18))/100</f>
        <v>0.33</v>
      </c>
      <c r="U23" s="692">
        <f>(MEDIAN(U3:U18))/100</f>
        <v>0.25</v>
      </c>
      <c r="V23" s="234"/>
      <c r="W23" s="692">
        <f>(MEDIAN(W3:W18))/100</f>
        <v>0.5</v>
      </c>
      <c r="X23" s="692">
        <f>(MEDIAN(X3:X18))/100</f>
        <v>0.5</v>
      </c>
      <c r="AA23" s="692">
        <f>(MEDIAN(AA3:AA18))/100</f>
        <v>0.33</v>
      </c>
      <c r="AB23" s="692">
        <f>(MEDIAN(AB3:AB18))/100</f>
        <v>0.3</v>
      </c>
      <c r="AC23" s="692">
        <f>(MEDIAN(AC3:AC18))/100</f>
        <v>0.4</v>
      </c>
      <c r="AF23" s="692">
        <f>(MEDIAN(AF3:AF18))/100</f>
        <v>0.42499999999999999</v>
      </c>
      <c r="AG23" s="692">
        <f>(MEDIAN(AG3:AG18))/100</f>
        <v>0.3</v>
      </c>
      <c r="AH23" s="692">
        <f>(MEDIAN(AH3:AH18))/100</f>
        <v>0.25</v>
      </c>
    </row>
    <row r="24" spans="4:34" ht="15">
      <c r="D24" s="233"/>
      <c r="E24" s="233"/>
      <c r="F24" s="233"/>
      <c r="G24" s="233"/>
      <c r="H24" s="233"/>
      <c r="I24" s="233"/>
      <c r="J24" s="233"/>
      <c r="K24" s="233"/>
      <c r="L24" s="233"/>
      <c r="M24" s="233"/>
      <c r="N24" s="233"/>
      <c r="O24" s="233"/>
      <c r="P24" s="233"/>
      <c r="Q24" s="233"/>
      <c r="S24" s="692">
        <f>(MAX(S3:S17))/100</f>
        <v>0.55000000000000004</v>
      </c>
      <c r="T24" s="692">
        <f>(MAX(T3:T17))/100</f>
        <v>0.4</v>
      </c>
      <c r="U24" s="692">
        <f>(MAX(U3:U17))/100</f>
        <v>0.4</v>
      </c>
      <c r="V24" s="234"/>
      <c r="W24" s="692">
        <f>(MAX(W3:W17))/100</f>
        <v>0.7</v>
      </c>
      <c r="X24" s="692">
        <f>(MAX(X3:X17))/100</f>
        <v>0.6</v>
      </c>
      <c r="AA24" s="692">
        <f>(MAX(AA3:AA17))/100</f>
        <v>0.55000000000000004</v>
      </c>
      <c r="AB24" s="692">
        <f>(MAX(AB3:AB17))/100</f>
        <v>0.5</v>
      </c>
      <c r="AC24" s="692">
        <f>(MAX(AC3:AC17))/100</f>
        <v>0.6</v>
      </c>
      <c r="AF24" s="692">
        <f>(MAX(AF3:AF17))/100</f>
        <v>0.6</v>
      </c>
      <c r="AG24" s="692">
        <f>(MAX(AG3:AG17))/100</f>
        <v>0.5</v>
      </c>
      <c r="AH24" s="692">
        <f>(MAX(AH3:AH17))/100</f>
        <v>0.4</v>
      </c>
    </row>
    <row r="25" spans="4:34">
      <c r="D25" s="233"/>
      <c r="E25" s="233"/>
      <c r="F25" s="233"/>
      <c r="G25" s="233"/>
      <c r="H25" s="233"/>
      <c r="I25" s="233"/>
      <c r="J25" s="233"/>
      <c r="K25" s="233"/>
      <c r="L25" s="233"/>
      <c r="M25" s="233"/>
      <c r="N25" s="233"/>
      <c r="O25" s="233"/>
      <c r="P25" s="233"/>
      <c r="Q25" s="233"/>
    </row>
    <row r="26" spans="4:34">
      <c r="S26" s="512">
        <v>100</v>
      </c>
      <c r="T26" s="512"/>
      <c r="U26" s="512"/>
    </row>
  </sheetData>
  <mergeCells count="7">
    <mergeCell ref="AF1:AH1"/>
    <mergeCell ref="D1:G1"/>
    <mergeCell ref="I1:L1"/>
    <mergeCell ref="N1:Q1"/>
    <mergeCell ref="S1:U1"/>
    <mergeCell ref="W1:X1"/>
    <mergeCell ref="AA1:AC1"/>
  </mergeCells>
  <phoneticPr fontId="75" type="noConversion"/>
  <pageMargins left="0.75" right="0.75" top="1" bottom="1" header="0.5" footer="0.5"/>
  <pageSetup orientation="portrait" r:id="rId1"/>
  <headerFooter alignWithMargins="0"/>
  <drawing r:id="rId2"/>
  <extLst>
    <ext xmlns:mx="http://schemas.microsoft.com/office/mac/excel/2008/main" uri="http://schemas.microsoft.com/office/mac/excel/2008/main">
      <mx:PLV Mode="0" OnePage="0" WScale="0"/>
    </ext>
  </extLst>
</worksheet>
</file>

<file path=xl/worksheets/sheet27.xml><?xml version="1.0" encoding="utf-8"?>
<worksheet xmlns="http://schemas.openxmlformats.org/spreadsheetml/2006/main" xmlns:r="http://schemas.openxmlformats.org/officeDocument/2006/relationships">
  <sheetPr codeName="Sheet28"/>
  <dimension ref="A4:AF217"/>
  <sheetViews>
    <sheetView topLeftCell="C145" zoomScale="70" zoomScaleNormal="70" workbookViewId="0">
      <selection activeCell="E162" sqref="E162"/>
    </sheetView>
  </sheetViews>
  <sheetFormatPr defaultRowHeight="15"/>
  <cols>
    <col min="2" max="2" width="16.85546875" bestFit="1" customWidth="1"/>
    <col min="3" max="3" width="4.7109375" customWidth="1"/>
    <col min="4" max="4" width="40.42578125" customWidth="1"/>
    <col min="5" max="7" width="11.28515625" customWidth="1"/>
    <col min="8" max="10" width="12.42578125" customWidth="1"/>
    <col min="11" max="12" width="12" customWidth="1"/>
    <col min="13" max="13" width="13.140625" customWidth="1"/>
    <col min="14" max="25" width="12" customWidth="1"/>
    <col min="28" max="42" width="8.85546875" customWidth="1"/>
  </cols>
  <sheetData>
    <row r="4" spans="2:32">
      <c r="B4" t="s">
        <v>533</v>
      </c>
      <c r="C4" s="2"/>
      <c r="E4" s="1"/>
      <c r="F4" s="1"/>
      <c r="H4" s="268"/>
      <c r="I4" s="1"/>
      <c r="J4" s="1"/>
      <c r="K4" s="268"/>
      <c r="L4" s="1"/>
      <c r="M4" s="1"/>
      <c r="N4" s="268"/>
      <c r="O4" s="1"/>
      <c r="P4" s="1"/>
      <c r="Q4" s="268"/>
      <c r="R4" s="1"/>
      <c r="S4" s="1"/>
      <c r="T4" s="268"/>
      <c r="U4" s="1"/>
      <c r="V4" s="1"/>
      <c r="W4" s="268"/>
      <c r="X4" s="1"/>
      <c r="Y4" s="1"/>
    </row>
    <row r="5" spans="2:32">
      <c r="B5" s="2"/>
      <c r="C5" t="s">
        <v>45</v>
      </c>
      <c r="E5" s="1"/>
      <c r="F5" s="1"/>
      <c r="H5" s="268"/>
      <c r="I5" s="1"/>
      <c r="J5" s="1"/>
      <c r="K5" s="268"/>
      <c r="L5" s="1"/>
      <c r="M5" s="1"/>
      <c r="N5" s="268"/>
      <c r="O5" s="1"/>
      <c r="P5" s="1"/>
      <c r="Q5" s="268"/>
      <c r="R5" s="1"/>
      <c r="S5" s="1"/>
      <c r="T5" s="268"/>
      <c r="U5" s="1"/>
      <c r="V5" s="1"/>
      <c r="W5" s="268"/>
      <c r="X5" s="1"/>
      <c r="Y5" s="1"/>
    </row>
    <row r="6" spans="2:32">
      <c r="B6" s="2"/>
      <c r="C6" s="2"/>
      <c r="D6" t="s">
        <v>534</v>
      </c>
      <c r="E6" s="1"/>
      <c r="F6" s="1"/>
      <c r="H6" s="268"/>
      <c r="I6" s="402">
        <f ca="1">'TBL Scoring Summary'!$F13*'TBL Scoring Summary'!I13</f>
        <v>3.4173598396181704</v>
      </c>
      <c r="J6" s="268"/>
      <c r="K6" s="1"/>
      <c r="L6" s="402">
        <f ca="1">'TBL Scoring Summary'!$F13*'TBL Scoring Summary'!L13</f>
        <v>3.3238047703756703</v>
      </c>
      <c r="M6" s="268"/>
      <c r="N6" s="1"/>
      <c r="O6" s="402">
        <f ca="1">'TBL Scoring Summary'!$F13*'TBL Scoring Summary'!O13</f>
        <v>3.9047601646542822</v>
      </c>
      <c r="P6" s="268"/>
      <c r="Q6" s="1"/>
      <c r="R6" s="402">
        <f ca="1">'TBL Scoring Summary'!$F13*'TBL Scoring Summary'!R13</f>
        <v>3.7849049148566811</v>
      </c>
      <c r="S6" s="268"/>
      <c r="T6" s="1"/>
      <c r="U6" s="402">
        <f ca="1">'TBL Scoring Summary'!$F13*'TBL Scoring Summary'!U13</f>
        <v>4.2999889264870159</v>
      </c>
      <c r="V6" s="268"/>
      <c r="W6" s="1"/>
      <c r="X6" s="402">
        <f ca="1">'TBL Scoring Summary'!$F13*'TBL Scoring Summary'!X13</f>
        <v>4.3</v>
      </c>
      <c r="Y6" s="268"/>
    </row>
    <row r="7" spans="2:32">
      <c r="B7" s="2"/>
      <c r="C7" s="2"/>
      <c r="D7" t="s">
        <v>70</v>
      </c>
      <c r="E7" s="1"/>
      <c r="F7" s="1"/>
      <c r="H7" s="268"/>
      <c r="I7" s="402">
        <f>'TBL Scoring Summary'!$F19*'TBL Scoring Summary'!I19</f>
        <v>0.48999999999999994</v>
      </c>
      <c r="J7" s="268"/>
      <c r="K7" s="1"/>
      <c r="L7" s="402">
        <f>'TBL Scoring Summary'!$F19*'TBL Scoring Summary'!L19</f>
        <v>0.41999999999999993</v>
      </c>
      <c r="M7" s="268"/>
      <c r="N7" s="1"/>
      <c r="O7" s="402">
        <f>'TBL Scoring Summary'!$F19*'TBL Scoring Summary'!O19</f>
        <v>0.62999999999999989</v>
      </c>
      <c r="P7" s="268"/>
      <c r="Q7" s="1"/>
      <c r="R7" s="402">
        <f>'TBL Scoring Summary'!$F19*'TBL Scoring Summary'!R19</f>
        <v>0.55999999999999994</v>
      </c>
      <c r="S7" s="268"/>
      <c r="T7" s="1"/>
      <c r="U7" s="402">
        <f>'TBL Scoring Summary'!$F19*'TBL Scoring Summary'!U19</f>
        <v>0.20999999999999996</v>
      </c>
      <c r="V7" s="268"/>
      <c r="W7" s="1"/>
      <c r="X7" s="402">
        <f>'TBL Scoring Summary'!$F19*'TBL Scoring Summary'!X19</f>
        <v>0.41999999999999993</v>
      </c>
      <c r="Y7" s="268"/>
    </row>
    <row r="8" spans="2:32">
      <c r="B8" s="2"/>
      <c r="C8" s="2"/>
      <c r="D8" t="s">
        <v>535</v>
      </c>
      <c r="E8" s="1"/>
      <c r="F8" s="1"/>
      <c r="H8" s="268"/>
      <c r="I8" s="402">
        <f>'TBL Scoring Summary'!$F25*'TBL Scoring Summary'!I25</f>
        <v>0</v>
      </c>
      <c r="J8" s="268"/>
      <c r="K8" s="1"/>
      <c r="L8" s="402">
        <f>'TBL Scoring Summary'!$F25*'TBL Scoring Summary'!L25</f>
        <v>0</v>
      </c>
      <c r="M8" s="268"/>
      <c r="N8" s="1"/>
      <c r="O8" s="402">
        <f>'TBL Scoring Summary'!$F25*'TBL Scoring Summary'!O25</f>
        <v>0</v>
      </c>
      <c r="P8" s="268"/>
      <c r="Q8" s="1"/>
      <c r="R8" s="402">
        <f>'TBL Scoring Summary'!$F25*'TBL Scoring Summary'!R25</f>
        <v>0</v>
      </c>
      <c r="S8" s="268"/>
      <c r="T8" s="1"/>
      <c r="U8" s="402">
        <f>'TBL Scoring Summary'!$F25*'TBL Scoring Summary'!U25</f>
        <v>0</v>
      </c>
      <c r="V8" s="268"/>
      <c r="W8" s="1"/>
      <c r="X8" s="402">
        <f>'TBL Scoring Summary'!$F25*'TBL Scoring Summary'!X25</f>
        <v>0</v>
      </c>
      <c r="Y8" s="268"/>
    </row>
    <row r="9" spans="2:32">
      <c r="B9" s="2"/>
      <c r="C9" s="2"/>
      <c r="E9" s="1"/>
      <c r="F9" s="1"/>
      <c r="H9" s="268"/>
      <c r="I9" s="1"/>
      <c r="J9" s="268"/>
      <c r="K9" s="268"/>
      <c r="L9" s="1"/>
      <c r="M9" s="1"/>
      <c r="N9" s="268"/>
      <c r="O9" s="1"/>
      <c r="P9" s="1"/>
      <c r="Q9" s="268"/>
      <c r="R9" s="1"/>
      <c r="S9" s="1"/>
      <c r="T9" s="268"/>
      <c r="U9" s="1"/>
      <c r="V9" s="1"/>
      <c r="W9" s="268"/>
      <c r="X9" s="1"/>
      <c r="Y9" s="1"/>
    </row>
    <row r="10" spans="2:32">
      <c r="B10" s="2"/>
      <c r="C10" s="403" t="s">
        <v>52</v>
      </c>
      <c r="D10" s="403"/>
      <c r="E10" s="1"/>
      <c r="F10" s="1"/>
      <c r="H10" s="268"/>
      <c r="I10" s="1"/>
      <c r="J10" s="268"/>
      <c r="K10" s="268"/>
      <c r="L10" s="1"/>
      <c r="M10" s="1"/>
      <c r="N10" s="268"/>
      <c r="O10" s="1"/>
      <c r="P10" s="1"/>
      <c r="Q10" s="268"/>
      <c r="R10" s="1"/>
      <c r="S10" s="1"/>
      <c r="T10" s="268"/>
      <c r="U10" s="1"/>
      <c r="V10" s="1"/>
      <c r="W10" s="268"/>
      <c r="X10" s="1"/>
      <c r="Y10" s="1"/>
    </row>
    <row r="11" spans="2:32">
      <c r="B11" s="2"/>
      <c r="C11" s="2"/>
      <c r="D11" s="403" t="s">
        <v>882</v>
      </c>
      <c r="E11" s="1"/>
      <c r="F11" s="1"/>
      <c r="H11" s="268"/>
      <c r="I11" s="402">
        <f>'TBL Scoring Summary'!$F34*'TBL Scoring Summary'!I34</f>
        <v>2.3253986968119227</v>
      </c>
      <c r="J11" s="268"/>
      <c r="K11" s="268"/>
      <c r="L11" s="402">
        <f>'TBL Scoring Summary'!$F34*'TBL Scoring Summary'!L34</f>
        <v>0.73813868563613372</v>
      </c>
      <c r="M11" s="1"/>
      <c r="N11" s="268"/>
      <c r="O11" s="402">
        <f>'TBL Scoring Summary'!$F34*'TBL Scoring Summary'!O34</f>
        <v>2.4503861263684819</v>
      </c>
      <c r="P11" s="1"/>
      <c r="Q11" s="268"/>
      <c r="R11" s="402">
        <f>'TBL Scoring Summary'!$F34*'TBL Scoring Summary'!R34</f>
        <v>0.3622802511280403</v>
      </c>
      <c r="S11" s="1"/>
      <c r="T11" s="268"/>
      <c r="U11" s="402">
        <f>'TBL Scoring Summary'!$F34*'TBL Scoring Summary'!U34</f>
        <v>0.22054724743986456</v>
      </c>
      <c r="V11" s="1"/>
      <c r="W11" s="268"/>
      <c r="X11" s="402">
        <f>'TBL Scoring Summary'!$F34*'TBL Scoring Summary'!X34</f>
        <v>0.71201609738912064</v>
      </c>
      <c r="Y11" s="1"/>
    </row>
    <row r="12" spans="2:32">
      <c r="B12" s="2"/>
      <c r="C12" s="2"/>
      <c r="D12" s="403" t="s">
        <v>53</v>
      </c>
      <c r="E12" s="1"/>
      <c r="F12" s="1"/>
      <c r="H12" s="268"/>
      <c r="I12" s="402">
        <f>'TBL Scoring Summary'!$F40*'TBL Scoring Summary'!I40</f>
        <v>0.53714237615335669</v>
      </c>
      <c r="J12" s="268"/>
      <c r="K12" s="268"/>
      <c r="L12" s="402">
        <f>'TBL Scoring Summary'!$F40*'TBL Scoring Summary'!L40</f>
        <v>0.53714237615335669</v>
      </c>
      <c r="M12" s="1"/>
      <c r="N12" s="268"/>
      <c r="O12" s="402">
        <f>'TBL Scoring Summary'!$F40*'TBL Scoring Summary'!O40</f>
        <v>0.5413129060666898</v>
      </c>
      <c r="P12" s="1"/>
      <c r="Q12" s="268"/>
      <c r="R12" s="402">
        <f>'TBL Scoring Summary'!$F40*'TBL Scoring Summary'!R40</f>
        <v>0.5413129060666898</v>
      </c>
      <c r="S12" s="1"/>
      <c r="T12" s="268"/>
      <c r="U12" s="402">
        <f>'TBL Scoring Summary'!$F40*'TBL Scoring Summary'!U40</f>
        <v>0.64830369930813958</v>
      </c>
      <c r="V12" s="1"/>
      <c r="W12" s="268"/>
      <c r="X12" s="402">
        <f>'TBL Scoring Summary'!$F40*'TBL Scoring Summary'!X40</f>
        <v>0.72650565873372164</v>
      </c>
      <c r="Y12" s="1"/>
    </row>
    <row r="13" spans="2:32">
      <c r="B13" s="2"/>
      <c r="C13" s="2"/>
      <c r="D13" s="403" t="s">
        <v>54</v>
      </c>
      <c r="E13" s="1"/>
      <c r="F13" s="1"/>
      <c r="H13" s="268"/>
      <c r="I13" s="402">
        <f>'TBL Scoring Summary'!$F46*'TBL Scoring Summary'!I46</f>
        <v>1</v>
      </c>
      <c r="J13" s="1"/>
      <c r="K13" s="268"/>
      <c r="L13" s="402">
        <f>'TBL Scoring Summary'!$F46*'TBL Scoring Summary'!L46</f>
        <v>0.75</v>
      </c>
      <c r="M13" s="1"/>
      <c r="N13" s="268"/>
      <c r="O13" s="402">
        <f>'TBL Scoring Summary'!$F46*'TBL Scoring Summary'!O46</f>
        <v>0.625</v>
      </c>
      <c r="P13" s="1"/>
      <c r="Q13" s="268"/>
      <c r="R13" s="402">
        <f>'TBL Scoring Summary'!$F46*'TBL Scoring Summary'!R46</f>
        <v>0.625</v>
      </c>
      <c r="S13" s="1"/>
      <c r="T13" s="268"/>
      <c r="U13" s="402">
        <f>'TBL Scoring Summary'!$F46*'TBL Scoring Summary'!U46</f>
        <v>0.75</v>
      </c>
      <c r="V13" s="1"/>
      <c r="W13" s="268"/>
      <c r="X13" s="402">
        <f>'TBL Scoring Summary'!$F46*'TBL Scoring Summary'!X46</f>
        <v>0.5</v>
      </c>
      <c r="Y13" s="1"/>
    </row>
    <row r="14" spans="2:32">
      <c r="B14" s="2"/>
      <c r="C14" s="2"/>
      <c r="E14" s="1"/>
      <c r="F14" s="1"/>
      <c r="H14" s="268"/>
      <c r="I14" s="1"/>
      <c r="J14" s="268"/>
      <c r="K14" s="268"/>
      <c r="L14" s="1"/>
      <c r="M14" s="1"/>
      <c r="N14" s="268"/>
      <c r="O14" s="1"/>
      <c r="P14" s="1"/>
      <c r="Q14" s="268"/>
      <c r="R14" s="1"/>
      <c r="S14" s="1"/>
      <c r="T14" s="268"/>
      <c r="U14" s="1"/>
      <c r="V14" s="1"/>
      <c r="W14" s="268"/>
      <c r="X14" s="1"/>
      <c r="Y14" s="1"/>
      <c r="AB14" s="526"/>
      <c r="AC14" s="537"/>
      <c r="AD14" s="537"/>
      <c r="AE14" s="537"/>
      <c r="AF14" s="537"/>
    </row>
    <row r="15" spans="2:32">
      <c r="B15" s="2"/>
      <c r="C15" s="403" t="s">
        <v>51</v>
      </c>
      <c r="D15" s="403"/>
      <c r="E15" s="1"/>
      <c r="F15" s="1"/>
      <c r="H15" s="268"/>
      <c r="I15" s="1"/>
      <c r="J15" s="268"/>
      <c r="K15" s="268"/>
      <c r="L15" s="1"/>
      <c r="M15" s="1"/>
      <c r="N15" s="268"/>
      <c r="O15" s="1"/>
      <c r="P15" s="1"/>
      <c r="Q15" s="268"/>
      <c r="R15" s="1"/>
      <c r="S15" s="1"/>
      <c r="T15" s="268"/>
      <c r="U15" s="1"/>
      <c r="V15" s="1"/>
      <c r="W15" s="268"/>
      <c r="X15" s="1"/>
      <c r="Y15" s="1"/>
      <c r="AB15" s="526"/>
      <c r="AC15" s="537"/>
      <c r="AD15" s="537"/>
      <c r="AE15" s="537"/>
      <c r="AF15" s="537"/>
    </row>
    <row r="16" spans="2:32">
      <c r="B16" s="2"/>
      <c r="C16" s="2"/>
      <c r="D16" s="403" t="s">
        <v>55</v>
      </c>
      <c r="E16" s="1"/>
      <c r="F16" s="1"/>
      <c r="H16" s="268"/>
      <c r="I16" s="402">
        <f>'TBL Scoring Summary'!$F55*'TBL Scoring Summary'!I55</f>
        <v>0.96174698795180724</v>
      </c>
      <c r="J16" s="268"/>
      <c r="K16" s="268"/>
      <c r="L16" s="402">
        <f>'TBL Scoring Summary'!$F55*'TBL Scoring Summary'!L55</f>
        <v>1.0617469879518071</v>
      </c>
      <c r="M16" s="1"/>
      <c r="N16" s="268"/>
      <c r="O16" s="402">
        <f>'TBL Scoring Summary'!$F55*'TBL Scoring Summary'!O55</f>
        <v>0.67500000000000004</v>
      </c>
      <c r="P16" s="1"/>
      <c r="Q16" s="268"/>
      <c r="R16" s="402">
        <f>'TBL Scoring Summary'!$F55*'TBL Scoring Summary'!R55</f>
        <v>0.77500000000000002</v>
      </c>
      <c r="S16" s="1"/>
      <c r="T16" s="268"/>
      <c r="U16" s="402">
        <f>'TBL Scoring Summary'!$F55*'TBL Scoring Summary'!U55</f>
        <v>1.0873493975903614</v>
      </c>
      <c r="V16" s="1"/>
      <c r="W16" s="268"/>
      <c r="X16" s="402">
        <f>'TBL Scoring Summary'!$F55*'TBL Scoring Summary'!X55</f>
        <v>1.0873493975903614</v>
      </c>
      <c r="Y16" s="1"/>
    </row>
    <row r="17" spans="2:25">
      <c r="B17" s="2"/>
      <c r="C17" s="2"/>
      <c r="D17" s="403" t="s">
        <v>883</v>
      </c>
      <c r="E17" s="1"/>
      <c r="F17" s="1"/>
      <c r="H17" s="268"/>
      <c r="I17" s="402">
        <f>'TBL Scoring Summary'!$F61*'TBL Scoring Summary'!I61</f>
        <v>1</v>
      </c>
      <c r="J17" s="268"/>
      <c r="K17" s="268"/>
      <c r="L17" s="402">
        <f>'TBL Scoring Summary'!$F61*'TBL Scoring Summary'!L61</f>
        <v>0.875</v>
      </c>
      <c r="M17" s="1"/>
      <c r="N17" s="268"/>
      <c r="O17" s="402">
        <f>'TBL Scoring Summary'!$F61*'TBL Scoring Summary'!O61</f>
        <v>0.9375</v>
      </c>
      <c r="P17" s="1"/>
      <c r="Q17" s="268"/>
      <c r="R17" s="402">
        <f>'TBL Scoring Summary'!$F61*'TBL Scoring Summary'!R61</f>
        <v>0.8125</v>
      </c>
      <c r="S17" s="1"/>
      <c r="T17" s="268"/>
      <c r="U17" s="402">
        <f>'TBL Scoring Summary'!$F61*'TBL Scoring Summary'!U61</f>
        <v>0.75</v>
      </c>
      <c r="V17" s="1"/>
      <c r="W17" s="268"/>
      <c r="X17" s="402">
        <f>'TBL Scoring Summary'!$F61*'TBL Scoring Summary'!X61</f>
        <v>0.75</v>
      </c>
      <c r="Y17" s="1"/>
    </row>
    <row r="18" spans="2:25">
      <c r="B18" s="2"/>
      <c r="C18" s="2"/>
      <c r="D18" s="403" t="s">
        <v>809</v>
      </c>
      <c r="E18" s="1"/>
      <c r="F18" s="1"/>
      <c r="H18" s="268"/>
      <c r="I18" s="402">
        <f>'TBL Scoring Summary'!$F67*'TBL Scoring Summary'!I67</f>
        <v>1.25</v>
      </c>
      <c r="J18" s="268"/>
      <c r="K18" s="268"/>
      <c r="L18" s="402">
        <f>'TBL Scoring Summary'!$F67*'TBL Scoring Summary'!L67</f>
        <v>0.75</v>
      </c>
      <c r="M18" s="1"/>
      <c r="N18" s="268"/>
      <c r="O18" s="402">
        <f>'TBL Scoring Summary'!$F67*'TBL Scoring Summary'!O67</f>
        <v>1.75</v>
      </c>
      <c r="P18" s="1"/>
      <c r="Q18" s="268"/>
      <c r="R18" s="402">
        <f>'TBL Scoring Summary'!$F67*'TBL Scoring Summary'!R67</f>
        <v>1.5</v>
      </c>
      <c r="S18" s="1"/>
      <c r="T18" s="268"/>
      <c r="U18" s="402">
        <f>'TBL Scoring Summary'!$F67*'TBL Scoring Summary'!U67</f>
        <v>0.5</v>
      </c>
      <c r="V18" s="1"/>
      <c r="W18" s="268"/>
      <c r="X18" s="402">
        <f>'TBL Scoring Summary'!$F67*'TBL Scoring Summary'!X67</f>
        <v>0.5</v>
      </c>
      <c r="Y18" s="1"/>
    </row>
    <row r="36" spans="2:25" s="664" customFormat="1"/>
    <row r="37" spans="2:25" s="664" customFormat="1"/>
    <row r="38" spans="2:25" s="664" customFormat="1"/>
    <row r="39" spans="2:25" s="664" customFormat="1"/>
    <row r="40" spans="2:25" s="664" customFormat="1"/>
    <row r="41" spans="2:25" s="664" customFormat="1">
      <c r="B41"/>
      <c r="C41"/>
      <c r="D41"/>
      <c r="E41"/>
      <c r="F41"/>
      <c r="G41"/>
      <c r="H41"/>
      <c r="I41"/>
      <c r="J41"/>
      <c r="K41"/>
      <c r="L41"/>
      <c r="M41"/>
      <c r="N41"/>
      <c r="O41"/>
      <c r="P41"/>
      <c r="Q41"/>
      <c r="R41"/>
      <c r="S41"/>
      <c r="T41"/>
      <c r="U41"/>
      <c r="V41"/>
      <c r="W41"/>
      <c r="X41"/>
      <c r="Y41"/>
    </row>
    <row r="42" spans="2:25" s="664" customFormat="1">
      <c r="B42"/>
      <c r="C42"/>
      <c r="D42" s="526" t="s">
        <v>614</v>
      </c>
      <c r="E42" s="526" t="s">
        <v>615</v>
      </c>
      <c r="F42" s="526" t="s">
        <v>616</v>
      </c>
      <c r="G42" s="526" t="s">
        <v>617</v>
      </c>
      <c r="H42" s="526" t="s">
        <v>614</v>
      </c>
      <c r="I42" s="526" t="s">
        <v>615</v>
      </c>
      <c r="J42" s="526" t="s">
        <v>616</v>
      </c>
      <c r="K42" s="526" t="s">
        <v>617</v>
      </c>
      <c r="L42" s="526" t="s">
        <v>614</v>
      </c>
      <c r="M42" s="526" t="s">
        <v>615</v>
      </c>
      <c r="N42" s="526" t="s">
        <v>616</v>
      </c>
      <c r="O42" s="526" t="s">
        <v>617</v>
      </c>
      <c r="P42"/>
      <c r="Q42"/>
      <c r="R42"/>
      <c r="S42" s="526"/>
      <c r="T42" s="526" t="s">
        <v>879</v>
      </c>
      <c r="U42" s="526" t="s">
        <v>615</v>
      </c>
      <c r="V42" s="526" t="s">
        <v>878</v>
      </c>
      <c r="W42" s="526" t="s">
        <v>617</v>
      </c>
      <c r="X42"/>
      <c r="Y42"/>
    </row>
    <row r="43" spans="2:25" s="664" customFormat="1">
      <c r="B43"/>
      <c r="C43" s="526" t="s">
        <v>534</v>
      </c>
      <c r="D43" s="537">
        <f>'TBL Scoring Summary'!AF13*'TBL Scoring Summary'!AE$12</f>
        <v>0.19999999999999998</v>
      </c>
      <c r="E43" s="537">
        <f>'TBL Scoring Summary'!AJ13*'TBL Scoring Summary'!AI$12</f>
        <v>0.20408163265306123</v>
      </c>
      <c r="F43" s="537">
        <f>'TBL Scoring Summary'!AN13*'TBL Scoring Summary'!AM$12</f>
        <v>0.28666666666666663</v>
      </c>
      <c r="G43" s="537">
        <f>'TBL Scoring Summary'!AR13*'TBL Scoring Summary'!AQ$12</f>
        <v>0.15</v>
      </c>
      <c r="H43" s="537"/>
      <c r="I43" s="537"/>
      <c r="J43"/>
      <c r="K43" s="537"/>
      <c r="L43" s="537"/>
      <c r="M43" s="537"/>
      <c r="N43" s="537"/>
      <c r="O43" s="537"/>
      <c r="P43" s="537"/>
      <c r="Q43" s="537"/>
      <c r="R43"/>
      <c r="S43" s="526" t="s">
        <v>534</v>
      </c>
      <c r="T43" s="537">
        <f t="shared" ref="T43:W44" si="0">D43</f>
        <v>0.19999999999999998</v>
      </c>
      <c r="U43" s="537">
        <f t="shared" si="0"/>
        <v>0.20408163265306123</v>
      </c>
      <c r="V43" s="537">
        <f t="shared" si="0"/>
        <v>0.28666666666666663</v>
      </c>
      <c r="W43" s="537">
        <f t="shared" si="0"/>
        <v>0.15</v>
      </c>
      <c r="X43"/>
      <c r="Y43"/>
    </row>
    <row r="44" spans="2:25" s="664" customFormat="1">
      <c r="B44"/>
      <c r="C44" s="526" t="s">
        <v>70</v>
      </c>
      <c r="D44" s="537">
        <f>'TBL Scoring Summary'!AF19*'TBL Scoring Summary'!AE$12</f>
        <v>0.13333333333333333</v>
      </c>
      <c r="E44" s="537">
        <f>'TBL Scoring Summary'!AJ19*'TBL Scoring Summary'!AI$12</f>
        <v>0.20408163265306123</v>
      </c>
      <c r="F44" s="537">
        <f>'TBL Scoring Summary'!AN19*'TBL Scoring Summary'!AM$12</f>
        <v>4.6666666666666662E-2</v>
      </c>
      <c r="G44" s="537">
        <f>'TBL Scoring Summary'!AR19*'TBL Scoring Summary'!AQ$12</f>
        <v>0.1</v>
      </c>
      <c r="H44" s="537"/>
      <c r="I44" s="537"/>
      <c r="J44"/>
      <c r="K44" s="537"/>
      <c r="L44" s="537"/>
      <c r="M44" s="537"/>
      <c r="N44" s="537"/>
      <c r="O44" s="537"/>
      <c r="P44" s="537"/>
      <c r="Q44" s="537"/>
      <c r="R44"/>
      <c r="S44" s="526" t="s">
        <v>70</v>
      </c>
      <c r="T44" s="537">
        <f t="shared" si="0"/>
        <v>0.13333333333333333</v>
      </c>
      <c r="U44" s="537">
        <f t="shared" si="0"/>
        <v>0.20408163265306123</v>
      </c>
      <c r="V44" s="537">
        <f t="shared" si="0"/>
        <v>4.6666666666666662E-2</v>
      </c>
      <c r="W44" s="537">
        <f t="shared" si="0"/>
        <v>0.1</v>
      </c>
      <c r="X44"/>
      <c r="Y44"/>
    </row>
    <row r="45" spans="2:25" s="664" customFormat="1">
      <c r="B45"/>
      <c r="C45" s="526" t="s">
        <v>71</v>
      </c>
      <c r="D45"/>
      <c r="E45"/>
      <c r="F45"/>
      <c r="G45"/>
      <c r="H45" s="537">
        <f>'TBL Scoring Summary'!AF34*'TBL Scoring Summary'!AE$33</f>
        <v>0.16666666666666666</v>
      </c>
      <c r="I45" s="537">
        <f>'TBL Scoring Summary'!AJ34*'TBL Scoring Summary'!AI$33</f>
        <v>0.11112244897959185</v>
      </c>
      <c r="J45" s="537">
        <f>'TBL Scoring Summary'!AN34*'TBL Scoring Summary'!AM$33</f>
        <v>0.16666666666666666</v>
      </c>
      <c r="K45" s="537">
        <f>'TBL Scoring Summary'!AR34*'TBL Scoring Summary'!AQ$33</f>
        <v>0.125</v>
      </c>
      <c r="L45"/>
      <c r="M45" s="537"/>
      <c r="N45" s="537"/>
      <c r="O45" s="537"/>
      <c r="P45"/>
      <c r="Q45" s="537"/>
      <c r="R45" s="537"/>
      <c r="S45" s="526" t="s">
        <v>71</v>
      </c>
      <c r="T45" s="537">
        <f t="shared" ref="T45:W47" si="1">H45</f>
        <v>0.16666666666666666</v>
      </c>
      <c r="U45" s="537">
        <f t="shared" si="1"/>
        <v>0.11112244897959185</v>
      </c>
      <c r="V45" s="537">
        <f t="shared" si="1"/>
        <v>0.16666666666666666</v>
      </c>
      <c r="W45" s="537">
        <f t="shared" si="1"/>
        <v>0.125</v>
      </c>
      <c r="X45"/>
      <c r="Y45"/>
    </row>
    <row r="46" spans="2:25" s="664" customFormat="1">
      <c r="B46"/>
      <c r="C46" s="526" t="s">
        <v>53</v>
      </c>
      <c r="D46"/>
      <c r="E46"/>
      <c r="F46"/>
      <c r="G46"/>
      <c r="H46" s="537">
        <f>'TBL Scoring Summary'!AF40*'TBL Scoring Summary'!AE$33</f>
        <v>8.3333333333333329E-2</v>
      </c>
      <c r="I46" s="537">
        <f>'TBL Scoring Summary'!AJ40*'TBL Scoring Summary'!AI$33</f>
        <v>0.10102040816326531</v>
      </c>
      <c r="J46" s="537">
        <f>'TBL Scoring Summary'!AN40*'TBL Scoring Summary'!AM$33</f>
        <v>8.3333333333333329E-2</v>
      </c>
      <c r="K46" s="537">
        <f>'TBL Scoring Summary'!AR40*'TBL Scoring Summary'!AQ$33</f>
        <v>6.25E-2</v>
      </c>
      <c r="L46"/>
      <c r="M46" s="537"/>
      <c r="N46" s="537"/>
      <c r="O46" s="537"/>
      <c r="P46"/>
      <c r="Q46" s="537"/>
      <c r="R46" s="537"/>
      <c r="S46" s="526" t="s">
        <v>53</v>
      </c>
      <c r="T46" s="537">
        <f t="shared" si="1"/>
        <v>8.3333333333333329E-2</v>
      </c>
      <c r="U46" s="537">
        <f t="shared" si="1"/>
        <v>0.10102040816326531</v>
      </c>
      <c r="V46" s="537">
        <f t="shared" si="1"/>
        <v>8.3333333333333329E-2</v>
      </c>
      <c r="W46" s="537">
        <f t="shared" si="1"/>
        <v>6.25E-2</v>
      </c>
      <c r="X46"/>
      <c r="Y46"/>
    </row>
    <row r="47" spans="2:25" s="664" customFormat="1">
      <c r="B47"/>
      <c r="C47" s="526" t="s">
        <v>54</v>
      </c>
      <c r="D47"/>
      <c r="E47"/>
      <c r="F47"/>
      <c r="G47"/>
      <c r="H47" s="537">
        <f>'TBL Scoring Summary'!AF46*'TBL Scoring Summary'!AE$33</f>
        <v>8.3333333333333329E-2</v>
      </c>
      <c r="I47" s="537">
        <f>'TBL Scoring Summary'!AJ46*'TBL Scoring Summary'!AI$33</f>
        <v>0.12459183673469387</v>
      </c>
      <c r="J47" s="537">
        <f>'TBL Scoring Summary'!AN46*'TBL Scoring Summary'!AM$33</f>
        <v>8.3333333333333329E-2</v>
      </c>
      <c r="K47" s="537">
        <f>'TBL Scoring Summary'!AR46*'TBL Scoring Summary'!AQ$33</f>
        <v>6.25E-2</v>
      </c>
      <c r="L47"/>
      <c r="M47" s="537"/>
      <c r="N47" s="537"/>
      <c r="O47" s="537"/>
      <c r="P47"/>
      <c r="Q47" s="537"/>
      <c r="R47" s="537"/>
      <c r="S47" s="526" t="s">
        <v>54</v>
      </c>
      <c r="T47" s="537">
        <f t="shared" si="1"/>
        <v>8.3333333333333329E-2</v>
      </c>
      <c r="U47" s="537">
        <f t="shared" si="1"/>
        <v>0.12459183673469387</v>
      </c>
      <c r="V47" s="537">
        <f t="shared" si="1"/>
        <v>8.3333333333333329E-2</v>
      </c>
      <c r="W47" s="537">
        <f t="shared" si="1"/>
        <v>6.25E-2</v>
      </c>
      <c r="X47"/>
      <c r="Y47"/>
    </row>
    <row r="48" spans="2:25" s="664" customFormat="1">
      <c r="B48"/>
      <c r="C48" s="526" t="s">
        <v>55</v>
      </c>
      <c r="D48"/>
      <c r="E48"/>
      <c r="F48"/>
      <c r="G48"/>
      <c r="H48"/>
      <c r="I48"/>
      <c r="J48"/>
      <c r="K48"/>
      <c r="L48" s="537">
        <f>'TBL Scoring Summary'!AF55*'TBL Scoring Summary'!AE$54</f>
        <v>8.3333333333333356E-2</v>
      </c>
      <c r="M48" s="537">
        <f>'TBL Scoring Summary'!AJ55*'TBL Scoring Summary'!AI$54</f>
        <v>0.10841836734693877</v>
      </c>
      <c r="N48" s="537">
        <f>'TBL Scoring Summary'!AN55*'TBL Scoring Summary'!AM$54</f>
        <v>8.3333333333333356E-2</v>
      </c>
      <c r="O48" s="537">
        <f>'TBL Scoring Summary'!AR55*'TBL Scoring Summary'!AQ$54</f>
        <v>0.125</v>
      </c>
      <c r="P48" s="537"/>
      <c r="Q48" s="537"/>
      <c r="R48"/>
      <c r="S48" s="526" t="s">
        <v>55</v>
      </c>
      <c r="T48" s="537">
        <f t="shared" ref="T48:W50" si="2">L48</f>
        <v>8.3333333333333356E-2</v>
      </c>
      <c r="U48" s="537">
        <f t="shared" si="2"/>
        <v>0.10841836734693877</v>
      </c>
      <c r="V48" s="537">
        <f t="shared" si="2"/>
        <v>8.3333333333333356E-2</v>
      </c>
      <c r="W48" s="537">
        <f t="shared" si="2"/>
        <v>0.125</v>
      </c>
      <c r="X48"/>
      <c r="Y48"/>
    </row>
    <row r="49" spans="2:25" s="664" customFormat="1">
      <c r="B49"/>
      <c r="C49" s="526" t="s">
        <v>60</v>
      </c>
      <c r="D49"/>
      <c r="E49"/>
      <c r="F49"/>
      <c r="G49"/>
      <c r="H49"/>
      <c r="I49"/>
      <c r="J49"/>
      <c r="K49"/>
      <c r="L49" s="537">
        <f>'TBL Scoring Summary'!AF61*'TBL Scoring Summary'!AE$54</f>
        <v>8.3333333333333356E-2</v>
      </c>
      <c r="M49" s="537">
        <f>'TBL Scoring Summary'!AJ61*'TBL Scoring Summary'!AI$54</f>
        <v>7.6530612244897961E-2</v>
      </c>
      <c r="N49" s="537">
        <f>'TBL Scoring Summary'!AN61*'TBL Scoring Summary'!AM$54</f>
        <v>8.3333333333333356E-2</v>
      </c>
      <c r="O49" s="537">
        <f>'TBL Scoring Summary'!AR61*'TBL Scoring Summary'!AQ$54</f>
        <v>0.125</v>
      </c>
      <c r="P49" s="537"/>
      <c r="Q49" s="537"/>
      <c r="R49"/>
      <c r="S49" s="526" t="s">
        <v>60</v>
      </c>
      <c r="T49" s="537">
        <f t="shared" si="2"/>
        <v>8.3333333333333356E-2</v>
      </c>
      <c r="U49" s="537">
        <f t="shared" si="2"/>
        <v>7.6530612244897961E-2</v>
      </c>
      <c r="V49" s="537">
        <f t="shared" si="2"/>
        <v>8.3333333333333356E-2</v>
      </c>
      <c r="W49" s="537">
        <f t="shared" si="2"/>
        <v>0.125</v>
      </c>
      <c r="X49"/>
      <c r="Y49"/>
    </row>
    <row r="50" spans="2:25" s="664" customFormat="1">
      <c r="B50"/>
      <c r="C50" s="526" t="s">
        <v>61</v>
      </c>
      <c r="D50"/>
      <c r="E50"/>
      <c r="F50"/>
      <c r="G50"/>
      <c r="H50"/>
      <c r="I50"/>
      <c r="J50"/>
      <c r="K50"/>
      <c r="L50" s="537">
        <f>'TBL Scoring Summary'!AF67*'TBL Scoring Summary'!AE$54</f>
        <v>0.16666666666666671</v>
      </c>
      <c r="M50" s="537">
        <f>'TBL Scoring Summary'!AJ67*'TBL Scoring Summary'!AI$54</f>
        <v>7.0153061224489791E-2</v>
      </c>
      <c r="N50" s="537">
        <f>'TBL Scoring Summary'!AN67*'TBL Scoring Summary'!AM$54</f>
        <v>0.16666666666666671</v>
      </c>
      <c r="O50" s="537">
        <f>'TBL Scoring Summary'!AR67*'TBL Scoring Summary'!AQ$54</f>
        <v>0.25</v>
      </c>
      <c r="P50" s="537"/>
      <c r="Q50" s="537"/>
      <c r="R50"/>
      <c r="S50" s="526" t="s">
        <v>61</v>
      </c>
      <c r="T50" s="537">
        <f t="shared" si="2"/>
        <v>0.16666666666666671</v>
      </c>
      <c r="U50" s="537">
        <f t="shared" si="2"/>
        <v>7.0153061224489791E-2</v>
      </c>
      <c r="V50" s="537">
        <f t="shared" si="2"/>
        <v>0.16666666666666671</v>
      </c>
      <c r="W50" s="537">
        <f t="shared" si="2"/>
        <v>0.25</v>
      </c>
      <c r="X50"/>
      <c r="Y50"/>
    </row>
    <row r="51" spans="2:25" s="664" customFormat="1"/>
    <row r="52" spans="2:25" s="664" customFormat="1"/>
    <row r="53" spans="2:25" s="664" customFormat="1"/>
    <row r="54" spans="2:25" s="664" customFormat="1"/>
    <row r="55" spans="2:25" s="664" customFormat="1"/>
    <row r="56" spans="2:25" s="664" customFormat="1"/>
    <row r="57" spans="2:25" s="664" customFormat="1"/>
    <row r="58" spans="2:25" s="664" customFormat="1"/>
    <row r="59" spans="2:25" s="664" customFormat="1"/>
    <row r="60" spans="2:25" s="664" customFormat="1"/>
    <row r="61" spans="2:25" s="664" customFormat="1"/>
    <row r="62" spans="2:25" s="664" customFormat="1"/>
    <row r="63" spans="2:25" s="664" customFormat="1"/>
    <row r="65" spans="1:12" s="664" customFormat="1"/>
    <row r="66" spans="1:12" s="664" customFormat="1"/>
    <row r="67" spans="1:12" s="664" customFormat="1"/>
    <row r="68" spans="1:12" s="664" customFormat="1"/>
    <row r="70" spans="1:12" ht="15.75" thickBot="1">
      <c r="A70" s="38"/>
      <c r="B70" s="38"/>
      <c r="C70" s="38"/>
      <c r="D70" s="38"/>
      <c r="E70" s="38"/>
      <c r="F70" s="38"/>
      <c r="G70" s="38"/>
      <c r="H70" s="38"/>
      <c r="I70" s="38"/>
      <c r="J70" s="38"/>
      <c r="K70" s="38"/>
      <c r="L70" s="38"/>
    </row>
    <row r="71" spans="1:12" ht="15.75" thickBot="1">
      <c r="A71" s="38"/>
      <c r="B71" s="38"/>
      <c r="C71" s="38"/>
      <c r="D71" s="38"/>
      <c r="E71" s="670" t="s">
        <v>296</v>
      </c>
      <c r="F71" s="671" t="s">
        <v>299</v>
      </c>
      <c r="G71" s="672" t="s">
        <v>300</v>
      </c>
      <c r="H71" s="673" t="s">
        <v>301</v>
      </c>
      <c r="I71" s="674" t="s">
        <v>619</v>
      </c>
      <c r="J71" s="675" t="s">
        <v>620</v>
      </c>
      <c r="K71" s="676" t="s">
        <v>528</v>
      </c>
      <c r="L71" s="38"/>
    </row>
    <row r="72" spans="1:12" ht="60.75" thickBot="1">
      <c r="A72" s="38"/>
      <c r="B72" s="38"/>
      <c r="C72" s="38"/>
      <c r="D72" s="38"/>
      <c r="E72" s="676" t="s">
        <v>72</v>
      </c>
      <c r="F72" s="676" t="s">
        <v>73</v>
      </c>
      <c r="G72" s="676" t="s">
        <v>74</v>
      </c>
      <c r="H72" s="676" t="s">
        <v>75</v>
      </c>
      <c r="I72" s="676" t="s">
        <v>618</v>
      </c>
      <c r="J72" s="676" t="s">
        <v>124</v>
      </c>
      <c r="K72" s="676" t="s">
        <v>528</v>
      </c>
      <c r="L72" s="38"/>
    </row>
    <row r="73" spans="1:12">
      <c r="A73" s="38" t="s">
        <v>603</v>
      </c>
      <c r="B73" s="38"/>
      <c r="C73" s="528" t="s">
        <v>125</v>
      </c>
      <c r="D73" s="529"/>
      <c r="E73" s="530">
        <f ca="1">INDIRECT("'"&amp;'Econ - NPV Results Summary'!E$7&amp;"'"&amp;$A73)</f>
        <v>16171631.830854949</v>
      </c>
      <c r="F73" s="530">
        <f ca="1">INDIRECT("'"&amp;'Econ - NPV Results Summary'!F$7&amp;"'"&amp;$A73)</f>
        <v>16171631.830854949</v>
      </c>
      <c r="G73" s="530">
        <f ca="1">INDIRECT("'"&amp;'Econ - NPV Results Summary'!G$7&amp;"'"&amp;$A73)</f>
        <v>10402292.907414803</v>
      </c>
      <c r="H73" s="530">
        <f ca="1">INDIRECT("'"&amp;'Econ - NPV Results Summary'!H$7&amp;"'"&amp;$A73)</f>
        <v>10402292.907414803</v>
      </c>
      <c r="I73" s="530">
        <f ca="1">INDIRECT("'"&amp;'Econ - NPV Results Summary'!I$7&amp;"'"&amp;$A73)</f>
        <v>9468277.8886760529</v>
      </c>
      <c r="J73" s="530">
        <f ca="1">INDIRECT("'"&amp;'Econ - NPV Results Summary'!J$7&amp;"'"&amp;$A73)</f>
        <v>11189020.942429367</v>
      </c>
      <c r="K73" s="531">
        <f ca="1">INDIRECT("'"&amp;'Econ - NPV Results Summary'!K$7&amp;"'"&amp;$A73)</f>
        <v>0</v>
      </c>
      <c r="L73" s="38"/>
    </row>
    <row r="74" spans="1:12">
      <c r="A74" s="38" t="s">
        <v>604</v>
      </c>
      <c r="B74" s="38"/>
      <c r="C74" s="35" t="s">
        <v>126</v>
      </c>
      <c r="D74" s="28"/>
      <c r="E74" s="208">
        <f ca="1">INDIRECT("'"&amp;'Econ - NPV Results Summary'!E$7&amp;"'"&amp;$A74)</f>
        <v>4529801.7758612046</v>
      </c>
      <c r="F74" s="208">
        <f ca="1">INDIRECT("'"&amp;'Econ - NPV Results Summary'!F$7&amp;"'"&amp;$A74)</f>
        <v>4529801.7758612046</v>
      </c>
      <c r="G74" s="208">
        <f ca="1">INDIRECT("'"&amp;'Econ - NPV Results Summary'!G$7&amp;"'"&amp;$A74)</f>
        <v>3640263.6627766779</v>
      </c>
      <c r="H74" s="208">
        <f ca="1">INDIRECT("'"&amp;'Econ - NPV Results Summary'!H$7&amp;"'"&amp;$A74)</f>
        <v>3640263.6627766779</v>
      </c>
      <c r="I74" s="208">
        <f ca="1">INDIRECT("'"&amp;'Econ - NPV Results Summary'!I$7&amp;"'"&amp;$A74)</f>
        <v>3202337.2071042955</v>
      </c>
      <c r="J74" s="208">
        <f ca="1">INDIRECT("'"&amp;'Econ - NPV Results Summary'!J$7&amp;"'"&amp;$A74)</f>
        <v>3065485.1897066766</v>
      </c>
      <c r="K74" s="532">
        <f ca="1">INDIRECT("'"&amp;'Econ - NPV Results Summary'!K$7&amp;"'"&amp;$A74)</f>
        <v>0</v>
      </c>
      <c r="L74" s="38"/>
    </row>
    <row r="75" spans="1:12">
      <c r="A75" s="38" t="s">
        <v>605</v>
      </c>
      <c r="B75" s="38"/>
      <c r="C75" s="35" t="s">
        <v>127</v>
      </c>
      <c r="D75" s="28"/>
      <c r="E75" s="208">
        <f ca="1">INDIRECT("'"&amp;'Econ - NPV Results Summary'!E$7&amp;"'"&amp;$A75)</f>
        <v>4912987.4245745381</v>
      </c>
      <c r="F75" s="208">
        <f ca="1">INDIRECT("'"&amp;'Econ - NPV Results Summary'!F$7&amp;"'"&amp;$A75)</f>
        <v>4912987.4245745381</v>
      </c>
      <c r="G75" s="208">
        <f ca="1">INDIRECT("'"&amp;'Econ - NPV Results Summary'!G$7&amp;"'"&amp;$A75)</f>
        <v>3599208.0575573919</v>
      </c>
      <c r="H75" s="208">
        <f ca="1">INDIRECT("'"&amp;'Econ - NPV Results Summary'!H$7&amp;"'"&amp;$A75)</f>
        <v>3599208.0575573919</v>
      </c>
      <c r="I75" s="208">
        <f ca="1">INDIRECT("'"&amp;'Econ - NPV Results Summary'!I$7&amp;"'"&amp;$A75)</f>
        <v>4406634.9602033468</v>
      </c>
      <c r="J75" s="208">
        <f ca="1">INDIRECT("'"&amp;'Econ - NPV Results Summary'!J$7&amp;"'"&amp;$A75)</f>
        <v>2134891.471402864</v>
      </c>
      <c r="K75" s="532">
        <f ca="1">INDIRECT("'"&amp;'Econ - NPV Results Summary'!K$7&amp;"'"&amp;$A75)</f>
        <v>0</v>
      </c>
      <c r="L75" s="38"/>
    </row>
    <row r="76" spans="1:12">
      <c r="A76" s="38" t="s">
        <v>606</v>
      </c>
      <c r="B76" s="38"/>
      <c r="C76" s="35" t="s">
        <v>276</v>
      </c>
      <c r="D76" s="28"/>
      <c r="E76" s="208">
        <f ca="1">INDIRECT("'"&amp;'Econ - NPV Results Summary'!E$7&amp;"'"&amp;$A76)</f>
        <v>2641243.9357740558</v>
      </c>
      <c r="F76" s="208">
        <f ca="1">INDIRECT("'"&amp;'Econ - NPV Results Summary'!F$7&amp;"'"&amp;$A76)</f>
        <v>4420320.1619431097</v>
      </c>
      <c r="G76" s="208">
        <f ca="1">INDIRECT("'"&amp;'Econ - NPV Results Summary'!G$7&amp;"'"&amp;$A76)</f>
        <v>6527841.2298664488</v>
      </c>
      <c r="H76" s="208">
        <f ca="1">INDIRECT("'"&amp;'Econ - NPV Results Summary'!H$7&amp;"'"&amp;$A76)</f>
        <v>8279547.0525559774</v>
      </c>
      <c r="I76" s="208">
        <f ca="1">INDIRECT("'"&amp;'Econ - NPV Results Summary'!I$7&amp;"'"&amp;$A76)</f>
        <v>4748765.0036973963</v>
      </c>
      <c r="J76" s="208">
        <f ca="1">INDIRECT("'"&amp;'Econ - NPV Results Summary'!J$7&amp;"'"&amp;$A76)</f>
        <v>1669594.6122509574</v>
      </c>
      <c r="K76" s="532">
        <f ca="1">INDIRECT("'"&amp;'Econ - NPV Results Summary'!K$7&amp;"'"&amp;$A76)</f>
        <v>0</v>
      </c>
      <c r="L76" s="38"/>
    </row>
    <row r="77" spans="1:12">
      <c r="A77" s="38" t="s">
        <v>607</v>
      </c>
      <c r="B77" s="38"/>
      <c r="C77" s="35" t="s">
        <v>16</v>
      </c>
      <c r="D77" s="28"/>
      <c r="E77" s="208">
        <f ca="1">INDIRECT("'"&amp;'Econ - NPV Results Summary'!E$7&amp;"'"&amp;$A77)</f>
        <v>0</v>
      </c>
      <c r="F77" s="208">
        <f ca="1">INDIRECT("'"&amp;'Econ - NPV Results Summary'!F$7&amp;"'"&amp;$A77)</f>
        <v>0</v>
      </c>
      <c r="G77" s="208">
        <f ca="1">INDIRECT("'"&amp;'Econ - NPV Results Summary'!G$7&amp;"'"&amp;$A77)</f>
        <v>0</v>
      </c>
      <c r="H77" s="208">
        <f ca="1">INDIRECT("'"&amp;'Econ - NPV Results Summary'!H$7&amp;"'"&amp;$A77)</f>
        <v>0</v>
      </c>
      <c r="I77" s="208">
        <f ca="1">INDIRECT("'"&amp;'Econ - NPV Results Summary'!I$7&amp;"'"&amp;$A77)</f>
        <v>698562.82938168244</v>
      </c>
      <c r="J77" s="208">
        <f ca="1">INDIRECT("'"&amp;'Econ - NPV Results Summary'!J$7&amp;"'"&amp;$A77)</f>
        <v>181994.54263963987</v>
      </c>
      <c r="K77" s="532">
        <f ca="1">INDIRECT("'"&amp;'Econ - NPV Results Summary'!K$7&amp;"'"&amp;$A77)</f>
        <v>0</v>
      </c>
      <c r="L77" s="38"/>
    </row>
    <row r="78" spans="1:12">
      <c r="A78" s="38" t="s">
        <v>608</v>
      </c>
      <c r="B78" s="38"/>
      <c r="C78" s="35" t="s">
        <v>284</v>
      </c>
      <c r="D78" s="28"/>
      <c r="E78" s="208">
        <f ca="1">INDIRECT("'"&amp;'Econ - NPV Results Summary'!E$7&amp;"'"&amp;$A78)</f>
        <v>539934.9098973209</v>
      </c>
      <c r="F78" s="208">
        <f ca="1">INDIRECT("'"&amp;'Econ - NPV Results Summary'!F$7&amp;"'"&amp;$A78)</f>
        <v>539934.9098973209</v>
      </c>
      <c r="G78" s="208">
        <f ca="1">INDIRECT("'"&amp;'Econ - NPV Results Summary'!G$7&amp;"'"&amp;$A78)</f>
        <v>894038.56354271842</v>
      </c>
      <c r="H78" s="208">
        <f ca="1">INDIRECT("'"&amp;'Econ - NPV Results Summary'!H$7&amp;"'"&amp;$A78)</f>
        <v>894038.56354271842</v>
      </c>
      <c r="I78" s="208">
        <f ca="1">INDIRECT("'"&amp;'Econ - NPV Results Summary'!I$7&amp;"'"&amp;$A78)</f>
        <v>116863.96062456917</v>
      </c>
      <c r="J78" s="208">
        <f ca="1">INDIRECT("'"&amp;'Econ - NPV Results Summary'!J$7&amp;"'"&amp;$A78)</f>
        <v>518234.64341922704</v>
      </c>
      <c r="K78" s="532">
        <f ca="1">INDIRECT("'"&amp;'Econ - NPV Results Summary'!K$7&amp;"'"&amp;$A78)</f>
        <v>0</v>
      </c>
      <c r="L78" s="38"/>
    </row>
    <row r="79" spans="1:12">
      <c r="A79" s="38" t="s">
        <v>609</v>
      </c>
      <c r="B79" s="38"/>
      <c r="C79" s="35" t="s">
        <v>291</v>
      </c>
      <c r="D79" s="28"/>
      <c r="E79" s="208">
        <f ca="1">INDIRECT("'"&amp;'Econ - NPV Results Summary'!E$7&amp;"'"&amp;$A79)</f>
        <v>0</v>
      </c>
      <c r="F79" s="208">
        <f ca="1">INDIRECT("'"&amp;'Econ - NPV Results Summary'!F$7&amp;"'"&amp;$A79)</f>
        <v>0</v>
      </c>
      <c r="G79" s="208">
        <f ca="1">INDIRECT("'"&amp;'Econ - NPV Results Summary'!G$7&amp;"'"&amp;$A79)</f>
        <v>0</v>
      </c>
      <c r="H79" s="208">
        <f ca="1">INDIRECT("'"&amp;'Econ - NPV Results Summary'!H$7&amp;"'"&amp;$A79)</f>
        <v>0</v>
      </c>
      <c r="I79" s="208">
        <f ca="1">INDIRECT("'"&amp;'Econ - NPV Results Summary'!I$7&amp;"'"&amp;$A79)</f>
        <v>0</v>
      </c>
      <c r="J79" s="208">
        <f ca="1">INDIRECT("'"&amp;'Econ - NPV Results Summary'!J$7&amp;"'"&amp;$A79)</f>
        <v>0</v>
      </c>
      <c r="K79" s="532">
        <f ca="1">INDIRECT("'"&amp;'Econ - NPV Results Summary'!K$7&amp;"'"&amp;$A79)</f>
        <v>0</v>
      </c>
      <c r="L79" s="38"/>
    </row>
    <row r="80" spans="1:12" ht="15.75" thickBot="1">
      <c r="A80" s="38"/>
      <c r="B80" s="38"/>
      <c r="C80" s="533" t="s">
        <v>610</v>
      </c>
      <c r="D80" s="534"/>
      <c r="E80" s="535">
        <f t="shared" ref="E80:K80" ca="1" si="3">SUM(E73:E79)</f>
        <v>28795599.876962066</v>
      </c>
      <c r="F80" s="535">
        <f t="shared" ca="1" si="3"/>
        <v>30574676.103131123</v>
      </c>
      <c r="G80" s="535">
        <f t="shared" ca="1" si="3"/>
        <v>25063644.421158042</v>
      </c>
      <c r="H80" s="535">
        <f t="shared" ca="1" si="3"/>
        <v>26815350.243847571</v>
      </c>
      <c r="I80" s="535">
        <f t="shared" ca="1" si="3"/>
        <v>22641441.849687342</v>
      </c>
      <c r="J80" s="535">
        <f t="shared" ca="1" si="3"/>
        <v>18759221.401848733</v>
      </c>
      <c r="K80" s="536">
        <f t="shared" ca="1" si="3"/>
        <v>0</v>
      </c>
      <c r="L80" s="38"/>
    </row>
    <row r="81" spans="1:12">
      <c r="A81" s="38"/>
      <c r="B81" s="38"/>
      <c r="C81" s="38"/>
      <c r="D81" s="38"/>
      <c r="E81" s="985">
        <f ca="1">E73/E80</f>
        <v>0.56160079664786111</v>
      </c>
      <c r="F81" s="985">
        <f t="shared" ref="F81:J81" ca="1" si="4">F73/F80</f>
        <v>0.52892242509149023</v>
      </c>
      <c r="G81" s="985">
        <f t="shared" ca="1" si="4"/>
        <v>0.41503512947356819</v>
      </c>
      <c r="H81" s="985">
        <f t="shared" ca="1" si="4"/>
        <v>0.38792306693072087</v>
      </c>
      <c r="I81" s="985">
        <f t="shared" ca="1" si="4"/>
        <v>0.4181835216826883</v>
      </c>
      <c r="J81" s="985">
        <f t="shared" ca="1" si="4"/>
        <v>0.59645444247098023</v>
      </c>
      <c r="K81" s="38"/>
      <c r="L81" s="38"/>
    </row>
    <row r="144" spans="5:10" ht="15.75" thickBot="1">
      <c r="E144" s="978">
        <f ca="1">'Econ - NPV Results Summary'!E55</f>
        <v>63206644.976927929</v>
      </c>
      <c r="F144" s="978">
        <f ca="1">'Econ - NPV Results Summary'!F55</f>
        <v>64985721.203096978</v>
      </c>
      <c r="G144" s="978">
        <f ca="1">'Econ - NPV Results Summary'!G55</f>
        <v>55317059.443593547</v>
      </c>
      <c r="H144" s="978">
        <f ca="1">'Econ - NPV Results Summary'!H55</f>
        <v>57068765.266283073</v>
      </c>
      <c r="I144" s="978">
        <f ca="1">'Econ - NPV Results Summary'!I55</f>
        <v>50232652.649555445</v>
      </c>
      <c r="J144" s="978">
        <f ca="1">'Econ - NPV Results Summary'!J55</f>
        <v>50232523.288641177</v>
      </c>
    </row>
    <row r="145" spans="1:24" ht="15.75" thickBot="1">
      <c r="E145" s="670" t="s">
        <v>296</v>
      </c>
      <c r="F145" s="671" t="s">
        <v>299</v>
      </c>
      <c r="G145" s="672" t="s">
        <v>300</v>
      </c>
      <c r="H145" s="673" t="s">
        <v>301</v>
      </c>
      <c r="I145" s="674" t="s">
        <v>619</v>
      </c>
      <c r="J145" s="675" t="s">
        <v>620</v>
      </c>
    </row>
    <row r="146" spans="1:24">
      <c r="D146" t="s">
        <v>688</v>
      </c>
      <c r="E146" s="699">
        <f>'Econ - NPV Results Summary'!E56</f>
        <v>63206644.976927929</v>
      </c>
      <c r="F146" s="699">
        <f>'Econ - NPV Results Summary'!F56</f>
        <v>64985721.203096978</v>
      </c>
      <c r="G146" s="699">
        <f>'Econ - NPV Results Summary'!G56</f>
        <v>55317059.443593547</v>
      </c>
      <c r="H146" s="699">
        <f>'Econ - NPV Results Summary'!H56</f>
        <v>57068765.266283073</v>
      </c>
      <c r="I146" s="699">
        <f>'Econ - NPV Results Summary'!I56</f>
        <v>50232652.649555445</v>
      </c>
      <c r="J146" s="699">
        <f>'Econ - NPV Results Summary'!J56</f>
        <v>50232523.288641177</v>
      </c>
      <c r="K146" s="699"/>
      <c r="L146" s="699"/>
      <c r="M146" s="699"/>
      <c r="N146" s="699"/>
      <c r="O146" s="699"/>
      <c r="P146" s="699"/>
      <c r="Q146" s="699"/>
      <c r="S146" s="700"/>
      <c r="T146" s="700"/>
      <c r="U146" s="700"/>
      <c r="V146" s="700"/>
      <c r="W146" s="700"/>
      <c r="X146" s="700"/>
    </row>
    <row r="147" spans="1:24">
      <c r="D147" t="s">
        <v>686</v>
      </c>
      <c r="E147" s="699">
        <v>63334715.957024351</v>
      </c>
      <c r="F147" s="699">
        <v>65113792.183193401</v>
      </c>
      <c r="G147" s="699">
        <v>55419326.837277576</v>
      </c>
      <c r="H147" s="699">
        <v>57171032.659967102</v>
      </c>
      <c r="I147" s="699">
        <v>50087543.130426936</v>
      </c>
      <c r="J147" s="699">
        <v>50142156.665890627</v>
      </c>
      <c r="K147" s="700"/>
      <c r="L147" s="700"/>
      <c r="M147" s="700"/>
      <c r="N147" s="700"/>
      <c r="O147" s="700"/>
      <c r="P147" s="700"/>
      <c r="Q147" s="699"/>
      <c r="S147" s="700"/>
      <c r="T147" s="700"/>
      <c r="U147" s="700"/>
      <c r="V147" s="700"/>
      <c r="W147" s="700"/>
      <c r="X147" s="700"/>
    </row>
    <row r="148" spans="1:24" s="693" customFormat="1">
      <c r="D148" s="693" t="s">
        <v>689</v>
      </c>
      <c r="E148" s="700">
        <f t="shared" ref="E148:J148" si="5">E146-E147</f>
        <v>-128070.98009642214</v>
      </c>
      <c r="F148" s="700">
        <f t="shared" si="5"/>
        <v>-128070.98009642214</v>
      </c>
      <c r="G148" s="700">
        <f t="shared" si="5"/>
        <v>-102267.39368402958</v>
      </c>
      <c r="H148" s="700">
        <f t="shared" si="5"/>
        <v>-102267.39368402958</v>
      </c>
      <c r="I148" s="700">
        <f t="shared" si="5"/>
        <v>145109.51912850887</v>
      </c>
      <c r="J148" s="700">
        <f t="shared" si="5"/>
        <v>90366.622750550508</v>
      </c>
      <c r="L148" s="700"/>
      <c r="M148" s="700"/>
      <c r="N148" s="700"/>
      <c r="O148" s="700"/>
      <c r="P148" s="700"/>
      <c r="Q148" s="700"/>
    </row>
    <row r="149" spans="1:24" s="693" customFormat="1" ht="15.75" thickBot="1">
      <c r="E149" s="700"/>
      <c r="F149" s="700"/>
      <c r="G149" s="700"/>
      <c r="H149" s="700"/>
      <c r="I149" s="700"/>
      <c r="J149" s="700"/>
    </row>
    <row r="150" spans="1:24" ht="15.75" thickBot="1">
      <c r="E150" s="670" t="s">
        <v>296</v>
      </c>
      <c r="F150" s="671" t="s">
        <v>299</v>
      </c>
      <c r="G150" s="672" t="s">
        <v>300</v>
      </c>
      <c r="H150" s="673" t="s">
        <v>301</v>
      </c>
      <c r="I150" s="674" t="s">
        <v>619</v>
      </c>
      <c r="J150" s="675" t="s">
        <v>620</v>
      </c>
    </row>
    <row r="151" spans="1:24">
      <c r="D151" s="693" t="str">
        <f>D146</f>
        <v>Reference Case</v>
      </c>
      <c r="E151" s="699">
        <f>E146</f>
        <v>63206644.976927929</v>
      </c>
      <c r="F151" s="699">
        <f t="shared" ref="F151:J151" si="6">F146</f>
        <v>64985721.203096978</v>
      </c>
      <c r="G151" s="699">
        <f t="shared" si="6"/>
        <v>55317059.443593547</v>
      </c>
      <c r="H151" s="699">
        <f t="shared" si="6"/>
        <v>57068765.266283073</v>
      </c>
      <c r="I151" s="699">
        <f t="shared" si="6"/>
        <v>50232652.649555445</v>
      </c>
      <c r="J151" s="699">
        <f t="shared" si="6"/>
        <v>50232523.288641177</v>
      </c>
      <c r="L151" s="699"/>
      <c r="M151" s="699"/>
      <c r="N151" s="699"/>
      <c r="O151" s="699"/>
      <c r="P151" s="699"/>
      <c r="Q151" s="699"/>
    </row>
    <row r="152" spans="1:24">
      <c r="D152" s="693" t="s">
        <v>687</v>
      </c>
      <c r="E152" s="699">
        <v>62735874.585047871</v>
      </c>
      <c r="F152" s="699">
        <v>64514950.811216921</v>
      </c>
      <c r="G152" s="699">
        <v>54941139.301771164</v>
      </c>
      <c r="H152" s="699">
        <v>56692845.12446069</v>
      </c>
      <c r="I152" s="699">
        <v>50235517.391536526</v>
      </c>
      <c r="J152" s="699">
        <v>50426478.694597937</v>
      </c>
      <c r="L152" s="699"/>
      <c r="M152" s="699"/>
      <c r="N152" s="699"/>
      <c r="O152" s="699"/>
      <c r="P152" s="699"/>
      <c r="Q152" s="699"/>
      <c r="S152" s="700"/>
      <c r="T152" s="700"/>
      <c r="U152" s="700"/>
      <c r="V152" s="700"/>
      <c r="W152" s="700"/>
      <c r="X152" s="700"/>
    </row>
    <row r="153" spans="1:24">
      <c r="D153" s="693" t="s">
        <v>689</v>
      </c>
      <c r="E153" s="700">
        <f>E151-E152</f>
        <v>470770.39188005775</v>
      </c>
      <c r="F153" s="700">
        <f t="shared" ref="F153:J153" si="7">F151-F152</f>
        <v>470770.39188005775</v>
      </c>
      <c r="G153" s="700">
        <f t="shared" si="7"/>
        <v>375920.14182238281</v>
      </c>
      <c r="H153" s="700">
        <f t="shared" si="7"/>
        <v>375920.14182238281</v>
      </c>
      <c r="I153" s="700">
        <f t="shared" si="7"/>
        <v>-2864.7419810816646</v>
      </c>
      <c r="J153" s="700">
        <f t="shared" si="7"/>
        <v>-193955.40595676005</v>
      </c>
      <c r="L153" s="700"/>
      <c r="M153" s="700"/>
      <c r="N153" s="700"/>
      <c r="O153" s="700"/>
      <c r="P153" s="700"/>
      <c r="Q153" s="700"/>
    </row>
    <row r="155" spans="1:24" s="901" customFormat="1" ht="15.75" thickBot="1">
      <c r="D155" s="888" t="s">
        <v>859</v>
      </c>
    </row>
    <row r="156" spans="1:24" s="901" customFormat="1" ht="30.75" thickBot="1">
      <c r="A156" s="984" t="s">
        <v>860</v>
      </c>
      <c r="C156" s="860"/>
      <c r="D156" s="861" t="s">
        <v>824</v>
      </c>
      <c r="E156" s="862" t="s">
        <v>825</v>
      </c>
      <c r="F156" s="862" t="s">
        <v>826</v>
      </c>
      <c r="G156" s="863" t="s">
        <v>877</v>
      </c>
      <c r="I156" s="901" t="s">
        <v>860</v>
      </c>
      <c r="J156" s="901" t="s">
        <v>860</v>
      </c>
    </row>
    <row r="157" spans="1:24" s="901" customFormat="1" ht="15.75" thickBot="1">
      <c r="A157" s="984">
        <v>3.5137433546206798</v>
      </c>
      <c r="C157" s="1139" t="s">
        <v>390</v>
      </c>
      <c r="D157" s="1140"/>
      <c r="E157" s="873">
        <f ca="1">'TBL Scoring Summary'!I$4</f>
        <v>3.6605493001784191</v>
      </c>
      <c r="F157" s="975">
        <f ca="1">RANK(E157,$E$157:$E$162)</f>
        <v>2</v>
      </c>
      <c r="G157" s="869">
        <f t="shared" ref="G157:G162" ca="1" si="8">J157-F157</f>
        <v>0</v>
      </c>
      <c r="H157" s="702">
        <f t="shared" ref="H157:H162" ca="1" si="9">E157-I157</f>
        <v>0.13771843344989287</v>
      </c>
      <c r="I157" s="974">
        <v>3.5228308667285262</v>
      </c>
      <c r="J157" s="901">
        <v>2</v>
      </c>
    </row>
    <row r="158" spans="1:24" s="901" customFormat="1" ht="15.75" thickBot="1">
      <c r="A158" s="984">
        <v>2.6913986589846624</v>
      </c>
      <c r="C158" s="1139" t="s">
        <v>391</v>
      </c>
      <c r="D158" s="1140"/>
      <c r="E158" s="874">
        <f ca="1">'TBL Scoring Summary'!L$4</f>
        <v>2.8186109400389894</v>
      </c>
      <c r="F158" s="976">
        <f t="shared" ref="F158:F162" ca="1" si="10">RANK(E158,$E$157:$E$162)</f>
        <v>6</v>
      </c>
      <c r="G158" s="870">
        <f t="shared" ca="1" si="8"/>
        <v>0</v>
      </c>
      <c r="H158" s="702">
        <f t="shared" ca="1" si="9"/>
        <v>0.17495706988281956</v>
      </c>
      <c r="I158" s="974">
        <v>2.6436538701561698</v>
      </c>
      <c r="J158" s="901">
        <v>6</v>
      </c>
    </row>
    <row r="159" spans="1:24" s="901" customFormat="1" ht="15.75" thickBot="1">
      <c r="A159" s="984">
        <v>3.7323762087379877</v>
      </c>
      <c r="C159" s="1139" t="s">
        <v>392</v>
      </c>
      <c r="D159" s="1140"/>
      <c r="E159" s="873">
        <f ca="1">'TBL Scoring Summary'!O$4</f>
        <v>3.837986399029818</v>
      </c>
      <c r="F159" s="975">
        <f t="shared" ca="1" si="10"/>
        <v>1</v>
      </c>
      <c r="G159" s="869">
        <f t="shared" ca="1" si="8"/>
        <v>0</v>
      </c>
      <c r="H159" s="702">
        <f t="shared" ca="1" si="9"/>
        <v>0.10037456526347643</v>
      </c>
      <c r="I159" s="974">
        <v>3.7376118337663415</v>
      </c>
      <c r="J159" s="901">
        <v>1</v>
      </c>
    </row>
    <row r="160" spans="1:24" s="901" customFormat="1" ht="15.75" thickBot="1">
      <c r="A160" s="984">
        <v>3.0279333920879834</v>
      </c>
      <c r="C160" s="1139" t="s">
        <v>393</v>
      </c>
      <c r="D160" s="1140"/>
      <c r="E160" s="874">
        <f ca="1">'TBL Scoring Summary'!R$4</f>
        <v>2.9869993573504705</v>
      </c>
      <c r="F160" s="976">
        <f t="shared" ca="1" si="10"/>
        <v>4</v>
      </c>
      <c r="G160" s="870">
        <f t="shared" ca="1" si="8"/>
        <v>-1</v>
      </c>
      <c r="H160" s="702">
        <f t="shared" ca="1" si="9"/>
        <v>3.4962795904028177E-2</v>
      </c>
      <c r="I160" s="974">
        <v>2.9520365614464423</v>
      </c>
      <c r="J160" s="901">
        <v>3</v>
      </c>
    </row>
    <row r="161" spans="1:10" s="901" customFormat="1" ht="15.75" thickBot="1">
      <c r="A161" s="984">
        <v>2.666948668611639</v>
      </c>
      <c r="C161" s="1139" t="s">
        <v>618</v>
      </c>
      <c r="D161" s="1140"/>
      <c r="E161" s="873">
        <f ca="1">'TBL Scoring Summary'!U$4</f>
        <v>2.8220630902751269</v>
      </c>
      <c r="F161" s="975">
        <f t="shared" ca="1" si="10"/>
        <v>5</v>
      </c>
      <c r="G161" s="869">
        <f t="shared" ca="1" si="8"/>
        <v>-1</v>
      </c>
      <c r="H161" s="702">
        <f t="shared" ca="1" si="9"/>
        <v>6.1555491093287618E-2</v>
      </c>
      <c r="I161" s="974">
        <v>2.7605075991818393</v>
      </c>
      <c r="J161" s="901">
        <v>4</v>
      </c>
    </row>
    <row r="162" spans="1:10" s="901" customFormat="1" ht="15.75" thickBot="1">
      <c r="A162" s="984">
        <v>2.7783178938247275</v>
      </c>
      <c r="C162" s="1139" t="s">
        <v>124</v>
      </c>
      <c r="D162" s="1140"/>
      <c r="E162" s="875">
        <f ca="1">'TBL Scoring Summary'!X$4</f>
        <v>2.9986237179044011</v>
      </c>
      <c r="F162" s="977">
        <f t="shared" ca="1" si="10"/>
        <v>3</v>
      </c>
      <c r="G162" s="871">
        <f t="shared" ca="1" si="8"/>
        <v>2</v>
      </c>
      <c r="H162" s="702">
        <f t="shared" ca="1" si="9"/>
        <v>0.24724976216025318</v>
      </c>
      <c r="I162" s="974">
        <v>2.7513739557441479</v>
      </c>
      <c r="J162" s="901">
        <v>5</v>
      </c>
    </row>
    <row r="163" spans="1:10" s="901" customFormat="1"/>
    <row r="164" spans="1:10" s="901" customFormat="1"/>
    <row r="165" spans="1:10" ht="15.75" thickBot="1">
      <c r="D165" s="888" t="s">
        <v>831</v>
      </c>
    </row>
    <row r="166" spans="1:10" ht="30.75" thickBot="1">
      <c r="C166" s="860"/>
      <c r="D166" s="861" t="s">
        <v>824</v>
      </c>
      <c r="E166" s="862" t="s">
        <v>48</v>
      </c>
      <c r="F166" s="862" t="s">
        <v>49</v>
      </c>
      <c r="G166" s="863" t="s">
        <v>50</v>
      </c>
    </row>
    <row r="167" spans="1:10" ht="15.75" thickBot="1">
      <c r="C167" s="1139" t="s">
        <v>390</v>
      </c>
      <c r="D167" s="1140"/>
      <c r="E167" s="864">
        <f>'Econ - Engineering Criteria'!D7</f>
        <v>2</v>
      </c>
      <c r="F167" s="864">
        <f>'Econ - Engineering Criteria'!F7</f>
        <v>3.5</v>
      </c>
      <c r="G167" s="865">
        <f>'Econ - Engineering Criteria'!H7</f>
        <v>3</v>
      </c>
    </row>
    <row r="168" spans="1:10" ht="15.75" thickBot="1">
      <c r="C168" s="1139" t="s">
        <v>391</v>
      </c>
      <c r="D168" s="1140"/>
      <c r="E168" s="854">
        <f>'Econ - Engineering Criteria'!D8</f>
        <v>3</v>
      </c>
      <c r="F168" s="854">
        <f>'Econ - Engineering Criteria'!F8</f>
        <v>3</v>
      </c>
      <c r="G168" s="866">
        <f>'Econ - Engineering Criteria'!H8</f>
        <v>3</v>
      </c>
    </row>
    <row r="169" spans="1:10" ht="15.75" thickBot="1">
      <c r="C169" s="1139" t="s">
        <v>392</v>
      </c>
      <c r="D169" s="1140"/>
      <c r="E169" s="864">
        <f>'Econ - Engineering Criteria'!D9</f>
        <v>3</v>
      </c>
      <c r="F169" s="864">
        <f>'Econ - Engineering Criteria'!F9</f>
        <v>4.5</v>
      </c>
      <c r="G169" s="865">
        <f>'Econ - Engineering Criteria'!H9</f>
        <v>4</v>
      </c>
    </row>
    <row r="170" spans="1:10" ht="15.75" thickBot="1">
      <c r="C170" s="1139" t="s">
        <v>393</v>
      </c>
      <c r="D170" s="1140"/>
      <c r="E170" s="854">
        <f>'Econ - Engineering Criteria'!D10</f>
        <v>4</v>
      </c>
      <c r="F170" s="854">
        <f>'Econ - Engineering Criteria'!F10</f>
        <v>4</v>
      </c>
      <c r="G170" s="866">
        <f>'Econ - Engineering Criteria'!H10</f>
        <v>4</v>
      </c>
    </row>
    <row r="171" spans="1:10" ht="15.75" thickBot="1">
      <c r="C171" s="1139" t="s">
        <v>618</v>
      </c>
      <c r="D171" s="1140"/>
      <c r="E171" s="864">
        <f>'Econ - Engineering Criteria'!D11</f>
        <v>4</v>
      </c>
      <c r="F171" s="864">
        <f>'Econ - Engineering Criteria'!F11</f>
        <v>1.5</v>
      </c>
      <c r="G171" s="865">
        <f>'Econ - Engineering Criteria'!H11</f>
        <v>4.5</v>
      </c>
    </row>
    <row r="172" spans="1:10" ht="15.75" thickBot="1">
      <c r="C172" s="1139" t="s">
        <v>124</v>
      </c>
      <c r="D172" s="1140"/>
      <c r="E172" s="867">
        <f>'Econ - Engineering Criteria'!D12</f>
        <v>3</v>
      </c>
      <c r="F172" s="867">
        <f>'Econ - Engineering Criteria'!F12</f>
        <v>3</v>
      </c>
      <c r="G172" s="868">
        <f>'Econ - Engineering Criteria'!H12</f>
        <v>1</v>
      </c>
    </row>
    <row r="174" spans="1:10" ht="15.75" thickBot="1">
      <c r="D174" s="888" t="s">
        <v>830</v>
      </c>
    </row>
    <row r="175" spans="1:10" ht="15.75" thickBot="1">
      <c r="C175" s="860"/>
      <c r="D175" s="861" t="s">
        <v>824</v>
      </c>
      <c r="E175" s="862" t="s">
        <v>825</v>
      </c>
      <c r="F175" s="863" t="s">
        <v>826</v>
      </c>
    </row>
    <row r="176" spans="1:10" ht="15.75" thickBot="1">
      <c r="C176" s="1139" t="s">
        <v>390</v>
      </c>
      <c r="D176" s="1140"/>
      <c r="E176" s="873">
        <f>SUM(I11:I13)</f>
        <v>3.8625410729652794</v>
      </c>
      <c r="F176" s="869">
        <f>RANK(E176,$E$176:$E$181)</f>
        <v>1</v>
      </c>
    </row>
    <row r="177" spans="3:6" ht="15.75" thickBot="1">
      <c r="C177" s="1139" t="s">
        <v>391</v>
      </c>
      <c r="D177" s="1140"/>
      <c r="E177" s="874">
        <f>SUM(L11:L13)</f>
        <v>2.0252810617894905</v>
      </c>
      <c r="F177" s="870">
        <f t="shared" ref="F177:F181" si="11">RANK(E177,$E$176:$E$181)</f>
        <v>3</v>
      </c>
    </row>
    <row r="178" spans="3:6" ht="15.75" thickBot="1">
      <c r="C178" s="1139" t="s">
        <v>392</v>
      </c>
      <c r="D178" s="1140"/>
      <c r="E178" s="873">
        <f>SUM(O11:O13)</f>
        <v>3.6166990324351715</v>
      </c>
      <c r="F178" s="869">
        <f t="shared" si="11"/>
        <v>2</v>
      </c>
    </row>
    <row r="179" spans="3:6" ht="15.75" thickBot="1">
      <c r="C179" s="1139" t="s">
        <v>393</v>
      </c>
      <c r="D179" s="1140"/>
      <c r="E179" s="874">
        <f>SUM(R11:R13)</f>
        <v>1.52859315719473</v>
      </c>
      <c r="F179" s="870">
        <f t="shared" si="11"/>
        <v>6</v>
      </c>
    </row>
    <row r="180" spans="3:6" ht="15.75" thickBot="1">
      <c r="C180" s="1139" t="s">
        <v>618</v>
      </c>
      <c r="D180" s="1140"/>
      <c r="E180" s="873">
        <f>SUM(U11:U13)</f>
        <v>1.6188509467480041</v>
      </c>
      <c r="F180" s="869">
        <f t="shared" si="11"/>
        <v>5</v>
      </c>
    </row>
    <row r="181" spans="3:6" ht="15.75" thickBot="1">
      <c r="C181" s="1139" t="s">
        <v>124</v>
      </c>
      <c r="D181" s="1140"/>
      <c r="E181" s="875">
        <f>SUM(X11:X13)</f>
        <v>1.9385217561228423</v>
      </c>
      <c r="F181" s="871">
        <f t="shared" si="11"/>
        <v>4</v>
      </c>
    </row>
    <row r="182" spans="3:6" s="856" customFormat="1">
      <c r="C182" s="885"/>
      <c r="D182" s="885"/>
      <c r="E182" s="886"/>
      <c r="F182" s="887"/>
    </row>
    <row r="183" spans="3:6" ht="15.75" thickBot="1">
      <c r="C183" s="872"/>
      <c r="D183" s="888" t="s">
        <v>829</v>
      </c>
    </row>
    <row r="184" spans="3:6" ht="15.75" thickBot="1">
      <c r="C184" s="860"/>
      <c r="D184" s="861" t="s">
        <v>824</v>
      </c>
      <c r="E184" s="862" t="s">
        <v>825</v>
      </c>
      <c r="F184" s="863" t="s">
        <v>826</v>
      </c>
    </row>
    <row r="185" spans="3:6" ht="15.75" thickBot="1">
      <c r="C185" s="1139" t="s">
        <v>390</v>
      </c>
      <c r="D185" s="1140"/>
      <c r="E185" s="873">
        <f>SUM(I$16:I$18)</f>
        <v>3.2117469879518072</v>
      </c>
      <c r="F185" s="869">
        <f>RANK(E185,$E$185:$E$190)</f>
        <v>2</v>
      </c>
    </row>
    <row r="186" spans="3:6" ht="15.75" thickBot="1">
      <c r="C186" s="1139" t="s">
        <v>391</v>
      </c>
      <c r="D186" s="1140"/>
      <c r="E186" s="873">
        <f>SUM(L$16:L$18)</f>
        <v>2.6867469879518069</v>
      </c>
      <c r="F186" s="870">
        <f t="shared" ref="F186:F190" si="12">RANK(E186,$E$185:$E$190)</f>
        <v>4</v>
      </c>
    </row>
    <row r="187" spans="3:6" ht="15.75" thickBot="1">
      <c r="C187" s="1139" t="s">
        <v>392</v>
      </c>
      <c r="D187" s="1140"/>
      <c r="E187" s="873">
        <f>SUM(O$16:O$18)</f>
        <v>3.3624999999999998</v>
      </c>
      <c r="F187" s="869">
        <f t="shared" si="12"/>
        <v>1</v>
      </c>
    </row>
    <row r="188" spans="3:6" ht="15.75" thickBot="1">
      <c r="C188" s="1139" t="s">
        <v>393</v>
      </c>
      <c r="D188" s="1140"/>
      <c r="E188" s="873">
        <f>SUM(R$16:R$18)</f>
        <v>3.0874999999999999</v>
      </c>
      <c r="F188" s="870">
        <f t="shared" si="12"/>
        <v>3</v>
      </c>
    </row>
    <row r="189" spans="3:6" ht="15.75" thickBot="1">
      <c r="C189" s="1139" t="s">
        <v>618</v>
      </c>
      <c r="D189" s="1140"/>
      <c r="E189" s="873">
        <f>SUM(U$16:U$18)</f>
        <v>2.3373493975903612</v>
      </c>
      <c r="F189" s="869">
        <f t="shared" si="12"/>
        <v>5</v>
      </c>
    </row>
    <row r="190" spans="3:6" ht="15.75" thickBot="1">
      <c r="C190" s="1139" t="s">
        <v>124</v>
      </c>
      <c r="D190" s="1140"/>
      <c r="E190" s="873">
        <f>SUM(X$16:X$18)</f>
        <v>2.3373493975903612</v>
      </c>
      <c r="F190" s="871">
        <f t="shared" si="12"/>
        <v>5</v>
      </c>
    </row>
    <row r="191" spans="3:6" s="856" customFormat="1">
      <c r="C191" s="885"/>
      <c r="D191" s="885"/>
      <c r="E191" s="886"/>
      <c r="F191" s="887"/>
    </row>
    <row r="192" spans="3:6" ht="15.75" thickBot="1">
      <c r="D192" s="888" t="s">
        <v>827</v>
      </c>
    </row>
    <row r="193" spans="3:6" ht="15.75" thickBot="1">
      <c r="C193" s="860"/>
      <c r="D193" s="861" t="s">
        <v>824</v>
      </c>
      <c r="E193" s="862" t="s">
        <v>825</v>
      </c>
      <c r="F193" s="863" t="s">
        <v>826</v>
      </c>
    </row>
    <row r="194" spans="3:6" ht="15.75" thickBot="1">
      <c r="C194" s="1139" t="s">
        <v>390</v>
      </c>
      <c r="D194" s="1140"/>
      <c r="E194" s="883">
        <f>'TBL Scoring Summary'!I$55</f>
        <v>3.846987951807229</v>
      </c>
      <c r="F194" s="884">
        <f>RANK(E194,$E$194:$E$199)</f>
        <v>4</v>
      </c>
    </row>
    <row r="195" spans="3:6" ht="15.75" thickBot="1">
      <c r="C195" s="1139" t="s">
        <v>391</v>
      </c>
      <c r="D195" s="1140"/>
      <c r="E195" s="883">
        <f>'TBL Scoring Summary'!L$55</f>
        <v>4.2469879518072284</v>
      </c>
      <c r="F195" s="884">
        <f t="shared" ref="F195:F199" si="13">RANK(E195,$E$194:$E$199)</f>
        <v>3</v>
      </c>
    </row>
    <row r="196" spans="3:6" ht="15.75" thickBot="1">
      <c r="C196" s="1139" t="s">
        <v>392</v>
      </c>
      <c r="D196" s="1140"/>
      <c r="E196" s="883">
        <f>'TBL Scoring Summary'!O$55</f>
        <v>2.7</v>
      </c>
      <c r="F196" s="884">
        <f t="shared" si="13"/>
        <v>6</v>
      </c>
    </row>
    <row r="197" spans="3:6" ht="15.75" thickBot="1">
      <c r="C197" s="1139" t="s">
        <v>393</v>
      </c>
      <c r="D197" s="1140"/>
      <c r="E197" s="883">
        <f>'TBL Scoring Summary'!R$55</f>
        <v>3.1</v>
      </c>
      <c r="F197" s="884">
        <f t="shared" si="13"/>
        <v>5</v>
      </c>
    </row>
    <row r="198" spans="3:6" ht="15.75" thickBot="1">
      <c r="C198" s="1139" t="s">
        <v>618</v>
      </c>
      <c r="D198" s="1140"/>
      <c r="E198" s="883">
        <f>'TBL Scoring Summary'!U$55</f>
        <v>4.3493975903614457</v>
      </c>
      <c r="F198" s="884">
        <f t="shared" si="13"/>
        <v>1</v>
      </c>
    </row>
    <row r="199" spans="3:6" ht="15.75" thickBot="1">
      <c r="C199" s="1139" t="s">
        <v>124</v>
      </c>
      <c r="D199" s="1140"/>
      <c r="E199" s="883">
        <f>'TBL Scoring Summary'!X$55</f>
        <v>4.3493975903614457</v>
      </c>
      <c r="F199" s="884">
        <f t="shared" si="13"/>
        <v>1</v>
      </c>
    </row>
    <row r="200" spans="3:6" s="856" customFormat="1">
      <c r="C200" s="885"/>
      <c r="D200" s="885"/>
      <c r="E200" s="889"/>
      <c r="F200" s="890"/>
    </row>
    <row r="201" spans="3:6" ht="15.75" thickBot="1">
      <c r="D201" s="888" t="s">
        <v>828</v>
      </c>
    </row>
    <row r="202" spans="3:6" ht="15.75" thickBot="1">
      <c r="C202" s="860"/>
      <c r="D202" s="861" t="s">
        <v>824</v>
      </c>
      <c r="E202" s="862" t="s">
        <v>825</v>
      </c>
      <c r="F202" s="863" t="s">
        <v>826</v>
      </c>
    </row>
    <row r="203" spans="3:6" ht="15.75" thickBot="1">
      <c r="C203" s="1139" t="s">
        <v>390</v>
      </c>
      <c r="D203" s="1140"/>
      <c r="E203" s="883">
        <f>'Soc - Workplace'!D3</f>
        <v>4</v>
      </c>
      <c r="F203" s="884">
        <f>RANK(E203,$E$203:$E$208)</f>
        <v>1</v>
      </c>
    </row>
    <row r="204" spans="3:6" ht="15.75" thickBot="1">
      <c r="C204" s="1139" t="s">
        <v>391</v>
      </c>
      <c r="D204" s="1140"/>
      <c r="E204" s="883">
        <f>'Soc - Workplace'!D4</f>
        <v>3.5</v>
      </c>
      <c r="F204" s="884">
        <f t="shared" ref="F204:F208" si="14">RANK(E204,$E$203:$E$208)</f>
        <v>3</v>
      </c>
    </row>
    <row r="205" spans="3:6" ht="15.75" thickBot="1">
      <c r="C205" s="1139" t="s">
        <v>392</v>
      </c>
      <c r="D205" s="1140"/>
      <c r="E205" s="883">
        <f>'Soc - Workplace'!D5</f>
        <v>3.75</v>
      </c>
      <c r="F205" s="884">
        <f t="shared" si="14"/>
        <v>2</v>
      </c>
    </row>
    <row r="206" spans="3:6" ht="15.75" thickBot="1">
      <c r="C206" s="1139" t="s">
        <v>393</v>
      </c>
      <c r="D206" s="1140"/>
      <c r="E206" s="883">
        <f>'Soc - Workplace'!D6</f>
        <v>3.25</v>
      </c>
      <c r="F206" s="884">
        <f t="shared" si="14"/>
        <v>4</v>
      </c>
    </row>
    <row r="207" spans="3:6" ht="15.75" thickBot="1">
      <c r="C207" s="1139" t="s">
        <v>618</v>
      </c>
      <c r="D207" s="1140"/>
      <c r="E207" s="883">
        <f>'Soc - Workplace'!D7</f>
        <v>3</v>
      </c>
      <c r="F207" s="884">
        <f t="shared" si="14"/>
        <v>5</v>
      </c>
    </row>
    <row r="208" spans="3:6" ht="15.75" thickBot="1">
      <c r="C208" s="1139" t="s">
        <v>124</v>
      </c>
      <c r="D208" s="1140"/>
      <c r="E208" s="883">
        <f>'Soc - Workplace'!D8</f>
        <v>3</v>
      </c>
      <c r="F208" s="884">
        <f t="shared" si="14"/>
        <v>5</v>
      </c>
    </row>
    <row r="210" spans="3:6" ht="15.75" thickBot="1">
      <c r="D210" s="888" t="s">
        <v>832</v>
      </c>
    </row>
    <row r="211" spans="3:6" ht="15.75" thickBot="1">
      <c r="C211" s="860"/>
      <c r="D211" s="861" t="s">
        <v>824</v>
      </c>
      <c r="E211" s="862" t="s">
        <v>825</v>
      </c>
      <c r="F211" s="863" t="s">
        <v>826</v>
      </c>
    </row>
    <row r="212" spans="3:6" ht="15.75" thickBot="1">
      <c r="C212" s="1139" t="s">
        <v>390</v>
      </c>
      <c r="D212" s="1140"/>
      <c r="E212" s="883">
        <f>'Soc - Public'!D3</f>
        <v>2.5</v>
      </c>
      <c r="F212" s="869">
        <f>RANK(E212,$E$212:$E$217)</f>
        <v>3</v>
      </c>
    </row>
    <row r="213" spans="3:6" ht="15.75" thickBot="1">
      <c r="C213" s="1139" t="s">
        <v>391</v>
      </c>
      <c r="D213" s="1140"/>
      <c r="E213" s="883">
        <f>'Soc - Public'!D4</f>
        <v>1.5</v>
      </c>
      <c r="F213" s="869">
        <f t="shared" ref="F213:F217" si="15">RANK(E213,$E$212:$E$217)</f>
        <v>4</v>
      </c>
    </row>
    <row r="214" spans="3:6" ht="15.75" thickBot="1">
      <c r="C214" s="1139" t="s">
        <v>392</v>
      </c>
      <c r="D214" s="1140"/>
      <c r="E214" s="883">
        <f>'Soc - Public'!D5</f>
        <v>3.5</v>
      </c>
      <c r="F214" s="869">
        <f t="shared" si="15"/>
        <v>1</v>
      </c>
    </row>
    <row r="215" spans="3:6" ht="15.75" thickBot="1">
      <c r="C215" s="1139" t="s">
        <v>393</v>
      </c>
      <c r="D215" s="1140"/>
      <c r="E215" s="883">
        <f>'Soc - Public'!D6</f>
        <v>3</v>
      </c>
      <c r="F215" s="869">
        <f t="shared" si="15"/>
        <v>2</v>
      </c>
    </row>
    <row r="216" spans="3:6" ht="15.75" thickBot="1">
      <c r="C216" s="1139" t="s">
        <v>618</v>
      </c>
      <c r="D216" s="1140"/>
      <c r="E216" s="883">
        <f>'Soc - Public'!D7</f>
        <v>1</v>
      </c>
      <c r="F216" s="869">
        <f t="shared" si="15"/>
        <v>5</v>
      </c>
    </row>
    <row r="217" spans="3:6" ht="15.75" thickBot="1">
      <c r="C217" s="1139" t="s">
        <v>124</v>
      </c>
      <c r="D217" s="1140"/>
      <c r="E217" s="883">
        <f>'Soc - Public'!D8</f>
        <v>1</v>
      </c>
      <c r="F217" s="869">
        <f t="shared" si="15"/>
        <v>5</v>
      </c>
    </row>
  </sheetData>
  <mergeCells count="42">
    <mergeCell ref="C216:D216"/>
    <mergeCell ref="C217:D217"/>
    <mergeCell ref="C207:D207"/>
    <mergeCell ref="C208:D208"/>
    <mergeCell ref="C212:D212"/>
    <mergeCell ref="C213:D213"/>
    <mergeCell ref="C214:D214"/>
    <mergeCell ref="C215:D215"/>
    <mergeCell ref="C206:D206"/>
    <mergeCell ref="C189:D189"/>
    <mergeCell ref="C190:D190"/>
    <mergeCell ref="C194:D194"/>
    <mergeCell ref="C195:D195"/>
    <mergeCell ref="C196:D196"/>
    <mergeCell ref="C197:D197"/>
    <mergeCell ref="C198:D198"/>
    <mergeCell ref="C199:D199"/>
    <mergeCell ref="C203:D203"/>
    <mergeCell ref="C204:D204"/>
    <mergeCell ref="C205:D205"/>
    <mergeCell ref="C167:D167"/>
    <mergeCell ref="C168:D168"/>
    <mergeCell ref="C169:D169"/>
    <mergeCell ref="C170:D170"/>
    <mergeCell ref="C188:D188"/>
    <mergeCell ref="C171:D171"/>
    <mergeCell ref="C172:D172"/>
    <mergeCell ref="C176:D176"/>
    <mergeCell ref="C177:D177"/>
    <mergeCell ref="C178:D178"/>
    <mergeCell ref="C179:D179"/>
    <mergeCell ref="C180:D180"/>
    <mergeCell ref="C181:D181"/>
    <mergeCell ref="C185:D185"/>
    <mergeCell ref="C186:D186"/>
    <mergeCell ref="C187:D187"/>
    <mergeCell ref="C162:D162"/>
    <mergeCell ref="C157:D157"/>
    <mergeCell ref="C158:D158"/>
    <mergeCell ref="C159:D159"/>
    <mergeCell ref="C160:D160"/>
    <mergeCell ref="C161:D161"/>
  </mergeCells>
  <pageMargins left="0.7" right="0.7"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sheetPr codeName="Sheet2" enableFormatConditionsCalculation="0"/>
  <dimension ref="B2:G48"/>
  <sheetViews>
    <sheetView showGridLines="0" topLeftCell="A16" workbookViewId="0">
      <selection activeCell="B19" sqref="B19:B24"/>
    </sheetView>
  </sheetViews>
  <sheetFormatPr defaultColWidth="8.85546875" defaultRowHeight="15"/>
  <cols>
    <col min="1" max="1" width="3.42578125" customWidth="1"/>
    <col min="2" max="2" width="19.140625" customWidth="1"/>
    <col min="3" max="7" width="12.140625" customWidth="1"/>
  </cols>
  <sheetData>
    <row r="2" spans="2:7">
      <c r="B2" s="2" t="s">
        <v>68</v>
      </c>
    </row>
    <row r="4" spans="2:7">
      <c r="B4" t="s">
        <v>66</v>
      </c>
    </row>
    <row r="5" spans="2:7">
      <c r="B5" t="s">
        <v>63</v>
      </c>
    </row>
    <row r="6" spans="2:7">
      <c r="B6" t="s">
        <v>64</v>
      </c>
    </row>
    <row r="7" spans="2:7">
      <c r="B7" s="17" t="s">
        <v>65</v>
      </c>
    </row>
    <row r="10" spans="2:7">
      <c r="B10" t="s">
        <v>69</v>
      </c>
    </row>
    <row r="11" spans="2:7">
      <c r="C11" s="25"/>
      <c r="D11" s="25"/>
      <c r="E11" s="25"/>
      <c r="F11" s="25"/>
      <c r="G11" s="25"/>
    </row>
    <row r="12" spans="2:7">
      <c r="B12" t="s">
        <v>66</v>
      </c>
      <c r="C12">
        <v>1</v>
      </c>
    </row>
    <row r="13" spans="2:7">
      <c r="B13" t="s">
        <v>63</v>
      </c>
    </row>
    <row r="14" spans="2:7">
      <c r="B14" t="s">
        <v>64</v>
      </c>
    </row>
    <row r="15" spans="2:7">
      <c r="B15" t="s">
        <v>65</v>
      </c>
    </row>
    <row r="18" spans="2:3">
      <c r="B18" t="s">
        <v>821</v>
      </c>
    </row>
    <row r="19" spans="2:3">
      <c r="B19">
        <v>1</v>
      </c>
    </row>
    <row r="20" spans="2:3">
      <c r="B20">
        <v>2</v>
      </c>
    </row>
    <row r="21" spans="2:3">
      <c r="B21">
        <v>3</v>
      </c>
    </row>
    <row r="22" spans="2:3">
      <c r="B22">
        <v>4</v>
      </c>
    </row>
    <row r="23" spans="2:3">
      <c r="B23">
        <v>5</v>
      </c>
    </row>
    <row r="24" spans="2:3">
      <c r="B24">
        <v>6</v>
      </c>
    </row>
    <row r="30" spans="2:3">
      <c r="B30" s="170" t="s">
        <v>296</v>
      </c>
      <c r="C30" t="s">
        <v>251</v>
      </c>
    </row>
    <row r="31" spans="2:3">
      <c r="B31" t="s">
        <v>299</v>
      </c>
      <c r="C31" t="s">
        <v>251</v>
      </c>
    </row>
    <row r="32" spans="2:3">
      <c r="B32" t="s">
        <v>300</v>
      </c>
      <c r="C32" t="s">
        <v>288</v>
      </c>
    </row>
    <row r="33" spans="2:3">
      <c r="B33" t="s">
        <v>301</v>
      </c>
      <c r="C33" t="s">
        <v>288</v>
      </c>
    </row>
    <row r="34" spans="2:3">
      <c r="B34" t="s">
        <v>619</v>
      </c>
      <c r="C34" t="s">
        <v>621</v>
      </c>
    </row>
    <row r="35" spans="2:3" s="307" customFormat="1">
      <c r="B35" s="307" t="s">
        <v>620</v>
      </c>
      <c r="C35" s="307" t="s">
        <v>622</v>
      </c>
    </row>
    <row r="36" spans="2:3">
      <c r="B36" t="s">
        <v>528</v>
      </c>
      <c r="C36" t="s">
        <v>527</v>
      </c>
    </row>
    <row r="38" spans="2:3">
      <c r="C38" t="s">
        <v>506</v>
      </c>
    </row>
    <row r="39" spans="2:3">
      <c r="C39" t="s">
        <v>507</v>
      </c>
    </row>
    <row r="43" spans="2:3">
      <c r="B43" s="702"/>
    </row>
    <row r="44" spans="2:3">
      <c r="B44" s="702"/>
    </row>
    <row r="45" spans="2:3">
      <c r="B45" s="702"/>
    </row>
    <row r="46" spans="2:3">
      <c r="B46" s="702"/>
    </row>
    <row r="47" spans="2:3">
      <c r="B47" s="702"/>
    </row>
    <row r="48" spans="2:3">
      <c r="B48" s="702"/>
    </row>
  </sheetData>
  <dataConsolidate/>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[4]Lookups!#REF!</xm:f>
          </x14:formula1>
          <xm:sqref>B29</xm:sqref>
        </x14:dataValidation>
      </x14:dataValidations>
    </ex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sheetPr codeName="Sheet1" enableFormatConditionsCalculation="0">
    <tabColor rgb="FF7030A0"/>
  </sheetPr>
  <dimension ref="B1:BA105"/>
  <sheetViews>
    <sheetView showGridLines="0" tabSelected="1" zoomScale="50" zoomScaleNormal="50" zoomScalePageLayoutView="60" workbookViewId="0">
      <pane xSplit="4" ySplit="9" topLeftCell="E10" activePane="bottomRight" state="frozen"/>
      <selection activeCell="L26" sqref="L26"/>
      <selection pane="topRight" activeCell="L26" sqref="L26"/>
      <selection pane="bottomLeft" activeCell="L26" sqref="L26"/>
      <selection pane="bottomRight" activeCell="AC4" sqref="AC4"/>
    </sheetView>
  </sheetViews>
  <sheetFormatPr defaultColWidth="8.85546875" defaultRowHeight="15"/>
  <cols>
    <col min="1" max="1" width="3.85546875" customWidth="1"/>
    <col min="2" max="2" width="14.28515625" style="2" bestFit="1" customWidth="1"/>
    <col min="3" max="3" width="4.7109375" style="2" customWidth="1"/>
    <col min="4" max="4" width="46.7109375" customWidth="1"/>
    <col min="5" max="6" width="11.28515625" style="1" customWidth="1"/>
    <col min="7" max="7" width="11.28515625" customWidth="1"/>
    <col min="8" max="8" width="12.42578125" style="268" customWidth="1"/>
    <col min="9" max="10" width="12.42578125" style="1" customWidth="1"/>
    <col min="11" max="11" width="12" style="268" customWidth="1"/>
    <col min="12" max="12" width="12" style="1" customWidth="1"/>
    <col min="13" max="13" width="13.140625" style="1" customWidth="1"/>
    <col min="14" max="14" width="12" style="268" customWidth="1"/>
    <col min="15" max="16" width="12" style="1" customWidth="1"/>
    <col min="17" max="17" width="12" style="268" customWidth="1"/>
    <col min="18" max="19" width="12" style="1" customWidth="1"/>
    <col min="20" max="20" width="12" style="268" customWidth="1"/>
    <col min="21" max="22" width="12" style="1" customWidth="1"/>
    <col min="23" max="23" width="12" style="268" customWidth="1"/>
    <col min="24" max="25" width="12" style="1" customWidth="1"/>
    <col min="26" max="28" width="12" style="268" customWidth="1"/>
    <col min="31" max="45" width="8.85546875" customWidth="1"/>
  </cols>
  <sheetData>
    <row r="1" spans="2:53" ht="19.5" thickBot="1">
      <c r="H1" s="1002"/>
      <c r="I1" s="1002"/>
      <c r="J1" s="1002"/>
      <c r="K1" s="1002"/>
      <c r="L1" s="1002"/>
      <c r="M1" s="1002"/>
      <c r="N1" s="1002"/>
      <c r="O1" s="1002"/>
      <c r="P1" s="1002"/>
      <c r="Q1" s="1002"/>
      <c r="R1" s="1002"/>
      <c r="S1" s="1002"/>
      <c r="T1" s="1002"/>
      <c r="U1" s="1002"/>
      <c r="V1" s="1002"/>
      <c r="W1" s="1002"/>
      <c r="X1" s="1002"/>
      <c r="Y1" s="1002"/>
      <c r="Z1" s="902"/>
      <c r="AA1" s="902"/>
      <c r="AB1" s="902"/>
    </row>
    <row r="2" spans="2:53" s="3" customFormat="1" ht="33.75" customHeight="1">
      <c r="B2" s="14"/>
      <c r="C2" s="1003"/>
      <c r="D2" s="1004"/>
      <c r="E2" s="94"/>
      <c r="F2" s="855"/>
      <c r="G2" s="94"/>
      <c r="H2" s="1003" t="str">
        <f>Home!$F$87</f>
        <v>1X: AnaDig + CHP, Prtmt, LandApp</v>
      </c>
      <c r="I2" s="1004"/>
      <c r="J2" s="1006"/>
      <c r="K2" s="1003" t="str">
        <f>Home!$F$88</f>
        <v>1Y: AnaDig + CHP, Prtmt, Landfill</v>
      </c>
      <c r="L2" s="1004"/>
      <c r="M2" s="1006"/>
      <c r="N2" s="1003" t="str">
        <f>Home!$F$89</f>
        <v>2X: AnaDig + CHP, Codig, LandApp</v>
      </c>
      <c r="O2" s="1004"/>
      <c r="P2" s="1006"/>
      <c r="Q2" s="1003" t="str">
        <f>Home!$F$90</f>
        <v>2Y: AnaDig + CHP, Codig, Landfill</v>
      </c>
      <c r="R2" s="1004"/>
      <c r="S2" s="1006"/>
      <c r="T2" s="1003" t="str">
        <f>Home!$F$91</f>
        <v>3Y: Incin, Landfill</v>
      </c>
      <c r="U2" s="1004"/>
      <c r="V2" s="1006"/>
      <c r="W2" s="1003" t="str">
        <f>Home!$F$92</f>
        <v>4Y: Gasif, Landfill</v>
      </c>
      <c r="X2" s="1004"/>
      <c r="Y2" s="1005"/>
      <c r="Z2" s="1003" t="str">
        <f>Home!F93</f>
        <v>Custom Scenario</v>
      </c>
      <c r="AA2" s="1004"/>
      <c r="AB2" s="1005"/>
    </row>
    <row r="3" spans="2:53" s="3" customFormat="1" ht="18" customHeight="1">
      <c r="B3" s="394"/>
      <c r="C3" s="82"/>
      <c r="D3" s="82"/>
      <c r="E3" s="83"/>
      <c r="F3" s="82" t="s">
        <v>820</v>
      </c>
      <c r="G3" s="83"/>
      <c r="H3" s="84"/>
      <c r="I3" s="83"/>
      <c r="J3" s="83"/>
      <c r="K3" s="84"/>
      <c r="L3" s="83"/>
      <c r="M3" s="85"/>
      <c r="N3" s="84"/>
      <c r="O3" s="83"/>
      <c r="P3" s="85"/>
      <c r="Q3" s="84"/>
      <c r="R3" s="83"/>
      <c r="S3" s="83"/>
      <c r="T3" s="84"/>
      <c r="U3" s="83"/>
      <c r="V3" s="85"/>
      <c r="W3" s="84"/>
      <c r="X3" s="83"/>
      <c r="Y3" s="85"/>
      <c r="Z3" s="84"/>
      <c r="AA3" s="83"/>
      <c r="AB3" s="903"/>
    </row>
    <row r="4" spans="2:53" s="3" customFormat="1" ht="18" customHeight="1">
      <c r="B4" s="395"/>
      <c r="C4" s="395" t="s">
        <v>123</v>
      </c>
      <c r="D4" s="81"/>
      <c r="E4" s="78"/>
      <c r="F4" s="857">
        <v>3</v>
      </c>
      <c r="G4" s="78"/>
      <c r="H4" s="401"/>
      <c r="I4" s="399">
        <f ca="1">I5+I6+I7</f>
        <v>3.6605493001784191</v>
      </c>
      <c r="J4" s="399"/>
      <c r="K4" s="980"/>
      <c r="L4" s="399">
        <f ca="1">L5+L6+L7</f>
        <v>2.8186109400389894</v>
      </c>
      <c r="M4" s="400"/>
      <c r="N4" s="980"/>
      <c r="O4" s="399">
        <f ca="1">O5+O6+O7</f>
        <v>3.837986399029818</v>
      </c>
      <c r="P4" s="400"/>
      <c r="Q4" s="980"/>
      <c r="R4" s="399">
        <f ca="1">R5+R6+R7</f>
        <v>2.9869993573504705</v>
      </c>
      <c r="S4" s="399"/>
      <c r="T4" s="980"/>
      <c r="U4" s="399">
        <f ca="1">U5+U6+U7</f>
        <v>2.8220630902751269</v>
      </c>
      <c r="V4" s="400"/>
      <c r="W4" s="980"/>
      <c r="X4" s="399">
        <f ca="1">X5+X6+X7</f>
        <v>2.9986237179044011</v>
      </c>
      <c r="Y4" s="400"/>
      <c r="Z4" s="401"/>
      <c r="AA4" s="399">
        <f>AA5+AA6+AA7</f>
        <v>0</v>
      </c>
      <c r="AB4" s="904"/>
    </row>
    <row r="5" spans="2:53" s="3" customFormat="1" ht="18" customHeight="1">
      <c r="B5" s="396"/>
      <c r="C5" s="398" t="s">
        <v>45</v>
      </c>
      <c r="D5" s="81"/>
      <c r="E5" s="78"/>
      <c r="F5" s="78"/>
      <c r="G5" s="78"/>
      <c r="H5" s="77"/>
      <c r="I5" s="80">
        <f ca="1">$E12*H12</f>
        <v>1.3024532798727233</v>
      </c>
      <c r="J5" s="80"/>
      <c r="K5" s="77"/>
      <c r="L5" s="80">
        <f ca="1">$E12*K12</f>
        <v>1.2479349234585566</v>
      </c>
      <c r="M5" s="79"/>
      <c r="N5" s="77"/>
      <c r="O5" s="80">
        <f ca="1">$E12*N12</f>
        <v>1.5115867215514271</v>
      </c>
      <c r="P5" s="79"/>
      <c r="Q5" s="77"/>
      <c r="R5" s="80">
        <f ca="1">$E12*Q12</f>
        <v>1.4483016382855602</v>
      </c>
      <c r="S5" s="80"/>
      <c r="T5" s="77"/>
      <c r="U5" s="80">
        <f ca="1">$E12*T12</f>
        <v>1.5033296421623386</v>
      </c>
      <c r="V5" s="79"/>
      <c r="W5" s="77"/>
      <c r="X5" s="80">
        <f ca="1">$E12*W12</f>
        <v>1.5733333333333333</v>
      </c>
      <c r="Y5" s="79"/>
      <c r="Z5" s="77"/>
      <c r="AA5" s="80">
        <f>$E12*Z12</f>
        <v>0</v>
      </c>
      <c r="AB5" s="905"/>
    </row>
    <row r="6" spans="2:53" s="3" customFormat="1" ht="18" customHeight="1">
      <c r="B6" s="396"/>
      <c r="C6" s="398" t="s">
        <v>52</v>
      </c>
      <c r="D6" s="81"/>
      <c r="E6" s="78"/>
      <c r="F6" s="78"/>
      <c r="G6" s="78"/>
      <c r="H6" s="77"/>
      <c r="I6" s="80">
        <f>$E33*H33</f>
        <v>1.2875136909884264</v>
      </c>
      <c r="J6" s="80"/>
      <c r="K6" s="77"/>
      <c r="L6" s="80">
        <f>$E33*K33</f>
        <v>0.67509368726316343</v>
      </c>
      <c r="M6" s="79"/>
      <c r="N6" s="77"/>
      <c r="O6" s="80">
        <f>$E33*N33</f>
        <v>1.205566344145057</v>
      </c>
      <c r="P6" s="79"/>
      <c r="Q6" s="77"/>
      <c r="R6" s="80">
        <f>$E33*Q33</f>
        <v>0.50953105239824326</v>
      </c>
      <c r="S6" s="80"/>
      <c r="T6" s="77"/>
      <c r="U6" s="80">
        <f>$E33*T33</f>
        <v>0.53961698224933463</v>
      </c>
      <c r="V6" s="79"/>
      <c r="W6" s="77"/>
      <c r="X6" s="80">
        <f>$E33*W33</f>
        <v>0.64617391870761409</v>
      </c>
      <c r="Y6" s="79"/>
      <c r="Z6" s="77"/>
      <c r="AA6" s="80">
        <f>$E33*Z33</f>
        <v>0</v>
      </c>
      <c r="AB6" s="905"/>
      <c r="AE6" s="357"/>
    </row>
    <row r="7" spans="2:53" s="3" customFormat="1" ht="18" customHeight="1" thickBot="1">
      <c r="B7" s="396"/>
      <c r="C7" s="398" t="s">
        <v>51</v>
      </c>
      <c r="D7" s="81"/>
      <c r="E7" s="78"/>
      <c r="F7" s="78"/>
      <c r="G7" s="78"/>
      <c r="H7" s="77"/>
      <c r="I7" s="80">
        <f>$E54*H54</f>
        <v>1.0705823293172694</v>
      </c>
      <c r="J7" s="80"/>
      <c r="K7" s="77"/>
      <c r="L7" s="80">
        <f>$E54*K54</f>
        <v>0.89558232931726922</v>
      </c>
      <c r="M7" s="79"/>
      <c r="N7" s="77"/>
      <c r="O7" s="80">
        <f>$E54*N54</f>
        <v>1.1208333333333336</v>
      </c>
      <c r="P7" s="79"/>
      <c r="Q7" s="77"/>
      <c r="R7" s="80">
        <f>$E54*Q54</f>
        <v>1.029166666666667</v>
      </c>
      <c r="S7" s="80"/>
      <c r="T7" s="77"/>
      <c r="U7" s="80">
        <f>$E54*T54</f>
        <v>0.77911646586345396</v>
      </c>
      <c r="V7" s="79"/>
      <c r="W7" s="77"/>
      <c r="X7" s="80">
        <f>$E54*W54</f>
        <v>0.77911646586345396</v>
      </c>
      <c r="Y7" s="79"/>
      <c r="Z7" s="77"/>
      <c r="AA7" s="80">
        <f>$E54*Z54</f>
        <v>0</v>
      </c>
      <c r="AB7" s="905"/>
    </row>
    <row r="8" spans="2:53" s="3" customFormat="1" ht="15" customHeight="1">
      <c r="B8" s="397"/>
      <c r="C8" s="393" t="s">
        <v>698</v>
      </c>
      <c r="D8" s="91"/>
      <c r="E8" s="89"/>
      <c r="F8" s="91" t="str">
        <f>CHOOSE($F$4,AE8,AI8,AM8,AQ8,AU8,AY8)</f>
        <v>3. Research Guidance</v>
      </c>
      <c r="G8" s="345"/>
      <c r="H8" s="77"/>
      <c r="I8" s="78">
        <f ca="1">RANK(I$4,$I$4:$X$4)</f>
        <v>2</v>
      </c>
      <c r="J8" s="78"/>
      <c r="K8" s="77"/>
      <c r="L8" s="78">
        <f ca="1">RANK(L$4,$I$4:$X$4)</f>
        <v>6</v>
      </c>
      <c r="M8" s="76"/>
      <c r="N8" s="77"/>
      <c r="O8" s="78">
        <f ca="1">RANK(O$4,$I$4:$X$4)</f>
        <v>1</v>
      </c>
      <c r="P8" s="76"/>
      <c r="Q8" s="77"/>
      <c r="R8" s="78">
        <f ca="1">RANK(R$4,$I$4:$X$4)</f>
        <v>4</v>
      </c>
      <c r="S8" s="78"/>
      <c r="T8" s="77"/>
      <c r="U8" s="78">
        <f ca="1">RANK(U$4,$I$4:$X$4)</f>
        <v>5</v>
      </c>
      <c r="V8" s="76"/>
      <c r="W8" s="77"/>
      <c r="X8" s="78">
        <f ca="1">RANK(X$4,$I$4:$X$4)</f>
        <v>3</v>
      </c>
      <c r="Y8" s="76"/>
      <c r="Z8" s="77"/>
      <c r="AA8" s="78" t="str">
        <f>IF(CustomON="Off","Not Used",RANK(AA$4,$I$4:$AA$4))</f>
        <v>Not Used</v>
      </c>
      <c r="AB8" s="906"/>
      <c r="AE8" s="1007" t="s">
        <v>661</v>
      </c>
      <c r="AF8" s="1008"/>
      <c r="AG8" s="1009"/>
      <c r="AI8" s="1007" t="s">
        <v>413</v>
      </c>
      <c r="AJ8" s="1008"/>
      <c r="AK8" s="1009"/>
      <c r="AM8" s="1007" t="s">
        <v>861</v>
      </c>
      <c r="AN8" s="1008"/>
      <c r="AO8" s="1009"/>
      <c r="AQ8" s="1007" t="s">
        <v>875</v>
      </c>
      <c r="AR8" s="1008"/>
      <c r="AS8" s="1009"/>
      <c r="AU8" s="1007" t="s">
        <v>880</v>
      </c>
      <c r="AV8" s="1008"/>
      <c r="AW8" s="1009"/>
      <c r="AY8" s="1007" t="s">
        <v>876</v>
      </c>
      <c r="AZ8" s="1008"/>
      <c r="BA8" s="1009"/>
    </row>
    <row r="9" spans="2:53" s="3" customFormat="1" ht="45">
      <c r="B9" s="90" t="s">
        <v>44</v>
      </c>
      <c r="C9" s="1000" t="s">
        <v>46</v>
      </c>
      <c r="D9" s="1001"/>
      <c r="E9" s="93" t="s">
        <v>67</v>
      </c>
      <c r="F9" s="92" t="s">
        <v>118</v>
      </c>
      <c r="G9" s="336" t="s">
        <v>117</v>
      </c>
      <c r="H9" s="86" t="s">
        <v>121</v>
      </c>
      <c r="I9" s="87" t="s">
        <v>120</v>
      </c>
      <c r="J9" s="88" t="s">
        <v>119</v>
      </c>
      <c r="K9" s="836" t="s">
        <v>121</v>
      </c>
      <c r="L9" s="837" t="s">
        <v>120</v>
      </c>
      <c r="M9" s="838" t="s">
        <v>62</v>
      </c>
      <c r="N9" s="836" t="s">
        <v>121</v>
      </c>
      <c r="O9" s="837" t="s">
        <v>120</v>
      </c>
      <c r="P9" s="838" t="s">
        <v>62</v>
      </c>
      <c r="Q9" s="86" t="s">
        <v>121</v>
      </c>
      <c r="R9" s="87" t="s">
        <v>120</v>
      </c>
      <c r="S9" s="88" t="s">
        <v>62</v>
      </c>
      <c r="T9" s="86" t="s">
        <v>121</v>
      </c>
      <c r="U9" s="87" t="s">
        <v>120</v>
      </c>
      <c r="V9" s="88" t="s">
        <v>62</v>
      </c>
      <c r="W9" s="86" t="s">
        <v>121</v>
      </c>
      <c r="X9" s="87" t="s">
        <v>120</v>
      </c>
      <c r="Y9" s="88" t="s">
        <v>62</v>
      </c>
      <c r="Z9" s="836" t="s">
        <v>121</v>
      </c>
      <c r="AA9" s="837" t="s">
        <v>120</v>
      </c>
      <c r="AB9" s="907" t="s">
        <v>62</v>
      </c>
      <c r="AE9" s="226" t="s">
        <v>67</v>
      </c>
      <c r="AF9" s="92" t="s">
        <v>118</v>
      </c>
      <c r="AG9" s="411" t="s">
        <v>117</v>
      </c>
      <c r="AI9" s="226" t="s">
        <v>67</v>
      </c>
      <c r="AJ9" s="92" t="s">
        <v>118</v>
      </c>
      <c r="AK9" s="411" t="s">
        <v>117</v>
      </c>
      <c r="AM9" s="226" t="s">
        <v>67</v>
      </c>
      <c r="AN9" s="92" t="s">
        <v>118</v>
      </c>
      <c r="AO9" s="411" t="s">
        <v>117</v>
      </c>
      <c r="AQ9" s="226" t="s">
        <v>67</v>
      </c>
      <c r="AR9" s="92" t="s">
        <v>118</v>
      </c>
      <c r="AS9" s="411" t="s">
        <v>117</v>
      </c>
      <c r="AU9" s="226" t="s">
        <v>67</v>
      </c>
      <c r="AV9" s="92" t="s">
        <v>118</v>
      </c>
      <c r="AW9" s="411" t="s">
        <v>117</v>
      </c>
      <c r="AY9" s="226" t="s">
        <v>67</v>
      </c>
      <c r="AZ9" s="92" t="s">
        <v>118</v>
      </c>
      <c r="BA9" s="411" t="s">
        <v>117</v>
      </c>
    </row>
    <row r="10" spans="2:53">
      <c r="B10" s="15"/>
      <c r="C10" s="6"/>
      <c r="D10" s="7"/>
      <c r="E10" s="10"/>
      <c r="F10" s="19"/>
      <c r="G10" s="337"/>
      <c r="H10" s="346"/>
      <c r="I10" s="347"/>
      <c r="J10" s="348"/>
      <c r="K10" s="346"/>
      <c r="L10" s="347"/>
      <c r="M10" s="348"/>
      <c r="N10" s="346"/>
      <c r="O10" s="347"/>
      <c r="P10" s="348"/>
      <c r="Q10" s="346"/>
      <c r="R10" s="347"/>
      <c r="S10" s="348"/>
      <c r="T10" s="346"/>
      <c r="U10" s="347"/>
      <c r="V10" s="348"/>
      <c r="W10" s="346"/>
      <c r="X10" s="347"/>
      <c r="Y10" s="348"/>
      <c r="Z10" s="346"/>
      <c r="AA10" s="347"/>
      <c r="AB10" s="908"/>
      <c r="AE10" s="349"/>
      <c r="AF10" s="19"/>
      <c r="AG10" s="412"/>
      <c r="AI10" s="349"/>
      <c r="AJ10" s="19"/>
      <c r="AK10" s="412"/>
      <c r="AM10" s="349"/>
      <c r="AN10" s="19"/>
      <c r="AO10" s="412"/>
      <c r="AQ10" s="349"/>
      <c r="AR10" s="19"/>
      <c r="AS10" s="412"/>
      <c r="AU10" s="349"/>
      <c r="AV10" s="19"/>
      <c r="AW10" s="412"/>
      <c r="AY10" s="349"/>
      <c r="AZ10" s="19"/>
      <c r="BA10" s="412"/>
    </row>
    <row r="11" spans="2:53" ht="15.75">
      <c r="B11" s="15"/>
      <c r="C11" s="6"/>
      <c r="D11" s="7"/>
      <c r="E11" s="24" t="str">
        <f>IF(SUM(E12:E72)&lt;&gt;1,SUM(E12:E72),"")</f>
        <v/>
      </c>
      <c r="F11" s="19"/>
      <c r="G11" s="337"/>
      <c r="H11" s="380"/>
      <c r="I11" s="74"/>
      <c r="J11" s="75"/>
      <c r="K11" s="380"/>
      <c r="L11" s="74"/>
      <c r="M11" s="75"/>
      <c r="N11" s="380"/>
      <c r="O11" s="74"/>
      <c r="P11" s="75"/>
      <c r="Q11" s="380"/>
      <c r="R11" s="74"/>
      <c r="S11" s="75"/>
      <c r="T11" s="380"/>
      <c r="U11" s="74"/>
      <c r="V11" s="75"/>
      <c r="W11" s="380"/>
      <c r="X11" s="74"/>
      <c r="Y11" s="75"/>
      <c r="Z11" s="380"/>
      <c r="AA11" s="74"/>
      <c r="AB11" s="909"/>
      <c r="AE11" s="227" t="str">
        <f>IF(SUM(AE12:AE72)&lt;&gt;1,SUM(AE12:AE72),"")</f>
        <v/>
      </c>
      <c r="AF11" s="19"/>
      <c r="AG11" s="412"/>
      <c r="AI11" s="227" t="str">
        <f>IF(SUM(AI12:AI72)&lt;&gt;1,SUM(AI12:AI72),"")</f>
        <v/>
      </c>
      <c r="AJ11" s="19"/>
      <c r="AK11" s="412"/>
      <c r="AM11" s="227" t="str">
        <f>IF(SUM(AM12:AM72)&lt;&gt;1,SUM(AM12:AM72),"")</f>
        <v/>
      </c>
      <c r="AN11" s="19"/>
      <c r="AO11" s="412"/>
      <c r="AQ11" s="227"/>
      <c r="AR11" s="19"/>
      <c r="AS11" s="412"/>
      <c r="AU11" s="227"/>
      <c r="AV11" s="19"/>
      <c r="AW11" s="412"/>
      <c r="AY11" s="227"/>
      <c r="AZ11" s="19"/>
      <c r="BA11" s="412"/>
    </row>
    <row r="12" spans="2:53" s="2" customFormat="1">
      <c r="B12" s="15" t="s">
        <v>45</v>
      </c>
      <c r="C12" s="6"/>
      <c r="D12" s="4"/>
      <c r="E12" s="71">
        <f>CHOOSE($F$4,AE12,AI12,AM12,AQ12,AU12,AY12)</f>
        <v>0.33333333333333331</v>
      </c>
      <c r="F12" s="71"/>
      <c r="G12" s="338"/>
      <c r="H12" s="450">
        <f ca="1">SUMPRODUCT(I13:I25,$F13:$F25)</f>
        <v>3.9073598396181701</v>
      </c>
      <c r="I12" s="451"/>
      <c r="J12" s="452"/>
      <c r="K12" s="450">
        <f ca="1">SUMPRODUCT(L13:L25,$F13:$F25)</f>
        <v>3.7438047703756703</v>
      </c>
      <c r="L12" s="451"/>
      <c r="M12" s="452"/>
      <c r="N12" s="450">
        <f ca="1">SUMPRODUCT(O13:O25,$F13:$F25)</f>
        <v>4.5347601646542817</v>
      </c>
      <c r="O12" s="451"/>
      <c r="P12" s="452"/>
      <c r="Q12" s="450">
        <f ca="1">SUMPRODUCT(R13:R25,$F13:$F25)</f>
        <v>4.3449049148566807</v>
      </c>
      <c r="R12" s="451"/>
      <c r="S12" s="452"/>
      <c r="T12" s="450">
        <f ca="1">SUMPRODUCT(U13:U25,$F13:$F25)</f>
        <v>4.5099889264870159</v>
      </c>
      <c r="U12" s="451"/>
      <c r="V12" s="452"/>
      <c r="W12" s="450">
        <f ca="1">SUMPRODUCT(X13:X25,$F13:$F25)</f>
        <v>4.72</v>
      </c>
      <c r="X12" s="451"/>
      <c r="Y12" s="452"/>
      <c r="Z12" s="450">
        <f>SUMPRODUCT(AA13:AA25,$F13:$F25)</f>
        <v>0</v>
      </c>
      <c r="AA12" s="451"/>
      <c r="AB12" s="910"/>
      <c r="AE12" s="356">
        <f>1/3</f>
        <v>0.33333333333333331</v>
      </c>
      <c r="AF12" s="71"/>
      <c r="AG12" s="413"/>
      <c r="AI12" s="356">
        <f>'Survey 09-12'!S23/SUM('Survey 09-12'!$S$23:$U$23)</f>
        <v>0.40816326530612246</v>
      </c>
      <c r="AJ12" s="71"/>
      <c r="AK12" s="413"/>
      <c r="AM12" s="356">
        <f>1/3</f>
        <v>0.33333333333333331</v>
      </c>
      <c r="AN12" s="71"/>
      <c r="AO12" s="413"/>
      <c r="AQ12" s="356">
        <v>0.25</v>
      </c>
      <c r="AR12" s="71"/>
      <c r="AS12" s="413"/>
      <c r="AU12" s="356">
        <f>1/3</f>
        <v>0.33333333333333331</v>
      </c>
      <c r="AV12" s="71"/>
      <c r="AW12" s="413"/>
      <c r="AY12" s="356">
        <v>0.33333333333333331</v>
      </c>
      <c r="AZ12" s="71"/>
      <c r="BA12" s="413"/>
    </row>
    <row r="13" spans="2:53">
      <c r="B13" s="15"/>
      <c r="C13" s="6" t="s">
        <v>697</v>
      </c>
      <c r="D13" s="7"/>
      <c r="E13" s="11"/>
      <c r="F13" s="71">
        <f>CHOOSE($F$4,AF13,AJ13,AN13,AR13,AV13,AZ13)</f>
        <v>0.86</v>
      </c>
      <c r="G13" s="337"/>
      <c r="H13" s="453"/>
      <c r="I13" s="454">
        <f ca="1">SUMPRODUCT(J14:J17,$G14:$G17)</f>
        <v>3.9736742321141518</v>
      </c>
      <c r="J13" s="452"/>
      <c r="K13" s="453"/>
      <c r="L13" s="454">
        <f ca="1">SUMPRODUCT(M14:M17,$G14:$G17)</f>
        <v>3.8648892678786866</v>
      </c>
      <c r="M13" s="452"/>
      <c r="N13" s="453"/>
      <c r="O13" s="454">
        <f ca="1">SUMPRODUCT(P14:P17,$G14:$G17)</f>
        <v>4.5404187961096305</v>
      </c>
      <c r="P13" s="452"/>
      <c r="Q13" s="453"/>
      <c r="R13" s="454">
        <f ca="1">SUMPRODUCT(S14:S17,$G14:$G17)</f>
        <v>4.4010522265775363</v>
      </c>
      <c r="S13" s="452"/>
      <c r="T13" s="453"/>
      <c r="U13" s="454">
        <f ca="1">SUMPRODUCT(V14:V17,$G14:$G17)</f>
        <v>4.9999871238221116</v>
      </c>
      <c r="V13" s="452"/>
      <c r="W13" s="453"/>
      <c r="X13" s="454">
        <f ca="1">SUMPRODUCT(Y14:Y17,$G14:$G17)</f>
        <v>5</v>
      </c>
      <c r="Y13" s="452"/>
      <c r="Z13" s="453"/>
      <c r="AA13" s="454">
        <f>SUMPRODUCT(AB14:AB17,$G14:$G17)</f>
        <v>0</v>
      </c>
      <c r="AB13" s="910"/>
      <c r="AD13" s="553"/>
      <c r="AE13" s="350"/>
      <c r="AF13" s="23">
        <v>0.6</v>
      </c>
      <c r="AG13" s="412"/>
      <c r="AI13" s="350"/>
      <c r="AJ13" s="23">
        <f>'Survey 09-12'!W23</f>
        <v>0.5</v>
      </c>
      <c r="AK13" s="412"/>
      <c r="AM13" s="350"/>
      <c r="AN13" s="23">
        <f>1-AN19</f>
        <v>0.86</v>
      </c>
      <c r="AO13" s="412"/>
      <c r="AQ13" s="350"/>
      <c r="AR13" s="23">
        <v>0.6</v>
      </c>
      <c r="AS13" s="412"/>
      <c r="AU13" s="350"/>
      <c r="AV13" s="23">
        <f>1-AV19</f>
        <v>0.86</v>
      </c>
      <c r="AW13" s="412"/>
      <c r="AY13" s="350"/>
      <c r="AZ13" s="23">
        <v>0.6</v>
      </c>
      <c r="BA13" s="412"/>
    </row>
    <row r="14" spans="2:53">
      <c r="B14" s="15"/>
      <c r="C14" s="6"/>
      <c r="D14" s="7" t="s">
        <v>47</v>
      </c>
      <c r="E14" s="11"/>
      <c r="F14" s="71"/>
      <c r="G14" s="71">
        <f t="shared" ref="G14:G16" si="0">CHOOSE($F$4,AG14,AK14,AO14,AS14,AW14,BA14)</f>
        <v>1</v>
      </c>
      <c r="H14" s="455"/>
      <c r="I14" s="456"/>
      <c r="J14" s="457">
        <f ca="1">'Econ - NPV Results Summary'!E$61</f>
        <v>3.9736742321141518</v>
      </c>
      <c r="K14" s="455"/>
      <c r="L14" s="456"/>
      <c r="M14" s="457">
        <f ca="1">'Econ - NPV Results Summary'!F$61</f>
        <v>3.8648892678786866</v>
      </c>
      <c r="N14" s="455"/>
      <c r="O14" s="456"/>
      <c r="P14" s="457">
        <f ca="1">'Econ - NPV Results Summary'!G$61</f>
        <v>4.5404187961096305</v>
      </c>
      <c r="Q14" s="455"/>
      <c r="R14" s="456"/>
      <c r="S14" s="457">
        <f ca="1">'Econ - NPV Results Summary'!H$61</f>
        <v>4.4010522265775363</v>
      </c>
      <c r="T14" s="455"/>
      <c r="U14" s="456"/>
      <c r="V14" s="457">
        <f ca="1">'Econ - NPV Results Summary'!I$61</f>
        <v>4.9999871238221116</v>
      </c>
      <c r="W14" s="455"/>
      <c r="X14" s="456"/>
      <c r="Y14" s="457">
        <f ca="1">'Econ - NPV Results Summary'!J$61</f>
        <v>5</v>
      </c>
      <c r="Z14" s="455"/>
      <c r="AA14" s="456"/>
      <c r="AB14" s="965" t="str">
        <f>IF(CustomON="Off","",'Econ - NPV Results Summary'!K61)</f>
        <v/>
      </c>
      <c r="AE14" s="350"/>
      <c r="AF14" s="71"/>
      <c r="AG14" s="414">
        <v>1</v>
      </c>
      <c r="AI14" s="350"/>
      <c r="AJ14" s="71"/>
      <c r="AK14" s="414">
        <v>1</v>
      </c>
      <c r="AM14" s="350"/>
      <c r="AN14" s="71"/>
      <c r="AO14" s="414">
        <v>1</v>
      </c>
      <c r="AQ14" s="350"/>
      <c r="AR14" s="71"/>
      <c r="AS14" s="414">
        <v>1</v>
      </c>
      <c r="AU14" s="350"/>
      <c r="AV14" s="71"/>
      <c r="AW14" s="414">
        <v>1</v>
      </c>
      <c r="AY14" s="350"/>
      <c r="AZ14" s="71"/>
      <c r="BA14" s="414">
        <v>1</v>
      </c>
    </row>
    <row r="15" spans="2:53" s="309" customFormat="1">
      <c r="B15" s="15"/>
      <c r="C15" s="6"/>
      <c r="D15" s="7" t="s">
        <v>692</v>
      </c>
      <c r="E15" s="11"/>
      <c r="F15" s="71"/>
      <c r="G15" s="71">
        <f t="shared" si="0"/>
        <v>0</v>
      </c>
      <c r="H15" s="455"/>
      <c r="I15" s="456"/>
      <c r="J15" s="457"/>
      <c r="K15" s="455"/>
      <c r="L15" s="456"/>
      <c r="M15" s="457"/>
      <c r="N15" s="455"/>
      <c r="O15" s="456"/>
      <c r="P15" s="457"/>
      <c r="Q15" s="455"/>
      <c r="R15" s="456"/>
      <c r="S15" s="457"/>
      <c r="T15" s="455"/>
      <c r="U15" s="456"/>
      <c r="V15" s="457"/>
      <c r="W15" s="455"/>
      <c r="X15" s="456"/>
      <c r="Y15" s="457"/>
      <c r="Z15" s="455"/>
      <c r="AA15" s="456"/>
      <c r="AB15" s="911"/>
      <c r="AE15" s="350"/>
      <c r="AF15" s="71"/>
      <c r="AG15" s="414">
        <v>0</v>
      </c>
      <c r="AI15" s="350"/>
      <c r="AJ15" s="71"/>
      <c r="AK15" s="414">
        <v>0</v>
      </c>
      <c r="AM15" s="350"/>
      <c r="AN15" s="71"/>
      <c r="AO15" s="414">
        <v>0</v>
      </c>
      <c r="AQ15" s="350"/>
      <c r="AR15" s="71"/>
      <c r="AS15" s="414">
        <v>0</v>
      </c>
      <c r="AU15" s="350"/>
      <c r="AV15" s="71"/>
      <c r="AW15" s="414">
        <v>0</v>
      </c>
      <c r="AY15" s="350"/>
      <c r="AZ15" s="71"/>
      <c r="BA15" s="414">
        <v>0</v>
      </c>
    </row>
    <row r="16" spans="2:53" s="309" customFormat="1">
      <c r="B16" s="15"/>
      <c r="C16" s="6"/>
      <c r="D16" s="7" t="s">
        <v>692</v>
      </c>
      <c r="E16" s="11"/>
      <c r="F16" s="71"/>
      <c r="G16" s="71">
        <f t="shared" si="0"/>
        <v>0</v>
      </c>
      <c r="H16" s="455"/>
      <c r="I16" s="456"/>
      <c r="J16" s="457"/>
      <c r="K16" s="455"/>
      <c r="L16" s="456"/>
      <c r="M16" s="457"/>
      <c r="N16" s="455"/>
      <c r="O16" s="456"/>
      <c r="P16" s="457"/>
      <c r="Q16" s="455"/>
      <c r="R16" s="456"/>
      <c r="S16" s="457"/>
      <c r="T16" s="455"/>
      <c r="U16" s="456"/>
      <c r="V16" s="457"/>
      <c r="W16" s="455"/>
      <c r="X16" s="456"/>
      <c r="Y16" s="457"/>
      <c r="Z16" s="455"/>
      <c r="AA16" s="456"/>
      <c r="AB16" s="911"/>
      <c r="AE16" s="350"/>
      <c r="AF16" s="71"/>
      <c r="AG16" s="414">
        <v>0</v>
      </c>
      <c r="AI16" s="350"/>
      <c r="AJ16" s="71"/>
      <c r="AK16" s="414">
        <v>0</v>
      </c>
      <c r="AM16" s="350"/>
      <c r="AN16" s="71"/>
      <c r="AO16" s="414">
        <v>0</v>
      </c>
      <c r="AQ16" s="350"/>
      <c r="AR16" s="71"/>
      <c r="AS16" s="414">
        <v>0</v>
      </c>
      <c r="AU16" s="350"/>
      <c r="AV16" s="71"/>
      <c r="AW16" s="414">
        <v>0</v>
      </c>
      <c r="AY16" s="350"/>
      <c r="AZ16" s="71"/>
      <c r="BA16" s="414">
        <v>0</v>
      </c>
    </row>
    <row r="17" spans="2:53" s="309" customFormat="1">
      <c r="B17" s="15"/>
      <c r="C17" s="6"/>
      <c r="D17" s="7" t="s">
        <v>692</v>
      </c>
      <c r="E17" s="11"/>
      <c r="F17" s="71"/>
      <c r="G17" s="340">
        <f>IF(SUM(G14:G16)=0,0,1-SUM(G14:G16))</f>
        <v>0</v>
      </c>
      <c r="H17" s="455"/>
      <c r="I17" s="456"/>
      <c r="J17" s="457"/>
      <c r="K17" s="455"/>
      <c r="L17" s="456"/>
      <c r="M17" s="457"/>
      <c r="N17" s="455"/>
      <c r="O17" s="456"/>
      <c r="P17" s="457"/>
      <c r="Q17" s="455"/>
      <c r="R17" s="456"/>
      <c r="S17" s="457"/>
      <c r="T17" s="455"/>
      <c r="U17" s="456"/>
      <c r="V17" s="457"/>
      <c r="W17" s="455"/>
      <c r="X17" s="456"/>
      <c r="Y17" s="457"/>
      <c r="Z17" s="455"/>
      <c r="AA17" s="456"/>
      <c r="AB17" s="911"/>
      <c r="AE17" s="350"/>
      <c r="AF17" s="71"/>
      <c r="AG17" s="415">
        <f>IF(SUM(AG14:AG16)=0,0,1-SUM(AG14:AG16))</f>
        <v>0</v>
      </c>
      <c r="AI17" s="350"/>
      <c r="AJ17" s="71"/>
      <c r="AK17" s="415">
        <f t="shared" ref="AK17" si="1">IF(SUM(AK14:AK16)=0,0,1-SUM(AK14:AK16))</f>
        <v>0</v>
      </c>
      <c r="AL17" s="969"/>
      <c r="AM17" s="350"/>
      <c r="AN17" s="71"/>
      <c r="AO17" s="415">
        <f>IF(SUM(AO14:AO16)=0,0,1-SUM(AO14:AO16))</f>
        <v>0</v>
      </c>
      <c r="AP17" s="969"/>
      <c r="AQ17" s="350"/>
      <c r="AR17" s="71"/>
      <c r="AS17" s="415">
        <f t="shared" ref="AS17" si="2">IF(SUM(AS14:AS16)=0,0,1-SUM(AS14:AS16))</f>
        <v>0</v>
      </c>
      <c r="AT17" s="969"/>
      <c r="AU17" s="350"/>
      <c r="AV17" s="71"/>
      <c r="AW17" s="415">
        <f>IF(SUM(AW14:AW16)=0,0,1-SUM(AW14:AW16))</f>
        <v>0</v>
      </c>
      <c r="AX17" s="969"/>
      <c r="AY17" s="350"/>
      <c r="AZ17" s="71"/>
      <c r="BA17" s="415">
        <f t="shared" ref="BA17" si="3">IF(SUM(BA14:BA16)=0,0,1-SUM(BA14:BA16))</f>
        <v>0</v>
      </c>
    </row>
    <row r="18" spans="2:53" ht="15.75">
      <c r="B18" s="15"/>
      <c r="C18" s="6"/>
      <c r="D18" s="7"/>
      <c r="E18" s="10"/>
      <c r="F18" s="19"/>
      <c r="G18" s="337"/>
      <c r="H18" s="458"/>
      <c r="I18" s="459"/>
      <c r="J18" s="460"/>
      <c r="K18" s="458"/>
      <c r="L18" s="459"/>
      <c r="M18" s="460"/>
      <c r="N18" s="458"/>
      <c r="O18" s="459"/>
      <c r="P18" s="460"/>
      <c r="Q18" s="458"/>
      <c r="R18" s="459"/>
      <c r="S18" s="460"/>
      <c r="T18" s="458"/>
      <c r="U18" s="459"/>
      <c r="V18" s="460"/>
      <c r="W18" s="458"/>
      <c r="X18" s="459"/>
      <c r="Y18" s="460"/>
      <c r="Z18" s="458"/>
      <c r="AA18" s="459"/>
      <c r="AB18" s="912"/>
      <c r="AE18" s="349"/>
      <c r="AF18" s="19"/>
      <c r="AG18" s="412"/>
      <c r="AI18" s="349"/>
      <c r="AJ18" s="19"/>
      <c r="AK18" s="412"/>
      <c r="AM18" s="349"/>
      <c r="AN18" s="19"/>
      <c r="AO18" s="412"/>
      <c r="AQ18" s="349"/>
      <c r="AR18" s="19"/>
      <c r="AS18" s="412"/>
      <c r="AU18" s="349"/>
      <c r="AV18" s="19"/>
      <c r="AW18" s="412"/>
      <c r="AY18" s="349"/>
      <c r="AZ18" s="19"/>
      <c r="BA18" s="412"/>
    </row>
    <row r="19" spans="2:53" ht="15.75">
      <c r="B19" s="15"/>
      <c r="C19" s="6" t="s">
        <v>70</v>
      </c>
      <c r="D19" s="7"/>
      <c r="E19" s="10"/>
      <c r="F19" s="71">
        <f>CHOOSE($F$4,AF19,AJ19,AN19,AR19,AV19,AZ19)</f>
        <v>0.13999999999999999</v>
      </c>
      <c r="G19" s="339"/>
      <c r="H19" s="450"/>
      <c r="I19" s="454">
        <f>SUMPRODUCT(J20:J23,$G20:$G23)</f>
        <v>3.5</v>
      </c>
      <c r="J19" s="461"/>
      <c r="K19" s="450"/>
      <c r="L19" s="454">
        <f>SUMPRODUCT(M20:M22,$G20:$G22)</f>
        <v>3</v>
      </c>
      <c r="M19" s="461"/>
      <c r="N19" s="450"/>
      <c r="O19" s="454">
        <f>SUMPRODUCT(P20:P22,$G20:$G22)</f>
        <v>4.5</v>
      </c>
      <c r="P19" s="461"/>
      <c r="Q19" s="450"/>
      <c r="R19" s="454">
        <f>SUMPRODUCT(S20:S22,$G20:$G22)</f>
        <v>4</v>
      </c>
      <c r="S19" s="461"/>
      <c r="T19" s="450"/>
      <c r="U19" s="454">
        <f>SUMPRODUCT(V20:V22,$G20:$G22)</f>
        <v>1.5</v>
      </c>
      <c r="V19" s="461"/>
      <c r="W19" s="450"/>
      <c r="X19" s="454">
        <f>SUMPRODUCT(Y20:Y22,$G20:$G22)</f>
        <v>3</v>
      </c>
      <c r="Y19" s="461"/>
      <c r="Z19" s="450"/>
      <c r="AA19" s="454">
        <f>SUMPRODUCT(AB20:AB22,$G20:$G22)</f>
        <v>0</v>
      </c>
      <c r="AB19" s="913"/>
      <c r="AD19" s="553"/>
      <c r="AE19" s="349"/>
      <c r="AF19" s="23">
        <f>1-AF13</f>
        <v>0.4</v>
      </c>
      <c r="AG19" s="416" t="str">
        <f>IF(SUM(AG20:AG22)&lt;&gt;1,SUM(AG20:AG22),"")</f>
        <v/>
      </c>
      <c r="AI19" s="349"/>
      <c r="AJ19" s="23">
        <f>'Survey 09-12'!X23</f>
        <v>0.5</v>
      </c>
      <c r="AK19" s="416" t="str">
        <f>IF(SUM(AK20:AK22)&lt;&gt;1,SUM(AK20:AK22),"")</f>
        <v/>
      </c>
      <c r="AM19" s="349"/>
      <c r="AN19" s="23">
        <f>0.4*0.35</f>
        <v>0.13999999999999999</v>
      </c>
      <c r="AO19" s="416" t="str">
        <f>IF(SUM(AO20:AO22)&lt;&gt;1,SUM(AO20:AO22),"")</f>
        <v/>
      </c>
      <c r="AQ19" s="349"/>
      <c r="AR19" s="23">
        <v>0.4</v>
      </c>
      <c r="AS19" s="416" t="s">
        <v>862</v>
      </c>
      <c r="AU19" s="349"/>
      <c r="AV19" s="23">
        <f>0.4*0.35</f>
        <v>0.13999999999999999</v>
      </c>
      <c r="AW19" s="416" t="str">
        <f>IF(SUM(AW20:AW22)&lt;&gt;1,SUM(AW20:AW22),"")</f>
        <v/>
      </c>
      <c r="AY19" s="349"/>
      <c r="AZ19" s="23">
        <v>0.4</v>
      </c>
      <c r="BA19" s="416" t="s">
        <v>862</v>
      </c>
    </row>
    <row r="20" spans="2:53">
      <c r="B20" s="15"/>
      <c r="C20" s="6"/>
      <c r="D20" s="701" t="s">
        <v>48</v>
      </c>
      <c r="E20" s="26"/>
      <c r="F20" s="20"/>
      <c r="G20" s="71">
        <f t="shared" ref="G20:G22" si="4">CHOOSE($F$4,AG20,AK20,AO20,AS20,AW20,BA20)</f>
        <v>0</v>
      </c>
      <c r="H20" s="455"/>
      <c r="I20" s="462"/>
      <c r="J20" s="457">
        <f>'Econ - Engineering Criteria'!$D$7</f>
        <v>2</v>
      </c>
      <c r="K20" s="455"/>
      <c r="L20" s="462"/>
      <c r="M20" s="457">
        <f>'Econ - Engineering Criteria'!D8</f>
        <v>3</v>
      </c>
      <c r="N20" s="455"/>
      <c r="O20" s="462"/>
      <c r="P20" s="457">
        <f>'Econ - Engineering Criteria'!D9</f>
        <v>3</v>
      </c>
      <c r="Q20" s="455"/>
      <c r="R20" s="462"/>
      <c r="S20" s="457">
        <f>'Econ - Engineering Criteria'!D10</f>
        <v>4</v>
      </c>
      <c r="T20" s="455"/>
      <c r="U20" s="462"/>
      <c r="V20" s="457">
        <f>'Econ - Engineering Criteria'!D11</f>
        <v>4</v>
      </c>
      <c r="W20" s="455"/>
      <c r="X20" s="462"/>
      <c r="Y20" s="457">
        <f>'Econ - Engineering Criteria'!D12</f>
        <v>3</v>
      </c>
      <c r="Z20" s="455"/>
      <c r="AA20" s="462"/>
      <c r="AB20" s="911" t="str">
        <f>IF(CustomON="Off","",'Econ - Engineering Criteria'!D13)</f>
        <v/>
      </c>
      <c r="AE20" s="351"/>
      <c r="AF20" s="20"/>
      <c r="AG20" s="414">
        <v>0.4</v>
      </c>
      <c r="AI20" s="351"/>
      <c r="AJ20" s="20"/>
      <c r="AK20" s="414">
        <v>0.4</v>
      </c>
      <c r="AM20" s="351"/>
      <c r="AN20" s="20"/>
      <c r="AO20" s="414"/>
      <c r="AQ20" s="351"/>
      <c r="AR20" s="20"/>
      <c r="AS20" s="414">
        <v>0.4</v>
      </c>
      <c r="AU20" s="351"/>
      <c r="AV20" s="20"/>
      <c r="AW20" s="414"/>
      <c r="AY20" s="351"/>
      <c r="AZ20" s="20"/>
      <c r="BA20" s="414">
        <v>0.4</v>
      </c>
    </row>
    <row r="21" spans="2:53">
      <c r="B21" s="15"/>
      <c r="C21" s="6"/>
      <c r="D21" s="701" t="s">
        <v>49</v>
      </c>
      <c r="E21" s="26"/>
      <c r="F21" s="20"/>
      <c r="G21" s="71">
        <f t="shared" si="4"/>
        <v>1</v>
      </c>
      <c r="H21" s="455"/>
      <c r="I21" s="462"/>
      <c r="J21" s="457">
        <f>'Econ - Engineering Criteria'!$F$7</f>
        <v>3.5</v>
      </c>
      <c r="K21" s="455"/>
      <c r="L21" s="462"/>
      <c r="M21" s="457">
        <f>'Econ - Engineering Criteria'!F8</f>
        <v>3</v>
      </c>
      <c r="N21" s="455"/>
      <c r="O21" s="462"/>
      <c r="P21" s="457">
        <f>'Econ - Engineering Criteria'!F9</f>
        <v>4.5</v>
      </c>
      <c r="Q21" s="455"/>
      <c r="R21" s="462"/>
      <c r="S21" s="457">
        <f>'Econ - Engineering Criteria'!F10</f>
        <v>4</v>
      </c>
      <c r="T21" s="455"/>
      <c r="U21" s="462"/>
      <c r="V21" s="457">
        <f>'Econ - Engineering Criteria'!F11</f>
        <v>1.5</v>
      </c>
      <c r="W21" s="455"/>
      <c r="X21" s="462"/>
      <c r="Y21" s="457">
        <f>'Econ - Engineering Criteria'!F12</f>
        <v>3</v>
      </c>
      <c r="Z21" s="455"/>
      <c r="AA21" s="462"/>
      <c r="AB21" s="911" t="str">
        <f>IF(CustomON="Off","",'Econ - Engineering Criteria'!F13)</f>
        <v/>
      </c>
      <c r="AE21" s="351"/>
      <c r="AF21" s="20"/>
      <c r="AG21" s="414">
        <v>0.35</v>
      </c>
      <c r="AI21" s="351"/>
      <c r="AJ21" s="20"/>
      <c r="AK21" s="414">
        <v>0.35</v>
      </c>
      <c r="AM21" s="351"/>
      <c r="AN21" s="20"/>
      <c r="AO21" s="414">
        <v>1</v>
      </c>
      <c r="AQ21" s="351"/>
      <c r="AR21" s="20"/>
      <c r="AS21" s="414">
        <v>0.35</v>
      </c>
      <c r="AU21" s="351"/>
      <c r="AV21" s="20"/>
      <c r="AW21" s="414">
        <v>1</v>
      </c>
      <c r="AY21" s="351"/>
      <c r="AZ21" s="20"/>
      <c r="BA21" s="414">
        <v>0.35</v>
      </c>
    </row>
    <row r="22" spans="2:53">
      <c r="B22" s="15"/>
      <c r="C22" s="6"/>
      <c r="D22" s="7" t="s">
        <v>50</v>
      </c>
      <c r="E22" s="26"/>
      <c r="F22" s="20"/>
      <c r="G22" s="71">
        <f t="shared" si="4"/>
        <v>0</v>
      </c>
      <c r="H22" s="455"/>
      <c r="I22" s="462"/>
      <c r="J22" s="457">
        <f>'Econ - Engineering Criteria'!$H$7</f>
        <v>3</v>
      </c>
      <c r="K22" s="455"/>
      <c r="L22" s="462"/>
      <c r="M22" s="457">
        <f>'Econ - Engineering Criteria'!CZ8</f>
        <v>0</v>
      </c>
      <c r="N22" s="455"/>
      <c r="O22" s="462"/>
      <c r="P22" s="457">
        <f>'Econ - Engineering Criteria'!H9</f>
        <v>4</v>
      </c>
      <c r="Q22" s="455"/>
      <c r="R22" s="462"/>
      <c r="S22" s="457">
        <f>'Econ - Engineering Criteria'!H10</f>
        <v>4</v>
      </c>
      <c r="T22" s="455"/>
      <c r="U22" s="462"/>
      <c r="V22" s="457">
        <f>'Econ - Engineering Criteria'!H11</f>
        <v>4.5</v>
      </c>
      <c r="W22" s="455"/>
      <c r="X22" s="462"/>
      <c r="Y22" s="457">
        <f>'Econ - Engineering Criteria'!H12</f>
        <v>1</v>
      </c>
      <c r="Z22" s="455"/>
      <c r="AA22" s="462"/>
      <c r="AB22" s="911" t="str">
        <f>IF(CustomON="Off","",'Econ - Engineering Criteria'!H13)</f>
        <v/>
      </c>
      <c r="AE22" s="351"/>
      <c r="AF22" s="20"/>
      <c r="AG22" s="414">
        <v>0.25</v>
      </c>
      <c r="AI22" s="351"/>
      <c r="AJ22" s="20"/>
      <c r="AK22" s="414">
        <v>0.25</v>
      </c>
      <c r="AM22" s="351"/>
      <c r="AN22" s="20"/>
      <c r="AO22" s="414"/>
      <c r="AQ22" s="351"/>
      <c r="AR22" s="20"/>
      <c r="AS22" s="414">
        <v>0.25</v>
      </c>
      <c r="AU22" s="351"/>
      <c r="AV22" s="20"/>
      <c r="AW22" s="414"/>
      <c r="AY22" s="351"/>
      <c r="AZ22" s="20"/>
      <c r="BA22" s="414">
        <v>0.25</v>
      </c>
    </row>
    <row r="23" spans="2:53" s="309" customFormat="1">
      <c r="B23" s="15"/>
      <c r="C23" s="6"/>
      <c r="D23" s="7" t="s">
        <v>692</v>
      </c>
      <c r="E23" s="26"/>
      <c r="F23" s="20"/>
      <c r="G23" s="340">
        <f>IF(SUM(G20:G22)=0,0,1-SUM(G20:G22))</f>
        <v>0</v>
      </c>
      <c r="H23" s="455"/>
      <c r="I23" s="462"/>
      <c r="J23" s="457"/>
      <c r="K23" s="455"/>
      <c r="L23" s="462"/>
      <c r="M23" s="457"/>
      <c r="N23" s="455"/>
      <c r="O23" s="462"/>
      <c r="P23" s="457"/>
      <c r="Q23" s="455"/>
      <c r="R23" s="462"/>
      <c r="S23" s="457"/>
      <c r="T23" s="455"/>
      <c r="U23" s="462"/>
      <c r="V23" s="457"/>
      <c r="W23" s="455"/>
      <c r="X23" s="462"/>
      <c r="Y23" s="457"/>
      <c r="Z23" s="455"/>
      <c r="AA23" s="462"/>
      <c r="AB23" s="911"/>
      <c r="AE23" s="351"/>
      <c r="AF23" s="20"/>
      <c r="AG23" s="415">
        <f>IF(SUM(AG20:AG22)=0,0,1-SUM(AG20:AG22))</f>
        <v>0</v>
      </c>
      <c r="AI23" s="351"/>
      <c r="AJ23" s="20"/>
      <c r="AK23" s="415">
        <f t="shared" ref="AK23" si="5">IF(SUM(AK20:AK22)=0,0,1-SUM(AK20:AK22))</f>
        <v>0</v>
      </c>
      <c r="AM23" s="351"/>
      <c r="AN23" s="20"/>
      <c r="AO23" s="415">
        <f>IF(SUM(AO20:AO22)=0,0,1-SUM(AO20:AO22))</f>
        <v>0</v>
      </c>
      <c r="AQ23" s="351"/>
      <c r="AR23" s="20"/>
      <c r="AS23" s="415">
        <f t="shared" ref="AS23" si="6">IF(SUM(AS20:AS22)=0,0,1-SUM(AS20:AS22))</f>
        <v>0</v>
      </c>
      <c r="AU23" s="351"/>
      <c r="AV23" s="20"/>
      <c r="AW23" s="415">
        <f>IF(SUM(AW20:AW22)=0,0,1-SUM(AW20:AW22))</f>
        <v>0</v>
      </c>
      <c r="AY23" s="351"/>
      <c r="AZ23" s="20"/>
      <c r="BA23" s="415">
        <f t="shared" ref="BA23" si="7">IF(SUM(BA20:BA22)=0,0,1-SUM(BA20:BA22))</f>
        <v>0</v>
      </c>
    </row>
    <row r="24" spans="2:53" s="309" customFormat="1">
      <c r="B24" s="15"/>
      <c r="C24" s="6"/>
      <c r="D24" s="7"/>
      <c r="E24" s="26"/>
      <c r="F24" s="20"/>
      <c r="G24" s="340"/>
      <c r="H24" s="455"/>
      <c r="I24" s="462"/>
      <c r="J24" s="460"/>
      <c r="K24" s="455"/>
      <c r="L24" s="462"/>
      <c r="M24" s="460"/>
      <c r="N24" s="455"/>
      <c r="O24" s="462"/>
      <c r="P24" s="460"/>
      <c r="Q24" s="455"/>
      <c r="R24" s="462"/>
      <c r="S24" s="460"/>
      <c r="T24" s="455"/>
      <c r="U24" s="462"/>
      <c r="V24" s="460"/>
      <c r="W24" s="455"/>
      <c r="X24" s="462"/>
      <c r="Y24" s="460"/>
      <c r="Z24" s="455"/>
      <c r="AA24" s="462"/>
      <c r="AB24" s="912"/>
      <c r="AE24" s="351"/>
      <c r="AF24" s="20"/>
      <c r="AG24" s="415"/>
      <c r="AI24" s="351"/>
      <c r="AJ24" s="20"/>
      <c r="AK24" s="415"/>
      <c r="AM24" s="351"/>
      <c r="AN24" s="20"/>
      <c r="AO24" s="415"/>
      <c r="AQ24" s="351"/>
      <c r="AR24" s="20"/>
      <c r="AS24" s="415"/>
      <c r="AU24" s="351"/>
      <c r="AV24" s="20"/>
      <c r="AW24" s="415"/>
      <c r="AY24" s="351"/>
      <c r="AZ24" s="20"/>
      <c r="BA24" s="415"/>
    </row>
    <row r="25" spans="2:53" s="309" customFormat="1" ht="15.75">
      <c r="B25" s="15"/>
      <c r="C25" s="6" t="s">
        <v>693</v>
      </c>
      <c r="D25" s="7"/>
      <c r="E25" s="26"/>
      <c r="F25" s="71">
        <f>CHOOSE($F$4,AF25,AJ25,AN25,AR25,AV25,AZ25)</f>
        <v>0</v>
      </c>
      <c r="G25" s="340"/>
      <c r="H25" s="453"/>
      <c r="I25" s="454">
        <f>SUMPRODUCT(J26:J29,$G26:$G29)</f>
        <v>0</v>
      </c>
      <c r="J25" s="461"/>
      <c r="K25" s="453"/>
      <c r="L25" s="454">
        <f>SUMPRODUCT(M26:M29,$G26:$G29)</f>
        <v>0</v>
      </c>
      <c r="M25" s="461"/>
      <c r="N25" s="453"/>
      <c r="O25" s="454">
        <f>SUMPRODUCT(P26:P29,$G26:$G29)</f>
        <v>0</v>
      </c>
      <c r="P25" s="461"/>
      <c r="Q25" s="453"/>
      <c r="R25" s="454">
        <f>SUMPRODUCT(S26:S29,$G26:$G29)</f>
        <v>0</v>
      </c>
      <c r="S25" s="461"/>
      <c r="T25" s="453"/>
      <c r="U25" s="454">
        <f>SUMPRODUCT(V26:V29,$G26:$G29)</f>
        <v>0</v>
      </c>
      <c r="V25" s="461"/>
      <c r="W25" s="453"/>
      <c r="X25" s="454">
        <f>SUMPRODUCT(Y26:Y29,$G26:$G29)</f>
        <v>0</v>
      </c>
      <c r="Y25" s="461"/>
      <c r="Z25" s="453"/>
      <c r="AA25" s="454">
        <f>SUMPRODUCT(AB26:AB29,$G26:$G29)</f>
        <v>0</v>
      </c>
      <c r="AB25" s="913"/>
      <c r="AE25" s="351"/>
      <c r="AF25" s="71">
        <f>1-SUM(AF19,AF13)</f>
        <v>0</v>
      </c>
      <c r="AG25" s="415"/>
      <c r="AI25" s="351"/>
      <c r="AJ25" s="71">
        <f>1-AJ19-AJ13</f>
        <v>0</v>
      </c>
      <c r="AK25" s="415"/>
      <c r="AM25" s="351"/>
      <c r="AN25" s="71">
        <f>1-SUM(AN19,AN13)</f>
        <v>0</v>
      </c>
      <c r="AO25" s="415"/>
      <c r="AQ25" s="351"/>
      <c r="AR25" s="71">
        <v>0</v>
      </c>
      <c r="AS25" s="415"/>
      <c r="AU25" s="351"/>
      <c r="AV25" s="71">
        <f>1-SUM(AV19,AV13)</f>
        <v>0</v>
      </c>
      <c r="AW25" s="415"/>
      <c r="AY25" s="351"/>
      <c r="AZ25" s="71">
        <v>0</v>
      </c>
      <c r="BA25" s="415"/>
    </row>
    <row r="26" spans="2:53" s="309" customFormat="1">
      <c r="B26" s="15"/>
      <c r="C26" s="6"/>
      <c r="D26" s="7" t="s">
        <v>692</v>
      </c>
      <c r="E26" s="26"/>
      <c r="F26" s="20"/>
      <c r="G26" s="71">
        <f t="shared" ref="G26:G28" si="8">CHOOSE($F$4,AG26,AK26,AO26,AS26,AW26,BA26)</f>
        <v>0</v>
      </c>
      <c r="H26" s="455"/>
      <c r="I26" s="462"/>
      <c r="J26" s="457"/>
      <c r="K26" s="455"/>
      <c r="L26" s="462"/>
      <c r="M26" s="457"/>
      <c r="N26" s="455"/>
      <c r="O26" s="462"/>
      <c r="P26" s="457"/>
      <c r="Q26" s="455"/>
      <c r="R26" s="462"/>
      <c r="S26" s="457"/>
      <c r="T26" s="455"/>
      <c r="U26" s="462"/>
      <c r="V26" s="457"/>
      <c r="W26" s="455"/>
      <c r="X26" s="462"/>
      <c r="Y26" s="457"/>
      <c r="Z26" s="455"/>
      <c r="AA26" s="462"/>
      <c r="AB26" s="911"/>
      <c r="AE26" s="351"/>
      <c r="AF26" s="20"/>
      <c r="AG26" s="414">
        <v>0</v>
      </c>
      <c r="AI26" s="351"/>
      <c r="AJ26" s="20"/>
      <c r="AK26" s="414">
        <v>0</v>
      </c>
      <c r="AM26" s="351"/>
      <c r="AN26" s="20"/>
      <c r="AO26" s="414">
        <v>0</v>
      </c>
      <c r="AQ26" s="351"/>
      <c r="AR26" s="20"/>
      <c r="AS26" s="414">
        <v>0</v>
      </c>
      <c r="AU26" s="351"/>
      <c r="AV26" s="20"/>
      <c r="AW26" s="414">
        <v>0</v>
      </c>
      <c r="AY26" s="351"/>
      <c r="AZ26" s="20"/>
      <c r="BA26" s="414">
        <v>0</v>
      </c>
    </row>
    <row r="27" spans="2:53" s="309" customFormat="1">
      <c r="B27" s="15"/>
      <c r="C27" s="6"/>
      <c r="D27" s="7" t="s">
        <v>692</v>
      </c>
      <c r="E27" s="26"/>
      <c r="F27" s="20"/>
      <c r="G27" s="71">
        <f t="shared" si="8"/>
        <v>0</v>
      </c>
      <c r="H27" s="455"/>
      <c r="I27" s="462"/>
      <c r="J27" s="457"/>
      <c r="K27" s="455"/>
      <c r="L27" s="462"/>
      <c r="M27" s="457"/>
      <c r="N27" s="455"/>
      <c r="O27" s="462"/>
      <c r="P27" s="457"/>
      <c r="Q27" s="455"/>
      <c r="R27" s="462"/>
      <c r="S27" s="457"/>
      <c r="T27" s="455"/>
      <c r="U27" s="462"/>
      <c r="V27" s="457"/>
      <c r="W27" s="455"/>
      <c r="X27" s="462"/>
      <c r="Y27" s="457"/>
      <c r="Z27" s="455"/>
      <c r="AA27" s="462"/>
      <c r="AB27" s="911"/>
      <c r="AE27" s="351"/>
      <c r="AF27" s="20"/>
      <c r="AG27" s="414">
        <v>0</v>
      </c>
      <c r="AI27" s="351"/>
      <c r="AJ27" s="20"/>
      <c r="AK27" s="414">
        <v>0</v>
      </c>
      <c r="AM27" s="351"/>
      <c r="AN27" s="20"/>
      <c r="AO27" s="414">
        <v>0</v>
      </c>
      <c r="AQ27" s="351"/>
      <c r="AR27" s="20"/>
      <c r="AS27" s="414">
        <v>0</v>
      </c>
      <c r="AU27" s="351"/>
      <c r="AV27" s="20"/>
      <c r="AW27" s="414">
        <v>0</v>
      </c>
      <c r="AY27" s="351"/>
      <c r="AZ27" s="20"/>
      <c r="BA27" s="414">
        <v>0</v>
      </c>
    </row>
    <row r="28" spans="2:53" s="309" customFormat="1">
      <c r="B28" s="15"/>
      <c r="C28" s="6"/>
      <c r="D28" s="7" t="s">
        <v>692</v>
      </c>
      <c r="E28" s="26"/>
      <c r="F28" s="20"/>
      <c r="G28" s="71">
        <f t="shared" si="8"/>
        <v>0</v>
      </c>
      <c r="H28" s="455"/>
      <c r="I28" s="462"/>
      <c r="J28" s="457"/>
      <c r="K28" s="455"/>
      <c r="L28" s="462"/>
      <c r="M28" s="457"/>
      <c r="N28" s="455"/>
      <c r="O28" s="462"/>
      <c r="P28" s="457"/>
      <c r="Q28" s="455"/>
      <c r="R28" s="462"/>
      <c r="S28" s="457"/>
      <c r="T28" s="455"/>
      <c r="U28" s="462"/>
      <c r="V28" s="457"/>
      <c r="W28" s="455"/>
      <c r="X28" s="462"/>
      <c r="Y28" s="457"/>
      <c r="Z28" s="455"/>
      <c r="AA28" s="462"/>
      <c r="AB28" s="911"/>
      <c r="AE28" s="351"/>
      <c r="AF28" s="20"/>
      <c r="AG28" s="414">
        <v>0</v>
      </c>
      <c r="AI28" s="351"/>
      <c r="AJ28" s="20"/>
      <c r="AK28" s="414">
        <v>0</v>
      </c>
      <c r="AM28" s="351"/>
      <c r="AN28" s="20"/>
      <c r="AO28" s="414">
        <v>0</v>
      </c>
      <c r="AQ28" s="351"/>
      <c r="AR28" s="20"/>
      <c r="AS28" s="414">
        <v>0</v>
      </c>
      <c r="AU28" s="351"/>
      <c r="AV28" s="20"/>
      <c r="AW28" s="414">
        <v>0</v>
      </c>
      <c r="AY28" s="351"/>
      <c r="AZ28" s="20"/>
      <c r="BA28" s="414">
        <v>0</v>
      </c>
    </row>
    <row r="29" spans="2:53" s="309" customFormat="1">
      <c r="B29" s="15"/>
      <c r="C29" s="6"/>
      <c r="D29" s="7" t="s">
        <v>692</v>
      </c>
      <c r="E29" s="26"/>
      <c r="F29" s="20"/>
      <c r="G29" s="340">
        <f>IF(SUM(G26:G28)=0,0,1-SUM(G26:G28))</f>
        <v>0</v>
      </c>
      <c r="H29" s="455"/>
      <c r="I29" s="462"/>
      <c r="J29" s="457"/>
      <c r="K29" s="455"/>
      <c r="L29" s="462"/>
      <c r="M29" s="457"/>
      <c r="N29" s="455"/>
      <c r="O29" s="462"/>
      <c r="P29" s="457"/>
      <c r="Q29" s="455"/>
      <c r="R29" s="462"/>
      <c r="S29" s="457"/>
      <c r="T29" s="455"/>
      <c r="U29" s="462"/>
      <c r="V29" s="457"/>
      <c r="W29" s="455"/>
      <c r="X29" s="462"/>
      <c r="Y29" s="457"/>
      <c r="Z29" s="455"/>
      <c r="AA29" s="462"/>
      <c r="AB29" s="911"/>
      <c r="AE29" s="351"/>
      <c r="AF29" s="20"/>
      <c r="AG29" s="415">
        <f>IF(SUM(AG26:AG28)=0,0,1-SUM(AG26:AG28))</f>
        <v>0</v>
      </c>
      <c r="AH29" s="969"/>
      <c r="AI29" s="350"/>
      <c r="AJ29" s="71"/>
      <c r="AK29" s="415">
        <f t="shared" ref="AK29" si="9">IF(SUM(AK26:AK28)=0,0,1-SUM(AK26:AK28))</f>
        <v>0</v>
      </c>
      <c r="AL29" s="969"/>
      <c r="AM29" s="351"/>
      <c r="AN29" s="20"/>
      <c r="AO29" s="415">
        <f>IF(SUM(AO26:AO28)=0,0,1-SUM(AO26:AO28))</f>
        <v>0</v>
      </c>
      <c r="AP29" s="969"/>
      <c r="AQ29" s="350"/>
      <c r="AR29" s="71"/>
      <c r="AS29" s="415">
        <f t="shared" ref="AS29" si="10">IF(SUM(AS26:AS28)=0,0,1-SUM(AS26:AS28))</f>
        <v>0</v>
      </c>
      <c r="AT29" s="969"/>
      <c r="AU29" s="351"/>
      <c r="AV29" s="20"/>
      <c r="AW29" s="415">
        <f>IF(SUM(AW26:AW28)=0,0,1-SUM(AW26:AW28))</f>
        <v>0</v>
      </c>
      <c r="AY29" s="350"/>
      <c r="AZ29" s="71"/>
      <c r="BA29" s="415">
        <f t="shared" ref="BA29" si="11">IF(SUM(BA26:BA28)=0,0,1-SUM(BA26:BA28))</f>
        <v>0</v>
      </c>
    </row>
    <row r="30" spans="2:53">
      <c r="B30" s="381"/>
      <c r="C30" s="382"/>
      <c r="D30" s="383"/>
      <c r="E30" s="384"/>
      <c r="F30" s="385"/>
      <c r="G30" s="386"/>
      <c r="H30" s="463"/>
      <c r="I30" s="464"/>
      <c r="J30" s="465"/>
      <c r="K30" s="463"/>
      <c r="L30" s="839"/>
      <c r="M30" s="465"/>
      <c r="N30" s="463"/>
      <c r="O30" s="839"/>
      <c r="P30" s="465"/>
      <c r="Q30" s="463"/>
      <c r="R30" s="464"/>
      <c r="S30" s="465"/>
      <c r="T30" s="463"/>
      <c r="U30" s="464"/>
      <c r="V30" s="465"/>
      <c r="W30" s="463"/>
      <c r="X30" s="464"/>
      <c r="Y30" s="465"/>
      <c r="Z30" s="463"/>
      <c r="AA30" s="839"/>
      <c r="AB30" s="914"/>
      <c r="AE30" s="417"/>
      <c r="AF30" s="385"/>
      <c r="AG30" s="418"/>
      <c r="AI30" s="417"/>
      <c r="AJ30" s="385"/>
      <c r="AK30" s="418"/>
      <c r="AM30" s="417"/>
      <c r="AN30" s="385"/>
      <c r="AO30" s="418"/>
      <c r="AQ30" s="417"/>
      <c r="AR30" s="385"/>
      <c r="AS30" s="418"/>
      <c r="AU30" s="417"/>
      <c r="AV30" s="385"/>
      <c r="AW30" s="418"/>
      <c r="AY30" s="417"/>
      <c r="AZ30" s="385"/>
      <c r="BA30" s="418"/>
    </row>
    <row r="31" spans="2:53">
      <c r="B31" s="16"/>
      <c r="C31" s="8"/>
      <c r="D31" s="9"/>
      <c r="E31" s="12"/>
      <c r="F31" s="21"/>
      <c r="G31" s="341"/>
      <c r="H31" s="466"/>
      <c r="I31" s="467"/>
      <c r="J31" s="468"/>
      <c r="K31" s="466"/>
      <c r="L31" s="467"/>
      <c r="M31" s="468"/>
      <c r="N31" s="466"/>
      <c r="O31" s="467"/>
      <c r="P31" s="468"/>
      <c r="Q31" s="466"/>
      <c r="R31" s="467"/>
      <c r="S31" s="468"/>
      <c r="T31" s="466"/>
      <c r="U31" s="467"/>
      <c r="V31" s="468"/>
      <c r="W31" s="466"/>
      <c r="X31" s="467"/>
      <c r="Y31" s="468"/>
      <c r="Z31" s="466"/>
      <c r="AA31" s="467"/>
      <c r="AB31" s="915"/>
      <c r="AE31" s="352"/>
      <c r="AF31" s="21"/>
      <c r="AG31" s="419"/>
      <c r="AI31" s="352"/>
      <c r="AJ31" s="21"/>
      <c r="AK31" s="419"/>
      <c r="AM31" s="352"/>
      <c r="AN31" s="21"/>
      <c r="AO31" s="419"/>
      <c r="AQ31" s="352"/>
      <c r="AR31" s="21"/>
      <c r="AS31" s="419"/>
      <c r="AU31" s="352"/>
      <c r="AV31" s="21"/>
      <c r="AW31" s="419"/>
      <c r="AY31" s="352"/>
      <c r="AZ31" s="21"/>
      <c r="BA31" s="419"/>
    </row>
    <row r="32" spans="2:53" ht="15.75">
      <c r="B32" s="16"/>
      <c r="C32" s="8"/>
      <c r="D32" s="9"/>
      <c r="E32" s="18"/>
      <c r="F32" s="21"/>
      <c r="G32" s="341"/>
      <c r="H32" s="469"/>
      <c r="I32" s="467"/>
      <c r="J32" s="468"/>
      <c r="K32" s="469"/>
      <c r="L32" s="467"/>
      <c r="M32" s="468"/>
      <c r="N32" s="469"/>
      <c r="O32" s="467"/>
      <c r="P32" s="468"/>
      <c r="Q32" s="469"/>
      <c r="R32" s="467"/>
      <c r="S32" s="468"/>
      <c r="T32" s="469"/>
      <c r="U32" s="467"/>
      <c r="V32" s="468"/>
      <c r="W32" s="469"/>
      <c r="X32" s="467"/>
      <c r="Y32" s="468"/>
      <c r="Z32" s="469"/>
      <c r="AA32" s="467"/>
      <c r="AB32" s="915"/>
      <c r="AE32" s="352"/>
      <c r="AF32" s="21"/>
      <c r="AG32" s="419"/>
      <c r="AI32" s="352"/>
      <c r="AJ32" s="21"/>
      <c r="AK32" s="419"/>
      <c r="AM32" s="352"/>
      <c r="AN32" s="21"/>
      <c r="AO32" s="419"/>
      <c r="AQ32" s="352"/>
      <c r="AR32" s="21"/>
      <c r="AS32" s="419"/>
      <c r="AU32" s="352"/>
      <c r="AV32" s="21"/>
      <c r="AW32" s="419"/>
      <c r="AY32" s="352"/>
      <c r="AZ32" s="21"/>
      <c r="BA32" s="419"/>
    </row>
    <row r="33" spans="2:53" s="2" customFormat="1">
      <c r="B33" s="16" t="s">
        <v>52</v>
      </c>
      <c r="C33" s="8"/>
      <c r="D33" s="5"/>
      <c r="E33" s="72">
        <f>CHOOSE($F$4,AE33,AI33,AM33,AQ33,AU33,AY33)</f>
        <v>0.33333333333333331</v>
      </c>
      <c r="F33" s="22"/>
      <c r="G33" s="342"/>
      <c r="H33" s="470">
        <f>SUMPRODUCT(I34:I46,$F34:$F46)</f>
        <v>3.8625410729652794</v>
      </c>
      <c r="I33" s="471"/>
      <c r="J33" s="472"/>
      <c r="K33" s="470">
        <f>SUMPRODUCT(L34:L46,$F34:$F46)</f>
        <v>2.0252810617894905</v>
      </c>
      <c r="L33" s="471"/>
      <c r="M33" s="472"/>
      <c r="N33" s="470">
        <f>SUMPRODUCT(O34:O46,$F34:$F46)</f>
        <v>3.6166990324351715</v>
      </c>
      <c r="O33" s="471"/>
      <c r="P33" s="472"/>
      <c r="Q33" s="470">
        <f>SUMPRODUCT(R34:R46,$F34:$F46)</f>
        <v>1.52859315719473</v>
      </c>
      <c r="R33" s="471"/>
      <c r="S33" s="472"/>
      <c r="T33" s="470">
        <f>SUMPRODUCT(U34:U46,$F34:$F46)</f>
        <v>1.6188509467480041</v>
      </c>
      <c r="U33" s="471"/>
      <c r="V33" s="472"/>
      <c r="W33" s="470">
        <f>SUMPRODUCT(X34:X46,$F34:$F46)</f>
        <v>1.9385217561228423</v>
      </c>
      <c r="X33" s="471"/>
      <c r="Y33" s="472"/>
      <c r="Z33" s="470">
        <f>SUMPRODUCT(AA34:AA46,$F34:$F46)</f>
        <v>0</v>
      </c>
      <c r="AA33" s="471"/>
      <c r="AB33" s="916"/>
      <c r="AE33" s="356">
        <f>1/3</f>
        <v>0.33333333333333331</v>
      </c>
      <c r="AF33" s="22"/>
      <c r="AG33" s="420"/>
      <c r="AI33" s="356">
        <f>'Survey 09-12'!T23/SUM('Survey 09-12'!$S$23:$U$23)</f>
        <v>0.33673469387755106</v>
      </c>
      <c r="AJ33" s="22"/>
      <c r="AK33" s="420"/>
      <c r="AM33" s="356">
        <f>1/3</f>
        <v>0.33333333333333331</v>
      </c>
      <c r="AN33" s="22"/>
      <c r="AO33" s="420"/>
      <c r="AQ33" s="356">
        <v>0.25</v>
      </c>
      <c r="AR33" s="22"/>
      <c r="AS33" s="420"/>
      <c r="AU33" s="356">
        <f>1/3</f>
        <v>0.33333333333333331</v>
      </c>
      <c r="AV33" s="22"/>
      <c r="AW33" s="420"/>
      <c r="AY33" s="356">
        <v>0.33333333333333331</v>
      </c>
      <c r="AZ33" s="22"/>
      <c r="BA33" s="420"/>
    </row>
    <row r="34" spans="2:53" ht="15.75">
      <c r="B34" s="16"/>
      <c r="C34" s="8" t="s">
        <v>71</v>
      </c>
      <c r="D34" s="9"/>
      <c r="E34" s="73"/>
      <c r="F34" s="72">
        <f>CHOOSE($F$4,AF34,AJ34,AN34,AR34,AV34,AZ34)</f>
        <v>0.5</v>
      </c>
      <c r="G34" s="343"/>
      <c r="H34" s="466"/>
      <c r="I34" s="473">
        <f>SUMPRODUCT(J35:J38,$G35:$G38)</f>
        <v>4.6507973936238454</v>
      </c>
      <c r="J34" s="474"/>
      <c r="K34" s="466"/>
      <c r="L34" s="473">
        <f>SUMPRODUCT(M35:M38,$G35:$G38)</f>
        <v>1.4762773712722674</v>
      </c>
      <c r="M34" s="474"/>
      <c r="N34" s="466"/>
      <c r="O34" s="473">
        <f>SUMPRODUCT(P35:P38,$G35:$G38)</f>
        <v>4.9007722527369637</v>
      </c>
      <c r="P34" s="474"/>
      <c r="Q34" s="466"/>
      <c r="R34" s="473">
        <f>SUMPRODUCT(S35:S38,$G35:$G38)</f>
        <v>0.7245605022560806</v>
      </c>
      <c r="S34" s="474"/>
      <c r="T34" s="466"/>
      <c r="U34" s="473">
        <f>SUMPRODUCT(V35:V38,$G35:$G38)</f>
        <v>0.44109449487972913</v>
      </c>
      <c r="V34" s="474"/>
      <c r="W34" s="466"/>
      <c r="X34" s="473">
        <f>SUMPRODUCT(Y35:Y38,$G35:$G38)</f>
        <v>1.4240321947782413</v>
      </c>
      <c r="Y34" s="474"/>
      <c r="Z34" s="466"/>
      <c r="AA34" s="473">
        <f>SUMPRODUCT(AB35:AB38,$G35:$G38)</f>
        <v>0</v>
      </c>
      <c r="AB34" s="917"/>
      <c r="AD34" s="553"/>
      <c r="AE34" s="353"/>
      <c r="AF34" s="23">
        <v>0.5</v>
      </c>
      <c r="AG34" s="421" t="str">
        <f>IF(SUM(AG35:AG38)&lt;&gt;1,SUM(AG35:AG38),"")</f>
        <v/>
      </c>
      <c r="AI34" s="353"/>
      <c r="AJ34" s="23">
        <f>'Survey 09-12'!AA23</f>
        <v>0.33</v>
      </c>
      <c r="AK34" s="421" t="str">
        <f>IF(SUM(AK35:AK38)&lt;&gt;1,SUM(AK35:AK38),"")</f>
        <v/>
      </c>
      <c r="AM34" s="353"/>
      <c r="AN34" s="23">
        <v>0.5</v>
      </c>
      <c r="AO34" s="421" t="str">
        <f>IF(SUM(AO35:AO38)&lt;&gt;1,SUM(AO35:AO38),"")</f>
        <v/>
      </c>
      <c r="AQ34" s="353"/>
      <c r="AR34" s="23">
        <v>0.5</v>
      </c>
      <c r="AS34" s="421" t="s">
        <v>862</v>
      </c>
      <c r="AU34" s="353"/>
      <c r="AV34" s="23">
        <f>2/3</f>
        <v>0.66666666666666663</v>
      </c>
      <c r="AW34" s="421" t="str">
        <f>IF(SUM(AW35:AW38)&lt;&gt;1,SUM(AW35:AW38),"")</f>
        <v/>
      </c>
      <c r="AY34" s="353"/>
      <c r="AZ34" s="23">
        <v>0.5</v>
      </c>
      <c r="BA34" s="421" t="s">
        <v>862</v>
      </c>
    </row>
    <row r="35" spans="2:53">
      <c r="B35" s="16"/>
      <c r="C35" s="8"/>
      <c r="D35" s="9" t="s">
        <v>846</v>
      </c>
      <c r="E35" s="27"/>
      <c r="F35" s="27"/>
      <c r="G35" s="72">
        <f t="shared" ref="G35:G37" si="12">CHOOSE($F$4,AG35,AK35,AO35,AS35,AW35,BA35)</f>
        <v>0.3</v>
      </c>
      <c r="H35" s="475"/>
      <c r="I35" s="476"/>
      <c r="J35" s="477">
        <f>'Env - RC - Nutrients'!$B$9</f>
        <v>4.2521631644004945</v>
      </c>
      <c r="K35" s="475"/>
      <c r="L35" s="476"/>
      <c r="M35" s="648">
        <f>'Env - RC - Nutrients'!$C$9</f>
        <v>0</v>
      </c>
      <c r="N35" s="475"/>
      <c r="O35" s="476"/>
      <c r="P35" s="648">
        <f>'Env - RC - Nutrients'!$D$9</f>
        <v>5</v>
      </c>
      <c r="Q35" s="475"/>
      <c r="R35" s="476"/>
      <c r="S35" s="648">
        <f>'Env - RC - Nutrients'!$E$9</f>
        <v>0</v>
      </c>
      <c r="T35" s="475"/>
      <c r="U35" s="476"/>
      <c r="V35" s="648">
        <f>'Env - RC - Nutrients'!$F$9</f>
        <v>0</v>
      </c>
      <c r="W35" s="475"/>
      <c r="X35" s="476"/>
      <c r="Y35" s="477">
        <f>'Env - RC - Nutrients'!$G$9</f>
        <v>0</v>
      </c>
      <c r="Z35" s="475"/>
      <c r="AA35" s="476"/>
      <c r="AB35" s="918" t="str">
        <f>'Env - RC - Nutrients'!$H$9</f>
        <v/>
      </c>
      <c r="AD35" s="553"/>
      <c r="AE35" s="354"/>
      <c r="AF35" s="27"/>
      <c r="AG35" s="414">
        <v>0.3</v>
      </c>
      <c r="AI35" s="354"/>
      <c r="AJ35" s="27"/>
      <c r="AK35" s="414">
        <v>0.3</v>
      </c>
      <c r="AM35" s="354"/>
      <c r="AN35" s="27"/>
      <c r="AO35" s="414">
        <v>0.3</v>
      </c>
      <c r="AQ35" s="354"/>
      <c r="AR35" s="27"/>
      <c r="AS35" s="414">
        <v>0.3</v>
      </c>
      <c r="AU35" s="354"/>
      <c r="AV35" s="27"/>
      <c r="AW35" s="414">
        <v>0.3</v>
      </c>
      <c r="AY35" s="354"/>
      <c r="AZ35" s="27"/>
      <c r="BA35" s="414">
        <v>0.3</v>
      </c>
    </row>
    <row r="36" spans="2:53">
      <c r="B36" s="16"/>
      <c r="C36" s="8"/>
      <c r="D36" s="9" t="s">
        <v>808</v>
      </c>
      <c r="E36" s="27"/>
      <c r="F36" s="27"/>
      <c r="G36" s="72">
        <f t="shared" si="12"/>
        <v>0.6</v>
      </c>
      <c r="H36" s="475"/>
      <c r="I36" s="476"/>
      <c r="J36" s="477">
        <f>'Env - RC - Fixed Carbon'!$C$22</f>
        <v>5</v>
      </c>
      <c r="K36" s="475"/>
      <c r="L36" s="476"/>
      <c r="M36" s="648">
        <f>'Env - RC - Fixed Carbon'!$D$22</f>
        <v>2.460462285453779</v>
      </c>
      <c r="N36" s="475"/>
      <c r="O36" s="476"/>
      <c r="P36" s="648">
        <f>'Env - RC - Fixed Carbon'!$E$22</f>
        <v>4.8346204212282728</v>
      </c>
      <c r="Q36" s="475"/>
      <c r="R36" s="476"/>
      <c r="S36" s="648">
        <f>'Env - RC - Fixed Carbon'!$F$22</f>
        <v>1.2076008370934677</v>
      </c>
      <c r="T36" s="475"/>
      <c r="U36" s="476"/>
      <c r="V36" s="648">
        <f>'Env - RC - Fixed Carbon'!$G$22</f>
        <v>0.73515749146621523</v>
      </c>
      <c r="W36" s="475"/>
      <c r="X36" s="476"/>
      <c r="Y36" s="477">
        <f>'Env - RC - Fixed Carbon'!$H$22</f>
        <v>2.3733869912970689</v>
      </c>
      <c r="Z36" s="475"/>
      <c r="AA36" s="476"/>
      <c r="AB36" s="918" t="str">
        <f>'Env - RC - Fixed Carbon'!$I$22</f>
        <v/>
      </c>
      <c r="AD36" s="553"/>
      <c r="AE36" s="354"/>
      <c r="AF36" s="27"/>
      <c r="AG36" s="414">
        <v>0.6</v>
      </c>
      <c r="AI36" s="354"/>
      <c r="AJ36" s="27"/>
      <c r="AK36" s="414">
        <v>0.6</v>
      </c>
      <c r="AM36" s="354"/>
      <c r="AN36" s="27"/>
      <c r="AO36" s="414">
        <v>0.6</v>
      </c>
      <c r="AQ36" s="354"/>
      <c r="AR36" s="27"/>
      <c r="AS36" s="414">
        <v>0.6</v>
      </c>
      <c r="AU36" s="354"/>
      <c r="AV36" s="27"/>
      <c r="AW36" s="414">
        <v>0.6</v>
      </c>
      <c r="AY36" s="354"/>
      <c r="AZ36" s="27"/>
      <c r="BA36" s="414">
        <v>0.6</v>
      </c>
    </row>
    <row r="37" spans="2:53" s="309" customFormat="1">
      <c r="B37" s="16"/>
      <c r="C37" s="8"/>
      <c r="D37" s="9" t="s">
        <v>339</v>
      </c>
      <c r="E37" s="27"/>
      <c r="F37" s="27"/>
      <c r="G37" s="72">
        <f t="shared" si="12"/>
        <v>0.1</v>
      </c>
      <c r="H37" s="475"/>
      <c r="I37" s="476"/>
      <c r="J37" s="477">
        <f>'Env - RC - Water Conservation'!$B$7</f>
        <v>3.7514844430369738</v>
      </c>
      <c r="K37" s="475"/>
      <c r="L37" s="476"/>
      <c r="M37" s="648">
        <f>'Env - RC - Water Conservation'!$C$7</f>
        <v>0</v>
      </c>
      <c r="N37" s="475"/>
      <c r="O37" s="476"/>
      <c r="P37" s="648">
        <f>'Env - RC - Water Conservation'!$D$7</f>
        <v>5</v>
      </c>
      <c r="Q37" s="475"/>
      <c r="R37" s="476"/>
      <c r="S37" s="648">
        <f>'Env - RC - Water Conservation'!$E$7</f>
        <v>0</v>
      </c>
      <c r="T37" s="475"/>
      <c r="U37" s="476"/>
      <c r="V37" s="648">
        <f>'Env - RC - Water Conservation'!$F$7</f>
        <v>0</v>
      </c>
      <c r="W37" s="475"/>
      <c r="X37" s="476"/>
      <c r="Y37" s="477">
        <f>'Env - RC - Water Conservation'!$G$7</f>
        <v>0</v>
      </c>
      <c r="Z37" s="475"/>
      <c r="AA37" s="476"/>
      <c r="AB37" s="918" t="str">
        <f>'Env - RC - Water Conservation'!$H$7</f>
        <v/>
      </c>
      <c r="AE37" s="354"/>
      <c r="AF37" s="27"/>
      <c r="AG37" s="414">
        <v>0.1</v>
      </c>
      <c r="AI37" s="354"/>
      <c r="AJ37" s="27"/>
      <c r="AK37" s="414">
        <v>0.1</v>
      </c>
      <c r="AM37" s="354"/>
      <c r="AN37" s="27"/>
      <c r="AO37" s="414">
        <v>0.1</v>
      </c>
      <c r="AQ37" s="354"/>
      <c r="AR37" s="27"/>
      <c r="AS37" s="414">
        <v>0.1</v>
      </c>
      <c r="AU37" s="354"/>
      <c r="AV37" s="27"/>
      <c r="AW37" s="414">
        <v>0.1</v>
      </c>
      <c r="AY37" s="354"/>
      <c r="AZ37" s="27"/>
      <c r="BA37" s="414">
        <v>0.1</v>
      </c>
    </row>
    <row r="38" spans="2:53" s="309" customFormat="1">
      <c r="B38" s="16"/>
      <c r="C38" s="8"/>
      <c r="D38" s="9" t="s">
        <v>692</v>
      </c>
      <c r="E38" s="27"/>
      <c r="F38" s="27"/>
      <c r="G38" s="344">
        <f>IF(SUM(G35:G37)=0,0,1-SUM(G35:G37))</f>
        <v>1.1102230246251565E-16</v>
      </c>
      <c r="H38" s="475"/>
      <c r="I38" s="476"/>
      <c r="J38" s="477"/>
      <c r="K38" s="475"/>
      <c r="L38" s="476"/>
      <c r="M38" s="648"/>
      <c r="N38" s="475"/>
      <c r="O38" s="476"/>
      <c r="P38" s="648"/>
      <c r="Q38" s="475"/>
      <c r="R38" s="476"/>
      <c r="S38" s="648"/>
      <c r="T38" s="475"/>
      <c r="U38" s="476"/>
      <c r="V38" s="648"/>
      <c r="W38" s="475"/>
      <c r="X38" s="476"/>
      <c r="Y38" s="477"/>
      <c r="Z38" s="475"/>
      <c r="AA38" s="476"/>
      <c r="AB38" s="918"/>
      <c r="AE38" s="354"/>
      <c r="AF38" s="27"/>
      <c r="AG38" s="422">
        <f>IF(SUM(AG35:AG37)=0,0,1-SUM(AG35:AG37))</f>
        <v>1.1102230246251565E-16</v>
      </c>
      <c r="AI38" s="354"/>
      <c r="AJ38" s="27"/>
      <c r="AK38" s="422">
        <f t="shared" ref="AK38" si="13">IF(SUM(AK35:AK37)=0,0,1-SUM(AK35:AK37))</f>
        <v>1.1102230246251565E-16</v>
      </c>
      <c r="AM38" s="354"/>
      <c r="AN38" s="27"/>
      <c r="AO38" s="422">
        <f>IF(SUM(AO35:AO37)=0,0,1-SUM(AO35:AO37))</f>
        <v>1.1102230246251565E-16</v>
      </c>
      <c r="AQ38" s="354"/>
      <c r="AR38" s="27"/>
      <c r="AS38" s="422">
        <f t="shared" ref="AS38" si="14">IF(SUM(AS35:AS37)=0,0,1-SUM(AS35:AS37))</f>
        <v>1.1102230246251565E-16</v>
      </c>
      <c r="AU38" s="354"/>
      <c r="AV38" s="27"/>
      <c r="AW38" s="422">
        <f>IF(SUM(AW35:AW37)=0,0,1-SUM(AW35:AW37))</f>
        <v>1.1102230246251565E-16</v>
      </c>
      <c r="AY38" s="354"/>
      <c r="AZ38" s="27"/>
      <c r="BA38" s="422">
        <f t="shared" ref="BA38" si="15">IF(SUM(BA35:BA37)=0,0,1-SUM(BA35:BA37))</f>
        <v>1.1102230246251565E-16</v>
      </c>
    </row>
    <row r="39" spans="2:53">
      <c r="B39" s="16"/>
      <c r="C39" s="8"/>
      <c r="D39" s="9"/>
      <c r="E39" s="12"/>
      <c r="F39" s="12"/>
      <c r="G39" s="341"/>
      <c r="H39" s="478"/>
      <c r="I39" s="473"/>
      <c r="J39" s="479"/>
      <c r="K39" s="478"/>
      <c r="L39" s="473"/>
      <c r="M39" s="479"/>
      <c r="N39" s="478"/>
      <c r="O39" s="473"/>
      <c r="P39" s="479"/>
      <c r="Q39" s="478"/>
      <c r="R39" s="473"/>
      <c r="S39" s="479"/>
      <c r="T39" s="478"/>
      <c r="U39" s="473"/>
      <c r="V39" s="479"/>
      <c r="W39" s="478"/>
      <c r="X39" s="473"/>
      <c r="Y39" s="479"/>
      <c r="Z39" s="478"/>
      <c r="AA39" s="473"/>
      <c r="AB39" s="919"/>
      <c r="AE39" s="352"/>
      <c r="AF39" s="12"/>
      <c r="AG39" s="419"/>
      <c r="AI39" s="352"/>
      <c r="AJ39" s="12"/>
      <c r="AK39" s="419"/>
      <c r="AM39" s="352"/>
      <c r="AN39" s="12"/>
      <c r="AO39" s="419"/>
      <c r="AQ39" s="352"/>
      <c r="AR39" s="12"/>
      <c r="AS39" s="419"/>
      <c r="AU39" s="352"/>
      <c r="AV39" s="12"/>
      <c r="AW39" s="419"/>
      <c r="AY39" s="352"/>
      <c r="AZ39" s="12"/>
      <c r="BA39" s="419"/>
    </row>
    <row r="40" spans="2:53" ht="15.75">
      <c r="B40" s="16"/>
      <c r="C40" s="8" t="s">
        <v>53</v>
      </c>
      <c r="D40" s="9"/>
      <c r="E40" s="73"/>
      <c r="F40" s="72">
        <f>CHOOSE($F$4,AF40,AJ40,AN40,AR40,AV40,AZ40)</f>
        <v>0.25</v>
      </c>
      <c r="G40" s="343"/>
      <c r="H40" s="478"/>
      <c r="I40" s="473">
        <f>SUMPRODUCT(J41:J44,$G41:$G44)</f>
        <v>2.1485695046134268</v>
      </c>
      <c r="J40" s="480"/>
      <c r="K40" s="478"/>
      <c r="L40" s="473">
        <f>SUMPRODUCT(M41:M44,$G41:$G44)</f>
        <v>2.1485695046134268</v>
      </c>
      <c r="M40" s="480"/>
      <c r="N40" s="478"/>
      <c r="O40" s="473">
        <f>SUMPRODUCT(P41:P44,$G41:$G44)</f>
        <v>2.1652516242667592</v>
      </c>
      <c r="P40" s="480"/>
      <c r="Q40" s="478"/>
      <c r="R40" s="473">
        <f>SUMPRODUCT(S41:S44,$G41:$G44)</f>
        <v>2.1652516242667592</v>
      </c>
      <c r="S40" s="480"/>
      <c r="T40" s="478"/>
      <c r="U40" s="473">
        <f>SUMPRODUCT(V41:V44,$G41:$G44)</f>
        <v>2.5932147972325583</v>
      </c>
      <c r="V40" s="480"/>
      <c r="W40" s="478"/>
      <c r="X40" s="473">
        <f>SUMPRODUCT(Y41:Y44,$G41:$G44)</f>
        <v>2.9060226349348866</v>
      </c>
      <c r="Y40" s="480"/>
      <c r="Z40" s="478"/>
      <c r="AA40" s="473">
        <f>SUMPRODUCT(AB41:AB44,$G41:$G44)</f>
        <v>0</v>
      </c>
      <c r="AB40" s="920"/>
      <c r="AD40" s="553"/>
      <c r="AE40" s="353"/>
      <c r="AF40" s="23">
        <v>0.25</v>
      </c>
      <c r="AG40" s="421"/>
      <c r="AI40" s="353"/>
      <c r="AJ40" s="23">
        <f>'Survey 09-12'!AB23</f>
        <v>0.3</v>
      </c>
      <c r="AK40" s="421"/>
      <c r="AM40" s="353"/>
      <c r="AN40" s="23">
        <v>0.25</v>
      </c>
      <c r="AO40" s="421"/>
      <c r="AQ40" s="353"/>
      <c r="AR40" s="23">
        <v>0.25</v>
      </c>
      <c r="AS40" s="421"/>
      <c r="AU40" s="353"/>
      <c r="AV40" s="23">
        <f>1/3</f>
        <v>0.33333333333333331</v>
      </c>
      <c r="AW40" s="421"/>
      <c r="AY40" s="353"/>
      <c r="AZ40" s="23">
        <v>0.25</v>
      </c>
      <c r="BA40" s="421"/>
    </row>
    <row r="41" spans="2:53">
      <c r="B41" s="16"/>
      <c r="C41" s="8"/>
      <c r="D41" s="9" t="s">
        <v>694</v>
      </c>
      <c r="E41" s="27"/>
      <c r="F41" s="27"/>
      <c r="G41" s="72">
        <f t="shared" ref="G41:G43" si="16">CHOOSE($F$4,AG41,AK41,AO41,AS41,AW41,BA41)</f>
        <v>0.33329999999999999</v>
      </c>
      <c r="H41" s="475"/>
      <c r="I41" s="476"/>
      <c r="J41" s="477">
        <f>'Env - Land Impacts'!$B$3</f>
        <v>2.5</v>
      </c>
      <c r="K41" s="475"/>
      <c r="L41" s="476"/>
      <c r="M41" s="648">
        <f>'Env - Land Impacts'!$B$4</f>
        <v>2.5</v>
      </c>
      <c r="N41" s="475"/>
      <c r="O41" s="476"/>
      <c r="P41" s="648">
        <f>'Env - Land Impacts'!$B$5</f>
        <v>2.5</v>
      </c>
      <c r="Q41" s="475"/>
      <c r="R41" s="476"/>
      <c r="S41" s="648">
        <f>'Env - Land Impacts'!$B$6</f>
        <v>2.5</v>
      </c>
      <c r="T41" s="475"/>
      <c r="U41" s="476"/>
      <c r="V41" s="648">
        <f>'Env - Land Impacts'!$B$7</f>
        <v>2.5</v>
      </c>
      <c r="W41" s="475"/>
      <c r="X41" s="476"/>
      <c r="Y41" s="477">
        <f>'Env - Land Impacts'!$B$8</f>
        <v>2.5</v>
      </c>
      <c r="Z41" s="475"/>
      <c r="AA41" s="476"/>
      <c r="AB41" s="918" t="str">
        <f>IF(CustomON="Off","",'Env - Land Impacts'!$B$9)</f>
        <v/>
      </c>
      <c r="AD41" s="553"/>
      <c r="AE41" s="354"/>
      <c r="AF41" s="27"/>
      <c r="AG41" s="414">
        <v>0.33329999999999999</v>
      </c>
      <c r="AI41" s="354"/>
      <c r="AJ41" s="27"/>
      <c r="AK41" s="414">
        <v>0.33329999999999999</v>
      </c>
      <c r="AM41" s="354"/>
      <c r="AN41" s="27"/>
      <c r="AO41" s="414">
        <v>0.33329999999999999</v>
      </c>
      <c r="AQ41" s="354"/>
      <c r="AR41" s="27"/>
      <c r="AS41" s="414">
        <v>0.33329999999999999</v>
      </c>
      <c r="AU41" s="354"/>
      <c r="AV41" s="27"/>
      <c r="AW41" s="414">
        <v>0.33329999999999999</v>
      </c>
      <c r="AY41" s="354"/>
      <c r="AZ41" s="27"/>
      <c r="BA41" s="414">
        <v>0.33329999999999999</v>
      </c>
    </row>
    <row r="42" spans="2:53">
      <c r="B42" s="16"/>
      <c r="C42" s="8"/>
      <c r="D42" s="9" t="s">
        <v>695</v>
      </c>
      <c r="E42" s="27"/>
      <c r="F42" s="27"/>
      <c r="G42" s="72">
        <f t="shared" si="16"/>
        <v>0.33329999999999999</v>
      </c>
      <c r="H42" s="475"/>
      <c r="I42" s="476"/>
      <c r="J42" s="477">
        <f>'Env - Air Impacts'!C$13</f>
        <v>1.4463531491551964</v>
      </c>
      <c r="K42" s="475"/>
      <c r="L42" s="476"/>
      <c r="M42" s="648">
        <f>'Env - Air Impacts'!D$13</f>
        <v>1.4463531491551964</v>
      </c>
      <c r="N42" s="475"/>
      <c r="O42" s="476"/>
      <c r="P42" s="648">
        <f>'Env - Air Impacts'!E$13</f>
        <v>1.4964045132516026</v>
      </c>
      <c r="Q42" s="475"/>
      <c r="R42" s="476"/>
      <c r="S42" s="648">
        <f>'Env - Air Impacts'!F$13</f>
        <v>1.4964045132516026</v>
      </c>
      <c r="T42" s="475"/>
      <c r="U42" s="476"/>
      <c r="V42" s="648">
        <f>'Env - Air Impacts'!G$13</f>
        <v>2.7804224339410695</v>
      </c>
      <c r="W42" s="475"/>
      <c r="X42" s="476"/>
      <c r="Y42" s="477">
        <f>'Env - Air Impacts'!H$13</f>
        <v>3.7189397987845378</v>
      </c>
      <c r="Z42" s="475"/>
      <c r="AA42" s="476"/>
      <c r="AB42" s="918" t="str">
        <f>'Env - Air Impacts'!I$13</f>
        <v/>
      </c>
      <c r="AE42" s="354"/>
      <c r="AF42" s="27"/>
      <c r="AG42" s="414">
        <v>0.33329999999999999</v>
      </c>
      <c r="AI42" s="354"/>
      <c r="AJ42" s="27"/>
      <c r="AK42" s="414">
        <v>0.33329999999999999</v>
      </c>
      <c r="AM42" s="354"/>
      <c r="AN42" s="27"/>
      <c r="AO42" s="414">
        <v>0.33329999999999999</v>
      </c>
      <c r="AQ42" s="354"/>
      <c r="AR42" s="27"/>
      <c r="AS42" s="414">
        <v>0.33329999999999999</v>
      </c>
      <c r="AU42" s="354"/>
      <c r="AV42" s="27"/>
      <c r="AW42" s="414">
        <v>0.33329999999999999</v>
      </c>
      <c r="AY42" s="354"/>
      <c r="AZ42" s="27"/>
      <c r="BA42" s="414">
        <v>0.33329999999999999</v>
      </c>
    </row>
    <row r="43" spans="2:53">
      <c r="B43" s="16"/>
      <c r="C43" s="8"/>
      <c r="D43" s="9" t="s">
        <v>696</v>
      </c>
      <c r="E43" s="27"/>
      <c r="F43" s="27"/>
      <c r="G43" s="72">
        <f t="shared" si="16"/>
        <v>0.33329999999999999</v>
      </c>
      <c r="H43" s="475"/>
      <c r="I43" s="476"/>
      <c r="J43" s="477">
        <f>'Env - Water Impacts'!$B$3</f>
        <v>2.5</v>
      </c>
      <c r="K43" s="475"/>
      <c r="L43" s="476"/>
      <c r="M43" s="648">
        <f>'Env - Water Impacts'!$B$4</f>
        <v>2.5</v>
      </c>
      <c r="N43" s="475"/>
      <c r="O43" s="476"/>
      <c r="P43" s="648">
        <f>'Env - Water Impacts'!$B$5</f>
        <v>2.5</v>
      </c>
      <c r="Q43" s="475"/>
      <c r="R43" s="476"/>
      <c r="S43" s="648">
        <f>'Env - Water Impacts'!$B$6</f>
        <v>2.5</v>
      </c>
      <c r="T43" s="475"/>
      <c r="U43" s="476"/>
      <c r="V43" s="648">
        <f>'Env - Water Impacts'!$B$7</f>
        <v>2.5</v>
      </c>
      <c r="W43" s="475"/>
      <c r="X43" s="476"/>
      <c r="Y43" s="477">
        <f>'Env - Water Impacts'!$B$8</f>
        <v>2.5</v>
      </c>
      <c r="Z43" s="475"/>
      <c r="AA43" s="476"/>
      <c r="AB43" s="918" t="str">
        <f>IF(CustomON="Off","",'Env - Water Impacts'!$B$9)</f>
        <v/>
      </c>
      <c r="AE43" s="354"/>
      <c r="AF43" s="27"/>
      <c r="AG43" s="414">
        <v>0.33329999999999999</v>
      </c>
      <c r="AI43" s="354"/>
      <c r="AJ43" s="27"/>
      <c r="AK43" s="414">
        <v>0.33329999999999999</v>
      </c>
      <c r="AM43" s="354"/>
      <c r="AN43" s="27"/>
      <c r="AO43" s="414">
        <v>0.33329999999999999</v>
      </c>
      <c r="AQ43" s="354"/>
      <c r="AR43" s="27"/>
      <c r="AS43" s="414">
        <v>0.33329999999999999</v>
      </c>
      <c r="AU43" s="354"/>
      <c r="AV43" s="27"/>
      <c r="AW43" s="414">
        <v>0.33329999999999999</v>
      </c>
      <c r="AY43" s="354"/>
      <c r="AZ43" s="27"/>
      <c r="BA43" s="414">
        <v>0.33329999999999999</v>
      </c>
    </row>
    <row r="44" spans="2:53" s="309" customFormat="1">
      <c r="B44" s="16"/>
      <c r="C44" s="8"/>
      <c r="D44" s="9" t="s">
        <v>692</v>
      </c>
      <c r="E44" s="27"/>
      <c r="F44" s="27"/>
      <c r="G44" s="344">
        <f>IF(SUM(G41:G43)=0,0,1-SUM(G41:G43))</f>
        <v>9.9999999999988987E-5</v>
      </c>
      <c r="H44" s="475"/>
      <c r="I44" s="476"/>
      <c r="J44" s="477"/>
      <c r="K44" s="475"/>
      <c r="L44" s="476"/>
      <c r="M44" s="648"/>
      <c r="N44" s="475"/>
      <c r="O44" s="476"/>
      <c r="P44" s="648"/>
      <c r="Q44" s="475"/>
      <c r="R44" s="476"/>
      <c r="S44" s="648"/>
      <c r="T44" s="475"/>
      <c r="U44" s="476"/>
      <c r="V44" s="648"/>
      <c r="W44" s="475"/>
      <c r="X44" s="476"/>
      <c r="Y44" s="477"/>
      <c r="Z44" s="475"/>
      <c r="AA44" s="476"/>
      <c r="AB44" s="918"/>
      <c r="AE44" s="354"/>
      <c r="AF44" s="27"/>
      <c r="AG44" s="422">
        <f>IF(SUM(AG41:AG43)=0,0,1-SUM(AG41:AG43))</f>
        <v>9.9999999999988987E-5</v>
      </c>
      <c r="AH44" s="969"/>
      <c r="AI44" s="354"/>
      <c r="AJ44" s="27"/>
      <c r="AK44" s="422">
        <f t="shared" ref="AK44" si="17">IF(SUM(AK41:AK43)=0,0,1-SUM(AK41:AK43))</f>
        <v>9.9999999999988987E-5</v>
      </c>
      <c r="AL44" s="969"/>
      <c r="AM44" s="354"/>
      <c r="AN44" s="27"/>
      <c r="AO44" s="422">
        <f>IF(SUM(AO41:AO43)=0,0,1-SUM(AO41:AO43))</f>
        <v>9.9999999999988987E-5</v>
      </c>
      <c r="AP44" s="969"/>
      <c r="AQ44" s="354"/>
      <c r="AR44" s="27"/>
      <c r="AS44" s="422">
        <f t="shared" ref="AS44" si="18">IF(SUM(AS41:AS43)=0,0,1-SUM(AS41:AS43))</f>
        <v>9.9999999999988987E-5</v>
      </c>
      <c r="AT44" s="969"/>
      <c r="AU44" s="354"/>
      <c r="AV44" s="27"/>
      <c r="AW44" s="422">
        <f>IF(SUM(AW41:AW43)=0,0,1-SUM(AW41:AW43))</f>
        <v>9.9999999999988987E-5</v>
      </c>
      <c r="AY44" s="354"/>
      <c r="AZ44" s="27"/>
      <c r="BA44" s="422">
        <f t="shared" ref="BA44" si="19">IF(SUM(BA41:BA43)=0,0,1-SUM(BA41:BA43))</f>
        <v>9.9999999999988987E-5</v>
      </c>
    </row>
    <row r="45" spans="2:53">
      <c r="B45" s="16"/>
      <c r="C45" s="8"/>
      <c r="D45" s="9"/>
      <c r="E45" s="12"/>
      <c r="F45" s="12"/>
      <c r="G45" s="341"/>
      <c r="H45" s="478"/>
      <c r="I45" s="473"/>
      <c r="J45" s="479"/>
      <c r="K45" s="478"/>
      <c r="L45" s="473"/>
      <c r="M45" s="479"/>
      <c r="N45" s="478"/>
      <c r="O45" s="473"/>
      <c r="P45" s="479"/>
      <c r="Q45" s="478"/>
      <c r="R45" s="473"/>
      <c r="S45" s="479"/>
      <c r="T45" s="478"/>
      <c r="U45" s="473"/>
      <c r="V45" s="479"/>
      <c r="W45" s="478"/>
      <c r="X45" s="473"/>
      <c r="Y45" s="479"/>
      <c r="Z45" s="478"/>
      <c r="AA45" s="473"/>
      <c r="AB45" s="919"/>
      <c r="AE45" s="352"/>
      <c r="AF45" s="12"/>
      <c r="AG45" s="419"/>
      <c r="AI45" s="352"/>
      <c r="AJ45" s="12"/>
      <c r="AK45" s="419"/>
      <c r="AM45" s="352"/>
      <c r="AN45" s="12"/>
      <c r="AO45" s="419"/>
      <c r="AQ45" s="352"/>
      <c r="AR45" s="12"/>
      <c r="AS45" s="419"/>
      <c r="AU45" s="352"/>
      <c r="AV45" s="12"/>
      <c r="AW45" s="419"/>
      <c r="AY45" s="352"/>
      <c r="AZ45" s="12"/>
      <c r="BA45" s="419"/>
    </row>
    <row r="46" spans="2:53" ht="15.75">
      <c r="B46" s="16"/>
      <c r="C46" s="8" t="s">
        <v>54</v>
      </c>
      <c r="D46" s="9"/>
      <c r="E46" s="13"/>
      <c r="F46" s="72">
        <f>CHOOSE($F$4,AF46,AJ46,AN46,AR46,AV46,AZ46)</f>
        <v>0.25</v>
      </c>
      <c r="G46" s="341"/>
      <c r="H46" s="478"/>
      <c r="I46" s="473">
        <f>SUMPRODUCT(J47:J50,$G47:$G50)</f>
        <v>4</v>
      </c>
      <c r="J46" s="480"/>
      <c r="K46" s="478"/>
      <c r="L46" s="473">
        <f>SUMPRODUCT(M47:M50,$G47:$G50)</f>
        <v>3</v>
      </c>
      <c r="M46" s="480"/>
      <c r="N46" s="478"/>
      <c r="O46" s="473">
        <f>SUMPRODUCT(P47:P50,$G47:$G50)</f>
        <v>2.5</v>
      </c>
      <c r="P46" s="480"/>
      <c r="Q46" s="478"/>
      <c r="R46" s="473">
        <f>SUMPRODUCT(S47:S50,$G47:$G50)</f>
        <v>2.5</v>
      </c>
      <c r="S46" s="480"/>
      <c r="T46" s="478"/>
      <c r="U46" s="473">
        <f>SUMPRODUCT(V47:V50,$G47:$G50)</f>
        <v>3</v>
      </c>
      <c r="V46" s="480"/>
      <c r="W46" s="478"/>
      <c r="X46" s="473">
        <f>SUMPRODUCT(Y47:Y50,$G47:$G50)</f>
        <v>2</v>
      </c>
      <c r="Y46" s="480"/>
      <c r="Z46" s="478"/>
      <c r="AA46" s="473">
        <f>SUMPRODUCT(AB47:AB50,$G47:$G50)</f>
        <v>0</v>
      </c>
      <c r="AB46" s="920"/>
      <c r="AE46" s="355"/>
      <c r="AF46" s="72">
        <f>1-AF40-AF34</f>
        <v>0.25</v>
      </c>
      <c r="AG46" s="419"/>
      <c r="AI46" s="355"/>
      <c r="AJ46" s="72">
        <f>1-AJ40-AJ34</f>
        <v>0.36999999999999994</v>
      </c>
      <c r="AK46" s="419"/>
      <c r="AM46" s="355"/>
      <c r="AN46" s="72">
        <f>1-AN40-AN34</f>
        <v>0.25</v>
      </c>
      <c r="AO46" s="419"/>
      <c r="AQ46" s="355"/>
      <c r="AR46" s="72">
        <v>0.25</v>
      </c>
      <c r="AS46" s="419"/>
      <c r="AU46" s="355"/>
      <c r="AV46" s="72">
        <f>1-AV40-AV34</f>
        <v>0</v>
      </c>
      <c r="AW46" s="419"/>
      <c r="AY46" s="355"/>
      <c r="AZ46" s="72">
        <v>0.25</v>
      </c>
      <c r="BA46" s="419"/>
    </row>
    <row r="47" spans="2:53">
      <c r="B47" s="16"/>
      <c r="C47" s="8"/>
      <c r="D47" s="9" t="s">
        <v>847</v>
      </c>
      <c r="E47" s="27"/>
      <c r="F47" s="22"/>
      <c r="G47" s="72">
        <f t="shared" ref="G47:G49" si="20">CHOOSE($F$4,AG47,AK47,AO47,AS47,AW47,BA47)</f>
        <v>1</v>
      </c>
      <c r="H47" s="475"/>
      <c r="I47" s="476"/>
      <c r="J47" s="477">
        <f>'Env - Regulatory Flexibility'!$B$3</f>
        <v>4</v>
      </c>
      <c r="K47" s="475"/>
      <c r="L47" s="476"/>
      <c r="M47" s="648">
        <f>'Env - Regulatory Flexibility'!$B$4</f>
        <v>3</v>
      </c>
      <c r="N47" s="475"/>
      <c r="O47" s="476"/>
      <c r="P47" s="648">
        <f>'Env - Regulatory Flexibility'!$B$5</f>
        <v>2.5</v>
      </c>
      <c r="Q47" s="475"/>
      <c r="R47" s="476"/>
      <c r="S47" s="648">
        <f>'Env - Regulatory Flexibility'!$B$6</f>
        <v>2.5</v>
      </c>
      <c r="T47" s="475"/>
      <c r="U47" s="476"/>
      <c r="V47" s="648">
        <f>'Env - Regulatory Flexibility'!$B$7</f>
        <v>3</v>
      </c>
      <c r="W47" s="475"/>
      <c r="X47" s="476"/>
      <c r="Y47" s="477">
        <f>'Env - Regulatory Flexibility'!$B$8</f>
        <v>2</v>
      </c>
      <c r="Z47" s="475"/>
      <c r="AA47" s="476"/>
      <c r="AB47" s="918" t="str">
        <f>IF(CustomON="Off","",'Env - Regulatory Flexibility'!$B$9)</f>
        <v/>
      </c>
      <c r="AE47" s="354"/>
      <c r="AF47" s="22"/>
      <c r="AG47" s="414">
        <v>1</v>
      </c>
      <c r="AI47" s="354"/>
      <c r="AJ47" s="22"/>
      <c r="AK47" s="414">
        <v>1</v>
      </c>
      <c r="AM47" s="354"/>
      <c r="AN47" s="22"/>
      <c r="AO47" s="414">
        <v>1</v>
      </c>
      <c r="AQ47" s="354"/>
      <c r="AR47" s="22"/>
      <c r="AS47" s="414">
        <v>1</v>
      </c>
      <c r="AU47" s="354"/>
      <c r="AV47" s="22"/>
      <c r="AW47" s="414">
        <v>0</v>
      </c>
      <c r="AY47" s="354"/>
      <c r="AZ47" s="22"/>
      <c r="BA47" s="414">
        <v>1</v>
      </c>
    </row>
    <row r="48" spans="2:53" s="309" customFormat="1">
      <c r="B48" s="16"/>
      <c r="C48" s="8"/>
      <c r="D48" s="9" t="s">
        <v>692</v>
      </c>
      <c r="E48" s="27"/>
      <c r="F48" s="22"/>
      <c r="G48" s="72">
        <f t="shared" si="20"/>
        <v>0</v>
      </c>
      <c r="H48" s="475"/>
      <c r="I48" s="476"/>
      <c r="J48" s="477"/>
      <c r="K48" s="475"/>
      <c r="L48" s="476"/>
      <c r="M48" s="648"/>
      <c r="N48" s="475"/>
      <c r="O48" s="476"/>
      <c r="P48" s="648"/>
      <c r="Q48" s="475"/>
      <c r="R48" s="476"/>
      <c r="S48" s="648"/>
      <c r="T48" s="475"/>
      <c r="U48" s="476"/>
      <c r="V48" s="648"/>
      <c r="W48" s="475"/>
      <c r="X48" s="476"/>
      <c r="Y48" s="477"/>
      <c r="Z48" s="475"/>
      <c r="AA48" s="476"/>
      <c r="AB48" s="918"/>
      <c r="AE48" s="354"/>
      <c r="AF48" s="22"/>
      <c r="AG48" s="414">
        <v>0</v>
      </c>
      <c r="AI48" s="354"/>
      <c r="AJ48" s="22"/>
      <c r="AK48" s="414">
        <v>0</v>
      </c>
      <c r="AM48" s="354"/>
      <c r="AN48" s="22"/>
      <c r="AO48" s="414">
        <v>0</v>
      </c>
      <c r="AQ48" s="354"/>
      <c r="AR48" s="22"/>
      <c r="AS48" s="414">
        <v>0</v>
      </c>
      <c r="AU48" s="354"/>
      <c r="AV48" s="22"/>
      <c r="AW48" s="414">
        <v>0</v>
      </c>
      <c r="AY48" s="354"/>
      <c r="AZ48" s="22"/>
      <c r="BA48" s="414">
        <v>0</v>
      </c>
    </row>
    <row r="49" spans="2:53" s="309" customFormat="1">
      <c r="B49" s="16"/>
      <c r="C49" s="8"/>
      <c r="D49" s="9" t="s">
        <v>692</v>
      </c>
      <c r="E49" s="27"/>
      <c r="F49" s="22"/>
      <c r="G49" s="72">
        <f t="shared" si="20"/>
        <v>0</v>
      </c>
      <c r="H49" s="475"/>
      <c r="I49" s="476"/>
      <c r="J49" s="477"/>
      <c r="K49" s="475"/>
      <c r="L49" s="476"/>
      <c r="M49" s="648"/>
      <c r="N49" s="475"/>
      <c r="O49" s="476"/>
      <c r="P49" s="648"/>
      <c r="Q49" s="475"/>
      <c r="R49" s="476"/>
      <c r="S49" s="648"/>
      <c r="T49" s="475"/>
      <c r="U49" s="476"/>
      <c r="V49" s="648"/>
      <c r="W49" s="475"/>
      <c r="X49" s="476"/>
      <c r="Y49" s="477"/>
      <c r="Z49" s="475"/>
      <c r="AA49" s="476"/>
      <c r="AB49" s="918"/>
      <c r="AE49" s="354"/>
      <c r="AF49" s="22"/>
      <c r="AG49" s="414">
        <v>0</v>
      </c>
      <c r="AI49" s="354"/>
      <c r="AJ49" s="22"/>
      <c r="AK49" s="414">
        <v>0</v>
      </c>
      <c r="AM49" s="354"/>
      <c r="AN49" s="22"/>
      <c r="AO49" s="414">
        <v>0</v>
      </c>
      <c r="AQ49" s="354"/>
      <c r="AR49" s="22"/>
      <c r="AS49" s="414">
        <v>0</v>
      </c>
      <c r="AU49" s="354"/>
      <c r="AV49" s="22"/>
      <c r="AW49" s="414">
        <v>0</v>
      </c>
      <c r="AY49" s="354"/>
      <c r="AZ49" s="22"/>
      <c r="BA49" s="414">
        <v>0</v>
      </c>
    </row>
    <row r="50" spans="2:53" s="309" customFormat="1">
      <c r="B50" s="16"/>
      <c r="C50" s="8"/>
      <c r="D50" s="9" t="s">
        <v>692</v>
      </c>
      <c r="E50" s="27"/>
      <c r="F50" s="22"/>
      <c r="G50" s="344">
        <f>IF(SUM(G47:G49)=0,0,1-SUM(G47:G49))</f>
        <v>0</v>
      </c>
      <c r="H50" s="475"/>
      <c r="I50" s="476"/>
      <c r="J50" s="477"/>
      <c r="K50" s="475"/>
      <c r="L50" s="476"/>
      <c r="M50" s="648"/>
      <c r="N50" s="475"/>
      <c r="O50" s="476"/>
      <c r="P50" s="648"/>
      <c r="Q50" s="475"/>
      <c r="R50" s="476"/>
      <c r="S50" s="648"/>
      <c r="T50" s="475"/>
      <c r="U50" s="476"/>
      <c r="V50" s="648"/>
      <c r="W50" s="475"/>
      <c r="X50" s="476"/>
      <c r="Y50" s="477"/>
      <c r="Z50" s="475"/>
      <c r="AA50" s="476"/>
      <c r="AB50" s="918"/>
      <c r="AE50" s="354"/>
      <c r="AF50" s="22"/>
      <c r="AG50" s="422">
        <f>IF(SUM(AG47:AG49)=0,0,1-SUM(AG47:AG49))</f>
        <v>0</v>
      </c>
      <c r="AH50" s="969"/>
      <c r="AI50" s="354"/>
      <c r="AJ50" s="27"/>
      <c r="AK50" s="422">
        <f t="shared" ref="AK50" si="21">IF(SUM(AK47:AK49)=0,0,1-SUM(AK47:AK49))</f>
        <v>0</v>
      </c>
      <c r="AL50" s="969"/>
      <c r="AM50" s="354"/>
      <c r="AN50" s="22"/>
      <c r="AO50" s="422">
        <f>IF(SUM(AO47:AO49)=0,0,1-SUM(AO47:AO49))</f>
        <v>0</v>
      </c>
      <c r="AP50" s="969"/>
      <c r="AQ50" s="354"/>
      <c r="AR50" s="27"/>
      <c r="AS50" s="422">
        <f t="shared" ref="AS50" si="22">IF(SUM(AS47:AS49)=0,0,1-SUM(AS47:AS49))</f>
        <v>0</v>
      </c>
      <c r="AT50" s="969"/>
      <c r="AU50" s="354"/>
      <c r="AV50" s="22"/>
      <c r="AW50" s="422">
        <f>IF(SUM(AW47:AW49)=0,0,1-SUM(AW47:AW49))</f>
        <v>0</v>
      </c>
      <c r="AY50" s="354"/>
      <c r="AZ50" s="27"/>
      <c r="BA50" s="422">
        <f t="shared" ref="BA50" si="23">IF(SUM(BA47:BA49)=0,0,1-SUM(BA47:BA49))</f>
        <v>0</v>
      </c>
    </row>
    <row r="51" spans="2:53">
      <c r="B51" s="387"/>
      <c r="C51" s="388"/>
      <c r="D51" s="389"/>
      <c r="E51" s="390"/>
      <c r="F51" s="391"/>
      <c r="G51" s="392"/>
      <c r="H51" s="481"/>
      <c r="I51" s="482"/>
      <c r="J51" s="483"/>
      <c r="K51" s="481"/>
      <c r="L51" s="840"/>
      <c r="M51" s="483"/>
      <c r="N51" s="481"/>
      <c r="O51" s="840"/>
      <c r="P51" s="483"/>
      <c r="Q51" s="481"/>
      <c r="R51" s="482"/>
      <c r="S51" s="483"/>
      <c r="T51" s="481"/>
      <c r="U51" s="482"/>
      <c r="V51" s="483"/>
      <c r="W51" s="481"/>
      <c r="X51" s="482"/>
      <c r="Y51" s="483"/>
      <c r="Z51" s="481"/>
      <c r="AA51" s="840"/>
      <c r="AB51" s="921"/>
      <c r="AE51" s="423"/>
      <c r="AF51" s="391"/>
      <c r="AG51" s="424"/>
      <c r="AI51" s="423"/>
      <c r="AJ51" s="391"/>
      <c r="AK51" s="424"/>
      <c r="AM51" s="423"/>
      <c r="AN51" s="391"/>
      <c r="AO51" s="424"/>
      <c r="AQ51" s="423"/>
      <c r="AR51" s="391"/>
      <c r="AS51" s="424"/>
      <c r="AU51" s="423"/>
      <c r="AV51" s="391"/>
      <c r="AW51" s="424"/>
      <c r="AY51" s="423"/>
      <c r="AZ51" s="391"/>
      <c r="BA51" s="424"/>
    </row>
    <row r="52" spans="2:53">
      <c r="B52" s="359"/>
      <c r="C52" s="360"/>
      <c r="D52" s="361"/>
      <c r="E52" s="362"/>
      <c r="F52" s="363"/>
      <c r="G52" s="364"/>
      <c r="H52" s="484"/>
      <c r="I52" s="485"/>
      <c r="J52" s="486"/>
      <c r="K52" s="484"/>
      <c r="L52" s="485"/>
      <c r="M52" s="486"/>
      <c r="N52" s="484"/>
      <c r="O52" s="485"/>
      <c r="P52" s="486"/>
      <c r="Q52" s="484"/>
      <c r="R52" s="485"/>
      <c r="S52" s="486"/>
      <c r="T52" s="484"/>
      <c r="U52" s="485"/>
      <c r="V52" s="486"/>
      <c r="W52" s="484"/>
      <c r="X52" s="485"/>
      <c r="Y52" s="486"/>
      <c r="Z52" s="484"/>
      <c r="AA52" s="485"/>
      <c r="AB52" s="922"/>
      <c r="AE52" s="425"/>
      <c r="AF52" s="363"/>
      <c r="AG52" s="426"/>
      <c r="AI52" s="425"/>
      <c r="AJ52" s="363"/>
      <c r="AK52" s="426"/>
      <c r="AM52" s="425"/>
      <c r="AN52" s="363"/>
      <c r="AO52" s="426"/>
      <c r="AQ52" s="425"/>
      <c r="AR52" s="363"/>
      <c r="AS52" s="426"/>
      <c r="AU52" s="425"/>
      <c r="AV52" s="363"/>
      <c r="AW52" s="426"/>
      <c r="AY52" s="425"/>
      <c r="AZ52" s="363"/>
      <c r="BA52" s="426"/>
    </row>
    <row r="53" spans="2:53" ht="15.75">
      <c r="B53" s="359"/>
      <c r="C53" s="360"/>
      <c r="D53" s="361"/>
      <c r="E53" s="365"/>
      <c r="F53" s="363"/>
      <c r="G53" s="364"/>
      <c r="H53" s="487"/>
      <c r="I53" s="485"/>
      <c r="J53" s="486"/>
      <c r="K53" s="487"/>
      <c r="L53" s="485"/>
      <c r="M53" s="486"/>
      <c r="N53" s="487"/>
      <c r="O53" s="485"/>
      <c r="P53" s="486"/>
      <c r="Q53" s="487"/>
      <c r="R53" s="485"/>
      <c r="S53" s="486"/>
      <c r="T53" s="487"/>
      <c r="U53" s="485"/>
      <c r="V53" s="486"/>
      <c r="W53" s="487"/>
      <c r="X53" s="485"/>
      <c r="Y53" s="486"/>
      <c r="Z53" s="487"/>
      <c r="AA53" s="485"/>
      <c r="AB53" s="922"/>
      <c r="AE53" s="425"/>
      <c r="AF53" s="363"/>
      <c r="AG53" s="426"/>
      <c r="AI53" s="425"/>
      <c r="AJ53" s="363"/>
      <c r="AK53" s="426"/>
      <c r="AM53" s="425"/>
      <c r="AN53" s="363"/>
      <c r="AO53" s="426"/>
      <c r="AQ53" s="425"/>
      <c r="AR53" s="363"/>
      <c r="AS53" s="426"/>
      <c r="AU53" s="425"/>
      <c r="AV53" s="363"/>
      <c r="AW53" s="426"/>
      <c r="AY53" s="425"/>
      <c r="AZ53" s="363"/>
      <c r="BA53" s="426"/>
    </row>
    <row r="54" spans="2:53" s="2" customFormat="1">
      <c r="B54" s="359" t="s">
        <v>51</v>
      </c>
      <c r="C54" s="360"/>
      <c r="D54" s="366"/>
      <c r="E54" s="367">
        <f>CHOOSE($F$4,AE54,AI54,AM54,AQ54,AU54,AY54)</f>
        <v>0.33333333333333343</v>
      </c>
      <c r="F54" s="367"/>
      <c r="G54" s="368"/>
      <c r="H54" s="488">
        <f>SUMPRODUCT(I55:I67,$F55:$F67)</f>
        <v>3.2117469879518072</v>
      </c>
      <c r="I54" s="489"/>
      <c r="J54" s="490"/>
      <c r="K54" s="488">
        <f>SUMPRODUCT(L55:L67,$F55:$F67)</f>
        <v>2.6867469879518069</v>
      </c>
      <c r="L54" s="489"/>
      <c r="M54" s="490"/>
      <c r="N54" s="488">
        <f>SUMPRODUCT(O55:O67,$F55:$F67)</f>
        <v>3.3624999999999998</v>
      </c>
      <c r="O54" s="489"/>
      <c r="P54" s="490"/>
      <c r="Q54" s="488">
        <f>SUMPRODUCT(R55:R67,$F55:$F67)</f>
        <v>3.0874999999999999</v>
      </c>
      <c r="R54" s="489"/>
      <c r="S54" s="490"/>
      <c r="T54" s="488">
        <f>SUMPRODUCT(U55:U67,$F55:$F67)</f>
        <v>2.3373493975903612</v>
      </c>
      <c r="U54" s="489"/>
      <c r="V54" s="490"/>
      <c r="W54" s="488">
        <f>SUMPRODUCT(X55:X67,$F55:$F67)</f>
        <v>2.3373493975903612</v>
      </c>
      <c r="X54" s="489"/>
      <c r="Y54" s="490"/>
      <c r="Z54" s="488">
        <f>SUMPRODUCT(AA55:AA67,$F55:$F67)</f>
        <v>0</v>
      </c>
      <c r="AA54" s="489"/>
      <c r="AB54" s="923"/>
      <c r="AE54" s="427">
        <f>1-AE12-AE33</f>
        <v>0.33333333333333343</v>
      </c>
      <c r="AF54" s="367"/>
      <c r="AG54" s="428"/>
      <c r="AI54" s="427">
        <f>'Survey 09-12'!U23/SUM('Survey 09-12'!$S$23:$U$23)</f>
        <v>0.25510204081632654</v>
      </c>
      <c r="AJ54" s="367"/>
      <c r="AK54" s="428"/>
      <c r="AM54" s="427">
        <f>1-AM12-AM33</f>
        <v>0.33333333333333343</v>
      </c>
      <c r="AN54" s="367"/>
      <c r="AO54" s="428"/>
      <c r="AQ54" s="427">
        <f>1-AQ12-AQ33</f>
        <v>0.5</v>
      </c>
      <c r="AR54" s="367"/>
      <c r="AS54" s="428"/>
      <c r="AU54" s="427">
        <f>1-AU12-AU33</f>
        <v>0.33333333333333343</v>
      </c>
      <c r="AV54" s="367"/>
      <c r="AW54" s="428"/>
      <c r="AY54" s="427">
        <f>1-AY12-AY33</f>
        <v>0.33333333333333343</v>
      </c>
      <c r="AZ54" s="367"/>
      <c r="BA54" s="428"/>
    </row>
    <row r="55" spans="2:53" ht="15.75">
      <c r="B55" s="359"/>
      <c r="C55" s="360" t="s">
        <v>55</v>
      </c>
      <c r="D55" s="361"/>
      <c r="E55" s="362"/>
      <c r="F55" s="367">
        <f>CHOOSE($F$4,AF55,AJ55,AN55,AR55,AV55,AZ55)</f>
        <v>0.25</v>
      </c>
      <c r="G55" s="369"/>
      <c r="H55" s="484"/>
      <c r="I55" s="491">
        <f>SUMPRODUCT(J56:J59,$G56:$G59)</f>
        <v>3.846987951807229</v>
      </c>
      <c r="J55" s="492"/>
      <c r="K55" s="484"/>
      <c r="L55" s="491">
        <f>SUMPRODUCT(M56:M59,$G56:$G59)</f>
        <v>4.2469879518072284</v>
      </c>
      <c r="M55" s="492"/>
      <c r="N55" s="484"/>
      <c r="O55" s="491">
        <f>SUMPRODUCT(P56:P59,$G56:$G59)</f>
        <v>2.7</v>
      </c>
      <c r="P55" s="492"/>
      <c r="Q55" s="484"/>
      <c r="R55" s="491">
        <f>SUMPRODUCT(S56:S59,$G56:$G59)</f>
        <v>3.1</v>
      </c>
      <c r="S55" s="492"/>
      <c r="T55" s="484"/>
      <c r="U55" s="491">
        <f>SUMPRODUCT(V56:V59,$G56:$G59)</f>
        <v>4.3493975903614457</v>
      </c>
      <c r="V55" s="492"/>
      <c r="W55" s="484"/>
      <c r="X55" s="491">
        <f>SUMPRODUCT(Y56:Y59,$G56:$G59)</f>
        <v>4.3493975903614457</v>
      </c>
      <c r="Y55" s="492"/>
      <c r="Z55" s="484"/>
      <c r="AA55" s="491">
        <f>SUMPRODUCT(AB56:AB59,$G56:$G59)</f>
        <v>0</v>
      </c>
      <c r="AB55" s="924"/>
      <c r="AD55" s="553"/>
      <c r="AE55" s="425"/>
      <c r="AF55" s="23">
        <v>0.25</v>
      </c>
      <c r="AG55" s="429" t="str">
        <f>IF(SUM(AG56:AG60)&lt;&gt;1,SUM(AG56:AG60),"")</f>
        <v/>
      </c>
      <c r="AI55" s="425"/>
      <c r="AJ55" s="23">
        <f>'Survey 09-12'!AF23</f>
        <v>0.42499999999999999</v>
      </c>
      <c r="AK55" s="429" t="str">
        <f>IF(SUM(AK56:AK60)&lt;&gt;1,SUM(AK56:AK60),"")</f>
        <v/>
      </c>
      <c r="AM55" s="425"/>
      <c r="AN55" s="23">
        <v>0.25</v>
      </c>
      <c r="AO55" s="429" t="str">
        <f>IF(SUM(AO56:AO60)&lt;&gt;1,SUM(AO56:AO60),"")</f>
        <v/>
      </c>
      <c r="AQ55" s="425"/>
      <c r="AR55" s="23">
        <v>0.25</v>
      </c>
      <c r="AS55" s="429" t="s">
        <v>862</v>
      </c>
      <c r="AU55" s="425"/>
      <c r="AV55" s="23">
        <v>0.25</v>
      </c>
      <c r="AW55" s="429" t="str">
        <f>IF(SUM(AW56:AW60)&lt;&gt;1,SUM(AW56:AW60),"")</f>
        <v/>
      </c>
      <c r="AY55" s="425"/>
      <c r="AZ55" s="23">
        <v>0.25</v>
      </c>
      <c r="BA55" s="429" t="s">
        <v>862</v>
      </c>
    </row>
    <row r="56" spans="2:53">
      <c r="B56" s="359"/>
      <c r="C56" s="360"/>
      <c r="D56" s="361" t="s">
        <v>56</v>
      </c>
      <c r="E56" s="370"/>
      <c r="F56" s="371"/>
      <c r="G56" s="367">
        <f t="shared" ref="G56:G58" si="24">CHOOSE($F$4,AG56,AK56,AO56,AS56,AW56,BA56)</f>
        <v>0.4</v>
      </c>
      <c r="H56" s="493"/>
      <c r="I56" s="494"/>
      <c r="J56" s="477">
        <f>'Soc - Nuisance'!D4</f>
        <v>4</v>
      </c>
      <c r="K56" s="493"/>
      <c r="L56" s="494"/>
      <c r="M56" s="648">
        <f>'Soc - Nuisance'!G4</f>
        <v>4.5</v>
      </c>
      <c r="N56" s="493"/>
      <c r="O56" s="494"/>
      <c r="P56" s="648">
        <f>'Soc - Nuisance'!J4</f>
        <v>3</v>
      </c>
      <c r="Q56" s="493"/>
      <c r="R56" s="494"/>
      <c r="S56" s="648">
        <f>'Soc - Nuisance'!M4</f>
        <v>3.5</v>
      </c>
      <c r="T56" s="493"/>
      <c r="U56" s="494"/>
      <c r="V56" s="648">
        <f>'Soc - Nuisance'!P4</f>
        <v>5</v>
      </c>
      <c r="W56" s="493"/>
      <c r="X56" s="494"/>
      <c r="Y56" s="477">
        <f>'Soc - Nuisance'!S4</f>
        <v>5</v>
      </c>
      <c r="Z56" s="493"/>
      <c r="AA56" s="494"/>
      <c r="AB56" s="918" t="str">
        <f>IF(CustomON="Off","",'Soc - Nuisance'!V4)</f>
        <v/>
      </c>
      <c r="AD56" s="553"/>
      <c r="AE56" s="430"/>
      <c r="AF56" s="371"/>
      <c r="AG56" s="414">
        <v>0.4</v>
      </c>
      <c r="AI56" s="430"/>
      <c r="AJ56" s="371"/>
      <c r="AK56" s="414">
        <v>0.4</v>
      </c>
      <c r="AM56" s="430"/>
      <c r="AN56" s="371"/>
      <c r="AO56" s="414">
        <v>0.4</v>
      </c>
      <c r="AQ56" s="430"/>
      <c r="AR56" s="371"/>
      <c r="AS56" s="414">
        <v>0.4</v>
      </c>
      <c r="AU56" s="430"/>
      <c r="AV56" s="371"/>
      <c r="AW56" s="414">
        <v>0.4</v>
      </c>
      <c r="AY56" s="430"/>
      <c r="AZ56" s="371"/>
      <c r="BA56" s="414">
        <v>0.4</v>
      </c>
    </row>
    <row r="57" spans="2:53">
      <c r="B57" s="359"/>
      <c r="C57" s="360"/>
      <c r="D57" s="361" t="s">
        <v>57</v>
      </c>
      <c r="E57" s="370"/>
      <c r="F57" s="371"/>
      <c r="G57" s="367">
        <f t="shared" si="24"/>
        <v>0.2</v>
      </c>
      <c r="H57" s="493"/>
      <c r="I57" s="494"/>
      <c r="J57" s="477">
        <f>'Soc - Nuisance'!D5</f>
        <v>4.5</v>
      </c>
      <c r="K57" s="493"/>
      <c r="L57" s="494"/>
      <c r="M57" s="648">
        <f>'Soc - Nuisance'!G5</f>
        <v>5</v>
      </c>
      <c r="N57" s="493"/>
      <c r="O57" s="494"/>
      <c r="P57" s="648">
        <f>'Soc - Nuisance'!J5</f>
        <v>4.5</v>
      </c>
      <c r="Q57" s="493"/>
      <c r="R57" s="494"/>
      <c r="S57" s="648">
        <f>'Soc - Nuisance'!M5</f>
        <v>5</v>
      </c>
      <c r="T57" s="493"/>
      <c r="U57" s="494"/>
      <c r="V57" s="648">
        <f>'Soc - Nuisance'!P5</f>
        <v>5</v>
      </c>
      <c r="W57" s="493"/>
      <c r="X57" s="494"/>
      <c r="Y57" s="477">
        <f>'Soc - Nuisance'!S5</f>
        <v>5</v>
      </c>
      <c r="Z57" s="493"/>
      <c r="AA57" s="494"/>
      <c r="AB57" s="918" t="str">
        <f>IF(CustomON="Off","",'Soc - Nuisance'!V5)</f>
        <v/>
      </c>
      <c r="AD57" s="553"/>
      <c r="AE57" s="430"/>
      <c r="AF57" s="371"/>
      <c r="AG57" s="414">
        <v>0.2</v>
      </c>
      <c r="AI57" s="430"/>
      <c r="AJ57" s="371"/>
      <c r="AK57" s="414">
        <v>0.2</v>
      </c>
      <c r="AM57" s="430"/>
      <c r="AN57" s="371"/>
      <c r="AO57" s="414">
        <v>0.2</v>
      </c>
      <c r="AQ57" s="430"/>
      <c r="AR57" s="371"/>
      <c r="AS57" s="414">
        <v>0.2</v>
      </c>
      <c r="AU57" s="430"/>
      <c r="AV57" s="371"/>
      <c r="AW57" s="414">
        <v>0.2</v>
      </c>
      <c r="AY57" s="430"/>
      <c r="AZ57" s="371"/>
      <c r="BA57" s="414">
        <v>0.2</v>
      </c>
    </row>
    <row r="58" spans="2:53">
      <c r="B58" s="359"/>
      <c r="C58" s="360"/>
      <c r="D58" s="361" t="s">
        <v>58</v>
      </c>
      <c r="E58" s="370"/>
      <c r="F58" s="371"/>
      <c r="G58" s="367">
        <f t="shared" si="24"/>
        <v>0.2</v>
      </c>
      <c r="H58" s="493"/>
      <c r="I58" s="494"/>
      <c r="J58" s="648">
        <f>'Soc - Nuisance'!D9</f>
        <v>3.7349397590361448</v>
      </c>
      <c r="K58" s="493"/>
      <c r="L58" s="494"/>
      <c r="M58" s="648">
        <f>'Soc - Nuisance'!G9</f>
        <v>3.7349397590361448</v>
      </c>
      <c r="N58" s="493"/>
      <c r="O58" s="494"/>
      <c r="P58" s="648">
        <f>'Soc - Nuisance'!J9</f>
        <v>0</v>
      </c>
      <c r="Q58" s="493"/>
      <c r="R58" s="494"/>
      <c r="S58" s="648">
        <f>'Soc - Nuisance'!M9</f>
        <v>0</v>
      </c>
      <c r="T58" s="493"/>
      <c r="U58" s="494"/>
      <c r="V58" s="648">
        <f>'Soc - Nuisance'!P9</f>
        <v>4.7469879518072293</v>
      </c>
      <c r="W58" s="493"/>
      <c r="X58" s="494"/>
      <c r="Y58" s="648">
        <f>'Soc - Nuisance'!S9</f>
        <v>4.7469879518072293</v>
      </c>
      <c r="Z58" s="493"/>
      <c r="AA58" s="494"/>
      <c r="AB58" s="918" t="str">
        <f>'Soc - Nuisance'!V9</f>
        <v/>
      </c>
      <c r="AD58" s="553"/>
      <c r="AE58" s="430"/>
      <c r="AF58" s="371"/>
      <c r="AG58" s="414">
        <v>0.2</v>
      </c>
      <c r="AI58" s="430"/>
      <c r="AJ58" s="371"/>
      <c r="AK58" s="414">
        <v>0.2</v>
      </c>
      <c r="AM58" s="430"/>
      <c r="AN58" s="371"/>
      <c r="AO58" s="414">
        <v>0.2</v>
      </c>
      <c r="AQ58" s="430"/>
      <c r="AR58" s="371"/>
      <c r="AS58" s="414">
        <v>0.2</v>
      </c>
      <c r="AU58" s="430"/>
      <c r="AV58" s="371"/>
      <c r="AW58" s="414">
        <v>0.2</v>
      </c>
      <c r="AY58" s="430"/>
      <c r="AZ58" s="371"/>
      <c r="BA58" s="414">
        <v>0.2</v>
      </c>
    </row>
    <row r="59" spans="2:53">
      <c r="B59" s="359"/>
      <c r="C59" s="360"/>
      <c r="D59" s="361" t="s">
        <v>59</v>
      </c>
      <c r="E59" s="370"/>
      <c r="F59" s="371"/>
      <c r="G59" s="372">
        <f>IF(SUM(G56:G58)=0,0,1-SUM(G56:G58))</f>
        <v>0.19999999999999996</v>
      </c>
      <c r="H59" s="493"/>
      <c r="I59" s="494"/>
      <c r="J59" s="477">
        <f>'Soc - Nuisance'!D6</f>
        <v>3</v>
      </c>
      <c r="K59" s="493"/>
      <c r="L59" s="494"/>
      <c r="M59" s="648">
        <f>'Soc - Nuisance'!G6</f>
        <v>3.5</v>
      </c>
      <c r="N59" s="493"/>
      <c r="O59" s="494"/>
      <c r="P59" s="648">
        <f>'Soc - Nuisance'!J6</f>
        <v>3</v>
      </c>
      <c r="Q59" s="493"/>
      <c r="R59" s="494"/>
      <c r="S59" s="648">
        <f>'Soc - Nuisance'!M6</f>
        <v>3.5</v>
      </c>
      <c r="T59" s="493"/>
      <c r="U59" s="494"/>
      <c r="V59" s="648">
        <f>'Soc - Nuisance'!P6</f>
        <v>2</v>
      </c>
      <c r="W59" s="493"/>
      <c r="X59" s="494"/>
      <c r="Y59" s="477">
        <f>'Soc - Nuisance'!S6</f>
        <v>2</v>
      </c>
      <c r="Z59" s="493"/>
      <c r="AA59" s="494"/>
      <c r="AB59" s="918" t="str">
        <f>IF(CustomON="Off","",'Soc - Nuisance'!V6)</f>
        <v/>
      </c>
      <c r="AD59" s="553"/>
      <c r="AE59" s="430"/>
      <c r="AF59" s="371"/>
      <c r="AG59" s="431">
        <f>IF(SUM(AG56:AG58)=0,0,1-SUM(AG56:AG58))</f>
        <v>0.19999999999999996</v>
      </c>
      <c r="AI59" s="430"/>
      <c r="AJ59" s="371"/>
      <c r="AK59" s="431">
        <f t="shared" ref="AK59" si="25">IF(SUM(AK56:AK58)=0,0,1-SUM(AK56:AK58))</f>
        <v>0.19999999999999996</v>
      </c>
      <c r="AM59" s="430"/>
      <c r="AN59" s="371"/>
      <c r="AO59" s="431">
        <f>IF(SUM(AO56:AO58)=0,0,1-SUM(AO56:AO58))</f>
        <v>0.19999999999999996</v>
      </c>
      <c r="AQ59" s="430"/>
      <c r="AR59" s="371"/>
      <c r="AS59" s="431">
        <f t="shared" ref="AS59" si="26">IF(SUM(AS56:AS58)=0,0,1-SUM(AS56:AS58))</f>
        <v>0.19999999999999996</v>
      </c>
      <c r="AU59" s="430"/>
      <c r="AV59" s="371"/>
      <c r="AW59" s="431">
        <f>IF(SUM(AW56:AW58)=0,0,1-SUM(AW56:AW58))</f>
        <v>0.19999999999999996</v>
      </c>
      <c r="AY59" s="430"/>
      <c r="AZ59" s="371"/>
      <c r="BA59" s="431">
        <f t="shared" ref="BA59" si="27">IF(SUM(BA56:BA58)=0,0,1-SUM(BA56:BA58))</f>
        <v>0.19999999999999996</v>
      </c>
    </row>
    <row r="60" spans="2:53">
      <c r="B60" s="359"/>
      <c r="C60" s="360"/>
      <c r="D60" s="361"/>
      <c r="E60" s="362"/>
      <c r="F60" s="363"/>
      <c r="G60" s="364"/>
      <c r="H60" s="495"/>
      <c r="I60" s="491"/>
      <c r="J60" s="486"/>
      <c r="K60" s="495"/>
      <c r="L60" s="491"/>
      <c r="M60" s="486"/>
      <c r="N60" s="495"/>
      <c r="O60" s="491"/>
      <c r="P60" s="486"/>
      <c r="Q60" s="495"/>
      <c r="R60" s="491"/>
      <c r="S60" s="486"/>
      <c r="T60" s="495"/>
      <c r="U60" s="491"/>
      <c r="V60" s="486"/>
      <c r="W60" s="495"/>
      <c r="X60" s="491"/>
      <c r="Y60" s="486"/>
      <c r="Z60" s="495"/>
      <c r="AA60" s="491"/>
      <c r="AB60" s="922"/>
      <c r="AD60" s="553"/>
      <c r="AE60" s="425"/>
      <c r="AF60" s="363"/>
      <c r="AG60" s="426"/>
      <c r="AI60" s="425"/>
      <c r="AJ60" s="363"/>
      <c r="AK60" s="426"/>
      <c r="AM60" s="425"/>
      <c r="AN60" s="363"/>
      <c r="AO60" s="426"/>
      <c r="AQ60" s="425"/>
      <c r="AR60" s="363"/>
      <c r="AS60" s="426"/>
      <c r="AU60" s="425"/>
      <c r="AV60" s="363"/>
      <c r="AW60" s="426"/>
      <c r="AY60" s="425"/>
      <c r="AZ60" s="363"/>
      <c r="BA60" s="426"/>
    </row>
    <row r="61" spans="2:53" ht="15.75">
      <c r="B61" s="359"/>
      <c r="C61" s="360" t="s">
        <v>807</v>
      </c>
      <c r="D61" s="361"/>
      <c r="E61" s="370"/>
      <c r="F61" s="367">
        <f>CHOOSE($F$4,AF61,AJ61,AN61,AR61,AV61,AZ61)</f>
        <v>0.25</v>
      </c>
      <c r="G61" s="364"/>
      <c r="H61" s="495"/>
      <c r="I61" s="491">
        <f>SUMPRODUCT(J62:J65,$G62:$G65)</f>
        <v>4</v>
      </c>
      <c r="J61" s="492"/>
      <c r="K61" s="495"/>
      <c r="L61" s="491">
        <f>SUMPRODUCT(M62:M65,$G62:$G65)</f>
        <v>3.5</v>
      </c>
      <c r="M61" s="492"/>
      <c r="N61" s="495"/>
      <c r="O61" s="491">
        <f>SUMPRODUCT(P62:P65,$G62:$G65)</f>
        <v>3.75</v>
      </c>
      <c r="P61" s="492"/>
      <c r="Q61" s="495"/>
      <c r="R61" s="491">
        <f>SUMPRODUCT(S62:S65,$G62:$G65)</f>
        <v>3.25</v>
      </c>
      <c r="S61" s="492"/>
      <c r="T61" s="495"/>
      <c r="U61" s="491">
        <f>SUMPRODUCT(V62:V65,$G62:$G65)</f>
        <v>3</v>
      </c>
      <c r="V61" s="492"/>
      <c r="W61" s="495"/>
      <c r="X61" s="491">
        <f>SUMPRODUCT(Y62:Y65,$G62:$G65)</f>
        <v>3</v>
      </c>
      <c r="Y61" s="492"/>
      <c r="Z61" s="495"/>
      <c r="AA61" s="491">
        <f>SUMPRODUCT(AB62:AB65,$G62:$G65)</f>
        <v>0</v>
      </c>
      <c r="AB61" s="924"/>
      <c r="AD61" s="553"/>
      <c r="AE61" s="430"/>
      <c r="AF61" s="23">
        <v>0.25</v>
      </c>
      <c r="AG61" s="426"/>
      <c r="AI61" s="430"/>
      <c r="AJ61" s="23">
        <f>'Survey 09-12'!AG23</f>
        <v>0.3</v>
      </c>
      <c r="AK61" s="426"/>
      <c r="AM61" s="430"/>
      <c r="AN61" s="23">
        <v>0.25</v>
      </c>
      <c r="AO61" s="426"/>
      <c r="AQ61" s="430"/>
      <c r="AR61" s="23">
        <v>0.25</v>
      </c>
      <c r="AS61" s="426"/>
      <c r="AU61" s="430"/>
      <c r="AV61" s="23">
        <v>0.25</v>
      </c>
      <c r="AW61" s="426"/>
      <c r="AY61" s="430"/>
      <c r="AZ61" s="23">
        <v>0.25</v>
      </c>
      <c r="BA61" s="426"/>
    </row>
    <row r="62" spans="2:53">
      <c r="B62" s="359"/>
      <c r="C62" s="360"/>
      <c r="D62" s="361" t="s">
        <v>807</v>
      </c>
      <c r="E62" s="370"/>
      <c r="F62" s="367"/>
      <c r="G62" s="367">
        <f t="shared" ref="G62:G64" si="28">CHOOSE($F$4,AG62,AK62,AO62,AS62,AW62,BA62)</f>
        <v>1</v>
      </c>
      <c r="H62" s="493"/>
      <c r="I62" s="494"/>
      <c r="J62" s="477">
        <f>'Soc - Workplace'!D3</f>
        <v>4</v>
      </c>
      <c r="K62" s="493"/>
      <c r="L62" s="494"/>
      <c r="M62" s="648">
        <f>'Soc - Workplace'!D4</f>
        <v>3.5</v>
      </c>
      <c r="N62" s="493"/>
      <c r="O62" s="494"/>
      <c r="P62" s="648">
        <f>'Soc - Workplace'!D5</f>
        <v>3.75</v>
      </c>
      <c r="Q62" s="493"/>
      <c r="R62" s="494"/>
      <c r="S62" s="648">
        <f>'Soc - Workplace'!D6</f>
        <v>3.25</v>
      </c>
      <c r="T62" s="493"/>
      <c r="U62" s="494"/>
      <c r="V62" s="648">
        <f>'Soc - Workplace'!D7</f>
        <v>3</v>
      </c>
      <c r="W62" s="493"/>
      <c r="X62" s="494"/>
      <c r="Y62" s="477">
        <f>'Soc - Workplace'!D8</f>
        <v>3</v>
      </c>
      <c r="Z62" s="493"/>
      <c r="AA62" s="494"/>
      <c r="AB62" s="918" t="str">
        <f>IF(CustomON="Off","",'Soc - Workplace'!D9)</f>
        <v/>
      </c>
      <c r="AD62" s="553"/>
      <c r="AE62" s="430"/>
      <c r="AF62" s="367"/>
      <c r="AG62" s="414">
        <v>1</v>
      </c>
      <c r="AI62" s="430"/>
      <c r="AJ62" s="367"/>
      <c r="AK62" s="414">
        <v>1</v>
      </c>
      <c r="AM62" s="430"/>
      <c r="AN62" s="367"/>
      <c r="AO62" s="414">
        <v>1</v>
      </c>
      <c r="AQ62" s="430"/>
      <c r="AR62" s="367"/>
      <c r="AS62" s="414">
        <v>1</v>
      </c>
      <c r="AU62" s="430"/>
      <c r="AV62" s="367"/>
      <c r="AW62" s="414">
        <v>1</v>
      </c>
      <c r="AY62" s="430"/>
      <c r="AZ62" s="367"/>
      <c r="BA62" s="414">
        <v>1</v>
      </c>
    </row>
    <row r="63" spans="2:53" s="309" customFormat="1">
      <c r="B63" s="359"/>
      <c r="C63" s="360"/>
      <c r="D63" s="361" t="s">
        <v>692</v>
      </c>
      <c r="E63" s="370"/>
      <c r="F63" s="367"/>
      <c r="G63" s="367">
        <f t="shared" si="28"/>
        <v>0</v>
      </c>
      <c r="H63" s="493"/>
      <c r="I63" s="494"/>
      <c r="J63" s="477"/>
      <c r="K63" s="493"/>
      <c r="L63" s="494"/>
      <c r="M63" s="648"/>
      <c r="N63" s="493"/>
      <c r="O63" s="494"/>
      <c r="P63" s="648"/>
      <c r="Q63" s="493"/>
      <c r="R63" s="494"/>
      <c r="S63" s="648"/>
      <c r="T63" s="493"/>
      <c r="U63" s="494"/>
      <c r="V63" s="648"/>
      <c r="W63" s="493"/>
      <c r="X63" s="494"/>
      <c r="Y63" s="477"/>
      <c r="Z63" s="493"/>
      <c r="AA63" s="494"/>
      <c r="AB63" s="918"/>
      <c r="AD63" s="553"/>
      <c r="AE63" s="430"/>
      <c r="AF63" s="367"/>
      <c r="AG63" s="414">
        <v>0</v>
      </c>
      <c r="AI63" s="430"/>
      <c r="AJ63" s="367"/>
      <c r="AK63" s="414">
        <v>0</v>
      </c>
      <c r="AM63" s="430"/>
      <c r="AN63" s="367"/>
      <c r="AO63" s="414">
        <v>0</v>
      </c>
      <c r="AQ63" s="430"/>
      <c r="AR63" s="367"/>
      <c r="AS63" s="414">
        <v>0</v>
      </c>
      <c r="AU63" s="430"/>
      <c r="AV63" s="367"/>
      <c r="AW63" s="414">
        <v>0</v>
      </c>
      <c r="AY63" s="430"/>
      <c r="AZ63" s="367"/>
      <c r="BA63" s="414">
        <v>0</v>
      </c>
    </row>
    <row r="64" spans="2:53" s="309" customFormat="1">
      <c r="B64" s="359"/>
      <c r="C64" s="360"/>
      <c r="D64" s="361" t="s">
        <v>692</v>
      </c>
      <c r="E64" s="370"/>
      <c r="F64" s="367"/>
      <c r="G64" s="367">
        <f t="shared" si="28"/>
        <v>0</v>
      </c>
      <c r="H64" s="493"/>
      <c r="I64" s="494"/>
      <c r="J64" s="477"/>
      <c r="K64" s="493"/>
      <c r="L64" s="494"/>
      <c r="M64" s="648"/>
      <c r="N64" s="493"/>
      <c r="O64" s="494"/>
      <c r="P64" s="648"/>
      <c r="Q64" s="493"/>
      <c r="R64" s="494"/>
      <c r="S64" s="648"/>
      <c r="T64" s="493"/>
      <c r="U64" s="494"/>
      <c r="V64" s="648"/>
      <c r="W64" s="493"/>
      <c r="X64" s="494"/>
      <c r="Y64" s="477"/>
      <c r="Z64" s="493"/>
      <c r="AA64" s="494"/>
      <c r="AB64" s="918"/>
      <c r="AD64" s="553"/>
      <c r="AE64" s="430"/>
      <c r="AF64" s="367"/>
      <c r="AG64" s="414">
        <v>0</v>
      </c>
      <c r="AI64" s="430"/>
      <c r="AJ64" s="367"/>
      <c r="AK64" s="414">
        <v>0</v>
      </c>
      <c r="AM64" s="430"/>
      <c r="AN64" s="367"/>
      <c r="AO64" s="414">
        <v>0</v>
      </c>
      <c r="AQ64" s="430"/>
      <c r="AR64" s="367"/>
      <c r="AS64" s="414">
        <v>0</v>
      </c>
      <c r="AU64" s="430"/>
      <c r="AV64" s="367"/>
      <c r="AW64" s="414">
        <v>0</v>
      </c>
      <c r="AY64" s="430"/>
      <c r="AZ64" s="367"/>
      <c r="BA64" s="414">
        <v>0</v>
      </c>
    </row>
    <row r="65" spans="2:53" s="309" customFormat="1">
      <c r="B65" s="359"/>
      <c r="C65" s="360"/>
      <c r="D65" s="361" t="s">
        <v>692</v>
      </c>
      <c r="E65" s="370"/>
      <c r="F65" s="367"/>
      <c r="G65" s="372">
        <f>IF(SUM(G62:G64)=0,0,1-SUM(G62:G64))</f>
        <v>0</v>
      </c>
      <c r="H65" s="493"/>
      <c r="I65" s="494"/>
      <c r="J65" s="477"/>
      <c r="K65" s="493"/>
      <c r="L65" s="494"/>
      <c r="M65" s="648"/>
      <c r="N65" s="493"/>
      <c r="O65" s="494"/>
      <c r="P65" s="648"/>
      <c r="Q65" s="493"/>
      <c r="R65" s="494"/>
      <c r="S65" s="648"/>
      <c r="T65" s="493"/>
      <c r="U65" s="494"/>
      <c r="V65" s="648"/>
      <c r="W65" s="493"/>
      <c r="X65" s="494"/>
      <c r="Y65" s="477"/>
      <c r="Z65" s="493"/>
      <c r="AA65" s="494"/>
      <c r="AB65" s="918"/>
      <c r="AD65" s="553"/>
      <c r="AE65" s="430"/>
      <c r="AF65" s="367"/>
      <c r="AG65" s="431">
        <f>IF(SUM(AG62:AG64)=0,0,1-SUM(AG62:AG64))</f>
        <v>0</v>
      </c>
      <c r="AH65" s="969"/>
      <c r="AI65" s="430"/>
      <c r="AJ65" s="371"/>
      <c r="AK65" s="431">
        <f t="shared" ref="AK65" si="29">IF(SUM(AK62:AK64)=0,0,1-SUM(AK62:AK64))</f>
        <v>0</v>
      </c>
      <c r="AL65" s="969"/>
      <c r="AM65" s="430"/>
      <c r="AN65" s="367"/>
      <c r="AO65" s="431">
        <f>IF(SUM(AO62:AO64)=0,0,1-SUM(AO62:AO64))</f>
        <v>0</v>
      </c>
      <c r="AP65" s="969"/>
      <c r="AQ65" s="430"/>
      <c r="AR65" s="371"/>
      <c r="AS65" s="431">
        <f t="shared" ref="AS65" si="30">IF(SUM(AS62:AS64)=0,0,1-SUM(AS62:AS64))</f>
        <v>0</v>
      </c>
      <c r="AT65" s="969"/>
      <c r="AU65" s="430"/>
      <c r="AV65" s="367"/>
      <c r="AW65" s="431">
        <f>IF(SUM(AW62:AW64)=0,0,1-SUM(AW62:AW64))</f>
        <v>0</v>
      </c>
      <c r="AY65" s="430"/>
      <c r="AZ65" s="371"/>
      <c r="BA65" s="431">
        <f t="shared" ref="BA65" si="31">IF(SUM(BA62:BA64)=0,0,1-SUM(BA62:BA64))</f>
        <v>0</v>
      </c>
    </row>
    <row r="66" spans="2:53">
      <c r="B66" s="359"/>
      <c r="C66" s="360"/>
      <c r="D66" s="361"/>
      <c r="E66" s="362"/>
      <c r="F66" s="363"/>
      <c r="G66" s="364"/>
      <c r="H66" s="495"/>
      <c r="I66" s="491"/>
      <c r="J66" s="486"/>
      <c r="K66" s="495"/>
      <c r="L66" s="491"/>
      <c r="M66" s="486"/>
      <c r="N66" s="495"/>
      <c r="O66" s="491"/>
      <c r="P66" s="486"/>
      <c r="Q66" s="495"/>
      <c r="R66" s="491"/>
      <c r="S66" s="486"/>
      <c r="T66" s="495"/>
      <c r="U66" s="491"/>
      <c r="V66" s="486"/>
      <c r="W66" s="495"/>
      <c r="X66" s="491"/>
      <c r="Y66" s="486"/>
      <c r="Z66" s="495"/>
      <c r="AA66" s="491"/>
      <c r="AB66" s="922"/>
      <c r="AD66" s="553"/>
      <c r="AE66" s="425"/>
      <c r="AF66" s="363"/>
      <c r="AG66" s="426"/>
      <c r="AI66" s="425"/>
      <c r="AJ66" s="363"/>
      <c r="AK66" s="426"/>
      <c r="AM66" s="425"/>
      <c r="AN66" s="363"/>
      <c r="AO66" s="426"/>
      <c r="AQ66" s="425"/>
      <c r="AR66" s="363"/>
      <c r="AS66" s="426"/>
      <c r="AU66" s="425"/>
      <c r="AV66" s="363"/>
      <c r="AW66" s="426"/>
      <c r="AY66" s="425"/>
      <c r="AZ66" s="363"/>
      <c r="BA66" s="426"/>
    </row>
    <row r="67" spans="2:53" ht="15.75">
      <c r="B67" s="359"/>
      <c r="C67" s="360" t="s">
        <v>809</v>
      </c>
      <c r="D67" s="361"/>
      <c r="E67" s="373"/>
      <c r="F67" s="367">
        <f>CHOOSE($F$4,AF67,AJ67,AN67,AR67,AV67,AZ67)</f>
        <v>0.5</v>
      </c>
      <c r="G67" s="364"/>
      <c r="H67" s="495"/>
      <c r="I67" s="491">
        <f>SUMPRODUCT(J68:J71,$G68:$G71)</f>
        <v>2.5</v>
      </c>
      <c r="J67" s="492"/>
      <c r="K67" s="495"/>
      <c r="L67" s="491">
        <f>SUMPRODUCT(M68:M71,$G68:$G71)</f>
        <v>1.5</v>
      </c>
      <c r="M67" s="492"/>
      <c r="N67" s="495"/>
      <c r="O67" s="491">
        <f>SUMPRODUCT(P68:P71,$G68:$G71)</f>
        <v>3.5</v>
      </c>
      <c r="P67" s="492"/>
      <c r="Q67" s="495"/>
      <c r="R67" s="491">
        <f>SUMPRODUCT(S68:S71,$G68:$G71)</f>
        <v>3</v>
      </c>
      <c r="S67" s="492"/>
      <c r="T67" s="495"/>
      <c r="U67" s="491">
        <f>SUMPRODUCT(V68:V71,$G68:$G71)</f>
        <v>1</v>
      </c>
      <c r="V67" s="492"/>
      <c r="W67" s="495"/>
      <c r="X67" s="491">
        <f>SUMPRODUCT(Y68:Y71,$G68:$G71)</f>
        <v>1</v>
      </c>
      <c r="Y67" s="492"/>
      <c r="Z67" s="495"/>
      <c r="AA67" s="491">
        <f>SUMPRODUCT(AB68:AB71,$G68:$G71)</f>
        <v>0</v>
      </c>
      <c r="AB67" s="924"/>
      <c r="AD67" s="553"/>
      <c r="AE67" s="432"/>
      <c r="AF67" s="367">
        <f>1-AF55-AF61</f>
        <v>0.5</v>
      </c>
      <c r="AG67" s="426"/>
      <c r="AI67" s="432"/>
      <c r="AJ67" s="367">
        <f>1-AJ55-AJ61</f>
        <v>0.27499999999999997</v>
      </c>
      <c r="AK67" s="426"/>
      <c r="AM67" s="432"/>
      <c r="AN67" s="367">
        <f>1-AN55-AN61</f>
        <v>0.5</v>
      </c>
      <c r="AO67" s="426"/>
      <c r="AQ67" s="432"/>
      <c r="AR67" s="367">
        <v>0.5</v>
      </c>
      <c r="AS67" s="426"/>
      <c r="AU67" s="432"/>
      <c r="AV67" s="367">
        <f>1-AV55-AV61</f>
        <v>0.5</v>
      </c>
      <c r="AW67" s="426"/>
      <c r="AY67" s="432"/>
      <c r="AZ67" s="367">
        <v>0.5</v>
      </c>
      <c r="BA67" s="426"/>
    </row>
    <row r="68" spans="2:53">
      <c r="B68" s="359"/>
      <c r="C68" s="360"/>
      <c r="D68" s="361" t="s">
        <v>809</v>
      </c>
      <c r="E68" s="373"/>
      <c r="F68" s="367"/>
      <c r="G68" s="367">
        <f t="shared" ref="G68:G70" si="32">CHOOSE($F$4,AG68,AK68,AO68,AS68,AW68,BA68)</f>
        <v>1</v>
      </c>
      <c r="H68" s="493"/>
      <c r="I68" s="494"/>
      <c r="J68" s="477">
        <f>'Soc - Public'!D3</f>
        <v>2.5</v>
      </c>
      <c r="K68" s="493"/>
      <c r="L68" s="494"/>
      <c r="M68" s="648">
        <f>'Soc - Public'!D4</f>
        <v>1.5</v>
      </c>
      <c r="N68" s="493"/>
      <c r="O68" s="494"/>
      <c r="P68" s="648">
        <f>'Soc - Public'!D5</f>
        <v>3.5</v>
      </c>
      <c r="Q68" s="493"/>
      <c r="R68" s="494"/>
      <c r="S68" s="648">
        <f>'Soc - Public'!D6</f>
        <v>3</v>
      </c>
      <c r="T68" s="493"/>
      <c r="U68" s="494"/>
      <c r="V68" s="648">
        <f>'Soc - Public'!D7</f>
        <v>1</v>
      </c>
      <c r="W68" s="493"/>
      <c r="X68" s="494"/>
      <c r="Y68" s="477">
        <f>'Soc - Public'!D8</f>
        <v>1</v>
      </c>
      <c r="Z68" s="493"/>
      <c r="AA68" s="494"/>
      <c r="AB68" s="918" t="str">
        <f>IF(CustomON="Off","",'Soc - Public'!D9)</f>
        <v/>
      </c>
      <c r="AD68" s="553"/>
      <c r="AE68" s="432"/>
      <c r="AF68" s="367"/>
      <c r="AG68" s="414">
        <v>1</v>
      </c>
      <c r="AI68" s="432"/>
      <c r="AJ68" s="367"/>
      <c r="AK68" s="414">
        <v>1</v>
      </c>
      <c r="AM68" s="432"/>
      <c r="AN68" s="367"/>
      <c r="AO68" s="414">
        <v>1</v>
      </c>
      <c r="AQ68" s="432"/>
      <c r="AR68" s="367"/>
      <c r="AS68" s="414">
        <v>1</v>
      </c>
      <c r="AU68" s="432"/>
      <c r="AV68" s="367"/>
      <c r="AW68" s="414">
        <v>1</v>
      </c>
      <c r="AY68" s="432"/>
      <c r="AZ68" s="367"/>
      <c r="BA68" s="414">
        <v>1</v>
      </c>
    </row>
    <row r="69" spans="2:53" s="309" customFormat="1">
      <c r="B69" s="359"/>
      <c r="C69" s="360"/>
      <c r="D69" s="361" t="s">
        <v>692</v>
      </c>
      <c r="E69" s="373"/>
      <c r="F69" s="367"/>
      <c r="G69" s="367">
        <f t="shared" si="32"/>
        <v>0</v>
      </c>
      <c r="H69" s="493"/>
      <c r="I69" s="494"/>
      <c r="J69" s="477"/>
      <c r="K69" s="493"/>
      <c r="L69" s="494"/>
      <c r="M69" s="648"/>
      <c r="N69" s="493"/>
      <c r="O69" s="494"/>
      <c r="P69" s="648"/>
      <c r="Q69" s="493"/>
      <c r="R69" s="494"/>
      <c r="S69" s="648"/>
      <c r="T69" s="493"/>
      <c r="U69" s="494"/>
      <c r="V69" s="648"/>
      <c r="W69" s="493"/>
      <c r="X69" s="494"/>
      <c r="Y69" s="477"/>
      <c r="Z69" s="493"/>
      <c r="AA69" s="494"/>
      <c r="AB69" s="918"/>
      <c r="AD69" s="553"/>
      <c r="AE69" s="432"/>
      <c r="AF69" s="367"/>
      <c r="AG69" s="414">
        <v>0</v>
      </c>
      <c r="AI69" s="432"/>
      <c r="AJ69" s="367"/>
      <c r="AK69" s="414">
        <v>0</v>
      </c>
      <c r="AM69" s="432"/>
      <c r="AN69" s="367"/>
      <c r="AO69" s="414">
        <v>0</v>
      </c>
      <c r="AQ69" s="432"/>
      <c r="AR69" s="367"/>
      <c r="AS69" s="414">
        <v>0</v>
      </c>
      <c r="AU69" s="432"/>
      <c r="AV69" s="367"/>
      <c r="AW69" s="414">
        <v>0</v>
      </c>
      <c r="AY69" s="432"/>
      <c r="AZ69" s="367"/>
      <c r="BA69" s="414">
        <v>0</v>
      </c>
    </row>
    <row r="70" spans="2:53" s="309" customFormat="1">
      <c r="B70" s="359"/>
      <c r="C70" s="360"/>
      <c r="D70" s="361" t="s">
        <v>692</v>
      </c>
      <c r="E70" s="373"/>
      <c r="F70" s="367"/>
      <c r="G70" s="367">
        <f t="shared" si="32"/>
        <v>0</v>
      </c>
      <c r="H70" s="493"/>
      <c r="I70" s="494"/>
      <c r="J70" s="477"/>
      <c r="K70" s="493"/>
      <c r="L70" s="494"/>
      <c r="M70" s="648"/>
      <c r="N70" s="493"/>
      <c r="O70" s="494"/>
      <c r="P70" s="648"/>
      <c r="Q70" s="493"/>
      <c r="R70" s="494"/>
      <c r="S70" s="648"/>
      <c r="T70" s="493"/>
      <c r="U70" s="494"/>
      <c r="V70" s="648"/>
      <c r="W70" s="493"/>
      <c r="X70" s="494"/>
      <c r="Y70" s="477"/>
      <c r="Z70" s="493"/>
      <c r="AA70" s="494"/>
      <c r="AB70" s="918"/>
      <c r="AD70" s="553"/>
      <c r="AE70" s="432"/>
      <c r="AF70" s="367"/>
      <c r="AG70" s="414">
        <v>0</v>
      </c>
      <c r="AI70" s="432"/>
      <c r="AJ70" s="367"/>
      <c r="AK70" s="414">
        <v>0</v>
      </c>
      <c r="AM70" s="432"/>
      <c r="AN70" s="367"/>
      <c r="AO70" s="414">
        <v>0</v>
      </c>
      <c r="AQ70" s="432"/>
      <c r="AR70" s="367"/>
      <c r="AS70" s="414">
        <v>0</v>
      </c>
      <c r="AU70" s="432"/>
      <c r="AV70" s="367"/>
      <c r="AW70" s="414">
        <v>0</v>
      </c>
      <c r="AY70" s="432"/>
      <c r="AZ70" s="367"/>
      <c r="BA70" s="414">
        <v>0</v>
      </c>
    </row>
    <row r="71" spans="2:53" s="309" customFormat="1">
      <c r="B71" s="359"/>
      <c r="C71" s="360"/>
      <c r="D71" s="361" t="s">
        <v>692</v>
      </c>
      <c r="E71" s="373"/>
      <c r="F71" s="367"/>
      <c r="G71" s="372">
        <f>IF(SUM(G68:G70)=0,0,1-SUM(G68:G70))</f>
        <v>0</v>
      </c>
      <c r="H71" s="493"/>
      <c r="I71" s="494"/>
      <c r="J71" s="477"/>
      <c r="K71" s="493"/>
      <c r="L71" s="494"/>
      <c r="M71" s="648"/>
      <c r="N71" s="493"/>
      <c r="O71" s="494"/>
      <c r="P71" s="648"/>
      <c r="Q71" s="493"/>
      <c r="R71" s="494"/>
      <c r="S71" s="648"/>
      <c r="T71" s="493"/>
      <c r="U71" s="494"/>
      <c r="V71" s="648"/>
      <c r="W71" s="493"/>
      <c r="X71" s="494"/>
      <c r="Y71" s="477"/>
      <c r="Z71" s="493"/>
      <c r="AA71" s="494"/>
      <c r="AB71" s="918"/>
      <c r="AD71" s="553"/>
      <c r="AE71" s="432"/>
      <c r="AF71" s="367"/>
      <c r="AG71" s="431">
        <f>IF(SUM(AG68:AG70)=0,0,1-SUM(AG68:AG70))</f>
        <v>0</v>
      </c>
      <c r="AH71" s="969"/>
      <c r="AI71" s="430"/>
      <c r="AJ71" s="371"/>
      <c r="AK71" s="431">
        <f t="shared" ref="AK71" si="33">IF(SUM(AK68:AK70)=0,0,1-SUM(AK68:AK70))</f>
        <v>0</v>
      </c>
      <c r="AL71" s="969"/>
      <c r="AM71" s="432"/>
      <c r="AN71" s="367"/>
      <c r="AO71" s="431">
        <f>IF(SUM(AO68:AO70)=0,0,1-SUM(AO68:AO70))</f>
        <v>0</v>
      </c>
      <c r="AP71" s="969"/>
      <c r="AQ71" s="430"/>
      <c r="AR71" s="371"/>
      <c r="AS71" s="431">
        <f t="shared" ref="AS71" si="34">IF(SUM(AS68:AS70)=0,0,1-SUM(AS68:AS70))</f>
        <v>0</v>
      </c>
      <c r="AT71" s="969"/>
      <c r="AU71" s="432"/>
      <c r="AV71" s="367"/>
      <c r="AW71" s="431">
        <f>IF(SUM(AW68:AW70)=0,0,1-SUM(AW68:AW70))</f>
        <v>0</v>
      </c>
      <c r="AY71" s="430"/>
      <c r="AZ71" s="371"/>
      <c r="BA71" s="431">
        <f t="shared" ref="BA71" si="35">IF(SUM(BA68:BA70)=0,0,1-SUM(BA68:BA70))</f>
        <v>0</v>
      </c>
    </row>
    <row r="72" spans="2:53" ht="15.75" thickBot="1">
      <c r="B72" s="374"/>
      <c r="C72" s="375"/>
      <c r="D72" s="376"/>
      <c r="E72" s="377"/>
      <c r="F72" s="378"/>
      <c r="G72" s="379"/>
      <c r="H72" s="496"/>
      <c r="I72" s="497"/>
      <c r="J72" s="498"/>
      <c r="K72" s="841"/>
      <c r="L72" s="842"/>
      <c r="M72" s="843"/>
      <c r="N72" s="841"/>
      <c r="O72" s="842"/>
      <c r="P72" s="843"/>
      <c r="Q72" s="496"/>
      <c r="R72" s="497"/>
      <c r="S72" s="498"/>
      <c r="T72" s="496"/>
      <c r="U72" s="497"/>
      <c r="V72" s="498"/>
      <c r="W72" s="496"/>
      <c r="X72" s="497"/>
      <c r="Y72" s="498"/>
      <c r="Z72" s="841"/>
      <c r="AA72" s="842"/>
      <c r="AB72" s="925"/>
      <c r="AD72" s="553"/>
      <c r="AE72" s="433"/>
      <c r="AF72" s="434"/>
      <c r="AG72" s="435"/>
      <c r="AI72" s="433"/>
      <c r="AJ72" s="434"/>
      <c r="AK72" s="435"/>
      <c r="AM72" s="433"/>
      <c r="AN72" s="434"/>
      <c r="AO72" s="435"/>
      <c r="AQ72" s="433"/>
      <c r="AR72" s="434"/>
      <c r="AS72" s="435"/>
      <c r="AU72" s="433"/>
      <c r="AV72" s="434"/>
      <c r="AW72" s="435"/>
      <c r="AY72" s="433"/>
      <c r="AZ72" s="434"/>
      <c r="BA72" s="435"/>
    </row>
    <row r="94" spans="10:32">
      <c r="J94" s="268"/>
      <c r="AF94" s="537"/>
    </row>
    <row r="95" spans="10:32">
      <c r="J95" s="268"/>
      <c r="AF95" s="537"/>
    </row>
    <row r="96" spans="10:32">
      <c r="AF96" s="537"/>
    </row>
    <row r="98" spans="32:32">
      <c r="AF98" s="537"/>
    </row>
    <row r="99" spans="32:32">
      <c r="AF99" s="537"/>
    </row>
    <row r="100" spans="32:32">
      <c r="AF100" s="537"/>
    </row>
    <row r="101" spans="32:32">
      <c r="AF101" s="537"/>
    </row>
    <row r="102" spans="32:32">
      <c r="AF102" s="537"/>
    </row>
    <row r="104" spans="32:32">
      <c r="AF104" s="537"/>
    </row>
    <row r="105" spans="32:32">
      <c r="AF105" s="537"/>
    </row>
  </sheetData>
  <mergeCells count="18">
    <mergeCell ref="AU8:AW8"/>
    <mergeCell ref="AY8:BA8"/>
    <mergeCell ref="Z2:AB2"/>
    <mergeCell ref="AM8:AO8"/>
    <mergeCell ref="AQ8:AS8"/>
    <mergeCell ref="AE8:AG8"/>
    <mergeCell ref="AI8:AK8"/>
    <mergeCell ref="C9:D9"/>
    <mergeCell ref="H1:M1"/>
    <mergeCell ref="N1:S1"/>
    <mergeCell ref="T1:Y1"/>
    <mergeCell ref="C2:D2"/>
    <mergeCell ref="W2:Y2"/>
    <mergeCell ref="T2:V2"/>
    <mergeCell ref="K2:M2"/>
    <mergeCell ref="N2:P2"/>
    <mergeCell ref="Q2:S2"/>
    <mergeCell ref="H2:J2"/>
  </mergeCells>
  <phoneticPr fontId="75" type="noConversion"/>
  <dataValidations count="1">
    <dataValidation type="list" allowBlank="1" showInputMessage="1" showErrorMessage="1" promptTitle="Weighting Scenario" prompt="Choose weighting scenario number to be selected from the columns AB through BA on this sheet." sqref="F4">
      <formula1>WeightsSelection</formula1>
    </dataValidation>
  </dataValidations>
  <printOptions horizontalCentered="1" verticalCentered="1"/>
  <pageMargins left="0.7" right="0.7" top="0.75" bottom="0.75" header="0.3" footer="0.3"/>
  <pageSetup scale="60" fitToWidth="3" fitToHeight="0" orientation="landscape" r:id="rId1"/>
  <rowBreaks count="1" manualBreakCount="1">
    <brk id="30" max="24" man="1"/>
  </rowBreaks>
  <colBreaks count="2" manualBreakCount="2">
    <brk id="13" max="71" man="1"/>
    <brk id="19" max="71" man="1"/>
  </colBreaks>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sheetPr codeName="Sheet5" enableFormatConditionsCalculation="0">
    <tabColor rgb="FFFFFF00"/>
    <pageSetUpPr fitToPage="1"/>
  </sheetPr>
  <dimension ref="A1:L74"/>
  <sheetViews>
    <sheetView showGridLines="0" view="pageBreakPreview" topLeftCell="B40" zoomScale="85" zoomScaleNormal="100" zoomScaleSheetLayoutView="85" workbookViewId="0">
      <selection activeCell="E56" sqref="E56"/>
    </sheetView>
  </sheetViews>
  <sheetFormatPr defaultColWidth="8.85546875" defaultRowHeight="15"/>
  <cols>
    <col min="1" max="1" width="8.85546875" style="38" hidden="1" customWidth="1"/>
    <col min="2" max="2" width="7.42578125" style="38" customWidth="1"/>
    <col min="3" max="3" width="32.140625" style="38" customWidth="1"/>
    <col min="4" max="4" width="19" style="38" customWidth="1"/>
    <col min="5" max="11" width="16.7109375" style="38" customWidth="1"/>
    <col min="12" max="12" width="14.85546875" style="38" customWidth="1"/>
    <col min="13" max="15" width="8.85546875" style="38" customWidth="1"/>
    <col min="16" max="16384" width="8.85546875" style="38"/>
  </cols>
  <sheetData>
    <row r="1" spans="1:11" s="28" customFormat="1"/>
    <row r="2" spans="1:11" s="28" customFormat="1" ht="18.75">
      <c r="D2" s="29"/>
    </row>
    <row r="3" spans="1:11" s="28" customFormat="1" ht="18.75">
      <c r="D3" s="29"/>
    </row>
    <row r="4" spans="1:11" s="28" customFormat="1">
      <c r="C4" s="30"/>
    </row>
    <row r="5" spans="1:11" s="28" customFormat="1" ht="15.75" thickBot="1">
      <c r="D5" s="31"/>
    </row>
    <row r="6" spans="1:11" s="28" customFormat="1" ht="21.75" thickBot="1">
      <c r="C6" s="332" t="s">
        <v>771</v>
      </c>
      <c r="D6" s="333"/>
      <c r="E6" s="333"/>
      <c r="F6" s="333"/>
      <c r="G6" s="333"/>
      <c r="H6" s="333"/>
      <c r="I6" s="333"/>
      <c r="J6" s="333"/>
      <c r="K6" s="334"/>
    </row>
    <row r="7" spans="1:11" s="28" customFormat="1" ht="21.75" thickBot="1">
      <c r="C7" s="243"/>
      <c r="D7" s="244"/>
      <c r="E7" s="665" t="s">
        <v>296</v>
      </c>
      <c r="F7" s="666" t="s">
        <v>299</v>
      </c>
      <c r="G7" s="667" t="s">
        <v>300</v>
      </c>
      <c r="H7" s="668" t="s">
        <v>301</v>
      </c>
      <c r="I7" s="669" t="s">
        <v>619</v>
      </c>
      <c r="J7" s="735" t="s">
        <v>620</v>
      </c>
      <c r="K7" s="219" t="s">
        <v>528</v>
      </c>
    </row>
    <row r="8" spans="1:11" s="28" customFormat="1" ht="30.6" customHeight="1" thickBot="1">
      <c r="C8" s="32" t="s">
        <v>76</v>
      </c>
      <c r="D8" s="33"/>
      <c r="E8" s="217" t="str">
        <f>scenario_1</f>
        <v>1X: AnaDig + CHP, Prtmt, LandApp</v>
      </c>
      <c r="F8" s="218" t="str">
        <f>scenario_2</f>
        <v>1Y: AnaDig + CHP, Prtmt, Landfill</v>
      </c>
      <c r="G8" s="218" t="str">
        <f>scenario_3</f>
        <v>2X: AnaDig + CHP, Codig, LandApp</v>
      </c>
      <c r="H8" s="218" t="str">
        <f>scenario_4</f>
        <v>2Y: AnaDig + CHP, Codig, Landfill</v>
      </c>
      <c r="I8" s="218" t="str">
        <f>scenario_5</f>
        <v>3Y: Incin, Landfill</v>
      </c>
      <c r="J8" s="218" t="str">
        <f>scenario_6</f>
        <v>4Y: Gasif, Landfill</v>
      </c>
      <c r="K8" s="219" t="str">
        <f>scenario_7</f>
        <v>Custom Scenario</v>
      </c>
    </row>
    <row r="9" spans="1:11" s="28" customFormat="1">
      <c r="C9" s="34"/>
      <c r="E9" s="202"/>
      <c r="F9" s="203"/>
      <c r="G9" s="203"/>
      <c r="H9" s="203"/>
      <c r="I9" s="203"/>
      <c r="J9" s="203"/>
      <c r="K9" s="204"/>
    </row>
    <row r="10" spans="1:11" s="28" customFormat="1">
      <c r="C10" s="34" t="s">
        <v>19</v>
      </c>
      <c r="E10" s="205"/>
      <c r="F10" s="206"/>
      <c r="G10" s="206"/>
      <c r="H10" s="206"/>
      <c r="I10" s="206"/>
      <c r="J10" s="206"/>
      <c r="K10" s="207"/>
    </row>
    <row r="11" spans="1:11" s="28" customFormat="1">
      <c r="A11" s="28" t="s">
        <v>404</v>
      </c>
      <c r="C11" s="35" t="s">
        <v>315</v>
      </c>
      <c r="E11" s="208">
        <f t="shared" ref="E11:J20" ca="1" si="0">INDIRECT("'"&amp;E$7&amp;"'"&amp;$A11)</f>
        <v>4116113.2075471696</v>
      </c>
      <c r="F11" s="209">
        <f t="shared" ca="1" si="0"/>
        <v>4116113.2075471696</v>
      </c>
      <c r="G11" s="209">
        <f t="shared" ca="1" si="0"/>
        <v>8102018.8679245282</v>
      </c>
      <c r="H11" s="209">
        <f t="shared" ca="1" si="0"/>
        <v>8102018.8679245282</v>
      </c>
      <c r="I11" s="209">
        <f t="shared" ca="1" si="0"/>
        <v>0</v>
      </c>
      <c r="J11" s="209">
        <f t="shared" ca="1" si="0"/>
        <v>0</v>
      </c>
      <c r="K11" s="210">
        <f t="shared" ref="K11:K30" ca="1" si="1">INDIRECT("'"&amp;K$7&amp;"'"&amp;$A11)*IF(CustomON="On",1,0)</f>
        <v>0</v>
      </c>
    </row>
    <row r="12" spans="1:11" s="28" customFormat="1">
      <c r="A12" s="28" t="s">
        <v>405</v>
      </c>
      <c r="C12" s="35" t="s">
        <v>153</v>
      </c>
      <c r="E12" s="208">
        <f t="shared" ca="1" si="0"/>
        <v>0</v>
      </c>
      <c r="F12" s="209">
        <f t="shared" ca="1" si="0"/>
        <v>0</v>
      </c>
      <c r="G12" s="209">
        <f t="shared" ca="1" si="0"/>
        <v>0</v>
      </c>
      <c r="H12" s="209">
        <f t="shared" ca="1" si="0"/>
        <v>0</v>
      </c>
      <c r="I12" s="209">
        <f t="shared" ca="1" si="0"/>
        <v>340094.33962264151</v>
      </c>
      <c r="J12" s="209">
        <f t="shared" ca="1" si="0"/>
        <v>935745.28301886783</v>
      </c>
      <c r="K12" s="210">
        <f t="shared" ca="1" si="1"/>
        <v>0</v>
      </c>
    </row>
    <row r="13" spans="1:11" s="28" customFormat="1">
      <c r="A13" s="28" t="s">
        <v>406</v>
      </c>
      <c r="C13" s="35" t="s">
        <v>143</v>
      </c>
      <c r="E13" s="208">
        <f t="shared" ca="1" si="0"/>
        <v>2529330.1886792453</v>
      </c>
      <c r="F13" s="209">
        <f t="shared" ca="1" si="0"/>
        <v>2529330.1886792453</v>
      </c>
      <c r="G13" s="209">
        <f t="shared" ca="1" si="0"/>
        <v>2703264.1509433961</v>
      </c>
      <c r="H13" s="209">
        <f t="shared" ca="1" si="0"/>
        <v>2703264.1509433961</v>
      </c>
      <c r="I13" s="209">
        <f t="shared" ca="1" si="0"/>
        <v>0</v>
      </c>
      <c r="J13" s="209">
        <f t="shared" ca="1" si="0"/>
        <v>0</v>
      </c>
      <c r="K13" s="210">
        <f t="shared" ca="1" si="1"/>
        <v>0</v>
      </c>
    </row>
    <row r="14" spans="1:11" s="28" customFormat="1">
      <c r="A14" s="28" t="s">
        <v>407</v>
      </c>
      <c r="C14" s="35" t="s">
        <v>316</v>
      </c>
      <c r="E14" s="208">
        <f t="shared" ca="1" si="0"/>
        <v>0</v>
      </c>
      <c r="F14" s="209">
        <f t="shared" ca="1" si="0"/>
        <v>0</v>
      </c>
      <c r="G14" s="209">
        <f t="shared" ca="1" si="0"/>
        <v>0</v>
      </c>
      <c r="H14" s="209">
        <f t="shared" ca="1" si="0"/>
        <v>0</v>
      </c>
      <c r="I14" s="209">
        <f t="shared" ca="1" si="0"/>
        <v>3230896.226415094</v>
      </c>
      <c r="J14" s="209">
        <f t="shared" ca="1" si="0"/>
        <v>0</v>
      </c>
      <c r="K14" s="210">
        <f t="shared" ca="1" si="1"/>
        <v>0</v>
      </c>
    </row>
    <row r="15" spans="1:11" s="28" customFormat="1">
      <c r="A15" s="28" t="s">
        <v>408</v>
      </c>
      <c r="C15" s="35" t="s">
        <v>317</v>
      </c>
      <c r="E15" s="208">
        <f t="shared" ca="1" si="0"/>
        <v>1300132.0754716981</v>
      </c>
      <c r="F15" s="209">
        <f t="shared" ca="1" si="0"/>
        <v>1300132.0754716981</v>
      </c>
      <c r="G15" s="209">
        <f t="shared" ca="1" si="0"/>
        <v>3230896.226415094</v>
      </c>
      <c r="H15" s="209">
        <f t="shared" ca="1" si="0"/>
        <v>3230896.226415094</v>
      </c>
      <c r="I15" s="209">
        <f t="shared" ca="1" si="0"/>
        <v>0</v>
      </c>
      <c r="J15" s="209">
        <f t="shared" ca="1" si="0"/>
        <v>0</v>
      </c>
      <c r="K15" s="210">
        <f t="shared" ca="1" si="1"/>
        <v>0</v>
      </c>
    </row>
    <row r="16" spans="1:11" s="28" customFormat="1">
      <c r="A16" s="28" t="s">
        <v>409</v>
      </c>
      <c r="C16" s="35" t="s">
        <v>318</v>
      </c>
      <c r="E16" s="208">
        <f t="shared" ca="1" si="0"/>
        <v>720028.30188679241</v>
      </c>
      <c r="F16" s="209">
        <f t="shared" ca="1" si="0"/>
        <v>720028.30188679241</v>
      </c>
      <c r="G16" s="209">
        <f t="shared" ca="1" si="0"/>
        <v>720028.30188679241</v>
      </c>
      <c r="H16" s="209">
        <f t="shared" ca="1" si="0"/>
        <v>720028.30188679241</v>
      </c>
      <c r="I16" s="209">
        <f t="shared" ca="1" si="0"/>
        <v>0</v>
      </c>
      <c r="J16" s="209">
        <f t="shared" ca="1" si="0"/>
        <v>0</v>
      </c>
      <c r="K16" s="210">
        <f t="shared" ca="1" si="1"/>
        <v>0</v>
      </c>
    </row>
    <row r="17" spans="1:11" s="28" customFormat="1">
      <c r="A17" s="28" t="s">
        <v>410</v>
      </c>
      <c r="C17" s="35" t="s">
        <v>319</v>
      </c>
      <c r="E17" s="208">
        <f t="shared" ca="1" si="0"/>
        <v>0</v>
      </c>
      <c r="F17" s="209">
        <f t="shared" ca="1" si="0"/>
        <v>0</v>
      </c>
      <c r="G17" s="209">
        <f t="shared" ca="1" si="0"/>
        <v>0</v>
      </c>
      <c r="H17" s="209">
        <f t="shared" ca="1" si="0"/>
        <v>0</v>
      </c>
      <c r="I17" s="209">
        <f t="shared" ca="1" si="0"/>
        <v>4690386.7924528299</v>
      </c>
      <c r="J17" s="209">
        <f t="shared" ca="1" si="0"/>
        <v>4690386.7924528299</v>
      </c>
      <c r="K17" s="210">
        <f t="shared" ca="1" si="1"/>
        <v>0</v>
      </c>
    </row>
    <row r="18" spans="1:11" s="28" customFormat="1">
      <c r="A18" s="28" t="s">
        <v>411</v>
      </c>
      <c r="C18" s="35" t="s">
        <v>320</v>
      </c>
      <c r="E18" s="208">
        <f t="shared" ca="1" si="0"/>
        <v>0</v>
      </c>
      <c r="F18" s="209">
        <f t="shared" ca="1" si="0"/>
        <v>0</v>
      </c>
      <c r="G18" s="209">
        <f t="shared" ca="1" si="0"/>
        <v>0</v>
      </c>
      <c r="H18" s="209">
        <f t="shared" ca="1" si="0"/>
        <v>0</v>
      </c>
      <c r="I18" s="209">
        <f t="shared" ca="1" si="0"/>
        <v>0</v>
      </c>
      <c r="J18" s="209">
        <f t="shared" ca="1" si="0"/>
        <v>9687830.1886792444</v>
      </c>
      <c r="K18" s="210">
        <f t="shared" ca="1" si="1"/>
        <v>0</v>
      </c>
    </row>
    <row r="19" spans="1:11" s="28" customFormat="1">
      <c r="A19" s="28" t="s">
        <v>412</v>
      </c>
      <c r="C19" s="35" t="s">
        <v>321</v>
      </c>
      <c r="E19" s="208">
        <f t="shared" ca="1" si="0"/>
        <v>0</v>
      </c>
      <c r="F19" s="209">
        <f t="shared" ca="1" si="0"/>
        <v>0</v>
      </c>
      <c r="G19" s="209">
        <f t="shared" ca="1" si="0"/>
        <v>0</v>
      </c>
      <c r="H19" s="209">
        <f t="shared" ca="1" si="0"/>
        <v>0</v>
      </c>
      <c r="I19" s="209">
        <f t="shared" ca="1" si="0"/>
        <v>913396.22641509434</v>
      </c>
      <c r="J19" s="209">
        <f t="shared" ca="1" si="0"/>
        <v>0</v>
      </c>
      <c r="K19" s="210">
        <f t="shared" ca="1" si="1"/>
        <v>0</v>
      </c>
    </row>
    <row r="20" spans="1:11" s="28" customFormat="1">
      <c r="A20" s="28" t="s">
        <v>508</v>
      </c>
      <c r="C20" s="35" t="s">
        <v>160</v>
      </c>
      <c r="E20" s="208">
        <f t="shared" ca="1" si="0"/>
        <v>0</v>
      </c>
      <c r="F20" s="209">
        <f t="shared" ca="1" si="0"/>
        <v>0</v>
      </c>
      <c r="G20" s="209">
        <f t="shared" ca="1" si="0"/>
        <v>0</v>
      </c>
      <c r="H20" s="209">
        <f t="shared" ca="1" si="0"/>
        <v>0</v>
      </c>
      <c r="I20" s="209">
        <f t="shared" ca="1" si="0"/>
        <v>4314339.6226415094</v>
      </c>
      <c r="J20" s="209">
        <f t="shared" ca="1" si="0"/>
        <v>0</v>
      </c>
      <c r="K20" s="210">
        <f t="shared" ca="1" si="1"/>
        <v>0</v>
      </c>
    </row>
    <row r="21" spans="1:11" s="28" customFormat="1">
      <c r="A21" s="28" t="s">
        <v>509</v>
      </c>
      <c r="C21" s="35" t="s">
        <v>161</v>
      </c>
      <c r="E21" s="208">
        <f t="shared" ref="E21:J30" ca="1" si="2">INDIRECT("'"&amp;E$7&amp;"'"&amp;$A21)</f>
        <v>0</v>
      </c>
      <c r="F21" s="209">
        <f t="shared" ca="1" si="2"/>
        <v>0</v>
      </c>
      <c r="G21" s="209">
        <f t="shared" ca="1" si="2"/>
        <v>583018.86792452831</v>
      </c>
      <c r="H21" s="209">
        <f t="shared" ca="1" si="2"/>
        <v>583018.86792452831</v>
      </c>
      <c r="I21" s="209">
        <f t="shared" ca="1" si="2"/>
        <v>0</v>
      </c>
      <c r="J21" s="209">
        <f t="shared" ca="1" si="2"/>
        <v>0</v>
      </c>
      <c r="K21" s="210">
        <f t="shared" ca="1" si="1"/>
        <v>0</v>
      </c>
    </row>
    <row r="22" spans="1:11" s="28" customFormat="1">
      <c r="A22" s="28" t="s">
        <v>510</v>
      </c>
      <c r="C22" s="35" t="s">
        <v>162</v>
      </c>
      <c r="E22" s="208">
        <f t="shared" ca="1" si="2"/>
        <v>676301.88679245277</v>
      </c>
      <c r="F22" s="209">
        <f t="shared" ca="1" si="2"/>
        <v>676301.88679245277</v>
      </c>
      <c r="G22" s="209">
        <f t="shared" ca="1" si="2"/>
        <v>676301.88679245277</v>
      </c>
      <c r="H22" s="209">
        <f t="shared" ca="1" si="2"/>
        <v>676301.88679245277</v>
      </c>
      <c r="I22" s="209">
        <f t="shared" ca="1" si="2"/>
        <v>0</v>
      </c>
      <c r="J22" s="209">
        <f t="shared" ca="1" si="2"/>
        <v>0</v>
      </c>
      <c r="K22" s="210">
        <f t="shared" ca="1" si="1"/>
        <v>0</v>
      </c>
    </row>
    <row r="23" spans="1:11" s="28" customFormat="1">
      <c r="A23" s="28" t="s">
        <v>511</v>
      </c>
      <c r="C23" s="35" t="s">
        <v>135</v>
      </c>
      <c r="E23" s="208">
        <f t="shared" ca="1" si="2"/>
        <v>1991981.1320754716</v>
      </c>
      <c r="F23" s="209">
        <f t="shared" ca="1" si="2"/>
        <v>1991981.1320754716</v>
      </c>
      <c r="G23" s="209">
        <f t="shared" ca="1" si="2"/>
        <v>1991981.1320754716</v>
      </c>
      <c r="H23" s="209">
        <f t="shared" ca="1" si="2"/>
        <v>1991981.1320754716</v>
      </c>
      <c r="I23" s="209">
        <f t="shared" ca="1" si="2"/>
        <v>1991981.1320754716</v>
      </c>
      <c r="J23" s="209">
        <f t="shared" ca="1" si="2"/>
        <v>1991981.1320754716</v>
      </c>
      <c r="K23" s="210">
        <f t="shared" ca="1" si="1"/>
        <v>0</v>
      </c>
    </row>
    <row r="24" spans="1:11" s="28" customFormat="1">
      <c r="A24" s="28" t="s">
        <v>512</v>
      </c>
      <c r="C24" s="35" t="s">
        <v>29</v>
      </c>
      <c r="E24" s="208">
        <f t="shared" ca="1" si="2"/>
        <v>999877.35849056602</v>
      </c>
      <c r="F24" s="209">
        <f t="shared" ca="1" si="2"/>
        <v>999877.35849056602</v>
      </c>
      <c r="G24" s="209">
        <f t="shared" ca="1" si="2"/>
        <v>999877.35849056602</v>
      </c>
      <c r="H24" s="209">
        <f t="shared" ca="1" si="2"/>
        <v>999877.35849056602</v>
      </c>
      <c r="I24" s="209">
        <f t="shared" ca="1" si="2"/>
        <v>999877.35849056602</v>
      </c>
      <c r="J24" s="209">
        <f t="shared" ca="1" si="2"/>
        <v>999877.35849056602</v>
      </c>
      <c r="K24" s="210">
        <f t="shared" ca="1" si="1"/>
        <v>0</v>
      </c>
    </row>
    <row r="25" spans="1:11" s="28" customFormat="1">
      <c r="A25" s="28" t="s">
        <v>513</v>
      </c>
      <c r="C25" s="35" t="s">
        <v>163</v>
      </c>
      <c r="E25" s="208">
        <f t="shared" ca="1" si="2"/>
        <v>3948981.1320754713</v>
      </c>
      <c r="F25" s="209">
        <f t="shared" ca="1" si="2"/>
        <v>3948981.1320754713</v>
      </c>
      <c r="G25" s="209">
        <f t="shared" ca="1" si="2"/>
        <v>0</v>
      </c>
      <c r="H25" s="209">
        <f t="shared" ca="1" si="2"/>
        <v>0</v>
      </c>
      <c r="I25" s="209">
        <f t="shared" ca="1" si="2"/>
        <v>0</v>
      </c>
      <c r="J25" s="209">
        <f t="shared" ca="1" si="2"/>
        <v>0</v>
      </c>
      <c r="K25" s="210">
        <f t="shared" ca="1" si="1"/>
        <v>0</v>
      </c>
    </row>
    <row r="26" spans="1:11" s="28" customFormat="1">
      <c r="A26" s="28" t="s">
        <v>514</v>
      </c>
      <c r="C26" s="35" t="s">
        <v>138</v>
      </c>
      <c r="E26" s="208">
        <f t="shared" ca="1" si="2"/>
        <v>4984811.3207547171</v>
      </c>
      <c r="F26" s="209">
        <f t="shared" ca="1" si="2"/>
        <v>4984811.3207547171</v>
      </c>
      <c r="G26" s="209">
        <f t="shared" ca="1" si="2"/>
        <v>0</v>
      </c>
      <c r="H26" s="209">
        <f t="shared" ca="1" si="2"/>
        <v>0</v>
      </c>
      <c r="I26" s="209">
        <f t="shared" ca="1" si="2"/>
        <v>0</v>
      </c>
      <c r="J26" s="209">
        <f t="shared" ca="1" si="2"/>
        <v>0</v>
      </c>
      <c r="K26" s="210">
        <f t="shared" ca="1" si="1"/>
        <v>0</v>
      </c>
    </row>
    <row r="27" spans="1:11" s="28" customFormat="1">
      <c r="A27" s="28" t="s">
        <v>515</v>
      </c>
      <c r="C27" s="35" t="s">
        <v>811</v>
      </c>
      <c r="E27" s="208">
        <f t="shared" ca="1" si="2"/>
        <v>1063037.7358490566</v>
      </c>
      <c r="F27" s="209">
        <f t="shared" ca="1" si="2"/>
        <v>1063037.7358490566</v>
      </c>
      <c r="G27" s="209">
        <f t="shared" ca="1" si="2"/>
        <v>950320.75471698109</v>
      </c>
      <c r="H27" s="209">
        <f t="shared" ca="1" si="2"/>
        <v>950320.75471698109</v>
      </c>
      <c r="I27" s="209">
        <f t="shared" ca="1" si="2"/>
        <v>824000</v>
      </c>
      <c r="J27" s="209">
        <f t="shared" ca="1" si="2"/>
        <v>915339.6226415094</v>
      </c>
      <c r="K27" s="210">
        <f t="shared" ca="1" si="1"/>
        <v>0</v>
      </c>
    </row>
    <row r="28" spans="1:11" s="28" customFormat="1">
      <c r="A28" s="28" t="s">
        <v>516</v>
      </c>
      <c r="C28" s="35" t="s">
        <v>115</v>
      </c>
      <c r="E28" s="208">
        <f t="shared" ca="1" si="2"/>
        <v>2127047.1698113205</v>
      </c>
      <c r="F28" s="209">
        <f t="shared" ca="1" si="2"/>
        <v>2127047.1698113205</v>
      </c>
      <c r="G28" s="209">
        <f t="shared" ca="1" si="2"/>
        <v>1900641.5094339622</v>
      </c>
      <c r="H28" s="209">
        <f t="shared" ca="1" si="2"/>
        <v>1900641.5094339622</v>
      </c>
      <c r="I28" s="209">
        <f t="shared" ca="1" si="2"/>
        <v>1648000</v>
      </c>
      <c r="J28" s="209">
        <f t="shared" ca="1" si="2"/>
        <v>1830679.2452830188</v>
      </c>
      <c r="K28" s="210">
        <f t="shared" ca="1" si="1"/>
        <v>0</v>
      </c>
    </row>
    <row r="29" spans="1:11" s="28" customFormat="1">
      <c r="A29" s="28" t="s">
        <v>517</v>
      </c>
      <c r="C29" s="35" t="s">
        <v>146</v>
      </c>
      <c r="E29" s="208">
        <f t="shared" ca="1" si="2"/>
        <v>7337292.452830188</v>
      </c>
      <c r="F29" s="209">
        <f t="shared" ca="1" si="2"/>
        <v>7337292.452830188</v>
      </c>
      <c r="G29" s="209">
        <f t="shared" ca="1" si="2"/>
        <v>6557990.5660377359</v>
      </c>
      <c r="H29" s="209">
        <f t="shared" ca="1" si="2"/>
        <v>6557990.5660377359</v>
      </c>
      <c r="I29" s="209">
        <f t="shared" ca="1" si="2"/>
        <v>5686377.3584905658</v>
      </c>
      <c r="J29" s="209">
        <f t="shared" ca="1" si="2"/>
        <v>6316037.7358490564</v>
      </c>
      <c r="K29" s="210">
        <f t="shared" ca="1" si="1"/>
        <v>0</v>
      </c>
    </row>
    <row r="30" spans="1:11" s="28" customFormat="1">
      <c r="A30" s="28" t="s">
        <v>868</v>
      </c>
      <c r="C30" s="35" t="s">
        <v>147</v>
      </c>
      <c r="E30" s="208">
        <f t="shared" ca="1" si="2"/>
        <v>4769094.339622641</v>
      </c>
      <c r="F30" s="209">
        <f t="shared" ca="1" si="2"/>
        <v>4769094.339622641</v>
      </c>
      <c r="G30" s="209">
        <f t="shared" ca="1" si="2"/>
        <v>4262839.6226415094</v>
      </c>
      <c r="H30" s="209">
        <f t="shared" ca="1" si="2"/>
        <v>4262839.6226415094</v>
      </c>
      <c r="I30" s="209">
        <f t="shared" ca="1" si="2"/>
        <v>3696339.6226415094</v>
      </c>
      <c r="J30" s="209">
        <f t="shared" ca="1" si="2"/>
        <v>4105424.5283018867</v>
      </c>
      <c r="K30" s="210">
        <f t="shared" ca="1" si="1"/>
        <v>0</v>
      </c>
    </row>
    <row r="31" spans="1:11" s="28" customFormat="1">
      <c r="C31" s="225" t="s">
        <v>114</v>
      </c>
      <c r="E31" s="211">
        <f t="shared" ref="E31:K31" ca="1" si="3">SUBTOTAL(9,E11:E30)</f>
        <v>36564028.30188679</v>
      </c>
      <c r="F31" s="212">
        <f t="shared" ca="1" si="3"/>
        <v>36564028.30188679</v>
      </c>
      <c r="G31" s="212">
        <f t="shared" ca="1" si="3"/>
        <v>32679179.245283023</v>
      </c>
      <c r="H31" s="212">
        <f t="shared" ca="1" si="3"/>
        <v>32679179.245283023</v>
      </c>
      <c r="I31" s="212">
        <f t="shared" ca="1" si="3"/>
        <v>28335688.679245286</v>
      </c>
      <c r="J31" s="212">
        <f t="shared" ca="1" si="3"/>
        <v>31473301.886792451</v>
      </c>
      <c r="K31" s="213">
        <f t="shared" ca="1" si="3"/>
        <v>0</v>
      </c>
    </row>
    <row r="32" spans="1:11" s="28" customFormat="1">
      <c r="C32" s="35"/>
      <c r="E32" s="205"/>
      <c r="F32" s="206"/>
      <c r="G32" s="206"/>
      <c r="H32" s="206"/>
      <c r="I32" s="206"/>
      <c r="J32" s="206"/>
      <c r="K32" s="207"/>
    </row>
    <row r="33" spans="1:11" s="28" customFormat="1">
      <c r="C33" s="34" t="s">
        <v>611</v>
      </c>
      <c r="E33" s="205"/>
      <c r="F33" s="206"/>
      <c r="G33" s="206"/>
      <c r="H33" s="206"/>
      <c r="I33" s="206"/>
      <c r="J33" s="206"/>
      <c r="K33" s="207"/>
    </row>
    <row r="34" spans="1:11" s="28" customFormat="1">
      <c r="A34" s="28" t="s">
        <v>518</v>
      </c>
      <c r="C34" s="35" t="s">
        <v>315</v>
      </c>
      <c r="E34" s="208">
        <f t="shared" ref="E34:J43" ca="1" si="4">INDIRECT("'"&amp;E$7&amp;"'"&amp;$A34)</f>
        <v>2171848.6737827016</v>
      </c>
      <c r="F34" s="209">
        <f t="shared" ca="1" si="4"/>
        <v>2171848.6737827016</v>
      </c>
      <c r="G34" s="209">
        <f t="shared" ca="1" si="4"/>
        <v>3033703.2692669816</v>
      </c>
      <c r="H34" s="209">
        <f t="shared" ca="1" si="4"/>
        <v>3033703.2692669816</v>
      </c>
      <c r="I34" s="209">
        <f t="shared" ca="1" si="4"/>
        <v>0</v>
      </c>
      <c r="J34" s="209">
        <f t="shared" ca="1" si="4"/>
        <v>0</v>
      </c>
      <c r="K34" s="210">
        <f t="shared" ref="K34:K52" ca="1" si="5">INDIRECT("'"&amp;K$7&amp;"'"&amp;$A34)*IF(CustomON="On",1,0)</f>
        <v>0</v>
      </c>
    </row>
    <row r="35" spans="1:11" s="28" customFormat="1">
      <c r="A35" s="28" t="s">
        <v>519</v>
      </c>
      <c r="C35" s="35" t="s">
        <v>153</v>
      </c>
      <c r="E35" s="208">
        <f t="shared" ca="1" si="4"/>
        <v>0</v>
      </c>
      <c r="F35" s="209">
        <f t="shared" ca="1" si="4"/>
        <v>0</v>
      </c>
      <c r="G35" s="209">
        <f t="shared" ca="1" si="4"/>
        <v>0</v>
      </c>
      <c r="H35" s="209">
        <f t="shared" ca="1" si="4"/>
        <v>0</v>
      </c>
      <c r="I35" s="209">
        <f t="shared" ca="1" si="4"/>
        <v>1395890.5774557188</v>
      </c>
      <c r="J35" s="209">
        <f t="shared" ca="1" si="4"/>
        <v>1669594.6122509574</v>
      </c>
      <c r="K35" s="210">
        <f t="shared" ca="1" si="5"/>
        <v>0</v>
      </c>
    </row>
    <row r="36" spans="1:11" s="28" customFormat="1">
      <c r="A36" s="28" t="s">
        <v>520</v>
      </c>
      <c r="C36" s="35" t="s">
        <v>143</v>
      </c>
      <c r="E36" s="208">
        <f t="shared" ca="1" si="4"/>
        <v>4214431.4432330104</v>
      </c>
      <c r="F36" s="209">
        <f t="shared" ca="1" si="4"/>
        <v>4214431.4432330104</v>
      </c>
      <c r="G36" s="209">
        <f t="shared" ca="1" si="4"/>
        <v>4364968.6623703912</v>
      </c>
      <c r="H36" s="209">
        <f t="shared" ca="1" si="4"/>
        <v>4364968.6623703912</v>
      </c>
      <c r="I36" s="209">
        <f t="shared" ca="1" si="4"/>
        <v>5227136.3719753949</v>
      </c>
      <c r="J36" s="209">
        <f t="shared" ca="1" si="4"/>
        <v>5076599.1528380131</v>
      </c>
      <c r="K36" s="210">
        <f t="shared" ca="1" si="5"/>
        <v>0</v>
      </c>
    </row>
    <row r="37" spans="1:11" s="28" customFormat="1">
      <c r="A37" s="28" t="s">
        <v>521</v>
      </c>
      <c r="C37" s="35" t="s">
        <v>316</v>
      </c>
      <c r="E37" s="208">
        <f t="shared" ca="1" si="4"/>
        <v>14570.305608299223</v>
      </c>
      <c r="F37" s="209">
        <f t="shared" ca="1" si="4"/>
        <v>14570.305608299223</v>
      </c>
      <c r="G37" s="209">
        <f t="shared" ca="1" si="4"/>
        <v>611899.58278910606</v>
      </c>
      <c r="H37" s="209">
        <f t="shared" ca="1" si="4"/>
        <v>611899.58278910606</v>
      </c>
      <c r="I37" s="209">
        <f t="shared" ca="1" si="4"/>
        <v>1419326.4854350609</v>
      </c>
      <c r="J37" s="209">
        <f t="shared" ca="1" si="4"/>
        <v>0</v>
      </c>
      <c r="K37" s="210">
        <f t="shared" ca="1" si="5"/>
        <v>0</v>
      </c>
    </row>
    <row r="38" spans="1:11" s="28" customFormat="1">
      <c r="A38" s="28" t="s">
        <v>522</v>
      </c>
      <c r="C38" s="35" t="s">
        <v>317</v>
      </c>
      <c r="E38" s="208">
        <f t="shared" ca="1" si="4"/>
        <v>981400.0297626789</v>
      </c>
      <c r="F38" s="209">
        <f t="shared" ca="1" si="4"/>
        <v>981400.0297626789</v>
      </c>
      <c r="G38" s="209">
        <f t="shared" ca="1" si="4"/>
        <v>836558.64575201867</v>
      </c>
      <c r="H38" s="209">
        <f t="shared" ca="1" si="4"/>
        <v>836558.64575201867</v>
      </c>
      <c r="I38" s="209">
        <f t="shared" ca="1" si="4"/>
        <v>29131.743106063866</v>
      </c>
      <c r="J38" s="209">
        <f t="shared" ca="1" si="4"/>
        <v>0</v>
      </c>
      <c r="K38" s="210">
        <f t="shared" ca="1" si="5"/>
        <v>0</v>
      </c>
    </row>
    <row r="39" spans="1:11" s="28" customFormat="1">
      <c r="A39" s="28" t="s">
        <v>582</v>
      </c>
      <c r="C39" s="35" t="s">
        <v>318</v>
      </c>
      <c r="E39" s="208">
        <f t="shared" ca="1" si="4"/>
        <v>-1296473.199682117</v>
      </c>
      <c r="F39" s="209">
        <f t="shared" ca="1" si="4"/>
        <v>-1296473.199682117</v>
      </c>
      <c r="G39" s="209">
        <f t="shared" ca="1" si="4"/>
        <v>-1315894.3617528258</v>
      </c>
      <c r="H39" s="209">
        <f t="shared" ca="1" si="4"/>
        <v>-1315894.3617528258</v>
      </c>
      <c r="I39" s="209">
        <f t="shared" ca="1" si="4"/>
        <v>0</v>
      </c>
      <c r="J39" s="209">
        <f t="shared" ca="1" si="4"/>
        <v>0</v>
      </c>
      <c r="K39" s="210">
        <f t="shared" ca="1" si="5"/>
        <v>0</v>
      </c>
    </row>
    <row r="40" spans="1:11" s="28" customFormat="1">
      <c r="A40" s="28" t="s">
        <v>583</v>
      </c>
      <c r="C40" s="35" t="s">
        <v>319</v>
      </c>
      <c r="E40" s="208">
        <f t="shared" ca="1" si="4"/>
        <v>0</v>
      </c>
      <c r="F40" s="209">
        <f t="shared" ca="1" si="4"/>
        <v>0</v>
      </c>
      <c r="G40" s="209">
        <f t="shared" ca="1" si="4"/>
        <v>0</v>
      </c>
      <c r="H40" s="209">
        <f t="shared" ca="1" si="4"/>
        <v>0</v>
      </c>
      <c r="I40" s="209">
        <f t="shared" ca="1" si="4"/>
        <v>168513.46540707393</v>
      </c>
      <c r="J40" s="209">
        <f t="shared" ca="1" si="4"/>
        <v>90862.460547494265</v>
      </c>
      <c r="K40" s="210">
        <f t="shared" ca="1" si="5"/>
        <v>0</v>
      </c>
    </row>
    <row r="41" spans="1:11" s="28" customFormat="1">
      <c r="A41" s="28" t="s">
        <v>584</v>
      </c>
      <c r="C41" s="35" t="s">
        <v>320</v>
      </c>
      <c r="E41" s="208">
        <f t="shared" ca="1" si="4"/>
        <v>0</v>
      </c>
      <c r="F41" s="209">
        <f t="shared" ca="1" si="4"/>
        <v>0</v>
      </c>
      <c r="G41" s="209">
        <f t="shared" ca="1" si="4"/>
        <v>0</v>
      </c>
      <c r="H41" s="209">
        <f t="shared" ca="1" si="4"/>
        <v>0</v>
      </c>
      <c r="I41" s="209">
        <f t="shared" ca="1" si="4"/>
        <v>0</v>
      </c>
      <c r="J41" s="209">
        <f t="shared" ca="1" si="4"/>
        <v>7895221.2053766046</v>
      </c>
      <c r="K41" s="210">
        <f t="shared" ca="1" si="5"/>
        <v>0</v>
      </c>
    </row>
    <row r="42" spans="1:11" s="28" customFormat="1">
      <c r="A42" s="28" t="s">
        <v>585</v>
      </c>
      <c r="C42" s="35" t="s">
        <v>321</v>
      </c>
      <c r="E42" s="208">
        <f t="shared" ca="1" si="4"/>
        <v>0</v>
      </c>
      <c r="F42" s="209">
        <f t="shared" ca="1" si="4"/>
        <v>0</v>
      </c>
      <c r="G42" s="209">
        <f t="shared" ca="1" si="4"/>
        <v>0</v>
      </c>
      <c r="H42" s="209">
        <f t="shared" ca="1" si="4"/>
        <v>0</v>
      </c>
      <c r="I42" s="209">
        <f t="shared" ca="1" si="4"/>
        <v>1658646.4508591483</v>
      </c>
      <c r="J42" s="209">
        <f t="shared" ca="1" si="4"/>
        <v>0</v>
      </c>
      <c r="K42" s="210">
        <f t="shared" ca="1" si="5"/>
        <v>0</v>
      </c>
    </row>
    <row r="43" spans="1:11" s="28" customFormat="1">
      <c r="A43" s="28" t="s">
        <v>586</v>
      </c>
      <c r="C43" s="35" t="s">
        <v>160</v>
      </c>
      <c r="E43" s="208">
        <f t="shared" ca="1" si="4"/>
        <v>0</v>
      </c>
      <c r="F43" s="209">
        <f t="shared" ca="1" si="4"/>
        <v>0</v>
      </c>
      <c r="G43" s="209">
        <f t="shared" ca="1" si="4"/>
        <v>0</v>
      </c>
      <c r="H43" s="209">
        <f t="shared" ca="1" si="4"/>
        <v>0</v>
      </c>
      <c r="I43" s="209">
        <f t="shared" ca="1" si="4"/>
        <v>6233354.2842862634</v>
      </c>
      <c r="J43" s="209">
        <f t="shared" ca="1" si="4"/>
        <v>0</v>
      </c>
      <c r="K43" s="210">
        <f t="shared" ca="1" si="5"/>
        <v>0</v>
      </c>
    </row>
    <row r="44" spans="1:11" s="28" customFormat="1">
      <c r="A44" s="28" t="s">
        <v>587</v>
      </c>
      <c r="C44" s="35" t="s">
        <v>161</v>
      </c>
      <c r="E44" s="208">
        <f t="shared" ref="E44:J52" ca="1" si="6">INDIRECT("'"&amp;E$7&amp;"'"&amp;$A44)</f>
        <v>0</v>
      </c>
      <c r="F44" s="209">
        <f t="shared" ca="1" si="6"/>
        <v>0</v>
      </c>
      <c r="G44" s="209">
        <f t="shared" ca="1" si="6"/>
        <v>1626269.4148182722</v>
      </c>
      <c r="H44" s="209">
        <f t="shared" ca="1" si="6"/>
        <v>1626269.4148182722</v>
      </c>
      <c r="I44" s="209">
        <f t="shared" ca="1" si="6"/>
        <v>0</v>
      </c>
      <c r="J44" s="209">
        <f t="shared" ca="1" si="6"/>
        <v>0</v>
      </c>
      <c r="K44" s="210">
        <f t="shared" ca="1" si="5"/>
        <v>0</v>
      </c>
    </row>
    <row r="45" spans="1:11" s="28" customFormat="1">
      <c r="A45" s="28" t="s">
        <v>588</v>
      </c>
      <c r="C45" s="35" t="s">
        <v>162</v>
      </c>
      <c r="D45" s="37"/>
      <c r="E45" s="208">
        <f t="shared" ca="1" si="6"/>
        <v>1461601.3182997147</v>
      </c>
      <c r="F45" s="209">
        <f t="shared" ca="1" si="6"/>
        <v>1461601.3182997147</v>
      </c>
      <c r="G45" s="209">
        <f t="shared" ca="1" si="6"/>
        <v>1461601.3182997147</v>
      </c>
      <c r="H45" s="209">
        <f t="shared" ca="1" si="6"/>
        <v>1461601.3182997147</v>
      </c>
      <c r="I45" s="209">
        <f t="shared" ca="1" si="6"/>
        <v>0</v>
      </c>
      <c r="J45" s="209">
        <f t="shared" ca="1" si="6"/>
        <v>0</v>
      </c>
      <c r="K45" s="210">
        <f t="shared" ca="1" si="5"/>
        <v>0</v>
      </c>
    </row>
    <row r="46" spans="1:11" s="28" customFormat="1">
      <c r="A46" s="28" t="s">
        <v>589</v>
      </c>
      <c r="C46" s="35" t="s">
        <v>135</v>
      </c>
      <c r="D46" s="37"/>
      <c r="E46" s="208">
        <f t="shared" ca="1" si="6"/>
        <v>3224056.4168166756</v>
      </c>
      <c r="F46" s="209">
        <f t="shared" ca="1" si="6"/>
        <v>3224056.4168166756</v>
      </c>
      <c r="G46" s="209">
        <f t="shared" ca="1" si="6"/>
        <v>3251426.8202961991</v>
      </c>
      <c r="H46" s="209">
        <f t="shared" ca="1" si="6"/>
        <v>3251426.8202961991</v>
      </c>
      <c r="I46" s="209">
        <f t="shared" ca="1" si="6"/>
        <v>3182681.5596181448</v>
      </c>
      <c r="J46" s="209">
        <f t="shared" ca="1" si="6"/>
        <v>3182681.5596181448</v>
      </c>
      <c r="K46" s="210">
        <f t="shared" ca="1" si="5"/>
        <v>0</v>
      </c>
    </row>
    <row r="47" spans="1:11" s="28" customFormat="1">
      <c r="A47" s="28" t="s">
        <v>590</v>
      </c>
      <c r="C47" s="35" t="s">
        <v>29</v>
      </c>
      <c r="D47" s="37"/>
      <c r="E47" s="208">
        <f t="shared" ca="1" si="6"/>
        <v>843615.03914849437</v>
      </c>
      <c r="F47" s="209">
        <f t="shared" ca="1" si="6"/>
        <v>843615.03914849437</v>
      </c>
      <c r="G47" s="209">
        <f t="shared" ca="1" si="6"/>
        <v>843615.03914849437</v>
      </c>
      <c r="H47" s="209">
        <f t="shared" ca="1" si="6"/>
        <v>843615.03914849437</v>
      </c>
      <c r="I47" s="209">
        <f t="shared" ca="1" si="6"/>
        <v>844262.4112175178</v>
      </c>
      <c r="J47" s="209">
        <f t="shared" ca="1" si="6"/>
        <v>844262.4112175178</v>
      </c>
      <c r="K47" s="210">
        <f t="shared" ca="1" si="5"/>
        <v>0</v>
      </c>
    </row>
    <row r="48" spans="1:11" s="28" customFormat="1">
      <c r="A48" s="28" t="s">
        <v>523</v>
      </c>
      <c r="C48" s="35" t="s">
        <v>163</v>
      </c>
      <c r="D48" s="37"/>
      <c r="E48" s="208">
        <f t="shared" ca="1" si="6"/>
        <v>4820750.3711046409</v>
      </c>
      <c r="F48" s="209">
        <f t="shared" ca="1" si="6"/>
        <v>4820750.3711046409</v>
      </c>
      <c r="G48" s="209">
        <f t="shared" ca="1" si="6"/>
        <v>0</v>
      </c>
      <c r="H48" s="209">
        <f t="shared" ca="1" si="6"/>
        <v>0</v>
      </c>
      <c r="I48" s="209">
        <f t="shared" ca="1" si="6"/>
        <v>0</v>
      </c>
      <c r="J48" s="209">
        <f t="shared" ca="1" si="6"/>
        <v>0</v>
      </c>
      <c r="K48" s="210">
        <f t="shared" ca="1" si="5"/>
        <v>0</v>
      </c>
    </row>
    <row r="49" spans="1:12" s="28" customFormat="1">
      <c r="A49" s="28" t="s">
        <v>524</v>
      </c>
      <c r="C49" s="35" t="s">
        <v>138</v>
      </c>
      <c r="D49" s="37"/>
      <c r="E49" s="208">
        <f t="shared" ca="1" si="6"/>
        <v>6333904.1846143948</v>
      </c>
      <c r="F49" s="209">
        <f t="shared" ca="1" si="6"/>
        <v>6333904.1846143948</v>
      </c>
      <c r="G49" s="209">
        <f t="shared" ca="1" si="6"/>
        <v>0</v>
      </c>
      <c r="H49" s="209">
        <f t="shared" ca="1" si="6"/>
        <v>0</v>
      </c>
      <c r="I49" s="209">
        <f t="shared" ca="1" si="6"/>
        <v>0</v>
      </c>
      <c r="J49" s="209">
        <f t="shared" ca="1" si="6"/>
        <v>0</v>
      </c>
      <c r="K49" s="210">
        <f t="shared" ca="1" si="5"/>
        <v>0</v>
      </c>
    </row>
    <row r="50" spans="1:12" s="28" customFormat="1">
      <c r="A50" s="28" t="s">
        <v>525</v>
      </c>
      <c r="C50" s="35" t="s">
        <v>312</v>
      </c>
      <c r="D50" s="37"/>
      <c r="E50" s="208">
        <f t="shared" ca="1" si="6"/>
        <v>2230687.8835811974</v>
      </c>
      <c r="F50" s="209">
        <f t="shared" ca="1" si="6"/>
        <v>0</v>
      </c>
      <c r="G50" s="209">
        <f t="shared" ca="1" si="6"/>
        <v>6117285.1776735904</v>
      </c>
      <c r="H50" s="209">
        <f t="shared" ca="1" si="6"/>
        <v>0</v>
      </c>
      <c r="I50" s="209">
        <f t="shared" ca="1" si="6"/>
        <v>0</v>
      </c>
      <c r="J50" s="209">
        <f t="shared" ca="1" si="6"/>
        <v>0</v>
      </c>
      <c r="K50" s="210">
        <f t="shared" ca="1" si="5"/>
        <v>0</v>
      </c>
    </row>
    <row r="51" spans="1:12" s="28" customFormat="1">
      <c r="A51" s="28" t="s">
        <v>526</v>
      </c>
      <c r="C51" s="35" t="s">
        <v>313</v>
      </c>
      <c r="D51" s="37"/>
      <c r="E51" s="208">
        <f t="shared" ca="1" si="6"/>
        <v>0</v>
      </c>
      <c r="F51" s="209">
        <f t="shared" ca="1" si="6"/>
        <v>4009764.1097502499</v>
      </c>
      <c r="G51" s="209">
        <f t="shared" ca="1" si="6"/>
        <v>0</v>
      </c>
      <c r="H51" s="209">
        <f t="shared" ca="1" si="6"/>
        <v>7868991.0003631199</v>
      </c>
      <c r="I51" s="209">
        <f t="shared" ca="1" si="6"/>
        <v>0</v>
      </c>
      <c r="J51" s="209">
        <f t="shared" ca="1" si="6"/>
        <v>0</v>
      </c>
      <c r="K51" s="210">
        <f t="shared" ca="1" si="5"/>
        <v>0</v>
      </c>
    </row>
    <row r="52" spans="1:12" s="28" customFormat="1">
      <c r="A52" s="28" t="s">
        <v>869</v>
      </c>
      <c r="C52" s="35" t="s">
        <v>308</v>
      </c>
      <c r="D52" s="37"/>
      <c r="E52" s="208">
        <f t="shared" ca="1" si="6"/>
        <v>1642224.2087714339</v>
      </c>
      <c r="F52" s="209">
        <f t="shared" ca="1" si="6"/>
        <v>1642224.2087714339</v>
      </c>
      <c r="G52" s="209">
        <f t="shared" ca="1" si="6"/>
        <v>1806446.6296485772</v>
      </c>
      <c r="H52" s="209">
        <f t="shared" ca="1" si="6"/>
        <v>1806446.6296485772</v>
      </c>
      <c r="I52" s="209">
        <f t="shared" ca="1" si="6"/>
        <v>1738020.6209497675</v>
      </c>
      <c r="J52" s="209">
        <f t="shared" ca="1" si="6"/>
        <v>0</v>
      </c>
      <c r="K52" s="210">
        <f t="shared" ca="1" si="5"/>
        <v>0</v>
      </c>
    </row>
    <row r="53" spans="1:12" s="28" customFormat="1">
      <c r="C53" s="225" t="s">
        <v>252</v>
      </c>
      <c r="D53" s="37"/>
      <c r="E53" s="211">
        <f t="shared" ref="E53:K53" ca="1" si="7">SUBTOTAL(9,E34:E52)</f>
        <v>26642616.675041128</v>
      </c>
      <c r="F53" s="212">
        <f t="shared" ca="1" si="7"/>
        <v>28421692.901210178</v>
      </c>
      <c r="G53" s="212">
        <f t="shared" ca="1" si="7"/>
        <v>22637880.19831052</v>
      </c>
      <c r="H53" s="212">
        <f t="shared" ca="1" si="7"/>
        <v>24389586.02100005</v>
      </c>
      <c r="I53" s="212">
        <f t="shared" ca="1" si="7"/>
        <v>21896963.970310155</v>
      </c>
      <c r="J53" s="212">
        <f t="shared" ca="1" si="7"/>
        <v>18759221.401848733</v>
      </c>
      <c r="K53" s="213">
        <f t="shared" ca="1" si="7"/>
        <v>0</v>
      </c>
    </row>
    <row r="54" spans="1:12" s="28" customFormat="1">
      <c r="C54" s="35"/>
      <c r="D54" s="37"/>
      <c r="E54" s="214"/>
      <c r="F54" s="215"/>
      <c r="G54" s="215"/>
      <c r="H54" s="215"/>
      <c r="I54" s="215"/>
      <c r="J54" s="215"/>
      <c r="K54" s="216"/>
      <c r="L54" s="38"/>
    </row>
    <row r="55" spans="1:12" s="28" customFormat="1" ht="15.75" thickBot="1">
      <c r="C55" s="220" t="s">
        <v>77</v>
      </c>
      <c r="D55" s="221"/>
      <c r="E55" s="222">
        <f t="shared" ref="E55:K55" ca="1" si="8">SUBTOTAL(9,E10:E54)</f>
        <v>63206644.976927929</v>
      </c>
      <c r="F55" s="223">
        <f t="shared" ca="1" si="8"/>
        <v>64985721.203096978</v>
      </c>
      <c r="G55" s="223">
        <f t="shared" ca="1" si="8"/>
        <v>55317059.443593547</v>
      </c>
      <c r="H55" s="223">
        <f t="shared" ca="1" si="8"/>
        <v>57068765.266283073</v>
      </c>
      <c r="I55" s="223">
        <f t="shared" ca="1" si="8"/>
        <v>50232652.649555445</v>
      </c>
      <c r="J55" s="223">
        <f t="shared" ca="1" si="8"/>
        <v>50232523.288641177</v>
      </c>
      <c r="K55" s="224">
        <f t="shared" ca="1" si="8"/>
        <v>0</v>
      </c>
      <c r="L55" s="38"/>
    </row>
    <row r="56" spans="1:12">
      <c r="E56" s="540">
        <v>63206644.976927929</v>
      </c>
      <c r="F56" s="540">
        <v>64985721.203096978</v>
      </c>
      <c r="G56" s="540">
        <v>55317059.443593547</v>
      </c>
      <c r="H56" s="540">
        <v>57068765.266283073</v>
      </c>
      <c r="I56" s="540">
        <v>50232652.649555445</v>
      </c>
      <c r="J56" s="540">
        <v>50232523.288641177</v>
      </c>
      <c r="K56" s="540"/>
    </row>
    <row r="57" spans="1:12">
      <c r="E57" s="410">
        <f ca="1">E55-E56</f>
        <v>0</v>
      </c>
      <c r="F57" s="410">
        <f t="shared" ref="F57:J57" ca="1" si="9">F55-F56</f>
        <v>0</v>
      </c>
      <c r="G57" s="410">
        <f t="shared" ca="1" si="9"/>
        <v>0</v>
      </c>
      <c r="H57" s="410">
        <f t="shared" ca="1" si="9"/>
        <v>0</v>
      </c>
      <c r="I57" s="410">
        <f t="shared" ca="1" si="9"/>
        <v>0</v>
      </c>
      <c r="J57" s="410">
        <f t="shared" ca="1" si="9"/>
        <v>0</v>
      </c>
      <c r="K57" s="410"/>
      <c r="L57"/>
    </row>
    <row r="58" spans="1:12">
      <c r="E58" s="201"/>
      <c r="F58" s="201"/>
      <c r="G58" s="201"/>
      <c r="H58" s="201"/>
      <c r="I58" s="201"/>
      <c r="J58" s="201"/>
      <c r="K58" s="201"/>
      <c r="L58" s="538"/>
    </row>
    <row r="59" spans="1:12">
      <c r="C59" s="312" t="s">
        <v>700</v>
      </c>
      <c r="D59" s="42"/>
      <c r="E59" s="42"/>
      <c r="F59" s="42"/>
      <c r="G59" s="42"/>
      <c r="H59" s="42"/>
      <c r="I59" s="42"/>
      <c r="J59" s="42"/>
      <c r="L59"/>
    </row>
    <row r="60" spans="1:12">
      <c r="C60" s="42" t="s">
        <v>536</v>
      </c>
      <c r="D60" s="42"/>
      <c r="E60" s="438">
        <f t="shared" ref="E60:J60" ca="1" si="10">1/E55</f>
        <v>1.5821121345153282E-8</v>
      </c>
      <c r="F60" s="438">
        <f t="shared" ca="1" si="10"/>
        <v>1.5387995724087521E-8</v>
      </c>
      <c r="G60" s="438">
        <f t="shared" ca="1" si="10"/>
        <v>1.8077605896960118E-8</v>
      </c>
      <c r="H60" s="438">
        <f t="shared" ca="1" si="10"/>
        <v>1.752272009625574E-8</v>
      </c>
      <c r="I60" s="438">
        <f t="shared" ca="1" si="10"/>
        <v>1.9907369952696495E-8</v>
      </c>
      <c r="J60" s="438">
        <f t="shared" ca="1" si="10"/>
        <v>1.9907421218995878E-8</v>
      </c>
      <c r="K60" s="438" t="str">
        <f>IF(CustomON="Off","",1/K55)</f>
        <v/>
      </c>
      <c r="L60"/>
    </row>
    <row r="61" spans="1:12">
      <c r="C61" s="444" t="s">
        <v>612</v>
      </c>
      <c r="D61" s="439"/>
      <c r="E61" s="440">
        <f ca="1">E60/MAX($E$60:$K$60)*5</f>
        <v>3.9736742321141518</v>
      </c>
      <c r="F61" s="440">
        <f t="shared" ref="F61:J61" ca="1" si="11">F60/MAX($E$60:$K$60)*5</f>
        <v>3.8648892678786866</v>
      </c>
      <c r="G61" s="440">
        <f t="shared" ca="1" si="11"/>
        <v>4.5404187961096305</v>
      </c>
      <c r="H61" s="440">
        <f t="shared" ca="1" si="11"/>
        <v>4.4010522265775363</v>
      </c>
      <c r="I61" s="440">
        <f t="shared" ca="1" si="11"/>
        <v>4.9999871238221116</v>
      </c>
      <c r="J61" s="440">
        <f t="shared" ca="1" si="11"/>
        <v>5</v>
      </c>
      <c r="K61" s="440" t="str">
        <f>IF(CustomON="Off","",K60/MAX($E$60:$K$60)*5)</f>
        <v/>
      </c>
      <c r="L61"/>
    </row>
    <row r="62" spans="1:12">
      <c r="C62" s="42"/>
      <c r="D62" s="42"/>
      <c r="E62" s="42"/>
      <c r="F62" s="42"/>
      <c r="G62" s="42"/>
      <c r="H62" s="42"/>
      <c r="I62" s="42"/>
      <c r="J62" s="42"/>
      <c r="L62"/>
    </row>
    <row r="63" spans="1:12">
      <c r="C63" s="42"/>
      <c r="D63" s="439"/>
      <c r="E63" s="441"/>
      <c r="F63" s="441"/>
      <c r="G63" s="441"/>
      <c r="H63" s="441"/>
      <c r="I63" s="441"/>
      <c r="J63" s="441"/>
      <c r="L63"/>
    </row>
    <row r="64" spans="1:12">
      <c r="C64" s="42"/>
      <c r="D64" s="439"/>
      <c r="E64" s="438"/>
      <c r="F64" s="438"/>
      <c r="G64" s="438"/>
      <c r="H64" s="438"/>
      <c r="I64" s="438"/>
      <c r="J64" s="438"/>
      <c r="L64"/>
    </row>
    <row r="65" spans="3:12">
      <c r="C65" s="42"/>
      <c r="D65" s="439"/>
      <c r="E65" s="525"/>
      <c r="F65" s="525"/>
      <c r="G65" s="525"/>
      <c r="H65" s="525"/>
      <c r="I65" s="525"/>
      <c r="J65" s="525"/>
      <c r="K65" s="525"/>
      <c r="L65"/>
    </row>
    <row r="66" spans="3:12">
      <c r="C66" s="42"/>
      <c r="D66" s="439"/>
      <c r="E66" s="442"/>
      <c r="F66" s="442"/>
      <c r="G66" s="442"/>
      <c r="H66" s="442"/>
      <c r="I66" s="442"/>
      <c r="J66" s="442"/>
      <c r="L66"/>
    </row>
    <row r="67" spans="3:12">
      <c r="C67" s="42"/>
      <c r="D67" s="439"/>
      <c r="E67" s="443"/>
      <c r="F67" s="443"/>
      <c r="G67" s="443"/>
      <c r="H67" s="443"/>
      <c r="I67" s="443"/>
      <c r="J67" s="443"/>
      <c r="L67"/>
    </row>
    <row r="68" spans="3:12">
      <c r="E68" s="199"/>
      <c r="L68"/>
    </row>
    <row r="69" spans="3:12">
      <c r="D69" s="308"/>
      <c r="E69" s="199"/>
    </row>
    <row r="70" spans="3:12">
      <c r="D70" s="308"/>
      <c r="E70" s="199"/>
    </row>
    <row r="71" spans="3:12">
      <c r="E71" s="199"/>
      <c r="F71" s="199"/>
      <c r="G71" s="199"/>
      <c r="H71" s="199"/>
      <c r="I71" s="199"/>
      <c r="J71" s="199"/>
    </row>
    <row r="73" spans="3:12">
      <c r="E73" s="410"/>
      <c r="F73" s="410"/>
      <c r="G73" s="410"/>
      <c r="H73" s="410"/>
      <c r="I73" s="410"/>
      <c r="J73" s="410"/>
      <c r="K73" s="410"/>
    </row>
    <row r="74" spans="3:12">
      <c r="E74" s="404"/>
      <c r="F74" s="404"/>
      <c r="G74" s="404"/>
      <c r="H74" s="404"/>
      <c r="I74" s="404"/>
      <c r="J74" s="404"/>
      <c r="K74" s="404"/>
    </row>
  </sheetData>
  <sortState ref="C10:J43">
    <sortCondition ref="C11:C43"/>
  </sortState>
  <phoneticPr fontId="75" type="noConversion"/>
  <pageMargins left="0.5" right="0.5" top="0.5" bottom="0.5" header="0.5" footer="0.5"/>
  <pageSetup scale="76" fitToHeight="0" orientation="landscape" r:id="rId1"/>
  <headerFooter alignWithMargins="0"/>
  <rowBreaks count="1" manualBreakCount="1">
    <brk id="32" min="2" max="10" man="1"/>
  </rowBreaks>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sheetPr codeName="Sheet4" enableFormatConditionsCalculation="0">
    <tabColor rgb="FFFFFF00"/>
    <pageSetUpPr fitToPage="1"/>
  </sheetPr>
  <dimension ref="B2:I13"/>
  <sheetViews>
    <sheetView view="pageBreakPreview" zoomScale="60" zoomScaleNormal="100" workbookViewId="0">
      <pane xSplit="3" ySplit="6" topLeftCell="D7" activePane="bottomRight" state="frozen"/>
      <selection activeCell="E26" sqref="E26"/>
      <selection pane="topRight" activeCell="E26" sqref="E26"/>
      <selection pane="bottomLeft" activeCell="E26" sqref="E26"/>
      <selection pane="bottomRight" activeCell="D14" sqref="D14"/>
    </sheetView>
  </sheetViews>
  <sheetFormatPr defaultColWidth="9.140625" defaultRowHeight="15"/>
  <cols>
    <col min="1" max="1" width="9.140625" style="196"/>
    <col min="2" max="2" width="4.42578125" style="2" customWidth="1"/>
    <col min="3" max="3" width="34.85546875" style="196" customWidth="1"/>
    <col min="4" max="4" width="10.140625" style="239" customWidth="1"/>
    <col min="5" max="5" width="27.85546875" style="238" customWidth="1"/>
    <col min="6" max="6" width="10.140625" style="239" customWidth="1"/>
    <col min="7" max="7" width="27.85546875" style="238" customWidth="1"/>
    <col min="8" max="8" width="10.140625" style="238" customWidth="1"/>
    <col min="9" max="9" width="27.85546875" style="238" customWidth="1"/>
    <col min="10" max="16384" width="9.140625" style="196"/>
  </cols>
  <sheetData>
    <row r="2" spans="2:9" ht="18.75">
      <c r="F2" s="240" t="s">
        <v>398</v>
      </c>
    </row>
    <row r="4" spans="2:9" ht="15.75" thickBot="1"/>
    <row r="5" spans="2:9" ht="30" customHeight="1">
      <c r="B5" s="241"/>
      <c r="C5" s="242"/>
      <c r="D5" s="1010" t="s">
        <v>48</v>
      </c>
      <c r="E5" s="1011"/>
      <c r="F5" s="1010" t="s">
        <v>49</v>
      </c>
      <c r="G5" s="1011"/>
      <c r="H5" s="1010" t="s">
        <v>50</v>
      </c>
      <c r="I5" s="1012"/>
    </row>
    <row r="6" spans="2:9" s="1" customFormat="1" ht="30">
      <c r="B6" s="677"/>
      <c r="C6" s="678" t="s">
        <v>346</v>
      </c>
      <c r="D6" s="689" t="s">
        <v>62</v>
      </c>
      <c r="E6" s="690" t="s">
        <v>701</v>
      </c>
      <c r="F6" s="689" t="s">
        <v>62</v>
      </c>
      <c r="G6" s="690" t="s">
        <v>701</v>
      </c>
      <c r="H6" s="689" t="s">
        <v>62</v>
      </c>
      <c r="I6" s="691" t="s">
        <v>701</v>
      </c>
    </row>
    <row r="7" spans="2:9" ht="45">
      <c r="B7" s="927" t="str">
        <f>scenario_1</f>
        <v>1X: AnaDig + CHP, Prtmt, LandApp</v>
      </c>
      <c r="C7" s="932"/>
      <c r="D7" s="734">
        <v>2</v>
      </c>
      <c r="E7" s="684" t="s">
        <v>702</v>
      </c>
      <c r="F7" s="734">
        <v>3.5</v>
      </c>
      <c r="G7" s="684" t="s">
        <v>707</v>
      </c>
      <c r="H7" s="734">
        <v>3</v>
      </c>
      <c r="I7" s="679" t="s">
        <v>709</v>
      </c>
    </row>
    <row r="8" spans="2:9" ht="30">
      <c r="B8" s="928" t="str">
        <f>scenario_2</f>
        <v>1Y: AnaDig + CHP, Prtmt, Landfill</v>
      </c>
      <c r="C8" s="933"/>
      <c r="D8" s="734">
        <v>3</v>
      </c>
      <c r="E8" s="685" t="s">
        <v>704</v>
      </c>
      <c r="F8" s="734">
        <v>3</v>
      </c>
      <c r="G8" s="685"/>
      <c r="H8" s="734">
        <v>3</v>
      </c>
      <c r="I8" s="680" t="s">
        <v>709</v>
      </c>
    </row>
    <row r="9" spans="2:9" ht="45">
      <c r="B9" s="929" t="str">
        <f>scenario_3</f>
        <v>2X: AnaDig + CHP, Codig, LandApp</v>
      </c>
      <c r="C9" s="934"/>
      <c r="D9" s="734">
        <v>3</v>
      </c>
      <c r="E9" s="686" t="s">
        <v>703</v>
      </c>
      <c r="F9" s="734">
        <v>4.5</v>
      </c>
      <c r="G9" s="686"/>
      <c r="H9" s="734">
        <v>4</v>
      </c>
      <c r="I9" s="681" t="s">
        <v>708</v>
      </c>
    </row>
    <row r="10" spans="2:9" ht="30">
      <c r="B10" s="930" t="str">
        <f>scenario_4</f>
        <v>2Y: AnaDig + CHP, Codig, Landfill</v>
      </c>
      <c r="C10" s="935"/>
      <c r="D10" s="734">
        <v>4</v>
      </c>
      <c r="E10" s="687" t="s">
        <v>704</v>
      </c>
      <c r="F10" s="734">
        <v>4</v>
      </c>
      <c r="G10" s="687"/>
      <c r="H10" s="734">
        <v>4</v>
      </c>
      <c r="I10" s="682"/>
    </row>
    <row r="11" spans="2:9" ht="105">
      <c r="B11" s="931" t="str">
        <f>scenario_5</f>
        <v>3Y: Incin, Landfill</v>
      </c>
      <c r="C11" s="936"/>
      <c r="D11" s="734">
        <v>4</v>
      </c>
      <c r="E11" s="688" t="s">
        <v>705</v>
      </c>
      <c r="F11" s="734">
        <v>1.5</v>
      </c>
      <c r="G11" s="688" t="s">
        <v>812</v>
      </c>
      <c r="H11" s="734">
        <v>4.5</v>
      </c>
      <c r="I11" s="683"/>
    </row>
    <row r="12" spans="2:9" ht="45">
      <c r="B12" s="937" t="str">
        <f>scenario_6</f>
        <v>4Y: Gasif, Landfill</v>
      </c>
      <c r="C12" s="938"/>
      <c r="D12" s="939">
        <v>3</v>
      </c>
      <c r="E12" s="940" t="s">
        <v>706</v>
      </c>
      <c r="F12" s="939">
        <v>3</v>
      </c>
      <c r="G12" s="940" t="s">
        <v>532</v>
      </c>
      <c r="H12" s="939">
        <v>1</v>
      </c>
      <c r="I12" s="941" t="s">
        <v>399</v>
      </c>
    </row>
    <row r="13" spans="2:9" s="896" customFormat="1" ht="15.75" thickBot="1">
      <c r="B13" s="943" t="str">
        <f>scenario_7</f>
        <v>Custom Scenario</v>
      </c>
      <c r="C13" s="944"/>
      <c r="D13" s="942"/>
      <c r="E13" s="945"/>
      <c r="F13" s="942"/>
      <c r="G13" s="945"/>
      <c r="H13" s="942"/>
      <c r="I13" s="946"/>
    </row>
  </sheetData>
  <mergeCells count="3">
    <mergeCell ref="D5:E5"/>
    <mergeCell ref="F5:G5"/>
    <mergeCell ref="H5:I5"/>
  </mergeCells>
  <phoneticPr fontId="75" type="noConversion"/>
  <pageMargins left="0.7" right="0.7" top="0.75" bottom="0.75" header="0.3" footer="0.3"/>
  <pageSetup scale="80" fitToHeight="0" orientation="landscape" r:id="rId1"/>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sheetPr codeName="Sheet6" enableFormatConditionsCalculation="0">
    <tabColor rgb="FFFFFF00"/>
    <pageSetUpPr fitToPage="1"/>
  </sheetPr>
  <dimension ref="A1:K26"/>
  <sheetViews>
    <sheetView view="pageBreakPreview" zoomScale="80" zoomScaleNormal="100" zoomScaleSheetLayoutView="80" workbookViewId="0">
      <selection activeCell="B9" sqref="B9"/>
    </sheetView>
  </sheetViews>
  <sheetFormatPr defaultColWidth="9.140625" defaultRowHeight="15"/>
  <cols>
    <col min="1" max="1" width="21.28515625" style="437" customWidth="1"/>
    <col min="2" max="7" width="16.7109375" style="437" customWidth="1"/>
    <col min="8" max="8" width="16.7109375" style="896" customWidth="1"/>
    <col min="9" max="16384" width="9.140625" style="437"/>
  </cols>
  <sheetData>
    <row r="1" spans="1:11" ht="18.75">
      <c r="A1" s="1013" t="s">
        <v>175</v>
      </c>
      <c r="B1" s="1013"/>
      <c r="C1" s="1013"/>
      <c r="D1" s="1013"/>
      <c r="E1" s="1013"/>
      <c r="F1" s="1013"/>
      <c r="G1" s="1013"/>
      <c r="H1" s="1013"/>
      <c r="I1" s="1013"/>
      <c r="J1" s="1013"/>
      <c r="K1" s="1013"/>
    </row>
    <row r="3" spans="1:11" ht="30">
      <c r="A3" s="269"/>
      <c r="B3" s="560" t="str">
        <f>scenario_1</f>
        <v>1X: AnaDig + CHP, Prtmt, LandApp</v>
      </c>
      <c r="C3" s="270" t="str">
        <f>scenario_2</f>
        <v>1Y: AnaDig + CHP, Prtmt, Landfill</v>
      </c>
      <c r="D3" s="565" t="str">
        <f>scenario_3</f>
        <v>2X: AnaDig + CHP, Codig, LandApp</v>
      </c>
      <c r="E3" s="558" t="str">
        <f>scenario_4</f>
        <v>2Y: AnaDig + CHP, Codig, Landfill</v>
      </c>
      <c r="F3" s="271" t="str">
        <f>scenario_5</f>
        <v>3Y: Incin, Landfill</v>
      </c>
      <c r="G3" s="736" t="str">
        <f>scenario_6</f>
        <v>4Y: Gasif, Landfill</v>
      </c>
      <c r="H3" s="947" t="str">
        <f>scenario_7</f>
        <v>Custom Scenario</v>
      </c>
      <c r="I3" s="1014"/>
      <c r="J3" s="1015"/>
      <c r="K3" s="1016"/>
    </row>
    <row r="4" spans="1:11">
      <c r="A4" s="269"/>
      <c r="B4" s="1023" t="s">
        <v>176</v>
      </c>
      <c r="C4" s="1024"/>
      <c r="D4" s="1024"/>
      <c r="E4" s="1024"/>
      <c r="F4" s="1024"/>
      <c r="G4" s="1024"/>
      <c r="H4" s="1025"/>
      <c r="I4" s="1017"/>
      <c r="J4" s="1018"/>
      <c r="K4" s="1019"/>
    </row>
    <row r="5" spans="1:11">
      <c r="A5" s="269" t="s">
        <v>710</v>
      </c>
      <c r="B5" s="737">
        <v>585</v>
      </c>
      <c r="C5" s="737">
        <v>0</v>
      </c>
      <c r="D5" s="738">
        <v>718</v>
      </c>
      <c r="E5" s="739">
        <v>0</v>
      </c>
      <c r="F5" s="737">
        <v>0</v>
      </c>
      <c r="G5" s="739">
        <v>0</v>
      </c>
      <c r="H5" s="739"/>
      <c r="I5" s="1020"/>
      <c r="J5" s="1021"/>
      <c r="K5" s="1022"/>
    </row>
    <row r="6" spans="1:11">
      <c r="A6" s="269" t="s">
        <v>711</v>
      </c>
      <c r="B6" s="737">
        <v>103</v>
      </c>
      <c r="C6" s="737">
        <v>0</v>
      </c>
      <c r="D6" s="738">
        <v>91</v>
      </c>
      <c r="E6" s="739">
        <v>0</v>
      </c>
      <c r="F6" s="737">
        <v>0</v>
      </c>
      <c r="G6" s="739">
        <v>0</v>
      </c>
      <c r="H6" s="739"/>
      <c r="I6" s="272" t="s">
        <v>177</v>
      </c>
      <c r="J6" s="272" t="s">
        <v>178</v>
      </c>
      <c r="K6" s="272" t="s">
        <v>179</v>
      </c>
    </row>
    <row r="7" spans="1:11">
      <c r="A7" s="273" t="s">
        <v>180</v>
      </c>
      <c r="B7" s="562">
        <f>SUM(B5:B6)</f>
        <v>688</v>
      </c>
      <c r="C7" s="555">
        <f t="shared" ref="C7:G7" si="0">SUM(C5:C6)</f>
        <v>0</v>
      </c>
      <c r="D7" s="567">
        <f t="shared" si="0"/>
        <v>809</v>
      </c>
      <c r="E7" s="761">
        <f t="shared" si="0"/>
        <v>0</v>
      </c>
      <c r="F7" s="571">
        <f t="shared" si="0"/>
        <v>0</v>
      </c>
      <c r="G7" s="751">
        <f t="shared" si="0"/>
        <v>0</v>
      </c>
      <c r="H7" s="751" t="str">
        <f>IF(CustomON="Off","",SUM(H5:H6))</f>
        <v/>
      </c>
      <c r="I7" s="274">
        <f>MAX(B7:H7)</f>
        <v>809</v>
      </c>
      <c r="J7" s="274">
        <f>MIN(B7:H7)</f>
        <v>0</v>
      </c>
      <c r="K7" s="274">
        <f>+I7-J7</f>
        <v>809</v>
      </c>
    </row>
    <row r="8" spans="1:11">
      <c r="A8" s="269" t="s">
        <v>181</v>
      </c>
      <c r="B8" s="563">
        <f>B7/$I$7</f>
        <v>0.85043263288009885</v>
      </c>
      <c r="C8" s="556">
        <f t="shared" ref="C8:G8" si="1">C7/$I$7</f>
        <v>0</v>
      </c>
      <c r="D8" s="568">
        <f t="shared" si="1"/>
        <v>1</v>
      </c>
      <c r="E8" s="762">
        <f t="shared" si="1"/>
        <v>0</v>
      </c>
      <c r="F8" s="572">
        <f t="shared" si="1"/>
        <v>0</v>
      </c>
      <c r="G8" s="752">
        <f t="shared" si="1"/>
        <v>0</v>
      </c>
      <c r="H8" s="752" t="str">
        <f>IF(CustomON="Off","",H7/$I$7)</f>
        <v/>
      </c>
      <c r="I8" s="1014"/>
      <c r="J8" s="1015"/>
      <c r="K8" s="1016"/>
    </row>
    <row r="9" spans="1:11">
      <c r="A9" s="269" t="s">
        <v>64</v>
      </c>
      <c r="B9" s="564">
        <f>+B8*5</f>
        <v>4.2521631644004945</v>
      </c>
      <c r="C9" s="557">
        <f t="shared" ref="C9:G9" si="2">+C8*5</f>
        <v>0</v>
      </c>
      <c r="D9" s="569">
        <f t="shared" si="2"/>
        <v>5</v>
      </c>
      <c r="E9" s="763">
        <f t="shared" si="2"/>
        <v>0</v>
      </c>
      <c r="F9" s="573">
        <f t="shared" si="2"/>
        <v>0</v>
      </c>
      <c r="G9" s="753">
        <f t="shared" si="2"/>
        <v>0</v>
      </c>
      <c r="H9" s="753" t="str">
        <f>IF(CustomON="Off","",H8*5)</f>
        <v/>
      </c>
      <c r="I9" s="1020"/>
      <c r="J9" s="1021"/>
      <c r="K9" s="1022"/>
    </row>
    <row r="10" spans="1:11">
      <c r="A10" s="68"/>
      <c r="B10" s="513"/>
      <c r="C10" s="559"/>
      <c r="D10" s="513"/>
      <c r="E10" s="559"/>
      <c r="F10" s="559"/>
      <c r="G10" s="559"/>
      <c r="H10" s="559"/>
      <c r="I10" s="436"/>
      <c r="J10" s="436"/>
      <c r="K10" s="436"/>
    </row>
    <row r="11" spans="1:11">
      <c r="A11" s="445" t="s">
        <v>539</v>
      </c>
      <c r="B11" s="446" t="s">
        <v>551</v>
      </c>
      <c r="C11" s="446"/>
      <c r="D11" s="513"/>
      <c r="E11" s="559"/>
      <c r="F11" s="559"/>
      <c r="G11" s="559"/>
      <c r="H11" s="559"/>
      <c r="I11" s="436"/>
      <c r="J11" s="436"/>
      <c r="K11" s="436"/>
    </row>
    <row r="12" spans="1:11">
      <c r="A12" s="447" t="s">
        <v>541</v>
      </c>
      <c r="B12" s="446" t="s">
        <v>552</v>
      </c>
      <c r="C12" s="446"/>
      <c r="D12" s="513"/>
      <c r="E12" s="559"/>
      <c r="F12" s="559"/>
      <c r="G12" s="559"/>
      <c r="H12" s="559"/>
      <c r="I12" s="436"/>
      <c r="J12" s="436"/>
      <c r="K12" s="436"/>
    </row>
    <row r="13" spans="1:11">
      <c r="A13" s="447" t="s">
        <v>543</v>
      </c>
      <c r="B13" s="446" t="s">
        <v>544</v>
      </c>
      <c r="C13" s="446"/>
      <c r="D13" s="513"/>
      <c r="E13" s="559"/>
      <c r="F13" s="559"/>
      <c r="G13" s="559"/>
      <c r="H13" s="559"/>
      <c r="I13" s="436"/>
      <c r="J13" s="436"/>
      <c r="K13" s="436"/>
    </row>
    <row r="14" spans="1:11">
      <c r="A14" s="447" t="s">
        <v>545</v>
      </c>
      <c r="B14" s="448">
        <v>5</v>
      </c>
      <c r="C14" s="446"/>
      <c r="D14" s="513"/>
      <c r="E14" s="559"/>
      <c r="F14" s="559"/>
      <c r="G14" s="559"/>
      <c r="H14" s="559"/>
      <c r="I14" s="436"/>
      <c r="J14" s="436"/>
      <c r="K14" s="436"/>
    </row>
    <row r="15" spans="1:11">
      <c r="A15" s="447" t="s">
        <v>546</v>
      </c>
      <c r="B15" s="446" t="s">
        <v>553</v>
      </c>
      <c r="C15" s="446"/>
      <c r="D15" s="513"/>
      <c r="E15" s="559"/>
      <c r="F15" s="559"/>
      <c r="G15" s="559"/>
      <c r="H15" s="559"/>
      <c r="I15" s="436"/>
      <c r="J15" s="436"/>
      <c r="K15" s="436"/>
    </row>
    <row r="16" spans="1:11">
      <c r="A16" s="447" t="s">
        <v>548</v>
      </c>
      <c r="B16" s="448">
        <v>0</v>
      </c>
      <c r="C16" s="446"/>
      <c r="D16" s="513"/>
      <c r="E16" s="559"/>
      <c r="F16" s="559"/>
      <c r="G16" s="559"/>
      <c r="H16" s="559"/>
      <c r="I16" s="436"/>
      <c r="J16" s="436"/>
      <c r="K16" s="436"/>
    </row>
    <row r="17" spans="1:11">
      <c r="A17" s="447" t="s">
        <v>549</v>
      </c>
      <c r="B17" s="446" t="s">
        <v>554</v>
      </c>
      <c r="C17" s="446"/>
      <c r="D17" s="513"/>
      <c r="E17" s="559"/>
      <c r="F17" s="559"/>
      <c r="G17" s="559"/>
      <c r="H17" s="559"/>
      <c r="I17" s="436"/>
      <c r="J17" s="436"/>
      <c r="K17" s="436"/>
    </row>
    <row r="18" spans="1:11">
      <c r="A18" s="449"/>
      <c r="B18" s="449"/>
      <c r="C18" s="449"/>
    </row>
    <row r="20" spans="1:11" ht="18.75">
      <c r="A20" s="625" t="s">
        <v>538</v>
      </c>
    </row>
    <row r="21" spans="1:11">
      <c r="A21" s="157" t="s">
        <v>417</v>
      </c>
    </row>
    <row r="22" spans="1:11">
      <c r="A22" s="157" t="s">
        <v>418</v>
      </c>
    </row>
    <row r="23" spans="1:11">
      <c r="A23" s="157" t="s">
        <v>415</v>
      </c>
    </row>
    <row r="24" spans="1:11">
      <c r="A24" s="157" t="s">
        <v>414</v>
      </c>
    </row>
    <row r="25" spans="1:11">
      <c r="A25" s="157" t="s">
        <v>813</v>
      </c>
    </row>
    <row r="26" spans="1:11">
      <c r="A26" s="157" t="s">
        <v>416</v>
      </c>
    </row>
  </sheetData>
  <mergeCells count="4">
    <mergeCell ref="A1:K1"/>
    <mergeCell ref="I3:K5"/>
    <mergeCell ref="I8:K9"/>
    <mergeCell ref="B4:H4"/>
  </mergeCells>
  <phoneticPr fontId="75" type="noConversion"/>
  <pageMargins left="0.7" right="0.7" top="0.75" bottom="0.75" header="0.3" footer="0.3"/>
  <pageSetup scale="74" fitToHeight="0" orientation="landscape" r:id="rId1"/>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sheetPr codeName="Sheet7" enableFormatConditionsCalculation="0">
    <tabColor rgb="FFFFFF00"/>
    <pageSetUpPr fitToPage="1"/>
  </sheetPr>
  <dimension ref="A1:R129"/>
  <sheetViews>
    <sheetView topLeftCell="A91" zoomScale="80" zoomScaleNormal="80" zoomScaleSheetLayoutView="80" workbookViewId="0">
      <selection activeCell="K25" sqref="K25"/>
    </sheetView>
  </sheetViews>
  <sheetFormatPr defaultColWidth="9.140625" defaultRowHeight="15"/>
  <cols>
    <col min="1" max="1" width="12.28515625" style="437" customWidth="1"/>
    <col min="2" max="2" width="32.42578125" style="437" customWidth="1"/>
    <col min="3" max="7" width="16.7109375" style="437" customWidth="1"/>
    <col min="8" max="8" width="38.140625" style="437" customWidth="1"/>
    <col min="9" max="9" width="16.7109375" style="896" customWidth="1"/>
    <col min="10" max="16384" width="9.140625" style="437"/>
  </cols>
  <sheetData>
    <row r="1" spans="1:18" ht="18.75">
      <c r="B1" s="1013" t="s">
        <v>485</v>
      </c>
      <c r="C1" s="1013"/>
      <c r="D1" s="1013"/>
      <c r="E1" s="1013"/>
      <c r="F1" s="1013"/>
      <c r="G1" s="1013"/>
      <c r="H1" s="1013"/>
      <c r="I1" s="892"/>
    </row>
    <row r="3" spans="1:18" ht="30">
      <c r="A3" s="500" t="s">
        <v>555</v>
      </c>
      <c r="B3" s="269"/>
      <c r="C3" s="574" t="str">
        <f>scenario_1</f>
        <v>1X: AnaDig + CHP, Prtmt, LandApp</v>
      </c>
      <c r="D3" s="270" t="str">
        <f>scenario_2</f>
        <v>1Y: AnaDig + CHP, Prtmt, Landfill</v>
      </c>
      <c r="E3" s="565" t="str">
        <f>scenario_3</f>
        <v>2X: AnaDig + CHP, Codig, LandApp</v>
      </c>
      <c r="F3" s="558" t="str">
        <f>scenario_4</f>
        <v>2Y: AnaDig + CHP, Codig, Landfill</v>
      </c>
      <c r="G3" s="271" t="str">
        <f>scenario_5</f>
        <v>3Y: Incin, Landfill</v>
      </c>
      <c r="H3" s="736" t="str">
        <f>scenario_6</f>
        <v>4Y: Gasif, Landfill</v>
      </c>
      <c r="I3" s="736" t="str">
        <f>scenario_7</f>
        <v>Custom Scenario</v>
      </c>
    </row>
    <row r="4" spans="1:18">
      <c r="A4" s="501">
        <v>0.25</v>
      </c>
      <c r="B4" s="273" t="s">
        <v>182</v>
      </c>
      <c r="C4" s="1035"/>
      <c r="D4" s="1035"/>
      <c r="E4" s="1035"/>
      <c r="F4" s="1035"/>
      <c r="G4" s="1035"/>
      <c r="H4" s="1035"/>
      <c r="I4" s="893"/>
    </row>
    <row r="5" spans="1:18">
      <c r="A5" s="502"/>
      <c r="B5" s="269" t="s">
        <v>183</v>
      </c>
      <c r="C5" s="737">
        <f>+A46</f>
        <v>5304</v>
      </c>
      <c r="D5" s="738">
        <f>+A64</f>
        <v>5304</v>
      </c>
      <c r="E5" s="740">
        <f>+A81</f>
        <v>4906</v>
      </c>
      <c r="F5" s="741">
        <f>+A97</f>
        <v>4906</v>
      </c>
      <c r="G5" s="737">
        <f>+A111</f>
        <v>420</v>
      </c>
      <c r="H5" s="742">
        <f>+A123</f>
        <v>-1330</v>
      </c>
      <c r="I5" s="742"/>
    </row>
    <row r="6" spans="1:18">
      <c r="A6" s="502"/>
      <c r="B6" s="269" t="s">
        <v>329</v>
      </c>
      <c r="C6" s="737">
        <f>+A54</f>
        <v>5000</v>
      </c>
      <c r="D6" s="737">
        <f>+A72</f>
        <v>5000</v>
      </c>
      <c r="E6" s="740">
        <f>+A88</f>
        <v>5000</v>
      </c>
      <c r="F6" s="741">
        <f>+A104</f>
        <v>5000</v>
      </c>
      <c r="G6" s="737">
        <f>+A115</f>
        <v>-19659</v>
      </c>
      <c r="H6" s="742">
        <f>+A129</f>
        <v>-822</v>
      </c>
      <c r="I6" s="742"/>
      <c r="J6" s="272" t="s">
        <v>177</v>
      </c>
      <c r="K6" s="272" t="s">
        <v>178</v>
      </c>
      <c r="L6" s="272" t="s">
        <v>179</v>
      </c>
      <c r="N6" s="437">
        <v>1</v>
      </c>
      <c r="O6" s="437" t="s">
        <v>256</v>
      </c>
      <c r="P6" s="268" t="s">
        <v>330</v>
      </c>
      <c r="Q6" s="437">
        <v>3.6</v>
      </c>
      <c r="R6" s="437" t="s">
        <v>556</v>
      </c>
    </row>
    <row r="7" spans="1:18">
      <c r="A7" s="502"/>
      <c r="B7" s="269" t="s">
        <v>420</v>
      </c>
      <c r="C7" s="562">
        <f>+C5*$Q$6+C6</f>
        <v>24094.400000000001</v>
      </c>
      <c r="D7" s="555">
        <f>+D5*$Q$6+D6</f>
        <v>24094.400000000001</v>
      </c>
      <c r="E7" s="567">
        <f t="shared" ref="E7:G7" si="0">+E5*$Q$6+E6</f>
        <v>22661.600000000002</v>
      </c>
      <c r="F7" s="761">
        <f t="shared" si="0"/>
        <v>22661.600000000002</v>
      </c>
      <c r="G7" s="571">
        <f t="shared" si="0"/>
        <v>-18147</v>
      </c>
      <c r="H7" s="751">
        <f>+H5*$Q$6+H6</f>
        <v>-5610</v>
      </c>
      <c r="I7" s="751" t="str">
        <f>IF(CustomON="Off","",I5*$Q$6+I6)</f>
        <v/>
      </c>
      <c r="J7" s="274">
        <f>MAX(C7:I7)</f>
        <v>24094.400000000001</v>
      </c>
      <c r="K7" s="274">
        <f>MIN(C7:I7)</f>
        <v>-18147</v>
      </c>
      <c r="L7" s="274">
        <f>+J7-K7</f>
        <v>42241.4</v>
      </c>
      <c r="N7" s="437">
        <v>1</v>
      </c>
      <c r="O7" s="437" t="s">
        <v>331</v>
      </c>
      <c r="P7" s="268" t="s">
        <v>330</v>
      </c>
      <c r="Q7" s="437">
        <v>0.90720000000000001</v>
      </c>
      <c r="R7" s="437" t="s">
        <v>332</v>
      </c>
    </row>
    <row r="8" spans="1:18">
      <c r="A8" s="502"/>
      <c r="B8" s="269" t="s">
        <v>421</v>
      </c>
      <c r="C8" s="562">
        <f>+C7-$K$7</f>
        <v>42241.4</v>
      </c>
      <c r="D8" s="555">
        <f t="shared" ref="D8:H8" si="1">+D7-$K$7</f>
        <v>42241.4</v>
      </c>
      <c r="E8" s="567">
        <f t="shared" si="1"/>
        <v>40808.600000000006</v>
      </c>
      <c r="F8" s="761">
        <f t="shared" si="1"/>
        <v>40808.600000000006</v>
      </c>
      <c r="G8" s="571">
        <f t="shared" si="1"/>
        <v>0</v>
      </c>
      <c r="H8" s="751">
        <f t="shared" si="1"/>
        <v>12537</v>
      </c>
      <c r="I8" s="751" t="str">
        <f>IF(CustomON="Off","",I7-$K$7)</f>
        <v/>
      </c>
      <c r="J8" s="228"/>
      <c r="K8" s="228"/>
      <c r="L8" s="228"/>
      <c r="P8" s="268"/>
    </row>
    <row r="9" spans="1:18">
      <c r="A9" s="502"/>
      <c r="B9" s="269" t="s">
        <v>181</v>
      </c>
      <c r="C9" s="575">
        <f>+C8/MAX($C$8:$H$8)</f>
        <v>1</v>
      </c>
      <c r="D9" s="579">
        <f t="shared" ref="D9:H9" si="2">+D8/MAX($C$8:$H$8)</f>
        <v>1</v>
      </c>
      <c r="E9" s="584">
        <f t="shared" si="2"/>
        <v>0.96608066967477413</v>
      </c>
      <c r="F9" s="764">
        <f t="shared" si="2"/>
        <v>0.96608066967477413</v>
      </c>
      <c r="G9" s="589">
        <f t="shared" si="2"/>
        <v>0</v>
      </c>
      <c r="H9" s="754">
        <f t="shared" si="2"/>
        <v>0.29679414034572715</v>
      </c>
      <c r="I9" s="754" t="str">
        <f>IF(CustomON="Off","",I8/MAX($C$8:$H$8))</f>
        <v/>
      </c>
    </row>
    <row r="10" spans="1:18">
      <c r="A10" s="502"/>
      <c r="B10" s="269" t="s">
        <v>333</v>
      </c>
      <c r="C10" s="564">
        <f>+C9*5</f>
        <v>5</v>
      </c>
      <c r="D10" s="580">
        <f t="shared" ref="D10:H10" si="3">+D9*5</f>
        <v>5</v>
      </c>
      <c r="E10" s="569">
        <f t="shared" si="3"/>
        <v>4.8304033483738706</v>
      </c>
      <c r="F10" s="765">
        <f t="shared" si="3"/>
        <v>4.8304033483738706</v>
      </c>
      <c r="G10" s="590">
        <f t="shared" si="3"/>
        <v>0</v>
      </c>
      <c r="H10" s="755">
        <f t="shared" si="3"/>
        <v>1.4839707017286359</v>
      </c>
      <c r="I10" s="755" t="str">
        <f>IF(CustomON="Off","",I9*5)</f>
        <v/>
      </c>
    </row>
    <row r="11" spans="1:18">
      <c r="A11" s="502"/>
      <c r="B11" s="269"/>
      <c r="C11" s="576"/>
      <c r="D11" s="581"/>
      <c r="E11" s="585"/>
      <c r="F11" s="766"/>
      <c r="G11" s="591"/>
      <c r="H11" s="756"/>
      <c r="I11" s="756"/>
    </row>
    <row r="12" spans="1:18">
      <c r="A12" s="501">
        <v>0.75</v>
      </c>
      <c r="B12" s="273" t="s">
        <v>334</v>
      </c>
      <c r="C12" s="576"/>
      <c r="D12" s="581"/>
      <c r="E12" s="585"/>
      <c r="F12" s="766"/>
      <c r="G12" s="591"/>
      <c r="H12" s="756"/>
      <c r="I12" s="756"/>
    </row>
    <row r="13" spans="1:18">
      <c r="B13" s="269" t="s">
        <v>335</v>
      </c>
      <c r="C13" s="743">
        <v>5.0470751119199351</v>
      </c>
      <c r="D13" s="743">
        <v>5</v>
      </c>
      <c r="E13" s="744">
        <v>5</v>
      </c>
      <c r="F13" s="745">
        <v>5</v>
      </c>
      <c r="G13" s="743">
        <v>5</v>
      </c>
      <c r="H13" s="746">
        <v>5</v>
      </c>
      <c r="I13" s="746"/>
    </row>
    <row r="14" spans="1:18">
      <c r="B14" s="269" t="s">
        <v>336</v>
      </c>
      <c r="C14" s="747">
        <v>-2126</v>
      </c>
      <c r="D14" s="747">
        <v>1363</v>
      </c>
      <c r="E14" s="747">
        <v>-1957</v>
      </c>
      <c r="F14" s="748">
        <v>3026</v>
      </c>
      <c r="G14" s="747">
        <v>2016</v>
      </c>
      <c r="H14" s="748">
        <v>275</v>
      </c>
      <c r="I14" s="748"/>
    </row>
    <row r="15" spans="1:18">
      <c r="B15" s="269" t="s">
        <v>337</v>
      </c>
      <c r="C15" s="562">
        <f>+C14/$Q$7</f>
        <v>-2343.4744268077602</v>
      </c>
      <c r="D15" s="555">
        <f t="shared" ref="D15:H15" si="4">+D14/$Q$7</f>
        <v>1502.4250440917108</v>
      </c>
      <c r="E15" s="567">
        <f t="shared" si="4"/>
        <v>-2157.1869488536154</v>
      </c>
      <c r="F15" s="761">
        <f t="shared" si="4"/>
        <v>3335.5379188712523</v>
      </c>
      <c r="G15" s="571">
        <f t="shared" si="4"/>
        <v>2222.2222222222222</v>
      </c>
      <c r="H15" s="751">
        <f t="shared" si="4"/>
        <v>303.13051146384481</v>
      </c>
      <c r="I15" s="751" t="str">
        <f>IF(CustomON="Off","",I14/$Q$7)</f>
        <v/>
      </c>
      <c r="J15" s="272" t="s">
        <v>177</v>
      </c>
      <c r="K15" s="272" t="s">
        <v>178</v>
      </c>
      <c r="L15" s="272" t="s">
        <v>179</v>
      </c>
    </row>
    <row r="16" spans="1:18" ht="15.75">
      <c r="B16" s="230" t="s">
        <v>419</v>
      </c>
      <c r="C16" s="577">
        <f>+C13+C15</f>
        <v>-2338.4273516958401</v>
      </c>
      <c r="D16" s="582">
        <f t="shared" ref="D16:H16" si="5">+D13+D15</f>
        <v>1507.4250440917108</v>
      </c>
      <c r="E16" s="586">
        <f t="shared" si="5"/>
        <v>-2152.1869488536154</v>
      </c>
      <c r="F16" s="767">
        <f t="shared" si="5"/>
        <v>3340.5379188712523</v>
      </c>
      <c r="G16" s="592">
        <f t="shared" si="5"/>
        <v>2227.2222222222222</v>
      </c>
      <c r="H16" s="757">
        <f t="shared" si="5"/>
        <v>308.13051146384481</v>
      </c>
      <c r="I16" s="757" t="str">
        <f>IF(CustomON="Off","",I13+I15)</f>
        <v/>
      </c>
      <c r="J16" s="274">
        <f>MAX(C16:I16)</f>
        <v>3340.5379188712523</v>
      </c>
      <c r="K16" s="274">
        <f>MIN(C16:I16)</f>
        <v>-2338.4273516958401</v>
      </c>
      <c r="L16" s="274">
        <f>+J16-K16</f>
        <v>5678.9652705670924</v>
      </c>
    </row>
    <row r="17" spans="2:13">
      <c r="B17" s="269" t="s">
        <v>421</v>
      </c>
      <c r="C17" s="561">
        <f>+C16-$K$16</f>
        <v>0</v>
      </c>
      <c r="D17" s="554">
        <f t="shared" ref="D17:H17" si="6">+D16-$K$16</f>
        <v>3845.8523957875509</v>
      </c>
      <c r="E17" s="587">
        <f t="shared" si="6"/>
        <v>186.24040284222474</v>
      </c>
      <c r="F17" s="760">
        <f t="shared" si="6"/>
        <v>5678.9652705670924</v>
      </c>
      <c r="G17" s="570">
        <f t="shared" si="6"/>
        <v>4565.6495739180627</v>
      </c>
      <c r="H17" s="750">
        <f t="shared" si="6"/>
        <v>2646.557863159685</v>
      </c>
      <c r="I17" s="750" t="str">
        <f>IF(CustomON="Off","",I16-$K$16)</f>
        <v/>
      </c>
    </row>
    <row r="18" spans="2:13">
      <c r="B18" s="269" t="s">
        <v>181</v>
      </c>
      <c r="C18" s="575">
        <f>+C17/MAX($C$17:$H$17)</f>
        <v>0</v>
      </c>
      <c r="D18" s="583">
        <f t="shared" ref="D18:H18" si="7">+D17/MAX($C$17:$H$17)</f>
        <v>0.67721005721232563</v>
      </c>
      <c r="E18" s="588">
        <f t="shared" si="7"/>
        <v>3.2794777564052101E-2</v>
      </c>
      <c r="F18" s="768">
        <f t="shared" si="7"/>
        <v>1</v>
      </c>
      <c r="G18" s="593">
        <f t="shared" si="7"/>
        <v>0.80395800227567593</v>
      </c>
      <c r="H18" s="758">
        <f t="shared" si="7"/>
        <v>0.46602818243602395</v>
      </c>
      <c r="I18" s="758" t="str">
        <f>IF(CustomON="Off","",I17/MAX($C$17:$H$17))</f>
        <v/>
      </c>
    </row>
    <row r="19" spans="2:13">
      <c r="B19" s="269" t="s">
        <v>338</v>
      </c>
      <c r="C19" s="578">
        <f>1-C18</f>
        <v>1</v>
      </c>
      <c r="D19" s="579">
        <f t="shared" ref="D19:H19" si="8">1-D18</f>
        <v>0.32278994278767437</v>
      </c>
      <c r="E19" s="584">
        <f t="shared" si="8"/>
        <v>0.96720522243594786</v>
      </c>
      <c r="F19" s="764">
        <f t="shared" si="8"/>
        <v>0</v>
      </c>
      <c r="G19" s="589">
        <f t="shared" si="8"/>
        <v>0.19604199772432407</v>
      </c>
      <c r="H19" s="754">
        <f t="shared" si="8"/>
        <v>0.53397181756397605</v>
      </c>
      <c r="I19" s="754" t="str">
        <f>IF(CustomON="Off","",1-I18)</f>
        <v/>
      </c>
    </row>
    <row r="20" spans="2:13">
      <c r="B20" s="269" t="s">
        <v>333</v>
      </c>
      <c r="C20" s="564">
        <f>+C19*5</f>
        <v>5</v>
      </c>
      <c r="D20" s="580">
        <f t="shared" ref="D20:H20" si="9">+D19*5</f>
        <v>1.6139497139383718</v>
      </c>
      <c r="E20" s="569">
        <f t="shared" si="9"/>
        <v>4.8360261121797397</v>
      </c>
      <c r="F20" s="765">
        <f t="shared" si="9"/>
        <v>0</v>
      </c>
      <c r="G20" s="590">
        <f t="shared" si="9"/>
        <v>0.98020998862162034</v>
      </c>
      <c r="H20" s="755">
        <f t="shared" si="9"/>
        <v>2.66985908781988</v>
      </c>
      <c r="I20" s="755" t="str">
        <f>IF(CustomON="Off","",I19*5)</f>
        <v/>
      </c>
    </row>
    <row r="21" spans="2:13">
      <c r="B21" s="269"/>
      <c r="C21" s="1036"/>
      <c r="D21" s="1036"/>
      <c r="E21" s="1036"/>
      <c r="F21" s="1036"/>
      <c r="G21" s="1036"/>
      <c r="H21" s="1036"/>
      <c r="I21" s="513"/>
    </row>
    <row r="22" spans="2:13">
      <c r="B22" s="273" t="s">
        <v>557</v>
      </c>
      <c r="C22" s="631">
        <f t="shared" ref="C22" si="10">+C10*$A4+C20*(1-$A4)</f>
        <v>5</v>
      </c>
      <c r="D22" s="580">
        <f>+D10*$A4+D20*(1-$A4)</f>
        <v>2.460462285453779</v>
      </c>
      <c r="E22" s="569">
        <f t="shared" ref="E22:H22" si="11">+E10*$A4+E20*(1-$A4)</f>
        <v>4.8346204212282728</v>
      </c>
      <c r="F22" s="765">
        <f t="shared" si="11"/>
        <v>1.2076008370934677</v>
      </c>
      <c r="G22" s="590">
        <f t="shared" si="11"/>
        <v>0.73515749146621523</v>
      </c>
      <c r="H22" s="755">
        <f t="shared" si="11"/>
        <v>2.3733869912970689</v>
      </c>
      <c r="I22" s="759" t="str">
        <f>IF(CustomON="Off","",I10*A4+I20*A12)</f>
        <v/>
      </c>
    </row>
    <row r="24" spans="2:13" ht="31.5" customHeight="1">
      <c r="B24" s="844" t="s">
        <v>539</v>
      </c>
      <c r="C24" s="1039" t="s">
        <v>558</v>
      </c>
      <c r="D24" s="1039"/>
      <c r="E24" s="1039"/>
      <c r="F24" s="1039"/>
      <c r="G24" s="1039"/>
      <c r="H24" s="1039"/>
      <c r="I24" s="895"/>
      <c r="K24" s="605"/>
      <c r="L24" s="503"/>
      <c r="M24" s="503"/>
    </row>
    <row r="25" spans="2:13" ht="42.75" customHeight="1">
      <c r="B25" s="845" t="s">
        <v>541</v>
      </c>
      <c r="C25" s="1039" t="s">
        <v>559</v>
      </c>
      <c r="D25" s="1039"/>
      <c r="E25" s="1039"/>
      <c r="F25" s="1039"/>
      <c r="G25" s="1039"/>
      <c r="H25" s="1039"/>
      <c r="I25" s="895"/>
      <c r="K25" s="605"/>
      <c r="L25" s="503"/>
      <c r="M25" s="503"/>
    </row>
    <row r="26" spans="2:13">
      <c r="B26" s="845" t="s">
        <v>543</v>
      </c>
      <c r="C26" s="846" t="s">
        <v>544</v>
      </c>
      <c r="D26" s="847"/>
      <c r="E26" s="847"/>
      <c r="F26" s="847"/>
      <c r="G26" s="847"/>
      <c r="H26" s="847"/>
      <c r="I26" s="847"/>
      <c r="K26" s="605"/>
      <c r="L26" s="503"/>
      <c r="M26" s="503"/>
    </row>
    <row r="27" spans="2:13">
      <c r="B27" s="845" t="s">
        <v>545</v>
      </c>
      <c r="C27" s="848">
        <v>5</v>
      </c>
      <c r="D27" s="847"/>
      <c r="E27" s="847"/>
      <c r="F27" s="847"/>
      <c r="G27" s="847"/>
      <c r="H27" s="847"/>
      <c r="I27" s="847"/>
      <c r="K27" s="605"/>
      <c r="L27" s="503"/>
      <c r="M27" s="503"/>
    </row>
    <row r="28" spans="2:13">
      <c r="B28" s="845" t="s">
        <v>546</v>
      </c>
      <c r="C28" s="846" t="s">
        <v>634</v>
      </c>
      <c r="D28" s="847"/>
      <c r="E28" s="847"/>
      <c r="F28" s="847"/>
      <c r="G28" s="847"/>
      <c r="H28" s="847"/>
      <c r="I28" s="847"/>
      <c r="K28" s="605"/>
      <c r="L28" s="503"/>
      <c r="M28" s="503"/>
    </row>
    <row r="29" spans="2:13">
      <c r="B29" s="845" t="s">
        <v>548</v>
      </c>
      <c r="C29" s="848">
        <v>0</v>
      </c>
      <c r="D29" s="847"/>
      <c r="E29" s="847"/>
      <c r="F29" s="847"/>
      <c r="G29" s="847"/>
      <c r="H29" s="847"/>
      <c r="I29" s="847"/>
      <c r="K29" s="605"/>
      <c r="L29" s="503"/>
      <c r="M29" s="503"/>
    </row>
    <row r="30" spans="2:13">
      <c r="B30" s="845" t="s">
        <v>549</v>
      </c>
      <c r="C30" s="846" t="s">
        <v>562</v>
      </c>
      <c r="D30" s="847"/>
      <c r="E30" s="847"/>
      <c r="F30" s="847"/>
      <c r="G30" s="847"/>
      <c r="H30" s="847"/>
      <c r="I30" s="847"/>
      <c r="K30" s="605"/>
      <c r="L30" s="503"/>
      <c r="M30" s="503"/>
    </row>
    <row r="31" spans="2:13">
      <c r="B31" s="449"/>
      <c r="C31" s="449"/>
      <c r="K31" s="605"/>
      <c r="L31" s="503"/>
      <c r="M31" s="503"/>
    </row>
    <row r="32" spans="2:13">
      <c r="K32" s="605"/>
      <c r="L32" s="503"/>
      <c r="M32" s="503"/>
    </row>
    <row r="33" spans="1:13">
      <c r="K33" s="605"/>
      <c r="L33" s="503"/>
      <c r="M33" s="503"/>
    </row>
    <row r="34" spans="1:13" ht="18.75">
      <c r="A34" s="625" t="s">
        <v>538</v>
      </c>
    </row>
    <row r="35" spans="1:13">
      <c r="A35" s="276" t="s">
        <v>422</v>
      </c>
    </row>
    <row r="36" spans="1:13" ht="71.849999999999994" customHeight="1">
      <c r="A36" s="1037" t="s">
        <v>563</v>
      </c>
      <c r="B36" s="1037"/>
      <c r="C36" s="1037"/>
      <c r="D36" s="1037"/>
      <c r="E36" s="1037"/>
      <c r="F36" s="1037"/>
      <c r="G36" s="1037"/>
      <c r="H36" s="1037"/>
      <c r="I36" s="894"/>
    </row>
    <row r="38" spans="1:13" ht="14.85" customHeight="1">
      <c r="A38" s="1038" t="str">
        <f>scenario_1</f>
        <v>1X: AnaDig + CHP, Prtmt, LandApp</v>
      </c>
      <c r="B38" s="1038"/>
      <c r="C38" s="1038"/>
      <c r="D38" s="1038"/>
      <c r="E38" s="1038"/>
      <c r="F38" s="1038"/>
      <c r="G38" s="1038"/>
      <c r="H38" s="1038"/>
      <c r="I38" s="948"/>
    </row>
    <row r="39" spans="1:13" ht="14.85" customHeight="1">
      <c r="A39" s="1030" t="s">
        <v>560</v>
      </c>
      <c r="B39" s="1030"/>
      <c r="C39" s="1030"/>
      <c r="D39" s="1030"/>
      <c r="E39" s="1030"/>
      <c r="F39" s="1030"/>
      <c r="G39" s="1030"/>
      <c r="H39" s="1030"/>
      <c r="I39" s="949"/>
    </row>
    <row r="40" spans="1:13">
      <c r="A40" s="298" t="s">
        <v>6</v>
      </c>
      <c r="B40" s="1028" t="s">
        <v>814</v>
      </c>
      <c r="C40" s="1028"/>
      <c r="D40" s="1028"/>
      <c r="E40" s="1028"/>
      <c r="F40" s="1028"/>
      <c r="G40" s="1028"/>
      <c r="H40" s="1028"/>
      <c r="I40" s="950"/>
    </row>
    <row r="41" spans="1:13">
      <c r="A41" s="281">
        <v>6940</v>
      </c>
      <c r="B41" s="1026" t="s">
        <v>561</v>
      </c>
      <c r="C41" s="1026"/>
      <c r="D41" s="1026"/>
      <c r="E41" s="1026"/>
      <c r="F41" s="1026"/>
      <c r="G41" s="1026"/>
      <c r="H41" s="1026"/>
      <c r="I41" s="291"/>
    </row>
    <row r="42" spans="1:13">
      <c r="A42" s="281">
        <v>432</v>
      </c>
      <c r="B42" s="1026" t="s">
        <v>815</v>
      </c>
      <c r="C42" s="1026"/>
      <c r="D42" s="1026"/>
      <c r="E42" s="1026"/>
      <c r="F42" s="1026"/>
      <c r="G42" s="1026"/>
      <c r="H42" s="1026"/>
      <c r="I42" s="291"/>
    </row>
    <row r="43" spans="1:13">
      <c r="A43" s="281">
        <v>89</v>
      </c>
      <c r="B43" s="1026" t="s">
        <v>471</v>
      </c>
      <c r="C43" s="1026"/>
      <c r="D43" s="1026"/>
      <c r="E43" s="1026"/>
      <c r="F43" s="1026"/>
      <c r="G43" s="1026"/>
      <c r="H43" s="1026"/>
      <c r="I43" s="291"/>
    </row>
    <row r="44" spans="1:13">
      <c r="A44" s="281">
        <v>465</v>
      </c>
      <c r="B44" s="1026" t="s">
        <v>816</v>
      </c>
      <c r="C44" s="1026"/>
      <c r="D44" s="1026"/>
      <c r="E44" s="1026"/>
      <c r="F44" s="1026"/>
      <c r="G44" s="1026"/>
      <c r="H44" s="1026"/>
      <c r="I44" s="291"/>
    </row>
    <row r="45" spans="1:13" s="979" customFormat="1">
      <c r="A45" s="281">
        <v>650</v>
      </c>
      <c r="B45" s="1026" t="s">
        <v>881</v>
      </c>
      <c r="C45" s="1026"/>
      <c r="D45" s="1026"/>
      <c r="E45" s="1026"/>
      <c r="F45" s="1026"/>
      <c r="G45" s="1026"/>
      <c r="H45" s="1026"/>
      <c r="I45" s="291"/>
    </row>
    <row r="46" spans="1:13">
      <c r="A46" s="273">
        <f>+A41-(A42+A43+A44+A45)</f>
        <v>5304</v>
      </c>
      <c r="B46" s="1027" t="s">
        <v>483</v>
      </c>
      <c r="C46" s="1027"/>
      <c r="D46" s="1027"/>
      <c r="E46" s="1027"/>
      <c r="F46" s="1027"/>
      <c r="G46" s="1027"/>
      <c r="H46" s="1027"/>
      <c r="I46" s="503"/>
    </row>
    <row r="47" spans="1:13">
      <c r="A47" s="298" t="s">
        <v>472</v>
      </c>
      <c r="B47" s="1028" t="s">
        <v>814</v>
      </c>
      <c r="C47" s="1028"/>
      <c r="D47" s="1028"/>
      <c r="E47" s="1028"/>
      <c r="F47" s="1028"/>
      <c r="G47" s="1028"/>
      <c r="H47" s="1028"/>
      <c r="I47" s="950"/>
    </row>
    <row r="48" spans="1:13">
      <c r="A48" s="281">
        <v>27072</v>
      </c>
      <c r="B48" s="1026" t="s">
        <v>473</v>
      </c>
      <c r="C48" s="1026"/>
      <c r="D48" s="1026"/>
      <c r="E48" s="1026"/>
      <c r="F48" s="1026"/>
      <c r="G48" s="1026"/>
      <c r="H48" s="1026"/>
      <c r="I48" s="291"/>
    </row>
    <row r="49" spans="1:9">
      <c r="A49" s="281">
        <v>6016</v>
      </c>
      <c r="B49" s="1026" t="s">
        <v>474</v>
      </c>
      <c r="C49" s="1026"/>
      <c r="D49" s="1026"/>
      <c r="E49" s="1026"/>
      <c r="F49" s="1026"/>
      <c r="G49" s="1026"/>
      <c r="H49" s="1026"/>
      <c r="I49" s="291"/>
    </row>
    <row r="50" spans="1:9">
      <c r="A50" s="281">
        <v>5000</v>
      </c>
      <c r="B50" s="1026" t="s">
        <v>475</v>
      </c>
      <c r="C50" s="1026"/>
      <c r="D50" s="1026"/>
      <c r="E50" s="1026"/>
      <c r="F50" s="1026"/>
      <c r="G50" s="1026"/>
      <c r="H50" s="1026"/>
      <c r="I50" s="291"/>
    </row>
    <row r="51" spans="1:9">
      <c r="A51" s="281">
        <v>8080</v>
      </c>
      <c r="B51" s="1026" t="s">
        <v>476</v>
      </c>
      <c r="C51" s="1026"/>
      <c r="D51" s="1026"/>
      <c r="E51" s="1026"/>
      <c r="F51" s="1026"/>
      <c r="G51" s="1026"/>
      <c r="H51" s="1026"/>
      <c r="I51" s="291"/>
    </row>
    <row r="52" spans="1:9">
      <c r="A52" s="281">
        <v>19165</v>
      </c>
      <c r="B52" s="1026" t="s">
        <v>477</v>
      </c>
      <c r="C52" s="1026"/>
      <c r="D52" s="1026"/>
      <c r="E52" s="1026"/>
      <c r="F52" s="1026"/>
      <c r="G52" s="1026"/>
      <c r="H52" s="1026"/>
      <c r="I52" s="291"/>
    </row>
    <row r="53" spans="1:9">
      <c r="A53" s="281">
        <v>843</v>
      </c>
      <c r="B53" s="1026" t="s">
        <v>478</v>
      </c>
      <c r="C53" s="1026"/>
      <c r="D53" s="1026"/>
      <c r="E53" s="1026"/>
      <c r="F53" s="1026"/>
      <c r="G53" s="1026"/>
      <c r="H53" s="1026"/>
      <c r="I53" s="291"/>
    </row>
    <row r="54" spans="1:9">
      <c r="A54" s="273">
        <f>+A48+A49-(A51+A52+A53)</f>
        <v>5000</v>
      </c>
      <c r="B54" s="1027" t="s">
        <v>484</v>
      </c>
      <c r="C54" s="1027"/>
      <c r="D54" s="1027"/>
      <c r="E54" s="1027"/>
      <c r="F54" s="1027"/>
      <c r="G54" s="1027"/>
      <c r="H54" s="1027"/>
      <c r="I54" s="503"/>
    </row>
    <row r="56" spans="1:9">
      <c r="A56" s="1034" t="str">
        <f>scenario_2</f>
        <v>1Y: AnaDig + CHP, Prtmt, Landfill</v>
      </c>
      <c r="B56" s="1034"/>
      <c r="C56" s="1034"/>
      <c r="D56" s="1034"/>
      <c r="E56" s="1034"/>
      <c r="F56" s="1034"/>
      <c r="G56" s="1034"/>
      <c r="H56" s="1034"/>
      <c r="I56" s="951"/>
    </row>
    <row r="57" spans="1:9">
      <c r="A57" s="1030" t="s">
        <v>560</v>
      </c>
      <c r="B57" s="1030"/>
      <c r="C57" s="1030"/>
      <c r="D57" s="1030"/>
      <c r="E57" s="1030"/>
      <c r="F57" s="1030"/>
      <c r="G57" s="1030"/>
      <c r="H57" s="1030"/>
      <c r="I57" s="949"/>
    </row>
    <row r="58" spans="1:9">
      <c r="A58" s="298" t="s">
        <v>6</v>
      </c>
      <c r="B58" s="1028" t="s">
        <v>814</v>
      </c>
      <c r="C58" s="1028"/>
      <c r="D58" s="1028"/>
      <c r="E58" s="1028"/>
      <c r="F58" s="1028"/>
      <c r="G58" s="1028"/>
      <c r="H58" s="1028"/>
      <c r="I58" s="950"/>
    </row>
    <row r="59" spans="1:9">
      <c r="A59" s="281">
        <v>6940</v>
      </c>
      <c r="B59" s="1026" t="s">
        <v>561</v>
      </c>
      <c r="C59" s="1026"/>
      <c r="D59" s="1026"/>
      <c r="E59" s="1026"/>
      <c r="F59" s="1026"/>
      <c r="G59" s="1026"/>
      <c r="H59" s="1026"/>
      <c r="I59" s="291"/>
    </row>
    <row r="60" spans="1:9">
      <c r="A60" s="281">
        <v>432</v>
      </c>
      <c r="B60" s="1026" t="s">
        <v>815</v>
      </c>
      <c r="C60" s="1026"/>
      <c r="D60" s="1026"/>
      <c r="E60" s="1026"/>
      <c r="F60" s="1026"/>
      <c r="G60" s="1026"/>
      <c r="H60" s="1026"/>
      <c r="I60" s="291"/>
    </row>
    <row r="61" spans="1:9">
      <c r="A61" s="281">
        <v>89</v>
      </c>
      <c r="B61" s="1026" t="s">
        <v>471</v>
      </c>
      <c r="C61" s="1026"/>
      <c r="D61" s="1026"/>
      <c r="E61" s="1026"/>
      <c r="F61" s="1026"/>
      <c r="G61" s="1026"/>
      <c r="H61" s="1026"/>
      <c r="I61" s="291"/>
    </row>
    <row r="62" spans="1:9" s="979" customFormat="1">
      <c r="A62" s="281">
        <v>465</v>
      </c>
      <c r="B62" s="1026" t="s">
        <v>816</v>
      </c>
      <c r="C62" s="1026"/>
      <c r="D62" s="1026"/>
      <c r="E62" s="1026"/>
      <c r="F62" s="1026"/>
      <c r="G62" s="1026"/>
      <c r="H62" s="1026"/>
      <c r="I62" s="291"/>
    </row>
    <row r="63" spans="1:9">
      <c r="A63" s="281">
        <v>650</v>
      </c>
      <c r="B63" s="1026" t="s">
        <v>881</v>
      </c>
      <c r="C63" s="1026"/>
      <c r="D63" s="1026"/>
      <c r="E63" s="1026"/>
      <c r="F63" s="1026"/>
      <c r="G63" s="1026"/>
      <c r="H63" s="1026"/>
      <c r="I63" s="291"/>
    </row>
    <row r="64" spans="1:9">
      <c r="A64" s="273">
        <f>+A59-(A60+A61+A62+A63)</f>
        <v>5304</v>
      </c>
      <c r="B64" s="1027" t="s">
        <v>483</v>
      </c>
      <c r="C64" s="1027"/>
      <c r="D64" s="1027"/>
      <c r="E64" s="1027"/>
      <c r="F64" s="1027"/>
      <c r="G64" s="1027"/>
      <c r="H64" s="1027"/>
      <c r="I64" s="503"/>
    </row>
    <row r="65" spans="1:9">
      <c r="A65" s="298" t="s">
        <v>472</v>
      </c>
      <c r="B65" s="1028" t="s">
        <v>814</v>
      </c>
      <c r="C65" s="1028"/>
      <c r="D65" s="1028"/>
      <c r="E65" s="1028"/>
      <c r="F65" s="1028"/>
      <c r="G65" s="1028"/>
      <c r="H65" s="1028"/>
      <c r="I65" s="950"/>
    </row>
    <row r="66" spans="1:9">
      <c r="A66" s="281">
        <v>27072</v>
      </c>
      <c r="B66" s="1026" t="s">
        <v>473</v>
      </c>
      <c r="C66" s="1026"/>
      <c r="D66" s="1026"/>
      <c r="E66" s="1026"/>
      <c r="F66" s="1026"/>
      <c r="G66" s="1026"/>
      <c r="H66" s="1026"/>
      <c r="I66" s="291"/>
    </row>
    <row r="67" spans="1:9">
      <c r="A67" s="281">
        <v>6016</v>
      </c>
      <c r="B67" s="1026" t="s">
        <v>474</v>
      </c>
      <c r="C67" s="1026"/>
      <c r="D67" s="1026"/>
      <c r="E67" s="1026"/>
      <c r="F67" s="1026"/>
      <c r="G67" s="1026"/>
      <c r="H67" s="1026"/>
      <c r="I67" s="291"/>
    </row>
    <row r="68" spans="1:9">
      <c r="A68" s="281">
        <v>5000</v>
      </c>
      <c r="B68" s="1026" t="s">
        <v>475</v>
      </c>
      <c r="C68" s="1026"/>
      <c r="D68" s="1026"/>
      <c r="E68" s="1026"/>
      <c r="F68" s="1026"/>
      <c r="G68" s="1026"/>
      <c r="H68" s="1026"/>
      <c r="I68" s="291"/>
    </row>
    <row r="69" spans="1:9">
      <c r="A69" s="281">
        <v>8080</v>
      </c>
      <c r="B69" s="1026" t="s">
        <v>476</v>
      </c>
      <c r="C69" s="1026"/>
      <c r="D69" s="1026"/>
      <c r="E69" s="1026"/>
      <c r="F69" s="1026"/>
      <c r="G69" s="1026"/>
      <c r="H69" s="1026"/>
      <c r="I69" s="291"/>
    </row>
    <row r="70" spans="1:9">
      <c r="A70" s="281">
        <v>19165</v>
      </c>
      <c r="B70" s="1026" t="s">
        <v>477</v>
      </c>
      <c r="C70" s="1026"/>
      <c r="D70" s="1026"/>
      <c r="E70" s="1026"/>
      <c r="F70" s="1026"/>
      <c r="G70" s="1026"/>
      <c r="H70" s="1026"/>
      <c r="I70" s="291"/>
    </row>
    <row r="71" spans="1:9">
      <c r="A71" s="281">
        <v>843</v>
      </c>
      <c r="B71" s="1026" t="s">
        <v>478</v>
      </c>
      <c r="C71" s="1026"/>
      <c r="D71" s="1026"/>
      <c r="E71" s="1026"/>
      <c r="F71" s="1026"/>
      <c r="G71" s="1026"/>
      <c r="H71" s="1026"/>
      <c r="I71" s="291"/>
    </row>
    <row r="72" spans="1:9">
      <c r="A72" s="273">
        <f>+A66+A67-(A69+A70+A71)</f>
        <v>5000</v>
      </c>
      <c r="B72" s="1027" t="s">
        <v>484</v>
      </c>
      <c r="C72" s="1027"/>
      <c r="D72" s="1027"/>
      <c r="E72" s="1027"/>
      <c r="F72" s="1027"/>
      <c r="G72" s="1027"/>
      <c r="H72" s="1027"/>
      <c r="I72" s="503"/>
    </row>
    <row r="74" spans="1:9">
      <c r="A74" s="1033" t="str">
        <f>scenario_3</f>
        <v>2X: AnaDig + CHP, Codig, LandApp</v>
      </c>
      <c r="B74" s="1033"/>
      <c r="C74" s="1033"/>
      <c r="D74" s="1033"/>
      <c r="E74" s="1033"/>
      <c r="F74" s="1033"/>
      <c r="G74" s="1033"/>
      <c r="H74" s="1033"/>
      <c r="I74" s="952"/>
    </row>
    <row r="75" spans="1:9">
      <c r="A75" s="1030" t="s">
        <v>560</v>
      </c>
      <c r="B75" s="1030"/>
      <c r="C75" s="1030"/>
      <c r="D75" s="1030"/>
      <c r="E75" s="1030"/>
      <c r="F75" s="1030"/>
      <c r="G75" s="1030"/>
      <c r="H75" s="1030"/>
      <c r="I75" s="949"/>
    </row>
    <row r="76" spans="1:9">
      <c r="A76" s="298" t="s">
        <v>6</v>
      </c>
      <c r="B76" s="1028" t="s">
        <v>814</v>
      </c>
      <c r="C76" s="1028"/>
      <c r="D76" s="1028"/>
      <c r="E76" s="1028"/>
      <c r="F76" s="1028"/>
      <c r="G76" s="1028"/>
      <c r="H76" s="1028"/>
      <c r="I76" s="950"/>
    </row>
    <row r="77" spans="1:9">
      <c r="A77" s="281">
        <v>6860</v>
      </c>
      <c r="B77" s="1026" t="s">
        <v>561</v>
      </c>
      <c r="C77" s="1026"/>
      <c r="D77" s="1026"/>
      <c r="E77" s="1026"/>
      <c r="F77" s="1026"/>
      <c r="G77" s="1026"/>
      <c r="H77" s="1026"/>
      <c r="I77" s="291"/>
    </row>
    <row r="78" spans="1:9">
      <c r="A78" s="281">
        <v>290</v>
      </c>
      <c r="B78" s="1026" t="s">
        <v>479</v>
      </c>
      <c r="C78" s="1026"/>
      <c r="D78" s="1026"/>
      <c r="E78" s="1026"/>
      <c r="F78" s="1026"/>
      <c r="G78" s="1026"/>
      <c r="H78" s="1026"/>
      <c r="I78" s="291"/>
    </row>
    <row r="79" spans="1:9" s="979" customFormat="1">
      <c r="A79" s="281">
        <v>1575</v>
      </c>
      <c r="B79" s="1026" t="s">
        <v>816</v>
      </c>
      <c r="C79" s="1026"/>
      <c r="D79" s="1026"/>
      <c r="E79" s="1026"/>
      <c r="F79" s="1026"/>
      <c r="G79" s="1026"/>
      <c r="H79" s="1026"/>
      <c r="I79" s="291"/>
    </row>
    <row r="80" spans="1:9">
      <c r="A80" s="281">
        <v>89</v>
      </c>
      <c r="B80" s="1026" t="s">
        <v>881</v>
      </c>
      <c r="C80" s="1026"/>
      <c r="D80" s="1026"/>
      <c r="E80" s="1026"/>
      <c r="F80" s="1026"/>
      <c r="G80" s="1026"/>
      <c r="H80" s="1026"/>
      <c r="I80" s="291"/>
    </row>
    <row r="81" spans="1:9">
      <c r="A81" s="273">
        <f>+A77-(A78+A79+A80)</f>
        <v>4906</v>
      </c>
      <c r="B81" s="1027" t="s">
        <v>483</v>
      </c>
      <c r="C81" s="1027"/>
      <c r="D81" s="1027"/>
      <c r="E81" s="1027"/>
      <c r="F81" s="1027"/>
      <c r="G81" s="1027"/>
      <c r="H81" s="1027"/>
      <c r="I81" s="503"/>
    </row>
    <row r="82" spans="1:9">
      <c r="A82" s="298" t="s">
        <v>472</v>
      </c>
      <c r="B82" s="1028" t="s">
        <v>814</v>
      </c>
      <c r="C82" s="1028"/>
      <c r="D82" s="1028"/>
      <c r="E82" s="1028"/>
      <c r="F82" s="1028"/>
      <c r="G82" s="1028"/>
      <c r="H82" s="1028"/>
      <c r="I82" s="950"/>
    </row>
    <row r="83" spans="1:9">
      <c r="A83" s="281">
        <v>29680</v>
      </c>
      <c r="B83" s="1026" t="s">
        <v>473</v>
      </c>
      <c r="C83" s="1026"/>
      <c r="D83" s="1026"/>
      <c r="E83" s="1026"/>
      <c r="F83" s="1026"/>
      <c r="G83" s="1026"/>
      <c r="H83" s="1026"/>
      <c r="I83" s="291"/>
    </row>
    <row r="84" spans="1:9">
      <c r="A84" s="281">
        <v>0</v>
      </c>
      <c r="B84" s="1026" t="s">
        <v>474</v>
      </c>
      <c r="C84" s="1026"/>
      <c r="D84" s="1026"/>
      <c r="E84" s="1026"/>
      <c r="F84" s="1026"/>
      <c r="G84" s="1026"/>
      <c r="H84" s="1026"/>
      <c r="I84" s="291"/>
    </row>
    <row r="85" spans="1:9">
      <c r="A85" s="281">
        <v>5000</v>
      </c>
      <c r="B85" s="1026" t="s">
        <v>475</v>
      </c>
      <c r="C85" s="1026"/>
      <c r="D85" s="1026"/>
      <c r="E85" s="1026"/>
      <c r="F85" s="1026"/>
      <c r="G85" s="1026"/>
      <c r="H85" s="1026"/>
      <c r="I85" s="291"/>
    </row>
    <row r="86" spans="1:9">
      <c r="A86" s="281">
        <v>22400</v>
      </c>
      <c r="B86" s="1026" t="s">
        <v>476</v>
      </c>
      <c r="C86" s="1026"/>
      <c r="D86" s="1026"/>
      <c r="E86" s="1026"/>
      <c r="F86" s="1026"/>
      <c r="G86" s="1026"/>
      <c r="H86" s="1026"/>
      <c r="I86" s="291"/>
    </row>
    <row r="87" spans="1:9">
      <c r="A87" s="281">
        <v>2280</v>
      </c>
      <c r="B87" s="1026" t="s">
        <v>478</v>
      </c>
      <c r="C87" s="1026"/>
      <c r="D87" s="1026"/>
      <c r="E87" s="1026"/>
      <c r="F87" s="1026"/>
      <c r="G87" s="1026"/>
      <c r="H87" s="1026"/>
      <c r="I87" s="291"/>
    </row>
    <row r="88" spans="1:9">
      <c r="A88" s="273">
        <f>+A83+A84-(A86+A87)</f>
        <v>5000</v>
      </c>
      <c r="B88" s="1027" t="s">
        <v>484</v>
      </c>
      <c r="C88" s="1027"/>
      <c r="D88" s="1027"/>
      <c r="E88" s="1027"/>
      <c r="F88" s="1027"/>
      <c r="G88" s="1027"/>
      <c r="H88" s="1027"/>
      <c r="I88" s="503"/>
    </row>
    <row r="90" spans="1:9">
      <c r="A90" s="1032" t="str">
        <f>scenario_4</f>
        <v>2Y: AnaDig + CHP, Codig, Landfill</v>
      </c>
      <c r="B90" s="1032"/>
      <c r="C90" s="1032"/>
      <c r="D90" s="1032"/>
      <c r="E90" s="1032"/>
      <c r="F90" s="1032"/>
      <c r="G90" s="1032"/>
      <c r="H90" s="1032"/>
      <c r="I90" s="953"/>
    </row>
    <row r="91" spans="1:9">
      <c r="A91" s="1030" t="s">
        <v>560</v>
      </c>
      <c r="B91" s="1030"/>
      <c r="C91" s="1030"/>
      <c r="D91" s="1030"/>
      <c r="E91" s="1030"/>
      <c r="F91" s="1030"/>
      <c r="G91" s="1030"/>
      <c r="H91" s="1030"/>
      <c r="I91" s="949"/>
    </row>
    <row r="92" spans="1:9">
      <c r="A92" s="298" t="s">
        <v>6</v>
      </c>
      <c r="B92" s="1028" t="s">
        <v>814</v>
      </c>
      <c r="C92" s="1028"/>
      <c r="D92" s="1028"/>
      <c r="E92" s="1028"/>
      <c r="F92" s="1028"/>
      <c r="G92" s="1028"/>
      <c r="H92" s="1028"/>
      <c r="I92" s="950"/>
    </row>
    <row r="93" spans="1:9">
      <c r="A93" s="281">
        <v>6860</v>
      </c>
      <c r="B93" s="1026" t="s">
        <v>561</v>
      </c>
      <c r="C93" s="1026"/>
      <c r="D93" s="1026"/>
      <c r="E93" s="1026"/>
      <c r="F93" s="1026"/>
      <c r="G93" s="1026"/>
      <c r="H93" s="1026"/>
      <c r="I93" s="291"/>
    </row>
    <row r="94" spans="1:9">
      <c r="A94" s="281">
        <v>290</v>
      </c>
      <c r="B94" s="1026" t="s">
        <v>479</v>
      </c>
      <c r="C94" s="1026"/>
      <c r="D94" s="1026"/>
      <c r="E94" s="1026"/>
      <c r="F94" s="1026"/>
      <c r="G94" s="1026"/>
      <c r="H94" s="1026"/>
      <c r="I94" s="291"/>
    </row>
    <row r="95" spans="1:9" s="979" customFormat="1">
      <c r="A95" s="281">
        <v>1575</v>
      </c>
      <c r="B95" s="1026" t="s">
        <v>816</v>
      </c>
      <c r="C95" s="1026"/>
      <c r="D95" s="1026"/>
      <c r="E95" s="1026"/>
      <c r="F95" s="1026"/>
      <c r="G95" s="1026"/>
      <c r="H95" s="1026"/>
      <c r="I95" s="291"/>
    </row>
    <row r="96" spans="1:9">
      <c r="A96" s="281">
        <v>89</v>
      </c>
      <c r="B96" s="1026" t="s">
        <v>881</v>
      </c>
      <c r="C96" s="1026"/>
      <c r="D96" s="1026"/>
      <c r="E96" s="1026"/>
      <c r="F96" s="1026"/>
      <c r="G96" s="1026"/>
      <c r="H96" s="1026"/>
      <c r="I96" s="291"/>
    </row>
    <row r="97" spans="1:9">
      <c r="A97" s="273">
        <f>+A93-(A94+A95+A96)</f>
        <v>4906</v>
      </c>
      <c r="B97" s="1027" t="s">
        <v>483</v>
      </c>
      <c r="C97" s="1027"/>
      <c r="D97" s="1027"/>
      <c r="E97" s="1027"/>
      <c r="F97" s="1027"/>
      <c r="G97" s="1027"/>
      <c r="H97" s="1027"/>
      <c r="I97" s="503"/>
    </row>
    <row r="98" spans="1:9">
      <c r="A98" s="298" t="s">
        <v>472</v>
      </c>
      <c r="B98" s="1028" t="s">
        <v>814</v>
      </c>
      <c r="C98" s="1028"/>
      <c r="D98" s="1028"/>
      <c r="E98" s="1028"/>
      <c r="F98" s="1028"/>
      <c r="G98" s="1028"/>
      <c r="H98" s="1028"/>
      <c r="I98" s="950"/>
    </row>
    <row r="99" spans="1:9">
      <c r="A99" s="281">
        <v>29680</v>
      </c>
      <c r="B99" s="1026" t="s">
        <v>473</v>
      </c>
      <c r="C99" s="1026"/>
      <c r="D99" s="1026"/>
      <c r="E99" s="1026"/>
      <c r="F99" s="1026"/>
      <c r="G99" s="1026"/>
      <c r="H99" s="1026"/>
      <c r="I99" s="291"/>
    </row>
    <row r="100" spans="1:9">
      <c r="A100" s="281">
        <v>0</v>
      </c>
      <c r="B100" s="1026" t="s">
        <v>474</v>
      </c>
      <c r="C100" s="1026"/>
      <c r="D100" s="1026"/>
      <c r="E100" s="1026"/>
      <c r="F100" s="1026"/>
      <c r="G100" s="1026"/>
      <c r="H100" s="1026"/>
      <c r="I100" s="291"/>
    </row>
    <row r="101" spans="1:9">
      <c r="A101" s="281">
        <v>5000</v>
      </c>
      <c r="B101" s="1026" t="s">
        <v>475</v>
      </c>
      <c r="C101" s="1026"/>
      <c r="D101" s="1026"/>
      <c r="E101" s="1026"/>
      <c r="F101" s="1026"/>
      <c r="G101" s="1026"/>
      <c r="H101" s="1026"/>
      <c r="I101" s="291"/>
    </row>
    <row r="102" spans="1:9">
      <c r="A102" s="281">
        <v>22400</v>
      </c>
      <c r="B102" s="1026" t="s">
        <v>476</v>
      </c>
      <c r="C102" s="1026"/>
      <c r="D102" s="1026"/>
      <c r="E102" s="1026"/>
      <c r="F102" s="1026"/>
      <c r="G102" s="1026"/>
      <c r="H102" s="1026"/>
      <c r="I102" s="291"/>
    </row>
    <row r="103" spans="1:9">
      <c r="A103" s="281">
        <v>2280</v>
      </c>
      <c r="B103" s="1026" t="s">
        <v>478</v>
      </c>
      <c r="C103" s="1026"/>
      <c r="D103" s="1026"/>
      <c r="E103" s="1026"/>
      <c r="F103" s="1026"/>
      <c r="G103" s="1026"/>
      <c r="H103" s="1026"/>
      <c r="I103" s="291"/>
    </row>
    <row r="104" spans="1:9">
      <c r="A104" s="273">
        <f>+A99+A100-(A102+A103)</f>
        <v>5000</v>
      </c>
      <c r="B104" s="1027" t="s">
        <v>484</v>
      </c>
      <c r="C104" s="1027"/>
      <c r="D104" s="1027"/>
      <c r="E104" s="1027"/>
      <c r="F104" s="1027"/>
      <c r="G104" s="1027"/>
      <c r="H104" s="1027"/>
      <c r="I104" s="503"/>
    </row>
    <row r="106" spans="1:9">
      <c r="A106" s="1031" t="str">
        <f>scenario_5</f>
        <v>3Y: Incin, Landfill</v>
      </c>
      <c r="B106" s="1031"/>
      <c r="C106" s="1031"/>
      <c r="D106" s="1031"/>
      <c r="E106" s="1031"/>
      <c r="F106" s="1031"/>
      <c r="G106" s="1031"/>
      <c r="H106" s="1031"/>
      <c r="I106" s="954"/>
    </row>
    <row r="107" spans="1:9">
      <c r="A107" s="1030" t="s">
        <v>560</v>
      </c>
      <c r="B107" s="1030"/>
      <c r="C107" s="1030"/>
      <c r="D107" s="1030"/>
      <c r="E107" s="1030"/>
      <c r="F107" s="1030"/>
      <c r="G107" s="1030"/>
      <c r="H107" s="1030"/>
      <c r="I107" s="949"/>
    </row>
    <row r="108" spans="1:9">
      <c r="A108" s="298" t="s">
        <v>6</v>
      </c>
      <c r="B108" s="1028" t="s">
        <v>814</v>
      </c>
      <c r="C108" s="1028"/>
      <c r="D108" s="1028"/>
      <c r="E108" s="1028"/>
      <c r="F108" s="1028"/>
      <c r="G108" s="1028"/>
      <c r="H108" s="1028"/>
      <c r="I108" s="950"/>
    </row>
    <row r="109" spans="1:9">
      <c r="A109" s="281">
        <v>1759</v>
      </c>
      <c r="B109" s="1026" t="s">
        <v>480</v>
      </c>
      <c r="C109" s="1026"/>
      <c r="D109" s="1026"/>
      <c r="E109" s="1026"/>
      <c r="F109" s="1026"/>
      <c r="G109" s="1026"/>
      <c r="H109" s="1026"/>
      <c r="I109" s="291"/>
    </row>
    <row r="110" spans="1:9">
      <c r="A110" s="281">
        <v>1339</v>
      </c>
      <c r="B110" s="1026" t="s">
        <v>481</v>
      </c>
      <c r="C110" s="1026"/>
      <c r="D110" s="1026"/>
      <c r="E110" s="1026"/>
      <c r="F110" s="1026"/>
      <c r="G110" s="1026"/>
      <c r="H110" s="1026"/>
      <c r="I110" s="291"/>
    </row>
    <row r="111" spans="1:9">
      <c r="A111" s="273">
        <f>+A109-A110</f>
        <v>420</v>
      </c>
      <c r="B111" s="1027" t="s">
        <v>885</v>
      </c>
      <c r="C111" s="1027"/>
      <c r="D111" s="1027"/>
      <c r="E111" s="1027"/>
      <c r="F111" s="1027"/>
      <c r="G111" s="1027"/>
      <c r="H111" s="1027"/>
      <c r="I111" s="503"/>
    </row>
    <row r="112" spans="1:9">
      <c r="A112" s="298" t="s">
        <v>472</v>
      </c>
      <c r="B112" s="1028" t="s">
        <v>814</v>
      </c>
      <c r="C112" s="1028"/>
      <c r="D112" s="1028"/>
      <c r="E112" s="1028"/>
      <c r="F112" s="1028"/>
      <c r="G112" s="1028"/>
      <c r="H112" s="1028"/>
      <c r="I112" s="950"/>
    </row>
    <row r="113" spans="1:9">
      <c r="A113" s="281">
        <v>0</v>
      </c>
      <c r="B113" s="1026" t="s">
        <v>482</v>
      </c>
      <c r="C113" s="1026"/>
      <c r="D113" s="1026"/>
      <c r="E113" s="1026"/>
      <c r="F113" s="1026"/>
      <c r="G113" s="1026"/>
      <c r="H113" s="1026"/>
      <c r="I113" s="291"/>
    </row>
    <row r="114" spans="1:9">
      <c r="A114" s="981">
        <f>'O&amp;M Cost Summary'!F153</f>
        <v>19659</v>
      </c>
      <c r="B114" s="1026" t="s">
        <v>884</v>
      </c>
      <c r="C114" s="1026"/>
      <c r="D114" s="1026"/>
      <c r="E114" s="1026"/>
      <c r="F114" s="1026"/>
      <c r="G114" s="1026"/>
      <c r="H114" s="1026"/>
      <c r="I114" s="291"/>
    </row>
    <row r="115" spans="1:9">
      <c r="A115" s="273">
        <f>+A113-A114</f>
        <v>-19659</v>
      </c>
      <c r="B115" s="1027" t="s">
        <v>484</v>
      </c>
      <c r="C115" s="1027"/>
      <c r="D115" s="1027"/>
      <c r="E115" s="1027"/>
      <c r="F115" s="1027"/>
      <c r="G115" s="1027"/>
      <c r="H115" s="1027"/>
      <c r="I115" s="503"/>
    </row>
    <row r="117" spans="1:9">
      <c r="A117" s="1029" t="str">
        <f>scenario_6</f>
        <v>4Y: Gasif, Landfill</v>
      </c>
      <c r="B117" s="1029"/>
      <c r="C117" s="1029"/>
      <c r="D117" s="1029"/>
      <c r="E117" s="1029"/>
      <c r="F117" s="1029"/>
      <c r="G117" s="1029"/>
      <c r="H117" s="1029"/>
      <c r="I117" s="955"/>
    </row>
    <row r="118" spans="1:9">
      <c r="A118" s="1030" t="s">
        <v>560</v>
      </c>
      <c r="B118" s="1030"/>
      <c r="C118" s="1030"/>
      <c r="D118" s="1030"/>
      <c r="E118" s="1030"/>
      <c r="F118" s="1030"/>
      <c r="G118" s="1030"/>
      <c r="H118" s="1030"/>
      <c r="I118" s="949"/>
    </row>
    <row r="119" spans="1:9">
      <c r="A119" s="298" t="s">
        <v>6</v>
      </c>
      <c r="B119" s="1028" t="s">
        <v>814</v>
      </c>
      <c r="C119" s="1028"/>
      <c r="D119" s="1028"/>
      <c r="E119" s="1028"/>
      <c r="F119" s="1028"/>
      <c r="G119" s="1028"/>
      <c r="H119" s="1028"/>
      <c r="I119" s="950"/>
    </row>
    <row r="120" spans="1:9">
      <c r="A120" s="281">
        <v>0</v>
      </c>
      <c r="B120" s="1026" t="s">
        <v>486</v>
      </c>
      <c r="C120" s="1026"/>
      <c r="D120" s="1026"/>
      <c r="E120" s="1026"/>
      <c r="F120" s="1026"/>
      <c r="G120" s="1026"/>
      <c r="H120" s="1026"/>
      <c r="I120" s="291"/>
    </row>
    <row r="121" spans="1:9">
      <c r="A121" s="992">
        <v>1330</v>
      </c>
      <c r="B121" s="1026" t="s">
        <v>487</v>
      </c>
      <c r="C121" s="1026"/>
      <c r="D121" s="1026"/>
      <c r="E121" s="1026"/>
      <c r="F121" s="1026"/>
      <c r="G121" s="1026"/>
      <c r="H121" s="1026"/>
      <c r="I121" s="291"/>
    </row>
    <row r="122" spans="1:9">
      <c r="A122" s="281">
        <v>0</v>
      </c>
      <c r="B122" s="1026"/>
      <c r="C122" s="1026"/>
      <c r="D122" s="1026"/>
      <c r="E122" s="1026"/>
      <c r="F122" s="1026"/>
      <c r="G122" s="1026"/>
      <c r="H122" s="1026"/>
      <c r="I122" s="291"/>
    </row>
    <row r="123" spans="1:9">
      <c r="A123" s="273">
        <f>+A120-(A121+A122)</f>
        <v>-1330</v>
      </c>
      <c r="B123" s="1027" t="s">
        <v>483</v>
      </c>
      <c r="C123" s="1027"/>
      <c r="D123" s="1027"/>
      <c r="E123" s="1027"/>
      <c r="F123" s="1027"/>
      <c r="G123" s="1027"/>
      <c r="H123" s="1027"/>
      <c r="I123" s="503"/>
    </row>
    <row r="124" spans="1:9">
      <c r="A124" s="993" t="s">
        <v>472</v>
      </c>
      <c r="B124" s="1028" t="s">
        <v>814</v>
      </c>
      <c r="C124" s="1028"/>
      <c r="D124" s="1028"/>
      <c r="E124" s="1028"/>
      <c r="F124" s="1028"/>
      <c r="G124" s="1028"/>
      <c r="H124" s="1028"/>
      <c r="I124" s="950"/>
    </row>
    <row r="125" spans="1:9">
      <c r="A125" s="992">
        <v>67006</v>
      </c>
      <c r="B125" s="1026" t="s">
        <v>889</v>
      </c>
      <c r="C125" s="1026"/>
      <c r="D125" s="1026"/>
      <c r="E125" s="1026"/>
      <c r="F125" s="1026"/>
      <c r="G125" s="1026"/>
      <c r="H125" s="1026"/>
      <c r="I125" s="291"/>
    </row>
    <row r="126" spans="1:9">
      <c r="A126" s="981">
        <v>1329</v>
      </c>
      <c r="B126" s="1026" t="s">
        <v>887</v>
      </c>
      <c r="C126" s="1026"/>
      <c r="D126" s="1026"/>
      <c r="E126" s="1026"/>
      <c r="F126" s="1026"/>
      <c r="G126" s="1026"/>
      <c r="H126" s="1026"/>
      <c r="I126" s="291"/>
    </row>
    <row r="127" spans="1:9">
      <c r="A127" s="981">
        <v>2050</v>
      </c>
      <c r="B127" s="1026" t="s">
        <v>888</v>
      </c>
      <c r="C127" s="1026"/>
      <c r="D127" s="1026"/>
      <c r="E127" s="1026"/>
      <c r="F127" s="1026"/>
      <c r="G127" s="1026"/>
      <c r="H127" s="1026"/>
      <c r="I127" s="291"/>
    </row>
    <row r="128" spans="1:9" s="982" customFormat="1">
      <c r="A128" s="994">
        <v>2557</v>
      </c>
      <c r="B128" s="1026" t="s">
        <v>886</v>
      </c>
      <c r="C128" s="1026"/>
      <c r="D128" s="1026"/>
      <c r="E128" s="1026"/>
      <c r="F128" s="1026"/>
      <c r="G128" s="1026"/>
      <c r="H128" s="1026"/>
      <c r="I128" s="291"/>
    </row>
    <row r="129" spans="1:9">
      <c r="A129" s="983">
        <f>-A126-A127+A128</f>
        <v>-822</v>
      </c>
      <c r="B129" s="1027" t="s">
        <v>484</v>
      </c>
      <c r="C129" s="1027"/>
      <c r="D129" s="1027"/>
      <c r="E129" s="1027"/>
      <c r="F129" s="1027"/>
      <c r="G129" s="1027"/>
      <c r="H129" s="1027"/>
      <c r="I129" s="503"/>
    </row>
  </sheetData>
  <mergeCells count="93">
    <mergeCell ref="A39:H39"/>
    <mergeCell ref="B1:H1"/>
    <mergeCell ref="C4:H4"/>
    <mergeCell ref="C21:H21"/>
    <mergeCell ref="A36:H36"/>
    <mergeCell ref="A38:H38"/>
    <mergeCell ref="C25:H25"/>
    <mergeCell ref="C24:H24"/>
    <mergeCell ref="B52:H52"/>
    <mergeCell ref="B40:H40"/>
    <mergeCell ref="B41:H41"/>
    <mergeCell ref="B42:H42"/>
    <mergeCell ref="B43:H43"/>
    <mergeCell ref="B44:H44"/>
    <mergeCell ref="B46:H46"/>
    <mergeCell ref="B47:H47"/>
    <mergeCell ref="B48:H48"/>
    <mergeCell ref="B49:H49"/>
    <mergeCell ref="B50:H50"/>
    <mergeCell ref="B51:H51"/>
    <mergeCell ref="B45:H45"/>
    <mergeCell ref="B66:H66"/>
    <mergeCell ref="B53:H53"/>
    <mergeCell ref="B54:H54"/>
    <mergeCell ref="A56:H56"/>
    <mergeCell ref="A57:H57"/>
    <mergeCell ref="B58:H58"/>
    <mergeCell ref="B59:H59"/>
    <mergeCell ref="B60:H60"/>
    <mergeCell ref="B61:H61"/>
    <mergeCell ref="B63:H63"/>
    <mergeCell ref="B64:H64"/>
    <mergeCell ref="B65:H65"/>
    <mergeCell ref="B62:H62"/>
    <mergeCell ref="B80:H80"/>
    <mergeCell ref="B67:H67"/>
    <mergeCell ref="B68:H68"/>
    <mergeCell ref="B69:H69"/>
    <mergeCell ref="B70:H70"/>
    <mergeCell ref="B71:H71"/>
    <mergeCell ref="B72:H72"/>
    <mergeCell ref="A74:H74"/>
    <mergeCell ref="A75:H75"/>
    <mergeCell ref="B76:H76"/>
    <mergeCell ref="B77:H77"/>
    <mergeCell ref="B78:H78"/>
    <mergeCell ref="B79:H79"/>
    <mergeCell ref="B93:H93"/>
    <mergeCell ref="B81:H81"/>
    <mergeCell ref="B82:H82"/>
    <mergeCell ref="B83:H83"/>
    <mergeCell ref="B84:H84"/>
    <mergeCell ref="B85:H85"/>
    <mergeCell ref="B86:H86"/>
    <mergeCell ref="B87:H87"/>
    <mergeCell ref="B88:H88"/>
    <mergeCell ref="A90:H90"/>
    <mergeCell ref="A91:H91"/>
    <mergeCell ref="B92:H92"/>
    <mergeCell ref="A107:H107"/>
    <mergeCell ref="B94:H94"/>
    <mergeCell ref="B96:H96"/>
    <mergeCell ref="B97:H97"/>
    <mergeCell ref="B98:H98"/>
    <mergeCell ref="B99:H99"/>
    <mergeCell ref="B100:H100"/>
    <mergeCell ref="B101:H101"/>
    <mergeCell ref="B102:H102"/>
    <mergeCell ref="B103:H103"/>
    <mergeCell ref="B104:H104"/>
    <mergeCell ref="A106:H106"/>
    <mergeCell ref="B95:H95"/>
    <mergeCell ref="B120:H120"/>
    <mergeCell ref="B108:H108"/>
    <mergeCell ref="B109:H109"/>
    <mergeCell ref="B110:H110"/>
    <mergeCell ref="B111:H111"/>
    <mergeCell ref="B112:H112"/>
    <mergeCell ref="B113:H113"/>
    <mergeCell ref="B114:H114"/>
    <mergeCell ref="B115:H115"/>
    <mergeCell ref="A117:H117"/>
    <mergeCell ref="A118:H118"/>
    <mergeCell ref="B119:H119"/>
    <mergeCell ref="B127:H127"/>
    <mergeCell ref="B129:H129"/>
    <mergeCell ref="B121:H121"/>
    <mergeCell ref="B122:H122"/>
    <mergeCell ref="B123:H123"/>
    <mergeCell ref="B124:H124"/>
    <mergeCell ref="B125:H125"/>
    <mergeCell ref="B126:H126"/>
    <mergeCell ref="B128:H128"/>
  </mergeCells>
  <phoneticPr fontId="75" type="noConversion"/>
  <dataValidations disablePrompts="1" count="1">
    <dataValidation allowBlank="1" showInputMessage="1" showErrorMessage="1" prompt="If GHG cost is used, the weight allocated to GHG emissions would be ignored to avoid double counting." sqref="A12"/>
  </dataValidations>
  <pageMargins left="0.7" right="0.7" top="0.75" bottom="0.75" header="0.3" footer="0.3"/>
  <pageSetup scale="77" fitToHeight="0" orientation="landscape" horizontalDpi="300" r:id="rId1"/>
  <rowBreaks count="3" manualBreakCount="3">
    <brk id="31" max="8" man="1"/>
    <brk id="55" max="8" man="1"/>
    <brk id="89" max="8" man="1"/>
  </rowBreaks>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sheetPr codeName="Sheet9" enableFormatConditionsCalculation="0">
    <tabColor rgb="FFFFFF00"/>
    <pageSetUpPr fitToPage="1"/>
  </sheetPr>
  <dimension ref="A1:K39"/>
  <sheetViews>
    <sheetView view="pageBreakPreview" zoomScale="80" zoomScaleNormal="100" zoomScaleSheetLayoutView="80" workbookViewId="0">
      <selection activeCell="A5" sqref="A5"/>
    </sheetView>
  </sheetViews>
  <sheetFormatPr defaultColWidth="8.7109375" defaultRowHeight="15"/>
  <cols>
    <col min="1" max="1" width="40.7109375" style="437" customWidth="1"/>
    <col min="2" max="7" width="13.7109375" style="437" customWidth="1"/>
    <col min="8" max="8" width="13.7109375" style="896" customWidth="1"/>
    <col min="9" max="11" width="12.7109375" style="437" customWidth="1"/>
    <col min="12" max="16384" width="8.7109375" style="437"/>
  </cols>
  <sheetData>
    <row r="1" spans="1:11" ht="18.75">
      <c r="A1" s="1013" t="s">
        <v>339</v>
      </c>
      <c r="B1" s="1013"/>
      <c r="C1" s="1013"/>
      <c r="D1" s="1013"/>
      <c r="E1" s="1013"/>
      <c r="F1" s="1013"/>
      <c r="G1" s="1013"/>
      <c r="H1" s="1013"/>
      <c r="I1" s="1013"/>
      <c r="J1" s="1013"/>
      <c r="K1" s="1013"/>
    </row>
    <row r="2" spans="1:11" ht="45">
      <c r="A2" s="294"/>
      <c r="B2" s="703" t="str">
        <f>scenario_1</f>
        <v>1X: AnaDig + CHP, Prtmt, LandApp</v>
      </c>
      <c r="C2" s="704" t="str">
        <f>scenario_2</f>
        <v>1Y: AnaDig + CHP, Prtmt, Landfill</v>
      </c>
      <c r="D2" s="705" t="str">
        <f>scenario_3</f>
        <v>2X: AnaDig + CHP, Codig, LandApp</v>
      </c>
      <c r="E2" s="706" t="str">
        <f>scenario_4</f>
        <v>2Y: AnaDig + CHP, Codig, Landfill</v>
      </c>
      <c r="F2" s="707" t="str">
        <f>scenario_5</f>
        <v>3Y: Incin, Landfill</v>
      </c>
      <c r="G2" s="749" t="str">
        <f>scenario_6</f>
        <v>4Y: Gasif, Landfill</v>
      </c>
      <c r="H2" s="749" t="str">
        <f>scenario_7</f>
        <v>Custom Scenario</v>
      </c>
      <c r="I2" s="1040"/>
      <c r="J2" s="1041"/>
      <c r="K2" s="1042"/>
    </row>
    <row r="3" spans="1:11">
      <c r="A3" s="269" t="s">
        <v>340</v>
      </c>
      <c r="B3" s="824">
        <f>+C26*365</f>
        <v>1569.0500280000001</v>
      </c>
      <c r="C3" s="825">
        <f>+C27*365</f>
        <v>0</v>
      </c>
      <c r="D3" s="826">
        <f>+C28*365</f>
        <v>2091.2388839999999</v>
      </c>
      <c r="E3" s="827">
        <f>+C29*365</f>
        <v>0</v>
      </c>
      <c r="F3" s="825">
        <f>+B30*365</f>
        <v>0</v>
      </c>
      <c r="G3" s="825">
        <f>+B31*365</f>
        <v>0</v>
      </c>
      <c r="H3" s="825"/>
      <c r="I3" s="1043"/>
      <c r="J3" s="1044"/>
      <c r="K3" s="1045"/>
    </row>
    <row r="4" spans="1:11">
      <c r="A4" s="269" t="s">
        <v>341</v>
      </c>
      <c r="B4" s="825">
        <f>+B34</f>
        <v>0</v>
      </c>
      <c r="C4" s="825">
        <f>+B35</f>
        <v>0</v>
      </c>
      <c r="D4" s="826">
        <f>+B36</f>
        <v>0</v>
      </c>
      <c r="E4" s="827">
        <f>+B37</f>
        <v>0</v>
      </c>
      <c r="F4" s="825">
        <f>+B38</f>
        <v>0</v>
      </c>
      <c r="G4" s="825">
        <f>+B39</f>
        <v>0</v>
      </c>
      <c r="H4" s="825"/>
      <c r="I4" s="708" t="s">
        <v>177</v>
      </c>
      <c r="J4" s="708" t="s">
        <v>178</v>
      </c>
      <c r="K4" s="708" t="s">
        <v>179</v>
      </c>
    </row>
    <row r="5" spans="1:11">
      <c r="A5" s="269" t="s">
        <v>465</v>
      </c>
      <c r="B5" s="709">
        <f t="shared" ref="B5:G5" si="0">+B3*$A$21+B4*$A$23</f>
        <v>2135163.2781024002</v>
      </c>
      <c r="C5" s="710">
        <f t="shared" si="0"/>
        <v>0</v>
      </c>
      <c r="D5" s="711">
        <f t="shared" si="0"/>
        <v>2845757.8733471995</v>
      </c>
      <c r="E5" s="769">
        <f t="shared" si="0"/>
        <v>0</v>
      </c>
      <c r="F5" s="712">
        <f t="shared" si="0"/>
        <v>0</v>
      </c>
      <c r="G5" s="776">
        <f t="shared" si="0"/>
        <v>0</v>
      </c>
      <c r="H5" s="776" t="str">
        <f>IF(CustomON="Off","",H3*$A$21+H4*$A$23)</f>
        <v/>
      </c>
      <c r="I5" s="713">
        <f>MAX(B5:H5)</f>
        <v>2845757.8733471995</v>
      </c>
      <c r="J5" s="713">
        <f>MIN(B5:H5)</f>
        <v>0</v>
      </c>
      <c r="K5" s="713">
        <f>+I5-J5</f>
        <v>2845757.8733471995</v>
      </c>
    </row>
    <row r="6" spans="1:11">
      <c r="A6" s="269" t="s">
        <v>181</v>
      </c>
      <c r="B6" s="563">
        <f>+B5/$I$5</f>
        <v>0.75029688860739474</v>
      </c>
      <c r="C6" s="556">
        <f t="shared" ref="C6:G6" si="1">+C5/$I$5</f>
        <v>0</v>
      </c>
      <c r="D6" s="568">
        <f t="shared" si="1"/>
        <v>1</v>
      </c>
      <c r="E6" s="762">
        <f t="shared" si="1"/>
        <v>0</v>
      </c>
      <c r="F6" s="572">
        <f t="shared" si="1"/>
        <v>0</v>
      </c>
      <c r="G6" s="777">
        <f t="shared" si="1"/>
        <v>0</v>
      </c>
      <c r="H6" s="777" t="str">
        <f>IF(CustomON="Off","",H5/$I$5)</f>
        <v/>
      </c>
      <c r="I6" s="1040"/>
      <c r="J6" s="1041"/>
      <c r="K6" s="1042"/>
    </row>
    <row r="7" spans="1:11">
      <c r="A7" s="269" t="s">
        <v>64</v>
      </c>
      <c r="B7" s="714">
        <f>+B6*5</f>
        <v>3.7514844430369738</v>
      </c>
      <c r="C7" s="715">
        <f t="shared" ref="C7:G7" si="2">+C6*5</f>
        <v>0</v>
      </c>
      <c r="D7" s="716">
        <f t="shared" si="2"/>
        <v>5</v>
      </c>
      <c r="E7" s="770">
        <f t="shared" si="2"/>
        <v>0</v>
      </c>
      <c r="F7" s="717">
        <f t="shared" si="2"/>
        <v>0</v>
      </c>
      <c r="G7" s="778">
        <f t="shared" si="2"/>
        <v>0</v>
      </c>
      <c r="H7" s="778" t="str">
        <f>IF(CustomON="Off","",H6*5)</f>
        <v/>
      </c>
      <c r="I7" s="1043"/>
      <c r="J7" s="1044"/>
      <c r="K7" s="1045"/>
    </row>
    <row r="8" spans="1:11">
      <c r="A8" s="68"/>
      <c r="B8" s="513"/>
      <c r="C8" s="513"/>
      <c r="D8" s="513"/>
      <c r="E8" s="513"/>
      <c r="F8" s="513"/>
      <c r="G8" s="513"/>
      <c r="H8" s="513"/>
      <c r="I8" s="436"/>
      <c r="J8" s="436"/>
      <c r="K8" s="436"/>
    </row>
    <row r="9" spans="1:11">
      <c r="A9" s="445" t="s">
        <v>539</v>
      </c>
      <c r="B9" s="446" t="s">
        <v>564</v>
      </c>
      <c r="C9" s="594"/>
      <c r="D9" s="513"/>
      <c r="E9" s="513"/>
      <c r="F9" s="513"/>
      <c r="G9" s="513"/>
      <c r="H9" s="513"/>
      <c r="I9" s="436"/>
      <c r="J9" s="436"/>
      <c r="K9" s="436"/>
    </row>
    <row r="10" spans="1:11">
      <c r="A10" s="447" t="s">
        <v>541</v>
      </c>
      <c r="B10" s="446" t="s">
        <v>542</v>
      </c>
      <c r="C10" s="594"/>
      <c r="D10" s="513"/>
      <c r="E10" s="513"/>
      <c r="F10" s="513"/>
      <c r="G10" s="513"/>
      <c r="H10" s="513"/>
      <c r="I10" s="436"/>
      <c r="J10" s="436"/>
      <c r="K10" s="436"/>
    </row>
    <row r="11" spans="1:11">
      <c r="A11" s="447" t="s">
        <v>543</v>
      </c>
      <c r="B11" s="446" t="s">
        <v>544</v>
      </c>
      <c r="C11" s="594"/>
      <c r="D11" s="513"/>
      <c r="E11" s="513"/>
      <c r="F11" s="513"/>
      <c r="G11" s="513"/>
      <c r="H11" s="513"/>
      <c r="I11" s="436"/>
      <c r="J11" s="436"/>
      <c r="K11" s="436"/>
    </row>
    <row r="12" spans="1:11">
      <c r="A12" s="447" t="s">
        <v>545</v>
      </c>
      <c r="B12" s="448">
        <v>5</v>
      </c>
      <c r="C12" s="594"/>
      <c r="D12" s="513"/>
      <c r="E12" s="513"/>
      <c r="F12" s="513"/>
      <c r="G12" s="513"/>
      <c r="H12" s="513"/>
      <c r="I12" s="436"/>
      <c r="J12" s="436"/>
      <c r="K12" s="436"/>
    </row>
    <row r="13" spans="1:11">
      <c r="A13" s="447" t="s">
        <v>546</v>
      </c>
      <c r="B13" s="446" t="s">
        <v>565</v>
      </c>
      <c r="C13" s="594"/>
      <c r="D13" s="513"/>
      <c r="E13" s="513"/>
      <c r="F13" s="513"/>
      <c r="G13" s="513"/>
      <c r="H13" s="513"/>
      <c r="I13" s="436"/>
      <c r="J13" s="436"/>
      <c r="K13" s="436"/>
    </row>
    <row r="14" spans="1:11">
      <c r="A14" s="447" t="s">
        <v>548</v>
      </c>
      <c r="B14" s="448">
        <v>0</v>
      </c>
      <c r="C14" s="594"/>
      <c r="D14" s="513"/>
      <c r="E14" s="513"/>
      <c r="F14" s="513"/>
      <c r="G14" s="513"/>
      <c r="H14" s="513"/>
      <c r="I14" s="436"/>
      <c r="J14" s="436"/>
      <c r="K14" s="436"/>
    </row>
    <row r="15" spans="1:11">
      <c r="A15" s="447" t="s">
        <v>549</v>
      </c>
      <c r="B15" s="446" t="s">
        <v>566</v>
      </c>
      <c r="C15" s="594"/>
      <c r="D15" s="513"/>
      <c r="E15" s="513"/>
      <c r="F15" s="513"/>
      <c r="G15" s="513"/>
      <c r="H15" s="513"/>
      <c r="I15" s="436"/>
      <c r="J15" s="436"/>
      <c r="K15" s="436"/>
    </row>
    <row r="16" spans="1:11">
      <c r="A16" s="449"/>
      <c r="B16" s="449"/>
      <c r="C16" s="594"/>
      <c r="D16" s="513"/>
      <c r="E16" s="513"/>
      <c r="F16" s="513"/>
      <c r="G16" s="513"/>
      <c r="H16" s="513"/>
      <c r="I16" s="436"/>
      <c r="J16" s="436"/>
      <c r="K16" s="436"/>
    </row>
    <row r="17" spans="1:11">
      <c r="A17" s="68"/>
      <c r="B17" s="513"/>
      <c r="C17" s="513"/>
      <c r="D17" s="513"/>
      <c r="E17" s="513"/>
      <c r="F17" s="513"/>
      <c r="G17" s="513"/>
      <c r="H17" s="513"/>
      <c r="I17" s="436"/>
      <c r="J17" s="436"/>
      <c r="K17" s="436"/>
    </row>
    <row r="18" spans="1:11" ht="18.75">
      <c r="A18" s="625" t="s">
        <v>538</v>
      </c>
    </row>
    <row r="19" spans="1:11">
      <c r="A19" s="275"/>
      <c r="B19" s="603">
        <v>1</v>
      </c>
      <c r="C19" s="603" t="s">
        <v>331</v>
      </c>
      <c r="D19" s="604" t="s">
        <v>330</v>
      </c>
      <c r="E19" s="603">
        <v>0.90720000000000001</v>
      </c>
      <c r="F19" s="603" t="s">
        <v>332</v>
      </c>
      <c r="G19" s="517"/>
      <c r="H19" s="517"/>
    </row>
    <row r="20" spans="1:11">
      <c r="A20" s="281">
        <v>1500</v>
      </c>
      <c r="B20" s="1046" t="s">
        <v>342</v>
      </c>
      <c r="C20" s="1046"/>
      <c r="D20" s="1046"/>
      <c r="E20" s="1046"/>
      <c r="F20" s="1046"/>
      <c r="G20" s="1046"/>
      <c r="H20" s="956"/>
    </row>
    <row r="21" spans="1:11">
      <c r="A21" s="297">
        <f>+A20*$E$19</f>
        <v>1360.8</v>
      </c>
      <c r="B21" s="1046" t="s">
        <v>466</v>
      </c>
      <c r="C21" s="1046"/>
      <c r="D21" s="1046"/>
      <c r="E21" s="1046"/>
      <c r="F21" s="1046"/>
      <c r="G21" s="1046"/>
      <c r="H21" s="956"/>
    </row>
    <row r="22" spans="1:11">
      <c r="A22" s="281">
        <v>5200</v>
      </c>
      <c r="B22" s="1046" t="s">
        <v>467</v>
      </c>
      <c r="C22" s="1046"/>
      <c r="D22" s="1046"/>
      <c r="E22" s="1046"/>
      <c r="F22" s="1046"/>
      <c r="G22" s="1046"/>
      <c r="H22" s="956"/>
    </row>
    <row r="23" spans="1:11">
      <c r="A23" s="297">
        <f>+A22*$E$19</f>
        <v>4717.4399999999996</v>
      </c>
      <c r="B23" s="1026" t="s">
        <v>468</v>
      </c>
      <c r="C23" s="1026"/>
      <c r="D23" s="1026"/>
      <c r="E23" s="1026"/>
      <c r="F23" s="1026"/>
      <c r="G23" s="1026"/>
      <c r="H23" s="291"/>
    </row>
    <row r="25" spans="1:11" ht="30">
      <c r="A25" s="273" t="s">
        <v>469</v>
      </c>
      <c r="B25" s="296" t="s">
        <v>343</v>
      </c>
      <c r="C25" s="296" t="s">
        <v>344</v>
      </c>
    </row>
    <row r="26" spans="1:11">
      <c r="A26" s="595" t="str">
        <f>scenario_1</f>
        <v>1X: AnaDig + CHP, Prtmt, LandApp</v>
      </c>
      <c r="B26" s="561">
        <v>9477</v>
      </c>
      <c r="C26" s="283">
        <f>+B26/2000*$E$19</f>
        <v>4.2987672000000003</v>
      </c>
    </row>
    <row r="27" spans="1:11">
      <c r="A27" s="550" t="str">
        <f>scenario_2</f>
        <v>1Y: AnaDig + CHP, Prtmt, Landfill</v>
      </c>
      <c r="B27" s="596">
        <v>0</v>
      </c>
      <c r="C27" s="283">
        <f t="shared" ref="C27:C31" si="3">+B27/2000*$E$19</f>
        <v>0</v>
      </c>
    </row>
    <row r="28" spans="1:11">
      <c r="A28" s="597" t="str">
        <f>scenario_3</f>
        <v>2X: AnaDig + CHP, Codig, LandApp</v>
      </c>
      <c r="B28" s="566">
        <v>12631</v>
      </c>
      <c r="C28" s="283">
        <f t="shared" si="3"/>
        <v>5.7294216000000002</v>
      </c>
    </row>
    <row r="29" spans="1:11">
      <c r="A29" s="598" t="str">
        <f>scenario_4</f>
        <v>2Y: AnaDig + CHP, Codig, Landfill</v>
      </c>
      <c r="B29" s="599">
        <v>0</v>
      </c>
      <c r="C29" s="283">
        <f t="shared" si="3"/>
        <v>0</v>
      </c>
    </row>
    <row r="30" spans="1:11">
      <c r="A30" s="551" t="str">
        <f>scenario_5</f>
        <v>3Y: Incin, Landfill</v>
      </c>
      <c r="B30" s="771">
        <v>0</v>
      </c>
      <c r="C30" s="283">
        <f t="shared" si="3"/>
        <v>0</v>
      </c>
    </row>
    <row r="31" spans="1:11">
      <c r="A31" s="773" t="str">
        <f>scenario_6</f>
        <v>4Y: Gasif, Landfill</v>
      </c>
      <c r="B31" s="774">
        <v>0</v>
      </c>
      <c r="C31" s="283">
        <f t="shared" si="3"/>
        <v>0</v>
      </c>
    </row>
    <row r="33" spans="1:2">
      <c r="A33" s="273" t="s">
        <v>470</v>
      </c>
      <c r="B33" s="296" t="s">
        <v>344</v>
      </c>
    </row>
    <row r="34" spans="1:2">
      <c r="A34" s="698" t="str">
        <f>scenario_1</f>
        <v>1X: AnaDig + CHP, Prtmt, LandApp</v>
      </c>
      <c r="B34" s="600">
        <v>0</v>
      </c>
    </row>
    <row r="35" spans="1:2">
      <c r="A35" s="697" t="str">
        <f>scenario_2</f>
        <v>1Y: AnaDig + CHP, Prtmt, Landfill</v>
      </c>
      <c r="B35" s="601">
        <v>0</v>
      </c>
    </row>
    <row r="36" spans="1:2">
      <c r="A36" s="696" t="str">
        <f>scenario_3</f>
        <v>2X: AnaDig + CHP, Codig, LandApp</v>
      </c>
      <c r="B36" s="602">
        <v>0</v>
      </c>
    </row>
    <row r="37" spans="1:2">
      <c r="A37" s="695" t="str">
        <f>scenario_4</f>
        <v>2Y: AnaDig + CHP, Codig, Landfill</v>
      </c>
      <c r="B37" s="599">
        <v>0</v>
      </c>
    </row>
    <row r="38" spans="1:2">
      <c r="A38" s="694" t="str">
        <f>scenario_5</f>
        <v>3Y: Incin, Landfill</v>
      </c>
      <c r="B38" s="772">
        <v>0</v>
      </c>
    </row>
    <row r="39" spans="1:2">
      <c r="A39" s="773" t="str">
        <f>scenario_6</f>
        <v>4Y: Gasif, Landfill</v>
      </c>
      <c r="B39" s="775">
        <v>0</v>
      </c>
    </row>
  </sheetData>
  <mergeCells count="7">
    <mergeCell ref="B23:G23"/>
    <mergeCell ref="A1:K1"/>
    <mergeCell ref="I2:K3"/>
    <mergeCell ref="I6:K7"/>
    <mergeCell ref="B20:G20"/>
    <mergeCell ref="B21:G21"/>
    <mergeCell ref="B22:G22"/>
  </mergeCells>
  <phoneticPr fontId="75" type="noConversion"/>
  <pageMargins left="0.7" right="0.7" top="0.75" bottom="0.75" header="0.3" footer="0.3"/>
  <pageSetup scale="89" fitToHeight="0" orientation="landscape" r:id="rId1"/>
  <rowBreaks count="1" manualBreakCount="1">
    <brk id="17" max="7" man="1"/>
  </rowBreaks>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sheetPr codeName="Sheet10" enableFormatConditionsCalculation="0">
    <tabColor rgb="FFFFFF00"/>
    <pageSetUpPr fitToPage="1"/>
  </sheetPr>
  <dimension ref="A1:E17"/>
  <sheetViews>
    <sheetView view="pageBreakPreview" zoomScale="60" zoomScaleNormal="100" workbookViewId="0">
      <selection activeCell="A10" sqref="A10"/>
    </sheetView>
  </sheetViews>
  <sheetFormatPr defaultColWidth="9.140625" defaultRowHeight="15"/>
  <cols>
    <col min="1" max="1" width="30.42578125" style="437" customWidth="1"/>
    <col min="2" max="2" width="9.140625" style="437"/>
    <col min="3" max="3" width="145.42578125" style="437" customWidth="1"/>
    <col min="4" max="8" width="16.7109375" style="437" customWidth="1"/>
    <col min="9" max="16384" width="9.140625" style="437"/>
  </cols>
  <sheetData>
    <row r="1" spans="1:5" ht="18.75">
      <c r="A1" s="1013" t="s">
        <v>345</v>
      </c>
      <c r="B1" s="1013"/>
      <c r="C1" s="1013"/>
    </row>
    <row r="2" spans="1:5" ht="15.75">
      <c r="A2" s="230" t="s">
        <v>346</v>
      </c>
      <c r="B2" s="230" t="s">
        <v>347</v>
      </c>
      <c r="C2" s="230" t="s">
        <v>567</v>
      </c>
    </row>
    <row r="3" spans="1:5" ht="30">
      <c r="A3" s="606" t="str">
        <f>scenario_1</f>
        <v>1X: AnaDig + CHP, Prtmt, LandApp</v>
      </c>
      <c r="B3" s="828">
        <v>2.5</v>
      </c>
      <c r="C3" s="607" t="s">
        <v>721</v>
      </c>
    </row>
    <row r="4" spans="1:5">
      <c r="A4" s="304" t="str">
        <f>scenario_2</f>
        <v>1Y: AnaDig + CHP, Prtmt, Landfill</v>
      </c>
      <c r="B4" s="828">
        <v>2.5</v>
      </c>
      <c r="C4" s="608" t="s">
        <v>722</v>
      </c>
    </row>
    <row r="5" spans="1:5" ht="30">
      <c r="A5" s="609" t="str">
        <f>scenario_3</f>
        <v>2X: AnaDig + CHP, Codig, LandApp</v>
      </c>
      <c r="B5" s="828">
        <v>2.5</v>
      </c>
      <c r="C5" s="610" t="s">
        <v>721</v>
      </c>
    </row>
    <row r="6" spans="1:5">
      <c r="A6" s="611" t="str">
        <f>scenario_4</f>
        <v>2Y: AnaDig + CHP, Codig, Landfill</v>
      </c>
      <c r="B6" s="829">
        <v>2.5</v>
      </c>
      <c r="C6" s="306" t="s">
        <v>722</v>
      </c>
    </row>
    <row r="7" spans="1:5">
      <c r="A7" s="305" t="str">
        <f>scenario_5</f>
        <v>3Y: Incin, Landfill</v>
      </c>
      <c r="B7" s="828">
        <v>2.5</v>
      </c>
      <c r="C7" s="779" t="s">
        <v>723</v>
      </c>
    </row>
    <row r="8" spans="1:5">
      <c r="A8" s="780" t="str">
        <f>scenario_6</f>
        <v>4Y: Gasif, Landfill</v>
      </c>
      <c r="B8" s="828">
        <v>2.5</v>
      </c>
      <c r="C8" s="781" t="s">
        <v>723</v>
      </c>
    </row>
    <row r="9" spans="1:5" s="896" customFormat="1">
      <c r="A9" s="780" t="str">
        <f>scenario_7</f>
        <v>Custom Scenario</v>
      </c>
      <c r="B9" s="828"/>
      <c r="C9" s="781"/>
    </row>
    <row r="10" spans="1:5">
      <c r="A10" s="445" t="s">
        <v>539</v>
      </c>
      <c r="B10" s="446" t="s">
        <v>540</v>
      </c>
      <c r="C10" s="513"/>
      <c r="D10" s="499"/>
      <c r="E10" s="504"/>
    </row>
    <row r="11" spans="1:5">
      <c r="A11" s="447" t="s">
        <v>541</v>
      </c>
      <c r="B11" s="446" t="s">
        <v>542</v>
      </c>
      <c r="C11" s="513"/>
      <c r="D11" s="499"/>
      <c r="E11" s="504"/>
    </row>
    <row r="12" spans="1:5">
      <c r="A12" s="447" t="s">
        <v>543</v>
      </c>
      <c r="B12" s="446" t="s">
        <v>544</v>
      </c>
      <c r="C12" s="513"/>
      <c r="D12" s="499"/>
      <c r="E12" s="504"/>
    </row>
    <row r="13" spans="1:5">
      <c r="A13" s="447" t="s">
        <v>545</v>
      </c>
      <c r="B13" s="448">
        <v>5</v>
      </c>
      <c r="C13" s="513"/>
      <c r="D13" s="499"/>
      <c r="E13" s="504"/>
    </row>
    <row r="14" spans="1:5">
      <c r="A14" s="447" t="s">
        <v>546</v>
      </c>
      <c r="B14" s="446" t="s">
        <v>547</v>
      </c>
      <c r="C14" s="513"/>
      <c r="D14" s="499"/>
      <c r="E14" s="504"/>
    </row>
    <row r="15" spans="1:5">
      <c r="A15" s="447" t="s">
        <v>548</v>
      </c>
      <c r="B15" s="448">
        <v>0</v>
      </c>
      <c r="C15" s="513"/>
      <c r="D15" s="499"/>
      <c r="E15" s="504"/>
    </row>
    <row r="16" spans="1:5">
      <c r="A16" s="447" t="s">
        <v>549</v>
      </c>
      <c r="B16" s="446" t="s">
        <v>550</v>
      </c>
      <c r="C16" s="513"/>
      <c r="D16" s="499"/>
      <c r="E16" s="504"/>
    </row>
    <row r="17" spans="1:5">
      <c r="A17" s="449"/>
      <c r="B17" s="449"/>
      <c r="C17" s="513"/>
      <c r="D17" s="499"/>
      <c r="E17" s="504"/>
    </row>
  </sheetData>
  <mergeCells count="1">
    <mergeCell ref="A1:C1"/>
  </mergeCells>
  <phoneticPr fontId="75" type="noConversion"/>
  <pageMargins left="0.7" right="0.7" top="0.75" bottom="0.75" header="0.3" footer="0.3"/>
  <pageSetup scale="75" fitToHeight="0" orientation="landscape" r:id="rId1"/>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67</vt:i4>
      </vt:variant>
    </vt:vector>
  </HeadingPairs>
  <TitlesOfParts>
    <vt:vector size="95" baseType="lpstr">
      <vt:lpstr>Home</vt:lpstr>
      <vt:lpstr>TBL ORG Chart</vt:lpstr>
      <vt:lpstr>TBL Scoring Summary</vt:lpstr>
      <vt:lpstr>Econ - NPV Results Summary</vt:lpstr>
      <vt:lpstr>Econ - Engineering Criteria</vt:lpstr>
      <vt:lpstr>Env - RC - Nutrients</vt:lpstr>
      <vt:lpstr>Env - RC - Fixed Carbon</vt:lpstr>
      <vt:lpstr>Env - RC - Water Conservation</vt:lpstr>
      <vt:lpstr>Env - Land Impacts</vt:lpstr>
      <vt:lpstr>Env - Air Impacts</vt:lpstr>
      <vt:lpstr>Env - Water Impacts</vt:lpstr>
      <vt:lpstr>Env - Regulatory Flexibility</vt:lpstr>
      <vt:lpstr>Soc - Nuisance</vt:lpstr>
      <vt:lpstr>Soc - Workplace</vt:lpstr>
      <vt:lpstr>Soc - Public</vt:lpstr>
      <vt:lpstr>Assumptions</vt:lpstr>
      <vt:lpstr>1X</vt:lpstr>
      <vt:lpstr>1Y</vt:lpstr>
      <vt:lpstr>2X</vt:lpstr>
      <vt:lpstr>2Y</vt:lpstr>
      <vt:lpstr>3Y</vt:lpstr>
      <vt:lpstr>4Y</vt:lpstr>
      <vt:lpstr>Custom</vt:lpstr>
      <vt:lpstr>Capital Cost Summary</vt:lpstr>
      <vt:lpstr>O&amp;M Cost Summary</vt:lpstr>
      <vt:lpstr>Survey 09-12</vt:lpstr>
      <vt:lpstr>Chart Data</vt:lpstr>
      <vt:lpstr>Lookups</vt:lpstr>
      <vt:lpstr>analysis_period</vt:lpstr>
      <vt:lpstr>CapExEsc</vt:lpstr>
      <vt:lpstr>CapexSummary</vt:lpstr>
      <vt:lpstr>CapitalCosts</vt:lpstr>
      <vt:lpstr>ConfigDropdown</vt:lpstr>
      <vt:lpstr>ConfigLookup</vt:lpstr>
      <vt:lpstr>Configurations</vt:lpstr>
      <vt:lpstr>CostBaseYr</vt:lpstr>
      <vt:lpstr>CustomON</vt:lpstr>
      <vt:lpstr>DiscountRt</vt:lpstr>
      <vt:lpstr>FirstYr</vt:lpstr>
      <vt:lpstr>GHGCost</vt:lpstr>
      <vt:lpstr>GHGEsc</vt:lpstr>
      <vt:lpstr>InServiceYr</vt:lpstr>
      <vt:lpstr>LaborCost</vt:lpstr>
      <vt:lpstr>LaborEsc</vt:lpstr>
      <vt:lpstr>OandM</vt:lpstr>
      <vt:lpstr>OMEsc</vt:lpstr>
      <vt:lpstr>OnOff</vt:lpstr>
      <vt:lpstr>'1X'!Print_Area</vt:lpstr>
      <vt:lpstr>'1Y'!Print_Area</vt:lpstr>
      <vt:lpstr>'2X'!Print_Area</vt:lpstr>
      <vt:lpstr>'2Y'!Print_Area</vt:lpstr>
      <vt:lpstr>'3Y'!Print_Area</vt:lpstr>
      <vt:lpstr>'4Y'!Print_Area</vt:lpstr>
      <vt:lpstr>Assumptions!Print_Area</vt:lpstr>
      <vt:lpstr>'Capital Cost Summary'!Print_Area</vt:lpstr>
      <vt:lpstr>Custom!Print_Area</vt:lpstr>
      <vt:lpstr>'Econ - Engineering Criteria'!Print_Area</vt:lpstr>
      <vt:lpstr>'Econ - NPV Results Summary'!Print_Area</vt:lpstr>
      <vt:lpstr>'Env - Air Impacts'!Print_Area</vt:lpstr>
      <vt:lpstr>'Env - Land Impacts'!Print_Area</vt:lpstr>
      <vt:lpstr>'Env - RC - Fixed Carbon'!Print_Area</vt:lpstr>
      <vt:lpstr>'Env - RC - Water Conservation'!Print_Area</vt:lpstr>
      <vt:lpstr>Home!Print_Area</vt:lpstr>
      <vt:lpstr>'O&amp;M Cost Summary'!Print_Area</vt:lpstr>
      <vt:lpstr>'Soc - Nuisance'!Print_Area</vt:lpstr>
      <vt:lpstr>'Soc - Public'!Print_Area</vt:lpstr>
      <vt:lpstr>'TBL ORG Chart'!Print_Area</vt:lpstr>
      <vt:lpstr>'TBL Scoring Summary'!Print_Area</vt:lpstr>
      <vt:lpstr>'1X'!Print_Titles</vt:lpstr>
      <vt:lpstr>'1Y'!Print_Titles</vt:lpstr>
      <vt:lpstr>'2X'!Print_Titles</vt:lpstr>
      <vt:lpstr>'2Y'!Print_Titles</vt:lpstr>
      <vt:lpstr>'3Y'!Print_Titles</vt:lpstr>
      <vt:lpstr>'4Y'!Print_Titles</vt:lpstr>
      <vt:lpstr>Assumptions!Print_Titles</vt:lpstr>
      <vt:lpstr>Custom!Print_Titles</vt:lpstr>
      <vt:lpstr>'Econ - NPV Results Summary'!Print_Titles</vt:lpstr>
      <vt:lpstr>'Env - RC - Fixed Carbon'!Print_Titles</vt:lpstr>
      <vt:lpstr>'Env - RC - Water Conservation'!Print_Titles</vt:lpstr>
      <vt:lpstr>Home!Print_Titles</vt:lpstr>
      <vt:lpstr>'TBL Scoring Summary'!Print_Titles</vt:lpstr>
      <vt:lpstr>scenario_1</vt:lpstr>
      <vt:lpstr>scenario_2</vt:lpstr>
      <vt:lpstr>scenario_3</vt:lpstr>
      <vt:lpstr>scenario_4</vt:lpstr>
      <vt:lpstr>scenario_5</vt:lpstr>
      <vt:lpstr>scenario_6</vt:lpstr>
      <vt:lpstr>scenario_7</vt:lpstr>
      <vt:lpstr>ScoringMethod</vt:lpstr>
      <vt:lpstr>'1Y'!table_1X</vt:lpstr>
      <vt:lpstr>'2Y'!table_1X</vt:lpstr>
      <vt:lpstr>'3Y'!table_1X</vt:lpstr>
      <vt:lpstr>Custom!table_1X</vt:lpstr>
      <vt:lpstr>table_1X</vt:lpstr>
      <vt:lpstr>WeightsSelection</vt:lpstr>
    </vt:vector>
  </TitlesOfParts>
  <Company>Black &amp; Veatch</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Alok Patil</dc:creator>
  <cp:lastModifiedBy>kmo</cp:lastModifiedBy>
  <cp:lastPrinted>2014-02-04T00:09:10Z</cp:lastPrinted>
  <dcterms:created xsi:type="dcterms:W3CDTF">2013-06-25T20:02:29Z</dcterms:created>
  <dcterms:modified xsi:type="dcterms:W3CDTF">2015-01-28T16:32:30Z</dcterms:modified>
</cp:coreProperties>
</file>